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Index" sheetId="1" r:id="rId4"/>
    <sheet state="hidden" name="Calling Script" sheetId="2" r:id="rId5"/>
    <sheet state="hidden" name="Pay 3 and Stay" sheetId="3" r:id="rId6"/>
    <sheet state="hidden" name="Surrender vs. Continuing" sheetId="4" r:id="rId7"/>
    <sheet state="hidden" name="Dont Pay Just Stay" sheetId="5" r:id="rId8"/>
    <sheet state="hidden" name="Pay 1 and Stay" sheetId="6" r:id="rId9"/>
    <sheet state="hidden" name="Bond Fund" sheetId="7" r:id="rId10"/>
    <sheet state="visible" name="INPUT" sheetId="8" r:id="rId11"/>
    <sheet state="visible" name="Output Summary " sheetId="9" r:id="rId12"/>
    <sheet state="visible" name="Request and Response of Unit-Li" sheetId="10" r:id="rId13"/>
    <sheet state="visible" name="Pre-Calculation" sheetId="11" r:id="rId14"/>
    <sheet state="visible" name="Cashflows_8%" sheetId="12" r:id="rId15"/>
    <sheet state="visible" name="Cashflows_4%" sheetId="13" r:id="rId16"/>
    <sheet state="visible" name="Cashflows_HIST" sheetId="14" r:id="rId17"/>
    <sheet state="visible" name="Cashflows_Bond Fund" sheetId="15" r:id="rId18"/>
    <sheet state="visible" name="Cashflows_8% from Start" sheetId="16" r:id="rId19"/>
    <sheet state="visible" name="Cashflows_4% from Start" sheetId="17" r:id="rId20"/>
    <sheet state="visible" name="Cashflows_Backtesting" sheetId="18" r:id="rId21"/>
    <sheet state="visible" name="Discontinued Fund" sheetId="19" r:id="rId22"/>
    <sheet state="visible" name="Revival" sheetId="20" r:id="rId23"/>
    <sheet state="visible" name="Returns and Effective charges" sheetId="21" r:id="rId24"/>
    <sheet state="hidden" name="IO Template for planning" sheetId="22" r:id="rId25"/>
    <sheet state="visible" name="Death Benefit Type" sheetId="23" r:id="rId26"/>
    <sheet state="visible" name="Maturity BenefitType" sheetId="24" r:id="rId27"/>
    <sheet state="visible" name="Surender Benefit Type" sheetId="25" r:id="rId28"/>
    <sheet state="visible" name="GA" sheetId="26" r:id="rId29"/>
    <sheet state="visible" name="Product Data" sheetId="27" r:id="rId30"/>
    <sheet state="visible" name="PAC" sheetId="28" r:id="rId31"/>
    <sheet state="visible" name="ADMIN" sheetId="29" r:id="rId32"/>
    <sheet state="visible" name="LA %" sheetId="30" r:id="rId33"/>
    <sheet state="visible" name="LA TYPE" sheetId="31" r:id="rId34"/>
    <sheet state="visible" name="FMC" sheetId="32" r:id="rId35"/>
    <sheet state="hidden" name="TO DO LIST" sheetId="33" r:id="rId36"/>
    <sheet state="visible" name="UNMODELLED" sheetId="34" r:id="rId37"/>
    <sheet state="visible" name="NAVs_Till 29 Jun 2021" sheetId="35" r:id="rId38"/>
  </sheets>
  <definedNames>
    <definedName name="HDFC_ULPensionMaximiserII_Admin">ADMIN!$A$75:$AE$77</definedName>
    <definedName name="TATA_INVESTASSURESUPERSTAR_PAC">PAC!$A$1458:$G$1464</definedName>
    <definedName name="ICICI_WEALTHBUILDERII_ADMIN">ADMIN!$A$586:$AE$588</definedName>
    <definedName name="if_mbhp_pac">PAC!$A$510:$B$512</definedName>
    <definedName name="ICICI_ASSUREPENSION_ADMIN">ADMIN!$A$707:$AE$709</definedName>
    <definedName name="HDFC_EndowmentSupremeSuvidha_Admin">ADMIN!$A$95:$AE$97</definedName>
    <definedName name="ICICI_LIFELINKII_PAC">PAC!$A$867:$B$870</definedName>
    <definedName name="MAX_UNITBUILDERPLUS_PAC">PAC!$A$653:$B$657</definedName>
    <definedName name="MAX_MAKERPREMINVPLAN_PAC">PAC!$A$572:$E$577</definedName>
    <definedName name="TATA_INVESTASSUREFUTURE_PAC">PAC!$A$1412:$B$1416</definedName>
    <definedName name="ICICI_SMARTKIDNEWULSP_ADMIN">ADMIN!$A$882:$AE$884</definedName>
    <definedName name="ICICI_ELITELIFESUPER_ADMIN">ADMIN!$A$550:$AE$552</definedName>
    <definedName name="HDFC_SLYoungstarSuperII_PAC">PAC!$A$249:$B$257</definedName>
    <definedName name="HDFC_ULENDOWMENTSUVIDHA_ADMIN">ADMIN!$A$245:$AE$247</definedName>
    <definedName name="ICICI_CASHPLUS_ADMIN">ADMIN!$A$508:$AE$510</definedName>
    <definedName name="BhartiAxa_MeritPlus_PAC">PAC!$A$1955:$B$1961</definedName>
    <definedName name="HDFC_SLProGrowthMaximiser_Admin">ADMIN!$A$155:$AE$157</definedName>
    <definedName name="BhartiAxa_InvestSmart_Admin">ADMIN!$A$1474:$AE$1476</definedName>
    <definedName name="IF_SAVINGSPLAN_PAC">PAC!$A$468:$B$479</definedName>
    <definedName name="BhartiAxa_AspireLife_PAC">PAC!$A$1916:$L$1918</definedName>
    <definedName name="TATA_INVESTASSUREFLEXIPLUS_PAC">PAC!$A$1489:$G$1494</definedName>
    <definedName name="max_fasttracksuper_pac">PAC!$A$733:$B$744</definedName>
    <definedName name="PNBMETLIFE_SMARTCHILD_ADMIN">ADMIN!$A$1302:$AE$1304</definedName>
    <definedName name="HDFC_SLPensionsMaxius_Admin">ADMIN!$A$170:$AE$172</definedName>
    <definedName name="TATA_LAKSHYAPLUS_PAC">PAC!$A$1483:$B$1485</definedName>
    <definedName name="IF_YOUNGINDIA_PAC">PAC!$A$492:$B$497</definedName>
    <definedName name="PNBMETLIFE_DHANSAMRIDDHI_ADMIN">ADMIN!$A$1308:$AE$1310</definedName>
    <definedName name="TATA_SURAKSHAKOSHSUP_PAC">PAC!$A$1636:$B$1652</definedName>
    <definedName name="HDFC_ULENDOWMENTPLUSII_PAC">PAC!$A$58:$D$63</definedName>
    <definedName name="TATA_INVESTASSUREAPEXSUPREME_ADMIN">ADMIN!$A$1152:$AE$1154</definedName>
    <definedName name="IF_SMARTSAVEPLAN_ADMIN">ADMIN!$A$295:$AE$297</definedName>
    <definedName name="ICICI_ELITEPENSION_ADMIN">ADMIN!$A$785:$AE$787</definedName>
    <definedName name="HDFC_AssuredPension_PAC">PAC!$A$419:$B$425</definedName>
    <definedName name="TATA_WEALTHMAXIMA_PAC">PAC!$A$1692:$L$1694</definedName>
    <definedName name="MAX_MAXISSUPER_PAC">PAC!$A$723:$B$729</definedName>
    <definedName name="MAX_FLEXIWEALTHPLUS_ADMIN">ADMIN!$A$497:$AE$499</definedName>
    <definedName name="TATA_INVESTASSUREGOLD_PAC">PAC!$A$1380:$B$1391</definedName>
    <definedName name="TATA_INVESTASSUREINSTAPLUSADV_ADMIN">ADMIN!$A$1116:$AE$1118</definedName>
    <definedName name="HDFC_PENSIONSUPREME_PAC">PAC!$A$193:$G$197</definedName>
    <definedName name="BhartiAxa_MeritPlusEdge_PAC">PAC!$A$2001:$B$2007</definedName>
    <definedName name="GROWTH_RATE">'Pre-Calculation'!$E$8</definedName>
    <definedName name="PW">INPUT!$D$14</definedName>
    <definedName name="TATA_INVESTASSUREGOLDPLUS_PAC">PAC!$A$1520:$B$1526</definedName>
    <definedName name="TATA_INVESTASSUREOPTIMA_ADMIN">ADMIN!$A$1020:$AE$1022</definedName>
    <definedName name="HDFC_SinglePremiumPensionSuper_Admin">ADMIN!$A$190:$AE$192</definedName>
    <definedName name="HDFC_ULYOUNGSTARPLUS_PAC">PAC!$A$13:$C$18</definedName>
    <definedName name="ICICI_INVESTSHIELDCASHBAK_PAC">PAC!$A$1338:$B$1341</definedName>
    <definedName name="MAX_SMARTSTEPSPLUS_ADMIN">ADMIN!$A$361:$AE$363</definedName>
    <definedName name="HDFC_ULYOUNGSTARSUPREMESUVIDHA_PAC">PAC!$A$176:$B$182</definedName>
    <definedName name="ICICI_EASYRETIREMENT_ADMIN">ADMIN!$A$612:$AE$614</definedName>
    <definedName localSheetId="17" name="POL_YR">Cashflows_Backtesting!$B$7:$B$302</definedName>
    <definedName name="BhartiAxa_MeritPlus_Admin">ADMIN!$A$1391:$AE$1393</definedName>
    <definedName name="BhartiAxa_FutureSecurePension_PAC">PAC!$A$1964:$B$1969</definedName>
    <definedName name="BhartiAxa_SpotGuaranteeBuilder_Admin">ADMIN!$A$1385:$AE$1387</definedName>
    <definedName name="TATA_FORTUNEMAXIMA_ADMIN">ADMIN!$A$1212:$AE$1214</definedName>
    <definedName name="TATA_INVESTASSUREEXTRA_PAC">PAC!$A$1395:$B$1398</definedName>
    <definedName name="HDFC_ULYOUNGSTARPLUS_ADMIN">ADMIN!$A$225:$AE$227</definedName>
    <definedName name="HDFC_LIFECLASSICONE_PAC">PAC!$A$73:$B$75</definedName>
    <definedName name="ICICI_WEALTHBUILDER_ADMIN">ADMIN!$A$624:$AE$626</definedName>
    <definedName name="PNBMETLIFE_MERAWEALTH_PAC">PAC!$A$1856:$G$1859</definedName>
    <definedName name="TATA_SURAKSHAKOSH_ADMIN">ADMIN!$A$1188:$AE$1190</definedName>
    <definedName name="HDFC_WEALTHBUILDER_PAC">PAC!$A$186:$G$189</definedName>
    <definedName name="PNBMETLIFE_SMARTPREMIERSP_PAC">PAC!$A$1766:$B$1768</definedName>
    <definedName name="HDFC_YoungStarII_Admin">ADMIN!$A$39:$AE$41</definedName>
    <definedName name="A1368BhartiAxa_SpotSuraksha_Admin">ADMIN!$A$1368:$AE$1370</definedName>
    <definedName name="HDFC_PensionSuperPlus_Admin">ADMIN!$A$185:$AE$187</definedName>
    <definedName name="ICICI_PREMIERLIFEGOLD_ADMIN">ADMIN!$A$888:$AE$890</definedName>
    <definedName name="ICICI_LIFELINKSUPERPENSION_ADMIN">ADMIN!$A$839:$AE$841</definedName>
    <definedName name="HDFC_SampoornaNivesh_PAC">PAC!$A$411:$G$415</definedName>
    <definedName name="HDFC_YoungStarSuper_Admin">ADMIN!$A$54:$AE$56</definedName>
    <definedName name="TATA_LAKSHYAPLUS_ADMIN">ADMIN!$A$1062:$AE$1064</definedName>
    <definedName localSheetId="17" name="Policy_Year">Cashflows_Backtesting!$B$6:$B$463</definedName>
    <definedName name="MAX_SMARTEXPRESS02_ADMIN">ADMIN!$A$396:$AE$398</definedName>
    <definedName name="HDFC_SLProGrowthSuperII_Admin">ADMIN!$A$150:$AE$152</definedName>
    <definedName name="BhartiAxa_BrightStarEdge_PAC">PAC!$A$2056:$B$2069</definedName>
    <definedName name="ICICI_LIFELINK_PAC">PAC!$A$806:$B$810</definedName>
    <definedName name="TATA_INVESTASSUREPLUS_PAC">PAC!$A$1366:$C$1370</definedName>
    <definedName name="HDFC_ULENDOWMENTSUVIDHA_PAC">PAC!$A$36:$B$38</definedName>
    <definedName name="TATA_SMARTSAMPOORNARAKSHA_PAC">PAC!$A$1718:$B$1722</definedName>
    <definedName name="HDFC_ULWEALTHMULTIPLIER_PAC">PAC!$A$134:$B$138</definedName>
    <definedName name="HDFC_ULENHANCEDLIFEPROTECTIONII_PAC">PAC!$A$48:$D$53</definedName>
    <definedName name="ICICI_ELITEWEALTHII_ADMIN">ADMIN!$A$580:$AE$582</definedName>
    <definedName name="ICICI_SMARTKIDMAXIMA_PAC">PAC!$A$1116:$B$1122</definedName>
    <definedName name="HDFC_ULENDOWMENTSUPER_PAC">PAC!$A$150:$E$154</definedName>
    <definedName name="IF_FUTUREPLAN_ADMIN">ADMIN!$A$285:$AE$287</definedName>
    <definedName name="PNBMETLIFE_EASYPLUS_ADMIN">ADMIN!$A$1278:$AE$1280</definedName>
    <definedName name="ICICI_SMARTKIDPREMIER_ADMIN">ADMIN!$A$660:$AE$662</definedName>
    <definedName name="Mod_Prem">INPUT!$C$6</definedName>
    <definedName name="BhartiAxa_SwarnaBhavishya_PAC">PAC!$A$2015:$B$2021</definedName>
    <definedName name="TATA_INVESTASSUREAPEX_ADMIN">ADMIN!$A$1026:$AE$1028</definedName>
    <definedName name="TATA_SURAKSHAKOSH_PAC">PAC!$A$1616:$B$1632</definedName>
    <definedName name="Prem_Freq">INPUT!$C$7</definedName>
    <definedName name="TATA_INVESTASSUREHEALTH_ADMIN">ADMIN!$A$1014:$AE$1016</definedName>
    <definedName name="BhartiAxa_GrowWealth_Admin">ADMIN!$A$1450:$AE$1452</definedName>
    <definedName name="IF_FUTUREPLAN_PAC">PAC!$A$460:$B$464</definedName>
    <definedName name="ICICI_SECURESAVER_PAC">PAC!$A$1225:$B$1227</definedName>
    <definedName name="HDFC_SmartWomen_PAC">PAC!$A$306:$B$317</definedName>
    <definedName name="HDFC_SLProGrowthFlexi_Admin">ADMIN!$A$165:$AE$167</definedName>
    <definedName name="IF_HIGHLIFEPLAN_PAC">PAC!$A$516:$B$521</definedName>
    <definedName name="HDFC_PENSIONCHAMPION_PAC">PAC!$A$207:$B$209</definedName>
    <definedName name="IF_HAPPYINDIA_ADMIN">ADMIN!$A$305:$AE$307</definedName>
    <definedName name="ICICI_SMARTKIDPREMIER_PAC">PAC!$A$1038:$B$1040</definedName>
    <definedName name="BhartiAxa_DreamLifePensionPlan_Admin">ADMIN!$A$1362:$AE$1364</definedName>
    <definedName name="HDFC_SIMPLILIFE0203_PAC">PAC!$D$78:$E$82</definedName>
    <definedName name="HDFC_ULYOUNGSTARSUVIDHA_ADMIN">ADMIN!$A$235:$AE$237</definedName>
    <definedName name="TATA_GYANKOSH_ADMIN">ADMIN!$A$1176:$AE$1178</definedName>
    <definedName name="ICICI_ELITEPENSIONII_PAC">PAC!$A$1147:$B$1149</definedName>
    <definedName name="IF_MONEYBALANCEPLAN_PAC">PAC!$A$525:$B$530</definedName>
    <definedName name="MAX_MAKERGOLD_ADMIN">ADMIN!$A$502:$AE$504</definedName>
    <definedName name="HDFC_LifeInvestWise_PAC">PAC!$A$346:$B$348</definedName>
    <definedName name="PNBMETLIFE_ADVANTAGEPLUS_ADMIN">ADMIN!$A$1260:$AE$1262</definedName>
    <definedName name="ICICI_LIFESTAGEWEALTH_ADMIN">ADMIN!$A$702:$AE$703</definedName>
    <definedName name="ICICI_LIFELINKPENSIONSP_PAC">PAC!$A$1059:$B$1061</definedName>
    <definedName name="ICICI_LIFETIMECLASSIC_ADMIN">ADMIN!$A$556:$AE$558</definedName>
    <definedName name="HDFC_SLYoungStarSuperPremium_Admin">ADMIN!$A$160:$AE$162</definedName>
    <definedName name="HDFC_PENSIONMAXIMISERII_PAC">PAC!$A$111:$B$115</definedName>
    <definedName localSheetId="13" name="Policy_Year">Cashflows_HIST!$B$6:$B$463</definedName>
    <definedName name="BhartiAxa_TrueWealth_Admin">ADMIN!$A$1486:$AE$1488</definedName>
    <definedName name="ICICI_PINNACLESUPER_ADMIN">ADMIN!$A$648:$AE$650</definedName>
    <definedName name="BhartiAxa_SpotSuraksha_PAC">PAC!$A$1927:$G$1929</definedName>
    <definedName name="MAX_FORTUNEBUILDER_ADMIN">ADMIN!$A$427:$AE$429</definedName>
    <definedName name="TATA_UBPLUS_PAC">PAC!$A$1530:$L$1534</definedName>
    <definedName name="Mode">INPUT!$C$7</definedName>
    <definedName name="MAX_SMARTINVESTPENSIONPLUS_ADMIN">ADMIN!$A$919:$AE$921</definedName>
    <definedName name="PNBMETLIFE_PENSIONPLUS_PAC">PAC!$A$1815:$B$1818</definedName>
    <definedName name="BhartiAxa_eFutureInvest_Admin">ADMIN!$A$1456:$K$1458</definedName>
    <definedName name="TATA_INVESTASSURESAMPATTI_ADMIN">ADMIN!$A$1038:$AE$1040</definedName>
    <definedName name="PNBMETLIFE_SMARTONE_PAC">PAC!$A$1828:$B$1830</definedName>
    <definedName name="TATA_SUPERACHIEVER_PAC">PAC!$A$1704:$B$1714</definedName>
    <definedName name="HDFC_SINGLEPREMIUMPENSIONSUPER_PAC">PAC!$A$364:$B$366</definedName>
    <definedName name="ICICI_ELITEWEALTHSUPER_PAC">PAC!$A$909:$B$917</definedName>
    <definedName name="GROWTH_RATE_L">'Pre-Calculation'!$E$9</definedName>
    <definedName name="IF_EDUCATIONPLAN_PAC">PAC!$A$445:$B$456</definedName>
    <definedName name="ICICI_STAGEASSURE_PAC">PAC!$A$1300:$B$1311</definedName>
    <definedName name="NamedRange1">ADMIN!$A$586:$AE$588</definedName>
    <definedName name="HDFC_ULENDOWMENTII_PAC">PAC!$A$94:$D$99</definedName>
    <definedName name="HDFC_SLProgrowthFlexi_PAC">PAC!$A$289:$B$295</definedName>
    <definedName name="ICICI_ELITEPENSION_PAC">PAC!$A$1186:$B$1189</definedName>
    <definedName name="PNBMETLIFE_SMARTPLATINUMPLUS_PAC">PAC!$A$1878:$B$1889</definedName>
    <definedName name="PNBMETLIFE_SMARTPLUS_PAC">PAC!$A$1731:$L$1734</definedName>
    <definedName name="HDFC_ULENDOWMENT_PAC">PAC!$A$387:$D$392</definedName>
    <definedName name="ICICI_INVESTSHIELDCASH_ADMIN">ADMIN!$A$791:$AE$793</definedName>
    <definedName name="HDFC_ULENDOWMENTPLUS_PAC">PAC!$A$3:$C$8</definedName>
    <definedName name="HDFC_ULPENSIONPLUS_PAC">PAC!$A$355:$C$360</definedName>
    <definedName name="HDFC_PensionSupreme_Admin">ADMIN!$A$105:$AE$107</definedName>
    <definedName name="TATA_INVESTASSUREPLUS_ADMIN">ADMIN!$A$972:$AE$974</definedName>
    <definedName name="HDFC_ULPENSIONMAXIMISERII_PAC">PAC!$A$200:$B$202</definedName>
    <definedName name="ICICI_PREMIERWELATH_PAC">PAC!$A$1163:$B$1167</definedName>
    <definedName name="ICICI_SIGNATURE_PAC">PAC!$A$894:$B$905</definedName>
    <definedName name="BhartiAxa_AspireLifePlus_PAC">PAC!$A$1981:$B$1987</definedName>
    <definedName localSheetId="13" name="P_Y">Cashflows_HIST!$B$4:$B$255</definedName>
    <definedName name="HDFC_PENSIONSUPER_PAC">PAC!$A$329:$E$333</definedName>
    <definedName name="HDFC_YoundStarSuperSuvidha_Admin">ADMIN!$A$64:$AE$66</definedName>
    <definedName name="BhartiAxa_FutureSecurePension_Admin">ADMIN!$A$1397:$AE$1399</definedName>
    <definedName name="MAX_TOPGEAR_PAC">PAC!$A$688:$B$689</definedName>
    <definedName name="TATA_INVESTASSUREGOLDPLUS_ADMIN">ADMIN!$A$1122:$AE$1124</definedName>
    <definedName name="IF_MONEYBALANCEPLAN_ADMIN">ADMIN!$A$320:$AE$322</definedName>
    <definedName name="PNBMETLIFE_SMARTPLUSSP_PAC">PAC!$A$1760:$B$1762</definedName>
    <definedName name="HDFC_SIMPLILIFE01_PAC">PAC!$A$78:$B$82</definedName>
    <definedName name="MAX_MAKERPENSIONPLAN_PAC">PAC!$A$551:$B$554</definedName>
    <definedName name="TATA_INVESTASSUREOPTIMAPLUS_PAC">PAC!$A$1468:$B$1472</definedName>
    <definedName name="MAX_FLEXIFORTUNE_ADMIN">ADMIN!$A$452:$AE$454</definedName>
    <definedName name="MAX_MAKERPREMINVPLAN_ADMIN">ADMIN!$A$346:$AE$348</definedName>
    <definedName name="ICICI_PINNACLE_PAC">PAC!$A$1179:$B$1182</definedName>
    <definedName name="HDFC_PROGROWTHPLUS05_PAC">PAC!$D$299:$E$302</definedName>
    <definedName name="HDFC_AssuredPension_Admin">ADMIN!$A$205:$AJ$207</definedName>
    <definedName name="DR">'Pre-Calculation'!$E$14</definedName>
    <definedName name="HDFC_ULPENSIONPLUS_ADMIN">ADMIN!$A$220:$AE$222</definedName>
    <definedName name="MAX_SHIKSHAPLUSSUPER_PAC">PAC!$A$748:$B$759</definedName>
    <definedName name="PNBMETLIFE_SMARTPLATINUM_ADMIN">ADMIN!$A$1290:$AE$1292</definedName>
    <definedName name="MAX_UNITBUILDER_PAC">PAC!$A$630:$B$634</definedName>
    <definedName name="BhartiAxa_WealthPro_Admin">ADMIN!$A$1444:$AE$1446</definedName>
    <definedName name="HDFC_EndowmentWinner_Admin">ADMIN!$A$80:$AE$82</definedName>
    <definedName name="MAX_SHUBHINVEST_PAC">PAC!$A$670:$B$672</definedName>
    <definedName name="HDFC_SLProgrowthSuperII_PAC">PAC!$A$260:$B$268</definedName>
    <definedName name="HDFC_EnhancedLifeProtectionII_Admin">ADMIN!$A$12:$AE$14</definedName>
    <definedName name="PNBMETLIFE_LITTLESTAR_ADMIN">ADMIN!$A$1272:$AE$1274</definedName>
    <definedName name="HDFC_ULYOUNGSTARSUVIDHA_PAC">PAC!$A$23:$B$26</definedName>
    <definedName name="MAX_FLEXIFORTUNE_PAC">PAC!$A$682:$B$684</definedName>
    <definedName name="PNBMETLIFE_MERAWEALTH_ADMIN">ADMIN!$A$1314:$AE$1316</definedName>
    <definedName name="TATA_APEXPENSION15_ADMIN">ADMIN!$A$1086:$AE$1088</definedName>
    <definedName name="BhartiAxa_FutureConfidentII_Admin">ADMIN!$A$1344:$AE$1346</definedName>
    <definedName name="TATA_JEEVANLAKSHYA_PAC">PAC!$A$1452:$B$1454</definedName>
    <definedName name="ICICI_LIFETIMEII_ADMIN">ADMIN!$A$924:$AE$926</definedName>
    <definedName name="TATA_INVESTASSUREFLEXIPLUS_ADMIN">ADMIN!$A$1068:$AE$1070</definedName>
    <definedName name="BhartiAxa_FutureConfident_PAC">PAC!$A$1899:$L$1901</definedName>
    <definedName name="HDFC_WEALTHMAXIMISERPLUS_ADMIN">ADMIN!$A$255:$AE$257</definedName>
    <definedName name="HDFC_CAPITALSHIELD02_AC">PAC!$D$429:$E$435</definedName>
    <definedName name="HDFC_PensionMaximiserII_Admin">ADMIN!$A$110:$AE$112</definedName>
    <definedName localSheetId="16" name="POL_YR">'Cashflows_4% from Start'!$B$7:$B$302</definedName>
    <definedName name="HDFC_ULWEALTHMAXIMISERPLUS_PAC">PAC!$A$85:$B$90</definedName>
    <definedName name="BhartiAxa_DreamLifePensionPlanPlus_PAC">PAC!$A$2010:$F$2012</definedName>
    <definedName name="ICICI_SMARTKIDNEWULRP_PAC">PAC!$A$1269:$L$1272</definedName>
    <definedName name="HDFC_ClassicOne_Admin">ADMIN!$A$215:$AE$217</definedName>
    <definedName name="ICICI_ASSURELIFE_PAC">PAC!$A$1209:$B$1215</definedName>
    <definedName name="HDFC_ULYOUNGSTARSUPERSUVIDHA_PAC">PAC!$A$158:$B$162</definedName>
    <definedName name="TATA_INVESTASSUREGOLDSUPREME_ADMIN">ADMIN!$A$1164:$AE$1166</definedName>
    <definedName name="TATA_INVESTASSUREINSTAPLUS_ADMIN">ADMIN!$A$1074:$AE$1076</definedName>
    <definedName name="MAX_UINTBUILDERPLUS_ADMIN">ADMIN!$A$422:$AE$424</definedName>
    <definedName name="TATA_FORTUNEPRO_PAC">PAC!$A$1662:$B$1673</definedName>
    <definedName name="ICICI_ELITELIFESUPER_PAC">PAC!$A$921:$B$929</definedName>
    <definedName name="MAX_SHUBHINVEST_ADMIN">ADMIN!$A$437:$AE$439</definedName>
    <definedName name="ICICI_SMARTKIDULRP_PAC">PAC!$A$839:$E$841</definedName>
    <definedName name="BhartiAxa_TrueWealth_PAC">PAC!$A$2072:$B$2078</definedName>
    <definedName name="SA">INPUT!$C$5</definedName>
    <definedName name="ICICI_GUARANTEEDWEALTHPROTECTOR_ADMIN">ADMIN!$A$568:$AE$570</definedName>
    <definedName name="TATA_INVESTASSUREFUTURE_ADMIN">ADMIN!$A$1002:$AE$1004</definedName>
    <definedName name="MAX_SMARTINVESTPENSIONSUPER_ADMIN">ADMIN!$A$413:$AE$415</definedName>
    <definedName localSheetId="13" name="POL_YR">Cashflows_HIST!$B$7:$B$302</definedName>
    <definedName name="PNBMETLIFE_SMARTPREMIER_PAC">PAC!$A$1738:$L$1741</definedName>
    <definedName name="TATA_INVESTASSUREOPTIMAPLUS_ADMIN">ADMIN!$A$1050:$AE$1052</definedName>
    <definedName name="RCD">INPUT!$C$8</definedName>
    <definedName name="ICICI_ANMOLNIVESH_ADMIN">ADMIN!$A$845:$AE$847</definedName>
    <definedName name="HDFC_PensionSuper_Admin">ADMIN!$A$49:$AE$51</definedName>
    <definedName name="ICICI_LIFELINKPENSIONSP_ADMIN">ADMIN!$A$672:$AE$674</definedName>
    <definedName name="HDFC_SLProgrowthMaximiser_PAC">PAC!$A$271:$B$273</definedName>
    <definedName name="MAX_FLEXIWEALTHPLUS_PAC">PAC!$A$778:$B$789</definedName>
    <definedName name="TATA_INVESTASSUREPLUSSUPREME_ADMIN">ADMIN!$A$1146:$AE$1148</definedName>
    <definedName name="PNBMETLIFE_SMARTGOLD_PAC">PAC!$A$1778:$L$1781</definedName>
    <definedName name="TATA_WEALTHPRO_PAC">PAC!$A$1656:$L$1658</definedName>
    <definedName name="ICICI_LIFETIMEPLUS_ADMIN">ADMIN!$A$833:$AE$835</definedName>
    <definedName name="TATA_INVESTASSUREII_PAC">PAC!$A$1374:$B$1376</definedName>
    <definedName name="BhartiAxa_BrightStars_Admin">ADMIN!$A$1374:$AE$1376</definedName>
    <definedName localSheetId="16" name="P_Y">'Cashflows_4% from Start'!$B$4:$B$255</definedName>
    <definedName name="MAX_SMARTSTEPS_PAC">PAC!$A$588:$B$593</definedName>
    <definedName name="HDFC_YoungStarPlusII_Admin">ADMIN!$A$24:$AE$26</definedName>
    <definedName name="MAX_FASTTRACKSUPER_ADMIN">ADMIN!$A$482:$AE$484</definedName>
    <definedName name="TATA_GYANKOSH_PAC">PAC!$A$1604:$Q$1606</definedName>
    <definedName name="MAX_SMARTSTEPSSP_ADMIN">ADMIN!$A$366:$AE$368</definedName>
    <definedName name="HDFC_YoungStarChampionSuvidha_Admin">ADMIN!$A$125:$AE$127</definedName>
    <definedName name="MAX_SMARTASSURE_ADMIN">ADMIN!$A$381:$AE$383</definedName>
    <definedName name="TATA_INVESTASSUREFLEXISUP_ADMIN">ADMIN!$A$1134:$AE$1136</definedName>
    <definedName name="TATA_FORTUNEMAXIMA_PAC">PAC!$A$1677:$B$1688</definedName>
    <definedName name="TATA_SWARNAPRATIGYA_PAC">PAC!$A$1582:$B$1584</definedName>
    <definedName name="MAX_SMARTEXPRESS_ADMIN">ADMIN!$A$391:$AE$393</definedName>
    <definedName name="TATA_INVESTASSUREMAXIMIZER_PAC">PAC!$A$1596:$B$1600</definedName>
    <definedName name="HDFC_YoungStarSupreme_Admin">ADMIN!$A$130:$AE$132</definedName>
    <definedName name="Tax">'Pre-Calculation'!$D$11</definedName>
    <definedName name="ICICI_ELITEWEALTH_PAC">PAC!$A$1013:$B$1014</definedName>
    <definedName name="ICICI_LIFETIMEII_PAC">PAC!$A$853:$L$857</definedName>
    <definedName name="ICICI_LIFELINKWEALTHSP_PAC">PAC!$A$1098:$B$1100</definedName>
    <definedName name="ICICI_SPBOND_PAC">PAC!$A$800:$E$802</definedName>
    <definedName name="HDFC_ULYOUNGSTARSUPER_PAC">PAC!$A$142:$E$146</definedName>
    <definedName name="HDFC_ULYOUNGSTARII_PAC">PAC!$A$371:$D$376</definedName>
    <definedName name="ICICI_ELITEWEALTH_ADMIN">ADMIN!$A$630:$AE$632</definedName>
    <definedName name="MAX_SMARTSTEPS_ADMIN">ADMIN!$A$356:$AE$358</definedName>
    <definedName name="ICICI_PINNACLEII_PAC">PAC!$A$1050:$B$1055</definedName>
    <definedName name="ICICI_SHUBHRETIREMENT_PAC">PAC!$A$1361:$B$1362</definedName>
    <definedName name="ICICI_INVESTEASY_PAC">PAC!$A$1023:$B$1025</definedName>
    <definedName name="MAX_SMARTEXPRESS_PAC">PAC!$A$638:$C$641</definedName>
    <definedName name="ICICI_INVESTSHIELDLIFENEW_ADMIN">ADMIN!$A$900:$AE$902</definedName>
    <definedName name="HDFC_PENSIONSUPERPLUS01_PAC">PAC!$D$396:$E$407</definedName>
    <definedName name="MAX_MAKERGOLD_PAC">PAC!$A$793:$B$796</definedName>
    <definedName name="HDFC_SLCrest_Admin">ADMIN!$A$140:$AE$142</definedName>
    <definedName name="ICICI_PREMIERLIFEPENSION_ADMIN">ADMIN!$A$906:$AE$908</definedName>
    <definedName name="BhartiAxa_WealthConfident_Admin">ADMIN!$A$1332:$AE$1334</definedName>
    <definedName name="MAX_CAPITALBUILDER_ADMIN">ADMIN!$A$376:$AE$377</definedName>
    <definedName name="ICICI_ELITELIFE_PAC">PAC!$A$1018:$B$1019</definedName>
    <definedName name="ICICI_LIFETIMEPENSION_PAC">PAC!$A$1092:$D$1094</definedName>
    <definedName name="HDFC_ULYOUNGSTARSUVIDHAPLUS_ADMIN">ADMIN!$A$240:$AE$242</definedName>
    <definedName name="MAX_MARKERULINVESTMENTPLAN_ADMIN">ADMIN!$A$966:$AE$968</definedName>
    <definedName name="TATA_INVESTASSUREFLEXI_PAC">PAC!$A$1402:$G$1408</definedName>
    <definedName name="ICICI_PREMIERLIFEGOLD_PAC">PAC!$A$1331:$B$1334</definedName>
    <definedName name="ICICI_LIFETIMEGOLD_PAC">PAC!$A$1315:$D$1319</definedName>
    <definedName name="TATA_INVESTASSUREAPEXPLUS_PAC">PAC!$A$1504:$B$1508</definedName>
    <definedName name="MAX_MAXIS_ADMIN">ADMIN!$A$467:$AE$469</definedName>
    <definedName name="TATA_INVESTASSURESWARNAJEEVANPLUS_ADMIN">ADMIN!$A$1056:$AE$1058</definedName>
    <definedName name="MAX_MAKERPENSIONPLAN_ADMIN">ADMIN!$A$330:$AE$332</definedName>
    <definedName name="ICICI_SMARTLIFE_PAC">PAC!$A$945:$B$951</definedName>
    <definedName name="TATA_LAKSHYASUPREME_ADMIN">ADMIN!$A$1140:$AE$1142</definedName>
    <definedName name="HDFC_PensionSuperPlus_PAC">PAC!$A$396:$B$407</definedName>
    <definedName name="HDFC_CapitalShield_Admin">ADMIN!$A$210:$AE$212</definedName>
    <definedName name="FMC">'Pre-Calculation'!$E$10</definedName>
    <definedName name="ICICI_SIGNATURE01_ADMIN">ADMIN!$A$538:$AE$540</definedName>
    <definedName name="ICICI_SHUBHRETIREMENTSP_ADMIN">ADMIN!$A$618:$AE$620</definedName>
    <definedName name="HDFC_EndowmentSuper_Admin">ADMIN!$A$59:$AE$61</definedName>
    <definedName name="ICICI_INVESTSHIELDPENSION_ADMIN">ADMIN!$A$809:$AE$811</definedName>
    <definedName name="ICICI_WEALTHADV_PAC">PAC!$A$1292:$B$1296</definedName>
    <definedName name="HDFC_SimpliLife0203_Admin">ADMIN!$A$34:$AE$36</definedName>
    <definedName name="MAX_SHIKSHAPLUSII_ADMIN">ADMIN!$A$442:$AE$444</definedName>
    <definedName name="IF_YOUNGINDIA_ADMIN">ADMIN!$A$300:$AE$302</definedName>
    <definedName name="BhartiAxa_BrightStarsPlus_PAC">PAC!$A$1990:$E$1992</definedName>
    <definedName name="ICICI_LIFELINKSUPER_PAC">PAC!$A$1238:$B$1242</definedName>
    <definedName name="BhartiAxa_ExpressSecure_PAC">PAC!$A$1972:$B$1978</definedName>
    <definedName name="BhartiAxa_FutureInvest_Admin">ADMIN!$A$1462:$K$1464</definedName>
    <definedName name="MAX_FOREVERYOUNGPENSION_PAC">PAC!$A$708:$B$719</definedName>
    <definedName name="HDFC_LifeInvestWise_Admin">ADMIN!$A$7:$AE$9</definedName>
    <definedName name="Annual_Prem">'Pre-Calculation'!$D$7</definedName>
    <definedName name="ICICI_INVESTSHIELDLIFENEW_PAC">PAC!$A$1345:$B$1348</definedName>
    <definedName name="TATA_INVESTASSUREIIPLUS_ADMIN">ADMIN!$A$1104:$AE$1106</definedName>
    <definedName localSheetId="12" name="POL_YR">'Cashflows_4%'!$B$7:$B$302</definedName>
    <definedName name="HDFC_PENSIONPLAN_PAC">PAC!$A$439:$B$441</definedName>
    <definedName name="TATA_WEALTHMAXIMA_ADMIN">ADMIN!$A$1218:$AE$1220</definedName>
    <definedName name="HDFC_EndowmentChampionSuvidha_Admin">ADMIN!$A$135:$AE$137</definedName>
    <definedName name="IF_EDUCATIONPLAN_ADMIN">ADMIN!$A$280:$AE$282</definedName>
    <definedName name="ICICI_PREMIERLIFE_ADMIN">ADMIN!$A$954:$AE$956</definedName>
    <definedName name="BhartiAxa_LifeInvestConfident_Admin">ADMIN!$A$1350:$AE$1352</definedName>
    <definedName name="ICICI_LIFESTAGEPENSIONADV_ADMIN">ADMIN!$A$737:$AE$739</definedName>
    <definedName name="ICICI_LIFETIMEMAXIMA_ADMIN">ADMIN!$A$769:$AE$771</definedName>
    <definedName name="ICICI_SECUREPLUSPENSION_PAC">PAC!$A$831:$B$835</definedName>
    <definedName name="TATA_INVESTASSUREGOLD_ADMIN">ADMIN!$A$984:$AE$986</definedName>
    <definedName localSheetId="14" name="Policy_Year">'Cashflows_Bond Fund'!$B$6:$B$463</definedName>
    <definedName name="ICICI_LIFETIMESUPER_PAC">PAC!$A$1255:$D$1257</definedName>
    <definedName localSheetId="15" name="Policy_Year">'Cashflows_8% from Start'!$B$6:$B$463</definedName>
    <definedName name="HDFC_ULENDOWMENTWINNER_PAC">PAC!$A$119:$B$122</definedName>
    <definedName name="ICICI_SMARTKIDSPII_PAC">PAC!$A$881:$B$884</definedName>
    <definedName name="ICICI_SMARTLIFE_ADMIN">ADMIN!$A$562:$AE$564</definedName>
    <definedName name="ICICI_LIFELINKSUPERPENSION_PAC">PAC!$A$1261:$B$1265</definedName>
    <definedName localSheetId="15" name="POL_YR">'Cashflows_8% from Start'!$B$7:$B$302</definedName>
    <definedName name="TATA_INVESTASSURESUPERSTAR_ADMIN">ADMIN!$A$1044:$AE$1046</definedName>
    <definedName name="ICICI_ELITELIFEII_ADMIN">ADMIN!$A$574:$AE$576</definedName>
    <definedName name="ICICI_STAGEASSURE_ADMIN">ADMIN!$A$863:$AE$865</definedName>
    <definedName name="TATA_INVESTASSUREFLEXI_ADMIN">ADMIN!$A$996:$AE$998</definedName>
    <definedName name="MAX_MAKERPLATINUM_ADMIN">ADMIN!$A$351:$AE$353</definedName>
    <definedName name="HDFC_ULENDOWMENTSUVIDHAPLUS_PAC">PAC!$A$42:$B$44</definedName>
    <definedName localSheetId="12" name="P_Y">'Cashflows_4%'!$B$4:$B$255</definedName>
    <definedName name="TATA_APEXPENSION_ADMIN">ADMIN!$A$1098:$AE$1100</definedName>
    <definedName name="MAX_AMSUREMAGICBUILDER_ADMIN">ADMIN!$A$401:$AE$403</definedName>
    <definedName name="TATA_UBPLUS_ADMIN">ADMIN!$A$1128:$AE$1130</definedName>
    <definedName name="ICICI_INVESTSHIELDPENSION_PAC">PAC!$A$1219:$L$1221</definedName>
    <definedName name="ICICI_INVESTSHIELDLIFE_PAC">PAC!$A$1201:$D$1205</definedName>
    <definedName name="ICICI_ASSURELIFE_ADMIN">ADMIN!$A$803:$AE$805</definedName>
    <definedName name="P_Y">'Cashflows_8%'!$B$4:$B$255</definedName>
    <definedName name="ICICI_LIFELINKPENSION_PAC">PAC!$A$1065:$B$1069</definedName>
    <definedName name="TATA_INVESTASSURECARE_ADMIN">ADMIN!$A$1008:$AE$1010</definedName>
    <definedName name="HDFC_ENDOWMENTSUPERSUVIDHA_PAC">PAC!$A$321:$B$325</definedName>
    <definedName name="ICICI_ELITELIFEII_PAC">PAC!$A$966:$B$972</definedName>
    <definedName name="BhartiAxa_FutureConfidentII_PAC">PAC!$A$1904:$L$1906</definedName>
    <definedName name="BhartiAxa_ExpressSecure_Admin">ADMIN!$A$1403:$AE$1405</definedName>
    <definedName name="TATA_INVESTASSUREFLEXISUP_PAC">PAC!$A$1538:$Q$1540</definedName>
    <definedName name="ICICI_SMARTKIDNEWULSP_PAC">PAC!$A$1323:$B$1327</definedName>
    <definedName name="MAX_SMARTSTEPSSP_PAC">PAC!$A$606:$B$608</definedName>
    <definedName name="ICICI_ASSUREPENSION_PAC">PAC!$A$1126:$B$1128</definedName>
    <definedName name="TATA_SURAKSHAKOSHSUP_ADMIN">ADMIN!$A$1194:$AE$1196</definedName>
    <definedName name="ICICI_EASYRETIREMENTSP_ADMIN">ADMIN!$A$599:$AE$601</definedName>
    <definedName name="ICICI_LIFESTAGEWELATHII_PAC">PAC!$A$1044:$B$1046</definedName>
    <definedName name="HDFC_ULYOUNGSTARSUVIDHAPLUS_PAC">PAC!$A$30:$B$32</definedName>
    <definedName name="ICICI_LIFELINKII_ADMIN">ADMIN!$A$936:$AE$938</definedName>
    <definedName name="HDFC_YOUNGSTARSUPREME_PAC">PAC!$A$227:$G$231</definedName>
    <definedName name="TATA_INVESTASSUREPLUSSUPREME_PAC">PAC!$A$1559:$B$1562</definedName>
    <definedName name="PPT">INPUT!$C$12</definedName>
    <definedName name="MAX_MAKERULINVESTMENT_PAC">PAC!$A$544:$B$547</definedName>
    <definedName name="TATA_INVESTASSUREMAXIMIZER_ADMIN">ADMIN!$A$1170:$AE$1172</definedName>
    <definedName name="MAX_AMSUREMAGICBUILDER_PAC">PAC!$A$645:$B$649</definedName>
    <definedName name="BhartiAxa_WealthOne_Admin">ADMIN!$A$1492:$AE$1494</definedName>
    <definedName localSheetId="17" name="P_Y">Cashflows_Backtesting!$B$4:$B$255</definedName>
    <definedName name="ICICI_SMARTKIDSPII_ADMIN">ADMIN!$A$948:$AE$950</definedName>
    <definedName name="TATA_INVESTASSUREINSTAPLUSADV_PAC">PAC!$A$1512:$B$1516</definedName>
    <definedName name="TATA_SWARNABHAVISHYA_PAC">PAC!$A$1610:$L$1612</definedName>
    <definedName name="TATA_SUPERACHIEVER_ADMIN">ADMIN!$A$1230:$AE$1232</definedName>
    <definedName name="HDFC_ProGrowthPlus_Admin">ADMIN!$A$175:$AE$177</definedName>
    <definedName name="ICICI_PREMIERLIFEPENSION_PAC">PAC!$A$1352:$B$1357</definedName>
    <definedName name="BhartiAxa_GuaranteeBuilder_PAC">PAC!$A$1937:$B$1943</definedName>
    <definedName name="ICICI_SMARTKIDULSP_ADMIN">ADMIN!$A$526:$AE$528</definedName>
    <definedName name="MAX_SHIKSHAPLUSII_PAC">PAC!$A$676:$B$678</definedName>
    <definedName name="MAX_SMARTINVESTPENSION_ADMIN">ADMIN!$A$371:$AE$373</definedName>
    <definedName name="MAX_INVESTPLAN_PAC">PAC!$A$558:$B$562</definedName>
    <definedName name="ICICI_WELATHBUILDER_PAC">PAC!$A$986:$B$992</definedName>
    <definedName name="IF_SAVINGSPLAN_ADMIN">ADMIN!$A$290:$AE$292</definedName>
    <definedName name="PNBMETLIFE_DHANSAMRIDDHI_PAC">PAC!$A$1851:$B$1852</definedName>
    <definedName name="TATA_INVESTONE_PAC">PAC!$A$1698:$B$1700</definedName>
    <definedName name="BhartiAxa_FutureConfident_Admin">ADMIN!$A$1338:$AE$1340</definedName>
    <definedName name="ICICI_SIGNATURE_ADMIN">ADMIN!$A$532:$AE$534</definedName>
    <definedName name="TATA_INVESTASSUREAPEX_PAC">PAC!$A$1444:$B$1448</definedName>
    <definedName name="MAX_FASTTRACK_PAC">PAC!$A$693:$B$694</definedName>
    <definedName localSheetId="14" name="POL_YR">'Cashflows_Bond Fund'!$B$7:$B$302</definedName>
    <definedName name="MAX_SHIKSHAPLUS_ADMIN">ADMIN!$A$432:$AE$434</definedName>
    <definedName name="TATA_WEALTHPRO_ADMIN">ADMIN!$A$1200:$AE$1202</definedName>
    <definedName name="ICICI_GOLDENYEARS_PAC">PAC!$A$1231:$G$1234</definedName>
    <definedName name="ICICI_ELITEWEALTHII_PAC">PAC!$A$976:$B$982</definedName>
    <definedName name="HDFC_SampoornaNivesh_Admin">ADMIN!$A$195:$AE$197</definedName>
    <definedName name="ICICI_INVESTSHIELDCASH_PAC">PAC!$A$1193:$D$1197</definedName>
    <definedName name="DOB">INPUT!$C$3</definedName>
    <definedName name="ICICI_STAGEASSUREPENSION_ADMIN">ADMIN!$A$960:$AE$962</definedName>
    <definedName name="HDFC_PensionChampion_Admin">ADMIN!$A$115:$AE$117</definedName>
    <definedName name="ICICI_CASHPLUS_PAC">PAC!$A$815:$B$819</definedName>
    <definedName name="MAX_TOPGEAR_ADMIN">ADMIN!$A$457:$AE$459</definedName>
    <definedName name="HDFC_ULENDOMENTPLUS_ADMIN">ADMIN!$A$230:$AE$232</definedName>
    <definedName name="PREM">#REF!</definedName>
    <definedName name="TATA_INVESTASSUREII_ADMIN">ADMIN!$A$978:$AE$980</definedName>
    <definedName name="PNBMETLIFE_SMARTPLATINUM_PAC">PAC!$A$1822:$L$1824</definedName>
    <definedName name="TATA_INVESTONE_ADMIN">ADMIN!$A$1224:$AE$1226</definedName>
    <definedName name="ICICI_LIFETIMEPENSIONII_PAC">PAC!$A$861:$L$863</definedName>
    <definedName name="PNBMETLIFE_SMARTCHILD_PAC">PAC!$A$1844:$B$1847</definedName>
    <definedName name="ICICI_LIFESTAGEPENSION_ADMIN">ADMIN!$A$876:$AE$878</definedName>
    <definedName name="HDFC_SLYoungStarSP_PAC">PAC!$A$277:$B$285</definedName>
    <definedName name="HDFC_SmartWomen_Admin">ADMIN!$A$180:$AE$182</definedName>
    <definedName name="ICICI_LIFEPREMIER_PAC">PAC!$A$888:$G$890</definedName>
    <definedName name="ICICI_SECURESAVER_ADMIN">ADMIN!$A$815:$AE$817</definedName>
    <definedName name="UIN">INPUT!$C$9</definedName>
    <definedName name="TATA_INVESTASSUREAPEXPLUS_ADMIN">ADMIN!$A$1080:$AE$1082</definedName>
    <definedName name="ICICI_LIFELINKWEALTHSP_ADMIN">ADMIN!$A$678:$AE$680</definedName>
    <definedName name="ICICI_LIFETIMECLASSIC_PAC">PAC!$A$933:$B$941</definedName>
    <definedName name="MAX_FASTTRACK_ADMIN">ADMIN!$A$462:$AE$464</definedName>
    <definedName name="ICICI_EASYRETIREMENT_PAC">PAC!$A$996:$B$999</definedName>
    <definedName name="ICICI_ELITEWEALTHSUPER_ADMIN">ADMIN!$A$544:$AE$546</definedName>
    <definedName name="HDFC_ENDOWMENTSUPREME_PAC">PAC!$A$213:$G$217</definedName>
    <definedName name="ICICI_SMARTKIDNEWULRP_ADMIN">ADMIN!$A$857:$AE$859</definedName>
    <definedName name="HDFC_SLPENSIONMAXIMUS_PAC">PAC!$A$67:$B$69</definedName>
    <definedName name="ICICI_LIFETIMEMAXIMA_PAC">PAC!$A$1171:$B$1175</definedName>
    <definedName name="TATA_SWARNABHAVISHYA_ADMIN">ADMIN!$A$1182:$AE$1184</definedName>
    <definedName name="ICICI_LIFETIME_PAC">PAC!$A$1110:$B$1112</definedName>
    <definedName name="HDFC_ENDOWMENTSUPREMESUVIDHA_PAC">PAC!$A$166:$B$172</definedName>
    <definedName name="TATA_APEXPENSION10_ADMIN">ADMIN!$A$1110:$AE$1112</definedName>
    <definedName name="MAX_CAPITALBUILER_PAC">PAC!$A$622:$B$626</definedName>
    <definedName name="ICICI_LIFESTAGEWEALTHII_ADMIN">ADMIN!$A$654:$AE$656</definedName>
    <definedName name="PNBMETLIFE_GROWTH_PAC">PAC!$A$1785:$B$1787</definedName>
    <definedName name="MAX_MAXISSUPER_ADMIN">ADMIN!$A$477:$AE$479</definedName>
    <definedName name="HDFC_ULENDOWMENT_ADMIN">ADMIN!$A$260:$AE$262</definedName>
    <definedName name="ICICI_PINNACLEII_ADMIN">ADMIN!$A$666:$AE$668</definedName>
    <definedName name="HDFC_ULENDOWMENTSUVIDHAPLUS_ADMIN">ADMIN!$A$250:$AE$252</definedName>
    <definedName name="ICICI_WEALTHADV_ADMIN">ADMIN!$A$851:$AE$853</definedName>
    <definedName name="HDFC_SimpliLife01_Admin">ADMIN!$A$29:$AE$31</definedName>
    <definedName name="TATA_INVESTASSUREINSTAPLUS_PAC">PAC!$A$1498:$B$1500</definedName>
    <definedName localSheetId="12" name="Policy_Year">'Cashflows_4%'!$B$6:$B$463</definedName>
    <definedName name="TATA_INVESTASSUREOPTIMA_PAC">PAC!$A$1437:$K$1440</definedName>
    <definedName name="BhartiAxa_WealthConfident_PAC">PAC!$A$1892:$F$1896</definedName>
    <definedName name="ICICI_LIFETIMEPREMIER01_PAC">PAC!$A$1083:$B$1088</definedName>
    <definedName name="ICICI_ELITEPENSIONII_ADMIN">ADMIN!$A$743:$AE$745</definedName>
    <definedName name="RCS">INPUT!$C$8</definedName>
    <definedName name="PNBMETLIFE_LITTLESTAR_PAC">PAC!$A$1791:$B$1794</definedName>
    <definedName name="PNBMETLIFE_SMART_PAC">PAC!$A$1726:$B$1727</definedName>
    <definedName name="MAX_FOREVERYOUNGPENSION_ADMIN">ADMIN!$A$472:$AE$474</definedName>
    <definedName name="ICICI_GUARANTEEDWEALTHPROTECTOR_PAC">PAC!$A$956:$B$962</definedName>
    <definedName name="MAX_AMSURESECURERETURNS_ADMIN">ADMIN!$A$335:$AE$336</definedName>
    <definedName name="BhartiAxa_BrightStarEdge_Admin">ADMIN!$A$1480:$AE$1482</definedName>
    <definedName name="TATA_UBSUPREME_PAC">PAC!$A$1566:$E$1568</definedName>
    <definedName name="ICICI_LIFELINKSUPER_ADMIN">ADMIN!$A$827:$AE$829</definedName>
    <definedName name="ICICI_PREMIERWEALTH_ADMIN">ADMIN!$A$759:$AE$761</definedName>
    <definedName name="ICICI_SMARTKIDASSURE_PAC">PAC!$A$1104:$B$1106</definedName>
    <definedName name="ICICI_GOLDENYEARS_ADMIN">ADMIN!$A$821:$AE$823</definedName>
    <definedName name="ICICI_ASSUREWEALTH_PAC">PAC!$A$1153:$B$1159</definedName>
    <definedName name="HDFC_ProGrowthPlus_PAC">PAC!$A$299:$B$302</definedName>
    <definedName name="TATA_SMARTSAMPOORNARAKSHA_ADMIN">ADMIN!$A$1236:$AE$1238</definedName>
    <definedName name="HDFC_CapitalShield_PAC">PAC!$A$429:$B$435</definedName>
    <definedName name="TATA_INVESTASSUREEXTRA_ADMIN">ADMIN!$A$990:$AE$992</definedName>
    <definedName name="BhartiAxa_InvestSmart_PAC">PAC!$A$2047:$B$2053</definedName>
    <definedName name="BhartiAxa_WealthPro_PAC">PAC!$A$2030:$B$2035</definedName>
    <definedName name="PNBMETLIFE_SMARTGOLD_ADMIN">ADMIN!$A$1266:$AE$1268</definedName>
    <definedName name="ICICI_ANMOLNIVESH_PAC">PAC!$A$1277:$B$1288</definedName>
    <definedName name="TATA_INVESTASSUREGOLDSUPREME_PAC">PAC!$A$1588:$B$1592</definedName>
    <definedName name="MAX_MAKEPLATINUM_PAC">PAC!$A$581:$B$584</definedName>
    <definedName name="HDFC_ULYOUNGSTARPLAN_ADMIN">ADMIN!$A$265:$AE$267</definedName>
    <definedName name="ICICI_SECUREPLUS_ADMIN">ADMIN!$A$514:$AE$516</definedName>
    <definedName name="HDFC_ULYOUNGSTARPLAN02_ADMIN">ADMIN!$A$270:$AE$272</definedName>
    <definedName name="BhartiAxa_GuaranteeBuilder_Admin">ADMIN!$A$1379:$AE$1381</definedName>
    <definedName name="HDFC_ENDOWMENTCHAMPIONSUVIDHA_PAC">PAC!$A$235:$B$237</definedName>
    <definedName name="BhartiAxa_AspireLifePlus_Admin">ADMIN!$A$1408:$AE$1410</definedName>
    <definedName name="TATA_JEEVANLAKSHYA_ADMIN">ADMIN!$A$1032:$AE$1034</definedName>
    <definedName name="POL_YR">'Cashflows_8%'!$B$7:$B$302</definedName>
    <definedName name="ICICI_ELITELIFE_ADMIN">ADMIN!$A$636:$AE$638</definedName>
    <definedName name="ICICI_LIFELINKPENSIONII_PAC">PAC!$A$874:$B$877</definedName>
    <definedName name="GROWTH_RATE_HIST">'Pre-Calculation'!$E$23</definedName>
    <definedName name="IF_SMARTSAVEPLAN_PAC">PAC!$A$483:$B$488</definedName>
    <definedName name="BhartiAxa_LifeInvestConfident_PAC">PAC!$A$1909:$B$1913</definedName>
    <definedName name="PNBMETLIFE_SMARTPLUS_ADMIN">ADMIN!$A$1248:$AE$1250</definedName>
    <definedName name="ICICI_SMARTKIDMAXIMA_ADMIN">ADMIN!$A$696:$AE$698</definedName>
    <definedName name="BhartiAxa_SwarnaBhavishya_Admin">ADMIN!$A$1432:$AE$1434</definedName>
    <definedName name="HDFC_EndowmentII_Admin">ADMIN!$A$44:$AE$46</definedName>
    <definedName name="IF_HIGHLIFEPLAN_ADMIN">ADMIN!$A$315:$AE$317</definedName>
    <definedName name="MAX_SMARTSTEPPLUS_ADMIN">ADMIN!$A$361:$AE$362</definedName>
    <definedName name="BhartiAxa_FutureAdvantagePlan_PAC">PAC!$A$2024:$B$2027</definedName>
    <definedName name="PNBMETLIFE_WHOLELIFEWEALTH_PAC">PAC!$A$1863:$B$1874</definedName>
    <definedName name="ICICI_LIFETIMEPENSIONMAXIMA_ADMIN">ADMIN!$A$726:$AE$728</definedName>
    <definedName name="TATA_INVESTASSURESWARNAJEEVANPLUS_PAC">PAC!$A$1476:$B$1479</definedName>
    <definedName name="MAX_AMSURESECURERETURNS_PAC">PAC!$A$566:$B$568</definedName>
    <definedName name="GROWTH_RATE_H">'Pre-Calculation'!$E$8</definedName>
    <definedName name="PNBMETLIFE_WHOLELIFEWEALTH_ADMIN">ADMIN!$A$1320:$AE$1322</definedName>
    <definedName localSheetId="16" name="Policy_Year">'Cashflows_4% from Start'!$B$6:$B$463</definedName>
    <definedName name="BhartiAxa_DreamLifePensionPlus_Admin">ADMIN!$A$1426:$AE$1428</definedName>
    <definedName name="ICICI_LIFETIMEPENSIONMAXIMA_PAC">PAC!$A$1139:$E$1143</definedName>
    <definedName name="PNBMETLIFE_SMARTPREMIER_ADMIN">ADMIN!$A$1254:$AE$1256</definedName>
    <definedName name="ICICI_SMARTKIDULSP_PAC">PAC!$A$845:$B$849</definedName>
    <definedName name="PNBMETLIFE_PENSIONPLUS_ADMIN">ADMIN!$A$1284:$AE$1286</definedName>
    <definedName name="MAX_PLATINUMWELATHPLAN_PAC">PAC!$A$763:$B$774</definedName>
    <definedName name="ICICI_LIFETIMEPENSIONII_ADMIN">ADMIN!$A$930:$AE$932</definedName>
    <definedName name="TATA_INVESTASSUREHEALTH_PAC">PAC!$A$1427:$G$1433</definedName>
    <definedName name="ICICI_PINNACLESUPER_PAC">PAC!$A$1029:$B$1034</definedName>
    <definedName name="ICICI_LIFETIMEPREMIER_PAC">PAC!$A$1073:$B$1079</definedName>
    <definedName name="ICICI_SMARTKIDASSURE_ADMIN">ADMIN!$A$684:$AE$686</definedName>
    <definedName name="HDFC_YOUNGSTARCHAMPIONSUVIDHA_PAC">PAC!$A$221:$B$223</definedName>
    <definedName name="IF_WEALTHMAXIMIZER_PAC">PAC!$A$534:$B$540</definedName>
    <definedName name="TATA_LAKSHYASUPREME_PAC">PAC!$A$1544:$B$1555</definedName>
    <definedName name="ICICI_PINNACLE_ADMIN">ADMIN!$A$779:$AE$781</definedName>
    <definedName name="HDFC_YoungStarChampion_Admin">ADMIN!$A$85:$AE$87</definedName>
    <definedName name="BhartiAxa_AspireLife_Admin">ADMIN!$A$1356:$AE$1358</definedName>
    <definedName name="PUP">Revival!$F$10</definedName>
    <definedName name="BhartiAxa_PowerKidInsurancePlan_PAC">PAC!$A$2038:$B$2044</definedName>
    <definedName name="HDFC_SLYoungstarSuperII_Admin">ADMIN!$A$145:$AE$147</definedName>
    <definedName name="TATA_FORTUNEPRO_ADMIN">ADMIN!$A$1206:$AE$1208</definedName>
    <definedName name="IF_MBHP_ADMIN">ADMIN!$A$310:$AE$312</definedName>
    <definedName name="MAX_PLATINUMWELATHPLAN_ADMIN">ADMIN!$A$492:$AE$494</definedName>
    <definedName name="HDFC_WealthBuilder_Admin">ADMIN!$A$100:$AE$102</definedName>
    <definedName name="HDFC_ULYOUNGSTAR01_PAC">PAC!$A$380:$B$383</definedName>
    <definedName name="MAX_SHIKSHAPLUSSUPER_ADMIN">ADMIN!$A$487:$AE$489</definedName>
    <definedName name="SV">INPUT!$C$14</definedName>
    <definedName name="PNBMETLIFE_SMART_ADMIN">ADMIN!$A$1242:$AE$1244</definedName>
    <definedName name="HDFC_ULYOUNGSTARCHAMPION_PAC">PAC!$A$126:$B$129</definedName>
    <definedName name="PNBMETLIFE_SMARTONE_ADMIN">ADMIN!$A$1296:$AE$1298</definedName>
    <definedName localSheetId="15" name="P_Y">'Cashflows_8% from Start'!$B$4:$B$255</definedName>
    <definedName name="ICICI_ACE_ADMIN">ADMIN!$A$690:$AE$692</definedName>
    <definedName name="HDFC_EndowmentSupreme_Admin">ADMIN!$A$120:$AE$122</definedName>
    <definedName name="HDFC_SLCrest_PAC">PAC!$A$240:$B$246</definedName>
    <definedName name="ICICI_INVESTEASY_ADMIN">ADMIN!$A$642:$AE$644</definedName>
    <definedName name="TATA_APEXPENSION20_ADMIN">ADMIN!$A$1092:$AE$1094</definedName>
    <definedName name="Policy_Year">'Cashflows_8%'!$B$6:$B$463</definedName>
    <definedName name="BhartiAxa_SpotGuaranteeBuilder_PAC">PAC!$A$1946:$B$1952</definedName>
    <definedName name="BhartiAxa_MeritPlusEdge_Admin">ADMIN!$A$1420:$AE$1422</definedName>
    <definedName name="Age_At_Entry">'Pre-Calculation'!$D$2</definedName>
    <definedName name="BhartiAxa_FutureAdvantagePlan_Admin">ADMIN!$A$1438:$AE$1440</definedName>
    <definedName name="BhartiAxa_PowerKidInsurancePlan_Admin">ADMIN!$A$1468:$AE$1470</definedName>
    <definedName localSheetId="14" name="P_Y">'Cashflows_Bond Fund'!$B$4:$B$255</definedName>
    <definedName name="TATA_SWARNAPRATIGYA_ADMIN">ADMIN!$A$1158:$AE$1160</definedName>
    <definedName name="TATA_INVESTASSURECARE_PAC">PAC!$A$1420:$B$1423</definedName>
    <definedName name="HDFC_EndowmentSuperSuvidha_Admin">ADMIN!$A$69:$AE$71</definedName>
    <definedName name="ICICI_LIFELINKPENSIONII_ADMIN">ADMIN!$A$942:$AE$944</definedName>
    <definedName name="ICICI_ASSUREWEALTH_ADMIN">ADMIN!$A$749:$AE$751</definedName>
    <definedName name="ICICI_SECUREPLUS_PAC">PAC!$A$823:$B$827</definedName>
    <definedName name="ICICI_LIFETIMEPLUS_PAC">PAC!$A$1246:$B$1251</definedName>
    <definedName name="MAX_SHIKSHAPLUS_PAC">PAC!$A$661:$B$666</definedName>
    <definedName name="HDFC_YoungStarSupremeSuvidha_Admin">ADMIN!$A$90:$AE$92</definedName>
    <definedName name="MAX_SMARTSTEPPLUS_PAC">PAC!$A$597:$B$602</definedName>
    <definedName name="HDFC_ULYOUNGSTARTPLUSII_PAC">PAC!$A$103:$D$108</definedName>
    <definedName name="MAX_UNITBUILDER_ADMIN">ADMIN!$A$386:$AE$388</definedName>
    <definedName name="BhartiAxa_DreamLifePensionPlan_PAC">PAC!$A$1921:$G$1924</definedName>
    <definedName name="ICICI_SECUREPLUSPENSION_ADMIN">ADMIN!$A$520:$AE$522</definedName>
    <definedName name="PT">INPUT!$C$11</definedName>
    <definedName name="IF_MONEYBALACEPLAN2_ADMIN">ADMIN!$A$325:$AE$327</definedName>
    <definedName name="Last_Prem">'Pre-Calculation'!$D$6</definedName>
    <definedName name="HDFC_EndowmentPlusII_Admin">ADMIN!$A$18:$AE$20</definedName>
    <definedName name="MAX_SMARTINVESTPENSION_PAC">PAC!$A$612:$C$618</definedName>
    <definedName name="ICICI_INVESTSHIELDGOLD_ADMIN">ADMIN!$A$713:$AE$715</definedName>
    <definedName name="ICICI_INVESTSHIELDGOLD_PAC">PAC!$A$1132:$G$1135</definedName>
    <definedName name="MAX_MAXIS_PAC">PAC!$A$698:$B$704</definedName>
    <definedName name="ICICI_INVESTSHIELDCASHBAK_ADMIN">ADMIN!$A$894:$AE$896</definedName>
    <definedName name="IF_HAPPYINDIA_PAC">PAC!$A$501:$B$506</definedName>
    <definedName name="PNBMETLIFE_ADVANTAGEPLUS_PAC">PAC!$A$1745:$B$1756</definedName>
    <definedName name="PNBMETLIFE_EASYSUPER_PAC">PAC!$A$1834:$B$1840</definedName>
    <definedName name="TATA_INVESTASSUREAPEXSUPREME_PAC">PAC!$A$1572:$B$1578</definedName>
    <definedName name="HDFC_ULWEALTHMULTIPLIER_ADMIN">ADMIN!$A$275:$AE$277</definedName>
    <definedName name="PNBMETLIFE_EASYPLUS_PAC">PAC!$A$1805:$B$1811</definedName>
    <definedName name="PNBMETLIFE_SMARTPLATINUMPLUS_ADMIN">ADMIN!$A$1326:$AE$1328</definedName>
    <definedName name="BhartiAxa_BrightStarsPlus_Admin">ADMIN!$A$1414:$AE$1416</definedName>
    <definedName name="ICICI_INVESTSHIELDLIFE_ADMIN">ADMIN!$A$797:$AE$799</definedName>
    <definedName hidden="1" localSheetId="22" name="_xlnm._FilterDatabase">'Death Benefit Type'!$A$1:$B$36</definedName>
    <definedName hidden="1" localSheetId="26" name="_xlnm._FilterDatabase">'Product Data'!$A$2:$AC$133</definedName>
    <definedName hidden="1" localSheetId="34" name="_xlnm._FilterDatabase">'NAVs_Till 29 Jun 2021'!$A$2:$K$2236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1">
      <text>
        <t xml:space="preserve">We can look at bifurcating the reasons into personal and other for a quicker reference
	-Harshita Balani</t>
      </text>
    </comment>
  </commentList>
</comments>
</file>

<file path=xl/comments2.xml><?xml version="1.0" encoding="utf-8"?>
<comments xmlns:r="http://schemas.openxmlformats.org/officeDocument/2006/relationships" xmlns="http://schemas.openxmlformats.org/spreadsheetml/2006/main">
  <authors>
    <author/>
  </authors>
  <commentList>
    <comment authorId="0" ref="N18">
      <text>
        <t xml:space="preserve">savla:
Formula change
</t>
      </text>
    </comment>
    <comment authorId="0" ref="N30">
      <text>
        <t xml:space="preserve">savla:
Formula Change</t>
      </text>
    </comment>
    <comment authorId="0" ref="N42">
      <text>
        <t xml:space="preserve">savla:
Formula Change</t>
      </text>
    </comment>
  </commentList>
</comments>
</file>

<file path=xl/comments3.xml><?xml version="1.0" encoding="utf-8"?>
<comments xmlns:r="http://schemas.openxmlformats.org/officeDocument/2006/relationships" xmlns="http://schemas.openxmlformats.org/spreadsheetml/2006/main">
  <authors>
    <author/>
  </authors>
  <commentList>
    <comment authorId="0" ref="N18">
      <text>
        <t xml:space="preserve">savla:
formula change</t>
      </text>
    </comment>
    <comment authorId="0" ref="N30">
      <text>
        <t xml:space="preserve">savla:
Formula change</t>
      </text>
    </comment>
    <comment authorId="0" ref="N42">
      <text>
        <t xml:space="preserve">savla:
Formula Change</t>
      </text>
    </comment>
  </commentList>
</comments>
</file>

<file path=xl/comments4.xml><?xml version="1.0" encoding="utf-8"?>
<comments xmlns:r="http://schemas.openxmlformats.org/officeDocument/2006/relationships" xmlns="http://schemas.openxmlformats.org/spreadsheetml/2006/main">
  <authors>
    <author/>
  </authors>
  <commentList>
    <comment authorId="0" ref="N18">
      <text>
        <t xml:space="preserve">savla:
Formula Change</t>
      </text>
    </comment>
    <comment authorId="0" ref="N30">
      <text>
        <t xml:space="preserve">savla:
Formula Change</t>
      </text>
    </comment>
    <comment authorId="0" ref="N42">
      <text>
        <t xml:space="preserve">savla:
Formula Change</t>
      </text>
    </comment>
  </commentList>
</comments>
</file>

<file path=xl/comments5.xml><?xml version="1.0" encoding="utf-8"?>
<comments xmlns:r="http://schemas.openxmlformats.org/officeDocument/2006/relationships" xmlns="http://schemas.openxmlformats.org/spreadsheetml/2006/main">
  <authors>
    <author/>
  </authors>
  <commentList>
    <comment authorId="0" ref="N18">
      <text>
        <t xml:space="preserve">savla:
Formula Change</t>
      </text>
    </comment>
    <comment authorId="0" ref="N30">
      <text>
        <t xml:space="preserve">savla:
Formula Change</t>
      </text>
    </comment>
    <comment authorId="0" ref="N42">
      <text>
        <t xml:space="preserve">savla:
Formula Change</t>
      </text>
    </comment>
  </commentList>
</comments>
</file>

<file path=xl/comments6.xml><?xml version="1.0" encoding="utf-8"?>
<comments xmlns:r="http://schemas.openxmlformats.org/officeDocument/2006/relationships" xmlns="http://schemas.openxmlformats.org/spreadsheetml/2006/main">
  <authors>
    <author/>
  </authors>
  <commentList>
    <comment authorId="0" ref="N18">
      <text>
        <t xml:space="preserve">savla:
Formula change
</t>
      </text>
    </comment>
    <comment authorId="0" ref="N30">
      <text>
        <t xml:space="preserve">savla:
Formula Change</t>
      </text>
    </comment>
    <comment authorId="0" ref="N42">
      <text>
        <t xml:space="preserve">savla:
Formula Change</t>
      </text>
    </comment>
  </commentList>
</comments>
</file>

<file path=xl/comments7.xml><?xml version="1.0" encoding="utf-8"?>
<comments xmlns:r="http://schemas.openxmlformats.org/officeDocument/2006/relationships" xmlns="http://schemas.openxmlformats.org/spreadsheetml/2006/main">
  <authors>
    <author/>
  </authors>
  <commentList>
    <comment authorId="0" ref="N18">
      <text>
        <t xml:space="preserve">savla:
formula change</t>
      </text>
    </comment>
    <comment authorId="0" ref="N30">
      <text>
        <t xml:space="preserve">savla:
Formula change</t>
      </text>
    </comment>
    <comment authorId="0" ref="N42">
      <text>
        <t xml:space="preserve">savla:
Formula Change</t>
      </text>
    </comment>
  </commentList>
</comments>
</file>

<file path=xl/comments8.xml><?xml version="1.0" encoding="utf-8"?>
<comments xmlns:r="http://schemas.openxmlformats.org/officeDocument/2006/relationships" xmlns="http://schemas.openxmlformats.org/spreadsheetml/2006/main">
  <authors>
    <author/>
  </authors>
  <commentList>
    <comment authorId="0" ref="K134">
      <text>
        <t xml:space="preserve">======
ID#AAAANVp7iwQ
Mahek Savla    (2021-07-22 10:11:33)
option A- max(SA,FV) 
option B- SA+FV</t>
      </text>
    </comment>
    <comment authorId="0" ref="AF134">
      <text>
        <t xml:space="preserve">======
ID#AAAANVp7iwk
Mahek Savla    (2021-07-22 10:13:33)
Admin charges- % of SA based on PT</t>
      </text>
    </comment>
    <comment authorId="0" ref="K158">
      <text>
        <t xml:space="preserve">======
ID#AAAANVp7ig0
Mahek Savla    (2021-07-22 09:28:14)
various death benefits- Lumpsum payout, income and funding of premium.</t>
      </text>
    </comment>
    <comment authorId="0" ref="K185">
      <text>
        <t xml:space="preserve">======
ID#AAAANYK8tak
Sanskriti Bhutia    (2021-07-28 15:02:04)
Options</t>
      </text>
    </comment>
    <comment authorId="0" ref="L340">
      <text>
        <t xml:space="preserve">Maturity Bonus
======</t>
      </text>
    </comment>
    <comment authorId="0" ref="K341">
      <text>
        <t xml:space="preserve">Max(SA,FV+GA)
======</t>
      </text>
    </comment>
    <comment authorId="0" ref="L347">
      <text>
        <t xml:space="preserve">Maturity Bonus
======</t>
      </text>
    </comment>
    <comment authorId="0" ref="L348">
      <text>
        <t xml:space="preserve">Maturity Bonus
======</t>
      </text>
    </comment>
    <comment authorId="0" ref="L349">
      <text>
        <t xml:space="preserve">Maturity Bonus
======</t>
      </text>
    </comment>
    <comment authorId="0" ref="L352">
      <text>
        <t xml:space="preserve">Maturity Bonus
======</t>
      </text>
    </comment>
    <comment authorId="0" ref="L353">
      <text>
        <t xml:space="preserve">Maturity Bonus
======</t>
      </text>
    </comment>
    <comment authorId="0" ref="L355">
      <text>
        <t xml:space="preserve">Maturity Bonus
======</t>
      </text>
    </comment>
    <comment authorId="0" ref="L359">
      <text>
        <t xml:space="preserve">Maturity Bonus
======</t>
      </text>
    </comment>
    <comment authorId="0" ref="L361">
      <text>
        <t xml:space="preserve">Maturity Bonus
======</t>
      </text>
    </comment>
    <comment authorId="0" ref="L364">
      <text>
        <t xml:space="preserve">Maturity Bonus
======</t>
      </text>
    </comment>
    <comment authorId="0" ref="L369">
      <text>
        <t xml:space="preserve">Maturity Bonus
======</t>
      </text>
    </comment>
    <comment authorId="0" ref="L373">
      <text>
        <t xml:space="preserve">Maturity Bonus
======</t>
      </text>
    </comment>
    <comment authorId="0" ref="L391">
      <text>
        <t xml:space="preserve">Maturity Bonus
======</t>
      </text>
    </comment>
    <comment authorId="0" ref="AG435">
      <text>
        <t xml:space="preserve">changes wrt fund
======</t>
      </text>
    </comment>
    <comment authorId="0" ref="AG436">
      <text>
        <t xml:space="preserve">changes wrt fund
======</t>
      </text>
    </comment>
    <comment authorId="0" ref="K456">
      <text>
        <t xml:space="preserve">2 options Available</t>
      </text>
    </comment>
    <comment authorId="0" ref="L461">
      <text>
        <t xml:space="preserve">savla:
NAV or highest NAV during the tracking period</t>
      </text>
    </comment>
    <comment authorId="0" ref="K465">
      <text>
        <t xml:space="preserve">2 Options Available  </t>
      </text>
    </comment>
  </commentList>
</comments>
</file>

<file path=xl/sharedStrings.xml><?xml version="1.0" encoding="utf-8"?>
<sst xmlns="http://schemas.openxmlformats.org/spreadsheetml/2006/main" count="10295" uniqueCount="2025">
  <si>
    <t>Sl No.</t>
  </si>
  <si>
    <t>Go to</t>
  </si>
  <si>
    <t>Returns so far</t>
  </si>
  <si>
    <t>Click here</t>
  </si>
  <si>
    <t>Pay all premiums</t>
  </si>
  <si>
    <t>Pay 3 and Stay</t>
  </si>
  <si>
    <t>Pay 1 and Stay</t>
  </si>
  <si>
    <t>Stop Paying and Stay</t>
  </si>
  <si>
    <t>Switch to safe funds</t>
  </si>
  <si>
    <t>Sl no.</t>
  </si>
  <si>
    <t xml:space="preserve">Possible reasons for surrender </t>
  </si>
  <si>
    <t xml:space="preserve">Response 1 </t>
  </si>
  <si>
    <t>Response 2</t>
  </si>
  <si>
    <t xml:space="preserve">Response 3 </t>
  </si>
  <si>
    <t>Action</t>
  </si>
  <si>
    <t>I have waited through the lock-in period and wish to surrender</t>
  </si>
  <si>
    <t>Sir/Ma'am, I would like to take you through the historical returns under this plan which might help you make the correct decision. You have earned an effective &lt;Illustrations C3&gt;  post deduction of all charges and taxes, while enjoying a life cover of Rs. &lt;Input C5&gt;. If the historical returns of the chosen funds continues, your fund value can grow substantially as you see in the illustation.</t>
  </si>
  <si>
    <t>On continuing to pay the premiums your returns would be exempt of capital gains tax even if choose to invest in equity funds. This is under provisions of Section 10(10D) of Income Tax Act. If you wish to invest directly in equity or through some other instrument, for similar growth, you may end up paying long term capital gains tax which dents your overall returns
If you surrender your policy and invest in a new tax saving instrument, you may have to undergo a lock-in period again.</t>
  </si>
  <si>
    <t xml:space="preserve">1. Sending payment link
2. Material/attachments on chat window
</t>
  </si>
  <si>
    <t>I do not want to pay any more premiums</t>
  </si>
  <si>
    <t>I understand that. While continuing to pay premiums and stay till the end of the policy is advisable, you also have the flexibility under your policy to not pay all premiums and yet continue the policy.
If you choose to pay premiums only for 3 more years, here is how your fund value can grow in various retrurns scenarios &lt;Illustrations A26&gt;. If you choose to pay premium for just one more year your fund returns will be as shown &lt;Illustrations A46&gt;. I would advise you to continue paying premiums till it is possible and not surrender right away.
Since, you have paid premiums for 5 years, you may choose not to pay any more premiums, your fund value in that case will be lower than previous scenarios but due to lower effective charges in future years, I would still advise the same over surrender now &lt;Illustration A66&gt;</t>
  </si>
  <si>
    <t>In case you choose to not pay all premiums, your life cover still continues but is reduced in pro-rated manner. For instance, if your premium payment term is 10 years and you pay 8 years' premium, your Sum Assured will be 80% of the original Sum Assured.
You will continue to avail other policy features such as switching between funds and partial withdrawals.
If you choose to restart premium payment, you can do so within a revival period of 2 years from date of discontinuance of premium</t>
  </si>
  <si>
    <t>Please note that, in case the insurance cover due to pro-rating becomes less than 10 times the Annalised premium, you may be subject to long term capital gains tax.</t>
  </si>
  <si>
    <t xml:space="preserve">1.Taking request for paid-up
2. Sending payment link
3. Material/attachments on chat window
</t>
  </si>
  <si>
    <t xml:space="preserve">Markets are high , I wish to sell </t>
  </si>
  <si>
    <t xml:space="preserve">Sir/Ma'am, I would like to take you through the historical returns under this plan which might help you make the correct decision. You have earned an effective &lt;Illustrations C3&gt;  post deduction of all charges and taxes. If the historical returns of the chosen funds continues, your fund value can grow substantially as you see in the illustation.
However, since you want to exit as in your view equity markets are high, let me inform you of the options available.
There are funds of various risk-return profile in the policy. Without surrendering you can switch your monies to any of the low risk funds such as Income Fund or Bond Fund and then move back to equity oriented funds when your views of the equity markets change. As an example, &lt;Illustration A86&gt; shows Bond Fund historical performance and asset allocation.
</t>
  </si>
  <si>
    <t>The effective charges under the policy, including the cost of life insurance cover and taxes, reduces sharply post the lock-in period. Unit linked plan charges are typically more in initial years. The longer you stay, the effective charges reduce and your returns get closer to the actual fund return.
&lt;Illustration C4&gt; vs. &lt;Illustration C15&gt; and &lt;Illustration D15&gt;</t>
  </si>
  <si>
    <t>You can move in and out of equity in this policy without incurring long term capital gains tax.
Switching can be carried out at a minimal transaction charge of Rs. 25 which can be done online, as many times you want.</t>
  </si>
  <si>
    <t xml:space="preserve">1.Taking switching request/sharing link for switching
2. Sending payment link
3. Material/attachments on chat window
</t>
  </si>
  <si>
    <t>Emergency cash needed (Medical /Family / Marriage etc)</t>
  </si>
  <si>
    <t>Congratulations / Sorry to hear that depending on positive or negative situation for the customer.
Before you proceed, I would like to inform that since, you have paid premiums for 5 years, you may choose not to pay any more premiums.  your fund value in that case will be lower than if you had continued paying however, due to lower effective charges in future years, I would still advise the same over surrendering now &lt;Illustration A66&gt;
Once your current liquidity needs are over, you may choose to revive the policy or just stay invested and get the maturity benefit with long term returns.</t>
  </si>
  <si>
    <r>
      <rPr>
        <rFont val="Arial"/>
        <color rgb="FF000000"/>
        <sz val="11.0"/>
      </rPr>
      <t xml:space="preserve">You can also address your current liquidity needs without surrendering the policy. You have the option to make a partial withdrawal upto &lt;Rs. XX&gt; and the policy could still continue. You need not pay back this amount to your fund.
Once your current liquidity needs are over, you may choose to revive the policy by paying regular premiums or just stay invested without further premium payment and get the maturity benefit with long term returns.
</t>
    </r>
    <r>
      <rPr>
        <rFont val="Arial"/>
        <b/>
        <i/>
        <color rgb="FF000000"/>
        <sz val="11.0"/>
      </rPr>
      <t>In case, you need to understand more liquidity options such as loan against insurance policy, we can transfer your call to a third party with your consent. Do you wish to explore this?</t>
    </r>
  </si>
  <si>
    <t>Most importantly, partial withdrawal will keep your life insurance cover going for the financial security of your loved ones, unlike surrender where you forfeit future life insurance cover. 
Partial withdrawals can be done multiple times with a minimal service charge.</t>
  </si>
  <si>
    <t xml:space="preserve">1.Taking partial withdrawal request/sharing link for consent
2. Sending payment link
3. Material/attachments on chat window
4. Recording consent for Loan Against Policy
</t>
  </si>
  <si>
    <t>Better option/ Other investment / Mutual funds/Business/New policy</t>
  </si>
  <si>
    <t>In your policy, the effective charges (including the cost of life insurance cover and taxes) reduces sharply post the lock-in period. Unit linked plan charges are typically more in initial years which is a phase you have already completed. 
The longer you stay, the effective charges reduce and your returns get closer to the actual fund return. &lt;Illustration C4&gt; vs. &lt;Illustration C16&gt; and &lt;Illustration D16&gt;.
Hence, it is not advisable to surrender your policy in favour of purchasing a new policy.</t>
  </si>
  <si>
    <t>You could compare the future effective charges under the policy with effective charges in alternative financial plans before you make a decision.
You could also compare the risk/returns involved in the alternative financial instrument you want to invest in with the risk/return of your underlying funds in this policy.</t>
  </si>
  <si>
    <t>On continuing to pay the premiums your returns would be exempt of capital gains tax even if choose to invest in equity funds. If you wish to invest directly in equity or through some other instrument, for similar growth, you may end up paying long term capital gains tax which dents your overall returns</t>
  </si>
  <si>
    <t>1. Sending payment link
2. Material/attachments on chat window</t>
  </si>
  <si>
    <t>Lost job/  business loss etc</t>
  </si>
  <si>
    <t>Sorry to hear that and your policy will be able to help you in the time of your need.
Before you proceed, I would like to inform that since, you have paid premiums for 5 years, you may choose not to pay any more premiums.  your fund value in that case will be lower than if you had continued paying however, due to lower effective charges in future years, I would still advise the same over surrendering now &lt;Illustration A66&gt;
Once your current liquidity needs are over, you may choose to revive the policy or just stay invested and get the maturity benefit with long term returns.</t>
  </si>
  <si>
    <t>You can also address your current liquidity needs without surrendering the policy. You have the option to make a partial withdrawal upto &lt;Rs. XX&gt; and the policy could still continue. You need not pay back this amount to your fund.
Once your current liquidity needs are over, you may choose to revive the policy by paying regular premiums or just stay invested without further premium payment and get the maturity benefit with long term returns.</t>
  </si>
  <si>
    <t>1.Taking partial withdrawal request/sharing link for consent
2. Sending payment link
3. Material/attachments on chat window</t>
  </si>
  <si>
    <t>Low returns</t>
  </si>
  <si>
    <t>Sir/Ma'am, I would like to take you through the historical returns under this plan which might help you make the correct decision. You have earned an effective &lt;Illustrations C3&gt;  post deduction of all charges and taxes, while enjoying a life cover of Rs. &lt;Input C5&gt;.
Your benefit illustration shown at the time of policy purchase mentions a value of &lt;Rs. XX&gt; assuming 8% gross yield at the end of 5 years and &lt;Rs.YY&gt; assuming 4% gross yields. Your fund current fund value is &lt;Input C14&gt;</t>
  </si>
  <si>
    <t>On continuing to pay the premiums your returns would be exempt of capital gains tax even if choose to invest in equity funds. If you wish to invest directly in equity or through some other instrument, for similar growth, you may end up paying long term capital gains tax which dents your overall returns.
There are funds of various risk-return profile in the policy. Without surrendering you can switch your monies to any other fund based on your risk appetite.
Switching can be carried out at a minimal transaction charge of Rs. 25 which can be done online, as many times you want.</t>
  </si>
  <si>
    <t>Do not wish to disclose the reason</t>
  </si>
  <si>
    <t>Sir/Ma'am, with due respect to your rationale for surrendering, it is my duty to inform you about the benefits of the policy for the remaining term.
In your policy, the effective charges (including the cost of life insurance cover and taxes) reduces sharply post the lock-in period. Unit linked plan charges are typically more in initial years which is a phase you have already completed. 
The longer you stay, the effective charges reduce and your returns get closer to the actual fund return. &lt;Illustration C4&gt; vs. &lt;Illustration C16&gt; and &lt;Illustration D16&gt;.
Hence, it is not advisable to surrender your policy in favour of purchasing a new policy.</t>
  </si>
  <si>
    <t>While continuing to pay premiums and stay till the end of the policy is advisable, you also have the flexibility under your policy to not pay all premiums and yet continue the policy.
If you choose to pay premiums only for 3 more years, here is how your fund value can grow in various retrurns scenarios &lt;Illustrations A26&gt;. If you choose to pay premium for just one more year your fund returns will be as shown &lt;Illustrations A46&gt;. I would advise you to continue paying premiums till it is possible and not surrender right away.
Since, you have paid premiums for 5 years, you may choose not to pay any more premiums, your fund value in that case will be lower than previous scenarios but due to lower effective charges in future years, I would still advise the same over surrender now &lt;Illustration A66&gt;</t>
  </si>
  <si>
    <t>All of the above - depending of relevant movement</t>
  </si>
  <si>
    <t>Year</t>
  </si>
  <si>
    <t>Total investment</t>
  </si>
  <si>
    <t>Bank Returns on surrender value</t>
  </si>
  <si>
    <t>Fund Value @8%</t>
  </si>
  <si>
    <t>Fund Value @4%</t>
  </si>
  <si>
    <t>Fund Value @Historical rate</t>
  </si>
  <si>
    <t>Historical Growth= 13.93%</t>
  </si>
  <si>
    <t>If you pay 3 years future premium and stay till maturity</t>
  </si>
  <si>
    <t>Effective Returns (Annualised)</t>
  </si>
  <si>
    <t>Effective charges for rest of policy term - Incl. life cover</t>
  </si>
  <si>
    <t>Effective charges - Alternative (200 bps expense ratio)</t>
  </si>
  <si>
    <t>Effective charges till date (Including mortality charges and taxes)</t>
  </si>
  <si>
    <t>Surrender</t>
  </si>
  <si>
    <t>Total premium paid till date</t>
  </si>
  <si>
    <t>What you get if you surrender now</t>
  </si>
  <si>
    <t>Overall Effective Charges Including cost of life cover &amp; Taxes</t>
  </si>
  <si>
    <t>Pay all and Stay</t>
  </si>
  <si>
    <t>If you pay all premiums and stay till maturity</t>
  </si>
  <si>
    <t>If you pay 1 years future premium and stay till maturity</t>
  </si>
  <si>
    <t>Don't pay Just Stay</t>
  </si>
  <si>
    <t>If you do not pay premiums and stay till maturity</t>
  </si>
  <si>
    <t>Effective charges for rest of policy term</t>
  </si>
  <si>
    <t>Safety - Bond Fund</t>
  </si>
  <si>
    <t>Particulars</t>
  </si>
  <si>
    <t>Details</t>
  </si>
  <si>
    <t>5 year returns</t>
  </si>
  <si>
    <t>Since inception returns</t>
  </si>
  <si>
    <t>AUM</t>
  </si>
  <si>
    <t>319 Cr.</t>
  </si>
  <si>
    <t>Composition</t>
  </si>
  <si>
    <t>Equity %</t>
  </si>
  <si>
    <t>Govt. Security</t>
  </si>
  <si>
    <t>Corporate Bond</t>
  </si>
  <si>
    <t>Money Market &amp; Cash</t>
  </si>
  <si>
    <t>AAA and above (Of total debt portfolio)</t>
  </si>
  <si>
    <t>Bond Fund 5 yr historical  Returns</t>
  </si>
  <si>
    <t>Bond Fund</t>
  </si>
  <si>
    <t>INPUT SECTION</t>
  </si>
  <si>
    <t>Inputs</t>
  </si>
  <si>
    <t>DOB</t>
  </si>
  <si>
    <t>GENDER</t>
  </si>
  <si>
    <t>M</t>
  </si>
  <si>
    <t>Sum Assured</t>
  </si>
  <si>
    <t>Modal Premium</t>
  </si>
  <si>
    <t>Premium Frequency</t>
  </si>
  <si>
    <t>RCD</t>
  </si>
  <si>
    <t>UIN</t>
  </si>
  <si>
    <t>101L081V05</t>
  </si>
  <si>
    <t>Product Name</t>
  </si>
  <si>
    <t>HDFC SL Pro Growth Plus</t>
  </si>
  <si>
    <t># of years future premiums paid</t>
  </si>
  <si>
    <t>PT</t>
  </si>
  <si>
    <t>PPT</t>
  </si>
  <si>
    <t>Valuation date</t>
  </si>
  <si>
    <t>Partial Withdrawal (Rs.)</t>
  </si>
  <si>
    <t>Fund Value</t>
  </si>
  <si>
    <t>Surrender date</t>
  </si>
  <si>
    <t>Last Premium Date</t>
  </si>
  <si>
    <t>Policy Number</t>
  </si>
  <si>
    <t>Indicator</t>
  </si>
  <si>
    <t>Fund Name</t>
  </si>
  <si>
    <t>Allocation %</t>
  </si>
  <si>
    <t>Equity Plus Fund</t>
  </si>
  <si>
    <t>Short Term Fund</t>
  </si>
  <si>
    <t>Income Fund</t>
  </si>
  <si>
    <t>Diversified Equity Fund</t>
  </si>
  <si>
    <t>Conservative Fund</t>
  </si>
  <si>
    <t>Oppurtunities Fund</t>
  </si>
  <si>
    <t>Blue chip Fund</t>
  </si>
  <si>
    <t>Balance Fund</t>
  </si>
  <si>
    <t>Total</t>
  </si>
  <si>
    <t>Output for LMS-</t>
  </si>
  <si>
    <t>Output for Script-</t>
  </si>
  <si>
    <t>4 year CAGR as on 29/06/2021</t>
  </si>
  <si>
    <t>Bond Fund Historical</t>
  </si>
  <si>
    <t>Nifty 50</t>
  </si>
  <si>
    <t>Returns if moved to Debt Fund</t>
  </si>
  <si>
    <t>Fund Value if moved to Bond Fund</t>
  </si>
  <si>
    <t>Sum of Future Charges</t>
  </si>
  <si>
    <t>At 4%</t>
  </si>
  <si>
    <t>At 8%</t>
  </si>
  <si>
    <t>Returns on Various interest rates</t>
  </si>
  <si>
    <t>Historic</t>
  </si>
  <si>
    <t>Interest Rate</t>
  </si>
  <si>
    <t>IRR</t>
  </si>
  <si>
    <t>Effective charge</t>
  </si>
  <si>
    <t>Rest of period</t>
  </si>
  <si>
    <t>Rest of period charges</t>
  </si>
  <si>
    <t>Total Loyalty Additions</t>
  </si>
  <si>
    <t>Mutual Fund Charges</t>
  </si>
  <si>
    <t>Fund Value from Start</t>
  </si>
  <si>
    <t>Pass data in form of JSON Object (data)</t>
  </si>
  <si>
    <t>Request</t>
  </si>
  <si>
    <t>Description</t>
  </si>
  <si>
    <t>Response</t>
  </si>
  <si>
    <r>
      <rPr/>
      <t xml:space="preserve">var myHeaders = new Headers();
myHeaders.append("Content-Type", "application/json");
var raw = JSON.stringify({
  "dob": "19-Mar-1981",
  "gender": "M",
  "sumAssured": 1000000,
  "modalPremium": 100000,
  "premiumFrequency": 12,
  "rcd": "30-Jun-2016",
  "uin": "101L081V05",
  "productName": "HDFC SL Pro Growth Plus",
  "pt": 10,
  "ppt": 10,
  "valuationDate": "07/08/2021",
  "fundValue": 650000,
  "surrenderDate": "07/08/2021",
  "lastPremiumDate": "6/30/2020",
  "policyNumber": "65846845",
  "equityPlusFund": "100%",
  "shortTermFund": "0%",
  "incomeFund": "0%",
  "bondFund": "0%",
  "diversifiedEquityFund": "0%",
  "oppurtunitiesFund": "0%",
  "conservativeFund": "0%",
  "blueChipFund": "0%",
  "balanceFund": "0%"
});
var requestOptions = {
  method: 'POST',
  headers: myHeaders,
  body: raw,
  redirect: 'follow'
};
</t>
    </r>
    <r>
      <rPr>
        <b/>
      </rPr>
      <t>fetch("</t>
    </r>
    <r>
      <rPr>
        <b/>
        <color rgb="FF1155CC"/>
        <u/>
      </rPr>
      <t>https://script.google.com/macros/s/AKfycbzuPoC8CwoerqZcdk-QcMtSnR6eq-lT5EKXcCrIAduzUHqGcgRSd7DYK3pJsXp42QL1/exec</t>
    </r>
    <r>
      <rPr>
        <b/>
      </rPr>
      <t>", requestOptions)
  .then(response =&gt; response.json())
  .then(result =&gt; console.log(result))
  .catch(error =&gt; console.log('error', error));</t>
    </r>
  </si>
  <si>
    <t>dob</t>
  </si>
  <si>
    <t>Data Type: String 
Date Format: "12-Mar-1981"
Example: "12-Mar-1981"</t>
  </si>
  <si>
    <t>totalInvestmentAfter6Year</t>
  </si>
  <si>
    <t>Data Type: Number</t>
  </si>
  <si>
    <t>gender</t>
  </si>
  <si>
    <t>Data Type: String 
format: "M"
desc: Pass "M" or "F"
Example: "M"</t>
  </si>
  <si>
    <t>bankReturnsOnSurrenderValueAfter6Year</t>
  </si>
  <si>
    <t>sumAssured</t>
  </si>
  <si>
    <t>Data Type:  Number
Example: 1000000</t>
  </si>
  <si>
    <t>fundValueAt8PercenatgeAfter6Year</t>
  </si>
  <si>
    <t>modalPremium</t>
  </si>
  <si>
    <t>Data Type: Number
Example: 100000</t>
  </si>
  <si>
    <t>premiumFrequency</t>
  </si>
  <si>
    <t>fundValueAtHistoricalValueAfter6Year</t>
  </si>
  <si>
    <t>rcd</t>
  </si>
  <si>
    <t>Data Type: String
format: "30-Jun-2016"
Example: "30-Jun-2016"</t>
  </si>
  <si>
    <t>bondValueHistoricalAfter6Year</t>
  </si>
  <si>
    <t>uin</t>
  </si>
  <si>
    <t>Data Type: String
Example: "101L081V05"</t>
  </si>
  <si>
    <t>totalInvestmentAfter7Year</t>
  </si>
  <si>
    <t>productName</t>
  </si>
  <si>
    <t>Data Type: String
Example: "HDFC SL Pro Growth Plus"</t>
  </si>
  <si>
    <t>bankReturnsOnSurrenderValueAfter7Year</t>
  </si>
  <si>
    <t>pt</t>
  </si>
  <si>
    <t>Data Type: Number
Example: 10</t>
  </si>
  <si>
    <t>fundValueAt8PercenatgeAfter7Year</t>
  </si>
  <si>
    <t>ppt</t>
  </si>
  <si>
    <t>fundValueAt4PercentageAfter7Year</t>
  </si>
  <si>
    <t>valuationDate</t>
  </si>
  <si>
    <t>Data Type: String
DateFormat : "07/08/2021"
Example: "07/08/2021"</t>
  </si>
  <si>
    <t>fundValueAtHistoricalValueAfter7Year</t>
  </si>
  <si>
    <t>fundValue</t>
  </si>
  <si>
    <t xml:space="preserve">Data Type: Number
Example: 650000 </t>
  </si>
  <si>
    <t>bondValueHistoricalAfter7Year</t>
  </si>
  <si>
    <t>surrenderDate</t>
  </si>
  <si>
    <t>Data Type: String
Date Format: "07/08/2021"
Example: "07/08/2021"</t>
  </si>
  <si>
    <t>totalInvestmentAfter8Year</t>
  </si>
  <si>
    <t>lastPremiumDate</t>
  </si>
  <si>
    <t>Data Type: String
Date Format : "6/30/2020"
Example: "6/30/2020"</t>
  </si>
  <si>
    <t>bankReturnsOnSurrenderValueAfter8Year</t>
  </si>
  <si>
    <t>policyNumber</t>
  </si>
  <si>
    <t>Data Type: Number
Example: 65846845</t>
  </si>
  <si>
    <t>fundValueAt8PercenatgeAfter8Year</t>
  </si>
  <si>
    <t>equityPlusFund</t>
  </si>
  <si>
    <t>Data Type: String
Example: "100%"</t>
  </si>
  <si>
    <t>fundValueAt4PercentageAfter8Year</t>
  </si>
  <si>
    <t>shortTermFund</t>
  </si>
  <si>
    <t>Data Type: String
Example: "0%"</t>
  </si>
  <si>
    <t>fundValueAtHistoricalValueAfter8Year</t>
  </si>
  <si>
    <t>incomeFund</t>
  </si>
  <si>
    <t>bondValueHistoricalAfter8Year</t>
  </si>
  <si>
    <t>bondFund</t>
  </si>
  <si>
    <t>totalInvestmentAfter9Year</t>
  </si>
  <si>
    <t>diversifiedEquityFund</t>
  </si>
  <si>
    <t>bankReturnsOnSurrenderValueAfter9Year</t>
  </si>
  <si>
    <t>oppurtunitiesFund</t>
  </si>
  <si>
    <t>fundValueAt8PercenatgeAfter9Year</t>
  </si>
  <si>
    <t>conservativeFund</t>
  </si>
  <si>
    <t>fundValueAt4PercentageAfter9Year</t>
  </si>
  <si>
    <t>blueChipFund</t>
  </si>
  <si>
    <t>fundValueAtHistoricalValueAfter9Year</t>
  </si>
  <si>
    <t>balanceFund</t>
  </si>
  <si>
    <t>bondValueHistoricalAfter9Year</t>
  </si>
  <si>
    <t>totalInvestmentAfter10Year</t>
  </si>
  <si>
    <t>bankReturnsOnSurrenderValueAfter10Year</t>
  </si>
  <si>
    <t>fundValueAt8PercenatgeAfter10Year</t>
  </si>
  <si>
    <t>fundValueAt4PercentageAfter10Year</t>
  </si>
  <si>
    <t>fundValueAtHistoricalValueAfter10Year</t>
  </si>
  <si>
    <t>bondValueHistoricalAfter10Year</t>
  </si>
  <si>
    <t>Policy Year</t>
  </si>
  <si>
    <t>PAC</t>
  </si>
  <si>
    <t>Admin 1</t>
  </si>
  <si>
    <t>Admin 2</t>
  </si>
  <si>
    <t>LA</t>
  </si>
  <si>
    <t>MORTALITY CHARGE</t>
  </si>
  <si>
    <t>FMC</t>
  </si>
  <si>
    <t>Age At Entry</t>
  </si>
  <si>
    <t>FUND</t>
  </si>
  <si>
    <t>Age at Maturity</t>
  </si>
  <si>
    <t>Age</t>
  </si>
  <si>
    <t>F</t>
  </si>
  <si>
    <t>PREM FREQ</t>
  </si>
  <si>
    <t>POLICY NAME</t>
  </si>
  <si>
    <t>Last Premium Due</t>
  </si>
  <si>
    <t>Annual Premium</t>
  </si>
  <si>
    <t>Growth rate_H</t>
  </si>
  <si>
    <t>Growth rate_L</t>
  </si>
  <si>
    <t>Tax</t>
  </si>
  <si>
    <t>No of completed months</t>
  </si>
  <si>
    <t>Paid-Up Premium</t>
  </si>
  <si>
    <t>Discontinued Growth</t>
  </si>
  <si>
    <t>Category (pac)</t>
  </si>
  <si>
    <t>LA TYPE</t>
  </si>
  <si>
    <t>Death Benefit</t>
  </si>
  <si>
    <t>Date of maturity</t>
  </si>
  <si>
    <t>PV %</t>
  </si>
  <si>
    <t>Historical Effective Return</t>
  </si>
  <si>
    <t>Display 1</t>
  </si>
  <si>
    <t>Display 2</t>
  </si>
  <si>
    <t>Bank rate</t>
  </si>
  <si>
    <t>Bond Fund return</t>
  </si>
  <si>
    <t>Bond Fund FMC</t>
  </si>
  <si>
    <t>MF Expense Ratio</t>
  </si>
  <si>
    <t>Fund 1</t>
  </si>
  <si>
    <t>Fund 2</t>
  </si>
  <si>
    <t>Policy Month</t>
  </si>
  <si>
    <t>Date</t>
  </si>
  <si>
    <t>Premium</t>
  </si>
  <si>
    <t>Admin</t>
  </si>
  <si>
    <t>FV interim (prem-PAC)</t>
  </si>
  <si>
    <t>Mortality Charge</t>
  </si>
  <si>
    <t>Sum at risk</t>
  </si>
  <si>
    <t>Death benefit at the start</t>
  </si>
  <si>
    <t>Fund before</t>
  </si>
  <si>
    <t>Fund Value Before LA</t>
  </si>
  <si>
    <t>Fund at the end</t>
  </si>
  <si>
    <t xml:space="preserve">Surrender </t>
  </si>
  <si>
    <t>Acc prem</t>
  </si>
  <si>
    <t>Surrender value in bank</t>
  </si>
  <si>
    <t>MF Fund at beginning</t>
  </si>
  <si>
    <t>MF Fund at end</t>
  </si>
  <si>
    <t>PV of Premium</t>
  </si>
  <si>
    <t>10% SA</t>
  </si>
  <si>
    <t>PV of 10% SA</t>
  </si>
  <si>
    <t>NAV 1</t>
  </si>
  <si>
    <t>NAV 2</t>
  </si>
  <si>
    <t>FV at the end of 60th policy month</t>
  </si>
  <si>
    <t>FV</t>
  </si>
  <si>
    <t>DISC CHARGE TABLE</t>
  </si>
  <si>
    <t>charge</t>
  </si>
  <si>
    <t>Last Prem Paid Date</t>
  </si>
  <si>
    <t>Premium Due Date (PTD)</t>
  </si>
  <si>
    <t>No. of months of premium payable</t>
  </si>
  <si>
    <t>No. of months of payable till date</t>
  </si>
  <si>
    <t>PUP Allowed</t>
  </si>
  <si>
    <t>No. of months for premium paid</t>
  </si>
  <si>
    <t>No. of months of unpaid premium</t>
  </si>
  <si>
    <t>5 year completed flag</t>
  </si>
  <si>
    <t>Revival Date</t>
  </si>
  <si>
    <t>Paid-up factor</t>
  </si>
  <si>
    <t>No. of months of future premium ageed to pay</t>
  </si>
  <si>
    <t>Policy month till premium agreed to pay</t>
  </si>
  <si>
    <t>Last date of agreed payment</t>
  </si>
  <si>
    <t>Revival Prem</t>
  </si>
  <si>
    <t>Undeducted PAC</t>
  </si>
  <si>
    <t>Undeducted Admin</t>
  </si>
  <si>
    <t>Allocation Charge</t>
  </si>
  <si>
    <t>Cashflow surrender</t>
  </si>
  <si>
    <t>Cashflow</t>
  </si>
  <si>
    <t>MF</t>
  </si>
  <si>
    <t>Look-up</t>
  </si>
  <si>
    <t>Customer Input Details</t>
  </si>
  <si>
    <t>Company</t>
  </si>
  <si>
    <t>Non-Linked - Assignment</t>
  </si>
  <si>
    <t>Product</t>
  </si>
  <si>
    <t>Linked - Refer Sheet</t>
  </si>
  <si>
    <t>Product Output</t>
  </si>
  <si>
    <t>Customer Output</t>
  </si>
  <si>
    <t>Product Details</t>
  </si>
  <si>
    <t>Financial Returns</t>
  </si>
  <si>
    <t>Product Launch Date</t>
  </si>
  <si>
    <t xml:space="preserve">Product Live </t>
  </si>
  <si>
    <t>Y/N</t>
  </si>
  <si>
    <t>Type</t>
  </si>
  <si>
    <t>(give generic description under i)</t>
  </si>
  <si>
    <t>Unique Features</t>
  </si>
  <si>
    <t>(What's Good/What's Bad/What's Okay)</t>
  </si>
  <si>
    <t>UL</t>
  </si>
  <si>
    <t>Fund(s) Available</t>
  </si>
  <si>
    <t>Debt/Equity Proportion (Need Customer Data)</t>
  </si>
  <si>
    <t>A pie chart, may be</t>
  </si>
  <si>
    <t>(could be a weighted average from different funds)</t>
  </si>
  <si>
    <t>How have the funds performed?</t>
  </si>
  <si>
    <t>What has peer group done?</t>
  </si>
  <si>
    <t>30% of policyholder who bought the policy when you did have enjoyed xx</t>
  </si>
  <si>
    <t>Liquidity Options</t>
  </si>
  <si>
    <t>Partial Withdrawal/Policy Loan</t>
  </si>
  <si>
    <t>Mid-Term IRR</t>
  </si>
  <si>
    <t>Projected Growth in Fund Value</t>
  </si>
  <si>
    <t>4/8/Actual Return</t>
  </si>
  <si>
    <t>Surrender IRR</t>
  </si>
  <si>
    <t>Back-Testing</t>
  </si>
  <si>
    <t>Had you paid, what would be the return using Actual NAV</t>
  </si>
  <si>
    <t>Non-UL</t>
  </si>
  <si>
    <t>Bonus Trends</t>
  </si>
  <si>
    <t>Illustration v/s Actual</t>
  </si>
  <si>
    <t>Pitch as per the need</t>
  </si>
  <si>
    <t>Cash Bonus/Money Back/Policy Loan/Assignment</t>
  </si>
  <si>
    <t>Future Bonus Lost</t>
  </si>
  <si>
    <t>Future Cover Lost</t>
  </si>
  <si>
    <t>Pay and stay</t>
  </si>
  <si>
    <t>Stay- paid up</t>
  </si>
  <si>
    <t>Post tax deductions</t>
  </si>
  <si>
    <t>Partial Withdrawal</t>
  </si>
  <si>
    <t>Effective returns</t>
  </si>
  <si>
    <t>Point to point fund growth incl FMC</t>
  </si>
  <si>
    <t>Benchmark growth</t>
  </si>
  <si>
    <t>Type 1 a</t>
  </si>
  <si>
    <t>Within the one year of the Date of Commencement or the Date of Issue or Date of reinstatement of the Policy, whichever is later, 80% of all the premiums paid till date is the amount payable on death. After the first year, the amount payable on death is the lesser of: (i) The sum assured stated plus reversionary bonuses declared to date; or (ii) The total of the premiums paid to date plus interest, at 6% per annum, on each premium from the premium due date to the date of death.</t>
  </si>
  <si>
    <t>Type 1 b</t>
  </si>
  <si>
    <t>Within the one year of the Date of Commencement or the Date of Issue or Date of reinstatement of the Policy, whichever is later, 80% of all the premiums paid till date is the amount payable on death. After the first year, the amount payable on death is the total of the premiums paid to date along with compounded interest, at 8% per annum subject to maximum of sum assured plus bonuses attached till the date of death.</t>
  </si>
  <si>
    <t>Type 1 c</t>
  </si>
  <si>
    <t>Within the one year of the Date of Commencement or the Date of Issue or Date of reinstatement of the Policy, whichever is later, 90% of the premium paid is the amount payable on death. After the first year, the amount payable on death is Sum Assured plus bonuses attached till date of death.</t>
  </si>
  <si>
    <t>Type 1 d</t>
  </si>
  <si>
    <t>(i) If death occurs within the first 5 policy years of the policy term, then 100% of the sum assured plus any accrued bonuses till date of death are payable. (ii) If death occurs after the 5th policy year but within the policy term, then 220% of the Sum Assured is payable as: a. 100% of the sum assured plus any accrued bonuses till date of death b. Every month for next 10 years – 1% of the Sum Assured is paid.</t>
  </si>
  <si>
    <t>Type 1 e</t>
  </si>
  <si>
    <t>On Death of the life assured, the benefit payable is as follows: (i) Before Risk Commencement Date - Refund of all premiums paid till the date of death less earlier policy payouts made , if any (ii) Death after Risk Commencement Date: The death benefit payable is the basic sum assured plus attaching reversionary bonuses plus any interim bonus and terminal bonus as declared and applicable at the date of death.</t>
  </si>
  <si>
    <t>Type 2 a</t>
  </si>
  <si>
    <t>The death benefit payable is the basic sum assured plus attaching reversionary bonuses plus any interim bonus and terminal bonus as declared and applicable at the date of death.</t>
  </si>
  <si>
    <t>Type 2 b</t>
  </si>
  <si>
    <t>In case of death of the life insured, the nominee gets the sum assured and bonus accrued till death under the plan. In case of accidental death, additional sum assured will be paid</t>
  </si>
  <si>
    <t>Type 2 c</t>
  </si>
  <si>
    <t>The death benefit payable is the basic sum assured.</t>
  </si>
  <si>
    <t>Type 2 d</t>
  </si>
  <si>
    <t>The death benefit payable is 200% of the basic sum assured is paid immediately plus attaching reversionary bonuses plus any interim bonus and terminal bonus as declared and applicable at the date of death. In case of death after accidental diability, only 200% of Sum Assured is paid immediately.</t>
  </si>
  <si>
    <t>Type 2 e</t>
  </si>
  <si>
    <t>On Death of the life assured due to accident, provided the policy is in force, the life assured receives 200% of the sum assured plus Guaranteed Additions plus attaching bonuses as declared and applicable at the date of death.</t>
  </si>
  <si>
    <t>Type 2 f</t>
  </si>
  <si>
    <t>On Death of the life assured, the life assured receives 200% of the sum assured plus Guaranteed Additions plus attaching bonuses as declared and applicable at the date of death. In case of accidental death, the death benefit payable will be 3 times the basic sum assured plus Guaranteed additions plus attaching bonuses (if any) plus guaranteed money back benefits with all the due premiums being waived off.</t>
  </si>
  <si>
    <t>Type 3 a</t>
  </si>
  <si>
    <t>Provided all premiums are paid, the assured benefit on death will be aggregate of the following: (i) Sum Assured or 10 times Annualised Premium or 105% of all the premiums paid till date whichever is higher (ii)Accrued Simple Reversionary bonuses plus interim and terminal bonuses (if any)</t>
  </si>
  <si>
    <t>Type 3 b</t>
  </si>
  <si>
    <t>Provided all premiums are paid, The assured benefit on death would be higher of the following: (i) Sum Assured (ii) 10 times annualised premium (iii) 105% of the premiums paid plus accrued guaranteed additions would also be payable on death.</t>
  </si>
  <si>
    <t>Type 3 c</t>
  </si>
  <si>
    <t>On death, the benefit payable is Sum assured on death which is 106% of the Basic Sum Assured where Basic Sum Assured is equal to 10 times the annual premium or Guaranteed Maturity Benefit, whichever is higher.</t>
  </si>
  <si>
    <t>Type 3 d</t>
  </si>
  <si>
    <t>The benefit payable on death will be higher of the following: (i) Sum Assured on Death + Accrued Reversionary Bonus + Interim Bonus (if any) + Terminal Bonus (if any) (ii) 105% of total premiums paid till date where the Sum Assured on death will be higher of the following: (i) Sum Assured on maturity (ii) 10 times Annualised premium for entry age up to 50 years and 7 times Annualised premium for entry age greater than 50 years</t>
  </si>
  <si>
    <t>Type 3 e</t>
  </si>
  <si>
    <t>The benefit payable on death will be higher of the following: (i) Sum Assured on Death +Accrued Guaranteed Additions + Accrued Reversionary Bonus + Interim Bonus (if any) + Terminal Bonus (if any) (ii) 105% of total premiums paid till date where the Sum Assured on death will be higher of the following: (i) Sum Assured on maturity (ii) 10 times Annualised premium for entry age up to 50 years and 7 times Annualised premium for entry age greater than 50 years</t>
  </si>
  <si>
    <t>Type 3 f</t>
  </si>
  <si>
    <t>The benefit payable on death will be higher of the following: (i) Sum Assured on Death +Accrued Guaranteed Additions + Accrued Reversionary Bonus + Interim Bonus (if any) + Terminal Bonus (if any) (ii) 105% of total premiums paid till date where the Sum Assured on death will be higher of the following: (i) Sum Assured on maturity (ii) 10 times Annualised premium for entry age up to 50 years and 7 times Annualised premium for entry age greater than 50 years. In case of accidental death, 100% of Sum Assured on Death is also payable.</t>
  </si>
  <si>
    <t>Type 3 g</t>
  </si>
  <si>
    <t>In case of accidental death during the waiting period of 90 days or death after the waiting period due to any cause, Sum Assured payable on death is the highest of the following: (i) 10 times the single premium in case of single pay or 10 times the annualised premium in case of limited pay (ii) 105% of total premiums paid (iii) Sum Assured on maturity (iv) Any absolute amount assured to be paid on death, which is equal to the Sum Assured on maturity. In case of death due to any other cause except accident during the waiting period, sum assured payable on death is 100% of total premiums paid.</t>
  </si>
  <si>
    <t>Type 3 h</t>
  </si>
  <si>
    <t>Provided all premiums are paid, The assured benefit on death would be higher of the following: (i) An absolute amount assured to be paid on death, which is equal to Sum Assured (ii) 10 times annualised premium (iii) 105% of the premiums paid (iv) Premiums paid accumulated at an interest of 5% p.a. compounded annually (v) Guaranteed Sum Assured on maturity Sum Assured shall be equal to the applicable Death Benefit Multiple times the Annualised Premium.</t>
  </si>
  <si>
    <t>Type 3 i</t>
  </si>
  <si>
    <t>The assured benefit payable on death would be 101% of the total premiums paid till date plus attaching reversionary bonuses, plus interim and terminal bonuses (if any). The minimum level of death benefit at all times will be 105% of total premiums paid till date.</t>
  </si>
  <si>
    <t>Type 3 j</t>
  </si>
  <si>
    <t>On death during the Policy Term, provided all due premiums have been paid till the date of death, the benefit payable is higher of: (i) Death Sum Assured plus Reversionary Bonus plus Terminal Bonus, if any. (ii) 105% of total premiums paid Where death Sum Assured is higher of: • Sum Assured • 10 times the Annualised Premium for age less than 45 years or 7 times the Annualised Premium for age greater than or equal to 45 years.</t>
  </si>
  <si>
    <t>Type 3 k</t>
  </si>
  <si>
    <t>On death during the Policy Term, the Death Sum Assured payable the highest of the following: i. 10 times Annualised Premium ii. 105% of total premiums paid iii. 11 annual instalments of 1.3 times the annualised premium in case of 11 year term policy or 15 annual instalment of 1.5 the annualised premium in case of 15 year term policy.</t>
  </si>
  <si>
    <t>Type 3 l</t>
  </si>
  <si>
    <t>The benefit payable on death will be higher of the following: (i) Sum Assured on Death + Accrued Reversionary Bonus + Interim Bonus (if any) + Terminal Bonus (if any) (ii) 105% of total premiums paid till date where the Sum Assured on death will be higher of the following: (i) Sum Assured on maturity (ii) 11 times Annualised premium</t>
  </si>
  <si>
    <t>Type 3 m</t>
  </si>
  <si>
    <t>The benefit payable on death will be higher of the following: (i) Sum Assured on Death + Accrued Reversionary Bonus + Interim Bonus (if any) + Terminal Bonus (if any) (ii) 105% of total premiums paid till date where the Sum Assured on death will be higher of the following: (i) Sum Assured on maturity (ii) 11 times Annualised premium for entry age upto 45 years and 7 times the annualised premium for entry age greater than 45 years.</t>
  </si>
  <si>
    <t>Type 3 n</t>
  </si>
  <si>
    <t>The benefit payable on death if during the PPT is Sum Assured on Death + Accrued Reversionary Bonus + Interim Bonus (if any) + Terminal Bonus (if any) and the benefit payable on death after PPT is Sum Assured on Death + Terminal Bonus (if any) + Accrued Paid-Up additions (if any) where the Sum Assured on death will be higher of the following: (i) Sum Assured on maturity (ii) 11 times Annualised premium (iii) 105% of total premiums paid till date</t>
  </si>
  <si>
    <t>Type 3 o</t>
  </si>
  <si>
    <t>The benefit payable on death minimum death benefit + Accrued Guaranteed Additions + Accrued Reversionary Bonus + Interim Bonus (if any) + Terminal Bonus (if any) where the minimum death benefit will be higher of the following: (i) Basic Sum Assured (ii) 11 times Annualised premium + extra premium (if any) for entry age less than 45 years and 7 times the annualised premium + extra premium for entry age greater than equal to 45 years. (iii) 105% of total premiums paid till date</t>
  </si>
  <si>
    <t>Type 3 p</t>
  </si>
  <si>
    <t>The death benefit payable is Sum Assured plus accrued reversionary bonus plus interim bonus and terminal bonus (if any) where Sum assured is higher of: (i) Basic Sum Assured (ii) 11 times Annualised premium including extra premium</t>
  </si>
  <si>
    <t>Type 3 q</t>
  </si>
  <si>
    <t>The death benefit payable is Sum Assured plus accrued reversionary bonus plus interim bonus and terminal bonus (if any) plus present value of remaining Guaranteed Monthly Income where Sum assured is higher of: (i) Basic Sum Assured (ii) 11 times Annualised premium including extra premium (iii) 105% of total premiums paid till date</t>
  </si>
  <si>
    <t>Type 3 r</t>
  </si>
  <si>
    <t>The benefit payable on death is Basic Death Benefit plus Guaranteed Yearly Additions where the Basic Death Benefit will be higher of the following: (i) Guaranteed Minimum Death Benefit (ii) 11 times Annualised premium for entry age less than 50 years and 7 times the annualised premium for entry age greater than or equal to 50 years. (iii) 105% of total premiums paid till date</t>
  </si>
  <si>
    <t>Type 3 s</t>
  </si>
  <si>
    <t>The benefit payable on death is Sum Assured on Death where the Sum Assured on death will be higher of the following: (i) Guaranteed Maturity Benefit (ii) 11 times Annualised premium for entry age upto 50 years and 7 times the annualised premium for entry age greater than 50 years. (iii) 105% of total premiums paid till date (iv) Basic Sum Assured</t>
  </si>
  <si>
    <t>Type 3 t</t>
  </si>
  <si>
    <t>The benefit payable on death is Sum Assured on Death + Accrued Reversionary Bonus + Interim Bonus (if any) + Terminal Bonus (if any) where the Sum Assured on death will be higher of the following: (i) Basic Sum Assured plus Guaranteed Loyalty Addition (ii) 11 times Annualised premium including extra premium (iii) 105% of total premiums paid till date</t>
  </si>
  <si>
    <t>Type 3 u</t>
  </si>
  <si>
    <t>On death during the Policy Term, provided all due premiums have been paid till the date of death, the benefit payable is higher of: (i) Death Sum Assured plus Vested Bonus plus Terminal Bonus, if any. (ii) 105% of total premiums paid Where death Sum Assured is higher of: • 10 times the Annualised Premium • Guaranteed Maturity Sum Assured • Absolute amount payable on death (which is equal to Sum Assured)</t>
  </si>
  <si>
    <t>Type 3 v</t>
  </si>
  <si>
    <t>Death benefit is the highest of: Sum Assured on Death:
1. 105% of Total Premiums Paid
2. Life Cover SA
-Sum Assured on Death for Single Pay (SP) is the higher of:
125% of Single Premium or Sum Assured on Maturity
-Sum Assured on Death for other than Single Pay (Limited Pay and Regular Pay) is the higher of:
10 times of the Annualized Premium or Sum Assured on Maturity</t>
  </si>
  <si>
    <t>Type 3 w</t>
  </si>
  <si>
    <t>On accidental death, higher of - (i) 10 times premium (ii) 105% of total premiums paid (iii) Sum assured on maturity (iv) any absolute amount to be payable on death On any other medium of death, 100% of Total Premiums paid</t>
  </si>
  <si>
    <t>Type 3 x</t>
  </si>
  <si>
    <t>On death of the life assured during the policy term, provided all due premiums are paid, death bene_x001e_t equal to the following shall be payable as lump sum to the nominee: • Sum Assured on Death plus • Accrued Cash Bonuses, if not paid earlier plus • Interim Survival Bene_x001e_t (if any) plus • Terminal Bonus (if declared) The minimum Death Bene_x001e_t shall be 105% of Total Premiums Paid4 as on date of death. Where, the Sum Assured on Death is the absolute amount of bene_x001e_t which is guaranteed to become payable on death of the life assured. It shall be the highest of: • 10 times the Annualized Premium • Sum Assured on Maturity • Death Multiple x Annualized Premium Where, Interim Survival Bene_x001e_t = Interim Cash Bonus Rate * Annualized Premium * Months elapsed since last Survival Benefit payout date / 12</t>
  </si>
  <si>
    <t>Type 3 y</t>
  </si>
  <si>
    <t>On death of the life assured, we would pay to the nominee the Assured Death Benefit of total premiums paid to date accumulated at a guaranteed rate of 6% per annum compounded annually. The minimum level of death benefit at all times will be 105% of the premiums paid</t>
  </si>
  <si>
    <t>Type 4 a</t>
  </si>
  <si>
    <t>On death,We will pay the greater of the following: 1.Sum Assured (less withdrawals ) 2.Unit Fund Value 3.Minimum death benefit. The policy will terminate and no more benefits will be payable.</t>
  </si>
  <si>
    <t>MAX(SA,105% PREM, FV)</t>
  </si>
  <si>
    <t>Type 4 c</t>
  </si>
  <si>
    <t>Unit fund value.</t>
  </si>
  <si>
    <t>UF</t>
  </si>
  <si>
    <t>Type 5</t>
  </si>
  <si>
    <t>Nil</t>
  </si>
  <si>
    <t>-</t>
  </si>
  <si>
    <t>Type 4 d</t>
  </si>
  <si>
    <t>If the Life Assured dies before the Expiry Date of this benefit, the Sum Assured stated against Death Benefit in the Schedule of Benefits plus the Unit Fund Value shall be payable subject to Provision 18 and acceptance of the claim by us. Upon</t>
  </si>
  <si>
    <t>SA+FV</t>
  </si>
  <si>
    <t>Type 4 e</t>
  </si>
  <si>
    <t>the greater of the Sum Assured, stated against Death Benefit in the Schedule of Benefits, less any withdrawals made (as defined below) and the Unit Fund Value is payable,</t>
  </si>
  <si>
    <t>MAX(FV,SA)</t>
  </si>
  <si>
    <t>Type 4 f</t>
  </si>
  <si>
    <t>the Sum Assured stated against Death Benefit in the Schedule of Benefits shall be payable</t>
  </si>
  <si>
    <t>SA</t>
  </si>
  <si>
    <t>Type 4 h</t>
  </si>
  <si>
    <t>Benefit Payment Preference- Save Benefit or Save and Gain Benefit</t>
  </si>
  <si>
    <t>SA+PVF</t>
  </si>
  <si>
    <t>Includes Present Value Factor</t>
  </si>
  <si>
    <t>Type 4 i</t>
  </si>
  <si>
    <t>On death of the life assured, we would pay to the nominee the higher of Unit Fund Value or Total premiums paid to date accumulated at a guaranteed rate of 6% per annum compounded annually. The minimum level of death benefit at all times will be 105% of the premiums paid</t>
  </si>
  <si>
    <t>MAX(FV,100% PREM)</t>
  </si>
  <si>
    <t>Type 4 k</t>
  </si>
  <si>
    <t>In case of your unfortunate demise before the end of policy term, your nominee will receive the higher of the following: Fund Value or 101% of total premiums paid i.e. single premium and top-up premium.</t>
  </si>
  <si>
    <t>MAX(FV,101% PREM)</t>
  </si>
  <si>
    <t>Type 4 m</t>
  </si>
  <si>
    <t>In the event of death of the Life Insured, the Company shall pay an amount which is the sum total of i) Fund Value prevailing as on the date of receipt of intimation to Us, of the death of the Life Insured; Sum Assured AND SHOULD BE AT LEAST 105% of the total Premiums paid (including Top Up Premiums, if any).</t>
  </si>
  <si>
    <t>MAX(105%, SA+FV)</t>
  </si>
  <si>
    <t>Type 4 n</t>
  </si>
  <si>
    <t>the Company shall pay Sum Assured alongwith higher of the Guaranteed Value and the Fund value under the Policy. Guaranteed Value” is the sum of allocated premium (net of mortality and policy
administration charges and Partial Withdrawals) and all accrued bonus Interest credits.</t>
  </si>
  <si>
    <t>SA + max(GV,FV)</t>
  </si>
  <si>
    <t>Type 4 r</t>
  </si>
  <si>
    <t>In the event of the death of the Life Assured, the Company shall pay highest of the following: (a) Sum Assured and (b) Fund value and (c) Sum of all premiums paid less the amount of partial withdrawals made till date</t>
  </si>
  <si>
    <t>max(SA,FV,100%prem)</t>
  </si>
  <si>
    <t>Type 4 o</t>
  </si>
  <si>
    <t>Benefit Payment Preference- Save Benefit or Save and Gain Benefit +10% SA installments</t>
  </si>
  <si>
    <t>SA+RB+TB</t>
  </si>
  <si>
    <t>Income+RB+TB</t>
  </si>
  <si>
    <t>SA+RB+TB+Enhanced TB</t>
  </si>
  <si>
    <t>SA+GA</t>
  </si>
  <si>
    <t>GA</t>
  </si>
  <si>
    <t>SA+RB+TB+MA</t>
  </si>
  <si>
    <t>SA+RB+TB+GA</t>
  </si>
  <si>
    <t>Income+SA+RB+TB</t>
  </si>
  <si>
    <t>SA+RB+TB+CB</t>
  </si>
  <si>
    <t>SA+RB+TB-Income</t>
  </si>
  <si>
    <t>Mat_Ben</t>
  </si>
  <si>
    <t>SA+Mat_Ben+GA</t>
  </si>
  <si>
    <t>UF+ % Prem</t>
  </si>
  <si>
    <t>PREM returned</t>
  </si>
  <si>
    <t>UF+Assured Vesting Benefit</t>
  </si>
  <si>
    <t>UF+ GA</t>
  </si>
  <si>
    <t>MAX(FV,GMB)</t>
  </si>
  <si>
    <t>MAX(FV,101% OF PREMS PAID)</t>
  </si>
  <si>
    <t>UF+MA</t>
  </si>
  <si>
    <t>MAX(FV, Total premiums paid)</t>
  </si>
  <si>
    <t>Max(GSV,SSV)</t>
  </si>
  <si>
    <t>UFV- Surrender Charge</t>
  </si>
  <si>
    <t>NEW</t>
  </si>
  <si>
    <t>UFV</t>
  </si>
  <si>
    <t>HDFC LIFE GUARANTEED PENSION PLAN</t>
  </si>
  <si>
    <t>% of SA</t>
  </si>
  <si>
    <t>Name of Insurer</t>
  </si>
  <si>
    <t xml:space="preserve">Product UIN </t>
  </si>
  <si>
    <t>Name of the Product</t>
  </si>
  <si>
    <t>In operation</t>
  </si>
  <si>
    <t>Remarks, if any, by IRDA</t>
  </si>
  <si>
    <t>Individual/Group</t>
  </si>
  <si>
    <t>Category</t>
  </si>
  <si>
    <t>Brochure Available</t>
  </si>
  <si>
    <t>Death Benefit Type</t>
  </si>
  <si>
    <t>Maturity Benefit</t>
  </si>
  <si>
    <t>Surrender Value</t>
  </si>
  <si>
    <t>Income Payable</t>
  </si>
  <si>
    <t>No. of Funds</t>
  </si>
  <si>
    <t>Policy Loans</t>
  </si>
  <si>
    <t>Inbuilt WoP</t>
  </si>
  <si>
    <t>Revival Period</t>
  </si>
  <si>
    <t>Min Age</t>
  </si>
  <si>
    <t>Max Age</t>
  </si>
  <si>
    <t>Max age at Maturity</t>
  </si>
  <si>
    <t>Min Pol Term</t>
  </si>
  <si>
    <t>Max Pol Term</t>
  </si>
  <si>
    <t>Min PPT</t>
  </si>
  <si>
    <t>Max PPT</t>
  </si>
  <si>
    <t>Comment</t>
  </si>
  <si>
    <t>From (opening date*)</t>
  </si>
  <si>
    <t>To (closing date)</t>
  </si>
  <si>
    <t>PAC1</t>
  </si>
  <si>
    <t>Admin Cap</t>
  </si>
  <si>
    <t>LA TABLE</t>
  </si>
  <si>
    <t>HDFC Standard Life Insurance Co. Ltd.</t>
  </si>
  <si>
    <t>101L011V01</t>
  </si>
  <si>
    <t>HDFC Group Unit Linked Plan</t>
  </si>
  <si>
    <t>Withdrawn</t>
  </si>
  <si>
    <t>Group</t>
  </si>
  <si>
    <t>101L011V02</t>
  </si>
  <si>
    <t>HDFC Group Unit Linked Plan Option A</t>
  </si>
  <si>
    <t>N</t>
  </si>
  <si>
    <t>101L015V01</t>
  </si>
  <si>
    <t>HDFC Unit Linked Endowment Plan</t>
  </si>
  <si>
    <t>Individual</t>
  </si>
  <si>
    <t>Unit Linked</t>
  </si>
  <si>
    <t>101L015V02</t>
  </si>
  <si>
    <t>HDFC Unit Linked Endowment</t>
  </si>
  <si>
    <t>withdrawn</t>
  </si>
  <si>
    <t>Rs. 20 per month increased in line with inflation subject to a maximum of 5% per annum over the period since inception</t>
  </si>
  <si>
    <t>HDFC_ULENDOWMENT_PAC</t>
  </si>
  <si>
    <t>HDFC_ULENDOWMENT_ADMIN</t>
  </si>
  <si>
    <t>101L016V01</t>
  </si>
  <si>
    <t>HDFC Unit Linked Pension Plan</t>
  </si>
  <si>
    <t>Initial Single Premium- PAC</t>
  </si>
  <si>
    <t>HDFC_PENSIONPLAN_PAC</t>
  </si>
  <si>
    <t>101L016V02</t>
  </si>
  <si>
    <t xml:space="preserve">HDFC Unit Linked Pension  </t>
  </si>
  <si>
    <t>101L017V01</t>
  </si>
  <si>
    <t>HDFC Leave Encashment Plan</t>
  </si>
  <si>
    <t>101L019V01</t>
  </si>
  <si>
    <t>HDFC Unit Linked Young Star Plan</t>
  </si>
  <si>
    <t>Value at inception increased in line with inflation subject to a maximum of 5% per annum over the period since inception</t>
  </si>
  <si>
    <t>HDFC_ULYOUNGSTAR01_PAC</t>
  </si>
  <si>
    <t>HDFC_ULYOUNGSTARPLAN_ADMIN</t>
  </si>
  <si>
    <t>101L019V02</t>
  </si>
  <si>
    <t>HDFC Unit Linked Young Star</t>
  </si>
  <si>
    <t>HDFC_ULYOUNGSTARPLAN02_ADMIN</t>
  </si>
  <si>
    <t>101L022V01</t>
  </si>
  <si>
    <t>HDFC Group Unit Linked Plan Option B</t>
  </si>
  <si>
    <t>101L022V02</t>
  </si>
  <si>
    <t>101L023V01</t>
  </si>
  <si>
    <t xml:space="preserve">HDFC Unit Linked Young Star Plus </t>
  </si>
  <si>
    <t>Y</t>
  </si>
  <si>
    <t>HDFC_ULYOUNGSTARPLUS_PAC</t>
  </si>
  <si>
    <t>HDFC_ULYOUNGSTARPLUS_ADMIN</t>
  </si>
  <si>
    <t>HDFC_LATYPE1</t>
  </si>
  <si>
    <t>101L024V01</t>
  </si>
  <si>
    <t xml:space="preserve">HDFC Unit Linked Endowment Plus </t>
  </si>
  <si>
    <t>HDFC_ULENDOWMENTPLUS_PAC</t>
  </si>
  <si>
    <t>HDFC_ULENDOMENTPLUS_ADMIN</t>
  </si>
  <si>
    <t>101L025V01</t>
  </si>
  <si>
    <t>HDFC Unit Linked Young Star Suvidha</t>
  </si>
  <si>
    <t>HDFC_ULYOUNGSTARSUVIDHA_PAC</t>
  </si>
  <si>
    <t>HDFC_ULYOUNGSTARSUVIDHA_ADMIN</t>
  </si>
  <si>
    <t>101L026V01</t>
  </si>
  <si>
    <t xml:space="preserve">HDFC Unit Linked Young Star Suvidha Plus </t>
  </si>
  <si>
    <t>HDFC_ULYOUNGSTARSUVIDHAPLUS_PAC</t>
  </si>
  <si>
    <t>HDFC_ULYOUNGSTARSUVIDHAPLUS_ADMIN</t>
  </si>
  <si>
    <t>101L027V01</t>
  </si>
  <si>
    <t>HDFC Unit Linked Endowment Suvidha</t>
  </si>
  <si>
    <t>HDFC_ULENDOWMENTSUVIDHA_PAC</t>
  </si>
  <si>
    <t>HDFC_ULENDOWMENTSUVIDHA_ADMIN</t>
  </si>
  <si>
    <t>101L028V01</t>
  </si>
  <si>
    <t xml:space="preserve">HDFC Unit Linked Endowment Suvidha Plus </t>
  </si>
  <si>
    <t>HDFC_ULENDOWMENTSUVIDHAPLUS_PAC</t>
  </si>
  <si>
    <t>HDFC_ULENDOWMENTSUVIDHAPLUS_ADMIN</t>
  </si>
  <si>
    <t>101L029V01</t>
  </si>
  <si>
    <t xml:space="preserve">HDFC Unit Linked Pension Plus  </t>
  </si>
  <si>
    <t>HDFC_ULPENSIONPLUS_PAC</t>
  </si>
  <si>
    <t>HDFC_ULPENSIONPLUS_ADMIN</t>
  </si>
  <si>
    <t>101L030V01</t>
  </si>
  <si>
    <t xml:space="preserve">HDFC Unit Linked Enhanced Life Protection II </t>
  </si>
  <si>
    <t>Rs. 60 per month, increased by a maximum of 5% per annum over the period since inception</t>
  </si>
  <si>
    <t>HDFC_ULENHANCEDLIFEPROTECTIONII_PAC</t>
  </si>
  <si>
    <t>HDFC_EnhancedLifeProtectionII_Admin</t>
  </si>
  <si>
    <t>101L031V01</t>
  </si>
  <si>
    <t xml:space="preserve">HDFC Unit Linked Endowment Plus II </t>
  </si>
  <si>
    <t>HDFC_ULENDOWMENTPLUSII_PAC</t>
  </si>
  <si>
    <t>HDFC_EndowmentPlusII_Admin</t>
  </si>
  <si>
    <t>101L032V01</t>
  </si>
  <si>
    <t xml:space="preserve">HDFC Unit Linked YoungStar Plus II </t>
  </si>
  <si>
    <t>HDFC_YOUNGSTARPLUSII_PAC</t>
  </si>
  <si>
    <t>HDFC_YoungStarPlusII_Admin</t>
  </si>
  <si>
    <t>101L033V01</t>
  </si>
  <si>
    <t>HDFC SimpliLife</t>
  </si>
  <si>
    <t>HDFC_SIMPLILIFE01_PAC</t>
  </si>
  <si>
    <t>HDFC_SimpliLife01_Admin</t>
  </si>
  <si>
    <t>101L033V02</t>
  </si>
  <si>
    <t>HDFC_SIMPLILIFE0203_PAC</t>
  </si>
  <si>
    <t>HDFC_SimpliLife0203_Admin</t>
  </si>
  <si>
    <t>101L033V03</t>
  </si>
  <si>
    <t>101L034V01</t>
  </si>
  <si>
    <t>HDFC Wealth Maximiser Plus</t>
  </si>
  <si>
    <t>99- Age at entry</t>
  </si>
  <si>
    <t>HDFC_ULWEALTHMAXIMISERPLUS_PAC</t>
  </si>
  <si>
    <t>HDFC_WEALTHMAXIMISERPLUS_ADMIN</t>
  </si>
  <si>
    <t>101L036V01</t>
  </si>
  <si>
    <t>HDFC Unit Linked Young Star II</t>
  </si>
  <si>
    <t>HDFC_ULYOUNGSTARII_PAC</t>
  </si>
  <si>
    <t>HDFC_YoungStarII_Admin</t>
  </si>
  <si>
    <t>101L038V01</t>
  </si>
  <si>
    <t>HDFC Unit Linked Endowment II</t>
  </si>
  <si>
    <t>HDFC_ULENDOWMENTII_PAC</t>
  </si>
  <si>
    <t>HDFC_EndowmentII_Admin</t>
  </si>
  <si>
    <t>101L039V01</t>
  </si>
  <si>
    <t>HDFC Unit Linked Pension II</t>
  </si>
  <si>
    <t>101L040V01</t>
  </si>
  <si>
    <t>HDFC Unit Linked Pension Maximiser II</t>
  </si>
  <si>
    <t>Rs. 20 per month, increased by a maximum of 5% per annum over the period since inception</t>
  </si>
  <si>
    <t>HDFC_PENSIONMAXIMISERII_PAC</t>
  </si>
  <si>
    <t>HDFC_ULPensionMaximiserII_Admin</t>
  </si>
  <si>
    <t>101L041V01</t>
  </si>
  <si>
    <t>HDFC Unit Linked Endowment Winner</t>
  </si>
  <si>
    <t>HDFC_ULENDOWMENTWINNER_PAC</t>
  </si>
  <si>
    <t>HDFC_EndowmentWinner_Admin</t>
  </si>
  <si>
    <t>101L042V01</t>
  </si>
  <si>
    <t>HDFC Unit Linked Young Star Champion</t>
  </si>
  <si>
    <t>HDFC_ULYOUNGSTARCHAMPION_PAC</t>
  </si>
  <si>
    <t>HDFC_YoungStarChampion_Admin</t>
  </si>
  <si>
    <t>101L044V01</t>
  </si>
  <si>
    <t>HDFC Unit Linked Wealth Multiplier</t>
  </si>
  <si>
    <t>HDFC_ULWEALTHMULTIPLIER_PAC</t>
  </si>
  <si>
    <t>HDFC_ULWEALTHMULTIPLIER_ADMIN</t>
  </si>
  <si>
    <t>101L047V01</t>
  </si>
  <si>
    <t xml:space="preserve">HDFC Pension Super </t>
  </si>
  <si>
    <t>Rs. 50 per month, increased by a maximum of 5% per annum over the period since inception</t>
  </si>
  <si>
    <t>HDFC_PENSIONSUPER_PAC</t>
  </si>
  <si>
    <t>HDFC_PensionSuper_Admin</t>
  </si>
  <si>
    <t>101L048V01</t>
  </si>
  <si>
    <t xml:space="preserve">HDFC Young Star Super </t>
  </si>
  <si>
    <t>HDFC_ULYOUNGSTARSUPER_PAC</t>
  </si>
  <si>
    <t>HDFC_YoungStarSuper_Admin</t>
  </si>
  <si>
    <t>101L049V01</t>
  </si>
  <si>
    <t>HDFC Endowment Super</t>
  </si>
  <si>
    <t>HDFC_ULENDOWMENTSUPER_PAC</t>
  </si>
  <si>
    <t>HDFC_EndowmentSuper_Admin</t>
  </si>
  <si>
    <t>101L050V01</t>
  </si>
  <si>
    <t>HDFC Young Star Super Suvidha</t>
  </si>
  <si>
    <t>HDFC_ULYOUNGSTARSUPERSUVIDHA_PAC</t>
  </si>
  <si>
    <t>HDFC_YoundStarSuperSuvidha_Admin</t>
  </si>
  <si>
    <t>101L051V01</t>
  </si>
  <si>
    <t>HDFC Endowment Super Suvidha</t>
  </si>
  <si>
    <t>HDFC_ENDOWMENTSUPERSUVIDHA_PAC</t>
  </si>
  <si>
    <t>HDFC_EndowmentSuperSuvidha_Admin</t>
  </si>
  <si>
    <t>101L052V01</t>
  </si>
  <si>
    <t>HDFC Young Star Supreme Suvidha</t>
  </si>
  <si>
    <t>0.4% of original annualised premium will be deducted monthly.</t>
  </si>
  <si>
    <t>HDFC_ULYOUNGSTARSUPREMESUVIDHA_PAC</t>
  </si>
  <si>
    <t>HDFC_YoungStarSupremeSuvidha_Admin</t>
  </si>
  <si>
    <t>101L053V01</t>
  </si>
  <si>
    <t>HDFC Endowment Supreme Suvidha</t>
  </si>
  <si>
    <t>HDFC_ENDOWMENTSUPREMESUVIDHA_PAC</t>
  </si>
  <si>
    <t>HDFC_EndowmentSupremeSuvidha_Admin</t>
  </si>
  <si>
    <t>101L054V01</t>
  </si>
  <si>
    <t>HDFC Wealth Builder</t>
  </si>
  <si>
    <t>0.25% per month on original annualised premium for first five years of the policy only.</t>
  </si>
  <si>
    <t>HDFC_WEALTHBUILDER_PAC</t>
  </si>
  <si>
    <t>HDFC_WealthBuilder_Admin</t>
  </si>
  <si>
    <t>101L055V01</t>
  </si>
  <si>
    <t>HDFC Pension Supreme</t>
  </si>
  <si>
    <t>HDFC_PENSIONSUPREME_PAC</t>
  </si>
  <si>
    <t>HDFC_PensionSupreme_Admin</t>
  </si>
  <si>
    <t>101L056V01</t>
  </si>
  <si>
    <t>HDFC Pension Maximiser II</t>
  </si>
  <si>
    <t>Admin charge- subject to a maximum of Rs 80 per month</t>
  </si>
  <si>
    <t>HDFC_ULPENSIONMAXIMISERII_PAC</t>
  </si>
  <si>
    <t>HDFC_PensionMaximiserII_Admin</t>
  </si>
  <si>
    <t>101L057V01</t>
  </si>
  <si>
    <t>HDFC Pension Champion</t>
  </si>
  <si>
    <t>0.95% per month on original annualised premium for first five years of the policy only</t>
  </si>
  <si>
    <t>HDFC_PENSIONCHAMPION_PAC</t>
  </si>
  <si>
    <t>HDFC_PensionChampion_Admin</t>
  </si>
  <si>
    <t>101L058V01</t>
  </si>
  <si>
    <t>HDFC Endowment Supreme</t>
  </si>
  <si>
    <t>HDFC_ENDOWMENTSUPREME_PAC</t>
  </si>
  <si>
    <t>HDFC_EndowmentSupreme_Admin</t>
  </si>
  <si>
    <t>101L059V01</t>
  </si>
  <si>
    <t xml:space="preserve">HDFC Young Star Champion Suvidha </t>
  </si>
  <si>
    <t>HDFC_YOUNGSTARCHAMPIONSUVIDHA_PAC</t>
  </si>
  <si>
    <t>HDFC_YoungStarChampionSuvidha_Admin</t>
  </si>
  <si>
    <t>101L060V01</t>
  </si>
  <si>
    <t>HDFC YoungStar Supreme</t>
  </si>
  <si>
    <t>HDFC_YOUNGSTARSUPREME_PAC</t>
  </si>
  <si>
    <t>HDFC_YoungStarSupreme_Admin</t>
  </si>
  <si>
    <t>101L061V01</t>
  </si>
  <si>
    <t>HDFC Endowment Champion Suvidha</t>
  </si>
  <si>
    <t>HDFC_ENDOWMENTCHAMPIONSUVIDHA_PAC</t>
  </si>
  <si>
    <t>HDFC_EndowmentChampionSuvidha_Admin</t>
  </si>
  <si>
    <t>101L064V01</t>
  </si>
  <si>
    <t>HDFC SL Crest</t>
  </si>
  <si>
    <t>HDFC_SLCrest_PAC</t>
  </si>
  <si>
    <t>HDFC_SLCrest_Admin</t>
  </si>
  <si>
    <t>101L064V02</t>
  </si>
  <si>
    <t>101L064V03</t>
  </si>
  <si>
    <t>101L065V01</t>
  </si>
  <si>
    <t>HDFC SL Youngstar Super II</t>
  </si>
  <si>
    <t>Single</t>
  </si>
  <si>
    <t>Admin charge will increase by 5% monthly upto 0.4%</t>
  </si>
  <si>
    <t>HDFC_SLYoungstarSuperII_PAC</t>
  </si>
  <si>
    <t>HDFC_SLYoungstarSuperII_Admin</t>
  </si>
  <si>
    <t>101L066V01</t>
  </si>
  <si>
    <t>HDFC SL ProGrowth Super II</t>
  </si>
  <si>
    <t>HDFC_SLProgrowthSuperII_PAC</t>
  </si>
  <si>
    <t>HDFC_SLProGrowthSuperII_Admin</t>
  </si>
  <si>
    <t>101L066V02</t>
  </si>
  <si>
    <t>101L066V03</t>
  </si>
  <si>
    <t>101L066V04</t>
  </si>
  <si>
    <t>101L067V01</t>
  </si>
  <si>
    <t>HDFC SL ProGrowth Maximiser</t>
  </si>
  <si>
    <t>HDFC_SLProgrowthMaximiser_PAC</t>
  </si>
  <si>
    <t>HDFC_SLProGrowthMaximiser_Admin</t>
  </si>
  <si>
    <t>101L067V02</t>
  </si>
  <si>
    <t>101L067V03</t>
  </si>
  <si>
    <t>101L068V01</t>
  </si>
  <si>
    <t>HDFC SL Young Star Super Premium</t>
  </si>
  <si>
    <t>HDFC_SLYoungStarSP_PAC</t>
  </si>
  <si>
    <t>HDFC_SLYoungStarSuperPremium_Admin</t>
  </si>
  <si>
    <t>101L068V02</t>
  </si>
  <si>
    <t>101L068V03</t>
  </si>
  <si>
    <t>101L072V01</t>
  </si>
  <si>
    <t>HDFC SL ProGrowth Flexi</t>
  </si>
  <si>
    <t>HDFC_SLProgrowthFlexi_PAC</t>
  </si>
  <si>
    <t>HDFC_SLProGrowthFlexi_Admin</t>
  </si>
  <si>
    <t>101L072V02</t>
  </si>
  <si>
    <t>101L072V03</t>
  </si>
  <si>
    <t>101L072V04</t>
  </si>
  <si>
    <t>101L072V05</t>
  </si>
  <si>
    <t>101L073V01</t>
  </si>
  <si>
    <t>HDFC SL Group Unit Linked Option I</t>
  </si>
  <si>
    <t>101L074V01</t>
  </si>
  <si>
    <t>HDFC SL pension Maximus</t>
  </si>
  <si>
    <t>HDFC_SLPENSIONMAXIMUS_PAC</t>
  </si>
  <si>
    <t>HDFC_SLPensionsMaxius_Admin</t>
  </si>
  <si>
    <t>101L081V01</t>
  </si>
  <si>
    <t xml:space="preserve">HDFC SL Pro Growth Plus </t>
  </si>
  <si>
    <t>HDFC_ProGrowthPlus_PAC</t>
  </si>
  <si>
    <t>HDFC_ProGrowthPlus_Admin</t>
  </si>
  <si>
    <t>101L081V02</t>
  </si>
  <si>
    <t>101L081V03</t>
  </si>
  <si>
    <t>101L081V04</t>
  </si>
  <si>
    <t>HDFC_PROGROWTHPLUS05_PAC</t>
  </si>
  <si>
    <t>101L082V01</t>
  </si>
  <si>
    <t xml:space="preserve">HDFC Life Smart Women Plan </t>
  </si>
  <si>
    <t>Admin charges- inflating from 6 year onwards at 5.5% p.a. subject to maximum of `500 or 0.5% of premium per month, whichever is lower.</t>
  </si>
  <si>
    <t>HDFC_SmartWomen_PAC</t>
  </si>
  <si>
    <t>HDFC_SmartWomen_Admin</t>
  </si>
  <si>
    <t>101L082V02</t>
  </si>
  <si>
    <t>101L082V03</t>
  </si>
  <si>
    <t>101L083V01</t>
  </si>
  <si>
    <t xml:space="preserve">HDFC Life Invest Wise </t>
  </si>
  <si>
    <t>HDFC_LifeInvestWise_PAC</t>
  </si>
  <si>
    <t>HDFC_LifeInvestWise_Admin</t>
  </si>
  <si>
    <t>101L083V02</t>
  </si>
  <si>
    <t>101L085V01</t>
  </si>
  <si>
    <t xml:space="preserve">HDFC Life Pension Super Plus </t>
  </si>
  <si>
    <t>HDFC_PENSIONSUPERPLUS01_PAC</t>
  </si>
  <si>
    <t>HDFC_PensionSuperPlus_Admin</t>
  </si>
  <si>
    <t>101L085V02</t>
  </si>
  <si>
    <t>HDFC_PensionSuperPlus_PAC</t>
  </si>
  <si>
    <t>101L085V03</t>
  </si>
  <si>
    <t>101L086V01</t>
  </si>
  <si>
    <t>HDFC Life Single Premium Pension  Super</t>
  </si>
  <si>
    <t>HDFC_SINGLEPREMIUMPENSIONSUPER_PAC</t>
  </si>
  <si>
    <t>HDFC_SinglePremiumPensionSuper_Admin</t>
  </si>
  <si>
    <t>101L086V02</t>
  </si>
  <si>
    <t>101L086V03</t>
  </si>
  <si>
    <t>101L093V01</t>
  </si>
  <si>
    <t>HDFC Life Group Unit Linked Pension Plan</t>
  </si>
  <si>
    <t>101L094V01</t>
  </si>
  <si>
    <t>HDFC Life New Group Unit Linked Plan</t>
  </si>
  <si>
    <t>101L094V02</t>
  </si>
  <si>
    <t>101L100V01</t>
  </si>
  <si>
    <t>HDFC Life Click 2 Invest - ULIP</t>
  </si>
  <si>
    <t>30 days</t>
  </si>
  <si>
    <t>101L100V02</t>
  </si>
  <si>
    <t>101L100V03</t>
  </si>
  <si>
    <t>101L103V01</t>
  </si>
  <si>
    <t>HDFC Life Sampoorn Nivesh</t>
  </si>
  <si>
    <t>single</t>
  </si>
  <si>
    <t>HDFC_SampoornaNivesh_PAC</t>
  </si>
  <si>
    <t>HDFC_SampoornaNivesh_Admin</t>
  </si>
  <si>
    <t>101L103V02</t>
  </si>
  <si>
    <t>101L108V01</t>
  </si>
  <si>
    <t>HDFC Life Click 2 Retire</t>
  </si>
  <si>
    <t>101L108V02</t>
  </si>
  <si>
    <t>101L108V03</t>
  </si>
  <si>
    <t>101L108V04</t>
  </si>
  <si>
    <t>101L109V01</t>
  </si>
  <si>
    <t>HDFC Life Assured Pension Plan</t>
  </si>
  <si>
    <t>HDFC_AssuredPension_PAC</t>
  </si>
  <si>
    <t>HDFC_AssuredPension_Admin</t>
  </si>
  <si>
    <t>HDFC_LATYPE3</t>
  </si>
  <si>
    <t>101L109V02</t>
  </si>
  <si>
    <t>101L109V03</t>
  </si>
  <si>
    <t>101L109V04</t>
  </si>
  <si>
    <t>101L109V05</t>
  </si>
  <si>
    <t>101L112V01</t>
  </si>
  <si>
    <t xml:space="preserve">HDFC Life Capital Shield </t>
  </si>
  <si>
    <t>HDFC_CapitalShield_PAC</t>
  </si>
  <si>
    <t>HDFC_CapitalShield_Admin</t>
  </si>
  <si>
    <t>HDFC_CAPITALSHEILD_LA</t>
  </si>
  <si>
    <t>101L112V02</t>
  </si>
  <si>
    <t>HDFC_CAPITALSHIELD02_AC</t>
  </si>
  <si>
    <t xml:space="preserve">101L132V01 </t>
  </si>
  <si>
    <t xml:space="preserve">HDFC Life Classic One </t>
  </si>
  <si>
    <t>90-Age at entry</t>
  </si>
  <si>
    <t>HDFC_LIFECLASSICONE_PAC</t>
  </si>
  <si>
    <t>HDFC_ClassicOne_Admin</t>
  </si>
  <si>
    <t>101L132V02</t>
  </si>
  <si>
    <t>101L132V03</t>
  </si>
  <si>
    <t>101L133V01</t>
  </si>
  <si>
    <t>HDFC Life Click 2 Wealth</t>
  </si>
  <si>
    <t>99-Age at entry</t>
  </si>
  <si>
    <t>101L133V02</t>
  </si>
  <si>
    <t>India First Life insurance Co . Ltd</t>
  </si>
  <si>
    <t>143L002V01</t>
  </si>
  <si>
    <t>IndiaFirst Education plan</t>
  </si>
  <si>
    <t>IF_EDUCATIONPLAN_PAC</t>
  </si>
  <si>
    <t>IF_EDUCATIONPLAN_ADMIN</t>
  </si>
  <si>
    <t>143L003V01</t>
  </si>
  <si>
    <t>IndiaFirst Future Plan</t>
  </si>
  <si>
    <t>IF_FUTUREPLAN_PAC</t>
  </si>
  <si>
    <t>IF_FUTUREPLAN_ADMIN</t>
  </si>
  <si>
    <t>143L004V01</t>
  </si>
  <si>
    <t>IndiaFirst Savings plan</t>
  </si>
  <si>
    <t>IF_SAVINGSPLAN_PAC</t>
  </si>
  <si>
    <t>IF_SAVINGSPLAN_ADMIN</t>
  </si>
  <si>
    <t>143L010V01</t>
  </si>
  <si>
    <t>IndiaFirst Smart Save Plan</t>
  </si>
  <si>
    <t>IF_SMARTSAVEPLAN_PAC</t>
  </si>
  <si>
    <t>IF_SMARTSAVEPLAN_ADMIN</t>
  </si>
  <si>
    <t>143L010V02</t>
  </si>
  <si>
    <t>143L010V03</t>
  </si>
  <si>
    <t>143L010V04</t>
  </si>
  <si>
    <t>143L011V01</t>
  </si>
  <si>
    <t>IndiaFirst Young India Plan</t>
  </si>
  <si>
    <t>IF_YOUNGINDIA_PAC</t>
  </si>
  <si>
    <t>IF_YOUNGINDIA_ADMIN</t>
  </si>
  <si>
    <t>143L011V02</t>
  </si>
  <si>
    <t>IndiaFirst Happy India Plan</t>
  </si>
  <si>
    <t>IF_HAPPYINDIA_PAC</t>
  </si>
  <si>
    <t>IF_HAPPYINDIA_ADMIN</t>
  </si>
  <si>
    <t>143L011V03</t>
  </si>
  <si>
    <t>143L013V01</t>
  </si>
  <si>
    <t>IndiaFirst Employee Benefit Plan</t>
  </si>
  <si>
    <t>143L013V02</t>
  </si>
  <si>
    <t>143L014V01</t>
  </si>
  <si>
    <t>IndiaFirst MoneyBack health Insurance Plan</t>
  </si>
  <si>
    <t>Health</t>
  </si>
  <si>
    <t>if_mbhp_pac</t>
  </si>
  <si>
    <t>IF_MBHP_ADMIN</t>
  </si>
  <si>
    <t>143L015V01</t>
  </si>
  <si>
    <t>IndiaFirst High Life Plan</t>
  </si>
  <si>
    <t>IF_HIGHLIFEPLAN_PAC</t>
  </si>
  <si>
    <t>IF_HIGHLIFEPLAN_ADMIN</t>
  </si>
  <si>
    <t>143L017V01</t>
  </si>
  <si>
    <t>IndiaFirst Money Balance Plan</t>
  </si>
  <si>
    <t>IF_MONEYBALANCEPLAN_PAC</t>
  </si>
  <si>
    <t>IF_MONEYBALANCEPLAN_ADMIN</t>
  </si>
  <si>
    <t>143L017V02</t>
  </si>
  <si>
    <t>IF_MONEYBALACEPLAN2_ADMIN</t>
  </si>
  <si>
    <t>143L017V03</t>
  </si>
  <si>
    <t>143L017V04</t>
  </si>
  <si>
    <t>143L017V05</t>
  </si>
  <si>
    <t>143L029V01</t>
  </si>
  <si>
    <t>Indiafirst life Wealth Maximizer Plan</t>
  </si>
  <si>
    <t>IF_WEALTHMAXIMIZER_PAC</t>
  </si>
  <si>
    <t>143L029V02</t>
  </si>
  <si>
    <t>143L029V03</t>
  </si>
  <si>
    <t>143L060V01</t>
  </si>
  <si>
    <t>Indiafirst Life Group UL Superannuation Plan</t>
  </si>
  <si>
    <t>Max Life Insurance Co. Ltd</t>
  </si>
  <si>
    <t>104L017V01</t>
  </si>
  <si>
    <t>Max Life Life Maker Unit Linked Investment plan</t>
  </si>
  <si>
    <t>closed</t>
  </si>
  <si>
    <t>MAX_MAKERULINVESTMENT_PAC</t>
  </si>
  <si>
    <t>MAX_MARKERULINVESTMENTPLAN_ADMIN</t>
  </si>
  <si>
    <t>104L017V02</t>
  </si>
  <si>
    <t>Max Life Life Maker Gold</t>
  </si>
  <si>
    <t>MAX_MAKERGOLD_PAC</t>
  </si>
  <si>
    <t>MAX_MAKERGOLD_ADMIN</t>
  </si>
  <si>
    <t>104L026V01</t>
  </si>
  <si>
    <t>Max Life Life Maker Pension Plan</t>
  </si>
  <si>
    <t>MAX_MAKERPENSIONPLAN_PAC</t>
  </si>
  <si>
    <t>104L026V02</t>
  </si>
  <si>
    <t>MAX_MAKERPENSIONPLAN_ADMIN</t>
  </si>
  <si>
    <t>104L030V01</t>
  </si>
  <si>
    <t>Max Life Unit Linked Group Gratuity Plan</t>
  </si>
  <si>
    <t>104L031V01</t>
  </si>
  <si>
    <t>Max Life Life Invest Plan</t>
  </si>
  <si>
    <t>MAX_INVESTPLAN_PAC</t>
  </si>
  <si>
    <t>104L032V01</t>
  </si>
  <si>
    <t>Max Life Amsure Secure Returns Builder</t>
  </si>
  <si>
    <t>MAX_AMSURESECURERETURNS_PAC</t>
  </si>
  <si>
    <t>MAX_AMSURESECURERETURNS_ADMIN</t>
  </si>
  <si>
    <t>104L033V01</t>
  </si>
  <si>
    <t>Max Life Unit Linked Group Superannuation Plan</t>
  </si>
  <si>
    <t>104L034V01</t>
  </si>
  <si>
    <t>Max Life Life Maker Premium Investment plan</t>
  </si>
  <si>
    <t>MAX_MAKERPREMINVPLAN_PAC</t>
  </si>
  <si>
    <t>MAX_MAKERPREMINVPLAN_ADMIN</t>
  </si>
  <si>
    <t>104L035V01</t>
  </si>
  <si>
    <t>Max Life Life Maker Platinum</t>
  </si>
  <si>
    <t>MAX_MAKEPLATINUM_PAC</t>
  </si>
  <si>
    <t>MAX_MAKERPLATINUM_ADMIN</t>
  </si>
  <si>
    <t>104L037V01</t>
  </si>
  <si>
    <t>Max Life SMART Steps</t>
  </si>
  <si>
    <t>MAX_SMARTSTEPS_PAC</t>
  </si>
  <si>
    <t>MAX_SMARTSTEPS_ADMIN</t>
  </si>
  <si>
    <t>104L038V01</t>
  </si>
  <si>
    <t>Max Life SMART Steps Plus</t>
  </si>
  <si>
    <t>Equal to PT</t>
  </si>
  <si>
    <t>MAX_SMARTSTEPPLUS_PAC</t>
  </si>
  <si>
    <t>MAX_SMARTSTEPPLUS_ADMIN</t>
  </si>
  <si>
    <t>104L039V01</t>
  </si>
  <si>
    <t>Max Life SMART Steps Single Premium</t>
  </si>
  <si>
    <t>MAX_SMARTSTEPSSP_PAC</t>
  </si>
  <si>
    <t>MAX_SMARTSTEPSSP_ADMIN</t>
  </si>
  <si>
    <t>104L040V01</t>
  </si>
  <si>
    <t>Max Life SMART Invest Pension</t>
  </si>
  <si>
    <t>MAX_SMARTINVESTPENSION_PAC</t>
  </si>
  <si>
    <t>MAX_SMARTINVESTPENSION_ADMIN</t>
  </si>
  <si>
    <t>104L041V01</t>
  </si>
  <si>
    <t>Max Life Capital Builder</t>
  </si>
  <si>
    <t>91 days</t>
  </si>
  <si>
    <t>MAX_CAPITALBUILER_PAC</t>
  </si>
  <si>
    <t>MAX_CAPITALBUILDER_ADMIN</t>
  </si>
  <si>
    <t>104L047V01</t>
  </si>
  <si>
    <t>Max Life Smart Assure</t>
  </si>
  <si>
    <t>MAX_SMARTASSURE_ADMIN</t>
  </si>
  <si>
    <t>104L050V01</t>
  </si>
  <si>
    <t>Max Life Unit Builder</t>
  </si>
  <si>
    <t xml:space="preserve">UFV </t>
  </si>
  <si>
    <t>MAX_UNITBUILDER_PAC</t>
  </si>
  <si>
    <t>MAX_UNITBUILDER_ADMIN</t>
  </si>
  <si>
    <t>104L051V01</t>
  </si>
  <si>
    <t>Max Life SMART Xpress</t>
  </si>
  <si>
    <t>MAX_SMARTEXPRESS_PAC</t>
  </si>
  <si>
    <t>MAX_SMARTEXPRESS_ADMIN</t>
  </si>
  <si>
    <t>104L051V02</t>
  </si>
  <si>
    <t>MAX_SMARTEXPRESS02_ADMIN</t>
  </si>
  <si>
    <t>104L053V01</t>
  </si>
  <si>
    <t>Max Life Smart Invest Pension Plus</t>
  </si>
  <si>
    <t>MAX_SMARTINVESTPENSIONPLUS_ADMIN</t>
  </si>
  <si>
    <t>104L055V01</t>
  </si>
  <si>
    <t>Max Life Amsure Magic Builder</t>
  </si>
  <si>
    <t>MAX_AMSUREMAGICBUILDER_PAC</t>
  </si>
  <si>
    <t>MAX_AMSUREMAGICBUILDER_ADMIN</t>
  </si>
  <si>
    <t>104L056V01</t>
  </si>
  <si>
    <t>Max Life Smart Invest Pension Super</t>
  </si>
  <si>
    <t>MAX_SMARTINVESTPENSIONSUPER_ADMIN</t>
  </si>
  <si>
    <t>104L057V01</t>
  </si>
  <si>
    <t>Max Life Unit Builder Plus</t>
  </si>
  <si>
    <t>MAX_UNITBUILDERPLUS_PAC</t>
  </si>
  <si>
    <t>MAX_UINTBUILDERPLUS_ADMIN</t>
  </si>
  <si>
    <t>104L058V01</t>
  </si>
  <si>
    <t>Max Life Fortune Builder</t>
  </si>
  <si>
    <t>MAX_FORTUNEBUILDER_ADMIN</t>
  </si>
  <si>
    <t>104L059V01</t>
  </si>
  <si>
    <t>Max Life Shiksha Plus</t>
  </si>
  <si>
    <t>135 days</t>
  </si>
  <si>
    <t>MAX_SHIKSHAPLUS_PAC</t>
  </si>
  <si>
    <t>MAX_SHIKSHAPLUS_ADMIN</t>
  </si>
  <si>
    <t>104L061V01</t>
  </si>
  <si>
    <t>Max Life Shubh Invest</t>
  </si>
  <si>
    <t>MAX_SHUBHINVEST_PAC</t>
  </si>
  <si>
    <t>MAX_SHUBHINVEST_ADMIN</t>
  </si>
  <si>
    <t>104L062V01</t>
  </si>
  <si>
    <t>Max Life Shiksha Plus II</t>
  </si>
  <si>
    <t>MAX_SHIKSHAPLUSII_PAC</t>
  </si>
  <si>
    <t>MAX_SHIKSHAPLUSII_ADMIN</t>
  </si>
  <si>
    <t>104L064V01</t>
  </si>
  <si>
    <t>Max Life Flexi Fortune</t>
  </si>
  <si>
    <t>MAX_FLEXIFORTUNE_PAC</t>
  </si>
  <si>
    <t>MAX_FLEXIFORTUNE_ADMIN</t>
  </si>
  <si>
    <t>104L066V01</t>
  </si>
  <si>
    <t>Max Life Top Gear</t>
  </si>
  <si>
    <t>MAX_TOPGEAR_PAC</t>
  </si>
  <si>
    <t>MAX_TOPGEAR_ADMIN</t>
  </si>
  <si>
    <t>104L067V01</t>
  </si>
  <si>
    <t>Max Life Fast Track</t>
  </si>
  <si>
    <t>MAX_FASTTRACK_PAC</t>
  </si>
  <si>
    <t>MAX_FASTTRACK_ADMIN</t>
  </si>
  <si>
    <t>104L071V01</t>
  </si>
  <si>
    <t>Max Life MAXIS</t>
  </si>
  <si>
    <t>MAX_MAXIS_PAC</t>
  </si>
  <si>
    <t>MAX_MAXIS_ADMIN</t>
  </si>
  <si>
    <t>104L074V01</t>
  </si>
  <si>
    <t>Max Life Group Gratuity Plus</t>
  </si>
  <si>
    <t>104L075V01</t>
  </si>
  <si>
    <t>Max Forever Young Pension Plan</t>
  </si>
  <si>
    <t>MAX_FOREVERYOUNGPENSION_PAC</t>
  </si>
  <si>
    <t>MAX_FOREVERYOUNGPENSION_ADMIN</t>
  </si>
  <si>
    <t>104L075V02</t>
  </si>
  <si>
    <t>104L075V03</t>
  </si>
  <si>
    <t>75-Age</t>
  </si>
  <si>
    <t>104L081V01</t>
  </si>
  <si>
    <t>Max Life MAXIS Super</t>
  </si>
  <si>
    <t>MAX_MAXISSUPER_PAC</t>
  </si>
  <si>
    <t>MAX_MAXISSUPER_ADMIN</t>
  </si>
  <si>
    <t>104L081V02</t>
  </si>
  <si>
    <t>104L081V03</t>
  </si>
  <si>
    <t>104L082V01</t>
  </si>
  <si>
    <t>Max Life Fast Track Super</t>
  </si>
  <si>
    <t>max_fasttracksuper_pac</t>
  </si>
  <si>
    <t>MAX_FASTTRACKSUPER_ADMIN</t>
  </si>
  <si>
    <t>104L082V02</t>
  </si>
  <si>
    <t>104L082V03</t>
  </si>
  <si>
    <t>104L082V04</t>
  </si>
  <si>
    <t>104L084V01</t>
  </si>
  <si>
    <t>Max Life Shiksha Plus Super</t>
  </si>
  <si>
    <t>MAX_SHIKSHAPLUSSUPER_PAC</t>
  </si>
  <si>
    <t>MAX_SHIKSHAPLUSSUPER_ADMIN</t>
  </si>
  <si>
    <t>104L084V02</t>
  </si>
  <si>
    <t>104L084V03</t>
  </si>
  <si>
    <t>104L084V04</t>
  </si>
  <si>
    <t>104L087V01</t>
  </si>
  <si>
    <t>Max Life Group Gratuity Premier Plan</t>
  </si>
  <si>
    <t>104L090V01</t>
  </si>
  <si>
    <t>Max Life Platinum Wealth Plan</t>
  </si>
  <si>
    <t>MAX_PLATINUMWELATHPLAN_PAC</t>
  </si>
  <si>
    <t>MAX_PLATINUMWELATHPLAN_ADMIN</t>
  </si>
  <si>
    <t>104L090V02</t>
  </si>
  <si>
    <t>104L090V03</t>
  </si>
  <si>
    <t>104L090V04</t>
  </si>
  <si>
    <t>104L098V01</t>
  </si>
  <si>
    <t>Max Life Online Savings Plan</t>
  </si>
  <si>
    <t>104L098V02</t>
  </si>
  <si>
    <t>104L098V03</t>
  </si>
  <si>
    <t>104L115V01</t>
  </si>
  <si>
    <t>Max Life Flexi Wealth Plus</t>
  </si>
  <si>
    <t>100-Age</t>
  </si>
  <si>
    <t>MAX_FLEXIWEALTHPLUS_PAC</t>
  </si>
  <si>
    <t>MAX_FLEXIWEALTHPLUS_ADMIN</t>
  </si>
  <si>
    <t>ICICI Prudential Life Insurance Co. Ltd.</t>
  </si>
  <si>
    <t>105N003V01</t>
  </si>
  <si>
    <t>ICICIPru Single Premium Bond - Single Premium Endowment Bond with Guaranteed Additions</t>
  </si>
  <si>
    <t>ICICI_SPBOND_PAC</t>
  </si>
  <si>
    <t>105L012V01</t>
  </si>
  <si>
    <t>ICICI Pru Life Link</t>
  </si>
  <si>
    <t>ICICI_LIFELINK_PAC</t>
  </si>
  <si>
    <t>105L013V01</t>
  </si>
  <si>
    <t>ICICI-Pru Life Time</t>
  </si>
  <si>
    <t>admin- 1.25% of net assets</t>
  </si>
  <si>
    <t>ICICI_LIFETIME_PAC</t>
  </si>
  <si>
    <t>105N014V01</t>
  </si>
  <si>
    <t>ICICI-Pru Smart Kid</t>
  </si>
  <si>
    <t>105N014V02</t>
  </si>
  <si>
    <t>105L015V01</t>
  </si>
  <si>
    <t>ICICI-Pru Life Time Pension</t>
  </si>
  <si>
    <t>ICICI_LIFETIMEPENSION_PAC</t>
  </si>
  <si>
    <t>105L016V01</t>
  </si>
  <si>
    <t>ICICI-Pru Life Link Pension</t>
  </si>
  <si>
    <t>ICICI_LIFELINKPENSION_PAC</t>
  </si>
  <si>
    <t>105L023V01</t>
  </si>
  <si>
    <t>ICICI Pru Group Gratuity</t>
  </si>
  <si>
    <t>105L023V02</t>
  </si>
  <si>
    <t>105L023V03</t>
  </si>
  <si>
    <t>105L024V01</t>
  </si>
  <si>
    <t>ICICI Pru Group Superannuation Plan</t>
  </si>
  <si>
    <t>105L024V02</t>
  </si>
  <si>
    <t>ICICI Pru Group Superannuation</t>
  </si>
  <si>
    <t>105L025V01</t>
  </si>
  <si>
    <t>ICICI Pru Secure Plus</t>
  </si>
  <si>
    <t>ICICI_SECUREPLUS_PAC</t>
  </si>
  <si>
    <t>ICICI_SECUREPLUS_ADMIN</t>
  </si>
  <si>
    <t>105L026V01</t>
  </si>
  <si>
    <t>ICICI Pru Cash Plus</t>
  </si>
  <si>
    <t>ICICI_CASHPLUS_PAC</t>
  </si>
  <si>
    <t>ICICI_CASHPLUS_ADMIN</t>
  </si>
  <si>
    <t>105L027V01</t>
  </si>
  <si>
    <t>ICICI Pru Secure Plus Pension</t>
  </si>
  <si>
    <t>ICICI_SECUREPLUSPENSION_PAC</t>
  </si>
  <si>
    <t>ICICI_SECUREPLUSPENSION_ADMIN</t>
  </si>
  <si>
    <t>105L028V01</t>
  </si>
  <si>
    <t>ICICI Pru Smart Kid - Unit Linked(RP)</t>
  </si>
  <si>
    <t>ICICI_SMARTKIDULRP_PAC</t>
  </si>
  <si>
    <t>ICICI_SMARTKIDULSP_ADMIN</t>
  </si>
  <si>
    <t>105L029V01</t>
  </si>
  <si>
    <t>ICICI Pru Smart Kid - Unit Linked(SP)</t>
  </si>
  <si>
    <t>ICICI_SMARTKIDULSP_PAC</t>
  </si>
  <si>
    <t>105L031V01</t>
  </si>
  <si>
    <t>ICICI Pru LifeTime II</t>
  </si>
  <si>
    <t>ICICI_LIFETIMEII_PAC</t>
  </si>
  <si>
    <t>ICICI_LIFETIMEII_ADMIN</t>
  </si>
  <si>
    <t>105L032V01</t>
  </si>
  <si>
    <t>ICICI Pru LifeTime Pension-II</t>
  </si>
  <si>
    <t>ICICI_LIFETIMEPENSIONII_PAC</t>
  </si>
  <si>
    <t>ICICI_LIFETIMEPENSIONII_ADMIN</t>
  </si>
  <si>
    <t>105L033V01</t>
  </si>
  <si>
    <t>ICICI Pru LifeLink II</t>
  </si>
  <si>
    <t>ICICI_LIFELINKII_PAC</t>
  </si>
  <si>
    <t>ICICI_LIFELINKII_ADMIN</t>
  </si>
  <si>
    <t>105L034V01</t>
  </si>
  <si>
    <t>ICICI Pru LifeLink Pension II</t>
  </si>
  <si>
    <t>ICICI_LIFELINKPENSIONII_PAC</t>
  </si>
  <si>
    <t>ICICI_LIFELINKPENSIONII_ADMIN</t>
  </si>
  <si>
    <t>105L035V01</t>
  </si>
  <si>
    <t>ICICI Pru Smart Kid (SP) II</t>
  </si>
  <si>
    <t>ICICI_SMARTKIDSPII_PAC</t>
  </si>
  <si>
    <t>ICICI_SMARTKIDSPII_ADMIN</t>
  </si>
  <si>
    <t>105L036V01</t>
  </si>
  <si>
    <t>ICICI Pru Smart Kid (RP) II</t>
  </si>
  <si>
    <t>105L037V01</t>
  </si>
  <si>
    <t>ICICI Pru Premier Life</t>
  </si>
  <si>
    <t>ICICI_LIFEPREMIER_PAC</t>
  </si>
  <si>
    <t>ICICI_PREMIERLIFE_ADMIN</t>
  </si>
  <si>
    <t>105L039V01</t>
  </si>
  <si>
    <t>ICICI Pru Group Leave Encashment Plan</t>
  </si>
  <si>
    <t>105L040V01</t>
  </si>
  <si>
    <t>ICICI Pru Invest Shield Gold</t>
  </si>
  <si>
    <t>ICICI_INVESTSHIELDGOLD_PAC</t>
  </si>
  <si>
    <t>ICICI_INVESTSHIELDGOLD_ADMIN</t>
  </si>
  <si>
    <t>105L041V01</t>
  </si>
  <si>
    <t>ICICI Pru Invest Shield Cash</t>
  </si>
  <si>
    <t>ICICI_INVESTSHIELDCASH_PAC</t>
  </si>
  <si>
    <t>ICICI_INVESTSHIELDCASH_ADMIN</t>
  </si>
  <si>
    <t>105L042V01</t>
  </si>
  <si>
    <t>ICICI Pru Invest Shield Life</t>
  </si>
  <si>
    <t>ICICI_INVESTSHIELDLIFE_PAC</t>
  </si>
  <si>
    <t>ICICI_INVESTSHIELDLIFE_ADMIN</t>
  </si>
  <si>
    <t>105L043V01</t>
  </si>
  <si>
    <t>ICICI Pru Invest Shield Pension</t>
  </si>
  <si>
    <t>ICICI_INVESTSHIELDPENSION_PAC</t>
  </si>
  <si>
    <t>ICICI_INVESTSHIELDPENSION_ADMIN</t>
  </si>
  <si>
    <t>105L045V01</t>
  </si>
  <si>
    <t>ICICI Pru Group Gratuity Plus</t>
  </si>
  <si>
    <t>105L045V02</t>
  </si>
  <si>
    <t>105L045V03</t>
  </si>
  <si>
    <t>105L046V01</t>
  </si>
  <si>
    <t>ICICI Pru Group Gratuity Platinum</t>
  </si>
  <si>
    <t>105L046V02</t>
  </si>
  <si>
    <t>105L046V03</t>
  </si>
  <si>
    <t>105L047V01</t>
  </si>
  <si>
    <t>ICICI Pru Golden Years</t>
  </si>
  <si>
    <t>ICICI_GOLDENYEARS_PAC</t>
  </si>
  <si>
    <t>ICICI_GOLDENYEARS_ADMIN</t>
  </si>
  <si>
    <t>105L048V01</t>
  </si>
  <si>
    <t>ICICI Pru Group Superannuation plus</t>
  </si>
  <si>
    <t>105L048V02</t>
  </si>
  <si>
    <t>105L049V01</t>
  </si>
  <si>
    <t>ICICI Pru Group Superannuation Platinum</t>
  </si>
  <si>
    <t>105L049V02</t>
  </si>
  <si>
    <t>105L053V01</t>
  </si>
  <si>
    <t>ICICI Pru Life Link Super</t>
  </si>
  <si>
    <t>ICICI_LIFELINKSUPER_PAC</t>
  </si>
  <si>
    <t>ICICI_LIFELINKSUPER_ADMIN</t>
  </si>
  <si>
    <t>105L054V01</t>
  </si>
  <si>
    <t>ICICI Pru Life Time Plus</t>
  </si>
  <si>
    <t>ICICI_LIFETIMEPLUS_PAC</t>
  </si>
  <si>
    <t>ICICI_LIFETIMEPLUS_ADMIN</t>
  </si>
  <si>
    <t>105L055V01</t>
  </si>
  <si>
    <t>ICICI Pru Lifetime Super Pension</t>
  </si>
  <si>
    <t>105L056V01</t>
  </si>
  <si>
    <t>ICICI Pru Lifetime Super</t>
  </si>
  <si>
    <t>ICICI_LIFETIMESUPER_PAC</t>
  </si>
  <si>
    <t>105L057V01</t>
  </si>
  <si>
    <t>ICICI Pru Life Link Super Pension</t>
  </si>
  <si>
    <t>ICICI_LIFELINKSUPERPENSION_PAC</t>
  </si>
  <si>
    <t>ICICI_LIFELINKSUPERPENSION_ADMIN</t>
  </si>
  <si>
    <t>105L058V01</t>
  </si>
  <si>
    <t>ICICI Pru Smartkid New UL RP</t>
  </si>
  <si>
    <t>ICICI_SMARTKIDNEWULRP_PAC</t>
  </si>
  <si>
    <t>ICICI_SMARTKIDNEWULRP_ADMIN</t>
  </si>
  <si>
    <t>105L059V01</t>
  </si>
  <si>
    <t>ICICI Pru Smartkid New Unit Linked Single Premium</t>
  </si>
  <si>
    <t>ICICI_SMARTKIDNEWULSP_PAC</t>
  </si>
  <si>
    <t>ICICI_SMARTKIDNEWULSP_ADMIN</t>
  </si>
  <si>
    <t>105L060V01</t>
  </si>
  <si>
    <t>ICICI Pru Cashplus</t>
  </si>
  <si>
    <t>105L061V01</t>
  </si>
  <si>
    <t>ICICI Pru Premier Life Gold</t>
  </si>
  <si>
    <t>ICICI_PREMIERLIFEGOLD_PAC</t>
  </si>
  <si>
    <t>ICICI_PREMIERLIFEGOLD_ADMIN</t>
  </si>
  <si>
    <t>105L062V01</t>
  </si>
  <si>
    <t>ICICI Pru Investsheild Cashbak</t>
  </si>
  <si>
    <t>ICICI_INVESTSHIELDCASHBAK_PAC</t>
  </si>
  <si>
    <t>ICICI_INVESTSHIELDCASHBAK_ADMIN</t>
  </si>
  <si>
    <t>105L063V01</t>
  </si>
  <si>
    <t>ICICI Pru Investsheild Life - New</t>
  </si>
  <si>
    <t>ICICI_INVESTSHIELDLIFENEW_PAC</t>
  </si>
  <si>
    <t>ICICI_INVESTSHIELDLIFENEW_ADMIN</t>
  </si>
  <si>
    <t>105L069V01</t>
  </si>
  <si>
    <t>ICICI Pru New Group Superannuation</t>
  </si>
  <si>
    <t>105L070V01</t>
  </si>
  <si>
    <t>ICICI Pru New Group Superannuation Plus</t>
  </si>
  <si>
    <t>105L071V01</t>
  </si>
  <si>
    <t>ICICI Pru New Group Superannuation Platinum</t>
  </si>
  <si>
    <t>105L073V01</t>
  </si>
  <si>
    <t>ICICI Pru LifeStage RP</t>
  </si>
  <si>
    <t>105L074V01</t>
  </si>
  <si>
    <t>ICICI Pru Premier Life Pension</t>
  </si>
  <si>
    <t>ICICI_PREMIERLIFEPENSION_PAC</t>
  </si>
  <si>
    <t>ICICI_PREMIERLIFEPENSION_ADMIN</t>
  </si>
  <si>
    <t>105L075V01</t>
  </si>
  <si>
    <t>ICICI Pru LifeStage Pension</t>
  </si>
  <si>
    <t>ICICI_LIFESTAGEPENSION_ADMIN</t>
  </si>
  <si>
    <t>105L077V01</t>
  </si>
  <si>
    <t>ICICI Pru LifeTime Gold</t>
  </si>
  <si>
    <t>ICICI_LIFETIMEGOLD_PAC</t>
  </si>
  <si>
    <t>105L079V01</t>
  </si>
  <si>
    <t>ICICI Pru Group leave Encashment</t>
  </si>
  <si>
    <t>105L079V02</t>
  </si>
  <si>
    <t>105L080V01</t>
  </si>
  <si>
    <t>ICICI Pru Group leave Encashment Plus</t>
  </si>
  <si>
    <t>105L080V02</t>
  </si>
  <si>
    <t>105L083V01</t>
  </si>
  <si>
    <t>ICICI Pru Life Stage Assure</t>
  </si>
  <si>
    <t>ICICI_STAGEASSURE_PAC</t>
  </si>
  <si>
    <t>ICICI_STAGEASSURE_ADMIN</t>
  </si>
  <si>
    <t>105L085V01</t>
  </si>
  <si>
    <t>ICICI Pru Wealth Advantage</t>
  </si>
  <si>
    <t>ICICI_WEALTHADV_PAC</t>
  </si>
  <si>
    <t>ICICI_WEALTHADV_ADMIN</t>
  </si>
  <si>
    <t>105L086V01</t>
  </si>
  <si>
    <t>ICICI Pru Anmol Nivesh</t>
  </si>
  <si>
    <t>ICICI_ANMOLNIVESH_PAC</t>
  </si>
  <si>
    <t>ICICI_ANMOLNIVESH_ADMIN</t>
  </si>
  <si>
    <t>105L087V01</t>
  </si>
  <si>
    <t>ICICI Pru Health Saver</t>
  </si>
  <si>
    <t>105L088V01</t>
  </si>
  <si>
    <t>ICICI Pru SecureSave</t>
  </si>
  <si>
    <t>ICICI_SECURESAVER_PAC</t>
  </si>
  <si>
    <t>ICICI_SECURESAVER_ADMIN</t>
  </si>
  <si>
    <t>105L092V01</t>
  </si>
  <si>
    <t>ICICI Pru Life Stage Assure Pension</t>
  </si>
  <si>
    <t>ICICI_STAGEASSUREPENSION_ADMIN</t>
  </si>
  <si>
    <t>105L093V01</t>
  </si>
  <si>
    <t>ICICI Pru Assure Life</t>
  </si>
  <si>
    <t>ICICI_ASSURELIFE_PAC</t>
  </si>
  <si>
    <t>ICICI_ASSURELIFE_ADMIN</t>
  </si>
  <si>
    <t>105L094V01</t>
  </si>
  <si>
    <t>ICICI Pru Elite Pension</t>
  </si>
  <si>
    <t>ICICI_ELITEPENSION_PAC</t>
  </si>
  <si>
    <t>ICICI_ELITEPENSION_ADMIN</t>
  </si>
  <si>
    <t>105L095V01</t>
  </si>
  <si>
    <t>ICICI Pru Pinnacle</t>
  </si>
  <si>
    <t>ICICI_PINNACLE_PAC</t>
  </si>
  <si>
    <t>ICICI_PINNACLE_ADMIN</t>
  </si>
  <si>
    <t>105L096V01</t>
  </si>
  <si>
    <t>ICICI Pru Life Time Maxima</t>
  </si>
  <si>
    <t>ICICI_LIFETIMEMAXIMA_PAC</t>
  </si>
  <si>
    <t>ICICI_LIFETIMEMAXIMA_ADMIN</t>
  </si>
  <si>
    <t>105L097V01</t>
  </si>
  <si>
    <t>ICICI Pru premier Wealth</t>
  </si>
  <si>
    <t>ICICI_PREMIERWELATH_PAC</t>
  </si>
  <si>
    <t>ICICI_PREMIERWEALTH_ADMIN</t>
  </si>
  <si>
    <t>105L098V01</t>
  </si>
  <si>
    <t>ICICI Pru Assure Wealth</t>
  </si>
  <si>
    <t>ICICI_ASSUREWEALTH_PAC</t>
  </si>
  <si>
    <t>ICICI_ASSUREWEALTH_ADMIN</t>
  </si>
  <si>
    <t>105L099V01</t>
  </si>
  <si>
    <t>ICICI Pru Elite pension II</t>
  </si>
  <si>
    <t>ICICI_ELITEPENSIONII_PAC</t>
  </si>
  <si>
    <t>ICICI_ELITEPENSIONII_ADMIN</t>
  </si>
  <si>
    <t>105L100V01</t>
  </si>
  <si>
    <t>ICICI Pru Life Stage Pension Advantage</t>
  </si>
  <si>
    <t>ICICI_LIFESTAGEPENSIONADV_ADMIN</t>
  </si>
  <si>
    <t>105L101V01</t>
  </si>
  <si>
    <t>ICICI Pru Life Time pension Maxima</t>
  </si>
  <si>
    <t>ICICI_LIFETIMEPENSIONMAXIMA_PAC</t>
  </si>
  <si>
    <t>ICICI_LIFETIMEPENSIONMAXIMA_ADMIN</t>
  </si>
  <si>
    <t>105L102V01</t>
  </si>
  <si>
    <t>ICICI Pru Assure Pension</t>
  </si>
  <si>
    <t>ICICI_ASSUREPENSION_PAC</t>
  </si>
  <si>
    <t>ICICI_ASSUREPENSION_ADMIN</t>
  </si>
  <si>
    <t>105L103V01</t>
  </si>
  <si>
    <t>ICICI Pru Life Stage Wealth</t>
  </si>
  <si>
    <t>ICICI_LIFESTAGEWEALTH_ADMIN</t>
  </si>
  <si>
    <t>105L104V01</t>
  </si>
  <si>
    <t>ICICI Pru Smart Kid Maxima</t>
  </si>
  <si>
    <t>ICICI_SMARTKIDMAXIMA_PAC</t>
  </si>
  <si>
    <t>ICICI_SMARTKIDMAXIMA_ADMIN</t>
  </si>
  <si>
    <t>105L105V01</t>
  </si>
  <si>
    <t>ICICI Pru Ace</t>
  </si>
  <si>
    <t>ICICI_ACE_ADMIN</t>
  </si>
  <si>
    <t>105L106V01</t>
  </si>
  <si>
    <t>ICICI Pru Smart Kid Assure</t>
  </si>
  <si>
    <t>ICICI_SMARTKIDASSURE_PAC</t>
  </si>
  <si>
    <t>ICICI_SMARTKIDASSURE_ADMIN</t>
  </si>
  <si>
    <t>105L111V01</t>
  </si>
  <si>
    <t>ICICI Pru LifeLink Wealth SP</t>
  </si>
  <si>
    <t>ICICI_LIFELINKWEALTHSP_PAC</t>
  </si>
  <si>
    <t>ICICI_LIFELINKWEALTHSP_ADMIN</t>
  </si>
  <si>
    <t>105L112V01</t>
  </si>
  <si>
    <t>ICICI Pru Life Time Premier</t>
  </si>
  <si>
    <t>ICICI_LIFETIMEPREMIER01_PAC</t>
  </si>
  <si>
    <t>105L112V02</t>
  </si>
  <si>
    <t>ICICI_LIFETIMEPREMIER_PAC</t>
  </si>
  <si>
    <t>105L113V01</t>
  </si>
  <si>
    <t>ICICI Life Link Pension SP</t>
  </si>
  <si>
    <t>ICICI_LIFELINKPENSIONSP_PAC</t>
  </si>
  <si>
    <t>ICICI_LIFELINKPENSIONSP_ADMIN</t>
  </si>
  <si>
    <t>105L115V01</t>
  </si>
  <si>
    <t>ICICI Pinnacle II</t>
  </si>
  <si>
    <t>ICICI_PINNACLEII_PAC</t>
  </si>
  <si>
    <t>ICICI_PINNACLEII_ADMIN</t>
  </si>
  <si>
    <t>105L115V02</t>
  </si>
  <si>
    <t>105L118V01</t>
  </si>
  <si>
    <t>ICICI Pru Life Stage Wealth II</t>
  </si>
  <si>
    <t>ICICI_LIFESTAGEWELATHII_PAC</t>
  </si>
  <si>
    <t>ICICI_LIFESTAGEWEALTHII_ADMIN</t>
  </si>
  <si>
    <t>105L118V02</t>
  </si>
  <si>
    <t>105L120V01</t>
  </si>
  <si>
    <t>ICICI Pru Smart Kid Premier</t>
  </si>
  <si>
    <t>ICICI_SMARTKIDPREMIER_PAC</t>
  </si>
  <si>
    <t>ICICI_SMARTKIDPREMIER_ADMIN</t>
  </si>
  <si>
    <t>105L121V01</t>
  </si>
  <si>
    <t>ICICI Pru Pinnacle Super</t>
  </si>
  <si>
    <t>ICICI_PINNACLESUPER_PAC</t>
  </si>
  <si>
    <t>ICICI_PINNACLESUPER_ADMIN</t>
  </si>
  <si>
    <t>105L121V02</t>
  </si>
  <si>
    <t>105L121V03</t>
  </si>
  <si>
    <t>105L124V01</t>
  </si>
  <si>
    <t>ICICI Pru Invest Easy</t>
  </si>
  <si>
    <t>ICICI_INVESTEASY_PAC</t>
  </si>
  <si>
    <t>ICICI_INVESTEASY_ADMIN</t>
  </si>
  <si>
    <t>105L125V01</t>
  </si>
  <si>
    <t>ICICI Pru Elite Life</t>
  </si>
  <si>
    <t>ICICI_ELITELIFE_PAC</t>
  </si>
  <si>
    <t>ICICI_ELITELIFE_ADMIN</t>
  </si>
  <si>
    <t>105L125V02</t>
  </si>
  <si>
    <t>105L126V01</t>
  </si>
  <si>
    <t>ICICI Pru Elite Wealth</t>
  </si>
  <si>
    <t>ICICI_ELITEWEALTH_PAC</t>
  </si>
  <si>
    <t>ICICI_ELITEWEALTH_ADMIN</t>
  </si>
  <si>
    <t>105L126V02</t>
  </si>
  <si>
    <t>105L129V01</t>
  </si>
  <si>
    <t>ICICI Pru Wealth Builder</t>
  </si>
  <si>
    <t>ICICI_WELATHBUILDER_PAC</t>
  </si>
  <si>
    <t>ICICI_WEALTHBUILDER_ADMIN</t>
  </si>
  <si>
    <t>105L130V01</t>
  </si>
  <si>
    <t>ICICI Pru Shubh Retirement</t>
  </si>
  <si>
    <t>ICICI_SHUBHRETIREMENT_PAC</t>
  </si>
  <si>
    <t>ICICI_SHUBHRETIREMENTSP_ADMIN</t>
  </si>
  <si>
    <t>105L131V01</t>
  </si>
  <si>
    <t>ICICI Pru Shubh Retirement - SP</t>
  </si>
  <si>
    <t>105L133V01</t>
  </si>
  <si>
    <t>ICICI Pru Easy Retirement</t>
  </si>
  <si>
    <t>ICICI_EASYRETIREMENT_PAC</t>
  </si>
  <si>
    <t>ICICI_EASYRETIREMENT_ADMIN</t>
  </si>
  <si>
    <t>105L133V02</t>
  </si>
  <si>
    <t>105L133V03</t>
  </si>
  <si>
    <t>105L136V01</t>
  </si>
  <si>
    <t>ICICI Pru Group Unit Linked Superannuation</t>
  </si>
  <si>
    <t>105L136V02</t>
  </si>
  <si>
    <t>105L137V01</t>
  </si>
  <si>
    <t>ICICI Pru Group Unit Linked Employee Benefit Plan</t>
  </si>
  <si>
    <t>105L137V02</t>
  </si>
  <si>
    <t>105L138V01</t>
  </si>
  <si>
    <t>ICICI Pru Easy Retirement SP</t>
  </si>
  <si>
    <t>ICICI_EASYRETIREMENTSP_ADMIN</t>
  </si>
  <si>
    <t>105L138V02</t>
  </si>
  <si>
    <t>105L138V03</t>
  </si>
  <si>
    <t>105L139V01</t>
  </si>
  <si>
    <t>ICICI pru Wealth Builder II</t>
  </si>
  <si>
    <t>ICICI_WEALTHBUILDERII_ADMIN</t>
  </si>
  <si>
    <t>105L140V01</t>
  </si>
  <si>
    <t>ICICI Pru Elite Wealth II</t>
  </si>
  <si>
    <t>ICICI_ELITEWEALTHII_PAC</t>
  </si>
  <si>
    <t>ICICI_ELITEWEALTHII_ADMIN</t>
  </si>
  <si>
    <t>105L141V01</t>
  </si>
  <si>
    <t>ICICI Pru Elite Life II</t>
  </si>
  <si>
    <t>ICICI_ELITELIFEII_PAC</t>
  </si>
  <si>
    <t>ICICI_ELITELIFEII_ADMIN</t>
  </si>
  <si>
    <t>105L143V01</t>
  </si>
  <si>
    <t>ICICI Pru Guaranteed Wealth Protector</t>
  </si>
  <si>
    <t>ICICI_GUARANTEEDWEALTHPROTECTOR_PAC</t>
  </si>
  <si>
    <t>ICICI_GUARANTEEDWEALTHPROTECTOR_ADMIN</t>
  </si>
  <si>
    <t>105L143V02</t>
  </si>
  <si>
    <t>105L145V01</t>
  </si>
  <si>
    <t>ICICI pru Smart Life</t>
  </si>
  <si>
    <t>ICICI_SMARTLIFE_PAC</t>
  </si>
  <si>
    <t>ICICI_SMARTLIFE_ADMIN</t>
  </si>
  <si>
    <t>105L145V02</t>
  </si>
  <si>
    <t>105L145V03</t>
  </si>
  <si>
    <t>105L145V04</t>
  </si>
  <si>
    <t>105L145V05</t>
  </si>
  <si>
    <t>105L155V01</t>
  </si>
  <si>
    <t>ICICI Pru LifeTime Classic</t>
  </si>
  <si>
    <t>ICICI_LIFETIMECLASSIC_PAC</t>
  </si>
  <si>
    <t>ICICI_LIFETIMECLASSIC_ADMIN</t>
  </si>
  <si>
    <t>105L155V02</t>
  </si>
  <si>
    <t>105L155V03</t>
  </si>
  <si>
    <t>105L155V04</t>
  </si>
  <si>
    <t>105L156V01</t>
  </si>
  <si>
    <t>ICICI Pru Elite Life Super</t>
  </si>
  <si>
    <t>ICICI_ELITELIFESUPER_PAC</t>
  </si>
  <si>
    <t>ICICI_ELITELIFESUPER_ADMIN</t>
  </si>
  <si>
    <t>105L156V02</t>
  </si>
  <si>
    <t>105L156V03</t>
  </si>
  <si>
    <t>105L157V01</t>
  </si>
  <si>
    <t>ICICI Pru Elite Wealth Super</t>
  </si>
  <si>
    <t>ICICI_ELITEWEALTHSUPER_PAC</t>
  </si>
  <si>
    <t>ICICI_ELITEWEALTHSUPER_ADMIN</t>
  </si>
  <si>
    <t>105L157V02</t>
  </si>
  <si>
    <t>105L157V03</t>
  </si>
  <si>
    <t>105L175V01</t>
  </si>
  <si>
    <t>ICICI Pru1 Wealth</t>
  </si>
  <si>
    <t>105L175V02</t>
  </si>
  <si>
    <t>105L177V01</t>
  </si>
  <si>
    <t>ICICI Pru Signature</t>
  </si>
  <si>
    <t>80/99</t>
  </si>
  <si>
    <t>99-Age</t>
  </si>
  <si>
    <t>ICICI_SIGNATURE_PAC</t>
  </si>
  <si>
    <t>ICICI_SIGNATURE01_ADMIN</t>
  </si>
  <si>
    <t>105L177V02</t>
  </si>
  <si>
    <t>75/99</t>
  </si>
  <si>
    <t>ICICI_SIGNATURE_ADMIN</t>
  </si>
  <si>
    <t>Tata AIA Life Insurance Co. Ltd.</t>
  </si>
  <si>
    <t>Tata AIA Unit Linked Superannuation Scheme - Defined Contribution: (ULSS)</t>
  </si>
  <si>
    <t>110L033V01</t>
  </si>
  <si>
    <t>Tata AIA Unit Linked Gratuity Scheme: (ULGS)</t>
  </si>
  <si>
    <t>110L034V01</t>
  </si>
  <si>
    <t>Invest Assure</t>
  </si>
  <si>
    <t>110L035V01</t>
  </si>
  <si>
    <t>Tata AIA Life InvestAssure Plus</t>
  </si>
  <si>
    <t>110L045V01</t>
  </si>
  <si>
    <t>TATA_INVESTASSUREPLUS_PAC</t>
  </si>
  <si>
    <t>TATA_INVESTASSUREPLUS_ADMIN</t>
  </si>
  <si>
    <t>TATA AIA Unit Linked Superannuation Scheme II - Defined Contribution (ULSS-II)</t>
  </si>
  <si>
    <t>110L046V01</t>
  </si>
  <si>
    <t>TATA AIA Unit Linked Gratuity Scheme II (ULGS-II)</t>
  </si>
  <si>
    <t>110L047V01</t>
  </si>
  <si>
    <t>Tata AIA Life InvestAssure II</t>
  </si>
  <si>
    <t>110L048V01</t>
  </si>
  <si>
    <t>TATA_INVESTASSUREII_PAC</t>
  </si>
  <si>
    <t>TATA_INVESTASSUREII_ADMIN</t>
  </si>
  <si>
    <t>Tata AIA Life InvestAssure Gold</t>
  </si>
  <si>
    <t>110L049V01</t>
  </si>
  <si>
    <t>TATA_INVESTASSUREGOLD_PAC</t>
  </si>
  <si>
    <t>TATA_INVESTASSUREGOLD_ADMIN</t>
  </si>
  <si>
    <t>Retirement Assure Group Gratuity Scheme (Unit Linked)</t>
  </si>
  <si>
    <t>110L050V01</t>
  </si>
  <si>
    <t>110L050V02</t>
  </si>
  <si>
    <t>Retirement Assure Group Superannuation Scheme (Unit Linked)</t>
  </si>
  <si>
    <t>110L051V01</t>
  </si>
  <si>
    <t>Tata AIA Life InvestAssure Extra</t>
  </si>
  <si>
    <t>110L052V01</t>
  </si>
  <si>
    <t>TATA_INVESTASSUREEXTRA_PAC</t>
  </si>
  <si>
    <t>TATA_INVESTASSUREEXTRA_ADMIN</t>
  </si>
  <si>
    <t>Tata AIA Life InvestAssure Flexi</t>
  </si>
  <si>
    <t>110L055V01</t>
  </si>
  <si>
    <t>TATA_INVESTASSUREFLEXI_PAC</t>
  </si>
  <si>
    <t>TATA_INVESTASSUREFLEXI_ADMIN</t>
  </si>
  <si>
    <t>Tata AIA Life InvestAssure Future</t>
  </si>
  <si>
    <t>110L057V01</t>
  </si>
  <si>
    <t>TATA_INVESTASSUREFUTURE_PAC</t>
  </si>
  <si>
    <t>TATA_INVESTASSUREFUTURE_ADMIN</t>
  </si>
  <si>
    <t>Invest Assure Care</t>
  </si>
  <si>
    <t>110L059V01</t>
  </si>
  <si>
    <t>TATA_INVESTASSURECARE_PAC</t>
  </si>
  <si>
    <t>TATA_INVESTASSURECARE_ADMIN</t>
  </si>
  <si>
    <t>Tata AIA Life InvestAssure Health</t>
  </si>
  <si>
    <t>110L062V01</t>
  </si>
  <si>
    <t>TATA_INVESTASSUREHEALTH_PAC</t>
  </si>
  <si>
    <t>TATA_INVESTASSUREHEALTH_ADMIN</t>
  </si>
  <si>
    <t>Tata AIA Life InvestAssure Optima</t>
  </si>
  <si>
    <t>110L063V01</t>
  </si>
  <si>
    <t>TATA_INVESTASSUREOPTIMA_PAC</t>
  </si>
  <si>
    <t>TATA_INVESTASSUREOPTIMA_ADMIN</t>
  </si>
  <si>
    <t>Tata AIA Life United Ujjwal Bhavishya</t>
  </si>
  <si>
    <t>110L064V01</t>
  </si>
  <si>
    <t>Tata AIA Life InvestAssure Insta</t>
  </si>
  <si>
    <t>110L065V01</t>
  </si>
  <si>
    <t>Tata AIA Life Investassure Swarna Jeevan</t>
  </si>
  <si>
    <t>110L067V01</t>
  </si>
  <si>
    <t>Tata AIA Life InvestAssure Apex</t>
  </si>
  <si>
    <t>110L068V01</t>
  </si>
  <si>
    <t>TATA_INVESTASSUREAPEX_PAC</t>
  </si>
  <si>
    <t>TATA_INVESTASSUREAPEX_ADMIN</t>
  </si>
  <si>
    <t>Tata AIA Life Jeevan Lakshya</t>
  </si>
  <si>
    <t>110L069V01</t>
  </si>
  <si>
    <t>TATA_JEEVANLAKSHYA_PAC</t>
  </si>
  <si>
    <t>TATA_JEEVANLAKSHYA_ADMIN</t>
  </si>
  <si>
    <t>Tata AIA InvestAssure Sampatti</t>
  </si>
  <si>
    <t>110L070V01</t>
  </si>
  <si>
    <t>TATA_INVESTASSURESAMPATTI_ADMIN</t>
  </si>
  <si>
    <t>Tata AIA InvestAssure Superstar</t>
  </si>
  <si>
    <t>110L071V01</t>
  </si>
  <si>
    <t>TATA_INVESTASSURESUPERSTAR_PAC</t>
  </si>
  <si>
    <t>TATA_INVESTASSURESUPERSTAR_ADMIN</t>
  </si>
  <si>
    <t>Tata AIA InvestAssure Optima Plus</t>
  </si>
  <si>
    <t>110L072V01</t>
  </si>
  <si>
    <t>TATA_INVESTASSUREOPTIMAPLUS_PAC</t>
  </si>
  <si>
    <t>TATA_INVESTASSUREOPTIMAPLUS_ADMIN</t>
  </si>
  <si>
    <t>Tata AIA Life InvestAssure Swarna Jeevan Plus</t>
  </si>
  <si>
    <t>110L073V01</t>
  </si>
  <si>
    <t>TATA_INVESTASSURESWARNAJEEVANPLUS_PAC</t>
  </si>
  <si>
    <t>TATA_INVESTASSURESWARNAJEEVANPLUS_ADMIN</t>
  </si>
  <si>
    <t>Tata AIA Life Lakshya Plus</t>
  </si>
  <si>
    <t>110L074V01</t>
  </si>
  <si>
    <t>TATA_LAKSHYAPLUS_PAC</t>
  </si>
  <si>
    <t>TATA_LAKSHYAPLUS_ADMIN</t>
  </si>
  <si>
    <t>Tata AIA Life InvestAssure Flexi Plus</t>
  </si>
  <si>
    <t>110L075V01</t>
  </si>
  <si>
    <t>TATA_INVESTASSUREFLEXIPLUS_PAC</t>
  </si>
  <si>
    <t>TATA_INVESTASSUREFLEXIPLUS_ADMIN</t>
  </si>
  <si>
    <t>Tata AIA Life InvestAssure Insta +</t>
  </si>
  <si>
    <t>110L076V01</t>
  </si>
  <si>
    <t>TATA_INVESTASSUREINSTAPLUS_PAC</t>
  </si>
  <si>
    <t>TATA_INVESTASSUREINSTAPLUS_ADMIN</t>
  </si>
  <si>
    <t>Tata AIA Life InvestAssure Future Plus</t>
  </si>
  <si>
    <t>110L077V01</t>
  </si>
  <si>
    <t>Tata AIA Life InvestAssure Apex Plus</t>
  </si>
  <si>
    <t>110L078V01</t>
  </si>
  <si>
    <t>TATA_INVESTASSUREAPEXPLUS_PAC</t>
  </si>
  <si>
    <t>TATA_INVESTASSUREAPEXPLUS_ADMIN</t>
  </si>
  <si>
    <t>Tata AIA Life Apex Pension 15</t>
  </si>
  <si>
    <t>110L079V01</t>
  </si>
  <si>
    <t>TATA_APEXPENSION15_ADMIN</t>
  </si>
  <si>
    <t>Tata AIA Life Apex Pension 20</t>
  </si>
  <si>
    <t>110L080V01</t>
  </si>
  <si>
    <t>TATA_APEXPENSION20_ADMIN</t>
  </si>
  <si>
    <t>Tata AIA Life Apex Pension</t>
  </si>
  <si>
    <t>110L081V01</t>
  </si>
  <si>
    <t>TATA_APEXPENSION_ADMIN</t>
  </si>
  <si>
    <t>Tata AIA Life InvestAssure II +</t>
  </si>
  <si>
    <t>110L082V01</t>
  </si>
  <si>
    <t>TATA_INVESTASSUREIIPLUS_ADMIN</t>
  </si>
  <si>
    <t>Tata AIA Life Apex Pension 10</t>
  </si>
  <si>
    <t>110L083V01</t>
  </si>
  <si>
    <t>TATA_APEXPENSION10_ADMIN</t>
  </si>
  <si>
    <t>Tata AIA Life InvestAssure Plus Advantage</t>
  </si>
  <si>
    <t>110L084V01</t>
  </si>
  <si>
    <t>TATA_INVESTASSUREINSTAPLUSADV_PAC</t>
  </si>
  <si>
    <t>TATA_INVESTASSUREINSTAPLUSADV_ADMIN</t>
  </si>
  <si>
    <t>Tata AIA Life InvestAssure Health Plus</t>
  </si>
  <si>
    <t>110L085V01</t>
  </si>
  <si>
    <t>Tata AIA Life InvestAssure Gold Plus</t>
  </si>
  <si>
    <t>110L086V01</t>
  </si>
  <si>
    <t>TATA_INVESTASSUREGOLDPLUS_PAC</t>
  </si>
  <si>
    <t>TATA_INVESTASSUREGOLDPLUS_ADMIN</t>
  </si>
  <si>
    <t>Tata AIA Life United Ujjwal Bhawishya Plus</t>
  </si>
  <si>
    <t>110L087V01</t>
  </si>
  <si>
    <t>TATA_UBPLUS_PAC</t>
  </si>
  <si>
    <t>TATA_UBPLUS_ADMIN</t>
  </si>
  <si>
    <t>Tata AIA Life InvestAssure Flexi Supreme</t>
  </si>
  <si>
    <t>110L090V01</t>
  </si>
  <si>
    <t>TATA_INVESTASSUREFLEXISUP_PAC</t>
  </si>
  <si>
    <t>TATA_INVESTASSUREFLEXISUP_ADMIN</t>
  </si>
  <si>
    <t>Tata AIA Life Lakshya Supreme</t>
  </si>
  <si>
    <t>110L091V01</t>
  </si>
  <si>
    <t>TATA_LAKSHYASUPREME_PAC</t>
  </si>
  <si>
    <t>TATA_LAKSHYASUPREME_ADMIN</t>
  </si>
  <si>
    <t>Tata AIA Life InvestAssure Plus Supreme</t>
  </si>
  <si>
    <t>110L092V01</t>
  </si>
  <si>
    <t>TATA_INVESTASSUREPLUSSUPREME_PAC</t>
  </si>
  <si>
    <t>TATA_INVESTASSUREPLUSSUPREME_ADMIN</t>
  </si>
  <si>
    <t>Tata AIA Life Insurance United Ujwal Bhawishya Supreme</t>
  </si>
  <si>
    <t>110L094V01</t>
  </si>
  <si>
    <t>TATA_UBSUPREME_PAC</t>
  </si>
  <si>
    <t>Tata AIA Life Insurance InvestAssure Apex Supreme</t>
  </si>
  <si>
    <t>110L095V01</t>
  </si>
  <si>
    <t>TATA_INVESTASSUREAPEXSUPREME_PAC</t>
  </si>
  <si>
    <t>TATA_INVESTASSUREAPEXSUPREME_ADMIN</t>
  </si>
  <si>
    <t>Tata AIA Life Insurance Swarna Pratigya</t>
  </si>
  <si>
    <t>110L096V01</t>
  </si>
  <si>
    <t>TATA_SWARNAPRATIGYA_PAC</t>
  </si>
  <si>
    <t>TATA_SWARNAPRATIGYA_ADMIN</t>
  </si>
  <si>
    <t>Tata AIA Life Insurance InvestAssure Gold Supreme</t>
  </si>
  <si>
    <t>110L097V01</t>
  </si>
  <si>
    <t>TATA_INVESTASSUREGOLDSUPREME_PAC</t>
  </si>
  <si>
    <t>TATA_INVESTASSUREGOLDSUPREME_ADMIN</t>
  </si>
  <si>
    <t>Tata AIA Life Insurance InvestAssure Maximizer</t>
  </si>
  <si>
    <t>110L098V01</t>
  </si>
  <si>
    <t>TATA_INVESTASSUREMAXIMIZER_PAC</t>
  </si>
  <si>
    <t>TATA_INVESTASSUREMAXIMIZER_ADMIN</t>
  </si>
  <si>
    <t>Tata AIA Gyan Kosh</t>
  </si>
  <si>
    <t>110L099V01</t>
  </si>
  <si>
    <t>TATA_GYANKOSH_PAC</t>
  </si>
  <si>
    <t>TATA_GYANKOSH_ADMIN</t>
  </si>
  <si>
    <t>Tata AIA Life Swarna Bhavishya</t>
  </si>
  <si>
    <t>110L100V01</t>
  </si>
  <si>
    <t>TATA_SWARNABHAVISHYA_PAC</t>
  </si>
  <si>
    <t>TATA_SWARNABHAVISHYA_ADMIN</t>
  </si>
  <si>
    <t>Tata AIA Suraksha Kosh Plan</t>
  </si>
  <si>
    <t>110L101V01</t>
  </si>
  <si>
    <t>TATA_SURAKSHAKOSH_PAC</t>
  </si>
  <si>
    <t>TATA_SURAKSHAKOSH_ADMIN</t>
  </si>
  <si>
    <t>Tata AIA Suraksha Kosh Supreme Plan</t>
  </si>
  <si>
    <t>110L103V01</t>
  </si>
  <si>
    <t>TATA_SURAKSHAKOSHSUP_PAC</t>
  </si>
  <si>
    <t>TATA_SURAKSHAKOSHSUP_ADMIN</t>
  </si>
  <si>
    <t>Tata AIA Life Insurance Wealth Pro</t>
  </si>
  <si>
    <t>110L111V01</t>
  </si>
  <si>
    <t>TATA_WEALTHPRO_PAC</t>
  </si>
  <si>
    <t>TATA_WEALTHPRO_ADMIN</t>
  </si>
  <si>
    <t>110L111V02</t>
  </si>
  <si>
    <t>110L111V03</t>
  </si>
  <si>
    <t>Tata AIA Life Insurance Fortune Pro</t>
  </si>
  <si>
    <t>110L112V01</t>
  </si>
  <si>
    <t>TATA_FORTUNEPRO_PAC</t>
  </si>
  <si>
    <t>TATA_FORTUNEPRO_ADMIN</t>
  </si>
  <si>
    <t>110L112V02</t>
  </si>
  <si>
    <t>110L112V03</t>
  </si>
  <si>
    <t>110L112V04</t>
  </si>
  <si>
    <t>Tata AIA Life Insurance Fortune Maxima</t>
  </si>
  <si>
    <t>110L113V01</t>
  </si>
  <si>
    <t>TATA_FORTUNEMAXIMA_PAC</t>
  </si>
  <si>
    <t>TATA_FORTUNEMAXIMA_ADMIN</t>
  </si>
  <si>
    <t>110L113V02</t>
  </si>
  <si>
    <t>110L113V03</t>
  </si>
  <si>
    <t>Tata AIA Life Insurance Wealth Maxima</t>
  </si>
  <si>
    <t>110L114V01</t>
  </si>
  <si>
    <t>TATA_WEALTHMAXIMA_PAC</t>
  </si>
  <si>
    <t>TATA_WEALTHMAXIMA_ADMIN</t>
  </si>
  <si>
    <t>110L114V02</t>
  </si>
  <si>
    <t>110L114V03</t>
  </si>
  <si>
    <t>Tata AIA Life Insurance Invest One</t>
  </si>
  <si>
    <t>110L121V01</t>
  </si>
  <si>
    <t>TATA_INVESTONE_PAC</t>
  </si>
  <si>
    <t>TATA_INVESTONE_ADMIN</t>
  </si>
  <si>
    <t>Tata AIA Life Insurance Super Achiever</t>
  </si>
  <si>
    <t>110L122V01</t>
  </si>
  <si>
    <t>TATA_SUPERACHIEVER_PAC</t>
  </si>
  <si>
    <t>TATA_SUPERACHIEVER_ADMIN</t>
  </si>
  <si>
    <t>TATA AIA Life Insurance Group Employee Benefit Plan</t>
  </si>
  <si>
    <t>110L151V01</t>
  </si>
  <si>
    <t>110L151V02</t>
  </si>
  <si>
    <t>Tata AIA Life Insurance Smart Sampoorna Raksha</t>
  </si>
  <si>
    <t>110L156V01</t>
  </si>
  <si>
    <t>TATA_SMARTSAMPOORNARAKSHA_PAC</t>
  </si>
  <si>
    <t>TATA_SMARTSAMPOORNARAKSHA_ADMIN</t>
  </si>
  <si>
    <t>110L156V02</t>
  </si>
  <si>
    <t>PNB MetLife India Insurance Co. Ltd.</t>
  </si>
  <si>
    <t>Met Gratuity</t>
  </si>
  <si>
    <t>117L023V01</t>
  </si>
  <si>
    <t>Met Smart</t>
  </si>
  <si>
    <t>117L026V01</t>
  </si>
  <si>
    <t>PNBMETLIFE_SMART_PAC</t>
  </si>
  <si>
    <t>PNBMETLIFE_SMART_ADMIN</t>
  </si>
  <si>
    <t>Met Advantage</t>
  </si>
  <si>
    <t>117L027V01</t>
  </si>
  <si>
    <t>Met Smart Plus</t>
  </si>
  <si>
    <t>117L030V01</t>
  </si>
  <si>
    <t>PNBMETLIFE_SMARTPLUS_PAC</t>
  </si>
  <si>
    <t>PNBMETLIFE_SMARTPLUS_ADMIN</t>
  </si>
  <si>
    <t>Met Smart Premier</t>
  </si>
  <si>
    <t>117L031V01</t>
  </si>
  <si>
    <t>PNBMETLIFE_SMARTPREMIER_PAC</t>
  </si>
  <si>
    <t>PNBMETLIFE_SMARTPREMIER_ADMIN</t>
  </si>
  <si>
    <t>Met Advantage Plus</t>
  </si>
  <si>
    <t>117L032V01</t>
  </si>
  <si>
    <t>PNBMETLIFE_ADVANTAGEPLUS_PAC</t>
  </si>
  <si>
    <t>PNBMETLIFE_ADVANTAGEPLUS_ADMIN</t>
  </si>
  <si>
    <t>Met Smart Plus - Single Pay</t>
  </si>
  <si>
    <t>117L033V01</t>
  </si>
  <si>
    <t>PNBMETLIFE_SMARTPLUSSP_PAC</t>
  </si>
  <si>
    <t>Met Smart Premier - Single Pay</t>
  </si>
  <si>
    <t>117L034V01</t>
  </si>
  <si>
    <t>PNBMETLIFE_SMARTPREMIERSP_PAC</t>
  </si>
  <si>
    <t>Met Easy</t>
  </si>
  <si>
    <t>117L037V01</t>
  </si>
  <si>
    <t>PNBMETLIFE_EASY_PAC</t>
  </si>
  <si>
    <t>PNBMETLIFE_EASY_ADMIN</t>
  </si>
  <si>
    <t>Met Group Gratuity</t>
  </si>
  <si>
    <t>117L038V01</t>
  </si>
  <si>
    <t>117L038V02</t>
  </si>
  <si>
    <t>117L038V03</t>
  </si>
  <si>
    <t>Met Smart Gold</t>
  </si>
  <si>
    <t>117L039V01</t>
  </si>
  <si>
    <t>PNBMETLIFE_SMARTGOLD_PAC</t>
  </si>
  <si>
    <t>PNBMETLIFE_SMARTGOLD_ADMIN</t>
  </si>
  <si>
    <t>Met Growth</t>
  </si>
  <si>
    <t>117L044V01</t>
  </si>
  <si>
    <t>PNBMETLIFE_GROWTH_PAC</t>
  </si>
  <si>
    <t>PNBMETLIFE_GROWTH_ADMIN</t>
  </si>
  <si>
    <t>Met Little Star</t>
  </si>
  <si>
    <t>117L045V01</t>
  </si>
  <si>
    <t>PNBMETLIFE_LITTLESTAR_PAC</t>
  </si>
  <si>
    <t>PNBMETLIFE_LITTLESTAR_ADMIN</t>
  </si>
  <si>
    <t>Met Magic</t>
  </si>
  <si>
    <t>117L046V01</t>
  </si>
  <si>
    <t>PNBMETLIFE_MAGIC_PAC</t>
  </si>
  <si>
    <t>PNBMETLIFE_MAGIC_ADMIN</t>
  </si>
  <si>
    <t>Met Growth Plus</t>
  </si>
  <si>
    <t>117L051V01</t>
  </si>
  <si>
    <t>Not launched at all</t>
  </si>
  <si>
    <t>Met Growth Super</t>
  </si>
  <si>
    <t>117L053V01</t>
  </si>
  <si>
    <t>90 days</t>
  </si>
  <si>
    <t>Met Wealth Plus</t>
  </si>
  <si>
    <t>117L056V01</t>
  </si>
  <si>
    <t>Met Easy Plus</t>
  </si>
  <si>
    <t>117L057V01</t>
  </si>
  <si>
    <t>PNBMETLIFE_EASYPLUS_PAC</t>
  </si>
  <si>
    <t>PNBMETLIFE_EASYPLUS_ADMIN</t>
  </si>
  <si>
    <t>Met Gold Plus</t>
  </si>
  <si>
    <t>117L058V01</t>
  </si>
  <si>
    <t>Met Pension Plus</t>
  </si>
  <si>
    <t>117L059V01</t>
  </si>
  <si>
    <t>PNBMETLIFE_PENSIONPLUS_PAC</t>
  </si>
  <si>
    <t>PNBMETLIFE_PENSIONPLUS_ADMIN</t>
  </si>
  <si>
    <t>Met Fortune</t>
  </si>
  <si>
    <t>117L060V01</t>
  </si>
  <si>
    <t>Met Smart Life</t>
  </si>
  <si>
    <t>117L061V01</t>
  </si>
  <si>
    <t>Met Magic Plus</t>
  </si>
  <si>
    <t>117L062V01</t>
  </si>
  <si>
    <t>MetSmart Platinum</t>
  </si>
  <si>
    <t>117L066V01</t>
  </si>
  <si>
    <t>100- Age at entry</t>
  </si>
  <si>
    <t>PNBMETLIFE_SMARTPLATINUM_PAC</t>
  </si>
  <si>
    <t>PNBMETLIFE_SMARTPLATINUM_ADMIN</t>
  </si>
  <si>
    <t>MetLife Smart Platinum</t>
  </si>
  <si>
    <t>117L066V02</t>
  </si>
  <si>
    <t>117L066V03</t>
  </si>
  <si>
    <t>MetSmart One</t>
  </si>
  <si>
    <t>117L068V01</t>
  </si>
  <si>
    <t>3 months</t>
  </si>
  <si>
    <t>PNBMETLIFE_SMARTONE_PAC</t>
  </si>
  <si>
    <t>PNBMETLIFE_SMARTONE_ADMIN</t>
  </si>
  <si>
    <t>MetLife Smart One</t>
  </si>
  <si>
    <t>117L068V02</t>
  </si>
  <si>
    <t xml:space="preserve">Met Easy Super </t>
  </si>
  <si>
    <t>117L069V01</t>
  </si>
  <si>
    <t>PNBMETLIFE_EASYSUPER_PAC</t>
  </si>
  <si>
    <t xml:space="preserve">MetLife  Easy Super </t>
  </si>
  <si>
    <t>117L069V02</t>
  </si>
  <si>
    <t xml:space="preserve">Met Smart Child </t>
  </si>
  <si>
    <t>117L072V01</t>
  </si>
  <si>
    <t>PNBMETLIFE_SMARTCHILD_PAC</t>
  </si>
  <si>
    <t>PNBMETLIFE_SMARTCHILD_ADMIN</t>
  </si>
  <si>
    <t xml:space="preserve">Met Life  Smart Child </t>
  </si>
  <si>
    <t>117L072V02</t>
  </si>
  <si>
    <t>Met Dhan Samriddhi</t>
  </si>
  <si>
    <t>117L074V01</t>
  </si>
  <si>
    <t>PNBMETLIFE_DHANSAMRIDDHI_PAC</t>
  </si>
  <si>
    <t>PNBMETLIFE_DHANSAMRIDDHI_ADMIN</t>
  </si>
  <si>
    <t>Met Life Dhan Samriddhi</t>
  </si>
  <si>
    <t>117L074V02</t>
  </si>
  <si>
    <t>MetLife  Unit Linked Employee Benefits Plan</t>
  </si>
  <si>
    <t>117L084V01</t>
  </si>
  <si>
    <t>117L084V02</t>
  </si>
  <si>
    <t>117L084V03</t>
  </si>
  <si>
    <t xml:space="preserve">MetLife Mera Wealth Plan </t>
  </si>
  <si>
    <t>117L098V01</t>
  </si>
  <si>
    <t>PNBMETLIFE_MERAWEALTH_PAC</t>
  </si>
  <si>
    <t>PNBMETLIFE_MERAWEALTH_ADMIN</t>
  </si>
  <si>
    <t>117L098V02</t>
  </si>
  <si>
    <t>PNB MetLife Whole Life Wealth Plan</t>
  </si>
  <si>
    <t>117L118V01</t>
  </si>
  <si>
    <t>PNBMETLIFE_WHOLELIFEWEALTH_PAC</t>
  </si>
  <si>
    <t>PNBMETLIFE_WHOLELIFEWEALTH_ADMIN</t>
  </si>
  <si>
    <t>PNB MetLife Smart Platinum Plus</t>
  </si>
  <si>
    <t>117L125V01</t>
  </si>
  <si>
    <t>PNBMETLIFE_SMARTPLATINUMPLUS_PAC</t>
  </si>
  <si>
    <t>PNBMETLIFE_SMARTPLATINUMPLUS_ADMIN</t>
  </si>
  <si>
    <t>Bharti AXA Life Insurance Co. Ltd.</t>
  </si>
  <si>
    <t>130L001V01</t>
  </si>
  <si>
    <t>Bharti AXA Life Wealth Confident</t>
  </si>
  <si>
    <t>Indiviual</t>
  </si>
  <si>
    <t>BhartiAxa_WealthConfident_PAC</t>
  </si>
  <si>
    <t>BhartiAxa_WealthConfident_Admin</t>
  </si>
  <si>
    <t>130L001V02</t>
  </si>
  <si>
    <t>130L002V01</t>
  </si>
  <si>
    <t>Bharti AXA Life Future Confident</t>
  </si>
  <si>
    <t>70-Age at entry</t>
  </si>
  <si>
    <t>BhartiAxa_FutureConfident_PAC</t>
  </si>
  <si>
    <t>BhartiAxa_FutureConfident_Admin</t>
  </si>
  <si>
    <t>130L003V01</t>
  </si>
  <si>
    <t>Bharti AXA Life FutureConfident II</t>
  </si>
  <si>
    <t>BhartiAxa_FutureConfidentII_PAC</t>
  </si>
  <si>
    <t>BhartiAxa_FutureConfidentII_Admin</t>
  </si>
  <si>
    <t>130L007V01</t>
  </si>
  <si>
    <t>Bharti AXA Life Invest Confident</t>
  </si>
  <si>
    <t>BhartiAxa_LifeInvestConfident_PAC</t>
  </si>
  <si>
    <t>BhartiAxa_LifeInvestConfident_Admin</t>
  </si>
  <si>
    <t>130L009V01</t>
  </si>
  <si>
    <t>Bharti AXA Life Aspire Life</t>
  </si>
  <si>
    <t>BhartiAxa_AspireLife_PAC</t>
  </si>
  <si>
    <t>BhartiAxa_AspireLife_Admin</t>
  </si>
  <si>
    <t>130L013V01</t>
  </si>
  <si>
    <t>Bharti AXA Life Dream Life Pension Plan</t>
  </si>
  <si>
    <t>BhartiAxa_DreamLifePensionPlan_PAC</t>
  </si>
  <si>
    <t>BhartiAxa_DreamLifePensionPlan_Admin</t>
  </si>
  <si>
    <t>130L015V01</t>
  </si>
  <si>
    <t>Bharti AXA Life Spot Suraksha</t>
  </si>
  <si>
    <t>BhartiAxa_SpotSuraksha_PAC</t>
  </si>
  <si>
    <t>BhartiAxa_SpotSuraksha_Admin</t>
  </si>
  <si>
    <t>130L016V01</t>
  </si>
  <si>
    <t>Bharti AXA Life Bright Stars</t>
  </si>
  <si>
    <t>BhartiAxa_BrightStars_PAC</t>
  </si>
  <si>
    <t>BhartiAxa_BrightStars_Admin</t>
  </si>
  <si>
    <t>130L019V01</t>
  </si>
  <si>
    <t>Bharti AXA Life Guarantee Builder</t>
  </si>
  <si>
    <t>BhartiAxa_GuaranteeBuilder_PAC</t>
  </si>
  <si>
    <t>BhartiAxa_GuaranteeBuilder_Admin</t>
  </si>
  <si>
    <t>130L020V01</t>
  </si>
  <si>
    <t>Bharti AXA Life Spot Guarantee Builder</t>
  </si>
  <si>
    <t>BhartiAxa_SpotGuaranteeBuilder_PAC</t>
  </si>
  <si>
    <t>BhartiAxa_SpotGuaranteeBuilder_Admin</t>
  </si>
  <si>
    <t>130L020V02</t>
  </si>
  <si>
    <t>130L022V01</t>
  </si>
  <si>
    <t>Bharti AXA Life Merit Plus</t>
  </si>
  <si>
    <t>BhartiAxa_MeritPlus_PAC</t>
  </si>
  <si>
    <t>BhartiAxa_MeritPlus_Admin</t>
  </si>
  <si>
    <t>130L026V01</t>
  </si>
  <si>
    <t>Bharti AXA Life Future Secure Pension</t>
  </si>
  <si>
    <t>BhartiAxa_FutureSecurePension_PAC</t>
  </si>
  <si>
    <t>BhartiAxa_FutureSecurePension_Admin</t>
  </si>
  <si>
    <t>130L027V01</t>
  </si>
  <si>
    <t>Bharti AXA Life Express Secure</t>
  </si>
  <si>
    <t>BhartiAxa_ExpressSecure_PAC</t>
  </si>
  <si>
    <t>BhartiAxa_ExpressSecure_Admin</t>
  </si>
  <si>
    <t>130L028V01</t>
  </si>
  <si>
    <t>Bharti AXA LifeAspire Life Plus</t>
  </si>
  <si>
    <t>BhartiAxa_AspireLifePlus_PAC</t>
  </si>
  <si>
    <t>BhartiAxa_AspireLifePlus_Admin</t>
  </si>
  <si>
    <t>130L029V01</t>
  </si>
  <si>
    <t xml:space="preserve">Bharti AXA Life Bright Stars Plus </t>
  </si>
  <si>
    <t>BhartiAxa_BrightStarsPlus_PAC</t>
  </si>
  <si>
    <t>BhartiAxa_BrightStarsPlus_Admin</t>
  </si>
  <si>
    <t>130L030V01</t>
  </si>
  <si>
    <t>Bharti AXA Life Merit Plus EDGE</t>
  </si>
  <si>
    <t>BhartiAxa_MeritPlusEdge_PAC</t>
  </si>
  <si>
    <t>BhartiAxa_MeritPlusEdge_Admin</t>
  </si>
  <si>
    <t>130L031V01</t>
  </si>
  <si>
    <t>Bharti AXA Life Dream Life Pension Plus</t>
  </si>
  <si>
    <t>BhartiAxa_DreamLifePensionPlanPlus_PAC</t>
  </si>
  <si>
    <t>BhartiAxa_DreamLifePensionPlus_Admin</t>
  </si>
  <si>
    <t>130L032V01</t>
  </si>
  <si>
    <t>Bharti AXA Life Swarna Bhavishya</t>
  </si>
  <si>
    <t>BhartiAxa_SwarnaBhavishya_PAC</t>
  </si>
  <si>
    <t>BhartiAxa_SwarnaBhavishya_Admin</t>
  </si>
  <si>
    <t>130L033V01</t>
  </si>
  <si>
    <t>Bharti AXA Life Future Advantage Plan</t>
  </si>
  <si>
    <t>BhartiAxa_FutureAdvantagePlan_PAC</t>
  </si>
  <si>
    <t>BhartiAxa_FutureAdvantagePlan_Admin</t>
  </si>
  <si>
    <t>130L035V01</t>
  </si>
  <si>
    <t>Bharti AXA Life Bright Star Edge</t>
  </si>
  <si>
    <t>BhartiAxa_BrightStarEdge_PAC</t>
  </si>
  <si>
    <t>BhartiAxa_BrightStarEdge_Admin</t>
  </si>
  <si>
    <t>130L036V01</t>
  </si>
  <si>
    <t>Bharti AXA Life True Wealth</t>
  </si>
  <si>
    <t>BhartiAxa_TrueWealth_PAC</t>
  </si>
  <si>
    <t>BhartiAxa_TrueWealth_Admin</t>
  </si>
  <si>
    <t>130L041V01</t>
  </si>
  <si>
    <t>Bharti AXA Life Wealth One</t>
  </si>
  <si>
    <t>BhartiAxa_WealthOne_Admin</t>
  </si>
  <si>
    <t>130L045V01</t>
  </si>
  <si>
    <t>Bharti AXA Life Invest Smart</t>
  </si>
  <si>
    <t>BhartiAxa_InvestSmart_PAC</t>
  </si>
  <si>
    <t>BhartiAxa_InvestSmart_Admin</t>
  </si>
  <si>
    <t>130L048V01</t>
  </si>
  <si>
    <t>Bharti AXA Life power Kid Insurance Plan</t>
  </si>
  <si>
    <t>BhartiAxa_PowerKidInsurancePlan_PAC</t>
  </si>
  <si>
    <t>BhartiAxa_PowerKidInsurancePlan_Admin</t>
  </si>
  <si>
    <t>130L049V01</t>
  </si>
  <si>
    <t>Bharti AXA Future Invest</t>
  </si>
  <si>
    <t>BhartiAxa_FutureInvest_Admin</t>
  </si>
  <si>
    <t>130L049V02</t>
  </si>
  <si>
    <t>130L049V03</t>
  </si>
  <si>
    <t>NA</t>
  </si>
  <si>
    <t>130L049V04</t>
  </si>
  <si>
    <t>130L063V01</t>
  </si>
  <si>
    <t>Bharti AXA Life eFuture Invest</t>
  </si>
  <si>
    <t>BhartiAxa_eFutureInvest_Admin</t>
  </si>
  <si>
    <t>130L063V02</t>
  </si>
  <si>
    <t>130L074V01</t>
  </si>
  <si>
    <t>Bharti AXA Life Unit Linked Employee Benefits Plan</t>
  </si>
  <si>
    <t>130L074V02</t>
  </si>
  <si>
    <t>130L088V01</t>
  </si>
  <si>
    <t>Bharti AXA Life Grow Wealth</t>
  </si>
  <si>
    <t>BhartiAxa_GrowWealth_Admin</t>
  </si>
  <si>
    <t>130L088V02</t>
  </si>
  <si>
    <t>130L088V03</t>
  </si>
  <si>
    <t>130L100V01</t>
  </si>
  <si>
    <t>Bharti AXA Life Wealth Pro</t>
  </si>
  <si>
    <t>Growth Variant</t>
  </si>
  <si>
    <t>BhartiAxa_WealthPro_PAC</t>
  </si>
  <si>
    <t>BhartiAxa_WealthPro_Admin</t>
  </si>
  <si>
    <t>99-age at entry</t>
  </si>
  <si>
    <t>60-age at entry</t>
  </si>
  <si>
    <t>Legacy Variant</t>
  </si>
  <si>
    <t>Star Union Dai-ichi Life Insurance Co Ltd.</t>
  </si>
  <si>
    <t>SUD Life Dhana Suraksha (Unit Linked Endowment Plan )</t>
  </si>
  <si>
    <t>142L003V01</t>
  </si>
  <si>
    <t>SUD Life Dhana Suraksha Premium (Unit Linked Endowment Plan )</t>
  </si>
  <si>
    <t>142L004V01</t>
  </si>
  <si>
    <t>SUD Life Prabhat Tara (Unit Linked Child Plan)</t>
  </si>
  <si>
    <t>142L008V01</t>
  </si>
  <si>
    <t>SUD Life Dhruv Tara (Unit Linked Pension Plan)</t>
  </si>
  <si>
    <t>142L010V01</t>
  </si>
  <si>
    <t>SUD Life New Dhan Suraksha Plan</t>
  </si>
  <si>
    <t>142L018V01</t>
  </si>
  <si>
    <t>SUD Life New Dhan Suraksha Premium Plan</t>
  </si>
  <si>
    <t>142L019V01</t>
  </si>
  <si>
    <t>SUD Life New Prabhat Tara (Unit Linked Child Plan)</t>
  </si>
  <si>
    <t>142L020V01</t>
  </si>
  <si>
    <t>SUD Life New Dhruv Tara Plan</t>
  </si>
  <si>
    <t>142L021V01</t>
  </si>
  <si>
    <t>SUD Life Dhan Suraksha 3</t>
  </si>
  <si>
    <t>142L024V01</t>
  </si>
  <si>
    <t>SUD Life Dhan Suraksha Premium 3</t>
  </si>
  <si>
    <t>142L025V01</t>
  </si>
  <si>
    <t>SUD Life Prabhat tara 3</t>
  </si>
  <si>
    <t>142L026V01</t>
  </si>
  <si>
    <t>SUD Life Dhan Suraksha Express</t>
  </si>
  <si>
    <t>142L028V01</t>
  </si>
  <si>
    <t>SUD Life Dhan Suraksha Plus</t>
  </si>
  <si>
    <t>142L041V01</t>
  </si>
  <si>
    <t>SUD Life Wealth Builder Plan</t>
  </si>
  <si>
    <t>142L042V01</t>
  </si>
  <si>
    <t>142L042V02</t>
  </si>
  <si>
    <t>SUD Life Group Retirement Benefit Plan</t>
  </si>
  <si>
    <t>142L049V01</t>
  </si>
  <si>
    <t>SUD Life Wealth Creator</t>
  </si>
  <si>
    <t>142L077V01</t>
  </si>
  <si>
    <t>PREM/DURATION</t>
  </si>
  <si>
    <t>Duration</t>
  </si>
  <si>
    <t>%</t>
  </si>
  <si>
    <t>HDFC Unit Linked Endowment Suvidha Plus</t>
  </si>
  <si>
    <t>HDFC Unit Linked Young Star Suvidha Plus</t>
  </si>
  <si>
    <t>HDFC Unit Linked Endowment Plus II</t>
  </si>
  <si>
    <t>HDFC SimpliLife 01</t>
  </si>
  <si>
    <t>HDFC SimpliLife 02&amp;03</t>
  </si>
  <si>
    <t>Duation</t>
  </si>
  <si>
    <t>HDFC Unit Linked Wealth Maximiser Plus)</t>
  </si>
  <si>
    <t>HDFC YOUNG START PLUS II</t>
  </si>
  <si>
    <t>HDFC  Pension Maximiser II</t>
  </si>
  <si>
    <t>HDFC Launches Unit Linked Wealth Multiplier</t>
  </si>
  <si>
    <t>HDFC YOUNGSTAR SUPER)</t>
  </si>
  <si>
    <t>HDFC YoungStar Super Suvidha</t>
  </si>
  <si>
    <t>HDFC  Pension Champion</t>
  </si>
  <si>
    <t>HDFC SL YoungStar Champion Suvidha</t>
  </si>
  <si>
    <t>HDFC YOUNGSTAR SUPREME</t>
  </si>
  <si>
    <t>HDFC SL Progrowth Maximiser</t>
  </si>
  <si>
    <t>HDFC SL Pro Growth Plus 05</t>
  </si>
  <si>
    <t>HDFC Unit Linked YoungStar Plus II</t>
  </si>
  <si>
    <t xml:space="preserve"> HDFC Unit Linked Pension Plus</t>
  </si>
  <si>
    <t>HDFC Unit Linked Young Star 02</t>
  </si>
  <si>
    <t>HDFC Unit Linked Young Star 01</t>
  </si>
  <si>
    <t>Unit Linked Endowment</t>
  </si>
  <si>
    <t>HDFC Life Pension Super Plus 01</t>
  </si>
  <si>
    <t>PAC Annual</t>
  </si>
  <si>
    <t>HDFC Life Capital Shield 01</t>
  </si>
  <si>
    <t>HDFC Life Capital Shield 02</t>
  </si>
  <si>
    <t>Max Life SMART  Plus</t>
  </si>
  <si>
    <t>ICICI Pru Life Time Premier 01</t>
  </si>
  <si>
    <t>14%%</t>
  </si>
  <si>
    <t>Bharti Axa Life Wealth Confident</t>
  </si>
  <si>
    <t>Premium/Duration</t>
  </si>
  <si>
    <t>HDFC SimpliLife 02,03</t>
  </si>
  <si>
    <t>Cap</t>
  </si>
  <si>
    <t>HDFC Life Assured Pension Plan- 3,4&amp;5</t>
  </si>
  <si>
    <t xml:space="preserve">IndiaFirst Money Balance Plan-2 </t>
  </si>
  <si>
    <t>premium/Duration</t>
  </si>
  <si>
    <t>Max Life SMART Xpress 02</t>
  </si>
  <si>
    <t>PREMIUM/DURATION</t>
  </si>
  <si>
    <t>DURATION</t>
  </si>
  <si>
    <t>ADMIN</t>
  </si>
  <si>
    <t>ICICI Pru Signature 01</t>
  </si>
  <si>
    <t>Bharti Axa Life Future Confident</t>
  </si>
  <si>
    <t>PT/type</t>
  </si>
  <si>
    <t>TYPE</t>
  </si>
  <si>
    <t>DECSRIPTION</t>
  </si>
  <si>
    <t>% OF FV</t>
  </si>
  <si>
    <t>MAX(PAC+ADMIN CHARGE,5% OF SP)</t>
  </si>
  <si>
    <t>% OF AFV(24M)</t>
  </si>
  <si>
    <t>% OF AFV(12M)</t>
  </si>
  <si>
    <t>NIL</t>
  </si>
  <si>
    <t>% OF AFV(8Q)</t>
  </si>
  <si>
    <t>% OF ATP</t>
  </si>
  <si>
    <t>% OF AFV(36M)</t>
  </si>
  <si>
    <t>% OF AFV (36M)</t>
  </si>
  <si>
    <t>% of AFV (36M)</t>
  </si>
  <si>
    <t>%OF AFV(36M)</t>
  </si>
  <si>
    <t>SFIN</t>
  </si>
  <si>
    <t>ULIF05301/08/13EquityPlus101</t>
  </si>
  <si>
    <t>ULIF03801/09/10ShortTrmFd101</t>
  </si>
  <si>
    <t>ULIF03401/01/10IncomeFund101</t>
  </si>
  <si>
    <t>ULIF05601/08/13Bond Funds101</t>
  </si>
  <si>
    <t>ULIF05501/08/13DivrEqtyFd101</t>
  </si>
  <si>
    <t>ULIF05801/08/13ConsertvFd101</t>
  </si>
  <si>
    <t>ULIF03601/01/10OpprtntyFd101</t>
  </si>
  <si>
    <t>ULIF03501/01/10BlueChipFd101</t>
  </si>
  <si>
    <t>ULIF03901/09/10BalancedFd101</t>
  </si>
  <si>
    <t>To add:</t>
  </si>
  <si>
    <t>INPUT SHEET</t>
  </si>
  <si>
    <t>Done</t>
  </si>
  <si>
    <t>GROWTH RATE</t>
  </si>
  <si>
    <t xml:space="preserve">PARAMETERISE </t>
  </si>
  <si>
    <t>ACTUAL NAV</t>
  </si>
  <si>
    <t>We can put other NAVs</t>
  </si>
  <si>
    <t>To work on Monday</t>
  </si>
  <si>
    <t>STARTING POINT</t>
  </si>
  <si>
    <t>1. Diff modes 2.Diff revival time 3.</t>
  </si>
  <si>
    <t>PP MODES</t>
  </si>
  <si>
    <t>PARTIAL WITHDRAWAL</t>
  </si>
  <si>
    <t>TOP UP</t>
  </si>
  <si>
    <t>REVIVAL</t>
  </si>
  <si>
    <t>Link to 4.</t>
  </si>
  <si>
    <t>FMC LINK</t>
  </si>
  <si>
    <t>MORTALITY LINK</t>
  </si>
  <si>
    <t>LA LINK</t>
  </si>
  <si>
    <t>To be checked by Sir</t>
  </si>
  <si>
    <t>CHARGE LINK</t>
  </si>
  <si>
    <t>HDFC Life Classic One - LA</t>
  </si>
  <si>
    <t>ATS</t>
  </si>
  <si>
    <t>PAC NON ANNUAL MODES</t>
  </si>
  <si>
    <t>PLAN OPTION</t>
  </si>
  <si>
    <t>DB TO BE LINKED</t>
  </si>
  <si>
    <t>Discontinuance Fund</t>
  </si>
  <si>
    <t>Sr No.</t>
  </si>
  <si>
    <t>Exception in</t>
  </si>
  <si>
    <t>DB/ Admin</t>
  </si>
  <si>
    <t>max(FV,SA), SA+FV/ Admin- Dependent on SA</t>
  </si>
  <si>
    <t>max(FV,SA), SA+FV</t>
  </si>
  <si>
    <t>1.35% of Net assets</t>
  </si>
  <si>
    <t>complex</t>
  </si>
  <si>
    <t>GA/LA</t>
  </si>
  <si>
    <t>Deferrement Period</t>
  </si>
  <si>
    <t>% of prem</t>
  </si>
  <si>
    <t>Complex</t>
  </si>
  <si>
    <t>DATE</t>
  </si>
  <si>
    <t>NIFTY 50</t>
  </si>
  <si>
    <t>4 yr CAGR</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</si>
</sst>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_ * #,##0_ ;_ * \-#,##0_ ;_ * &quot;-&quot;??_ ;_ @_ "/>
    <numFmt numFmtId="165" formatCode="d-mmm-yyyy"/>
    <numFmt numFmtId="166" formatCode="m/d/yyyy"/>
    <numFmt numFmtId="167" formatCode="0.0000%"/>
    <numFmt numFmtId="168" formatCode="_ * #,##0.0_ ;_ * \-#,##0.0_ ;_ * &quot;-&quot;??_ ;_ @_ "/>
    <numFmt numFmtId="169" formatCode="0.0%"/>
    <numFmt numFmtId="170" formatCode="d\-mmm\-yyyy"/>
    <numFmt numFmtId="171" formatCode="0.000%"/>
    <numFmt numFmtId="172" formatCode="_ * #,##0.00_ ;_ * \-#,##0.00_ ;_ * &quot;-&quot;??_ ;_ @_ "/>
    <numFmt numFmtId="173" formatCode="[$-409]d\-mmm\-yy"/>
    <numFmt numFmtId="174" formatCode="d\-mmm\-yy"/>
    <numFmt numFmtId="175" formatCode="d\-mmmm\-yy"/>
    <numFmt numFmtId="176" formatCode="d-mmm-yy"/>
    <numFmt numFmtId="177" formatCode="dd-mmm-yy"/>
    <numFmt numFmtId="178" formatCode="#,##0.00000"/>
    <numFmt numFmtId="179" formatCode="&quot;$&quot;#,##0.00"/>
  </numFmts>
  <fonts count="54">
    <font>
      <sz val="11.0"/>
      <color theme="1"/>
      <name val="Arial"/>
    </font>
    <font>
      <b/>
      <sz val="11.0"/>
      <color theme="1"/>
      <name val="Arial"/>
    </font>
    <font>
      <u/>
      <sz val="11.0"/>
      <color theme="10"/>
      <name val="Arial"/>
    </font>
    <font>
      <u/>
      <sz val="11.0"/>
      <color theme="10"/>
      <name val="Arial"/>
    </font>
    <font>
      <b/>
      <sz val="11.0"/>
      <color rgb="FF000000"/>
      <name val="Arial"/>
    </font>
    <font>
      <sz val="11.0"/>
      <color rgb="FF000000"/>
      <name val="Arial"/>
    </font>
    <font>
      <sz val="11.0"/>
      <color theme="0"/>
      <name val="Calibri"/>
    </font>
    <font>
      <sz val="11.0"/>
      <color theme="0"/>
      <name val="Arial"/>
    </font>
    <font>
      <sz val="11.0"/>
      <color theme="1"/>
      <name val="Calibri"/>
    </font>
    <font>
      <b/>
      <sz val="10.0"/>
      <color theme="0"/>
      <name val="Arial"/>
    </font>
    <font>
      <sz val="10.0"/>
      <color theme="0"/>
      <name val="Arial"/>
    </font>
    <font>
      <sz val="10.0"/>
      <color theme="1"/>
      <name val="Arial"/>
    </font>
    <font>
      <b/>
      <sz val="10.0"/>
      <color rgb="FFFFFFFF"/>
      <name val="Arial"/>
    </font>
    <font>
      <b/>
      <sz val="10.0"/>
      <color theme="1"/>
      <name val="Arial"/>
    </font>
    <font/>
    <font>
      <b/>
      <sz val="10.0"/>
      <color theme="1"/>
      <name val="Calibri"/>
    </font>
    <font>
      <sz val="10.0"/>
      <color theme="1"/>
      <name val="Calibri"/>
    </font>
    <font>
      <b/>
      <sz val="10.0"/>
      <color rgb="FFFFFFFF"/>
      <name val="Calibri"/>
    </font>
    <font>
      <b/>
      <sz val="10.0"/>
      <color theme="0"/>
      <name val="Calibri"/>
    </font>
    <font>
      <sz val="10.0"/>
      <color theme="1"/>
      <name val="Source Sans Pro"/>
    </font>
    <font>
      <b/>
      <sz val="10.0"/>
      <color theme="1"/>
      <name val="Source Sans Pro"/>
    </font>
    <font>
      <b/>
      <sz val="12.0"/>
      <color theme="1"/>
      <name val="Calibri"/>
    </font>
    <font>
      <u/>
      <sz val="11.0"/>
      <color theme="1"/>
      <name val="Arial"/>
    </font>
    <font>
      <u/>
      <sz val="11.0"/>
      <color theme="1"/>
      <name val="Arial"/>
    </font>
    <font>
      <color theme="1"/>
      <name val="Calibri"/>
    </font>
    <font>
      <b/>
      <color rgb="FF351C75"/>
      <name val="Calibri"/>
    </font>
    <font>
      <b/>
      <color rgb="FFFFFFFF"/>
      <name val="Calibri"/>
    </font>
    <font>
      <color rgb="FFFFFFFF"/>
      <name val="Calibri"/>
    </font>
    <font>
      <u/>
      <color rgb="FF0000FF"/>
    </font>
    <font>
      <color rgb="FF000000"/>
      <name val="Calibri"/>
    </font>
    <font>
      <sz val="11.0"/>
      <color rgb="FF000000"/>
      <name val="Calibri"/>
    </font>
    <font>
      <sz val="10.0"/>
      <color rgb="FF000000"/>
      <name val="Calibri"/>
    </font>
    <font>
      <sz val="11.0"/>
      <color rgb="FF000000"/>
      <name val="Inconsolata"/>
    </font>
    <font>
      <sz val="11.0"/>
      <color rgb="FF000000"/>
      <name val="Times"/>
    </font>
    <font>
      <b/>
      <sz val="11.0"/>
      <color theme="1"/>
      <name val="Calibri"/>
    </font>
    <font>
      <i/>
      <sz val="11.0"/>
      <color theme="1"/>
      <name val="Calibri"/>
    </font>
    <font>
      <b/>
      <u/>
      <sz val="11.0"/>
      <color theme="1"/>
      <name val="Calibri"/>
    </font>
    <font>
      <sz val="11.0"/>
      <color rgb="FFFF0000"/>
      <name val="Calibri"/>
    </font>
    <font>
      <b/>
      <sz val="12.0"/>
      <color theme="1"/>
      <name val="Arial"/>
    </font>
    <font>
      <sz val="12.0"/>
      <color theme="1"/>
      <name val="Arial"/>
    </font>
    <font>
      <b/>
      <sz val="12.0"/>
      <color theme="1"/>
      <name val="Garamond"/>
    </font>
    <font>
      <sz val="12.0"/>
      <color theme="1"/>
      <name val="Garamond"/>
    </font>
    <font>
      <sz val="11.0"/>
      <color rgb="FF000000"/>
      <name val="Roboto"/>
    </font>
    <font>
      <sz val="11.0"/>
      <color rgb="FFF7981D"/>
      <name val="Inconsolata"/>
    </font>
    <font>
      <sz val="12.0"/>
      <color theme="1"/>
      <name val="Times New Roman"/>
    </font>
    <font>
      <sz val="12.0"/>
      <color rgb="FF000000"/>
      <name val="Garamond"/>
    </font>
    <font>
      <sz val="11.0"/>
      <color rgb="FFFF0000"/>
      <name val="Arial"/>
    </font>
    <font>
      <color theme="1"/>
      <name val="Arial"/>
    </font>
    <font>
      <sz val="12.0"/>
      <color theme="1"/>
      <name val="Calibri"/>
    </font>
    <font>
      <sz val="11.0"/>
      <color rgb="FF2B404A"/>
      <name val="Calibri"/>
    </font>
    <font>
      <sz val="11.0"/>
      <color rgb="FF2B404A"/>
      <name val="Arial"/>
    </font>
    <font>
      <sz val="10.0"/>
      <color theme="1"/>
      <name val="Trebuchet MS"/>
    </font>
    <font>
      <sz val="8.0"/>
      <color rgb="FFFFFFFF"/>
      <name val="Source Sans Pro"/>
    </font>
    <font>
      <sz val="10.0"/>
      <color rgb="FF333333"/>
      <name val="Source Sans Pro"/>
    </font>
  </fonts>
  <fills count="28">
    <fill>
      <patternFill patternType="none"/>
    </fill>
    <fill>
      <patternFill patternType="lightGray"/>
    </fill>
    <fill>
      <patternFill patternType="solid">
        <fgColor rgb="FFFFFFFF"/>
        <bgColor rgb="FFFFFFFF"/>
      </patternFill>
    </fill>
    <fill>
      <patternFill patternType="solid">
        <fgColor rgb="FF8EAADB"/>
        <bgColor rgb="FF8EAADB"/>
      </patternFill>
    </fill>
    <fill>
      <patternFill patternType="solid">
        <fgColor rgb="FFD9E2F3"/>
        <bgColor rgb="FFD9E2F3"/>
      </patternFill>
    </fill>
    <fill>
      <patternFill patternType="solid">
        <fgColor rgb="FFB4C6E7"/>
        <bgColor rgb="FFB4C6E7"/>
      </patternFill>
    </fill>
    <fill>
      <patternFill patternType="solid">
        <fgColor rgb="FFFFC000"/>
        <bgColor rgb="FFFFC000"/>
      </patternFill>
    </fill>
    <fill>
      <patternFill patternType="solid">
        <fgColor theme="0"/>
        <bgColor theme="0"/>
      </patternFill>
    </fill>
    <fill>
      <patternFill patternType="solid">
        <fgColor rgb="FFFEF2CB"/>
        <bgColor rgb="FFFEF2CB"/>
      </patternFill>
    </fill>
    <fill>
      <patternFill patternType="solid">
        <fgColor rgb="FF3F3F3F"/>
        <bgColor rgb="FF3F3F3F"/>
      </patternFill>
    </fill>
    <fill>
      <patternFill patternType="solid">
        <fgColor rgb="FF262626"/>
        <bgColor rgb="FF262626"/>
      </patternFill>
    </fill>
    <fill>
      <patternFill patternType="solid">
        <fgColor theme="5"/>
        <bgColor theme="5"/>
      </patternFill>
    </fill>
    <fill>
      <patternFill patternType="solid">
        <fgColor rgb="FFD8D8D8"/>
        <bgColor rgb="FFD8D8D8"/>
      </patternFill>
    </fill>
    <fill>
      <patternFill patternType="solid">
        <fgColor rgb="FF7F7F7F"/>
        <bgColor rgb="FF7F7F7F"/>
      </patternFill>
    </fill>
    <fill>
      <patternFill patternType="solid">
        <fgColor rgb="FFB7B7B7"/>
        <bgColor rgb="FFB7B7B7"/>
      </patternFill>
    </fill>
    <fill>
      <patternFill patternType="solid">
        <fgColor theme="8"/>
        <bgColor theme="8"/>
      </patternFill>
    </fill>
    <fill>
      <patternFill patternType="solid">
        <fgColor rgb="FFF2F2F2"/>
        <bgColor rgb="FFF2F2F2"/>
      </patternFill>
    </fill>
    <fill>
      <patternFill patternType="solid">
        <fgColor rgb="FFDEEAF6"/>
        <bgColor rgb="FFDEEAF6"/>
      </patternFill>
    </fill>
    <fill>
      <patternFill patternType="solid">
        <fgColor rgb="FFBFBFBF"/>
        <bgColor rgb="FFBFBFBF"/>
      </patternFill>
    </fill>
    <fill>
      <patternFill patternType="solid">
        <fgColor rgb="FF2E75B5"/>
        <bgColor rgb="FF2E75B5"/>
      </patternFill>
    </fill>
    <fill>
      <patternFill patternType="solid">
        <fgColor rgb="FF00FFFF"/>
        <bgColor rgb="FF00FFFF"/>
      </patternFill>
    </fill>
    <fill>
      <patternFill patternType="solid">
        <fgColor rgb="FFFF0000"/>
        <bgColor rgb="FFFF0000"/>
      </patternFill>
    </fill>
    <fill>
      <patternFill patternType="solid">
        <fgColor rgb="FFFFFFFE"/>
        <bgColor rgb="FFFFFFFE"/>
      </patternFill>
    </fill>
    <fill>
      <patternFill patternType="solid">
        <fgColor theme="9"/>
        <bgColor theme="9"/>
      </patternFill>
    </fill>
    <fill>
      <patternFill patternType="solid">
        <fgColor rgb="FFFFFF00"/>
        <bgColor rgb="FFFFFF00"/>
      </patternFill>
    </fill>
    <fill>
      <patternFill patternType="solid">
        <fgColor rgb="FFF9F9F9"/>
        <bgColor rgb="FFF9F9F9"/>
      </patternFill>
    </fill>
    <fill>
      <patternFill patternType="solid">
        <fgColor rgb="FFC5E0B3"/>
        <bgColor rgb="FFC5E0B3"/>
      </patternFill>
    </fill>
    <fill>
      <patternFill patternType="solid">
        <fgColor rgb="FF05396E"/>
        <bgColor rgb="FF05396E"/>
      </patternFill>
    </fill>
  </fills>
  <borders count="51">
    <border/>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border>
    <border>
      <left style="medium">
        <color rgb="FF000000"/>
      </left>
      <right style="medium">
        <color rgb="FF000000"/>
      </right>
      <top style="medium">
        <color rgb="FF000000"/>
      </top>
      <bottom/>
    </border>
    <border>
      <left/>
      <right style="medium">
        <color rgb="FF000000"/>
      </right>
      <top style="medium">
        <color rgb="FF000000"/>
      </top>
      <bottom style="medium">
        <color rgb="FF000000"/>
      </bottom>
    </border>
    <border>
      <left style="medium">
        <color rgb="FF000000"/>
      </left>
      <right style="medium">
        <color rgb="FF000000"/>
      </right>
      <top/>
      <bottom/>
    </border>
    <border>
      <left style="medium">
        <color rgb="FF000000"/>
      </left>
      <right/>
      <top/>
      <bottom style="medium">
        <color rgb="FF000000"/>
      </bottom>
    </border>
    <border>
      <left style="medium">
        <color rgb="FF000000"/>
      </left>
      <right style="medium">
        <color rgb="FF000000"/>
      </right>
      <top/>
      <bottom style="medium">
        <color rgb="FF000000"/>
      </bottom>
    </border>
    <border>
      <left/>
      <right style="medium">
        <color rgb="FF000000"/>
      </right>
      <top/>
      <bottom style="medium">
        <color rgb="FF000000"/>
      </bottom>
    </border>
    <border>
      <left style="medium">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top/>
      <bottom/>
    </border>
    <border>
      <top/>
      <bottom/>
    </border>
    <border>
      <left style="thin">
        <color rgb="FF000000"/>
      </left>
      <right style="thin">
        <color rgb="FF000000"/>
      </right>
      <bottom style="thin">
        <color rgb="FF000000"/>
      </bottom>
    </border>
    <border>
      <right style="thin">
        <color rgb="FF000000"/>
      </right>
      <bottom style="thin">
        <color rgb="FF000000"/>
      </bottom>
    </border>
    <border>
      <bottom style="thin">
        <color rgb="FF000000"/>
      </bottom>
    </border>
    <border>
      <left style="thin">
        <color rgb="FF000000"/>
      </left>
      <right style="thin">
        <color rgb="FF000000"/>
      </right>
    </border>
    <border>
      <left style="medium">
        <color rgb="FF000000"/>
      </left>
      <right style="medium">
        <color rgb="FF000000"/>
      </right>
      <top style="medium">
        <color rgb="FF000000"/>
      </top>
      <bottom style="medium">
        <color rgb="FF000000"/>
      </bottom>
    </border>
    <border>
      <left style="medium">
        <color rgb="FFCCCCCC"/>
      </left>
      <right style="medium">
        <color rgb="FF000000"/>
      </right>
      <top style="medium">
        <color rgb="FF000000"/>
      </top>
      <bottom style="medium">
        <color rgb="FF000000"/>
      </bottom>
    </border>
    <border>
      <left style="medium">
        <color rgb="FFCCCCCC"/>
      </left>
      <right style="medium">
        <color rgb="FFCCCCCC"/>
      </right>
      <top style="medium">
        <color rgb="FFCCCCCC"/>
      </top>
      <bottom style="medium">
        <color rgb="FFCCCCCC"/>
      </bottom>
    </border>
    <border>
      <left style="medium">
        <color rgb="FF000000"/>
      </left>
      <right style="medium">
        <color rgb="FF000000"/>
      </right>
      <top style="medium">
        <color rgb="FFCCCCCC"/>
      </top>
      <bottom style="medium">
        <color rgb="FF000000"/>
      </bottom>
    </border>
    <border>
      <left style="medium">
        <color rgb="FFCCCCCC"/>
      </left>
      <right style="medium">
        <color rgb="FF000000"/>
      </right>
      <top style="medium">
        <color rgb="FFCCCCCC"/>
      </top>
      <bottom style="medium">
        <color rgb="FF000000"/>
      </bottom>
    </border>
    <border>
      <right/>
      <top/>
      <bottom/>
    </border>
    <border>
      <bottom style="double">
        <color rgb="FF000000"/>
      </bottom>
    </border>
    <border>
      <left style="thin">
        <color rgb="FF000000"/>
      </left>
      <right style="thin">
        <color rgb="FF000000"/>
      </right>
      <top style="thin">
        <color rgb="FF000000"/>
      </top>
    </border>
    <border>
      <left style="thin">
        <color rgb="FF000000"/>
      </left>
      <right style="thin">
        <color rgb="FF000000"/>
      </right>
      <top style="thin">
        <color rgb="FF000000"/>
      </top>
      <bottom/>
    </border>
    <border>
      <left style="medium">
        <color rgb="FF000000"/>
      </left>
      <right style="medium">
        <color rgb="FF000000"/>
      </right>
      <top style="medium">
        <color rgb="FFCCCCCC"/>
      </top>
      <bottom style="medium">
        <color rgb="FFCCCCCC"/>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s>
  <cellStyleXfs count="1">
    <xf borderId="0" fillId="0" fontId="0" numFmtId="0" applyAlignment="1" applyFont="1"/>
  </cellStyleXfs>
  <cellXfs count="427">
    <xf borderId="0" fillId="0" fontId="0" numFmtId="0" xfId="0" applyAlignment="1" applyFont="1">
      <alignment readingOrder="0" shrinkToFit="0" vertical="bottom" wrapText="0"/>
    </xf>
    <xf borderId="1" fillId="2" fontId="0" numFmtId="0" xfId="0" applyBorder="1" applyFill="1" applyFont="1"/>
    <xf borderId="2" fillId="3" fontId="1" numFmtId="0" xfId="0" applyAlignment="1" applyBorder="1" applyFill="1" applyFont="1">
      <alignment horizontal="right"/>
    </xf>
    <xf borderId="3" fillId="3" fontId="1" numFmtId="0" xfId="0" applyBorder="1" applyFont="1"/>
    <xf borderId="4" fillId="3" fontId="0" numFmtId="0" xfId="0" applyBorder="1" applyFont="1"/>
    <xf borderId="5" fillId="2" fontId="0" numFmtId="0" xfId="0" applyBorder="1" applyFont="1"/>
    <xf borderId="6" fillId="2" fontId="0" numFmtId="0" xfId="0" applyBorder="1" applyFont="1"/>
    <xf borderId="7" fillId="4" fontId="2" numFmtId="0" xfId="0" applyBorder="1" applyFill="1" applyFont="1"/>
    <xf borderId="8" fillId="2" fontId="0" numFmtId="0" xfId="0" applyBorder="1" applyFont="1"/>
    <xf borderId="9" fillId="2" fontId="0" numFmtId="0" xfId="0" applyBorder="1" applyFont="1"/>
    <xf borderId="10" fillId="2" fontId="0" numFmtId="0" xfId="0" applyBorder="1" applyFont="1"/>
    <xf borderId="11" fillId="4" fontId="3" numFmtId="0" xfId="0" applyBorder="1" applyFont="1"/>
    <xf borderId="0" fillId="0" fontId="0" numFmtId="0" xfId="0" applyFont="1"/>
    <xf borderId="12" fillId="5" fontId="1" numFmtId="0" xfId="0" applyAlignment="1" applyBorder="1" applyFill="1" applyFont="1">
      <alignment vertical="top"/>
    </xf>
    <xf borderId="13" fillId="5" fontId="4" numFmtId="0" xfId="0" applyAlignment="1" applyBorder="1" applyFont="1">
      <alignment vertical="top"/>
    </xf>
    <xf borderId="14" fillId="5" fontId="4" numFmtId="0" xfId="0" applyAlignment="1" applyBorder="1" applyFont="1">
      <alignment vertical="top"/>
    </xf>
    <xf borderId="15" fillId="5" fontId="4" numFmtId="0" xfId="0" applyAlignment="1" applyBorder="1" applyFont="1">
      <alignment vertical="top"/>
    </xf>
    <xf borderId="13" fillId="6" fontId="4" numFmtId="0" xfId="0" applyAlignment="1" applyBorder="1" applyFill="1" applyFont="1">
      <alignment vertical="top"/>
    </xf>
    <xf borderId="16" fillId="7" fontId="0" numFmtId="0" xfId="0" applyAlignment="1" applyBorder="1" applyFill="1" applyFont="1">
      <alignment vertical="top"/>
    </xf>
    <xf borderId="17" fillId="7" fontId="5" numFmtId="0" xfId="0" applyAlignment="1" applyBorder="1" applyFont="1">
      <alignment shrinkToFit="0" vertical="top" wrapText="1"/>
    </xf>
    <xf borderId="0" fillId="0" fontId="0" numFmtId="0" xfId="0" applyAlignment="1" applyFont="1">
      <alignment shrinkToFit="0" vertical="top" wrapText="1"/>
    </xf>
    <xf borderId="18" fillId="7" fontId="5" numFmtId="0" xfId="0" applyAlignment="1" applyBorder="1" applyFont="1">
      <alignment shrinkToFit="0" vertical="top" wrapText="1"/>
    </xf>
    <xf borderId="17" fillId="8" fontId="0" numFmtId="0" xfId="0" applyAlignment="1" applyBorder="1" applyFill="1" applyFont="1">
      <alignment shrinkToFit="0" vertical="top" wrapText="1"/>
    </xf>
    <xf borderId="19" fillId="7" fontId="0" numFmtId="0" xfId="0" applyAlignment="1" applyBorder="1" applyFont="1">
      <alignment vertical="top"/>
    </xf>
    <xf borderId="20" fillId="7" fontId="5" numFmtId="0" xfId="0" applyAlignment="1" applyBorder="1" applyFont="1">
      <alignment shrinkToFit="0" vertical="top" wrapText="1"/>
    </xf>
    <xf quotePrefix="1" borderId="0" fillId="0" fontId="0" numFmtId="0" xfId="0" applyAlignment="1" applyFont="1">
      <alignment shrinkToFit="0" vertical="top" wrapText="1"/>
    </xf>
    <xf borderId="21" fillId="7" fontId="5" numFmtId="0" xfId="0" applyAlignment="1" applyBorder="1" applyFont="1">
      <alignment shrinkToFit="0" vertical="top" wrapText="1"/>
    </xf>
    <xf borderId="20" fillId="8" fontId="0" numFmtId="0" xfId="0" applyAlignment="1" applyBorder="1" applyFont="1">
      <alignment shrinkToFit="0" vertical="top" wrapText="1"/>
    </xf>
    <xf borderId="22" fillId="7" fontId="5" numFmtId="0" xfId="0" applyAlignment="1" applyBorder="1" applyFont="1">
      <alignment shrinkToFit="0" vertical="top" wrapText="1"/>
    </xf>
    <xf borderId="23" fillId="7" fontId="0" numFmtId="0" xfId="0" applyAlignment="1" applyBorder="1" applyFont="1">
      <alignment vertical="top"/>
    </xf>
    <xf borderId="24" fillId="7" fontId="5" numFmtId="0" xfId="0" applyAlignment="1" applyBorder="1" applyFont="1">
      <alignment shrinkToFit="0" vertical="top" wrapText="1"/>
    </xf>
    <xf borderId="25" fillId="7" fontId="5" numFmtId="0" xfId="0" applyAlignment="1" applyBorder="1" applyFont="1">
      <alignment shrinkToFit="0" vertical="top" wrapText="1"/>
    </xf>
    <xf borderId="26" fillId="7" fontId="5" numFmtId="0" xfId="0" applyAlignment="1" applyBorder="1" applyFont="1">
      <alignment shrinkToFit="0" vertical="top" wrapText="1"/>
    </xf>
    <xf borderId="24" fillId="8" fontId="0" numFmtId="0" xfId="0" applyAlignment="1" applyBorder="1" applyFont="1">
      <alignment shrinkToFit="0" vertical="top" wrapText="1"/>
    </xf>
    <xf borderId="1" fillId="7" fontId="6" numFmtId="0" xfId="0" applyBorder="1" applyFont="1"/>
    <xf borderId="1" fillId="7" fontId="7" numFmtId="0" xfId="0" applyAlignment="1" applyBorder="1" applyFont="1">
      <alignment vertical="top"/>
    </xf>
    <xf borderId="0" fillId="0" fontId="8" numFmtId="0" xfId="0" applyFont="1"/>
    <xf borderId="1" fillId="9" fontId="9" numFmtId="0" xfId="0" applyAlignment="1" applyBorder="1" applyFill="1" applyFont="1">
      <alignment horizontal="center" shrinkToFit="0" wrapText="1"/>
    </xf>
    <xf borderId="1" fillId="9" fontId="9" numFmtId="0" xfId="0" applyAlignment="1" applyBorder="1" applyFont="1">
      <alignment shrinkToFit="0" wrapText="1"/>
    </xf>
    <xf borderId="1" fillId="7" fontId="0" numFmtId="0" xfId="0" applyBorder="1" applyFont="1"/>
    <xf borderId="1" fillId="9" fontId="10" numFmtId="0" xfId="0" applyAlignment="1" applyBorder="1" applyFont="1">
      <alignment horizontal="center" shrinkToFit="0" wrapText="1"/>
    </xf>
    <xf borderId="1" fillId="7" fontId="11" numFmtId="164" xfId="0" applyBorder="1" applyFont="1" applyNumberFormat="1"/>
    <xf borderId="1" fillId="7" fontId="11" numFmtId="0" xfId="0" applyBorder="1" applyFont="1"/>
    <xf borderId="0" fillId="0" fontId="11" numFmtId="0" xfId="0" applyAlignment="1" applyFont="1">
      <alignment shrinkToFit="0" wrapText="1"/>
    </xf>
    <xf borderId="21" fillId="10" fontId="9" numFmtId="9" xfId="0" applyBorder="1" applyFill="1" applyFont="1" applyNumberFormat="1"/>
    <xf borderId="21" fillId="10" fontId="12" numFmtId="0" xfId="0" applyAlignment="1" applyBorder="1" applyFont="1">
      <alignment horizontal="right" shrinkToFit="0" wrapText="1"/>
    </xf>
    <xf borderId="21" fillId="9" fontId="9" numFmtId="0" xfId="0" applyAlignment="1" applyBorder="1" applyFont="1">
      <alignment shrinkToFit="0" wrapText="1"/>
    </xf>
    <xf borderId="21" fillId="7" fontId="13" numFmtId="164" xfId="0" applyAlignment="1" applyBorder="1" applyFont="1" applyNumberFormat="1">
      <alignment horizontal="center"/>
    </xf>
    <xf borderId="21" fillId="7" fontId="11" numFmtId="164" xfId="0" applyBorder="1" applyFont="1" applyNumberFormat="1"/>
    <xf borderId="21" fillId="7" fontId="13" numFmtId="164" xfId="0" applyBorder="1" applyFont="1" applyNumberFormat="1"/>
    <xf borderId="21" fillId="7" fontId="11" numFmtId="10" xfId="0" applyAlignment="1" applyBorder="1" applyFont="1" applyNumberFormat="1">
      <alignment horizontal="right"/>
    </xf>
    <xf borderId="21" fillId="7" fontId="13" numFmtId="10" xfId="0" applyAlignment="1" applyBorder="1" applyFont="1" applyNumberFormat="1">
      <alignment horizontal="right"/>
    </xf>
    <xf borderId="1" fillId="7" fontId="11" numFmtId="0" xfId="0" applyAlignment="1" applyBorder="1" applyFont="1">
      <alignment shrinkToFit="0" wrapText="1"/>
    </xf>
    <xf borderId="21" fillId="9" fontId="12" numFmtId="0" xfId="0" applyAlignment="1" applyBorder="1" applyFont="1">
      <alignment shrinkToFit="0" wrapText="1"/>
    </xf>
    <xf borderId="1" fillId="11" fontId="1" numFmtId="0" xfId="0" applyAlignment="1" applyBorder="1" applyFill="1" applyFont="1">
      <alignment horizontal="center" vertical="center"/>
    </xf>
    <xf borderId="21" fillId="7" fontId="13" numFmtId="10" xfId="0" applyBorder="1" applyFont="1" applyNumberFormat="1"/>
    <xf borderId="21" fillId="0" fontId="13" numFmtId="10" xfId="0" applyBorder="1" applyFont="1" applyNumberFormat="1"/>
    <xf borderId="1" fillId="12" fontId="0" numFmtId="0" xfId="0" applyBorder="1" applyFill="1" applyFont="1"/>
    <xf borderId="1" fillId="12" fontId="11" numFmtId="0" xfId="0" applyAlignment="1" applyBorder="1" applyFont="1">
      <alignment shrinkToFit="0" wrapText="1"/>
    </xf>
    <xf borderId="1" fillId="12" fontId="11" numFmtId="0" xfId="0" applyBorder="1" applyFont="1"/>
    <xf borderId="1" fillId="11" fontId="1" numFmtId="0" xfId="0" applyAlignment="1" applyBorder="1" applyFont="1">
      <alignment horizontal="center" shrinkToFit="0" vertical="center" wrapText="1"/>
    </xf>
    <xf borderId="21" fillId="10" fontId="9" numFmtId="0" xfId="0" applyAlignment="1" applyBorder="1" applyFont="1">
      <alignment horizontal="right" shrinkToFit="0" wrapText="1"/>
    </xf>
    <xf borderId="21" fillId="9" fontId="9" numFmtId="0" xfId="0" applyAlignment="1" applyBorder="1" applyFont="1">
      <alignment horizontal="center" shrinkToFit="0" wrapText="1"/>
    </xf>
    <xf borderId="21" fillId="9" fontId="10" numFmtId="0" xfId="0" applyAlignment="1" applyBorder="1" applyFont="1">
      <alignment horizontal="center" shrinkToFit="0" wrapText="1"/>
    </xf>
    <xf borderId="21" fillId="7" fontId="11" numFmtId="164" xfId="0" applyAlignment="1" applyBorder="1" applyFont="1" applyNumberFormat="1">
      <alignment horizontal="center"/>
    </xf>
    <xf borderId="1" fillId="7" fontId="0" numFmtId="0" xfId="0" applyAlignment="1" applyBorder="1" applyFont="1">
      <alignment shrinkToFit="0" wrapText="1"/>
    </xf>
    <xf borderId="1" fillId="12" fontId="0" numFmtId="0" xfId="0" applyAlignment="1" applyBorder="1" applyFont="1">
      <alignment shrinkToFit="0" wrapText="1"/>
    </xf>
    <xf borderId="27" fillId="10" fontId="9" numFmtId="9" xfId="0" applyAlignment="1" applyBorder="1" applyFont="1" applyNumberFormat="1">
      <alignment horizontal="center"/>
    </xf>
    <xf borderId="28" fillId="0" fontId="14" numFmtId="0" xfId="0" applyBorder="1" applyFont="1"/>
    <xf borderId="29" fillId="0" fontId="14" numFmtId="0" xfId="0" applyBorder="1" applyFont="1"/>
    <xf borderId="27" fillId="7" fontId="11" numFmtId="10" xfId="0" applyAlignment="1" applyBorder="1" applyFont="1" applyNumberFormat="1">
      <alignment horizontal="center"/>
    </xf>
    <xf borderId="30" fillId="7" fontId="11" numFmtId="10" xfId="0" applyAlignment="1" applyBorder="1" applyFont="1" applyNumberFormat="1">
      <alignment horizontal="center"/>
    </xf>
    <xf borderId="31" fillId="7" fontId="11" numFmtId="10" xfId="0" applyAlignment="1" applyBorder="1" applyFont="1" applyNumberFormat="1">
      <alignment horizontal="center"/>
    </xf>
    <xf borderId="22" fillId="7" fontId="11" numFmtId="10" xfId="0" applyAlignment="1" applyBorder="1" applyFont="1" applyNumberFormat="1">
      <alignment horizontal="center"/>
    </xf>
    <xf borderId="21" fillId="13" fontId="9" numFmtId="0" xfId="0" applyAlignment="1" applyBorder="1" applyFill="1" applyFont="1">
      <alignment horizontal="right" shrinkToFit="0" wrapText="1"/>
    </xf>
    <xf borderId="1" fillId="14" fontId="8" numFmtId="0" xfId="0" applyBorder="1" applyFill="1" applyFont="1"/>
    <xf borderId="1" fillId="14" fontId="8" numFmtId="0" xfId="0" applyAlignment="1" applyBorder="1" applyFont="1">
      <alignment shrinkToFit="0" wrapText="1"/>
    </xf>
    <xf borderId="1" fillId="14" fontId="0" numFmtId="0" xfId="0" applyBorder="1" applyFont="1"/>
    <xf borderId="0" fillId="0" fontId="8" numFmtId="0" xfId="0" applyAlignment="1" applyFont="1">
      <alignment shrinkToFit="0" wrapText="1"/>
    </xf>
    <xf borderId="18" fillId="10" fontId="9" numFmtId="9" xfId="0" applyBorder="1" applyFont="1" applyNumberFormat="1"/>
    <xf borderId="18" fillId="10" fontId="12" numFmtId="0" xfId="0" applyAlignment="1" applyBorder="1" applyFont="1">
      <alignment horizontal="right" shrinkToFit="0" wrapText="1"/>
    </xf>
    <xf borderId="27" fillId="7" fontId="13" numFmtId="10" xfId="0" applyAlignment="1" applyBorder="1" applyFont="1" applyNumberFormat="1">
      <alignment horizontal="center"/>
    </xf>
    <xf borderId="1" fillId="7" fontId="7" numFmtId="0" xfId="0" applyBorder="1" applyFont="1"/>
    <xf borderId="32" fillId="15" fontId="9" numFmtId="0" xfId="0" applyAlignment="1" applyBorder="1" applyFill="1" applyFont="1">
      <alignment horizontal="center"/>
    </xf>
    <xf borderId="33" fillId="0" fontId="14" numFmtId="0" xfId="0" applyBorder="1" applyFont="1"/>
    <xf borderId="21" fillId="16" fontId="15" numFmtId="0" xfId="0" applyBorder="1" applyFill="1" applyFont="1"/>
    <xf borderId="21" fillId="16" fontId="15" numFmtId="0" xfId="0" applyAlignment="1" applyBorder="1" applyFont="1">
      <alignment horizontal="right"/>
    </xf>
    <xf borderId="21" fillId="7" fontId="16" numFmtId="0" xfId="0" applyBorder="1" applyFont="1"/>
    <xf borderId="21" fillId="17" fontId="16" numFmtId="165" xfId="0" applyAlignment="1" applyBorder="1" applyFill="1" applyFont="1" applyNumberFormat="1">
      <alignment horizontal="right"/>
    </xf>
    <xf borderId="21" fillId="17" fontId="16" numFmtId="0" xfId="0" applyAlignment="1" applyBorder="1" applyFont="1">
      <alignment horizontal="right"/>
    </xf>
    <xf borderId="21" fillId="17" fontId="16" numFmtId="164" xfId="0" applyAlignment="1" applyBorder="1" applyFont="1" applyNumberFormat="1">
      <alignment horizontal="right"/>
    </xf>
    <xf borderId="1" fillId="7" fontId="11" numFmtId="0" xfId="0" applyAlignment="1" applyBorder="1" applyFont="1">
      <alignment readingOrder="0"/>
    </xf>
    <xf borderId="21" fillId="17" fontId="11" numFmtId="0" xfId="0" applyAlignment="1" applyBorder="1" applyFont="1">
      <alignment horizontal="right" vertical="center"/>
    </xf>
    <xf borderId="1" fillId="16" fontId="15" numFmtId="0" xfId="0" applyBorder="1" applyFont="1"/>
    <xf borderId="21" fillId="18" fontId="13" numFmtId="0" xfId="0" applyAlignment="1" applyBorder="1" applyFill="1" applyFont="1">
      <alignment horizontal="right" shrinkToFit="0" wrapText="1"/>
    </xf>
    <xf borderId="30" fillId="17" fontId="16" numFmtId="0" xfId="0" applyAlignment="1" applyBorder="1" applyFont="1">
      <alignment horizontal="right"/>
    </xf>
    <xf borderId="21" fillId="19" fontId="17" numFmtId="0" xfId="0" applyBorder="1" applyFill="1" applyFont="1"/>
    <xf borderId="21" fillId="17" fontId="16" numFmtId="14" xfId="0" applyAlignment="1" applyBorder="1" applyFont="1" applyNumberFormat="1">
      <alignment horizontal="right"/>
    </xf>
    <xf borderId="21" fillId="18" fontId="13" numFmtId="0" xfId="0" applyAlignment="1" applyBorder="1" applyFont="1">
      <alignment horizontal="right"/>
    </xf>
    <xf borderId="21" fillId="19" fontId="18" numFmtId="164" xfId="0" applyBorder="1" applyFont="1" applyNumberFormat="1"/>
    <xf borderId="21" fillId="17" fontId="16" numFmtId="14" xfId="0" applyBorder="1" applyFont="1" applyNumberFormat="1"/>
    <xf borderId="21" fillId="17" fontId="16" numFmtId="166" xfId="0" applyBorder="1" applyFont="1" applyNumberFormat="1"/>
    <xf borderId="21" fillId="17" fontId="16" numFmtId="3" xfId="0" applyBorder="1" applyFont="1" applyNumberFormat="1"/>
    <xf borderId="21" fillId="16" fontId="15" numFmtId="0" xfId="0" applyAlignment="1" applyBorder="1" applyFont="1">
      <alignment horizontal="left"/>
    </xf>
    <xf borderId="21" fillId="7" fontId="19" numFmtId="0" xfId="0" applyAlignment="1" applyBorder="1" applyFont="1">
      <alignment horizontal="left" vertical="center"/>
    </xf>
    <xf borderId="21" fillId="17" fontId="16" numFmtId="9" xfId="0" applyBorder="1" applyFont="1" applyNumberFormat="1"/>
    <xf borderId="21" fillId="7" fontId="20" numFmtId="0" xfId="0" applyAlignment="1" applyBorder="1" applyFont="1">
      <alignment horizontal="left" vertical="center"/>
    </xf>
    <xf borderId="21" fillId="0" fontId="15" numFmtId="9" xfId="0" applyBorder="1" applyFont="1" applyNumberFormat="1"/>
    <xf borderId="0" fillId="0" fontId="21" numFmtId="0" xfId="0" applyAlignment="1" applyFont="1">
      <alignment readingOrder="0"/>
    </xf>
    <xf borderId="21" fillId="9" fontId="9" numFmtId="0" xfId="0" applyBorder="1" applyFont="1"/>
    <xf borderId="0" fillId="0" fontId="22" numFmtId="0" xfId="0" applyFont="1"/>
    <xf borderId="21" fillId="7" fontId="11" numFmtId="10" xfId="0" applyBorder="1" applyFont="1" applyNumberFormat="1"/>
    <xf borderId="21" fillId="0" fontId="0" numFmtId="0" xfId="0" applyBorder="1" applyFont="1"/>
    <xf borderId="21" fillId="0" fontId="0" numFmtId="10" xfId="0" applyBorder="1" applyFont="1" applyNumberFormat="1"/>
    <xf borderId="21" fillId="9" fontId="10" numFmtId="0" xfId="0" applyAlignment="1" applyBorder="1" applyFont="1">
      <alignment shrinkToFit="0" wrapText="1"/>
    </xf>
    <xf borderId="1" fillId="9" fontId="10" numFmtId="0" xfId="0" applyAlignment="1" applyBorder="1" applyFont="1">
      <alignment shrinkToFit="0" wrapText="1"/>
    </xf>
    <xf borderId="21" fillId="9" fontId="10" numFmtId="0" xfId="0" applyAlignment="1" applyBorder="1" applyFont="1">
      <alignment horizontal="center"/>
    </xf>
    <xf borderId="21" fillId="0" fontId="23" numFmtId="0" xfId="0" applyBorder="1" applyFont="1"/>
    <xf borderId="21" fillId="0" fontId="24" numFmtId="0" xfId="0" applyBorder="1" applyFont="1"/>
    <xf borderId="21" fillId="0" fontId="0" numFmtId="164" xfId="0" applyBorder="1" applyFont="1" applyNumberFormat="1"/>
    <xf borderId="0" fillId="0" fontId="24" numFmtId="164" xfId="0" applyFont="1" applyNumberFormat="1"/>
    <xf borderId="0" fillId="0" fontId="0" numFmtId="9" xfId="0" applyFont="1" applyNumberFormat="1"/>
    <xf borderId="0" fillId="0" fontId="0" numFmtId="164" xfId="0" applyFont="1" applyNumberFormat="1"/>
    <xf borderId="0" fillId="20" fontId="25" numFmtId="0" xfId="0" applyAlignment="1" applyFill="1" applyFont="1">
      <alignment horizontal="center" shrinkToFit="0" vertical="center" wrapText="1"/>
    </xf>
    <xf borderId="0" fillId="21" fontId="26" numFmtId="0" xfId="0" applyAlignment="1" applyFill="1" applyFont="1">
      <alignment horizontal="center" shrinkToFit="0" vertical="center" wrapText="1"/>
    </xf>
    <xf borderId="0" fillId="21" fontId="27" numFmtId="0" xfId="0" applyAlignment="1" applyFont="1">
      <alignment horizontal="center" shrinkToFit="0" vertical="center" wrapText="1"/>
    </xf>
    <xf borderId="0" fillId="0" fontId="28" numFmtId="0" xfId="0" applyAlignment="1" applyFont="1">
      <alignment horizontal="left" shrinkToFit="0" vertical="top" wrapText="0"/>
    </xf>
    <xf borderId="0" fillId="0" fontId="24" numFmtId="0" xfId="0" applyAlignment="1" applyFont="1">
      <alignment horizontal="center" shrinkToFit="0" vertical="center" wrapText="1"/>
    </xf>
    <xf borderId="0" fillId="0" fontId="8" numFmtId="0" xfId="0" applyAlignment="1" applyFont="1">
      <alignment horizontal="left" shrinkToFit="0" vertical="center" wrapText="1"/>
    </xf>
    <xf borderId="0" fillId="0" fontId="29" numFmtId="0" xfId="0" applyAlignment="1" applyFont="1">
      <alignment vertical="center"/>
    </xf>
    <xf borderId="0" fillId="0" fontId="24" numFmtId="0" xfId="0" applyAlignment="1" applyFont="1">
      <alignment shrinkToFit="0" vertical="center" wrapText="1"/>
    </xf>
    <xf borderId="0" fillId="0" fontId="24" numFmtId="0" xfId="0" applyAlignment="1" applyFont="1">
      <alignment vertical="center"/>
    </xf>
    <xf borderId="0" fillId="22" fontId="30" numFmtId="0" xfId="0" applyAlignment="1" applyFill="1" applyFont="1">
      <alignment horizontal="center" shrinkToFit="0" vertical="center" wrapText="1"/>
    </xf>
    <xf borderId="0" fillId="0" fontId="24" numFmtId="0" xfId="0" applyAlignment="1" applyFont="1">
      <alignment horizontal="left" shrinkToFit="0" vertical="top" wrapText="0"/>
    </xf>
    <xf borderId="0" fillId="0" fontId="16" numFmtId="0" xfId="0" applyAlignment="1" applyFont="1">
      <alignment horizontal="center"/>
    </xf>
    <xf borderId="21" fillId="0" fontId="16" numFmtId="0" xfId="0" applyAlignment="1" applyBorder="1" applyFont="1">
      <alignment horizontal="center"/>
    </xf>
    <xf borderId="27" fillId="0" fontId="16" numFmtId="0" xfId="0" applyAlignment="1" applyBorder="1" applyFont="1">
      <alignment horizontal="center"/>
    </xf>
    <xf borderId="21" fillId="0" fontId="11" numFmtId="0" xfId="0" applyAlignment="1" applyBorder="1" applyFont="1">
      <alignment horizontal="center"/>
    </xf>
    <xf borderId="27" fillId="0" fontId="16" numFmtId="10" xfId="0" applyAlignment="1" applyBorder="1" applyFont="1" applyNumberFormat="1">
      <alignment horizontal="center"/>
    </xf>
    <xf borderId="21" fillId="2" fontId="31" numFmtId="0" xfId="0" applyAlignment="1" applyBorder="1" applyFont="1">
      <alignment horizontal="center"/>
    </xf>
    <xf borderId="21" fillId="2" fontId="31" numFmtId="2" xfId="0" applyAlignment="1" applyBorder="1" applyFont="1" applyNumberFormat="1">
      <alignment horizontal="center"/>
    </xf>
    <xf borderId="21" fillId="0" fontId="16" numFmtId="9" xfId="0" applyAlignment="1" applyBorder="1" applyFont="1" applyNumberFormat="1">
      <alignment horizontal="center"/>
    </xf>
    <xf borderId="21" fillId="7" fontId="19" numFmtId="0" xfId="0" applyAlignment="1" applyBorder="1" applyFont="1">
      <alignment horizontal="center" vertical="center"/>
    </xf>
    <xf borderId="0" fillId="0" fontId="16" numFmtId="9" xfId="0" applyAlignment="1" applyFont="1" applyNumberFormat="1">
      <alignment horizontal="center"/>
    </xf>
    <xf borderId="34" fillId="0" fontId="31" numFmtId="0" xfId="0" applyAlignment="1" applyBorder="1" applyFont="1">
      <alignment horizontal="center" vertical="top"/>
    </xf>
    <xf borderId="21" fillId="0" fontId="31" numFmtId="0" xfId="0" applyAlignment="1" applyBorder="1" applyFont="1">
      <alignment horizontal="center"/>
    </xf>
    <xf borderId="21" fillId="0" fontId="31" numFmtId="0" xfId="0" applyAlignment="1" applyBorder="1" applyFont="1">
      <alignment horizontal="center" vertical="top"/>
    </xf>
    <xf borderId="21" fillId="0" fontId="16" numFmtId="14" xfId="0" applyAlignment="1" applyBorder="1" applyFont="1" applyNumberFormat="1">
      <alignment horizontal="center"/>
    </xf>
    <xf borderId="21" fillId="0" fontId="16" numFmtId="4" xfId="0" applyAlignment="1" applyBorder="1" applyFont="1" applyNumberFormat="1">
      <alignment horizontal="center"/>
    </xf>
    <xf borderId="21" fillId="0" fontId="16" numFmtId="10" xfId="0" applyAlignment="1" applyBorder="1" applyFont="1" applyNumberFormat="1">
      <alignment horizontal="center"/>
    </xf>
    <xf borderId="21" fillId="0" fontId="16" numFmtId="167" xfId="0" applyAlignment="1" applyBorder="1" applyFont="1" applyNumberFormat="1">
      <alignment horizontal="center"/>
    </xf>
    <xf borderId="21" fillId="7" fontId="20" numFmtId="0" xfId="0" applyAlignment="1" applyBorder="1" applyFont="1">
      <alignment horizontal="center" vertical="center"/>
    </xf>
    <xf borderId="21" fillId="0" fontId="15" numFmtId="9" xfId="0" applyAlignment="1" applyBorder="1" applyFont="1" applyNumberFormat="1">
      <alignment horizontal="center"/>
    </xf>
    <xf borderId="21" fillId="0" fontId="24" numFmtId="9" xfId="0" applyAlignment="1" applyBorder="1" applyFont="1" applyNumberFormat="1">
      <alignment horizontal="center"/>
    </xf>
    <xf borderId="21" fillId="7" fontId="16" numFmtId="0" xfId="0" applyAlignment="1" applyBorder="1" applyFont="1">
      <alignment horizontal="center"/>
    </xf>
    <xf borderId="21" fillId="0" fontId="16" numFmtId="164" xfId="0" applyAlignment="1" applyBorder="1" applyFont="1" applyNumberFormat="1">
      <alignment horizontal="center"/>
    </xf>
    <xf borderId="21" fillId="0" fontId="16" numFmtId="168" xfId="0" applyAlignment="1" applyBorder="1" applyFont="1" applyNumberFormat="1">
      <alignment horizontal="center"/>
    </xf>
    <xf borderId="21" fillId="0" fontId="11" numFmtId="164" xfId="0" applyAlignment="1" applyBorder="1" applyFont="1" applyNumberFormat="1">
      <alignment horizontal="center"/>
    </xf>
    <xf borderId="21" fillId="0" fontId="11" numFmtId="9" xfId="0" applyAlignment="1" applyBorder="1" applyFont="1" applyNumberFormat="1">
      <alignment horizontal="center"/>
    </xf>
    <xf borderId="0" fillId="0" fontId="16" numFmtId="164" xfId="0" applyAlignment="1" applyFont="1" applyNumberFormat="1">
      <alignment horizontal="center"/>
    </xf>
    <xf borderId="0" fillId="0" fontId="16" numFmtId="168" xfId="0" applyAlignment="1" applyFont="1" applyNumberFormat="1">
      <alignment horizontal="center"/>
    </xf>
    <xf borderId="21" fillId="0" fontId="15" numFmtId="0" xfId="0" applyAlignment="1" applyBorder="1" applyFont="1">
      <alignment horizontal="center"/>
    </xf>
    <xf borderId="21" fillId="0" fontId="15" numFmtId="10" xfId="0" applyAlignment="1" applyBorder="1" applyFont="1" applyNumberFormat="1">
      <alignment horizontal="center"/>
    </xf>
    <xf borderId="21" fillId="0" fontId="16" numFmtId="169" xfId="0" applyAlignment="1" applyBorder="1" applyFont="1" applyNumberFormat="1">
      <alignment horizontal="center"/>
    </xf>
    <xf borderId="21" fillId="16" fontId="5" numFmtId="0" xfId="0" applyAlignment="1" applyBorder="1" applyFont="1">
      <alignment shrinkToFit="0" vertical="bottom" wrapText="0"/>
    </xf>
    <xf borderId="29" fillId="16" fontId="5" numFmtId="0" xfId="0" applyAlignment="1" applyBorder="1" applyFont="1">
      <alignment shrinkToFit="0" vertical="bottom" wrapText="0"/>
    </xf>
    <xf borderId="34" fillId="16" fontId="5" numFmtId="0" xfId="0" applyAlignment="1" applyBorder="1" applyFont="1">
      <alignment shrinkToFit="0" vertical="bottom" wrapText="0"/>
    </xf>
    <xf borderId="35" fillId="16" fontId="5" numFmtId="0" xfId="0" applyAlignment="1" applyBorder="1" applyFont="1">
      <alignment shrinkToFit="0" vertical="bottom" wrapText="0"/>
    </xf>
    <xf borderId="0" fillId="0" fontId="11" numFmtId="0" xfId="0" applyAlignment="1" applyFont="1">
      <alignment horizontal="center"/>
    </xf>
    <xf borderId="0" fillId="0" fontId="8" numFmtId="170" xfId="0" applyFont="1" applyNumberFormat="1"/>
    <xf borderId="1" fillId="2" fontId="32" numFmtId="0" xfId="0" applyAlignment="1" applyBorder="1" applyFont="1">
      <alignment horizontal="left"/>
    </xf>
    <xf borderId="21" fillId="0" fontId="8" numFmtId="0" xfId="0" applyBorder="1" applyFont="1"/>
    <xf borderId="21" fillId="23" fontId="8" numFmtId="10" xfId="0" applyBorder="1" applyFill="1" applyFont="1" applyNumberFormat="1"/>
    <xf borderId="21" fillId="0" fontId="8" numFmtId="2" xfId="0" applyBorder="1" applyFont="1" applyNumberFormat="1"/>
    <xf borderId="21" fillId="24" fontId="8" numFmtId="164" xfId="0" applyBorder="1" applyFill="1" applyFont="1" applyNumberFormat="1"/>
    <xf borderId="21" fillId="0" fontId="8" numFmtId="164" xfId="0" applyBorder="1" applyFont="1" applyNumberFormat="1"/>
    <xf borderId="21" fillId="0" fontId="8" numFmtId="14" xfId="0" applyBorder="1" applyFont="1" applyNumberFormat="1"/>
    <xf borderId="21" fillId="2" fontId="32" numFmtId="164" xfId="0" applyBorder="1" applyFont="1" applyNumberFormat="1"/>
    <xf borderId="21" fillId="0" fontId="0" numFmtId="1" xfId="0" applyBorder="1" applyFont="1" applyNumberFormat="1"/>
    <xf borderId="21" fillId="0" fontId="8" numFmtId="4" xfId="0" applyBorder="1" applyFont="1" applyNumberFormat="1"/>
    <xf borderId="0" fillId="0" fontId="0" numFmtId="1" xfId="0" applyFont="1" applyNumberFormat="1"/>
    <xf borderId="21" fillId="0" fontId="33" numFmtId="0" xfId="0" applyAlignment="1" applyBorder="1" applyFont="1">
      <alignment horizontal="center" vertical="top"/>
    </xf>
    <xf borderId="0" fillId="0" fontId="8" numFmtId="164" xfId="0" applyFont="1" applyNumberFormat="1"/>
    <xf borderId="21" fillId="0" fontId="8" numFmtId="10" xfId="0" applyBorder="1" applyFont="1" applyNumberFormat="1"/>
    <xf borderId="0" fillId="0" fontId="8" numFmtId="10" xfId="0" applyFont="1" applyNumberFormat="1"/>
    <xf borderId="21" fillId="24" fontId="8" numFmtId="0" xfId="0" applyBorder="1" applyFont="1"/>
    <xf borderId="21" fillId="0" fontId="8" numFmtId="171" xfId="0" applyBorder="1" applyFont="1" applyNumberFormat="1"/>
    <xf borderId="21" fillId="0" fontId="8" numFmtId="172" xfId="0" applyBorder="1" applyFont="1" applyNumberFormat="1"/>
    <xf borderId="21" fillId="2" fontId="8" numFmtId="164" xfId="0" applyBorder="1" applyFont="1" applyNumberFormat="1"/>
    <xf borderId="1" fillId="24" fontId="8" numFmtId="164" xfId="0" applyBorder="1" applyFont="1" applyNumberFormat="1"/>
    <xf borderId="36" fillId="0" fontId="8" numFmtId="0" xfId="0" applyAlignment="1" applyBorder="1" applyFont="1">
      <alignment horizontal="center"/>
    </xf>
    <xf borderId="36" fillId="0" fontId="14" numFmtId="0" xfId="0" applyBorder="1" applyFont="1"/>
    <xf borderId="0" fillId="0" fontId="8" numFmtId="14" xfId="0" applyFont="1" applyNumberFormat="1"/>
    <xf borderId="0" fillId="0" fontId="8" numFmtId="0" xfId="0" applyAlignment="1" applyFont="1">
      <alignment horizontal="right"/>
    </xf>
    <xf borderId="0" fillId="0" fontId="0" numFmtId="10" xfId="0" applyFont="1" applyNumberFormat="1"/>
    <xf borderId="34" fillId="0" fontId="8" numFmtId="0" xfId="0" applyBorder="1" applyFont="1"/>
    <xf borderId="37" fillId="0" fontId="8" numFmtId="0" xfId="0" applyBorder="1" applyFont="1"/>
    <xf borderId="34" fillId="0" fontId="8" numFmtId="10" xfId="0" applyBorder="1" applyFont="1" applyNumberFormat="1"/>
    <xf borderId="34" fillId="0" fontId="8" numFmtId="9" xfId="0" applyBorder="1" applyFont="1" applyNumberFormat="1"/>
    <xf borderId="27" fillId="0" fontId="8" numFmtId="164" xfId="0" applyBorder="1" applyFont="1" applyNumberFormat="1"/>
    <xf borderId="0" fillId="0" fontId="34" numFmtId="0" xfId="0" applyFont="1"/>
    <xf borderId="0" fillId="0" fontId="35" numFmtId="0" xfId="0" applyFont="1"/>
    <xf borderId="0" fillId="0" fontId="8" numFmtId="0" xfId="0" applyAlignment="1" applyFont="1">
      <alignment horizontal="center"/>
    </xf>
    <xf borderId="0" fillId="0" fontId="36" numFmtId="0" xfId="0" applyFont="1"/>
    <xf borderId="0" fillId="0" fontId="37" numFmtId="0" xfId="0" applyFont="1"/>
    <xf borderId="38" fillId="18" fontId="38" numFmtId="0" xfId="0" applyAlignment="1" applyBorder="1" applyFont="1">
      <alignment horizontal="center" shrinkToFit="0" vertical="center" wrapText="1"/>
    </xf>
    <xf borderId="39" fillId="18" fontId="38" numFmtId="0" xfId="0" applyAlignment="1" applyBorder="1" applyFont="1">
      <alignment horizontal="center" shrinkToFit="0" vertical="center" wrapText="1"/>
    </xf>
    <xf borderId="40" fillId="0" fontId="0" numFmtId="0" xfId="0" applyAlignment="1" applyBorder="1" applyFont="1">
      <alignment shrinkToFit="0" wrapText="1"/>
    </xf>
    <xf borderId="41" fillId="4" fontId="39" numFmtId="0" xfId="0" applyAlignment="1" applyBorder="1" applyFont="1">
      <alignment horizontal="left" shrinkToFit="0" vertical="center" wrapText="1"/>
    </xf>
    <xf borderId="42" fillId="4" fontId="39" numFmtId="0" xfId="0" applyAlignment="1" applyBorder="1" applyFont="1">
      <alignment shrinkToFit="0" vertical="center" wrapText="1"/>
    </xf>
    <xf borderId="42" fillId="4" fontId="39" numFmtId="0" xfId="0" applyAlignment="1" applyBorder="1" applyFont="1">
      <alignment shrinkToFit="0" wrapText="1"/>
    </xf>
    <xf borderId="40" fillId="0" fontId="0" numFmtId="0" xfId="0" applyBorder="1" applyFont="1"/>
    <xf borderId="40" fillId="0" fontId="34" numFmtId="0" xfId="0" applyAlignment="1" applyBorder="1" applyFont="1">
      <alignment horizontal="center" shrinkToFit="0" wrapText="1"/>
    </xf>
    <xf borderId="40" fillId="0" fontId="8" numFmtId="0" xfId="0" applyAlignment="1" applyBorder="1" applyFont="1">
      <alignment horizontal="center" shrinkToFit="0" wrapText="1"/>
    </xf>
    <xf borderId="0" fillId="0" fontId="8" numFmtId="9" xfId="0" applyFont="1" applyNumberFormat="1"/>
    <xf borderId="21" fillId="0" fontId="38" numFmtId="0" xfId="0" applyAlignment="1" applyBorder="1" applyFont="1">
      <alignment horizontal="center" vertical="center"/>
    </xf>
    <xf borderId="21" fillId="0" fontId="40" numFmtId="0" xfId="0" applyAlignment="1" applyBorder="1" applyFont="1">
      <alignment horizontal="center" vertical="center"/>
    </xf>
    <xf borderId="27" fillId="0" fontId="40" numFmtId="173" xfId="0" applyAlignment="1" applyBorder="1" applyFont="1" applyNumberFormat="1">
      <alignment horizontal="center" vertical="center"/>
    </xf>
    <xf borderId="21" fillId="0" fontId="34" numFmtId="0" xfId="0" applyAlignment="1" applyBorder="1" applyFont="1">
      <alignment horizontal="center" vertical="center"/>
    </xf>
    <xf borderId="21" fillId="0" fontId="34" numFmtId="0" xfId="0" applyAlignment="1" applyBorder="1" applyFont="1">
      <alignment horizontal="center" shrinkToFit="0" vertical="center" wrapText="1"/>
    </xf>
    <xf borderId="21" fillId="0" fontId="34" numFmtId="0" xfId="0" applyBorder="1" applyFont="1"/>
    <xf borderId="21" fillId="0" fontId="40" numFmtId="173" xfId="0" applyAlignment="1" applyBorder="1" applyFont="1" applyNumberFormat="1">
      <alignment horizontal="center" vertical="center"/>
    </xf>
    <xf borderId="21" fillId="0" fontId="41" numFmtId="0" xfId="0" applyAlignment="1" applyBorder="1" applyFont="1">
      <alignment vertical="center"/>
    </xf>
    <xf borderId="21" fillId="0" fontId="41" numFmtId="173" xfId="0" applyAlignment="1" applyBorder="1" applyFont="1" applyNumberFormat="1">
      <alignment vertical="center"/>
    </xf>
    <xf borderId="21" fillId="0" fontId="41" numFmtId="0" xfId="0" applyAlignment="1" applyBorder="1" applyFont="1">
      <alignment horizontal="center" vertical="center"/>
    </xf>
    <xf borderId="21" fillId="0" fontId="41" numFmtId="0" xfId="0" applyAlignment="1" applyBorder="1" applyFont="1">
      <alignment horizontal="center"/>
    </xf>
    <xf borderId="21" fillId="0" fontId="8" numFmtId="0" xfId="0" applyAlignment="1" applyBorder="1" applyFont="1">
      <alignment shrinkToFit="0" wrapText="1"/>
    </xf>
    <xf borderId="21" fillId="0" fontId="8" numFmtId="9" xfId="0" applyBorder="1" applyFont="1" applyNumberFormat="1"/>
    <xf borderId="21" fillId="2" fontId="42" numFmtId="0" xfId="0" applyBorder="1" applyFont="1"/>
    <xf borderId="27" fillId="0" fontId="8" numFmtId="0" xfId="0" applyAlignment="1" applyBorder="1" applyFont="1">
      <alignment horizontal="center"/>
    </xf>
    <xf borderId="21" fillId="2" fontId="43" numFmtId="0" xfId="0" applyBorder="1" applyFont="1"/>
    <xf borderId="21" fillId="0" fontId="8" numFmtId="173" xfId="0" applyBorder="1" applyFont="1" applyNumberFormat="1"/>
    <xf borderId="21" fillId="0" fontId="8" numFmtId="15" xfId="0" applyBorder="1" applyFont="1" applyNumberFormat="1"/>
    <xf borderId="21" fillId="21" fontId="41" numFmtId="0" xfId="0" applyAlignment="1" applyBorder="1" applyFont="1">
      <alignment vertical="center"/>
    </xf>
    <xf borderId="21" fillId="21" fontId="41" numFmtId="173" xfId="0" applyAlignment="1" applyBorder="1" applyFont="1" applyNumberFormat="1">
      <alignment vertical="center"/>
    </xf>
    <xf borderId="21" fillId="21" fontId="41" numFmtId="0" xfId="0" applyAlignment="1" applyBorder="1" applyFont="1">
      <alignment horizontal="center" vertical="center"/>
    </xf>
    <xf borderId="21" fillId="21" fontId="8" numFmtId="0" xfId="0" applyBorder="1" applyFont="1"/>
    <xf borderId="21" fillId="21" fontId="0" numFmtId="0" xfId="0" applyBorder="1" applyFont="1"/>
    <xf borderId="27" fillId="21" fontId="8" numFmtId="0" xfId="0" applyAlignment="1" applyBorder="1" applyFont="1">
      <alignment horizontal="center"/>
    </xf>
    <xf borderId="43" fillId="21" fontId="0" numFmtId="0" xfId="0" applyBorder="1" applyFont="1"/>
    <xf borderId="1" fillId="21" fontId="0" numFmtId="0" xfId="0" applyBorder="1" applyFont="1"/>
    <xf borderId="21" fillId="0" fontId="37" numFmtId="0" xfId="0" applyBorder="1" applyFont="1"/>
    <xf borderId="21" fillId="0" fontId="41" numFmtId="0" xfId="0" applyBorder="1" applyFont="1"/>
    <xf borderId="21" fillId="0" fontId="41" numFmtId="174" xfId="0" applyAlignment="1" applyBorder="1" applyFont="1" applyNumberFormat="1">
      <alignment horizontal="right"/>
    </xf>
    <xf borderId="21" fillId="0" fontId="8" numFmtId="0" xfId="0" applyAlignment="1" applyBorder="1" applyFont="1">
      <alignment horizontal="right"/>
    </xf>
    <xf borderId="21" fillId="0" fontId="5" numFmtId="0" xfId="0" applyAlignment="1" applyBorder="1" applyFont="1">
      <alignment horizontal="right"/>
    </xf>
    <xf borderId="21" fillId="0" fontId="0" numFmtId="0" xfId="0" applyAlignment="1" applyBorder="1" applyFont="1">
      <alignment horizontal="right"/>
    </xf>
    <xf borderId="21" fillId="2" fontId="32" numFmtId="0" xfId="0" applyBorder="1" applyFont="1"/>
    <xf borderId="21" fillId="0" fontId="0" numFmtId="174" xfId="0" applyAlignment="1" applyBorder="1" applyFont="1" applyNumberFormat="1">
      <alignment horizontal="right"/>
    </xf>
    <xf borderId="21" fillId="0" fontId="41" numFmtId="175" xfId="0" applyAlignment="1" applyBorder="1" applyFont="1" applyNumberFormat="1">
      <alignment horizontal="right"/>
    </xf>
    <xf borderId="21" fillId="0" fontId="16" numFmtId="0" xfId="0" applyBorder="1" applyFont="1"/>
    <xf borderId="21" fillId="0" fontId="41" numFmtId="15" xfId="0" applyAlignment="1" applyBorder="1" applyFont="1" applyNumberFormat="1">
      <alignment horizontal="right"/>
    </xf>
    <xf borderId="21" fillId="21" fontId="41" numFmtId="0" xfId="0" applyAlignment="1" applyBorder="1" applyFont="1">
      <alignment shrinkToFit="0" vertical="center" wrapText="1"/>
    </xf>
    <xf borderId="21" fillId="21" fontId="41" numFmtId="15" xfId="0" applyAlignment="1" applyBorder="1" applyFont="1" applyNumberFormat="1">
      <alignment horizontal="right" shrinkToFit="0" vertical="center" wrapText="1"/>
    </xf>
    <xf borderId="21" fillId="21" fontId="41" numFmtId="0" xfId="0" applyAlignment="1" applyBorder="1" applyFont="1">
      <alignment horizontal="center" shrinkToFit="0" vertical="center" wrapText="1"/>
    </xf>
    <xf borderId="43" fillId="21" fontId="8" numFmtId="0" xfId="0" applyBorder="1" applyFont="1"/>
    <xf borderId="1" fillId="21" fontId="8" numFmtId="0" xfId="0" applyBorder="1" applyFont="1"/>
    <xf borderId="21" fillId="0" fontId="41" numFmtId="0" xfId="0" applyAlignment="1" applyBorder="1" applyFont="1">
      <alignment shrinkToFit="0" vertical="center" wrapText="1"/>
    </xf>
    <xf borderId="21" fillId="0" fontId="41" numFmtId="15" xfId="0" applyAlignment="1" applyBorder="1" applyFont="1" applyNumberFormat="1">
      <alignment horizontal="right" shrinkToFit="0" vertical="center" wrapText="1"/>
    </xf>
    <xf borderId="21" fillId="0" fontId="41" numFmtId="0" xfId="0" applyAlignment="1" applyBorder="1" applyFont="1">
      <alignment horizontal="center" shrinkToFit="0" vertical="center" wrapText="1"/>
    </xf>
    <xf borderId="27" fillId="0" fontId="0" numFmtId="0" xfId="0" applyAlignment="1" applyBorder="1" applyFont="1">
      <alignment horizontal="center"/>
    </xf>
    <xf borderId="21" fillId="2" fontId="41" numFmtId="0" xfId="0" applyAlignment="1" applyBorder="1" applyFont="1">
      <alignment shrinkToFit="0" vertical="center" wrapText="1"/>
    </xf>
    <xf borderId="21" fillId="2" fontId="41" numFmtId="15" xfId="0" applyAlignment="1" applyBorder="1" applyFont="1" applyNumberFormat="1">
      <alignment horizontal="right" shrinkToFit="0" vertical="center" wrapText="1"/>
    </xf>
    <xf borderId="21" fillId="2" fontId="41" numFmtId="0" xfId="0" applyAlignment="1" applyBorder="1" applyFont="1">
      <alignment horizontal="center" shrinkToFit="0" vertical="center" wrapText="1"/>
    </xf>
    <xf borderId="21" fillId="2" fontId="8" numFmtId="0" xfId="0" applyBorder="1" applyFont="1"/>
    <xf borderId="21" fillId="2" fontId="0" numFmtId="0" xfId="0" applyBorder="1" applyFont="1"/>
    <xf borderId="43" fillId="2" fontId="0" numFmtId="0" xfId="0" applyBorder="1" applyFont="1"/>
    <xf borderId="21" fillId="7" fontId="41" numFmtId="0" xfId="0" applyAlignment="1" applyBorder="1" applyFont="1">
      <alignment shrinkToFit="0" vertical="center" wrapText="1"/>
    </xf>
    <xf borderId="21" fillId="7" fontId="41" numFmtId="15" xfId="0" applyAlignment="1" applyBorder="1" applyFont="1" applyNumberFormat="1">
      <alignment horizontal="right" shrinkToFit="0" vertical="center" wrapText="1"/>
    </xf>
    <xf borderId="21" fillId="7" fontId="41" numFmtId="0" xfId="0" applyAlignment="1" applyBorder="1" applyFont="1">
      <alignment horizontal="center" shrinkToFit="0" vertical="center" wrapText="1"/>
    </xf>
    <xf borderId="21" fillId="7" fontId="8" numFmtId="0" xfId="0" applyBorder="1" applyFont="1"/>
    <xf borderId="21" fillId="7" fontId="0" numFmtId="0" xfId="0" applyBorder="1" applyFont="1"/>
    <xf borderId="27" fillId="7" fontId="0" numFmtId="0" xfId="0" applyAlignment="1" applyBorder="1" applyFont="1">
      <alignment horizontal="center"/>
    </xf>
    <xf borderId="43" fillId="7" fontId="0" numFmtId="0" xfId="0" applyBorder="1" applyFont="1"/>
    <xf borderId="21" fillId="24" fontId="0" numFmtId="0" xfId="0" applyBorder="1" applyFont="1"/>
    <xf borderId="21" fillId="0" fontId="8" numFmtId="15" xfId="0" applyAlignment="1" applyBorder="1" applyFont="1" applyNumberFormat="1">
      <alignment horizontal="center" shrinkToFit="0" vertical="center" wrapText="1"/>
    </xf>
    <xf borderId="21" fillId="0" fontId="16" numFmtId="0" xfId="0" applyAlignment="1" applyBorder="1" applyFont="1">
      <alignment shrinkToFit="0" vertical="center" wrapText="1"/>
    </xf>
    <xf borderId="21" fillId="0" fontId="44" numFmtId="0" xfId="0" applyAlignment="1" applyBorder="1" applyFont="1">
      <alignment shrinkToFit="0" wrapText="1"/>
    </xf>
    <xf borderId="21" fillId="0" fontId="41" numFmtId="15" xfId="0" applyAlignment="1" applyBorder="1" applyFont="1" applyNumberFormat="1">
      <alignment horizontal="right" shrinkToFit="0" wrapText="1"/>
    </xf>
    <xf borderId="21" fillId="0" fontId="41" numFmtId="0" xfId="0" applyAlignment="1" applyBorder="1" applyFont="1">
      <alignment horizontal="center" shrinkToFit="0" wrapText="1"/>
    </xf>
    <xf borderId="21" fillId="21" fontId="41" numFmtId="0" xfId="0" applyBorder="1" applyFont="1"/>
    <xf borderId="27" fillId="21" fontId="0" numFmtId="0" xfId="0" applyAlignment="1" applyBorder="1" applyFont="1">
      <alignment horizontal="center"/>
    </xf>
    <xf borderId="27" fillId="0" fontId="0" numFmtId="0" xfId="0" applyBorder="1" applyFont="1"/>
    <xf borderId="21" fillId="21" fontId="41" numFmtId="15" xfId="0" applyAlignment="1" applyBorder="1" applyFont="1" applyNumberFormat="1">
      <alignment horizontal="right" shrinkToFit="0" wrapText="1"/>
    </xf>
    <xf borderId="21" fillId="21" fontId="41" numFmtId="0" xfId="0" applyAlignment="1" applyBorder="1" applyFont="1">
      <alignment horizontal="center" shrinkToFit="0" wrapText="1"/>
    </xf>
    <xf borderId="21" fillId="0" fontId="39" numFmtId="0" xfId="0" applyAlignment="1" applyBorder="1" applyFont="1">
      <alignment shrinkToFit="0" vertical="center" wrapText="1"/>
    </xf>
    <xf borderId="21" fillId="0" fontId="45" numFmtId="0" xfId="0" applyBorder="1" applyFont="1"/>
    <xf borderId="21" fillId="0" fontId="5" numFmtId="0" xfId="0" applyBorder="1" applyFont="1"/>
    <xf borderId="21" fillId="0" fontId="45" numFmtId="174" xfId="0" applyAlignment="1" applyBorder="1" applyFont="1" applyNumberFormat="1">
      <alignment horizontal="right"/>
    </xf>
    <xf borderId="21" fillId="0" fontId="45" numFmtId="174" xfId="0" applyAlignment="1" applyBorder="1" applyFont="1" applyNumberFormat="1">
      <alignment horizontal="center"/>
    </xf>
    <xf borderId="21" fillId="0" fontId="45" numFmtId="0" xfId="0" applyAlignment="1" applyBorder="1" applyFont="1">
      <alignment horizontal="center"/>
    </xf>
    <xf borderId="21" fillId="0" fontId="30" numFmtId="0" xfId="0" applyBorder="1" applyFont="1"/>
    <xf borderId="21" fillId="2" fontId="30" numFmtId="0" xfId="0" applyBorder="1" applyFont="1"/>
    <xf borderId="21" fillId="2" fontId="5" numFmtId="0" xfId="0" applyBorder="1" applyFont="1"/>
    <xf borderId="0" fillId="0" fontId="5" numFmtId="0" xfId="0" applyFont="1"/>
    <xf borderId="21" fillId="24" fontId="30" numFmtId="0" xfId="0" applyBorder="1" applyFont="1"/>
    <xf borderId="21" fillId="0" fontId="45" numFmtId="175" xfId="0" applyAlignment="1" applyBorder="1" applyFont="1" applyNumberFormat="1">
      <alignment horizontal="right"/>
    </xf>
    <xf borderId="44" fillId="0" fontId="5" numFmtId="0" xfId="0" applyBorder="1" applyFont="1"/>
    <xf borderId="21" fillId="0" fontId="41" numFmtId="0" xfId="0" applyAlignment="1" applyBorder="1" applyFont="1">
      <alignment shrinkToFit="0" wrapText="1"/>
    </xf>
    <xf borderId="21" fillId="0" fontId="41" numFmtId="173" xfId="0" applyAlignment="1" applyBorder="1" applyFont="1" applyNumberFormat="1">
      <alignment horizontal="right"/>
    </xf>
    <xf borderId="21" fillId="0" fontId="41" numFmtId="173" xfId="0" applyBorder="1" applyFont="1" applyNumberFormat="1"/>
    <xf borderId="21" fillId="21" fontId="41" numFmtId="0" xfId="0" applyAlignment="1" applyBorder="1" applyFont="1">
      <alignment shrinkToFit="0" wrapText="1"/>
    </xf>
    <xf borderId="21" fillId="21" fontId="41" numFmtId="173" xfId="0" applyAlignment="1" applyBorder="1" applyFont="1" applyNumberFormat="1">
      <alignment horizontal="right"/>
    </xf>
    <xf borderId="21" fillId="21" fontId="41" numFmtId="173" xfId="0" applyBorder="1" applyFont="1" applyNumberFormat="1"/>
    <xf borderId="21" fillId="21" fontId="45" numFmtId="0" xfId="0" applyBorder="1" applyFont="1"/>
    <xf borderId="21" fillId="0" fontId="46" numFmtId="0" xfId="0" applyBorder="1" applyFont="1"/>
    <xf borderId="21" fillId="24" fontId="41" numFmtId="0" xfId="0" applyAlignment="1" applyBorder="1" applyFont="1">
      <alignment shrinkToFit="0" wrapText="1"/>
    </xf>
    <xf borderId="21" fillId="0" fontId="41" numFmtId="0" xfId="0" applyAlignment="1" applyBorder="1" applyFont="1">
      <alignment shrinkToFit="0" wrapText="0"/>
    </xf>
    <xf borderId="29" fillId="0" fontId="41" numFmtId="0" xfId="0" applyAlignment="1" applyBorder="1" applyFont="1">
      <alignment horizontal="center" shrinkToFit="0" wrapText="0"/>
    </xf>
    <xf borderId="29" fillId="0" fontId="41" numFmtId="176" xfId="0" applyAlignment="1" applyBorder="1" applyFont="1" applyNumberFormat="1">
      <alignment horizontal="right" shrinkToFit="0" wrapText="0"/>
    </xf>
    <xf borderId="34" fillId="0" fontId="41" numFmtId="0" xfId="0" applyBorder="1" applyFont="1"/>
    <xf borderId="35" fillId="0" fontId="41" numFmtId="0" xfId="0" applyAlignment="1" applyBorder="1" applyFont="1">
      <alignment horizontal="center" shrinkToFit="0" wrapText="0"/>
    </xf>
    <xf borderId="35" fillId="0" fontId="41" numFmtId="176" xfId="0" applyAlignment="1" applyBorder="1" applyFont="1" applyNumberFormat="1">
      <alignment horizontal="right" shrinkToFit="0" wrapText="0"/>
    </xf>
    <xf borderId="34" fillId="0" fontId="41" numFmtId="0" xfId="0" applyAlignment="1" applyBorder="1" applyFont="1">
      <alignment vertical="bottom"/>
    </xf>
    <xf borderId="35" fillId="0" fontId="41" numFmtId="0" xfId="0" applyAlignment="1" applyBorder="1" applyFont="1">
      <alignment horizontal="center" vertical="bottom"/>
    </xf>
    <xf borderId="35" fillId="0" fontId="41" numFmtId="176" xfId="0" applyAlignment="1" applyBorder="1" applyFont="1" applyNumberFormat="1">
      <alignment horizontal="right" vertical="bottom"/>
    </xf>
    <xf borderId="35" fillId="0" fontId="41" numFmtId="0" xfId="0" applyAlignment="1" applyBorder="1" applyFont="1">
      <alignment vertical="bottom"/>
    </xf>
    <xf borderId="35" fillId="0" fontId="47" numFmtId="176" xfId="0" applyAlignment="1" applyBorder="1" applyFont="1" applyNumberFormat="1">
      <alignment horizontal="right" shrinkToFit="0" vertical="bottom" wrapText="0"/>
    </xf>
    <xf borderId="35" fillId="0" fontId="41" numFmtId="177" xfId="0" applyAlignment="1" applyBorder="1" applyFont="1" applyNumberFormat="1">
      <alignment horizontal="right" vertical="bottom"/>
    </xf>
    <xf borderId="21" fillId="0" fontId="48" numFmtId="0" xfId="0" applyAlignment="1" applyBorder="1" applyFont="1">
      <alignment vertical="center"/>
    </xf>
    <xf borderId="21" fillId="2" fontId="49" numFmtId="164" xfId="0" applyAlignment="1" applyBorder="1" applyFont="1" applyNumberFormat="1">
      <alignment horizontal="center"/>
    </xf>
    <xf borderId="21" fillId="25" fontId="49" numFmtId="164" xfId="0" applyAlignment="1" applyBorder="1" applyFill="1" applyFont="1" applyNumberFormat="1">
      <alignment horizontal="center"/>
    </xf>
    <xf borderId="21" fillId="2" fontId="49" numFmtId="0" xfId="0" applyAlignment="1" applyBorder="1" applyFont="1">
      <alignment horizontal="center"/>
    </xf>
    <xf borderId="0" fillId="0" fontId="48" numFmtId="0" xfId="0" applyAlignment="1" applyFont="1">
      <alignment vertical="center"/>
    </xf>
    <xf borderId="37" fillId="0" fontId="48" numFmtId="0" xfId="0" applyAlignment="1" applyBorder="1" applyFont="1">
      <alignment vertical="center"/>
    </xf>
    <xf borderId="1" fillId="25" fontId="49" numFmtId="0" xfId="0" applyAlignment="1" applyBorder="1" applyFont="1">
      <alignment horizontal="center"/>
    </xf>
    <xf borderId="21" fillId="25" fontId="49" numFmtId="0" xfId="0" applyAlignment="1" applyBorder="1" applyFont="1">
      <alignment horizontal="center"/>
    </xf>
    <xf borderId="45" fillId="0" fontId="8" numFmtId="0" xfId="0" applyBorder="1" applyFont="1"/>
    <xf borderId="45" fillId="0" fontId="8" numFmtId="9" xfId="0" applyBorder="1" applyFont="1" applyNumberFormat="1"/>
    <xf borderId="1" fillId="2" fontId="49" numFmtId="0" xfId="0" applyAlignment="1" applyBorder="1" applyFont="1">
      <alignment horizontal="center"/>
    </xf>
    <xf borderId="21" fillId="0" fontId="8" numFmtId="169" xfId="0" applyBorder="1" applyFont="1" applyNumberFormat="1"/>
    <xf borderId="34" fillId="0" fontId="48" numFmtId="0" xfId="0" applyAlignment="1" applyBorder="1" applyFont="1">
      <alignment vertical="center"/>
    </xf>
    <xf borderId="21" fillId="0" fontId="30" numFmtId="0" xfId="0" applyAlignment="1" applyBorder="1" applyFont="1">
      <alignment horizontal="right"/>
    </xf>
    <xf borderId="21" fillId="0" fontId="30" numFmtId="9" xfId="0" applyAlignment="1" applyBorder="1" applyFont="1" applyNumberFormat="1">
      <alignment horizontal="right"/>
    </xf>
    <xf borderId="21" fillId="0" fontId="0" numFmtId="9" xfId="0" applyAlignment="1" applyBorder="1" applyFont="1" applyNumberFormat="1">
      <alignment horizontal="right"/>
    </xf>
    <xf borderId="21" fillId="0" fontId="30" numFmtId="169" xfId="0" applyAlignment="1" applyBorder="1" applyFont="1" applyNumberFormat="1">
      <alignment horizontal="right"/>
    </xf>
    <xf borderId="21" fillId="0" fontId="0" numFmtId="169" xfId="0" applyAlignment="1" applyBorder="1" applyFont="1" applyNumberFormat="1">
      <alignment horizontal="right"/>
    </xf>
    <xf borderId="35" fillId="0" fontId="41" numFmtId="0" xfId="0" applyBorder="1" applyFont="1"/>
    <xf borderId="38" fillId="0" fontId="41" numFmtId="0" xfId="0" applyAlignment="1" applyBorder="1" applyFont="1">
      <alignment shrinkToFit="0" vertical="center" wrapText="1"/>
    </xf>
    <xf borderId="41" fillId="0" fontId="41" numFmtId="0" xfId="0" applyAlignment="1" applyBorder="1" applyFont="1">
      <alignment shrinkToFit="0" vertical="center" wrapText="1"/>
    </xf>
    <xf borderId="21" fillId="0" fontId="8" numFmtId="0" xfId="0" applyAlignment="1" applyBorder="1" applyFont="1">
      <alignment horizontal="center"/>
    </xf>
    <xf borderId="21" fillId="0" fontId="0" numFmtId="0" xfId="0" applyAlignment="1" applyBorder="1" applyFont="1">
      <alignment horizontal="center"/>
    </xf>
    <xf borderId="21" fillId="0" fontId="0" numFmtId="9" xfId="0" applyBorder="1" applyFont="1" applyNumberFormat="1"/>
    <xf borderId="41" fillId="0" fontId="44" numFmtId="0" xfId="0" applyAlignment="1" applyBorder="1" applyFont="1">
      <alignment shrinkToFit="0" wrapText="1"/>
    </xf>
    <xf borderId="38" fillId="0" fontId="41" numFmtId="0" xfId="0" applyAlignment="1" applyBorder="1" applyFont="1">
      <alignment vertical="center"/>
    </xf>
    <xf borderId="46" fillId="2" fontId="49" numFmtId="0" xfId="0" applyAlignment="1" applyBorder="1" applyFont="1">
      <alignment horizontal="center"/>
    </xf>
    <xf borderId="0" fillId="0" fontId="41" numFmtId="0" xfId="0" applyAlignment="1" applyFont="1">
      <alignment shrinkToFit="0" vertical="center" wrapText="1"/>
    </xf>
    <xf borderId="0" fillId="0" fontId="8" numFmtId="169" xfId="0" applyFont="1" applyNumberFormat="1"/>
    <xf borderId="18" fillId="2" fontId="49" numFmtId="0" xfId="0" applyAlignment="1" applyBorder="1" applyFont="1">
      <alignment horizontal="center"/>
    </xf>
    <xf borderId="0" fillId="0" fontId="30" numFmtId="0" xfId="0" applyAlignment="1" applyFont="1">
      <alignment horizontal="right"/>
    </xf>
    <xf borderId="0" fillId="0" fontId="30" numFmtId="169" xfId="0" applyAlignment="1" applyFont="1" applyNumberFormat="1">
      <alignment horizontal="right"/>
    </xf>
    <xf borderId="21" fillId="0" fontId="5" numFmtId="169" xfId="0" applyAlignment="1" applyBorder="1" applyFont="1" applyNumberFormat="1">
      <alignment horizontal="right"/>
    </xf>
    <xf borderId="21" fillId="2" fontId="50" numFmtId="0" xfId="0" applyAlignment="1" applyBorder="1" applyFont="1">
      <alignment horizontal="center"/>
    </xf>
    <xf borderId="21" fillId="25" fontId="50" numFmtId="0" xfId="0" applyAlignment="1" applyBorder="1" applyFont="1">
      <alignment horizontal="center"/>
    </xf>
    <xf borderId="41" fillId="0" fontId="39" numFmtId="0" xfId="0" applyAlignment="1" applyBorder="1" applyFont="1">
      <alignment shrinkToFit="0" vertical="center" wrapText="1"/>
    </xf>
    <xf borderId="21" fillId="0" fontId="0" numFmtId="169" xfId="0" applyBorder="1" applyFont="1" applyNumberFormat="1"/>
    <xf borderId="21" fillId="0" fontId="5" numFmtId="9" xfId="0" applyAlignment="1" applyBorder="1" applyFont="1" applyNumberFormat="1">
      <alignment horizontal="right"/>
    </xf>
    <xf borderId="34" fillId="0" fontId="45" numFmtId="0" xfId="0" applyBorder="1" applyFont="1"/>
    <xf borderId="0" fillId="0" fontId="41" numFmtId="0" xfId="0" applyAlignment="1" applyFont="1">
      <alignment shrinkToFit="0" wrapText="1"/>
    </xf>
    <xf borderId="0" fillId="0" fontId="30" numFmtId="0" xfId="0" applyAlignment="1" applyFont="1">
      <alignment horizontal="left"/>
    </xf>
    <xf borderId="0" fillId="0" fontId="30" numFmtId="0" xfId="0" applyAlignment="1" applyFont="1">
      <alignment horizontal="center"/>
    </xf>
    <xf borderId="21" fillId="8" fontId="8" numFmtId="0" xfId="0" applyBorder="1" applyFont="1"/>
    <xf borderId="21" fillId="8" fontId="49" numFmtId="0" xfId="0" applyAlignment="1" applyBorder="1" applyFont="1">
      <alignment horizontal="center"/>
    </xf>
    <xf borderId="21" fillId="8" fontId="0" numFmtId="10" xfId="0" applyBorder="1" applyFont="1" applyNumberFormat="1"/>
    <xf borderId="21" fillId="8" fontId="50" numFmtId="0" xfId="0" applyAlignment="1" applyBorder="1" applyFont="1">
      <alignment horizontal="center"/>
    </xf>
    <xf borderId="21" fillId="0" fontId="51" numFmtId="0" xfId="0" applyBorder="1" applyFont="1"/>
    <xf borderId="21" fillId="7" fontId="48" numFmtId="0" xfId="0" applyAlignment="1" applyBorder="1" applyFont="1">
      <alignment vertical="center"/>
    </xf>
    <xf borderId="1" fillId="7" fontId="8" numFmtId="0" xfId="0" applyBorder="1" applyFont="1"/>
    <xf borderId="1" fillId="7" fontId="8" numFmtId="3" xfId="0" applyBorder="1" applyFont="1" applyNumberFormat="1"/>
    <xf borderId="1" fillId="24" fontId="8" numFmtId="0" xfId="0" applyBorder="1" applyFont="1"/>
    <xf borderId="0" fillId="0" fontId="0" numFmtId="172" xfId="0" applyFont="1" applyNumberFormat="1"/>
    <xf borderId="0" fillId="0" fontId="8" numFmtId="2" xfId="0" applyFont="1" applyNumberFormat="1"/>
    <xf borderId="1" fillId="2" fontId="8" numFmtId="0" xfId="0" applyBorder="1" applyFont="1"/>
    <xf borderId="0" fillId="0" fontId="8" numFmtId="172" xfId="0" applyFont="1" applyNumberFormat="1"/>
    <xf borderId="21" fillId="0" fontId="48" numFmtId="172" xfId="0" applyAlignment="1" applyBorder="1" applyFont="1" applyNumberFormat="1">
      <alignment vertical="center"/>
    </xf>
    <xf borderId="0" fillId="0" fontId="48" numFmtId="172" xfId="0" applyAlignment="1" applyFont="1" applyNumberFormat="1">
      <alignment vertical="center"/>
    </xf>
    <xf borderId="0" fillId="0" fontId="30" numFmtId="0" xfId="0" applyFont="1"/>
    <xf borderId="0" fillId="0" fontId="30" numFmtId="178" xfId="0" applyAlignment="1" applyFont="1" applyNumberFormat="1">
      <alignment horizontal="right"/>
    </xf>
    <xf borderId="29" fillId="0" fontId="41" numFmtId="0" xfId="0" applyBorder="1" applyFont="1"/>
    <xf borderId="0" fillId="0" fontId="30" numFmtId="10" xfId="0" applyAlignment="1" applyFont="1" applyNumberFormat="1">
      <alignment horizontal="right"/>
    </xf>
    <xf borderId="41" fillId="0" fontId="41" numFmtId="0" xfId="0" applyAlignment="1" applyBorder="1" applyFont="1">
      <alignment vertical="center"/>
    </xf>
    <xf borderId="41" fillId="24" fontId="41" numFmtId="0" xfId="0" applyAlignment="1" applyBorder="1" applyFont="1">
      <alignment vertical="center"/>
    </xf>
    <xf borderId="41" fillId="2" fontId="41" numFmtId="0" xfId="0" applyAlignment="1" applyBorder="1" applyFont="1">
      <alignment vertical="center"/>
    </xf>
    <xf borderId="1" fillId="2" fontId="8" numFmtId="9" xfId="0" applyBorder="1" applyFont="1" applyNumberFormat="1"/>
    <xf borderId="1" fillId="2" fontId="8" numFmtId="10" xfId="0" applyBorder="1" applyFont="1" applyNumberFormat="1"/>
    <xf borderId="1" fillId="2" fontId="0" numFmtId="10" xfId="0" applyBorder="1" applyFont="1" applyNumberFormat="1"/>
    <xf borderId="1" fillId="2" fontId="0" numFmtId="172" xfId="0" applyBorder="1" applyFont="1" applyNumberFormat="1"/>
    <xf borderId="1" fillId="2" fontId="8" numFmtId="171" xfId="0" applyBorder="1" applyFont="1" applyNumberFormat="1"/>
    <xf borderId="41" fillId="0" fontId="44" numFmtId="0" xfId="0" applyBorder="1" applyFont="1"/>
    <xf borderId="47" fillId="0" fontId="41" numFmtId="0" xfId="0" applyAlignment="1" applyBorder="1" applyFont="1">
      <alignment vertical="center"/>
    </xf>
    <xf borderId="0" fillId="0" fontId="0" numFmtId="171" xfId="0" applyFont="1" applyNumberFormat="1"/>
    <xf borderId="0" fillId="0" fontId="41" numFmtId="0" xfId="0" applyAlignment="1" applyFont="1">
      <alignment vertical="center"/>
    </xf>
    <xf borderId="0" fillId="0" fontId="0" numFmtId="179" xfId="0" applyFont="1" applyNumberFormat="1"/>
    <xf borderId="0" fillId="0" fontId="8" numFmtId="179" xfId="0" applyFont="1" applyNumberFormat="1"/>
    <xf borderId="1" fillId="2" fontId="0" numFmtId="179" xfId="0" applyBorder="1" applyFont="1" applyNumberFormat="1"/>
    <xf borderId="41" fillId="0" fontId="39" numFmtId="0" xfId="0" applyAlignment="1" applyBorder="1" applyFont="1">
      <alignment vertical="center"/>
    </xf>
    <xf borderId="38" fillId="24" fontId="41" numFmtId="0" xfId="0" applyAlignment="1" applyBorder="1" applyFont="1">
      <alignment vertical="center"/>
    </xf>
    <xf borderId="1" fillId="24" fontId="0" numFmtId="0" xfId="0" applyBorder="1" applyFont="1"/>
    <xf borderId="1" fillId="24" fontId="0" numFmtId="9" xfId="0" applyBorder="1" applyFont="1" applyNumberFormat="1"/>
    <xf borderId="1" fillId="2" fontId="32" numFmtId="169" xfId="0" applyBorder="1" applyFont="1" applyNumberFormat="1"/>
    <xf borderId="0" fillId="0" fontId="0" numFmtId="169" xfId="0" applyFont="1" applyNumberFormat="1"/>
    <xf borderId="1" fillId="2" fontId="32" numFmtId="0" xfId="0" applyBorder="1" applyFont="1"/>
    <xf borderId="0" fillId="0" fontId="0" numFmtId="167" xfId="0" applyFont="1" applyNumberFormat="1"/>
    <xf borderId="21" fillId="0" fontId="0" numFmtId="167" xfId="0" applyBorder="1" applyFont="1" applyNumberFormat="1"/>
    <xf borderId="21" fillId="7" fontId="11" numFmtId="0" xfId="0" applyBorder="1" applyFont="1"/>
    <xf borderId="48" fillId="0" fontId="8" numFmtId="0" xfId="0" applyBorder="1" applyFont="1"/>
    <xf borderId="49" fillId="0" fontId="0" numFmtId="0" xfId="0" applyBorder="1" applyFont="1"/>
    <xf borderId="50" fillId="0" fontId="0" numFmtId="0" xfId="0" applyBorder="1" applyFont="1"/>
    <xf borderId="19" fillId="26" fontId="8" numFmtId="0" xfId="0" applyBorder="1" applyFill="1" applyFont="1"/>
    <xf borderId="21" fillId="26" fontId="8" numFmtId="0" xfId="0" applyBorder="1" applyFont="1"/>
    <xf borderId="20" fillId="0" fontId="0" numFmtId="0" xfId="0" applyBorder="1" applyFont="1"/>
    <xf borderId="19" fillId="0" fontId="8" numFmtId="0" xfId="0" applyBorder="1" applyFont="1"/>
    <xf borderId="21" fillId="26" fontId="8" numFmtId="9" xfId="0" applyBorder="1" applyFont="1" applyNumberFormat="1"/>
    <xf borderId="19" fillId="8" fontId="8" numFmtId="0" xfId="0" applyBorder="1" applyFont="1"/>
    <xf borderId="23" fillId="0" fontId="8" numFmtId="0" xfId="0" applyBorder="1" applyFont="1"/>
    <xf borderId="26" fillId="0" fontId="8" numFmtId="0" xfId="0" applyBorder="1" applyFont="1"/>
    <xf borderId="26" fillId="0" fontId="0" numFmtId="0" xfId="0" applyBorder="1" applyFont="1"/>
    <xf borderId="24" fillId="0" fontId="0" numFmtId="0" xfId="0" applyBorder="1" applyFont="1"/>
    <xf borderId="0" fillId="0" fontId="48" numFmtId="0" xfId="0" applyAlignment="1" applyFont="1">
      <alignment shrinkToFit="0" vertical="center" wrapText="1"/>
    </xf>
    <xf borderId="1" fillId="2" fontId="48" numFmtId="0" xfId="0" applyAlignment="1" applyBorder="1" applyFont="1">
      <alignment shrinkToFit="0" vertical="center" wrapText="1"/>
    </xf>
    <xf borderId="1" fillId="2" fontId="48" numFmtId="0" xfId="0" applyAlignment="1" applyBorder="1" applyFont="1">
      <alignment vertical="center"/>
    </xf>
    <xf borderId="1" fillId="27" fontId="52" numFmtId="0" xfId="0" applyAlignment="1" applyBorder="1" applyFill="1" applyFont="1">
      <alignment horizontal="center" shrinkToFit="0" vertical="center" wrapText="1"/>
    </xf>
    <xf borderId="0" fillId="0" fontId="8" numFmtId="15" xfId="0" applyFont="1" applyNumberFormat="1"/>
    <xf borderId="21" fillId="0" fontId="16" numFmtId="15" xfId="0" applyAlignment="1" applyBorder="1" applyFont="1" applyNumberFormat="1">
      <alignment vertical="center"/>
    </xf>
    <xf borderId="21" fillId="0" fontId="16" numFmtId="0" xfId="0" applyAlignment="1" applyBorder="1" applyFont="1">
      <alignment vertical="center"/>
    </xf>
    <xf borderId="21" fillId="7" fontId="53" numFmtId="0" xfId="0" applyAlignment="1" applyBorder="1" applyFont="1">
      <alignment horizontal="right" shrinkToFit="0" vertical="top" wrapText="1"/>
    </xf>
    <xf borderId="1" fillId="7" fontId="53" numFmtId="0" xfId="0" applyAlignment="1" applyBorder="1" applyFont="1">
      <alignment horizontal="righ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Paying premiums for as long as you can and staying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Continuing'!$B$28:$B$32</c:f>
            </c:strRef>
          </c:cat>
          <c:val>
            <c:numRef>
              <c:f>'Surrender vs. Continuing'!$C$28:$C$32</c:f>
              <c:numCache/>
            </c:numRef>
          </c:val>
          <c:smooth val="0"/>
        </c:ser>
        <c:ser>
          <c:idx val="1"/>
          <c:order val="1"/>
          <c:tx>
            <c:v>Bank Returns on surrender value</c:v>
          </c:tx>
          <c:spPr>
            <a:ln cmpd="sng" w="28575">
              <a:solidFill>
                <a:schemeClr val="accent2"/>
              </a:solidFill>
            </a:ln>
          </c:spPr>
          <c:marker>
            <c:symbol val="none"/>
          </c:marker>
          <c:cat>
            <c:strRef>
              <c:f>'Surrender vs. Continuing'!$B$28:$B$32</c:f>
            </c:strRef>
          </c:cat>
          <c:val>
            <c:numRef>
              <c:f>'Surrender vs. Continuing'!$D$28:$D$32</c:f>
              <c:numCache/>
            </c:numRef>
          </c:val>
          <c:smooth val="0"/>
        </c:ser>
        <c:ser>
          <c:idx val="2"/>
          <c:order val="2"/>
          <c:tx>
            <c:v>Fund Value @8%</c:v>
          </c:tx>
          <c:spPr>
            <a:ln cmpd="sng" w="28575">
              <a:solidFill>
                <a:schemeClr val="accent3"/>
              </a:solidFill>
            </a:ln>
          </c:spPr>
          <c:marker>
            <c:symbol val="none"/>
          </c:marker>
          <c:cat>
            <c:strRef>
              <c:f>'Surrender vs. Continuing'!$B$28:$B$32</c:f>
            </c:strRef>
          </c:cat>
          <c:val>
            <c:numRef>
              <c:f>'Surrender vs. Continuing'!$E$28:$E$32</c:f>
              <c:numCache/>
            </c:numRef>
          </c:val>
          <c:smooth val="0"/>
        </c:ser>
        <c:ser>
          <c:idx val="3"/>
          <c:order val="3"/>
          <c:tx>
            <c:v>Fund Value @4%</c:v>
          </c:tx>
          <c:spPr>
            <a:ln cmpd="sng" w="28575">
              <a:solidFill>
                <a:schemeClr val="accent4"/>
              </a:solidFill>
            </a:ln>
          </c:spPr>
          <c:marker>
            <c:symbol val="none"/>
          </c:marker>
          <c:cat>
            <c:strRef>
              <c:f>'Surrender vs. Continuing'!$B$28:$B$32</c:f>
            </c:strRef>
          </c:cat>
          <c:val>
            <c:numRef>
              <c:f>'Surrender vs. Continuing'!$F$28:$F$32</c:f>
              <c:numCache/>
            </c:numRef>
          </c:val>
          <c:smooth val="0"/>
        </c:ser>
        <c:ser>
          <c:idx val="4"/>
          <c:order val="4"/>
          <c:tx>
            <c:v>Fund Value @Historical rate</c:v>
          </c:tx>
          <c:spPr>
            <a:ln cmpd="sng" w="28575">
              <a:solidFill>
                <a:schemeClr val="accent5"/>
              </a:solidFill>
            </a:ln>
          </c:spPr>
          <c:marker>
            <c:symbol val="none"/>
          </c:marker>
          <c:cat>
            <c:strRef>
              <c:f>'Surrender vs. Continuing'!$B$28:$B$32</c:f>
            </c:strRef>
          </c:cat>
          <c:val>
            <c:numRef>
              <c:f>'Surrender vs. Continuing'!$G$28:$G$32</c:f>
              <c:numCache/>
            </c:numRef>
          </c:val>
          <c:smooth val="0"/>
        </c:ser>
        <c:axId val="677086249"/>
        <c:axId val="1929895674"/>
      </c:lineChart>
      <c:catAx>
        <c:axId val="67708624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i="0" sz="900">
                <a:solidFill>
                  <a:schemeClr val="lt1"/>
                </a:solidFill>
                <a:latin typeface="+mn-lt"/>
              </a:defRPr>
            </a:pPr>
          </a:p>
        </c:txPr>
        <c:crossAx val="1929895674"/>
      </c:catAx>
      <c:valAx>
        <c:axId val="19298956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677086249"/>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Paying premiums for as long as you can and staying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Continuing'!$B$28:$B$32</c:f>
            </c:strRef>
          </c:cat>
          <c:val>
            <c:numRef>
              <c:f>'Surrender vs. Continuing'!$C$28:$C$32</c:f>
              <c:numCache/>
            </c:numRef>
          </c:val>
          <c:smooth val="0"/>
        </c:ser>
        <c:ser>
          <c:idx val="1"/>
          <c:order val="1"/>
          <c:tx>
            <c:v>Bank Returns on surrender value</c:v>
          </c:tx>
          <c:spPr>
            <a:ln cmpd="sng" w="28575">
              <a:solidFill>
                <a:schemeClr val="accent2"/>
              </a:solidFill>
            </a:ln>
          </c:spPr>
          <c:marker>
            <c:symbol val="none"/>
          </c:marker>
          <c:cat>
            <c:strRef>
              <c:f>'Surrender vs. Continuing'!$B$28:$B$32</c:f>
            </c:strRef>
          </c:cat>
          <c:val>
            <c:numRef>
              <c:f>'Surrender vs. Continuing'!$D$28:$D$32</c:f>
              <c:numCache/>
            </c:numRef>
          </c:val>
          <c:smooth val="0"/>
        </c:ser>
        <c:ser>
          <c:idx val="2"/>
          <c:order val="2"/>
          <c:tx>
            <c:v>Fund Value @8%</c:v>
          </c:tx>
          <c:spPr>
            <a:ln cmpd="sng" w="28575">
              <a:solidFill>
                <a:schemeClr val="accent3"/>
              </a:solidFill>
            </a:ln>
          </c:spPr>
          <c:marker>
            <c:symbol val="none"/>
          </c:marker>
          <c:cat>
            <c:strRef>
              <c:f>'Surrender vs. Continuing'!$B$28:$B$32</c:f>
            </c:strRef>
          </c:cat>
          <c:val>
            <c:numRef>
              <c:f>'Surrender vs. Continuing'!$E$28:$E$32</c:f>
              <c:numCache/>
            </c:numRef>
          </c:val>
          <c:smooth val="0"/>
        </c:ser>
        <c:ser>
          <c:idx val="3"/>
          <c:order val="3"/>
          <c:tx>
            <c:v>Fund Value @4%</c:v>
          </c:tx>
          <c:spPr>
            <a:ln cmpd="sng" w="28575">
              <a:solidFill>
                <a:schemeClr val="accent4"/>
              </a:solidFill>
            </a:ln>
          </c:spPr>
          <c:marker>
            <c:symbol val="none"/>
          </c:marker>
          <c:cat>
            <c:strRef>
              <c:f>'Surrender vs. Continuing'!$B$28:$B$32</c:f>
            </c:strRef>
          </c:cat>
          <c:val>
            <c:numRef>
              <c:f>'Surrender vs. Continuing'!$F$28:$F$32</c:f>
              <c:numCache/>
            </c:numRef>
          </c:val>
          <c:smooth val="0"/>
        </c:ser>
        <c:ser>
          <c:idx val="4"/>
          <c:order val="4"/>
          <c:tx>
            <c:v>Fund Value @Historical rate</c:v>
          </c:tx>
          <c:spPr>
            <a:ln cmpd="sng" w="28575">
              <a:solidFill>
                <a:schemeClr val="accent5"/>
              </a:solidFill>
            </a:ln>
          </c:spPr>
          <c:marker>
            <c:symbol val="none"/>
          </c:marker>
          <c:cat>
            <c:strRef>
              <c:f>'Surrender vs. Continuing'!$B$28:$B$32</c:f>
            </c:strRef>
          </c:cat>
          <c:val>
            <c:numRef>
              <c:f>'Surrender vs. Continuing'!$G$28:$G$32</c:f>
              <c:numCache/>
            </c:numRef>
          </c:val>
          <c:smooth val="0"/>
        </c:ser>
        <c:axId val="1201853872"/>
        <c:axId val="1320392337"/>
      </c:lineChart>
      <c:catAx>
        <c:axId val="12018538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chemeClr val="lt1"/>
                </a:solidFill>
                <a:latin typeface="+mn-lt"/>
              </a:defRPr>
            </a:pPr>
          </a:p>
        </c:txPr>
        <c:crossAx val="1320392337"/>
      </c:catAx>
      <c:valAx>
        <c:axId val="13203923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1201853872"/>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Paying even 1 more premium and staying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Continuing'!$B$48:$B$52</c:f>
            </c:strRef>
          </c:cat>
          <c:val>
            <c:numRef>
              <c:f>'Surrender vs. Continuing'!$C$48:$C$52</c:f>
              <c:numCache/>
            </c:numRef>
          </c:val>
          <c:smooth val="0"/>
        </c:ser>
        <c:ser>
          <c:idx val="1"/>
          <c:order val="1"/>
          <c:tx>
            <c:v>Bank Returns on surrender value</c:v>
          </c:tx>
          <c:spPr>
            <a:ln cmpd="sng" w="28575">
              <a:solidFill>
                <a:schemeClr val="accent2"/>
              </a:solidFill>
            </a:ln>
          </c:spPr>
          <c:marker>
            <c:symbol val="none"/>
          </c:marker>
          <c:cat>
            <c:strRef>
              <c:f>'Surrender vs. Continuing'!$B$48:$B$52</c:f>
            </c:strRef>
          </c:cat>
          <c:val>
            <c:numRef>
              <c:f>'Surrender vs. Continuing'!$D$48:$D$52</c:f>
              <c:numCache/>
            </c:numRef>
          </c:val>
          <c:smooth val="0"/>
        </c:ser>
        <c:ser>
          <c:idx val="2"/>
          <c:order val="2"/>
          <c:tx>
            <c:v>Fund Value @8%</c:v>
          </c:tx>
          <c:spPr>
            <a:ln cmpd="sng" w="28575">
              <a:solidFill>
                <a:schemeClr val="accent3"/>
              </a:solidFill>
            </a:ln>
          </c:spPr>
          <c:marker>
            <c:symbol val="none"/>
          </c:marker>
          <c:cat>
            <c:strRef>
              <c:f>'Surrender vs. Continuing'!$B$48:$B$52</c:f>
            </c:strRef>
          </c:cat>
          <c:val>
            <c:numRef>
              <c:f>'Surrender vs. Continuing'!$E$48:$E$52</c:f>
              <c:numCache/>
            </c:numRef>
          </c:val>
          <c:smooth val="0"/>
        </c:ser>
        <c:ser>
          <c:idx val="3"/>
          <c:order val="3"/>
          <c:tx>
            <c:v>Fund Value @4%</c:v>
          </c:tx>
          <c:spPr>
            <a:ln cmpd="sng" w="28575">
              <a:solidFill>
                <a:schemeClr val="accent4"/>
              </a:solidFill>
            </a:ln>
          </c:spPr>
          <c:marker>
            <c:symbol val="none"/>
          </c:marker>
          <c:cat>
            <c:strRef>
              <c:f>'Surrender vs. Continuing'!$B$48:$B$52</c:f>
            </c:strRef>
          </c:cat>
          <c:val>
            <c:numRef>
              <c:f>'Surrender vs. Continuing'!$F$48:$F$52</c:f>
              <c:numCache/>
            </c:numRef>
          </c:val>
          <c:smooth val="0"/>
        </c:ser>
        <c:ser>
          <c:idx val="4"/>
          <c:order val="4"/>
          <c:tx>
            <c:v>Fund Value @Historical rate</c:v>
          </c:tx>
          <c:spPr>
            <a:ln cmpd="sng" w="28575">
              <a:solidFill>
                <a:schemeClr val="accent5"/>
              </a:solidFill>
            </a:ln>
          </c:spPr>
          <c:marker>
            <c:symbol val="none"/>
          </c:marker>
          <c:cat>
            <c:strRef>
              <c:f>'Surrender vs. Continuing'!$B$48:$B$52</c:f>
            </c:strRef>
          </c:cat>
          <c:val>
            <c:numRef>
              <c:f>'Surrender vs. Continuing'!$G$48:$G$52</c:f>
              <c:numCache/>
            </c:numRef>
          </c:val>
          <c:smooth val="0"/>
        </c:ser>
        <c:axId val="1591824116"/>
        <c:axId val="959656176"/>
      </c:lineChart>
      <c:catAx>
        <c:axId val="15918241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chemeClr val="lt1"/>
                </a:solidFill>
                <a:latin typeface="+mn-lt"/>
              </a:defRPr>
            </a:pPr>
          </a:p>
        </c:txPr>
        <c:crossAx val="959656176"/>
      </c:catAx>
      <c:valAx>
        <c:axId val="95965617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1591824116"/>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Just staying with no further premium payment instead of surrendering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Continuing'!$B$68:$B$72</c:f>
            </c:strRef>
          </c:cat>
          <c:val>
            <c:numRef>
              <c:f>'Surrender vs. Continuing'!$C$68:$C$72</c:f>
              <c:numCache/>
            </c:numRef>
          </c:val>
          <c:smooth val="0"/>
        </c:ser>
        <c:ser>
          <c:idx val="1"/>
          <c:order val="1"/>
          <c:tx>
            <c:v>Bank Returns on surrender value</c:v>
          </c:tx>
          <c:spPr>
            <a:ln cmpd="sng" w="28575">
              <a:solidFill>
                <a:schemeClr val="accent2"/>
              </a:solidFill>
            </a:ln>
          </c:spPr>
          <c:marker>
            <c:symbol val="none"/>
          </c:marker>
          <c:cat>
            <c:strRef>
              <c:f>'Surrender vs. Continuing'!$B$68:$B$72</c:f>
            </c:strRef>
          </c:cat>
          <c:val>
            <c:numRef>
              <c:f>'Surrender vs. Continuing'!$D$68:$D$72</c:f>
              <c:numCache/>
            </c:numRef>
          </c:val>
          <c:smooth val="0"/>
        </c:ser>
        <c:ser>
          <c:idx val="2"/>
          <c:order val="2"/>
          <c:tx>
            <c:v>Fund Value @8%</c:v>
          </c:tx>
          <c:spPr>
            <a:ln cmpd="sng" w="28575">
              <a:solidFill>
                <a:schemeClr val="accent3"/>
              </a:solidFill>
            </a:ln>
          </c:spPr>
          <c:marker>
            <c:symbol val="none"/>
          </c:marker>
          <c:cat>
            <c:strRef>
              <c:f>'Surrender vs. Continuing'!$B$68:$B$72</c:f>
            </c:strRef>
          </c:cat>
          <c:val>
            <c:numRef>
              <c:f>'Surrender vs. Continuing'!$E$68:$E$72</c:f>
              <c:numCache/>
            </c:numRef>
          </c:val>
          <c:smooth val="0"/>
        </c:ser>
        <c:ser>
          <c:idx val="3"/>
          <c:order val="3"/>
          <c:tx>
            <c:v>Fund Value @4%</c:v>
          </c:tx>
          <c:spPr>
            <a:ln cmpd="sng" w="28575">
              <a:solidFill>
                <a:schemeClr val="accent4"/>
              </a:solidFill>
            </a:ln>
          </c:spPr>
          <c:marker>
            <c:symbol val="none"/>
          </c:marker>
          <c:cat>
            <c:strRef>
              <c:f>'Surrender vs. Continuing'!$B$68:$B$72</c:f>
            </c:strRef>
          </c:cat>
          <c:val>
            <c:numRef>
              <c:f>'Surrender vs. Continuing'!$F$68:$F$72</c:f>
              <c:numCache/>
            </c:numRef>
          </c:val>
          <c:smooth val="0"/>
        </c:ser>
        <c:ser>
          <c:idx val="4"/>
          <c:order val="4"/>
          <c:tx>
            <c:v>Fund Value @Historical rate</c:v>
          </c:tx>
          <c:spPr>
            <a:ln cmpd="sng" w="28575">
              <a:solidFill>
                <a:schemeClr val="accent5"/>
              </a:solidFill>
            </a:ln>
          </c:spPr>
          <c:marker>
            <c:symbol val="none"/>
          </c:marker>
          <c:cat>
            <c:strRef>
              <c:f>'Surrender vs. Continuing'!$B$68:$B$72</c:f>
            </c:strRef>
          </c:cat>
          <c:val>
            <c:numRef>
              <c:f>'Surrender vs. Continuing'!$G$68:$G$72</c:f>
              <c:numCache/>
            </c:numRef>
          </c:val>
          <c:smooth val="0"/>
        </c:ser>
        <c:axId val="525618966"/>
        <c:axId val="1138723845"/>
      </c:lineChart>
      <c:catAx>
        <c:axId val="5256189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chemeClr val="lt1"/>
                </a:solidFill>
                <a:latin typeface="+mn-lt"/>
              </a:defRPr>
            </a:pPr>
          </a:p>
        </c:txPr>
        <c:crossAx val="1138723845"/>
      </c:catAx>
      <c:valAx>
        <c:axId val="113872384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525618966"/>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Paying premiums for as long as you can and staying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Continuing'!$B$7:$B$11</c:f>
            </c:strRef>
          </c:cat>
          <c:val>
            <c:numRef>
              <c:f>'Surrender vs. Continuing'!$C$7:$C$11</c:f>
              <c:numCache/>
            </c:numRef>
          </c:val>
          <c:smooth val="0"/>
        </c:ser>
        <c:ser>
          <c:idx val="1"/>
          <c:order val="1"/>
          <c:tx>
            <c:v>Bank Returns on surrender value</c:v>
          </c:tx>
          <c:spPr>
            <a:ln cmpd="sng" w="28575">
              <a:solidFill>
                <a:schemeClr val="accent2"/>
              </a:solidFill>
            </a:ln>
          </c:spPr>
          <c:marker>
            <c:symbol val="none"/>
          </c:marker>
          <c:cat>
            <c:strRef>
              <c:f>'Surrender vs. Continuing'!$B$7:$B$11</c:f>
            </c:strRef>
          </c:cat>
          <c:val>
            <c:numRef>
              <c:f>'Surrender vs. Continuing'!$D$7:$D$11</c:f>
              <c:numCache/>
            </c:numRef>
          </c:val>
          <c:smooth val="0"/>
        </c:ser>
        <c:ser>
          <c:idx val="2"/>
          <c:order val="2"/>
          <c:tx>
            <c:v>Fund Value @8%</c:v>
          </c:tx>
          <c:spPr>
            <a:ln cmpd="sng" w="28575">
              <a:solidFill>
                <a:schemeClr val="accent3"/>
              </a:solidFill>
            </a:ln>
          </c:spPr>
          <c:marker>
            <c:symbol val="none"/>
          </c:marker>
          <c:cat>
            <c:strRef>
              <c:f>'Surrender vs. Continuing'!$B$7:$B$11</c:f>
            </c:strRef>
          </c:cat>
          <c:val>
            <c:numRef>
              <c:f>'Surrender vs. Continuing'!$E$7:$E$11</c:f>
              <c:numCache/>
            </c:numRef>
          </c:val>
          <c:smooth val="0"/>
        </c:ser>
        <c:ser>
          <c:idx val="3"/>
          <c:order val="3"/>
          <c:tx>
            <c:v>Fund Value @4%</c:v>
          </c:tx>
          <c:spPr>
            <a:ln cmpd="sng" w="28575">
              <a:solidFill>
                <a:schemeClr val="accent4"/>
              </a:solidFill>
            </a:ln>
          </c:spPr>
          <c:marker>
            <c:symbol val="none"/>
          </c:marker>
          <c:cat>
            <c:strRef>
              <c:f>'Surrender vs. Continuing'!$B$7:$B$11</c:f>
            </c:strRef>
          </c:cat>
          <c:val>
            <c:numRef>
              <c:f>'Surrender vs. Continuing'!$F$7:$F$11</c:f>
              <c:numCache/>
            </c:numRef>
          </c:val>
          <c:smooth val="0"/>
        </c:ser>
        <c:ser>
          <c:idx val="4"/>
          <c:order val="4"/>
          <c:tx>
            <c:v>Fund Value @Historical rate</c:v>
          </c:tx>
          <c:spPr>
            <a:ln cmpd="sng" w="28575">
              <a:solidFill>
                <a:schemeClr val="accent5"/>
              </a:solidFill>
            </a:ln>
          </c:spPr>
          <c:marker>
            <c:symbol val="none"/>
          </c:marker>
          <c:cat>
            <c:strRef>
              <c:f>'Surrender vs. Continuing'!$B$7:$B$11</c:f>
            </c:strRef>
          </c:cat>
          <c:val>
            <c:numRef>
              <c:f>'Surrender vs. Continuing'!$G$7:$G$12</c:f>
              <c:numCache/>
            </c:numRef>
          </c:val>
          <c:smooth val="0"/>
        </c:ser>
        <c:axId val="62249284"/>
        <c:axId val="300280648"/>
      </c:lineChart>
      <c:catAx>
        <c:axId val="622492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i="0" sz="900">
                <a:solidFill>
                  <a:schemeClr val="lt1"/>
                </a:solidFill>
                <a:latin typeface="+mn-lt"/>
              </a:defRPr>
            </a:pPr>
          </a:p>
        </c:txPr>
        <c:crossAx val="300280648"/>
      </c:catAx>
      <c:valAx>
        <c:axId val="30028064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62249284"/>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Move to safer funds and stay invested</a:t>
            </a:r>
          </a:p>
        </c:rich>
      </c:tx>
      <c:overlay val="0"/>
    </c:title>
    <c:plotArea>
      <c:layout/>
      <c:lineChart>
        <c:ser>
          <c:idx val="0"/>
          <c:order val="0"/>
          <c:tx>
            <c:v>Total investment</c:v>
          </c:tx>
          <c:spPr>
            <a:ln cmpd="sng" w="28575">
              <a:solidFill>
                <a:schemeClr val="accent1"/>
              </a:solidFill>
            </a:ln>
          </c:spPr>
          <c:marker>
            <c:symbol val="none"/>
          </c:marker>
          <c:cat>
            <c:strRef>
              <c:f>'Surrender vs. Continuing'!$B$98:$B$102</c:f>
            </c:strRef>
          </c:cat>
          <c:val>
            <c:numRef>
              <c:f>'Surrender vs. Continuing'!$C$98:$C$102</c:f>
              <c:numCache/>
            </c:numRef>
          </c:val>
          <c:smooth val="0"/>
        </c:ser>
        <c:ser>
          <c:idx val="1"/>
          <c:order val="1"/>
          <c:tx>
            <c:v>Fund Value @8%</c:v>
          </c:tx>
          <c:spPr>
            <a:ln cmpd="sng" w="28575">
              <a:solidFill>
                <a:schemeClr val="accent2"/>
              </a:solidFill>
            </a:ln>
          </c:spPr>
          <c:marker>
            <c:symbol val="none"/>
          </c:marker>
          <c:cat>
            <c:strRef>
              <c:f>'Surrender vs. Continuing'!$B$98:$B$102</c:f>
            </c:strRef>
          </c:cat>
          <c:val>
            <c:numRef>
              <c:f>'Surrender vs. Continuing'!$D$98:$D$102</c:f>
              <c:numCache/>
            </c:numRef>
          </c:val>
          <c:smooth val="0"/>
        </c:ser>
        <c:ser>
          <c:idx val="2"/>
          <c:order val="2"/>
          <c:tx>
            <c:v>Fund Value @4%</c:v>
          </c:tx>
          <c:spPr>
            <a:ln cmpd="sng" w="28575">
              <a:solidFill>
                <a:schemeClr val="accent3"/>
              </a:solidFill>
            </a:ln>
          </c:spPr>
          <c:marker>
            <c:symbol val="none"/>
          </c:marker>
          <c:cat>
            <c:strRef>
              <c:f>'Surrender vs. Continuing'!$B$98:$B$102</c:f>
            </c:strRef>
          </c:cat>
          <c:val>
            <c:numRef>
              <c:f>'Surrender vs. Continuing'!$E$98:$E$102</c:f>
              <c:numCache/>
            </c:numRef>
          </c:val>
          <c:smooth val="0"/>
        </c:ser>
        <c:ser>
          <c:idx val="3"/>
          <c:order val="3"/>
          <c:tx>
            <c:v>Bond Fund 5 yr historical  Returns</c:v>
          </c:tx>
          <c:spPr>
            <a:ln cmpd="sng" w="28575">
              <a:solidFill>
                <a:schemeClr val="accent4"/>
              </a:solidFill>
            </a:ln>
          </c:spPr>
          <c:marker>
            <c:symbol val="none"/>
          </c:marker>
          <c:cat>
            <c:strRef>
              <c:f>'Surrender vs. Continuing'!$B$98:$B$102</c:f>
            </c:strRef>
          </c:cat>
          <c:val>
            <c:numRef>
              <c:f>'Surrender vs. Continuing'!$F$98:$F$102</c:f>
              <c:numCache/>
            </c:numRef>
          </c:val>
          <c:smooth val="0"/>
        </c:ser>
        <c:axId val="364946558"/>
        <c:axId val="34743242"/>
      </c:lineChart>
      <c:catAx>
        <c:axId val="3649465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chemeClr val="lt1"/>
                </a:solidFill>
                <a:latin typeface="+mn-lt"/>
              </a:defRPr>
            </a:pPr>
          </a:p>
        </c:txPr>
        <c:crossAx val="34743242"/>
      </c:catAx>
      <c:valAx>
        <c:axId val="347432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364946558"/>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Just staying with no further premium payment instead of surrendering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Continuing'!$B$68:$B$72</c:f>
            </c:strRef>
          </c:cat>
          <c:val>
            <c:numRef>
              <c:f>'Surrender vs. Continuing'!$C$68:$C$72</c:f>
              <c:numCache/>
            </c:numRef>
          </c:val>
          <c:smooth val="0"/>
        </c:ser>
        <c:ser>
          <c:idx val="1"/>
          <c:order val="1"/>
          <c:tx>
            <c:v>Bank Returns on surrender value</c:v>
          </c:tx>
          <c:spPr>
            <a:ln cmpd="sng" w="28575">
              <a:solidFill>
                <a:schemeClr val="accent2"/>
              </a:solidFill>
            </a:ln>
          </c:spPr>
          <c:marker>
            <c:symbol val="none"/>
          </c:marker>
          <c:cat>
            <c:strRef>
              <c:f>'Surrender vs. Continuing'!$B$68:$B$72</c:f>
            </c:strRef>
          </c:cat>
          <c:val>
            <c:numRef>
              <c:f>'Surrender vs. Continuing'!$D$68:$D$72</c:f>
              <c:numCache/>
            </c:numRef>
          </c:val>
          <c:smooth val="0"/>
        </c:ser>
        <c:ser>
          <c:idx val="2"/>
          <c:order val="2"/>
          <c:tx>
            <c:v>Fund Value @8%</c:v>
          </c:tx>
          <c:spPr>
            <a:ln cmpd="sng" w="28575">
              <a:solidFill>
                <a:schemeClr val="accent3"/>
              </a:solidFill>
            </a:ln>
          </c:spPr>
          <c:marker>
            <c:symbol val="none"/>
          </c:marker>
          <c:cat>
            <c:strRef>
              <c:f>'Surrender vs. Continuing'!$B$68:$B$72</c:f>
            </c:strRef>
          </c:cat>
          <c:val>
            <c:numRef>
              <c:f>'Surrender vs. Continuing'!$E$68:$E$72</c:f>
              <c:numCache/>
            </c:numRef>
          </c:val>
          <c:smooth val="0"/>
        </c:ser>
        <c:ser>
          <c:idx val="3"/>
          <c:order val="3"/>
          <c:tx>
            <c:v>Fund Value @4%</c:v>
          </c:tx>
          <c:spPr>
            <a:ln cmpd="sng" w="28575">
              <a:solidFill>
                <a:schemeClr val="accent4"/>
              </a:solidFill>
            </a:ln>
          </c:spPr>
          <c:marker>
            <c:symbol val="none"/>
          </c:marker>
          <c:cat>
            <c:strRef>
              <c:f>'Surrender vs. Continuing'!$B$68:$B$72</c:f>
            </c:strRef>
          </c:cat>
          <c:val>
            <c:numRef>
              <c:f>'Surrender vs. Continuing'!$F$68:$F$72</c:f>
              <c:numCache/>
            </c:numRef>
          </c:val>
          <c:smooth val="0"/>
        </c:ser>
        <c:ser>
          <c:idx val="4"/>
          <c:order val="4"/>
          <c:tx>
            <c:v>Fund Value @Historical rate</c:v>
          </c:tx>
          <c:spPr>
            <a:ln cmpd="sng" w="28575">
              <a:solidFill>
                <a:schemeClr val="accent5"/>
              </a:solidFill>
            </a:ln>
          </c:spPr>
          <c:marker>
            <c:symbol val="none"/>
          </c:marker>
          <c:cat>
            <c:strRef>
              <c:f>'Surrender vs. Continuing'!$B$68:$B$72</c:f>
            </c:strRef>
          </c:cat>
          <c:val>
            <c:numRef>
              <c:f>'Surrender vs. Continuing'!$G$68:$G$72</c:f>
              <c:numCache/>
            </c:numRef>
          </c:val>
          <c:smooth val="0"/>
        </c:ser>
        <c:axId val="585464939"/>
        <c:axId val="296565642"/>
      </c:lineChart>
      <c:catAx>
        <c:axId val="5854649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i="0" sz="900">
                <a:solidFill>
                  <a:schemeClr val="lt1"/>
                </a:solidFill>
                <a:latin typeface="+mn-lt"/>
              </a:defRPr>
            </a:pPr>
          </a:p>
        </c:txPr>
        <c:crossAx val="296565642"/>
      </c:catAx>
      <c:valAx>
        <c:axId val="2965656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585464939"/>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Paying even 1 more premium and staying can grow savings with partial life cover</a:t>
            </a:r>
          </a:p>
        </c:rich>
      </c:tx>
      <c:overlay val="0"/>
    </c:title>
    <c:plotArea>
      <c:layout/>
      <c:lineChart>
        <c:ser>
          <c:idx val="0"/>
          <c:order val="0"/>
          <c:tx>
            <c:v>Total investment</c:v>
          </c:tx>
          <c:spPr>
            <a:ln cmpd="sng" w="28575">
              <a:solidFill>
                <a:schemeClr val="accent1"/>
              </a:solidFill>
            </a:ln>
          </c:spPr>
          <c:marker>
            <c:symbol val="none"/>
          </c:marker>
          <c:cat>
            <c:strRef>
              <c:f>'Surrender vs. Continuing'!$B$48:$B$52</c:f>
            </c:strRef>
          </c:cat>
          <c:val>
            <c:numRef>
              <c:f>'Surrender vs. Continuing'!$C$48:$C$52</c:f>
              <c:numCache/>
            </c:numRef>
          </c:val>
          <c:smooth val="0"/>
        </c:ser>
        <c:ser>
          <c:idx val="1"/>
          <c:order val="1"/>
          <c:tx>
            <c:v>Bank Returns on surrender value</c:v>
          </c:tx>
          <c:spPr>
            <a:ln cmpd="sng" w="28575">
              <a:solidFill>
                <a:schemeClr val="accent2"/>
              </a:solidFill>
            </a:ln>
          </c:spPr>
          <c:marker>
            <c:symbol val="none"/>
          </c:marker>
          <c:cat>
            <c:strRef>
              <c:f>'Surrender vs. Continuing'!$B$48:$B$52</c:f>
            </c:strRef>
          </c:cat>
          <c:val>
            <c:numRef>
              <c:f>'Surrender vs. Continuing'!$D$48:$D$52</c:f>
              <c:numCache/>
            </c:numRef>
          </c:val>
          <c:smooth val="0"/>
        </c:ser>
        <c:ser>
          <c:idx val="2"/>
          <c:order val="2"/>
          <c:tx>
            <c:v>Fund Value @8%</c:v>
          </c:tx>
          <c:spPr>
            <a:ln cmpd="sng" w="28575">
              <a:solidFill>
                <a:schemeClr val="accent3"/>
              </a:solidFill>
            </a:ln>
          </c:spPr>
          <c:marker>
            <c:symbol val="none"/>
          </c:marker>
          <c:cat>
            <c:strRef>
              <c:f>'Surrender vs. Continuing'!$B$48:$B$52</c:f>
            </c:strRef>
          </c:cat>
          <c:val>
            <c:numRef>
              <c:f>'Surrender vs. Continuing'!$E$48:$E$52</c:f>
              <c:numCache/>
            </c:numRef>
          </c:val>
          <c:smooth val="0"/>
        </c:ser>
        <c:ser>
          <c:idx val="3"/>
          <c:order val="3"/>
          <c:tx>
            <c:v>Fund Value @4%</c:v>
          </c:tx>
          <c:spPr>
            <a:ln cmpd="sng" w="28575">
              <a:solidFill>
                <a:schemeClr val="accent4"/>
              </a:solidFill>
            </a:ln>
          </c:spPr>
          <c:marker>
            <c:symbol val="none"/>
          </c:marker>
          <c:cat>
            <c:strRef>
              <c:f>'Surrender vs. Continuing'!$B$48:$B$52</c:f>
            </c:strRef>
          </c:cat>
          <c:val>
            <c:numRef>
              <c:f>'Surrender vs. Continuing'!$F$48:$F$52</c:f>
              <c:numCache/>
            </c:numRef>
          </c:val>
          <c:smooth val="0"/>
        </c:ser>
        <c:ser>
          <c:idx val="4"/>
          <c:order val="4"/>
          <c:tx>
            <c:v>Fund Value @Historical rate</c:v>
          </c:tx>
          <c:spPr>
            <a:ln cmpd="sng" w="28575">
              <a:solidFill>
                <a:schemeClr val="accent5"/>
              </a:solidFill>
            </a:ln>
          </c:spPr>
          <c:marker>
            <c:symbol val="none"/>
          </c:marker>
          <c:cat>
            <c:strRef>
              <c:f>'Surrender vs. Continuing'!$B$48:$B$52</c:f>
            </c:strRef>
          </c:cat>
          <c:val>
            <c:numRef>
              <c:f>'Surrender vs. Continuing'!$G$48:$G$52</c:f>
              <c:numCache/>
            </c:numRef>
          </c:val>
          <c:smooth val="0"/>
        </c:ser>
        <c:axId val="353848032"/>
        <c:axId val="1448519870"/>
      </c:lineChart>
      <c:catAx>
        <c:axId val="3538480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i="0" sz="900">
                <a:solidFill>
                  <a:schemeClr val="lt1"/>
                </a:solidFill>
                <a:latin typeface="+mn-lt"/>
              </a:defRPr>
            </a:pPr>
          </a:p>
        </c:txPr>
        <c:crossAx val="1448519870"/>
      </c:catAx>
      <c:valAx>
        <c:axId val="14485198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353848032"/>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Move to safer funds and stay invested</a:t>
            </a:r>
          </a:p>
        </c:rich>
      </c:tx>
      <c:overlay val="0"/>
    </c:title>
    <c:plotArea>
      <c:layout/>
      <c:lineChart>
        <c:ser>
          <c:idx val="0"/>
          <c:order val="0"/>
          <c:tx>
            <c:v>Total investment</c:v>
          </c:tx>
          <c:spPr>
            <a:ln cmpd="sng" w="28575">
              <a:solidFill>
                <a:schemeClr val="accent1"/>
              </a:solidFill>
            </a:ln>
          </c:spPr>
          <c:marker>
            <c:symbol val="none"/>
          </c:marker>
          <c:cat>
            <c:strRef>
              <c:f>'Surrender vs. Continuing'!$B$98:$B$102</c:f>
            </c:strRef>
          </c:cat>
          <c:val>
            <c:numRef>
              <c:f>'Surrender vs. Continuing'!$C$98:$C$102</c:f>
              <c:numCache/>
            </c:numRef>
          </c:val>
          <c:smooth val="0"/>
        </c:ser>
        <c:ser>
          <c:idx val="1"/>
          <c:order val="1"/>
          <c:tx>
            <c:v>Fund Value @8%</c:v>
          </c:tx>
          <c:spPr>
            <a:ln cmpd="sng" w="28575">
              <a:solidFill>
                <a:schemeClr val="accent2"/>
              </a:solidFill>
            </a:ln>
          </c:spPr>
          <c:marker>
            <c:symbol val="none"/>
          </c:marker>
          <c:cat>
            <c:strRef>
              <c:f>'Surrender vs. Continuing'!$B$98:$B$102</c:f>
            </c:strRef>
          </c:cat>
          <c:val>
            <c:numRef>
              <c:f>'Surrender vs. Continuing'!$D$98:$D$102</c:f>
              <c:numCache/>
            </c:numRef>
          </c:val>
          <c:smooth val="0"/>
        </c:ser>
        <c:ser>
          <c:idx val="2"/>
          <c:order val="2"/>
          <c:tx>
            <c:v>Fund Value @4%</c:v>
          </c:tx>
          <c:spPr>
            <a:ln cmpd="sng" w="28575">
              <a:solidFill>
                <a:schemeClr val="accent3"/>
              </a:solidFill>
            </a:ln>
          </c:spPr>
          <c:marker>
            <c:symbol val="none"/>
          </c:marker>
          <c:cat>
            <c:strRef>
              <c:f>'Surrender vs. Continuing'!$B$98:$B$102</c:f>
            </c:strRef>
          </c:cat>
          <c:val>
            <c:numRef>
              <c:f>'Surrender vs. Continuing'!$E$98:$E$102</c:f>
              <c:numCache/>
            </c:numRef>
          </c:val>
          <c:smooth val="0"/>
        </c:ser>
        <c:ser>
          <c:idx val="3"/>
          <c:order val="3"/>
          <c:tx>
            <c:v>Bond Fund 5 yr historical  Returns</c:v>
          </c:tx>
          <c:spPr>
            <a:ln cmpd="sng" w="28575">
              <a:solidFill>
                <a:schemeClr val="accent4"/>
              </a:solidFill>
            </a:ln>
          </c:spPr>
          <c:marker>
            <c:symbol val="none"/>
          </c:marker>
          <c:cat>
            <c:strRef>
              <c:f>'Surrender vs. Continuing'!$B$98:$B$102</c:f>
            </c:strRef>
          </c:cat>
          <c:val>
            <c:numRef>
              <c:f>'Surrender vs. Continuing'!$F$98:$F$102</c:f>
              <c:numCache/>
            </c:numRef>
          </c:val>
          <c:smooth val="0"/>
        </c:ser>
        <c:axId val="893525725"/>
        <c:axId val="738218572"/>
      </c:lineChart>
      <c:catAx>
        <c:axId val="8935257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i="0" sz="900">
                <a:solidFill>
                  <a:schemeClr val="lt1"/>
                </a:solidFill>
                <a:latin typeface="+mn-lt"/>
              </a:defRPr>
            </a:pPr>
          </a:p>
        </c:txPr>
        <c:crossAx val="738218572"/>
      </c:catAx>
      <c:valAx>
        <c:axId val="73821857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chemeClr val="lt1"/>
                </a:solidFill>
                <a:latin typeface="+mn-lt"/>
              </a:defRPr>
            </a:pPr>
          </a:p>
        </c:txPr>
        <c:crossAx val="893525725"/>
      </c:valAx>
    </c:plotArea>
    <c:legend>
      <c:legendPos val="b"/>
      <c:overlay val="0"/>
      <c:txPr>
        <a:bodyPr/>
        <a:lstStyle/>
        <a:p>
          <a:pPr lvl="0">
            <a:defRPr b="0" i="0" sz="900">
              <a:solidFill>
                <a:schemeClr val="lt1"/>
              </a:solidFill>
              <a:latin typeface="+mn-lt"/>
            </a:defRPr>
          </a:pPr>
        </a:p>
      </c:txPr>
    </c:legend>
    <c:plotVisOnly val="1"/>
  </c:chart>
  <c:spPr>
    <a:solidFill>
      <a:schemeClr val="dk1"/>
    </a:solidFill>
  </c:spPr>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5"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123825</xdr:colOff>
      <xdr:row>0</xdr:row>
      <xdr:rowOff>0</xdr:rowOff>
    </xdr:from>
    <xdr:ext cx="4533900" cy="32289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114300</xdr:colOff>
      <xdr:row>25</xdr:row>
      <xdr:rowOff>161925</xdr:rowOff>
    </xdr:from>
    <xdr:ext cx="4533900" cy="3228975"/>
    <xdr:graphicFrame>
      <xdr:nvGraphicFramePr>
        <xdr:cNvPr id="2" name="Chart 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114300</xdr:colOff>
      <xdr:row>46</xdr:row>
      <xdr:rowOff>0</xdr:rowOff>
    </xdr:from>
    <xdr:ext cx="4533900" cy="3181350"/>
    <xdr:graphicFrame>
      <xdr:nvGraphicFramePr>
        <xdr:cNvPr id="3" name="Chart 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114300</xdr:colOff>
      <xdr:row>65</xdr:row>
      <xdr:rowOff>161925</xdr:rowOff>
    </xdr:from>
    <xdr:ext cx="4533900" cy="3181350"/>
    <xdr:graphicFrame>
      <xdr:nvGraphicFramePr>
        <xdr:cNvPr id="4" name="Chart 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95250</xdr:colOff>
      <xdr:row>5</xdr:row>
      <xdr:rowOff>0</xdr:rowOff>
    </xdr:from>
    <xdr:ext cx="4533900" cy="3190875"/>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114300</xdr:colOff>
      <xdr:row>86</xdr:row>
      <xdr:rowOff>0</xdr:rowOff>
    </xdr:from>
    <xdr:ext cx="4533900" cy="2933700"/>
    <xdr:graphicFrame>
      <xdr:nvGraphicFramePr>
        <xdr:cNvPr id="6" name="Chart 6"/>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114300</xdr:colOff>
      <xdr:row>0</xdr:row>
      <xdr:rowOff>0</xdr:rowOff>
    </xdr:from>
    <xdr:ext cx="4533900" cy="3181350"/>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114300</xdr:colOff>
      <xdr:row>0</xdr:row>
      <xdr:rowOff>0</xdr:rowOff>
    </xdr:from>
    <xdr:ext cx="4533900" cy="318135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219075</xdr:colOff>
      <xdr:row>0</xdr:row>
      <xdr:rowOff>0</xdr:rowOff>
    </xdr:from>
    <xdr:ext cx="4533900" cy="29337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script.google.com/macros/s/AKfycbzuPoC8CwoerqZcdk-QcMtSnR6eq-lT5EKXcCrIAduzUHqGcgRSd7DYK3pJsXp42QL1/exec"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2.xml"/><Relationship Id="rId3" Type="http://schemas.openxmlformats.org/officeDocument/2006/relationships/vmlDrawing" Target="../drawings/vmlDrawing2.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3.xml"/><Relationship Id="rId3"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4.xml"/><Relationship Id="rId3" Type="http://schemas.openxmlformats.org/officeDocument/2006/relationships/vmlDrawing" Target="../drawings/vmlDrawing4.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5.xml"/><Relationship Id="rId3"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6.xml"/><Relationship Id="rId3"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7.xml"/><Relationship Id="rId3"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7.xml"/><Relationship Id="rId3" Type="http://schemas.openxmlformats.org/officeDocument/2006/relationships/vmlDrawing" Target="../drawings/vmlDrawing8.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0"/>
    <col customWidth="1" min="2" max="2" width="6.13"/>
    <col customWidth="1" min="3" max="3" width="18.5"/>
    <col customWidth="1" min="4" max="4" width="18.88"/>
    <col customWidth="1" min="5" max="7" width="9.0"/>
    <col customWidth="1" hidden="1" min="8" max="24" width="8.63"/>
  </cols>
  <sheetData>
    <row r="1" ht="14.25" customHeight="1">
      <c r="A1" s="1"/>
      <c r="B1" s="1"/>
      <c r="C1" s="1"/>
      <c r="D1" s="1"/>
      <c r="E1" s="1"/>
      <c r="F1" s="1"/>
      <c r="G1" s="1"/>
    </row>
    <row r="2" ht="14.25" customHeight="1">
      <c r="A2" s="1"/>
      <c r="B2" s="1"/>
      <c r="C2" s="1"/>
      <c r="D2" s="1"/>
      <c r="E2" s="1"/>
      <c r="F2" s="1"/>
      <c r="G2" s="1"/>
    </row>
    <row r="3" ht="14.25" customHeight="1">
      <c r="A3" s="1"/>
      <c r="B3" s="2" t="s">
        <v>0</v>
      </c>
      <c r="C3" s="3" t="s">
        <v>1</v>
      </c>
      <c r="D3" s="4"/>
      <c r="E3" s="1"/>
      <c r="F3" s="1"/>
      <c r="G3" s="1"/>
    </row>
    <row r="4" ht="14.25" customHeight="1">
      <c r="A4" s="1"/>
      <c r="B4" s="5">
        <v>1.0</v>
      </c>
      <c r="C4" s="6" t="s">
        <v>2</v>
      </c>
      <c r="D4" s="7" t="s">
        <v>3</v>
      </c>
      <c r="E4" s="1"/>
      <c r="F4" s="1"/>
      <c r="G4" s="1"/>
    </row>
    <row r="5" ht="14.25" customHeight="1">
      <c r="A5" s="1"/>
      <c r="B5" s="5">
        <v>2.0</v>
      </c>
      <c r="C5" s="8" t="s">
        <v>4</v>
      </c>
      <c r="D5" s="7" t="s">
        <v>3</v>
      </c>
      <c r="E5" s="1"/>
      <c r="F5" s="1"/>
      <c r="G5" s="1"/>
    </row>
    <row r="6" ht="14.25" customHeight="1">
      <c r="A6" s="1"/>
      <c r="B6" s="5">
        <v>3.0</v>
      </c>
      <c r="C6" s="8" t="s">
        <v>5</v>
      </c>
      <c r="D6" s="7" t="s">
        <v>3</v>
      </c>
      <c r="E6" s="1"/>
      <c r="F6" s="1"/>
      <c r="G6" s="1"/>
    </row>
    <row r="7" ht="14.25" customHeight="1">
      <c r="A7" s="1"/>
      <c r="B7" s="5">
        <v>4.0</v>
      </c>
      <c r="C7" s="8" t="s">
        <v>6</v>
      </c>
      <c r="D7" s="7" t="s">
        <v>3</v>
      </c>
      <c r="E7" s="1"/>
      <c r="F7" s="1"/>
      <c r="G7" s="1"/>
    </row>
    <row r="8" ht="14.25" customHeight="1">
      <c r="A8" s="1"/>
      <c r="B8" s="5">
        <v>5.0</v>
      </c>
      <c r="C8" s="8" t="s">
        <v>7</v>
      </c>
      <c r="D8" s="7" t="s">
        <v>3</v>
      </c>
      <c r="E8" s="1"/>
      <c r="F8" s="1"/>
      <c r="G8" s="1"/>
    </row>
    <row r="9" ht="14.25" customHeight="1">
      <c r="A9" s="1"/>
      <c r="B9" s="9">
        <v>6.0</v>
      </c>
      <c r="C9" s="10" t="s">
        <v>8</v>
      </c>
      <c r="D9" s="11" t="s">
        <v>3</v>
      </c>
      <c r="E9" s="1"/>
      <c r="F9" s="1"/>
      <c r="G9" s="1"/>
      <c r="H9" s="12"/>
      <c r="I9" s="12"/>
      <c r="J9" s="12"/>
      <c r="K9" s="12"/>
      <c r="L9" s="12"/>
      <c r="M9" s="12"/>
      <c r="N9" s="12"/>
      <c r="O9" s="12"/>
      <c r="P9" s="12"/>
      <c r="Q9" s="12"/>
      <c r="R9" s="12"/>
      <c r="S9" s="12"/>
      <c r="T9" s="12"/>
      <c r="U9" s="12"/>
      <c r="V9" s="12"/>
      <c r="W9" s="12"/>
      <c r="X9" s="12"/>
    </row>
    <row r="10" ht="14.25" customHeight="1">
      <c r="A10" s="1"/>
      <c r="D10" s="1"/>
      <c r="E10" s="1"/>
      <c r="F10" s="1"/>
      <c r="G10" s="1"/>
    </row>
    <row r="11" ht="14.25" hidden="1" customHeight="1"/>
    <row r="12" ht="14.25" hidden="1" customHeight="1"/>
    <row r="13" ht="14.25" hidden="1" customHeight="1"/>
    <row r="14" ht="14.25" hidden="1" customHeight="1"/>
    <row r="15" ht="14.25" hidden="1" customHeight="1"/>
    <row r="16" ht="14.25" hidden="1" customHeight="1"/>
    <row r="17" ht="14.25" hidden="1" customHeight="1"/>
    <row r="18" ht="14.25" hidden="1" customHeight="1"/>
    <row r="19" ht="14.25" hidden="1" customHeight="1"/>
    <row r="20" ht="14.25" hidden="1" customHeight="1"/>
    <row r="21" ht="14.25" hidden="1" customHeight="1"/>
    <row r="22" ht="14.25" hidden="1" customHeight="1"/>
    <row r="23" ht="14.25" hidden="1" customHeight="1"/>
    <row r="24" ht="14.25" hidden="1" customHeight="1"/>
    <row r="25" ht="14.25" hidden="1" customHeight="1"/>
    <row r="26" ht="14.25" hidden="1" customHeight="1"/>
    <row r="27" ht="14.25" hidden="1" customHeight="1"/>
    <row r="28" ht="14.25" hidden="1" customHeight="1"/>
    <row r="29" ht="14.25" hidden="1" customHeight="1"/>
    <row r="30" ht="14.25" hidden="1" customHeight="1"/>
    <row r="31" ht="14.25" hidden="1" customHeight="1"/>
    <row r="32" ht="14.25" hidden="1" customHeight="1"/>
    <row r="33" ht="14.25" hidden="1" customHeight="1"/>
    <row r="34" ht="14.25" hidden="1" customHeight="1"/>
    <row r="35" ht="14.25" hidden="1" customHeight="1"/>
    <row r="36" ht="14.25" hidden="1" customHeight="1"/>
    <row r="37" ht="14.25" hidden="1" customHeight="1"/>
    <row r="38" ht="14.25" hidden="1" customHeight="1"/>
    <row r="39" ht="14.25" hidden="1" customHeight="1"/>
    <row r="40" ht="14.25" hidden="1" customHeight="1"/>
    <row r="41" ht="14.25" hidden="1" customHeight="1"/>
    <row r="42" ht="14.25" hidden="1" customHeight="1"/>
    <row r="43" ht="14.25" hidden="1" customHeight="1"/>
    <row r="44" ht="14.25" hidden="1" customHeight="1"/>
    <row r="45" ht="14.25" hidden="1" customHeight="1"/>
    <row r="46" ht="14.25" hidden="1" customHeight="1"/>
    <row r="47" ht="14.25" hidden="1" customHeight="1"/>
    <row r="48" ht="14.25" hidden="1" customHeight="1"/>
    <row r="49" ht="14.25" hidden="1" customHeight="1"/>
    <row r="50" ht="14.25" hidden="1" customHeight="1"/>
    <row r="51" ht="14.25" hidden="1" customHeight="1"/>
    <row r="52" ht="14.25" hidden="1" customHeight="1"/>
    <row r="53" ht="14.25" hidden="1" customHeight="1"/>
    <row r="54" ht="14.25" hidden="1" customHeight="1"/>
    <row r="55" ht="14.25" hidden="1" customHeight="1"/>
    <row r="56" ht="14.25" hidden="1" customHeight="1"/>
    <row r="57" ht="14.25" hidden="1" customHeight="1"/>
    <row r="58" ht="14.25" hidden="1" customHeight="1"/>
    <row r="59" ht="14.25" hidden="1" customHeight="1"/>
    <row r="60" ht="14.25" hidden="1" customHeight="1"/>
    <row r="61" ht="14.25" hidden="1" customHeight="1"/>
    <row r="62" ht="14.25" hidden="1" customHeight="1"/>
    <row r="63" ht="14.25" hidden="1" customHeight="1"/>
    <row r="64" ht="14.25" hidden="1" customHeight="1"/>
    <row r="65" ht="14.25" hidden="1" customHeight="1"/>
    <row r="66" ht="14.25" hidden="1" customHeight="1"/>
    <row r="67" ht="14.25" hidden="1" customHeight="1"/>
    <row r="68" ht="14.25" hidden="1" customHeight="1"/>
    <row r="69" ht="14.25" hidden="1" customHeight="1"/>
    <row r="70" ht="14.25" hidden="1" customHeight="1"/>
    <row r="71" ht="14.25" hidden="1" customHeight="1"/>
    <row r="72" ht="14.25" hidden="1" customHeight="1"/>
    <row r="73" ht="14.25" hidden="1" customHeight="1"/>
    <row r="74" ht="14.25" hidden="1" customHeight="1"/>
    <row r="75" ht="14.25" hidden="1" customHeight="1"/>
    <row r="76" ht="14.25" hidden="1" customHeight="1"/>
    <row r="77" ht="14.25" hidden="1" customHeight="1"/>
    <row r="78" ht="14.25" hidden="1" customHeight="1"/>
    <row r="79" ht="14.25" hidden="1" customHeight="1"/>
    <row r="80" ht="14.25" hidden="1" customHeight="1"/>
    <row r="81" ht="14.25" hidden="1" customHeight="1"/>
    <row r="82" ht="14.25" hidden="1" customHeight="1"/>
    <row r="83" ht="14.25" hidden="1" customHeight="1"/>
    <row r="84" ht="14.25" hidden="1" customHeight="1"/>
    <row r="85" ht="14.25" hidden="1" customHeight="1"/>
    <row r="86" ht="14.25" hidden="1" customHeight="1"/>
    <row r="87" ht="14.25" hidden="1" customHeight="1"/>
    <row r="88" ht="14.25" hidden="1" customHeight="1"/>
    <row r="89" ht="14.25" hidden="1" customHeight="1"/>
    <row r="90" ht="14.25" hidden="1" customHeight="1"/>
    <row r="91" ht="14.25" hidden="1" customHeight="1"/>
    <row r="92" ht="14.25" hidden="1" customHeight="1"/>
    <row r="93" ht="14.25" hidden="1" customHeight="1"/>
    <row r="94" ht="14.25" hidden="1" customHeight="1"/>
    <row r="95" ht="14.25" hidden="1" customHeight="1"/>
    <row r="96" ht="14.25" hidden="1" customHeight="1"/>
    <row r="97" ht="14.25" hidden="1" customHeight="1"/>
    <row r="98" ht="14.25" hidden="1" customHeight="1"/>
    <row r="99" ht="14.25" hidden="1" customHeight="1"/>
    <row r="100" ht="14.25" hidden="1" customHeight="1"/>
    <row r="101" ht="14.25" hidden="1" customHeight="1"/>
    <row r="102" ht="14.25" hidden="1" customHeight="1"/>
    <row r="103" ht="14.25" hidden="1" customHeight="1"/>
    <row r="104" ht="14.25" hidden="1" customHeight="1"/>
    <row r="105" ht="14.25" hidden="1" customHeight="1"/>
    <row r="106" ht="14.25" hidden="1" customHeight="1"/>
    <row r="107" ht="14.25" hidden="1" customHeight="1"/>
    <row r="108" ht="14.25" hidden="1" customHeight="1"/>
    <row r="109" ht="14.25" hidden="1" customHeight="1"/>
    <row r="110" ht="14.25" hidden="1" customHeight="1"/>
    <row r="111" ht="14.25" hidden="1" customHeight="1"/>
    <row r="112" ht="14.25" hidden="1" customHeight="1"/>
    <row r="113" ht="14.25" hidden="1" customHeight="1"/>
    <row r="114" ht="14.25" hidden="1" customHeight="1"/>
    <row r="115" ht="14.25" hidden="1" customHeight="1"/>
    <row r="116" ht="14.25" hidden="1" customHeight="1"/>
    <row r="117" ht="14.25" hidden="1" customHeight="1"/>
    <row r="118" ht="14.25" hidden="1" customHeight="1"/>
    <row r="119" ht="14.25" hidden="1" customHeight="1"/>
    <row r="120" ht="14.25" hidden="1" customHeight="1"/>
    <row r="121" ht="14.25" hidden="1" customHeight="1"/>
    <row r="122" ht="14.25" hidden="1" customHeight="1"/>
    <row r="123" ht="14.25" hidden="1" customHeight="1"/>
    <row r="124" ht="14.25" hidden="1" customHeight="1"/>
    <row r="125" ht="14.25" hidden="1" customHeight="1"/>
    <row r="126" ht="14.25" hidden="1" customHeight="1"/>
    <row r="127" ht="14.25" hidden="1" customHeight="1"/>
    <row r="128" ht="14.25" hidden="1" customHeight="1"/>
    <row r="129" ht="14.25" hidden="1" customHeight="1"/>
    <row r="130" ht="14.25" hidden="1" customHeight="1"/>
    <row r="131" ht="14.25" hidden="1" customHeight="1"/>
    <row r="132" ht="14.25" hidden="1" customHeight="1"/>
    <row r="133" ht="14.25" hidden="1" customHeight="1"/>
    <row r="134" ht="14.25" hidden="1" customHeight="1"/>
    <row r="135" ht="14.25" hidden="1" customHeight="1"/>
    <row r="136" ht="14.25" hidden="1" customHeight="1"/>
    <row r="137" ht="14.25" hidden="1" customHeight="1"/>
    <row r="138" ht="14.25" hidden="1" customHeight="1"/>
    <row r="139" ht="14.25" hidden="1" customHeight="1"/>
    <row r="140" ht="14.25" hidden="1" customHeight="1"/>
    <row r="141" ht="14.25" hidden="1" customHeight="1"/>
    <row r="142" ht="14.25" hidden="1" customHeight="1"/>
    <row r="143" ht="14.25" hidden="1" customHeight="1"/>
    <row r="144" ht="14.25" hidden="1" customHeight="1"/>
    <row r="145" ht="14.25" hidden="1" customHeight="1"/>
    <row r="146" ht="14.25" hidden="1" customHeight="1"/>
    <row r="147" ht="14.25" hidden="1" customHeight="1"/>
    <row r="148" ht="14.25" hidden="1" customHeight="1"/>
    <row r="149" ht="14.25" hidden="1" customHeight="1"/>
    <row r="150" ht="14.25" hidden="1" customHeight="1"/>
    <row r="151" ht="14.25" hidden="1" customHeight="1"/>
    <row r="152" ht="14.25" hidden="1" customHeight="1"/>
    <row r="153" ht="14.25" hidden="1" customHeight="1"/>
    <row r="154" ht="14.25" hidden="1" customHeight="1"/>
    <row r="155" ht="14.25" hidden="1" customHeight="1"/>
    <row r="156" ht="14.25" hidden="1" customHeight="1"/>
    <row r="157" ht="14.25" hidden="1" customHeight="1"/>
    <row r="158" ht="14.25" hidden="1" customHeight="1"/>
    <row r="159" ht="14.25" hidden="1" customHeight="1"/>
    <row r="160" ht="14.25" hidden="1" customHeight="1"/>
    <row r="161" ht="14.25" hidden="1" customHeight="1"/>
    <row r="162" ht="14.25" hidden="1" customHeight="1"/>
    <row r="163" ht="14.25" hidden="1" customHeight="1"/>
    <row r="164" ht="14.25" hidden="1" customHeight="1"/>
    <row r="165" ht="14.25" hidden="1" customHeight="1"/>
    <row r="166" ht="14.25" hidden="1" customHeight="1"/>
    <row r="167" ht="14.25" hidden="1" customHeight="1"/>
    <row r="168" ht="14.25" hidden="1" customHeight="1"/>
    <row r="169" ht="14.25" hidden="1" customHeight="1"/>
    <row r="170" ht="14.25" hidden="1" customHeight="1"/>
    <row r="171" ht="14.25" hidden="1" customHeight="1"/>
    <row r="172" ht="14.25" hidden="1" customHeight="1"/>
    <row r="173" ht="14.25" hidden="1" customHeight="1"/>
    <row r="174" ht="14.25" hidden="1" customHeight="1"/>
    <row r="175" ht="14.25" hidden="1" customHeight="1"/>
    <row r="176" ht="14.25" hidden="1" customHeight="1"/>
    <row r="177" ht="14.25" hidden="1" customHeight="1"/>
    <row r="178" ht="14.25" hidden="1" customHeight="1"/>
    <row r="179" ht="14.25" hidden="1" customHeight="1"/>
    <row r="180" ht="14.25" hidden="1" customHeight="1"/>
    <row r="181" ht="14.25" hidden="1" customHeight="1"/>
    <row r="182" ht="14.25" hidden="1" customHeight="1"/>
    <row r="183" ht="14.25" hidden="1" customHeight="1"/>
    <row r="184" ht="14.25" hidden="1" customHeight="1"/>
    <row r="185" ht="14.25" hidden="1" customHeight="1"/>
    <row r="186" ht="14.25" hidden="1" customHeight="1"/>
    <row r="187" ht="14.25" hidden="1" customHeight="1"/>
    <row r="188" ht="14.25" hidden="1" customHeight="1"/>
    <row r="189" ht="14.25" hidden="1" customHeight="1"/>
    <row r="190" ht="14.25" hidden="1" customHeight="1"/>
    <row r="191" ht="14.25" hidden="1" customHeight="1"/>
    <row r="192" ht="14.25" hidden="1" customHeight="1"/>
    <row r="193" ht="14.25" hidden="1" customHeight="1"/>
    <row r="194" ht="14.25" hidden="1" customHeight="1"/>
    <row r="195" ht="14.25" hidden="1" customHeight="1"/>
    <row r="196" ht="14.25" hidden="1" customHeight="1"/>
    <row r="197" ht="14.25" hidden="1" customHeight="1"/>
    <row r="198" ht="14.25" hidden="1" customHeight="1"/>
    <row r="199" ht="14.25" hidden="1" customHeight="1"/>
    <row r="200" ht="14.25" hidden="1" customHeight="1"/>
    <row r="201" ht="14.25" hidden="1" customHeight="1"/>
    <row r="202" ht="14.25" hidden="1" customHeight="1"/>
    <row r="203" ht="14.25" hidden="1" customHeight="1"/>
    <row r="204" ht="14.25" hidden="1" customHeight="1"/>
    <row r="205" ht="14.25" hidden="1" customHeight="1"/>
    <row r="206" ht="14.25" hidden="1" customHeight="1"/>
    <row r="207" ht="14.25" hidden="1" customHeight="1"/>
    <row r="208" ht="14.25" hidden="1" customHeight="1"/>
    <row r="209" ht="14.25" hidden="1" customHeight="1"/>
    <row r="210" ht="14.25" hidden="1" customHeight="1"/>
    <row r="211" ht="14.25" hidden="1" customHeight="1"/>
    <row r="212" ht="14.25" hidden="1" customHeight="1"/>
    <row r="213" ht="14.25" hidden="1" customHeight="1"/>
    <row r="214" ht="14.25" hidden="1" customHeight="1"/>
    <row r="215" ht="14.25" hidden="1" customHeight="1"/>
    <row r="216" ht="14.25" hidden="1" customHeight="1"/>
    <row r="217" ht="14.25" hidden="1" customHeight="1"/>
    <row r="218" ht="14.25" hidden="1" customHeight="1"/>
    <row r="219" ht="14.25" hidden="1" customHeight="1"/>
    <row r="220" ht="14.25" hidden="1"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Click here" location="Surrender vs. Continuing!A1" ref="D4"/>
    <hyperlink display="Click here" location="Surrender vs. Continuing!A6" ref="D5"/>
    <hyperlink display="Click here" location="Surrender vs. Continuing!A26" ref="D6"/>
    <hyperlink display="Click here" location="Surrender vs. Continuing!A46" ref="D7"/>
    <hyperlink display="Click here" location="Surrender vs. Continuing!A66" ref="D8"/>
    <hyperlink display="Click here" location="Surrender vs. Continuing!A86" ref="D9"/>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topLeftCell="C1" activePane="topRight" state="frozen"/>
      <selection activeCell="D2" sqref="D2" pane="topRight"/>
    </sheetView>
  </sheetViews>
  <sheetFormatPr customHeight="1" defaultColWidth="12.63" defaultRowHeight="15.0"/>
  <cols>
    <col customWidth="1" min="1" max="1" width="4.88"/>
    <col customWidth="1" min="2" max="2" width="48.75"/>
    <col customWidth="1" min="3" max="5" width="60.63"/>
    <col customWidth="1" min="6" max="6" width="21.88"/>
    <col customWidth="1" min="7" max="26" width="8.63"/>
  </cols>
  <sheetData>
    <row r="1">
      <c r="A1" s="13" t="s">
        <v>9</v>
      </c>
      <c r="B1" s="14" t="s">
        <v>10</v>
      </c>
      <c r="C1" s="15" t="s">
        <v>11</v>
      </c>
      <c r="D1" s="16" t="s">
        <v>12</v>
      </c>
      <c r="E1" s="16" t="s">
        <v>13</v>
      </c>
      <c r="F1" s="17" t="s">
        <v>14</v>
      </c>
    </row>
    <row r="2">
      <c r="A2" s="18">
        <v>1.0</v>
      </c>
      <c r="B2" s="19" t="s">
        <v>15</v>
      </c>
      <c r="C2" s="20" t="str">
        <f>"Sure Sir/Ma'am, I can see that the 5 year lock-in period is over but your planned original maturity date is "&amp;'Pre-Calculation'!D18&amp;".
&lt;Click to Go to ILLUSTRATIONS SHEET&gt;
As you can see, on paying your premiums and staying invested, you stand to grow your savings further alongwith continuing to get the life insurance cover."&amp;
" 
Here is the best part, your effective charges (including the cost of life insurance cover and taxes) reduces sharply post the lock-in period." &amp; "Unit linked plan charges are typically more in initial years. The longer you stay, the effective charges reduce and your returns get closer to the actual fund return. &lt;Illustration C4&gt; vs. &lt;Illustration C16&gt; and &lt;Illustration D16&gt;"</f>
        <v>Sure Sir/Ma'am, I can see that the 5 year lock-in period is over but your planned original maturity date is 30-6-2026.
&lt;Click to Go to ILLUSTRATIONS SHEET&gt;
As you can see, on paying your premiums and staying invested, you stand to grow your savings further alongwith continuing to get the life insurance cover. 
Here is the best part, your effective charges (including the cost of life insurance cover and taxes) reduces sharply post the lock-in period.Unit linked plan charges are typically more in initial years. The longer you stay, the effective charges reduce and your returns get closer to the actual fund return. &lt;Illustration C4&gt; vs. &lt;Illustration C16&gt; and &lt;Illustration D16&gt;</v>
      </c>
      <c r="D2" s="20" t="s">
        <v>16</v>
      </c>
      <c r="E2" s="21" t="s">
        <v>17</v>
      </c>
      <c r="F2" s="22" t="s">
        <v>18</v>
      </c>
    </row>
    <row r="3" ht="207.0" customHeight="1">
      <c r="A3" s="23">
        <v>2.0</v>
      </c>
      <c r="B3" s="24" t="s">
        <v>19</v>
      </c>
      <c r="C3" s="25" t="s">
        <v>20</v>
      </c>
      <c r="D3" s="20" t="s">
        <v>21</v>
      </c>
      <c r="E3" s="26" t="s">
        <v>22</v>
      </c>
      <c r="F3" s="27" t="s">
        <v>23</v>
      </c>
      <c r="G3" s="12"/>
      <c r="H3" s="12"/>
      <c r="I3" s="12"/>
      <c r="J3" s="12"/>
      <c r="K3" s="12"/>
      <c r="L3" s="12"/>
      <c r="M3" s="12"/>
      <c r="N3" s="12"/>
      <c r="O3" s="12"/>
      <c r="P3" s="12"/>
      <c r="Q3" s="12"/>
      <c r="R3" s="12"/>
      <c r="S3" s="12"/>
      <c r="T3" s="12"/>
      <c r="U3" s="12"/>
      <c r="V3" s="12"/>
      <c r="W3" s="12"/>
      <c r="X3" s="12"/>
      <c r="Y3" s="12"/>
      <c r="Z3" s="12"/>
    </row>
    <row r="4" ht="203.25" customHeight="1">
      <c r="A4" s="23">
        <v>3.0</v>
      </c>
      <c r="B4" s="24" t="s">
        <v>24</v>
      </c>
      <c r="C4" s="25" t="s">
        <v>25</v>
      </c>
      <c r="D4" s="26" t="s">
        <v>26</v>
      </c>
      <c r="E4" s="26" t="s">
        <v>27</v>
      </c>
      <c r="F4" s="27" t="s">
        <v>28</v>
      </c>
    </row>
    <row r="5" ht="181.5" customHeight="1">
      <c r="A5" s="23">
        <v>4.0</v>
      </c>
      <c r="B5" s="24" t="s">
        <v>29</v>
      </c>
      <c r="C5" s="28" t="s">
        <v>30</v>
      </c>
      <c r="D5" s="26" t="s">
        <v>31</v>
      </c>
      <c r="E5" s="26" t="s">
        <v>32</v>
      </c>
      <c r="F5" s="27" t="s">
        <v>33</v>
      </c>
    </row>
    <row r="6">
      <c r="A6" s="23">
        <v>5.0</v>
      </c>
      <c r="B6" s="24" t="s">
        <v>34</v>
      </c>
      <c r="C6" s="28" t="s">
        <v>35</v>
      </c>
      <c r="D6" s="26" t="s">
        <v>36</v>
      </c>
      <c r="E6" s="21" t="s">
        <v>37</v>
      </c>
      <c r="F6" s="27" t="s">
        <v>38</v>
      </c>
    </row>
    <row r="7">
      <c r="A7" s="23">
        <v>6.0</v>
      </c>
      <c r="B7" s="24" t="s">
        <v>39</v>
      </c>
      <c r="C7" s="28" t="s">
        <v>40</v>
      </c>
      <c r="D7" s="26" t="s">
        <v>41</v>
      </c>
      <c r="E7" s="26" t="s">
        <v>32</v>
      </c>
      <c r="F7" s="27" t="s">
        <v>42</v>
      </c>
    </row>
    <row r="8">
      <c r="A8" s="23">
        <v>7.0</v>
      </c>
      <c r="B8" s="24" t="s">
        <v>43</v>
      </c>
      <c r="C8" s="28" t="s">
        <v>44</v>
      </c>
      <c r="D8" s="26" t="s">
        <v>35</v>
      </c>
      <c r="E8" s="21" t="s">
        <v>45</v>
      </c>
      <c r="F8" s="27" t="s">
        <v>28</v>
      </c>
    </row>
    <row r="9" ht="210.0" customHeight="1">
      <c r="A9" s="29">
        <v>8.0</v>
      </c>
      <c r="B9" s="30" t="s">
        <v>46</v>
      </c>
      <c r="C9" s="31" t="s">
        <v>47</v>
      </c>
      <c r="D9" s="32" t="s">
        <v>48</v>
      </c>
      <c r="E9" s="32" t="s">
        <v>37</v>
      </c>
      <c r="F9" s="33" t="s">
        <v>49</v>
      </c>
    </row>
    <row r="10">
      <c r="A10" s="34"/>
      <c r="B10" s="34"/>
      <c r="C10" s="34"/>
      <c r="D10" s="34"/>
      <c r="E10" s="34"/>
      <c r="F10" s="35"/>
    </row>
    <row r="11">
      <c r="A11" s="34"/>
      <c r="B11" s="34"/>
      <c r="C11" s="34"/>
      <c r="D11" s="34"/>
      <c r="E11" s="34"/>
      <c r="F11" s="35"/>
    </row>
    <row r="12">
      <c r="A12" s="36"/>
      <c r="B12" s="36"/>
      <c r="C12" s="36"/>
      <c r="D12" s="36"/>
      <c r="E12" s="36"/>
    </row>
    <row r="13">
      <c r="A13" s="36"/>
      <c r="B13" s="36"/>
      <c r="C13" s="36"/>
      <c r="D13" s="36"/>
      <c r="E13" s="36"/>
    </row>
    <row r="14">
      <c r="A14" s="36"/>
      <c r="B14" s="36"/>
      <c r="C14" s="36"/>
      <c r="D14" s="36"/>
      <c r="E14" s="36"/>
    </row>
    <row r="15">
      <c r="A15" s="36"/>
      <c r="B15" s="36"/>
      <c r="C15" s="36"/>
      <c r="D15" s="36"/>
      <c r="E15" s="36"/>
    </row>
    <row r="16">
      <c r="A16" s="36"/>
      <c r="B16" s="36"/>
      <c r="C16" s="36"/>
      <c r="D16" s="36"/>
      <c r="E16" s="36"/>
    </row>
    <row r="17">
      <c r="A17" s="36"/>
      <c r="B17" s="36"/>
      <c r="C17" s="36"/>
      <c r="D17" s="36"/>
      <c r="E17" s="36"/>
    </row>
    <row r="18">
      <c r="A18" s="36"/>
      <c r="B18" s="36"/>
      <c r="C18" s="36"/>
      <c r="D18" s="36"/>
      <c r="E18" s="36"/>
    </row>
    <row r="19">
      <c r="A19" s="36"/>
      <c r="B19" s="36"/>
      <c r="C19" s="36"/>
      <c r="D19" s="36"/>
      <c r="E19" s="36"/>
    </row>
    <row r="20">
      <c r="A20" s="36"/>
      <c r="B20" s="36"/>
      <c r="C20" s="36"/>
      <c r="D20" s="36"/>
      <c r="E20" s="36"/>
    </row>
    <row r="21" ht="15.75" customHeight="1">
      <c r="A21" s="36"/>
      <c r="B21" s="36"/>
      <c r="C21" s="36"/>
      <c r="D21" s="36"/>
      <c r="E21" s="36"/>
    </row>
    <row r="22" ht="15.75" customHeight="1">
      <c r="A22" s="36"/>
      <c r="B22" s="36"/>
      <c r="C22" s="36"/>
      <c r="D22" s="36"/>
      <c r="E22" s="36"/>
    </row>
    <row r="23" ht="15.75" customHeight="1">
      <c r="A23" s="36"/>
      <c r="B23" s="36"/>
      <c r="C23" s="36"/>
      <c r="D23" s="36"/>
      <c r="E23" s="36"/>
    </row>
    <row r="24" ht="15.75" customHeight="1">
      <c r="A24" s="36"/>
      <c r="B24" s="36"/>
      <c r="C24" s="36"/>
      <c r="D24" s="36"/>
      <c r="E24" s="36"/>
    </row>
    <row r="25" ht="15.75" customHeight="1">
      <c r="A25" s="36"/>
      <c r="B25" s="36"/>
      <c r="C25" s="36"/>
      <c r="D25" s="36"/>
      <c r="E25" s="36"/>
    </row>
    <row r="26" ht="15.75" customHeight="1">
      <c r="A26" s="36"/>
      <c r="B26" s="36"/>
      <c r="C26" s="36"/>
      <c r="D26" s="36"/>
      <c r="E26" s="36"/>
    </row>
    <row r="27" ht="15.75" customHeight="1">
      <c r="A27" s="36"/>
      <c r="B27" s="36"/>
      <c r="C27" s="36"/>
      <c r="D27" s="36"/>
      <c r="E27" s="36"/>
    </row>
    <row r="28" ht="15.75" customHeight="1">
      <c r="A28" s="36"/>
      <c r="B28" s="36"/>
      <c r="C28" s="36"/>
      <c r="D28" s="36"/>
      <c r="E28" s="36"/>
    </row>
    <row r="29" ht="15.75" customHeight="1">
      <c r="A29" s="36"/>
      <c r="B29" s="36"/>
      <c r="C29" s="36"/>
      <c r="D29" s="36"/>
      <c r="E29" s="36"/>
    </row>
    <row r="30" ht="15.75" customHeight="1">
      <c r="A30" s="36"/>
      <c r="B30" s="36"/>
      <c r="C30" s="36"/>
      <c r="D30" s="36"/>
      <c r="E30" s="36"/>
    </row>
    <row r="31" ht="15.75" customHeight="1">
      <c r="A31" s="36"/>
      <c r="B31" s="36"/>
      <c r="C31" s="36"/>
      <c r="D31" s="36"/>
      <c r="E31" s="36"/>
    </row>
    <row r="32" ht="15.75" customHeight="1">
      <c r="A32" s="36"/>
      <c r="B32" s="36"/>
      <c r="C32" s="36"/>
      <c r="D32" s="36"/>
      <c r="E32" s="36"/>
    </row>
    <row r="33" ht="15.75" customHeight="1">
      <c r="A33" s="36"/>
      <c r="B33" s="36"/>
      <c r="C33" s="36"/>
      <c r="D33" s="36"/>
      <c r="E33" s="36"/>
    </row>
    <row r="34" ht="15.75" customHeight="1">
      <c r="A34" s="36"/>
      <c r="B34" s="36"/>
      <c r="C34" s="36"/>
      <c r="D34" s="36"/>
      <c r="E34" s="36"/>
    </row>
    <row r="35" ht="15.75" customHeight="1">
      <c r="A35" s="36"/>
      <c r="B35" s="36"/>
      <c r="C35" s="36"/>
      <c r="D35" s="36"/>
      <c r="E35" s="36"/>
    </row>
    <row r="36" ht="15.75" customHeight="1">
      <c r="A36" s="36"/>
      <c r="B36" s="36"/>
      <c r="C36" s="36"/>
      <c r="D36" s="36"/>
      <c r="E36" s="36"/>
    </row>
    <row r="37" ht="15.75" customHeight="1">
      <c r="A37" s="36"/>
      <c r="B37" s="36"/>
      <c r="C37" s="36"/>
      <c r="D37" s="36"/>
      <c r="E37" s="36"/>
    </row>
    <row r="38" ht="15.75" customHeight="1">
      <c r="A38" s="36"/>
      <c r="B38" s="36"/>
      <c r="C38" s="36"/>
      <c r="D38" s="36"/>
      <c r="E38" s="36"/>
    </row>
    <row r="39" ht="15.75" customHeight="1">
      <c r="A39" s="36"/>
      <c r="B39" s="36"/>
      <c r="C39" s="36"/>
      <c r="D39" s="36"/>
      <c r="E39" s="36"/>
    </row>
    <row r="40" ht="15.75" customHeight="1">
      <c r="A40" s="36"/>
      <c r="B40" s="36"/>
      <c r="C40" s="36"/>
      <c r="D40" s="36"/>
      <c r="E40" s="36"/>
    </row>
    <row r="41" ht="15.75" customHeight="1">
      <c r="A41" s="36"/>
      <c r="B41" s="36"/>
      <c r="C41" s="36"/>
      <c r="D41" s="36"/>
      <c r="E41" s="36"/>
    </row>
    <row r="42" ht="15.75" customHeight="1">
      <c r="A42" s="36"/>
      <c r="B42" s="36"/>
      <c r="C42" s="36"/>
      <c r="D42" s="36"/>
      <c r="E42" s="36"/>
    </row>
    <row r="43" ht="15.75" customHeight="1">
      <c r="A43" s="36"/>
      <c r="B43" s="36"/>
      <c r="C43" s="36"/>
      <c r="D43" s="36"/>
      <c r="E43" s="36"/>
    </row>
    <row r="44" ht="15.75" customHeight="1">
      <c r="A44" s="36"/>
      <c r="B44" s="36"/>
      <c r="C44" s="36"/>
      <c r="D44" s="36"/>
      <c r="E44" s="36"/>
    </row>
    <row r="45" ht="15.75" customHeight="1">
      <c r="A45" s="36"/>
      <c r="B45" s="36"/>
      <c r="C45" s="36"/>
      <c r="D45" s="36"/>
      <c r="E45" s="36"/>
    </row>
    <row r="46" ht="15.75" customHeight="1">
      <c r="A46" s="36"/>
      <c r="B46" s="36"/>
      <c r="C46" s="36"/>
      <c r="D46" s="36"/>
      <c r="E46" s="36"/>
    </row>
    <row r="47" ht="15.75" customHeight="1">
      <c r="A47" s="36"/>
      <c r="B47" s="36"/>
      <c r="C47" s="36"/>
      <c r="D47" s="36"/>
      <c r="E47" s="36"/>
    </row>
    <row r="48" ht="15.75" customHeight="1">
      <c r="A48" s="36"/>
      <c r="B48" s="36"/>
      <c r="C48" s="36"/>
      <c r="D48" s="36"/>
      <c r="E48" s="36"/>
    </row>
    <row r="49" ht="15.75" customHeight="1">
      <c r="A49" s="36"/>
      <c r="B49" s="36"/>
      <c r="C49" s="36"/>
      <c r="D49" s="36"/>
      <c r="E49" s="36"/>
    </row>
    <row r="50" ht="15.75" customHeight="1">
      <c r="A50" s="36"/>
      <c r="B50" s="36"/>
      <c r="C50" s="36"/>
      <c r="D50" s="36"/>
      <c r="E50" s="36"/>
    </row>
    <row r="51" ht="15.75" customHeight="1">
      <c r="A51" s="36"/>
      <c r="B51" s="36"/>
      <c r="C51" s="36"/>
      <c r="D51" s="36"/>
      <c r="E51" s="36"/>
    </row>
    <row r="52" ht="15.75" customHeight="1">
      <c r="A52" s="36"/>
      <c r="B52" s="36"/>
      <c r="C52" s="36"/>
      <c r="D52" s="36"/>
      <c r="E52" s="36"/>
    </row>
    <row r="53" ht="15.75" customHeight="1">
      <c r="A53" s="36"/>
      <c r="B53" s="36"/>
      <c r="C53" s="36"/>
      <c r="D53" s="36"/>
      <c r="E53" s="36"/>
    </row>
    <row r="54" ht="15.75" customHeight="1">
      <c r="A54" s="36"/>
      <c r="B54" s="36"/>
      <c r="C54" s="36"/>
      <c r="D54" s="36"/>
      <c r="E54" s="36"/>
    </row>
    <row r="55" ht="15.75" customHeight="1">
      <c r="A55" s="36"/>
      <c r="B55" s="36"/>
      <c r="C55" s="36"/>
      <c r="D55" s="36"/>
      <c r="E55" s="36"/>
    </row>
    <row r="56" ht="15.75" customHeight="1">
      <c r="A56" s="36"/>
      <c r="B56" s="36"/>
      <c r="C56" s="36"/>
      <c r="D56" s="36"/>
      <c r="E56" s="36"/>
    </row>
    <row r="57" ht="15.75" customHeight="1">
      <c r="A57" s="36"/>
      <c r="B57" s="36"/>
      <c r="C57" s="36"/>
      <c r="D57" s="36"/>
      <c r="E57" s="36"/>
    </row>
    <row r="58" ht="15.75" customHeight="1">
      <c r="A58" s="36"/>
      <c r="B58" s="36"/>
      <c r="C58" s="36"/>
      <c r="D58" s="36"/>
      <c r="E58" s="36"/>
    </row>
    <row r="59" ht="15.75" customHeight="1">
      <c r="A59" s="36"/>
      <c r="B59" s="36"/>
      <c r="C59" s="36"/>
      <c r="D59" s="36"/>
      <c r="E59" s="36"/>
    </row>
    <row r="60" ht="15.75" customHeight="1">
      <c r="A60" s="36"/>
      <c r="B60" s="36"/>
      <c r="C60" s="36"/>
      <c r="D60" s="36"/>
      <c r="E60" s="36"/>
    </row>
    <row r="61" ht="15.75" customHeight="1">
      <c r="A61" s="36"/>
      <c r="B61" s="36"/>
      <c r="C61" s="36"/>
      <c r="D61" s="36"/>
      <c r="E61" s="36"/>
    </row>
    <row r="62" ht="15.75" customHeight="1">
      <c r="A62" s="36"/>
      <c r="B62" s="36"/>
      <c r="C62" s="36"/>
      <c r="D62" s="36"/>
      <c r="E62" s="36"/>
    </row>
    <row r="63" ht="15.75" customHeight="1">
      <c r="A63" s="36"/>
      <c r="B63" s="36"/>
      <c r="C63" s="36"/>
      <c r="D63" s="36"/>
      <c r="E63" s="36"/>
    </row>
    <row r="64" ht="15.75" customHeight="1">
      <c r="A64" s="36"/>
      <c r="B64" s="36"/>
      <c r="C64" s="36"/>
      <c r="D64" s="36"/>
      <c r="E64" s="36"/>
    </row>
    <row r="65" ht="15.75" customHeight="1">
      <c r="A65" s="36"/>
      <c r="B65" s="36"/>
      <c r="C65" s="36"/>
      <c r="D65" s="36"/>
      <c r="E65" s="36"/>
    </row>
    <row r="66" ht="15.75" customHeight="1">
      <c r="A66" s="36"/>
      <c r="B66" s="36"/>
      <c r="C66" s="36"/>
      <c r="D66" s="36"/>
      <c r="E66" s="36"/>
    </row>
    <row r="67" ht="15.75" customHeight="1">
      <c r="A67" s="36"/>
      <c r="B67" s="36"/>
      <c r="C67" s="36"/>
      <c r="D67" s="36"/>
      <c r="E67" s="36"/>
    </row>
    <row r="68" ht="15.75" customHeight="1">
      <c r="A68" s="36"/>
      <c r="B68" s="36"/>
      <c r="C68" s="36"/>
      <c r="D68" s="36"/>
      <c r="E68" s="36"/>
    </row>
    <row r="69" ht="15.75" customHeight="1">
      <c r="A69" s="36"/>
      <c r="B69" s="36"/>
      <c r="C69" s="36"/>
      <c r="D69" s="36"/>
      <c r="E69" s="36"/>
    </row>
    <row r="70" ht="15.75" customHeight="1">
      <c r="A70" s="36"/>
      <c r="B70" s="36"/>
      <c r="C70" s="36"/>
      <c r="D70" s="36"/>
      <c r="E70" s="36"/>
    </row>
    <row r="71" ht="15.75" customHeight="1">
      <c r="A71" s="36"/>
      <c r="B71" s="36"/>
      <c r="C71" s="36"/>
      <c r="D71" s="36"/>
      <c r="E71" s="36"/>
    </row>
    <row r="72" ht="15.75" customHeight="1">
      <c r="A72" s="36"/>
      <c r="B72" s="36"/>
      <c r="C72" s="36"/>
      <c r="D72" s="36"/>
      <c r="E72" s="36"/>
    </row>
    <row r="73" ht="15.75" customHeight="1">
      <c r="A73" s="36"/>
      <c r="B73" s="36"/>
      <c r="C73" s="36"/>
      <c r="D73" s="36"/>
      <c r="E73" s="36"/>
    </row>
    <row r="74" ht="15.75" customHeight="1">
      <c r="A74" s="36"/>
      <c r="B74" s="36"/>
      <c r="C74" s="36"/>
      <c r="D74" s="36"/>
      <c r="E74" s="36"/>
    </row>
    <row r="75" ht="15.75" customHeight="1">
      <c r="A75" s="36"/>
      <c r="B75" s="36"/>
      <c r="C75" s="36"/>
      <c r="D75" s="36"/>
      <c r="E75" s="36"/>
    </row>
    <row r="76" ht="15.75" customHeight="1">
      <c r="A76" s="36"/>
      <c r="B76" s="36"/>
      <c r="C76" s="36"/>
      <c r="D76" s="36"/>
      <c r="E76" s="36"/>
    </row>
    <row r="77" ht="15.75" customHeight="1">
      <c r="A77" s="36"/>
      <c r="B77" s="36"/>
      <c r="C77" s="36"/>
      <c r="D77" s="36"/>
      <c r="E77" s="36"/>
    </row>
    <row r="78" ht="15.75" customHeight="1">
      <c r="A78" s="36"/>
      <c r="B78" s="36"/>
      <c r="C78" s="36"/>
      <c r="D78" s="36"/>
      <c r="E78" s="36"/>
    </row>
    <row r="79" ht="15.75" customHeight="1">
      <c r="A79" s="36"/>
      <c r="B79" s="36"/>
      <c r="C79" s="36"/>
      <c r="D79" s="36"/>
      <c r="E79" s="36"/>
    </row>
    <row r="80" ht="15.75" customHeight="1">
      <c r="A80" s="36"/>
      <c r="B80" s="36"/>
      <c r="C80" s="36"/>
      <c r="D80" s="36"/>
      <c r="E80" s="36"/>
    </row>
    <row r="81" ht="15.75" customHeight="1">
      <c r="A81" s="36"/>
      <c r="B81" s="36"/>
      <c r="C81" s="36"/>
      <c r="D81" s="36"/>
      <c r="E81" s="36"/>
    </row>
    <row r="82" ht="15.75" customHeight="1">
      <c r="A82" s="36"/>
      <c r="B82" s="36"/>
      <c r="C82" s="36"/>
      <c r="D82" s="36"/>
      <c r="E82" s="36"/>
    </row>
    <row r="83" ht="15.75" customHeight="1">
      <c r="A83" s="36"/>
      <c r="B83" s="36"/>
      <c r="C83" s="36"/>
      <c r="D83" s="36"/>
      <c r="E83" s="36"/>
    </row>
    <row r="84" ht="15.75" customHeight="1">
      <c r="A84" s="36"/>
      <c r="B84" s="36"/>
      <c r="C84" s="36"/>
      <c r="D84" s="36"/>
      <c r="E84" s="36"/>
    </row>
    <row r="85" ht="15.75" customHeight="1">
      <c r="A85" s="36"/>
      <c r="B85" s="36"/>
      <c r="C85" s="36"/>
      <c r="D85" s="36"/>
      <c r="E85" s="36"/>
    </row>
    <row r="86" ht="15.75" customHeight="1">
      <c r="A86" s="36"/>
      <c r="B86" s="36"/>
      <c r="C86" s="36"/>
      <c r="D86" s="36"/>
      <c r="E86" s="36"/>
    </row>
    <row r="87" ht="15.75" customHeight="1">
      <c r="A87" s="36"/>
      <c r="B87" s="36"/>
      <c r="C87" s="36"/>
      <c r="D87" s="36"/>
      <c r="E87" s="36"/>
    </row>
    <row r="88" ht="15.75" customHeight="1">
      <c r="A88" s="36"/>
      <c r="B88" s="36"/>
      <c r="C88" s="36"/>
      <c r="D88" s="36"/>
      <c r="E88" s="36"/>
    </row>
    <row r="89" ht="15.75" customHeight="1">
      <c r="A89" s="36"/>
      <c r="B89" s="36"/>
      <c r="C89" s="36"/>
      <c r="D89" s="36"/>
      <c r="E89" s="36"/>
    </row>
    <row r="90" ht="15.75" customHeight="1">
      <c r="A90" s="36"/>
      <c r="B90" s="36"/>
      <c r="C90" s="36"/>
      <c r="D90" s="36"/>
      <c r="E90" s="36"/>
    </row>
    <row r="91" ht="15.75" customHeight="1">
      <c r="A91" s="36"/>
      <c r="B91" s="36"/>
      <c r="C91" s="36"/>
      <c r="D91" s="36"/>
      <c r="E91" s="36"/>
    </row>
    <row r="92" ht="15.75" customHeight="1">
      <c r="A92" s="36"/>
      <c r="B92" s="36"/>
      <c r="C92" s="36"/>
      <c r="D92" s="36"/>
      <c r="E92" s="36"/>
    </row>
    <row r="93" ht="15.75" customHeight="1">
      <c r="A93" s="36"/>
      <c r="B93" s="36"/>
      <c r="C93" s="36"/>
      <c r="D93" s="36"/>
      <c r="E93" s="36"/>
    </row>
    <row r="94" ht="15.75" customHeight="1">
      <c r="A94" s="36"/>
      <c r="B94" s="36"/>
      <c r="C94" s="36"/>
      <c r="D94" s="36"/>
      <c r="E94" s="36"/>
    </row>
    <row r="95" ht="15.75" customHeight="1">
      <c r="A95" s="36"/>
      <c r="B95" s="36"/>
      <c r="C95" s="36"/>
      <c r="D95" s="36"/>
      <c r="E95" s="36"/>
    </row>
    <row r="96" ht="15.75" customHeight="1">
      <c r="A96" s="36"/>
      <c r="B96" s="36"/>
      <c r="C96" s="36"/>
      <c r="D96" s="36"/>
      <c r="E96" s="36"/>
    </row>
    <row r="97" ht="15.75" customHeight="1">
      <c r="A97" s="36"/>
      <c r="B97" s="36"/>
      <c r="C97" s="36"/>
      <c r="D97" s="36"/>
      <c r="E97" s="36"/>
    </row>
    <row r="98" ht="15.75" customHeight="1">
      <c r="A98" s="36"/>
      <c r="B98" s="36"/>
      <c r="C98" s="36"/>
      <c r="D98" s="36"/>
      <c r="E98" s="36"/>
    </row>
    <row r="99" ht="15.75" customHeight="1">
      <c r="A99" s="36"/>
      <c r="B99" s="36"/>
      <c r="C99" s="36"/>
      <c r="D99" s="36"/>
      <c r="E99" s="36"/>
    </row>
    <row r="100" ht="15.75" customHeight="1">
      <c r="A100" s="36"/>
      <c r="B100" s="36"/>
      <c r="C100" s="36"/>
      <c r="D100" s="36"/>
      <c r="E100" s="36"/>
    </row>
    <row r="101" ht="15.75" customHeight="1">
      <c r="A101" s="36"/>
      <c r="B101" s="36"/>
      <c r="C101" s="36"/>
      <c r="D101" s="36"/>
      <c r="E101" s="36"/>
    </row>
    <row r="102" ht="15.75" customHeight="1">
      <c r="A102" s="36"/>
      <c r="B102" s="36"/>
      <c r="C102" s="36"/>
      <c r="D102" s="36"/>
      <c r="E102" s="36"/>
    </row>
    <row r="103" ht="15.75" customHeight="1">
      <c r="A103" s="36"/>
      <c r="B103" s="36"/>
      <c r="C103" s="36"/>
      <c r="D103" s="36"/>
      <c r="E103" s="36"/>
    </row>
    <row r="104" ht="15.75" customHeight="1">
      <c r="A104" s="36"/>
      <c r="B104" s="36"/>
      <c r="C104" s="36"/>
      <c r="D104" s="36"/>
      <c r="E104" s="36"/>
    </row>
    <row r="105" ht="15.75" customHeight="1">
      <c r="A105" s="36"/>
      <c r="B105" s="36"/>
      <c r="C105" s="36"/>
      <c r="D105" s="36"/>
      <c r="E105" s="36"/>
    </row>
    <row r="106" ht="15.75" customHeight="1">
      <c r="A106" s="36"/>
      <c r="B106" s="36"/>
      <c r="C106" s="36"/>
      <c r="D106" s="36"/>
      <c r="E106" s="36"/>
    </row>
    <row r="107" ht="15.75" customHeight="1">
      <c r="A107" s="36"/>
      <c r="B107" s="36"/>
      <c r="C107" s="36"/>
      <c r="D107" s="36"/>
      <c r="E107" s="36"/>
    </row>
    <row r="108" ht="15.75" customHeight="1">
      <c r="A108" s="36"/>
      <c r="B108" s="36"/>
      <c r="C108" s="36"/>
      <c r="D108" s="36"/>
      <c r="E108" s="36"/>
    </row>
    <row r="109" ht="15.75" customHeight="1">
      <c r="A109" s="36"/>
      <c r="B109" s="36"/>
      <c r="C109" s="36"/>
      <c r="D109" s="36"/>
      <c r="E109" s="36"/>
    </row>
    <row r="110" ht="15.75" customHeight="1">
      <c r="A110" s="36"/>
      <c r="B110" s="36"/>
      <c r="C110" s="36"/>
      <c r="D110" s="36"/>
      <c r="E110" s="36"/>
    </row>
    <row r="111" ht="15.75" customHeight="1">
      <c r="A111" s="36"/>
      <c r="B111" s="36"/>
      <c r="C111" s="36"/>
      <c r="D111" s="36"/>
      <c r="E111" s="36"/>
    </row>
    <row r="112" ht="15.75" customHeight="1">
      <c r="A112" s="36"/>
      <c r="B112" s="36"/>
      <c r="C112" s="36"/>
      <c r="D112" s="36"/>
      <c r="E112" s="36"/>
    </row>
    <row r="113" ht="15.75" customHeight="1">
      <c r="A113" s="36"/>
      <c r="B113" s="36"/>
      <c r="C113" s="36"/>
      <c r="D113" s="36"/>
      <c r="E113" s="36"/>
    </row>
    <row r="114" ht="15.75" customHeight="1">
      <c r="A114" s="36"/>
      <c r="B114" s="36"/>
      <c r="C114" s="36"/>
      <c r="D114" s="36"/>
      <c r="E114" s="36"/>
    </row>
    <row r="115" ht="15.75" customHeight="1">
      <c r="A115" s="36"/>
      <c r="B115" s="36"/>
      <c r="C115" s="36"/>
      <c r="D115" s="36"/>
      <c r="E115" s="36"/>
    </row>
    <row r="116" ht="15.75" customHeight="1">
      <c r="A116" s="36"/>
      <c r="B116" s="36"/>
      <c r="C116" s="36"/>
      <c r="D116" s="36"/>
      <c r="E116" s="36"/>
    </row>
    <row r="117" ht="15.75" customHeight="1">
      <c r="A117" s="36"/>
      <c r="B117" s="36"/>
      <c r="C117" s="36"/>
      <c r="D117" s="36"/>
      <c r="E117" s="36"/>
    </row>
    <row r="118" ht="15.75" customHeight="1">
      <c r="A118" s="36"/>
      <c r="B118" s="36"/>
      <c r="C118" s="36"/>
      <c r="D118" s="36"/>
      <c r="E118" s="36"/>
    </row>
    <row r="119" ht="15.75" customHeight="1">
      <c r="A119" s="36"/>
      <c r="B119" s="36"/>
      <c r="C119" s="36"/>
      <c r="D119" s="36"/>
      <c r="E119" s="36"/>
    </row>
    <row r="120" ht="15.75" customHeight="1">
      <c r="A120" s="36"/>
      <c r="B120" s="36"/>
      <c r="C120" s="36"/>
      <c r="D120" s="36"/>
      <c r="E120" s="36"/>
    </row>
    <row r="121" ht="15.75" customHeight="1">
      <c r="A121" s="36"/>
      <c r="B121" s="36"/>
      <c r="C121" s="36"/>
      <c r="D121" s="36"/>
      <c r="E121" s="36"/>
    </row>
    <row r="122" ht="15.75" customHeight="1">
      <c r="A122" s="36"/>
      <c r="B122" s="36"/>
      <c r="C122" s="36"/>
      <c r="D122" s="36"/>
      <c r="E122" s="36"/>
    </row>
    <row r="123" ht="15.75" customHeight="1">
      <c r="A123" s="36"/>
      <c r="B123" s="36"/>
      <c r="C123" s="36"/>
      <c r="D123" s="36"/>
      <c r="E123" s="36"/>
    </row>
    <row r="124" ht="15.75" customHeight="1">
      <c r="A124" s="36"/>
      <c r="B124" s="36"/>
      <c r="C124" s="36"/>
      <c r="D124" s="36"/>
      <c r="E124" s="36"/>
    </row>
    <row r="125" ht="15.75" customHeight="1">
      <c r="A125" s="36"/>
      <c r="B125" s="36"/>
      <c r="C125" s="36"/>
      <c r="D125" s="36"/>
      <c r="E125" s="36"/>
    </row>
    <row r="126" ht="15.75" customHeight="1">
      <c r="A126" s="36"/>
      <c r="B126" s="36"/>
      <c r="C126" s="36"/>
      <c r="D126" s="36"/>
      <c r="E126" s="36"/>
    </row>
    <row r="127" ht="15.75" customHeight="1">
      <c r="A127" s="36"/>
      <c r="B127" s="36"/>
      <c r="C127" s="36"/>
      <c r="D127" s="36"/>
      <c r="E127" s="36"/>
    </row>
    <row r="128" ht="15.75" customHeight="1">
      <c r="A128" s="36"/>
      <c r="B128" s="36"/>
      <c r="C128" s="36"/>
      <c r="D128" s="36"/>
      <c r="E128" s="36"/>
    </row>
    <row r="129" ht="15.75" customHeight="1">
      <c r="A129" s="36"/>
      <c r="B129" s="36"/>
      <c r="C129" s="36"/>
      <c r="D129" s="36"/>
      <c r="E129" s="36"/>
    </row>
    <row r="130" ht="15.75" customHeight="1">
      <c r="A130" s="36"/>
      <c r="B130" s="36"/>
      <c r="C130" s="36"/>
      <c r="D130" s="36"/>
      <c r="E130" s="36"/>
    </row>
    <row r="131" ht="15.75" customHeight="1">
      <c r="A131" s="36"/>
      <c r="B131" s="36"/>
      <c r="C131" s="36"/>
      <c r="D131" s="36"/>
      <c r="E131" s="36"/>
    </row>
    <row r="132" ht="15.75" customHeight="1">
      <c r="A132" s="36"/>
      <c r="B132" s="36"/>
      <c r="C132" s="36"/>
      <c r="D132" s="36"/>
      <c r="E132" s="36"/>
    </row>
    <row r="133" ht="15.75" customHeight="1">
      <c r="A133" s="36"/>
      <c r="B133" s="36"/>
      <c r="C133" s="36"/>
      <c r="D133" s="36"/>
      <c r="E133" s="36"/>
    </row>
    <row r="134" ht="15.75" customHeight="1">
      <c r="A134" s="36"/>
      <c r="B134" s="36"/>
      <c r="C134" s="36"/>
      <c r="D134" s="36"/>
      <c r="E134" s="36"/>
    </row>
    <row r="135" ht="15.75" customHeight="1">
      <c r="A135" s="36"/>
      <c r="B135" s="36"/>
      <c r="C135" s="36"/>
      <c r="D135" s="36"/>
      <c r="E135" s="36"/>
    </row>
    <row r="136" ht="15.75" customHeight="1">
      <c r="A136" s="36"/>
      <c r="B136" s="36"/>
      <c r="C136" s="36"/>
      <c r="D136" s="36"/>
      <c r="E136" s="36"/>
    </row>
    <row r="137" ht="15.75" customHeight="1">
      <c r="A137" s="36"/>
      <c r="B137" s="36"/>
      <c r="C137" s="36"/>
      <c r="D137" s="36"/>
      <c r="E137" s="36"/>
    </row>
    <row r="138" ht="15.75" customHeight="1">
      <c r="A138" s="36"/>
      <c r="B138" s="36"/>
      <c r="C138" s="36"/>
      <c r="D138" s="36"/>
      <c r="E138" s="36"/>
    </row>
    <row r="139" ht="15.75" customHeight="1">
      <c r="A139" s="36"/>
      <c r="B139" s="36"/>
      <c r="C139" s="36"/>
      <c r="D139" s="36"/>
      <c r="E139" s="36"/>
    </row>
    <row r="140" ht="15.75" customHeight="1">
      <c r="A140" s="36"/>
      <c r="B140" s="36"/>
      <c r="C140" s="36"/>
      <c r="D140" s="36"/>
      <c r="E140" s="36"/>
    </row>
    <row r="141" ht="15.75" customHeight="1">
      <c r="A141" s="36"/>
      <c r="B141" s="36"/>
      <c r="C141" s="36"/>
      <c r="D141" s="36"/>
      <c r="E141" s="36"/>
    </row>
    <row r="142" ht="15.75" customHeight="1">
      <c r="A142" s="36"/>
      <c r="B142" s="36"/>
      <c r="C142" s="36"/>
      <c r="D142" s="36"/>
      <c r="E142" s="36"/>
    </row>
    <row r="143" ht="15.75" customHeight="1">
      <c r="A143" s="36"/>
      <c r="B143" s="36"/>
      <c r="C143" s="36"/>
      <c r="D143" s="36"/>
      <c r="E143" s="36"/>
    </row>
    <row r="144" ht="15.75" customHeight="1">
      <c r="A144" s="36"/>
      <c r="B144" s="36"/>
      <c r="C144" s="36"/>
      <c r="D144" s="36"/>
      <c r="E144" s="36"/>
    </row>
    <row r="145" ht="15.75" customHeight="1">
      <c r="A145" s="36"/>
      <c r="B145" s="36"/>
      <c r="C145" s="36"/>
      <c r="D145" s="36"/>
      <c r="E145" s="36"/>
    </row>
    <row r="146" ht="15.75" customHeight="1">
      <c r="A146" s="36"/>
      <c r="B146" s="36"/>
      <c r="C146" s="36"/>
      <c r="D146" s="36"/>
      <c r="E146" s="36"/>
    </row>
    <row r="147" ht="15.75" customHeight="1">
      <c r="A147" s="36"/>
      <c r="B147" s="36"/>
      <c r="C147" s="36"/>
      <c r="D147" s="36"/>
      <c r="E147" s="36"/>
    </row>
    <row r="148" ht="15.75" customHeight="1">
      <c r="A148" s="36"/>
      <c r="B148" s="36"/>
      <c r="C148" s="36"/>
      <c r="D148" s="36"/>
      <c r="E148" s="36"/>
    </row>
    <row r="149" ht="15.75" customHeight="1">
      <c r="A149" s="36"/>
      <c r="B149" s="36"/>
      <c r="C149" s="36"/>
      <c r="D149" s="36"/>
      <c r="E149" s="36"/>
    </row>
    <row r="150" ht="15.75" customHeight="1">
      <c r="A150" s="36"/>
      <c r="B150" s="36"/>
      <c r="C150" s="36"/>
      <c r="D150" s="36"/>
      <c r="E150" s="36"/>
    </row>
    <row r="151" ht="15.75" customHeight="1">
      <c r="A151" s="36"/>
      <c r="B151" s="36"/>
      <c r="C151" s="36"/>
      <c r="D151" s="36"/>
      <c r="E151" s="36"/>
    </row>
    <row r="152" ht="15.75" customHeight="1">
      <c r="A152" s="36"/>
      <c r="B152" s="36"/>
      <c r="C152" s="36"/>
      <c r="D152" s="36"/>
      <c r="E152" s="36"/>
    </row>
    <row r="153" ht="15.75" customHeight="1">
      <c r="A153" s="36"/>
      <c r="B153" s="36"/>
      <c r="C153" s="36"/>
      <c r="D153" s="36"/>
      <c r="E153" s="36"/>
    </row>
    <row r="154" ht="15.75" customHeight="1">
      <c r="A154" s="36"/>
      <c r="B154" s="36"/>
      <c r="C154" s="36"/>
      <c r="D154" s="36"/>
      <c r="E154" s="36"/>
    </row>
    <row r="155" ht="15.75" customHeight="1">
      <c r="A155" s="36"/>
      <c r="B155" s="36"/>
      <c r="C155" s="36"/>
      <c r="D155" s="36"/>
      <c r="E155" s="36"/>
    </row>
    <row r="156" ht="15.75" customHeight="1">
      <c r="A156" s="36"/>
      <c r="B156" s="36"/>
      <c r="C156" s="36"/>
      <c r="D156" s="36"/>
      <c r="E156" s="36"/>
    </row>
    <row r="157" ht="15.75" customHeight="1">
      <c r="A157" s="36"/>
      <c r="B157" s="36"/>
      <c r="C157" s="36"/>
      <c r="D157" s="36"/>
      <c r="E157" s="36"/>
    </row>
    <row r="158" ht="15.75" customHeight="1">
      <c r="A158" s="36"/>
      <c r="B158" s="36"/>
      <c r="C158" s="36"/>
      <c r="D158" s="36"/>
      <c r="E158" s="36"/>
    </row>
    <row r="159" ht="15.75" customHeight="1">
      <c r="A159" s="36"/>
      <c r="B159" s="36"/>
      <c r="C159" s="36"/>
      <c r="D159" s="36"/>
      <c r="E159" s="36"/>
    </row>
    <row r="160" ht="15.75" customHeight="1">
      <c r="A160" s="36"/>
      <c r="B160" s="36"/>
      <c r="C160" s="36"/>
      <c r="D160" s="36"/>
      <c r="E160" s="36"/>
    </row>
    <row r="161" ht="15.75" customHeight="1">
      <c r="A161" s="36"/>
      <c r="B161" s="36"/>
      <c r="C161" s="36"/>
      <c r="D161" s="36"/>
      <c r="E161" s="36"/>
    </row>
    <row r="162" ht="15.75" customHeight="1">
      <c r="A162" s="36"/>
      <c r="B162" s="36"/>
      <c r="C162" s="36"/>
      <c r="D162" s="36"/>
      <c r="E162" s="36"/>
    </row>
    <row r="163" ht="15.75" customHeight="1">
      <c r="A163" s="36"/>
      <c r="B163" s="36"/>
      <c r="C163" s="36"/>
      <c r="D163" s="36"/>
      <c r="E163" s="36"/>
    </row>
    <row r="164" ht="15.75" customHeight="1">
      <c r="A164" s="36"/>
      <c r="B164" s="36"/>
      <c r="C164" s="36"/>
      <c r="D164" s="36"/>
      <c r="E164" s="36"/>
    </row>
    <row r="165" ht="15.75" customHeight="1">
      <c r="A165" s="36"/>
      <c r="B165" s="36"/>
      <c r="C165" s="36"/>
      <c r="D165" s="36"/>
      <c r="E165" s="36"/>
    </row>
    <row r="166" ht="15.75" customHeight="1">
      <c r="A166" s="36"/>
      <c r="B166" s="36"/>
      <c r="C166" s="36"/>
      <c r="D166" s="36"/>
      <c r="E166" s="36"/>
    </row>
    <row r="167" ht="15.75" customHeight="1">
      <c r="A167" s="36"/>
      <c r="B167" s="36"/>
      <c r="C167" s="36"/>
      <c r="D167" s="36"/>
      <c r="E167" s="36"/>
    </row>
    <row r="168" ht="15.75" customHeight="1">
      <c r="A168" s="36"/>
      <c r="B168" s="36"/>
      <c r="C168" s="36"/>
      <c r="D168" s="36"/>
      <c r="E168" s="36"/>
    </row>
    <row r="169" ht="15.75" customHeight="1">
      <c r="A169" s="36"/>
      <c r="B169" s="36"/>
      <c r="C169" s="36"/>
      <c r="D169" s="36"/>
      <c r="E169" s="36"/>
    </row>
    <row r="170" ht="15.75" customHeight="1">
      <c r="A170" s="36"/>
      <c r="B170" s="36"/>
      <c r="C170" s="36"/>
      <c r="D170" s="36"/>
      <c r="E170" s="36"/>
    </row>
    <row r="171" ht="15.75" customHeight="1">
      <c r="A171" s="36"/>
      <c r="B171" s="36"/>
      <c r="C171" s="36"/>
      <c r="D171" s="36"/>
      <c r="E171" s="36"/>
    </row>
    <row r="172" ht="15.75" customHeight="1">
      <c r="A172" s="36"/>
      <c r="B172" s="36"/>
      <c r="C172" s="36"/>
      <c r="D172" s="36"/>
      <c r="E172" s="36"/>
    </row>
    <row r="173" ht="15.75" customHeight="1">
      <c r="A173" s="36"/>
      <c r="B173" s="36"/>
      <c r="C173" s="36"/>
      <c r="D173" s="36"/>
      <c r="E173" s="36"/>
    </row>
    <row r="174" ht="15.75" customHeight="1">
      <c r="A174" s="36"/>
      <c r="B174" s="36"/>
      <c r="C174" s="36"/>
      <c r="D174" s="36"/>
      <c r="E174" s="36"/>
    </row>
    <row r="175" ht="15.75" customHeight="1">
      <c r="A175" s="36"/>
      <c r="B175" s="36"/>
      <c r="C175" s="36"/>
      <c r="D175" s="36"/>
      <c r="E175" s="36"/>
    </row>
    <row r="176" ht="15.75" customHeight="1">
      <c r="A176" s="36"/>
      <c r="B176" s="36"/>
      <c r="C176" s="36"/>
      <c r="D176" s="36"/>
      <c r="E176" s="36"/>
    </row>
    <row r="177" ht="15.75" customHeight="1">
      <c r="A177" s="36"/>
      <c r="B177" s="36"/>
      <c r="C177" s="36"/>
      <c r="D177" s="36"/>
      <c r="E177" s="36"/>
    </row>
    <row r="178" ht="15.75" customHeight="1">
      <c r="A178" s="36"/>
      <c r="B178" s="36"/>
      <c r="C178" s="36"/>
      <c r="D178" s="36"/>
      <c r="E178" s="36"/>
    </row>
    <row r="179" ht="15.75" customHeight="1">
      <c r="A179" s="36"/>
      <c r="B179" s="36"/>
      <c r="C179" s="36"/>
      <c r="D179" s="36"/>
      <c r="E179" s="36"/>
    </row>
    <row r="180" ht="15.75" customHeight="1">
      <c r="A180" s="36"/>
      <c r="B180" s="36"/>
      <c r="C180" s="36"/>
      <c r="D180" s="36"/>
      <c r="E180" s="36"/>
    </row>
    <row r="181" ht="15.75" customHeight="1">
      <c r="A181" s="36"/>
      <c r="B181" s="36"/>
      <c r="C181" s="36"/>
      <c r="D181" s="36"/>
      <c r="E181" s="36"/>
    </row>
    <row r="182" ht="15.75" customHeight="1">
      <c r="A182" s="36"/>
      <c r="B182" s="36"/>
      <c r="C182" s="36"/>
      <c r="D182" s="36"/>
      <c r="E182" s="36"/>
    </row>
    <row r="183" ht="15.75" customHeight="1">
      <c r="A183" s="36"/>
      <c r="B183" s="36"/>
      <c r="C183" s="36"/>
      <c r="D183" s="36"/>
      <c r="E183" s="36"/>
    </row>
    <row r="184" ht="15.75" customHeight="1">
      <c r="A184" s="36"/>
      <c r="B184" s="36"/>
      <c r="C184" s="36"/>
      <c r="D184" s="36"/>
      <c r="E184" s="36"/>
    </row>
    <row r="185" ht="15.75" customHeight="1">
      <c r="A185" s="36"/>
      <c r="B185" s="36"/>
      <c r="C185" s="36"/>
      <c r="D185" s="36"/>
      <c r="E185" s="36"/>
    </row>
    <row r="186" ht="15.75" customHeight="1">
      <c r="A186" s="36"/>
      <c r="B186" s="36"/>
      <c r="C186" s="36"/>
      <c r="D186" s="36"/>
      <c r="E186" s="36"/>
    </row>
    <row r="187" ht="15.75" customHeight="1">
      <c r="A187" s="36"/>
      <c r="B187" s="36"/>
      <c r="C187" s="36"/>
      <c r="D187" s="36"/>
      <c r="E187" s="36"/>
    </row>
    <row r="188" ht="15.75" customHeight="1">
      <c r="A188" s="36"/>
      <c r="B188" s="36"/>
      <c r="C188" s="36"/>
      <c r="D188" s="36"/>
      <c r="E188" s="36"/>
    </row>
    <row r="189" ht="15.75" customHeight="1">
      <c r="A189" s="36"/>
      <c r="B189" s="36"/>
      <c r="C189" s="36"/>
      <c r="D189" s="36"/>
      <c r="E189" s="36"/>
    </row>
    <row r="190" ht="15.75" customHeight="1">
      <c r="A190" s="36"/>
      <c r="B190" s="36"/>
      <c r="C190" s="36"/>
      <c r="D190" s="36"/>
      <c r="E190" s="36"/>
    </row>
    <row r="191" ht="15.75" customHeight="1">
      <c r="A191" s="36"/>
      <c r="B191" s="36"/>
      <c r="C191" s="36"/>
      <c r="D191" s="36"/>
      <c r="E191" s="36"/>
    </row>
    <row r="192" ht="15.75" customHeight="1">
      <c r="A192" s="36"/>
      <c r="B192" s="36"/>
      <c r="C192" s="36"/>
      <c r="D192" s="36"/>
      <c r="E192" s="36"/>
    </row>
    <row r="193" ht="15.75" customHeight="1">
      <c r="A193" s="36"/>
      <c r="B193" s="36"/>
      <c r="C193" s="36"/>
      <c r="D193" s="36"/>
      <c r="E193" s="36"/>
    </row>
    <row r="194" ht="15.75" customHeight="1">
      <c r="A194" s="36"/>
      <c r="B194" s="36"/>
      <c r="C194" s="36"/>
      <c r="D194" s="36"/>
      <c r="E194" s="36"/>
    </row>
    <row r="195" ht="15.75" customHeight="1">
      <c r="A195" s="36"/>
      <c r="B195" s="36"/>
      <c r="C195" s="36"/>
      <c r="D195" s="36"/>
      <c r="E195" s="36"/>
    </row>
    <row r="196" ht="15.75" customHeight="1">
      <c r="A196" s="36"/>
      <c r="B196" s="36"/>
      <c r="C196" s="36"/>
      <c r="D196" s="36"/>
      <c r="E196" s="36"/>
    </row>
    <row r="197" ht="15.75" customHeight="1">
      <c r="A197" s="36"/>
      <c r="B197" s="36"/>
      <c r="C197" s="36"/>
      <c r="D197" s="36"/>
      <c r="E197" s="36"/>
    </row>
    <row r="198" ht="15.75" customHeight="1">
      <c r="A198" s="36"/>
      <c r="B198" s="36"/>
      <c r="C198" s="36"/>
      <c r="D198" s="36"/>
      <c r="E198" s="36"/>
    </row>
    <row r="199" ht="15.75" customHeight="1">
      <c r="A199" s="36"/>
      <c r="B199" s="36"/>
      <c r="C199" s="36"/>
      <c r="D199" s="36"/>
      <c r="E199" s="36"/>
    </row>
    <row r="200" ht="15.75" customHeight="1">
      <c r="A200" s="36"/>
      <c r="B200" s="36"/>
      <c r="C200" s="36"/>
      <c r="D200" s="36"/>
      <c r="E200" s="36"/>
    </row>
    <row r="201" ht="15.75" customHeight="1">
      <c r="A201" s="36"/>
      <c r="B201" s="36"/>
      <c r="C201" s="36"/>
      <c r="D201" s="36"/>
      <c r="E201" s="36"/>
    </row>
    <row r="202" ht="15.75" customHeight="1">
      <c r="A202" s="36"/>
      <c r="B202" s="36"/>
      <c r="C202" s="36"/>
      <c r="D202" s="36"/>
      <c r="E202" s="36"/>
    </row>
    <row r="203" ht="15.75" customHeight="1">
      <c r="A203" s="36"/>
      <c r="B203" s="36"/>
      <c r="C203" s="36"/>
      <c r="D203" s="36"/>
      <c r="E203" s="36"/>
    </row>
    <row r="204" ht="15.75" customHeight="1">
      <c r="A204" s="36"/>
      <c r="B204" s="36"/>
      <c r="C204" s="36"/>
      <c r="D204" s="36"/>
      <c r="E204" s="36"/>
    </row>
    <row r="205" ht="15.75" customHeight="1">
      <c r="A205" s="36"/>
      <c r="B205" s="36"/>
      <c r="C205" s="36"/>
      <c r="D205" s="36"/>
      <c r="E205" s="36"/>
    </row>
    <row r="206" ht="15.75" customHeight="1">
      <c r="A206" s="36"/>
      <c r="B206" s="36"/>
      <c r="C206" s="36"/>
      <c r="D206" s="36"/>
      <c r="E206" s="36"/>
    </row>
    <row r="207" ht="15.75" customHeight="1">
      <c r="A207" s="36"/>
      <c r="B207" s="36"/>
      <c r="C207" s="36"/>
      <c r="D207" s="36"/>
      <c r="E207" s="36"/>
    </row>
    <row r="208" ht="15.75" customHeight="1">
      <c r="A208" s="36"/>
      <c r="B208" s="36"/>
      <c r="C208" s="36"/>
      <c r="D208" s="36"/>
      <c r="E208" s="36"/>
    </row>
    <row r="209" ht="15.75" customHeight="1">
      <c r="A209" s="36"/>
      <c r="B209" s="36"/>
      <c r="C209" s="36"/>
      <c r="D209" s="36"/>
      <c r="E209" s="36"/>
    </row>
    <row r="210" ht="15.75" customHeight="1">
      <c r="A210" s="36"/>
      <c r="B210" s="36"/>
      <c r="C210" s="36"/>
      <c r="D210" s="36"/>
      <c r="E210" s="36"/>
    </row>
    <row r="211" ht="15.75" customHeight="1">
      <c r="A211" s="36"/>
      <c r="B211" s="36"/>
      <c r="C211" s="36"/>
      <c r="D211" s="36"/>
      <c r="E211" s="36"/>
    </row>
    <row r="212" ht="15.75" customHeight="1">
      <c r="A212" s="36"/>
      <c r="B212" s="36"/>
      <c r="C212" s="36"/>
      <c r="D212" s="36"/>
      <c r="E212" s="36"/>
    </row>
    <row r="213" ht="15.75" customHeight="1">
      <c r="A213" s="36"/>
      <c r="B213" s="36"/>
      <c r="C213" s="36"/>
      <c r="D213" s="36"/>
      <c r="E213" s="36"/>
    </row>
    <row r="214" ht="15.75" customHeight="1">
      <c r="A214" s="36"/>
      <c r="B214" s="36"/>
      <c r="C214" s="36"/>
      <c r="D214" s="36"/>
      <c r="E214" s="36"/>
    </row>
    <row r="215" ht="15.75" customHeight="1">
      <c r="A215" s="36"/>
      <c r="B215" s="36"/>
      <c r="C215" s="36"/>
      <c r="D215" s="36"/>
      <c r="E215" s="36"/>
    </row>
    <row r="216" ht="15.75" customHeight="1">
      <c r="A216" s="36"/>
      <c r="B216" s="36"/>
      <c r="C216" s="36"/>
      <c r="D216" s="36"/>
      <c r="E216" s="36"/>
    </row>
    <row r="217" ht="15.75" customHeight="1">
      <c r="A217" s="36"/>
      <c r="B217" s="36"/>
      <c r="C217" s="36"/>
      <c r="D217" s="36"/>
      <c r="E217" s="36"/>
    </row>
    <row r="218" ht="15.75" customHeight="1">
      <c r="A218" s="36"/>
      <c r="B218" s="36"/>
      <c r="C218" s="36"/>
      <c r="D218" s="36"/>
      <c r="E218" s="36"/>
    </row>
    <row r="219" ht="15.75" customHeight="1">
      <c r="A219" s="36"/>
      <c r="B219" s="36"/>
      <c r="C219" s="36"/>
      <c r="D219" s="36"/>
      <c r="E219" s="36"/>
    </row>
    <row r="220" ht="15.75" customHeight="1">
      <c r="A220" s="36"/>
      <c r="B220" s="36"/>
      <c r="C220" s="36"/>
      <c r="D220" s="36"/>
      <c r="E220" s="3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9.13"/>
    <col customWidth="1" min="2" max="6" width="12.63"/>
  </cols>
  <sheetData>
    <row r="1">
      <c r="A1" s="37" t="s">
        <v>50</v>
      </c>
      <c r="B1" s="38" t="s">
        <v>51</v>
      </c>
      <c r="C1" s="38" t="s">
        <v>52</v>
      </c>
      <c r="D1" s="38" t="s">
        <v>53</v>
      </c>
      <c r="E1" s="38" t="s">
        <v>54</v>
      </c>
      <c r="F1" s="38" t="s">
        <v>55</v>
      </c>
      <c r="G1" s="39"/>
      <c r="H1" s="39"/>
      <c r="I1" s="39"/>
      <c r="J1" s="39"/>
      <c r="K1" s="39"/>
      <c r="L1" s="39"/>
      <c r="M1" s="39"/>
      <c r="N1" s="39"/>
    </row>
    <row r="2">
      <c r="A2" s="40">
        <v>6.0</v>
      </c>
      <c r="B2" s="41">
        <v>600000.0</v>
      </c>
      <c r="C2" s="41">
        <v>672750.0</v>
      </c>
      <c r="D2" s="41">
        <v>789806.305233374</v>
      </c>
      <c r="E2" s="41">
        <v>760402.7496959438</v>
      </c>
      <c r="F2" s="41">
        <v>846825.4182642043</v>
      </c>
      <c r="G2" s="39"/>
      <c r="H2" s="39"/>
      <c r="I2" s="39"/>
      <c r="J2" s="39"/>
      <c r="K2" s="39"/>
      <c r="L2" s="39"/>
      <c r="M2" s="39"/>
      <c r="N2" s="39"/>
    </row>
    <row r="3">
      <c r="A3" s="40">
        <v>7.0</v>
      </c>
      <c r="B3" s="41">
        <v>700000.0</v>
      </c>
      <c r="C3" s="41">
        <v>696296.2500000002</v>
      </c>
      <c r="D3" s="41">
        <v>938482.6230240999</v>
      </c>
      <c r="E3" s="41">
        <v>873399.1873698579</v>
      </c>
      <c r="F3" s="41">
        <v>1071104.4505215306</v>
      </c>
      <c r="G3" s="39"/>
      <c r="H3" s="39"/>
      <c r="I3" s="39"/>
      <c r="J3" s="39"/>
      <c r="K3" s="39"/>
      <c r="L3" s="39"/>
      <c r="M3" s="39"/>
      <c r="N3" s="39"/>
    </row>
    <row r="4">
      <c r="A4" s="40">
        <v>8.0</v>
      </c>
      <c r="B4" s="41">
        <v>800000.0</v>
      </c>
      <c r="C4" s="41">
        <v>720666.6187500001</v>
      </c>
      <c r="D4" s="41">
        <v>1096515.123621556</v>
      </c>
      <c r="E4" s="41">
        <v>988949.1549953707</v>
      </c>
      <c r="F4" s="41">
        <v>1326623.1326168305</v>
      </c>
      <c r="G4" s="39"/>
      <c r="H4" s="39"/>
      <c r="I4" s="39"/>
      <c r="J4" s="39"/>
      <c r="K4" s="39"/>
      <c r="L4" s="39"/>
      <c r="M4" s="39"/>
      <c r="N4" s="39"/>
    </row>
    <row r="5">
      <c r="A5" s="40">
        <v>9.0</v>
      </c>
      <c r="B5" s="41">
        <v>800000.0</v>
      </c>
      <c r="C5" s="41">
        <v>745889.9504062502</v>
      </c>
      <c r="D5" s="41">
        <v>1158199.602505735</v>
      </c>
      <c r="E5" s="41">
        <v>1004720.815189089</v>
      </c>
      <c r="F5" s="41">
        <v>1503803.8895080748</v>
      </c>
      <c r="G5" s="39"/>
      <c r="H5" s="39"/>
      <c r="I5" s="39"/>
      <c r="J5" s="39"/>
      <c r="K5" s="39"/>
      <c r="L5" s="39"/>
      <c r="M5" s="39"/>
      <c r="N5" s="39"/>
    </row>
    <row r="6">
      <c r="A6" s="40">
        <v>10.0</v>
      </c>
      <c r="B6" s="41">
        <v>800000.0</v>
      </c>
      <c r="C6" s="41">
        <v>771996.098670469</v>
      </c>
      <c r="D6" s="41">
        <v>1223765.8782312279</v>
      </c>
      <c r="E6" s="41">
        <v>1020679.4538183177</v>
      </c>
      <c r="F6" s="41">
        <v>1705664.0145399799</v>
      </c>
      <c r="G6" s="39"/>
      <c r="H6" s="39"/>
      <c r="I6" s="39"/>
      <c r="J6" s="39"/>
      <c r="K6" s="39"/>
      <c r="L6" s="39"/>
      <c r="M6" s="39"/>
      <c r="N6" s="39"/>
    </row>
    <row r="7">
      <c r="A7" s="42"/>
      <c r="B7" s="42"/>
      <c r="C7" s="42"/>
      <c r="D7" s="42"/>
      <c r="E7" s="42"/>
      <c r="F7" s="42"/>
      <c r="G7" s="39"/>
      <c r="H7" s="39"/>
      <c r="I7" s="39"/>
      <c r="J7" s="39"/>
      <c r="K7" s="39"/>
      <c r="L7" s="39"/>
      <c r="M7" s="39"/>
      <c r="N7" s="39"/>
    </row>
    <row r="8">
      <c r="A8" s="43"/>
      <c r="B8" s="44">
        <v>0.08</v>
      </c>
      <c r="C8" s="44">
        <v>0.04</v>
      </c>
      <c r="D8" s="45" t="s">
        <v>56</v>
      </c>
      <c r="E8" s="42"/>
      <c r="F8" s="42"/>
      <c r="G8" s="39"/>
      <c r="H8" s="39"/>
      <c r="I8" s="39"/>
      <c r="J8" s="39"/>
      <c r="K8" s="39"/>
      <c r="L8" s="39"/>
      <c r="M8" s="39"/>
      <c r="N8" s="39"/>
    </row>
    <row r="9">
      <c r="A9" s="46" t="s">
        <v>57</v>
      </c>
      <c r="B9" s="47">
        <v>1223765.8782312279</v>
      </c>
      <c r="C9" s="48">
        <v>1020679.4538183177</v>
      </c>
      <c r="D9" s="49">
        <v>1705664.0145399799</v>
      </c>
      <c r="E9" s="42"/>
      <c r="F9" s="42"/>
      <c r="G9" s="39"/>
      <c r="H9" s="39"/>
      <c r="I9" s="39"/>
      <c r="J9" s="39"/>
      <c r="K9" s="39"/>
      <c r="L9" s="39"/>
      <c r="M9" s="39"/>
      <c r="N9" s="39"/>
    </row>
    <row r="10">
      <c r="A10" s="46" t="s">
        <v>58</v>
      </c>
      <c r="B10" s="50">
        <v>0.06583474744216566</v>
      </c>
      <c r="C10" s="50">
        <v>0.03761878644844874</v>
      </c>
      <c r="D10" s="50">
        <v>0.11794275220381745</v>
      </c>
      <c r="E10" s="42"/>
      <c r="F10" s="42"/>
      <c r="G10" s="39"/>
      <c r="H10" s="39"/>
      <c r="I10" s="39"/>
      <c r="J10" s="39"/>
      <c r="K10" s="39"/>
      <c r="L10" s="39"/>
      <c r="M10" s="39"/>
      <c r="N10" s="39"/>
    </row>
    <row r="11">
      <c r="A11" s="46" t="s">
        <v>59</v>
      </c>
      <c r="B11" s="51">
        <v>0.023306521462013105</v>
      </c>
      <c r="C11" s="50">
        <v>0.02402963777197705</v>
      </c>
      <c r="D11" s="50">
        <v>0.004394087970475108</v>
      </c>
      <c r="E11" s="42"/>
      <c r="F11" s="42"/>
      <c r="G11" s="39"/>
      <c r="H11" s="39"/>
      <c r="I11" s="39"/>
      <c r="J11" s="39"/>
      <c r="K11" s="39"/>
      <c r="L11" s="39"/>
      <c r="M11" s="39"/>
      <c r="N11" s="39"/>
    </row>
    <row r="12">
      <c r="A12" s="46" t="s">
        <v>60</v>
      </c>
      <c r="B12" s="50">
        <v>0.020318090294791855</v>
      </c>
      <c r="C12" s="50">
        <v>0.02024590473075879</v>
      </c>
      <c r="D12" s="42"/>
      <c r="E12" s="42"/>
      <c r="F12" s="42"/>
      <c r="G12" s="39"/>
      <c r="H12" s="39"/>
      <c r="I12" s="39"/>
      <c r="J12" s="39"/>
      <c r="K12" s="39"/>
      <c r="L12" s="39"/>
      <c r="M12" s="39"/>
      <c r="N12" s="39"/>
    </row>
    <row r="13">
      <c r="A13" s="52"/>
      <c r="B13" s="42"/>
      <c r="C13" s="42"/>
      <c r="D13" s="42"/>
      <c r="E13" s="42"/>
      <c r="F13" s="42"/>
      <c r="G13" s="39"/>
      <c r="H13" s="39"/>
      <c r="I13" s="39"/>
      <c r="J13" s="39"/>
      <c r="K13" s="39"/>
      <c r="L13" s="39"/>
      <c r="M13" s="39"/>
      <c r="N13" s="39"/>
    </row>
    <row r="14">
      <c r="A14" s="52"/>
      <c r="B14" s="42"/>
      <c r="C14" s="42"/>
      <c r="D14" s="42"/>
      <c r="E14" s="42"/>
      <c r="F14" s="42"/>
      <c r="G14" s="39"/>
      <c r="H14" s="39"/>
      <c r="I14" s="39"/>
      <c r="J14" s="39"/>
      <c r="K14" s="39"/>
      <c r="L14" s="39"/>
      <c r="M14" s="39"/>
      <c r="N14" s="39"/>
    </row>
    <row r="15">
      <c r="A15" s="53" t="s">
        <v>61</v>
      </c>
      <c r="B15" s="51">
        <f>'Surrender vs. Continuing'!C4</f>
        <v>0.04563322139</v>
      </c>
      <c r="C15" s="42"/>
      <c r="D15" s="42"/>
      <c r="E15" s="42"/>
      <c r="F15" s="42"/>
      <c r="G15" s="39"/>
      <c r="H15" s="39"/>
      <c r="I15" s="39"/>
      <c r="J15" s="39"/>
      <c r="K15" s="39"/>
      <c r="L15" s="39"/>
      <c r="M15" s="39"/>
      <c r="N15" s="39"/>
    </row>
    <row r="16">
      <c r="A16" s="52"/>
      <c r="B16" s="42"/>
      <c r="C16" s="42"/>
      <c r="D16" s="42"/>
      <c r="E16" s="42"/>
      <c r="F16" s="42"/>
      <c r="G16" s="39"/>
      <c r="H16" s="39"/>
      <c r="I16" s="39"/>
      <c r="J16" s="39"/>
      <c r="K16" s="39"/>
      <c r="L16" s="39"/>
      <c r="M16" s="39"/>
      <c r="N16" s="39"/>
    </row>
    <row r="17">
      <c r="A17" s="52"/>
      <c r="B17" s="42"/>
      <c r="C17" s="42"/>
      <c r="D17" s="42"/>
      <c r="E17" s="42"/>
      <c r="F17" s="42"/>
      <c r="G17" s="39"/>
      <c r="H17" s="39"/>
      <c r="I17" s="39"/>
      <c r="J17" s="39"/>
      <c r="K17" s="39"/>
      <c r="L17" s="39"/>
      <c r="M17" s="39"/>
      <c r="N17" s="39"/>
    </row>
    <row r="18">
      <c r="A18" s="52"/>
      <c r="B18" s="42"/>
      <c r="C18" s="42"/>
      <c r="D18" s="42"/>
      <c r="E18" s="42"/>
      <c r="F18" s="42"/>
      <c r="G18" s="39"/>
      <c r="H18" s="39"/>
      <c r="I18" s="39"/>
      <c r="J18" s="39"/>
      <c r="K18" s="39"/>
      <c r="L18" s="39"/>
      <c r="M18" s="39"/>
      <c r="N18" s="39"/>
    </row>
    <row r="19">
      <c r="A19" s="52"/>
      <c r="B19" s="42"/>
      <c r="C19" s="42"/>
      <c r="D19" s="42"/>
      <c r="E19" s="42"/>
      <c r="F19" s="42"/>
      <c r="G19" s="39"/>
      <c r="H19" s="39"/>
      <c r="I19" s="39"/>
      <c r="J19" s="39"/>
      <c r="K19" s="39"/>
      <c r="L19" s="39"/>
      <c r="M19" s="39"/>
      <c r="N19" s="39"/>
    </row>
    <row r="20">
      <c r="A20" s="52"/>
      <c r="B20" s="42"/>
      <c r="C20" s="42"/>
      <c r="D20" s="42"/>
      <c r="E20" s="42"/>
      <c r="F20" s="42"/>
      <c r="G20" s="39"/>
      <c r="H20" s="39"/>
      <c r="I20" s="39"/>
      <c r="J20" s="39"/>
      <c r="K20" s="39"/>
      <c r="L20" s="39"/>
      <c r="M20" s="39"/>
      <c r="N20" s="39"/>
    </row>
    <row r="21" ht="15.75" customHeight="1"/>
    <row r="22" ht="15.75" hidden="1" customHeight="1"/>
    <row r="23" ht="15.75" hidden="1" customHeight="1"/>
    <row r="24" ht="15.75" hidden="1" customHeight="1"/>
    <row r="25" ht="15.75" hidden="1" customHeight="1"/>
    <row r="26" ht="15.75" hidden="1" customHeight="1"/>
    <row r="27" ht="15.75" hidden="1" customHeight="1"/>
    <row r="28" ht="15.75" hidden="1" customHeight="1"/>
    <row r="29" ht="15.75" hidden="1" customHeight="1"/>
    <row r="30" ht="15.75" hidden="1" customHeight="1"/>
    <row r="31" ht="15.75" hidden="1" customHeight="1"/>
    <row r="32" ht="15.75" hidden="1" customHeight="1"/>
    <row r="33" ht="15.75" hidden="1" customHeight="1"/>
    <row r="34" ht="15.75" hidden="1" customHeight="1"/>
    <row r="35" ht="15.75" hidden="1" customHeight="1"/>
    <row r="36" ht="15.75" hidden="1" customHeight="1"/>
    <row r="37" ht="15.75" hidden="1" customHeight="1"/>
    <row r="38" ht="15.75" hidden="1" customHeight="1"/>
    <row r="39" ht="15.75" hidden="1" customHeight="1"/>
    <row r="40" ht="15.75" hidden="1" customHeight="1"/>
    <row r="41" ht="15.75" hidden="1" customHeight="1"/>
    <row r="42" ht="15.75" hidden="1" customHeight="1"/>
    <row r="43" ht="15.75" hidden="1" customHeight="1"/>
    <row r="44" ht="15.75" hidden="1" customHeight="1"/>
    <row r="45" ht="15.75" hidden="1" customHeight="1"/>
    <row r="46" ht="15.75" hidden="1" customHeight="1"/>
    <row r="47" ht="15.75" hidden="1" customHeight="1"/>
    <row r="48" ht="15.75" hidden="1" customHeight="1"/>
    <row r="49" ht="15.75" hidden="1" customHeight="1"/>
    <row r="50" ht="15.75" hidden="1" customHeight="1"/>
    <row r="51" ht="15.75" hidden="1" customHeight="1"/>
    <row r="52" ht="15.75" hidden="1" customHeight="1"/>
    <row r="53" ht="15.75" hidden="1" customHeight="1"/>
    <row r="54" ht="15.75" hidden="1" customHeight="1"/>
    <row r="55" ht="15.75" hidden="1" customHeight="1"/>
    <row r="56" ht="15.75" hidden="1" customHeight="1"/>
    <row r="57" ht="15.75" hidden="1" customHeight="1"/>
    <row r="58" ht="15.75" hidden="1" customHeight="1"/>
    <row r="59" ht="15.75" hidden="1" customHeight="1"/>
    <row r="60" ht="15.75" hidden="1" customHeight="1"/>
    <row r="61" ht="15.75" hidden="1" customHeight="1"/>
    <row r="62" ht="15.75" hidden="1" customHeight="1"/>
    <row r="63" ht="15.75" hidden="1" customHeight="1"/>
    <row r="64" ht="15.75" hidden="1" customHeight="1"/>
    <row r="65" ht="15.75" hidden="1" customHeight="1"/>
    <row r="66" ht="15.75" hidden="1" customHeight="1"/>
    <row r="67" ht="15.75" hidden="1" customHeight="1"/>
    <row r="68" ht="15.75" hidden="1" customHeight="1"/>
    <row r="69" ht="15.75" hidden="1" customHeight="1"/>
    <row r="70" ht="15.75" hidden="1" customHeight="1"/>
    <row r="71" ht="15.75" hidden="1" customHeight="1"/>
    <row r="72" ht="15.75" hidden="1" customHeight="1"/>
    <row r="73" ht="15.75" hidden="1" customHeight="1"/>
    <row r="74" ht="15.75" hidden="1" customHeight="1"/>
    <row r="75" ht="15.75" hidden="1" customHeight="1"/>
    <row r="76" ht="15.75" hidden="1" customHeight="1"/>
    <row r="77" ht="15.75" hidden="1" customHeight="1"/>
    <row r="78" ht="15.75" hidden="1" customHeight="1"/>
    <row r="79" ht="15.75" hidden="1" customHeight="1"/>
    <row r="80" ht="15.75" hidden="1" customHeight="1"/>
    <row r="81" ht="15.75" hidden="1" customHeight="1"/>
    <row r="82" ht="15.75" hidden="1" customHeight="1"/>
    <row r="83" ht="15.75" hidden="1" customHeight="1"/>
    <row r="84" ht="15.75" hidden="1" customHeight="1"/>
    <row r="85" ht="15.75" hidden="1" customHeight="1"/>
    <row r="86" ht="15.75" hidden="1" customHeight="1"/>
    <row r="87" ht="15.75" hidden="1" customHeight="1"/>
    <row r="88" ht="15.75" hidden="1" customHeight="1"/>
    <row r="89" ht="15.75" hidden="1" customHeight="1"/>
    <row r="90" ht="15.75" hidden="1" customHeight="1"/>
    <row r="91" ht="15.75" hidden="1" customHeight="1"/>
    <row r="92" ht="15.75" hidden="1" customHeight="1"/>
    <row r="93" ht="15.75" hidden="1" customHeight="1"/>
    <row r="94" ht="15.75" hidden="1" customHeight="1"/>
    <row r="95" ht="15.75" hidden="1" customHeight="1"/>
    <row r="96" ht="15.75" hidden="1" customHeight="1"/>
    <row r="97" ht="15.75" hidden="1" customHeight="1"/>
    <row r="98" ht="15.75" hidden="1" customHeight="1"/>
    <row r="99" ht="15.75" hidden="1" customHeight="1"/>
    <row r="100" ht="15.75" hidden="1" customHeight="1"/>
    <row r="101" ht="15.75" hidden="1" customHeight="1"/>
    <row r="102" ht="15.75" hidden="1" customHeight="1"/>
    <row r="103" ht="15.75" hidden="1" customHeight="1"/>
    <row r="104" ht="15.75" hidden="1" customHeight="1"/>
    <row r="105" ht="15.75" hidden="1" customHeight="1"/>
    <row r="106" ht="15.75" hidden="1" customHeight="1"/>
    <row r="107" ht="15.75" hidden="1" customHeight="1"/>
    <row r="108" ht="15.75" hidden="1" customHeight="1"/>
    <row r="109" ht="15.75" hidden="1" customHeight="1"/>
    <row r="110" ht="15.75" hidden="1" customHeight="1"/>
    <row r="111" ht="15.75" hidden="1" customHeight="1"/>
    <row r="112" ht="15.75" hidden="1" customHeight="1"/>
    <row r="113" ht="15.75" hidden="1" customHeight="1"/>
    <row r="114" ht="15.75" hidden="1" customHeight="1"/>
    <row r="115" ht="15.75" hidden="1" customHeight="1"/>
    <row r="116" ht="15.75" hidden="1" customHeight="1"/>
    <row r="117" ht="15.75" hidden="1" customHeight="1"/>
    <row r="118" ht="15.75" hidden="1" customHeight="1"/>
    <row r="119" ht="15.75" hidden="1" customHeight="1"/>
    <row r="120" ht="15.75" hidden="1" customHeight="1"/>
    <row r="121" ht="15.75" hidden="1" customHeight="1"/>
    <row r="122" ht="15.75" hidden="1" customHeight="1"/>
    <row r="123" ht="15.75" hidden="1" customHeight="1"/>
    <row r="124" ht="15.75" hidden="1" customHeight="1"/>
    <row r="125" ht="15.75" hidden="1" customHeight="1"/>
    <row r="126" ht="15.75" hidden="1" customHeight="1"/>
    <row r="127" ht="15.75" hidden="1" customHeight="1"/>
    <row r="128" ht="15.75" hidden="1" customHeight="1"/>
    <row r="129" ht="15.75" hidden="1" customHeight="1"/>
    <row r="130" ht="15.75" hidden="1" customHeight="1"/>
    <row r="131" ht="15.75" hidden="1" customHeight="1"/>
    <row r="132" ht="15.75" hidden="1" customHeight="1"/>
    <row r="133" ht="15.75" hidden="1" customHeight="1"/>
    <row r="134" ht="15.75" hidden="1" customHeight="1"/>
    <row r="135" ht="15.75" hidden="1" customHeight="1"/>
    <row r="136" ht="15.75" hidden="1" customHeight="1"/>
    <row r="137" ht="15.75" hidden="1" customHeight="1"/>
    <row r="138" ht="15.75" hidden="1" customHeight="1"/>
    <row r="139" ht="15.75" hidden="1" customHeight="1"/>
    <row r="140" ht="15.75" hidden="1" customHeight="1"/>
    <row r="141" ht="15.75" hidden="1" customHeight="1"/>
    <row r="142" ht="15.75" hidden="1" customHeight="1"/>
    <row r="143" ht="15.75" hidden="1" customHeight="1"/>
    <row r="144" ht="15.75" hidden="1" customHeight="1"/>
    <row r="145" ht="15.75" hidden="1" customHeight="1"/>
    <row r="146" ht="15.75" hidden="1" customHeight="1"/>
    <row r="147" ht="15.75" hidden="1" customHeight="1"/>
    <row r="148" ht="15.75" hidden="1" customHeight="1"/>
    <row r="149" ht="15.75" hidden="1" customHeight="1"/>
    <row r="150" ht="15.75" hidden="1" customHeight="1"/>
    <row r="151" ht="15.75" hidden="1" customHeight="1"/>
    <row r="152" ht="15.75" hidden="1" customHeight="1"/>
    <row r="153" ht="15.75" hidden="1" customHeight="1"/>
    <row r="154" ht="15.75" hidden="1" customHeight="1"/>
    <row r="155" ht="15.75" hidden="1" customHeight="1"/>
    <row r="156" ht="15.75" hidden="1" customHeight="1"/>
    <row r="157" ht="15.75" hidden="1" customHeight="1"/>
    <row r="158" ht="15.75" hidden="1" customHeight="1"/>
    <row r="159" ht="15.75" hidden="1" customHeight="1"/>
    <row r="160" ht="15.75" hidden="1" customHeight="1"/>
    <row r="161" ht="15.75" hidden="1" customHeight="1"/>
    <row r="162" ht="15.75" hidden="1" customHeight="1"/>
    <row r="163" ht="15.75" hidden="1" customHeight="1"/>
    <row r="164" ht="15.75" hidden="1" customHeight="1"/>
    <row r="165" ht="15.75" hidden="1" customHeight="1"/>
    <row r="166" ht="15.75" hidden="1" customHeight="1"/>
    <row r="167" ht="15.75" hidden="1" customHeight="1"/>
    <row r="168" ht="15.75" hidden="1" customHeight="1"/>
    <row r="169" ht="15.75" hidden="1" customHeight="1"/>
    <row r="170" ht="15.75" hidden="1" customHeight="1"/>
    <row r="171" ht="15.75" hidden="1" customHeight="1"/>
    <row r="172" ht="15.75" hidden="1" customHeight="1"/>
    <row r="173" ht="15.75" hidden="1" customHeight="1"/>
    <row r="174" ht="15.75" hidden="1" customHeight="1"/>
    <row r="175" ht="15.75" hidden="1" customHeight="1"/>
    <row r="176" ht="15.75" hidden="1" customHeight="1"/>
    <row r="177" ht="15.75" hidden="1" customHeight="1"/>
    <row r="178" ht="15.75" hidden="1" customHeight="1"/>
    <row r="179" ht="15.75" hidden="1" customHeight="1"/>
    <row r="180" ht="15.75" hidden="1" customHeight="1"/>
    <row r="181" ht="15.75" hidden="1" customHeight="1"/>
    <row r="182" ht="15.75" hidden="1" customHeight="1"/>
    <row r="183" ht="15.75" hidden="1" customHeight="1"/>
    <row r="184" ht="15.75" hidden="1" customHeight="1"/>
    <row r="185" ht="15.75" hidden="1" customHeight="1"/>
    <row r="186" ht="15.75" hidden="1" customHeight="1"/>
    <row r="187" ht="15.75" hidden="1" customHeight="1"/>
    <row r="188" ht="15.75" hidden="1" customHeight="1"/>
    <row r="189" ht="15.75" hidden="1" customHeight="1"/>
    <row r="190" ht="15.75" hidden="1" customHeight="1"/>
    <row r="191" ht="15.75" hidden="1" customHeight="1"/>
    <row r="192" ht="15.75" hidden="1" customHeight="1"/>
    <row r="193" ht="15.75" hidden="1" customHeight="1"/>
    <row r="194" ht="15.75" hidden="1" customHeight="1"/>
    <row r="195" ht="15.75" hidden="1" customHeight="1"/>
    <row r="196" ht="15.75" hidden="1" customHeight="1"/>
    <row r="197" ht="15.75" hidden="1" customHeight="1"/>
    <row r="198" ht="15.75" hidden="1" customHeight="1"/>
    <row r="199" ht="15.75" hidden="1" customHeight="1"/>
    <row r="200" ht="15.75" hidden="1" customHeight="1"/>
    <row r="201" ht="15.75" hidden="1" customHeight="1"/>
    <row r="202" ht="15.75" hidden="1" customHeight="1"/>
    <row r="203" ht="15.75" hidden="1" customHeight="1"/>
    <row r="204" ht="15.75" hidden="1" customHeight="1"/>
    <row r="205" ht="15.75" hidden="1" customHeight="1"/>
    <row r="206" ht="15.75" hidden="1" customHeight="1"/>
    <row r="207" ht="15.75" hidden="1" customHeight="1"/>
    <row r="208" ht="15.75" hidden="1" customHeight="1"/>
    <row r="209" ht="15.75" hidden="1" customHeight="1"/>
    <row r="210" ht="15.75" hidden="1" customHeight="1"/>
    <row r="211" ht="15.75" hidden="1" customHeight="1"/>
    <row r="212" ht="15.75" hidden="1" customHeight="1"/>
    <row r="213" ht="15.75" hidden="1" customHeight="1"/>
    <row r="214" ht="15.75" hidden="1" customHeight="1"/>
    <row r="215" ht="15.75" hidden="1" customHeight="1"/>
    <row r="216" ht="15.75" hidden="1" customHeight="1"/>
    <row r="217" ht="15.75" hidden="1" customHeight="1"/>
    <row r="218" ht="15.75" hidden="1" customHeight="1"/>
    <row r="219" ht="15.75" hidden="1" customHeight="1"/>
    <row r="220" ht="15.75" hidden="1"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63"/>
    <col customWidth="1" min="2" max="2" width="29.13"/>
    <col customWidth="1" min="3" max="3" width="10.13"/>
    <col customWidth="1" min="4" max="7" width="10.63"/>
    <col customWidth="1" min="8" max="14" width="8.63"/>
    <col customWidth="1" min="15" max="15" width="2.5"/>
    <col customWidth="1" hidden="1" min="16" max="27" width="8.63"/>
  </cols>
  <sheetData>
    <row r="1" ht="14.25" customHeight="1">
      <c r="A1" s="54" t="s">
        <v>62</v>
      </c>
      <c r="B1" s="46" t="s">
        <v>63</v>
      </c>
      <c r="C1" s="48">
        <f>Revival!C8</f>
        <v>500000</v>
      </c>
      <c r="D1" s="42"/>
      <c r="E1" s="42"/>
      <c r="F1" s="42"/>
      <c r="G1" s="42"/>
      <c r="H1" s="39"/>
      <c r="I1" s="39"/>
      <c r="J1" s="39"/>
      <c r="K1" s="39"/>
      <c r="L1" s="39"/>
      <c r="M1" s="39"/>
      <c r="N1" s="39"/>
      <c r="O1" s="39"/>
      <c r="P1" s="39"/>
      <c r="Q1" s="39"/>
      <c r="R1" s="39"/>
      <c r="S1" s="39"/>
      <c r="T1" s="39"/>
      <c r="U1" s="39"/>
      <c r="V1" s="39"/>
      <c r="W1" s="39"/>
      <c r="X1" s="39"/>
      <c r="Y1" s="39"/>
      <c r="Z1" s="39"/>
      <c r="AA1" s="39"/>
    </row>
    <row r="2" ht="14.25" customHeight="1">
      <c r="A2" s="39"/>
      <c r="B2" s="46" t="s">
        <v>64</v>
      </c>
      <c r="C2" s="48">
        <f>SV</f>
        <v>650000</v>
      </c>
      <c r="D2" s="42"/>
      <c r="E2" s="42"/>
      <c r="F2" s="42"/>
      <c r="G2" s="42"/>
      <c r="H2" s="39"/>
      <c r="I2" s="39"/>
      <c r="J2" s="39"/>
      <c r="K2" s="39"/>
      <c r="L2" s="39"/>
      <c r="M2" s="39"/>
      <c r="N2" s="39"/>
      <c r="O2" s="39"/>
      <c r="P2" s="39"/>
      <c r="Q2" s="39"/>
      <c r="R2" s="39"/>
      <c r="S2" s="39"/>
      <c r="T2" s="39"/>
      <c r="U2" s="39"/>
      <c r="V2" s="39"/>
      <c r="W2" s="39"/>
      <c r="X2" s="39"/>
      <c r="Y2" s="39"/>
      <c r="Z2" s="39"/>
      <c r="AA2" s="39"/>
    </row>
    <row r="3" ht="14.25" customHeight="1">
      <c r="A3" s="39"/>
      <c r="B3" s="46" t="s">
        <v>58</v>
      </c>
      <c r="C3" s="55">
        <f>'Returns and Effective charges'!E1</f>
        <v>0.08876877861</v>
      </c>
      <c r="D3" s="42"/>
      <c r="E3" s="42"/>
      <c r="F3" s="42"/>
      <c r="G3" s="42"/>
      <c r="H3" s="39"/>
      <c r="I3" s="39"/>
      <c r="J3" s="39"/>
      <c r="K3" s="39"/>
      <c r="L3" s="39"/>
      <c r="M3" s="39"/>
      <c r="N3" s="39"/>
      <c r="O3" s="39"/>
      <c r="P3" s="39"/>
      <c r="Q3" s="39"/>
      <c r="R3" s="39"/>
      <c r="S3" s="39"/>
      <c r="T3" s="39"/>
      <c r="U3" s="39"/>
      <c r="V3" s="39"/>
      <c r="W3" s="39"/>
      <c r="X3" s="39"/>
      <c r="Y3" s="39"/>
      <c r="Z3" s="39"/>
      <c r="AA3" s="39"/>
    </row>
    <row r="4" ht="14.25" customHeight="1">
      <c r="A4" s="39"/>
      <c r="B4" s="46" t="s">
        <v>65</v>
      </c>
      <c r="C4" s="56">
        <f>'Returns and Effective charges'!E2</f>
        <v>0.04563322139</v>
      </c>
      <c r="D4" s="42"/>
      <c r="E4" s="42"/>
      <c r="F4" s="42"/>
      <c r="G4" s="42"/>
      <c r="H4" s="39"/>
      <c r="I4" s="39"/>
      <c r="J4" s="39"/>
      <c r="K4" s="39"/>
      <c r="L4" s="39"/>
      <c r="M4" s="39"/>
      <c r="N4" s="39"/>
      <c r="O4" s="39"/>
      <c r="P4" s="39"/>
      <c r="Q4" s="39"/>
      <c r="R4" s="39"/>
      <c r="S4" s="39"/>
      <c r="T4" s="39"/>
      <c r="U4" s="39"/>
      <c r="V4" s="39"/>
      <c r="W4" s="39"/>
      <c r="X4" s="39"/>
      <c r="Y4" s="39"/>
      <c r="Z4" s="39"/>
      <c r="AA4" s="39"/>
    </row>
    <row r="5" ht="14.25" customHeight="1">
      <c r="A5" s="57"/>
      <c r="B5" s="58"/>
      <c r="C5" s="59"/>
      <c r="D5" s="59"/>
      <c r="E5" s="59"/>
      <c r="F5" s="59"/>
      <c r="G5" s="59"/>
      <c r="H5" s="57"/>
      <c r="I5" s="57"/>
      <c r="J5" s="57"/>
      <c r="K5" s="57"/>
      <c r="L5" s="57"/>
      <c r="M5" s="57"/>
      <c r="N5" s="57"/>
      <c r="O5" s="57"/>
      <c r="P5" s="57"/>
      <c r="Q5" s="57"/>
      <c r="R5" s="57"/>
      <c r="S5" s="57"/>
      <c r="T5" s="57"/>
      <c r="U5" s="57"/>
      <c r="V5" s="57"/>
      <c r="W5" s="57"/>
      <c r="X5" s="57"/>
      <c r="Y5" s="57"/>
      <c r="Z5" s="57"/>
      <c r="AA5" s="57"/>
    </row>
    <row r="6" ht="14.25" customHeight="1">
      <c r="A6" s="60" t="s">
        <v>66</v>
      </c>
      <c r="B6" s="37" t="s">
        <v>50</v>
      </c>
      <c r="C6" s="38" t="s">
        <v>51</v>
      </c>
      <c r="D6" s="38" t="s">
        <v>52</v>
      </c>
      <c r="E6" s="38" t="s">
        <v>53</v>
      </c>
      <c r="F6" s="38" t="s">
        <v>54</v>
      </c>
      <c r="G6" s="38" t="s">
        <v>55</v>
      </c>
      <c r="H6" s="39"/>
      <c r="I6" s="39"/>
      <c r="J6" s="39"/>
      <c r="K6" s="39"/>
      <c r="L6" s="39"/>
      <c r="M6" s="39"/>
      <c r="N6" s="39"/>
      <c r="O6" s="39"/>
      <c r="P6" s="39"/>
      <c r="Q6" s="39"/>
      <c r="R6" s="39"/>
      <c r="S6" s="39"/>
      <c r="T6" s="39"/>
      <c r="U6" s="39"/>
      <c r="V6" s="39"/>
      <c r="W6" s="39"/>
      <c r="X6" s="39"/>
      <c r="Y6" s="39"/>
      <c r="Z6" s="39"/>
      <c r="AA6" s="39"/>
    </row>
    <row r="7" ht="14.25" customHeight="1">
      <c r="B7" s="37">
        <v>6.0</v>
      </c>
      <c r="C7" s="41">
        <v>600000.0</v>
      </c>
      <c r="D7" s="41">
        <v>672750.0</v>
      </c>
      <c r="E7" s="41">
        <v>789366.1164699894</v>
      </c>
      <c r="F7" s="41">
        <v>759971.5278602329</v>
      </c>
      <c r="G7" s="41">
        <v>846387.1063099997</v>
      </c>
      <c r="H7" s="39"/>
      <c r="I7" s="39"/>
      <c r="J7" s="39"/>
      <c r="K7" s="39"/>
      <c r="L7" s="39"/>
      <c r="M7" s="39"/>
      <c r="N7" s="39"/>
      <c r="O7" s="39"/>
      <c r="P7" s="39"/>
      <c r="Q7" s="39"/>
      <c r="R7" s="39"/>
      <c r="S7" s="39"/>
      <c r="T7" s="39"/>
      <c r="U7" s="39"/>
      <c r="V7" s="39"/>
      <c r="W7" s="39"/>
      <c r="X7" s="39"/>
      <c r="Y7" s="39"/>
      <c r="Z7" s="39"/>
      <c r="AA7" s="39"/>
    </row>
    <row r="8" ht="14.25" customHeight="1">
      <c r="A8" s="39"/>
      <c r="B8" s="37">
        <v>7.0</v>
      </c>
      <c r="C8" s="41">
        <v>700000.0</v>
      </c>
      <c r="D8" s="41">
        <v>696296.2500000002</v>
      </c>
      <c r="E8" s="41">
        <v>937800.8031057465</v>
      </c>
      <c r="F8" s="41">
        <v>872748.6274853746</v>
      </c>
      <c r="G8" s="41">
        <v>1070566.8644169685</v>
      </c>
      <c r="H8" s="39"/>
      <c r="I8" s="39"/>
      <c r="J8" s="39"/>
      <c r="K8" s="39"/>
      <c r="L8" s="39"/>
      <c r="M8" s="39"/>
      <c r="N8" s="39"/>
      <c r="O8" s="39"/>
      <c r="P8" s="39"/>
      <c r="Q8" s="39"/>
      <c r="R8" s="39"/>
      <c r="S8" s="39"/>
      <c r="T8" s="39"/>
      <c r="U8" s="39"/>
      <c r="V8" s="39"/>
      <c r="W8" s="39"/>
      <c r="X8" s="39"/>
      <c r="Y8" s="39"/>
      <c r="Z8" s="39"/>
      <c r="AA8" s="39"/>
    </row>
    <row r="9" ht="14.25" customHeight="1">
      <c r="A9" s="39"/>
      <c r="B9" s="37">
        <v>8.0</v>
      </c>
      <c r="C9" s="41">
        <v>800000.0</v>
      </c>
      <c r="D9" s="41">
        <v>720666.6187500001</v>
      </c>
      <c r="E9" s="41">
        <v>1095790.3968577003</v>
      </c>
      <c r="F9" s="41">
        <v>988283.3783170495</v>
      </c>
      <c r="G9" s="41">
        <v>1326010.666566982</v>
      </c>
      <c r="H9" s="39"/>
      <c r="I9" s="39"/>
      <c r="J9" s="39"/>
      <c r="K9" s="39"/>
      <c r="L9" s="39"/>
      <c r="M9" s="39"/>
      <c r="N9" s="39"/>
      <c r="O9" s="39"/>
      <c r="P9" s="39"/>
      <c r="Q9" s="39"/>
      <c r="R9" s="39"/>
      <c r="S9" s="39"/>
      <c r="T9" s="39"/>
      <c r="U9" s="39"/>
      <c r="V9" s="39"/>
      <c r="W9" s="39"/>
      <c r="X9" s="39"/>
      <c r="Y9" s="39"/>
      <c r="Z9" s="39"/>
      <c r="AA9" s="39"/>
    </row>
    <row r="10" ht="14.25" customHeight="1">
      <c r="A10" s="39"/>
      <c r="B10" s="37">
        <v>9.0</v>
      </c>
      <c r="C10" s="41">
        <v>900000.0</v>
      </c>
      <c r="D10" s="41">
        <v>745889.9504062502</v>
      </c>
      <c r="E10" s="41">
        <v>1263722.256753109</v>
      </c>
      <c r="F10" s="41">
        <v>1106390.7934447173</v>
      </c>
      <c r="G10" s="41">
        <v>1617035.0348186505</v>
      </c>
      <c r="H10" s="39"/>
      <c r="I10" s="39"/>
      <c r="J10" s="39"/>
      <c r="K10" s="39"/>
      <c r="L10" s="39"/>
      <c r="M10" s="39"/>
      <c r="N10" s="39"/>
      <c r="O10" s="39"/>
      <c r="P10" s="39"/>
      <c r="Q10" s="39"/>
      <c r="R10" s="39"/>
      <c r="S10" s="39"/>
      <c r="T10" s="39"/>
      <c r="U10" s="39"/>
      <c r="V10" s="39"/>
      <c r="W10" s="39"/>
      <c r="X10" s="39"/>
      <c r="Y10" s="39"/>
      <c r="Z10" s="39"/>
      <c r="AA10" s="39"/>
    </row>
    <row r="11" ht="14.25" customHeight="1">
      <c r="A11" s="39"/>
      <c r="B11" s="37">
        <v>10.0</v>
      </c>
      <c r="C11" s="41">
        <v>1000000.0</v>
      </c>
      <c r="D11" s="41">
        <v>771996.098670469</v>
      </c>
      <c r="E11" s="41">
        <v>1442222.0484052575</v>
      </c>
      <c r="F11" s="41">
        <v>1227077.8443515988</v>
      </c>
      <c r="G11" s="41">
        <v>1948595.9582132376</v>
      </c>
      <c r="H11" s="39"/>
      <c r="I11" s="39"/>
      <c r="J11" s="39"/>
      <c r="K11" s="39"/>
      <c r="L11" s="39"/>
      <c r="M11" s="39"/>
      <c r="N11" s="39"/>
      <c r="O11" s="39"/>
      <c r="P11" s="39"/>
      <c r="Q11" s="39"/>
      <c r="R11" s="39"/>
      <c r="S11" s="39"/>
      <c r="T11" s="39"/>
      <c r="U11" s="39"/>
      <c r="V11" s="39"/>
      <c r="W11" s="39"/>
      <c r="X11" s="39"/>
      <c r="Y11" s="39"/>
      <c r="Z11" s="39"/>
      <c r="AA11" s="39"/>
    </row>
    <row r="12" ht="14.25" customHeight="1">
      <c r="A12" s="39"/>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row>
    <row r="13" ht="14.25" customHeight="1">
      <c r="A13" s="39"/>
      <c r="B13" s="43"/>
      <c r="C13" s="44">
        <v>0.08</v>
      </c>
      <c r="D13" s="44">
        <v>0.04</v>
      </c>
      <c r="E13" s="61" t="str">
        <f>"Historical Growth= "&amp;'Pre-Calculation'!D24&amp;"."&amp;'Pre-Calculation'!D25&amp;"%"</f>
        <v>Historical Growth= 13.93%</v>
      </c>
      <c r="F13" s="42"/>
      <c r="G13" s="42"/>
      <c r="H13" s="39"/>
      <c r="I13" s="39"/>
      <c r="J13" s="39"/>
      <c r="K13" s="39"/>
      <c r="L13" s="39"/>
      <c r="M13" s="39"/>
      <c r="N13" s="39"/>
      <c r="O13" s="39"/>
      <c r="P13" s="39"/>
      <c r="Q13" s="39"/>
      <c r="R13" s="39"/>
      <c r="S13" s="39"/>
      <c r="T13" s="39"/>
      <c r="U13" s="39"/>
      <c r="V13" s="39"/>
      <c r="W13" s="39"/>
      <c r="X13" s="39"/>
      <c r="Y13" s="39"/>
      <c r="Z13" s="39"/>
      <c r="AA13" s="39"/>
    </row>
    <row r="14" ht="14.25" customHeight="1">
      <c r="A14" s="39"/>
      <c r="B14" s="46" t="s">
        <v>67</v>
      </c>
      <c r="C14" s="47">
        <v>1442222.0484052575</v>
      </c>
      <c r="D14" s="48">
        <v>1227077.8443515988</v>
      </c>
      <c r="E14" s="49">
        <v>1948595.9582132376</v>
      </c>
      <c r="F14" s="42"/>
      <c r="G14" s="42"/>
      <c r="H14" s="39"/>
      <c r="I14" s="39"/>
      <c r="J14" s="39"/>
      <c r="K14" s="39"/>
      <c r="L14" s="39"/>
      <c r="M14" s="39"/>
      <c r="N14" s="39"/>
      <c r="O14" s="39"/>
      <c r="P14" s="39"/>
      <c r="Q14" s="39"/>
      <c r="R14" s="39"/>
      <c r="S14" s="39"/>
      <c r="T14" s="39"/>
      <c r="U14" s="39"/>
      <c r="V14" s="39"/>
      <c r="W14" s="39"/>
      <c r="X14" s="39"/>
      <c r="Y14" s="39"/>
      <c r="Z14" s="39"/>
      <c r="AA14" s="39"/>
    </row>
    <row r="15" ht="14.25" customHeight="1">
      <c r="A15" s="39"/>
      <c r="B15" s="46" t="s">
        <v>58</v>
      </c>
      <c r="C15" s="50">
        <v>0.06562286150207286</v>
      </c>
      <c r="D15" s="50">
        <v>0.036887517783161794</v>
      </c>
      <c r="E15" s="50">
        <v>0.11849553192848461</v>
      </c>
      <c r="F15" s="42"/>
      <c r="G15" s="42"/>
      <c r="H15" s="39"/>
      <c r="I15" s="39"/>
      <c r="J15" s="39"/>
      <c r="K15" s="39"/>
      <c r="L15" s="39"/>
      <c r="M15" s="39"/>
      <c r="N15" s="39"/>
      <c r="O15" s="39"/>
      <c r="P15" s="39"/>
      <c r="Q15" s="39"/>
      <c r="R15" s="39"/>
      <c r="S15" s="39"/>
      <c r="T15" s="39"/>
      <c r="U15" s="39"/>
      <c r="V15" s="39"/>
      <c r="W15" s="39"/>
      <c r="X15" s="39"/>
      <c r="Y15" s="39"/>
      <c r="Z15" s="39"/>
      <c r="AA15" s="39"/>
    </row>
    <row r="16" ht="14.25" customHeight="1">
      <c r="A16" s="39"/>
      <c r="B16" s="46" t="s">
        <v>59</v>
      </c>
      <c r="C16" s="51">
        <v>0.022919814196018004</v>
      </c>
      <c r="D16" s="50">
        <v>0.023635981799683813</v>
      </c>
      <c r="E16" s="50">
        <v>0.003963778672380042</v>
      </c>
      <c r="F16" s="42"/>
      <c r="G16" s="42"/>
      <c r="H16" s="39"/>
      <c r="I16" s="39"/>
      <c r="J16" s="39"/>
      <c r="K16" s="39"/>
      <c r="L16" s="39"/>
      <c r="M16" s="39"/>
      <c r="N16" s="39"/>
      <c r="O16" s="39"/>
      <c r="P16" s="39"/>
      <c r="Q16" s="39"/>
      <c r="R16" s="39"/>
      <c r="S16" s="39"/>
      <c r="T16" s="39"/>
      <c r="U16" s="39"/>
      <c r="V16" s="39"/>
      <c r="W16" s="39"/>
      <c r="X16" s="39"/>
      <c r="Y16" s="39"/>
      <c r="Z16" s="39"/>
      <c r="AA16" s="39"/>
    </row>
    <row r="17" ht="14.25" customHeight="1">
      <c r="A17" s="39"/>
      <c r="B17" s="46" t="s">
        <v>60</v>
      </c>
      <c r="C17" s="50">
        <v>0.02019778566925183</v>
      </c>
      <c r="D17" s="50">
        <v>0.020201876869557954</v>
      </c>
      <c r="E17" s="42"/>
      <c r="F17" s="42"/>
      <c r="G17" s="42"/>
      <c r="H17" s="39"/>
      <c r="I17" s="39"/>
      <c r="J17" s="39"/>
      <c r="K17" s="39"/>
      <c r="L17" s="39"/>
      <c r="M17" s="39"/>
      <c r="N17" s="39"/>
      <c r="O17" s="39"/>
      <c r="P17" s="39"/>
      <c r="Q17" s="39"/>
      <c r="R17" s="39"/>
      <c r="S17" s="39"/>
      <c r="T17" s="39"/>
      <c r="U17" s="39"/>
      <c r="V17" s="39"/>
      <c r="W17" s="39"/>
      <c r="X17" s="39"/>
      <c r="Y17" s="39"/>
      <c r="Z17" s="39"/>
      <c r="AA17" s="39"/>
    </row>
    <row r="18" ht="14.25" customHeight="1">
      <c r="A18" s="39"/>
      <c r="B18" s="52"/>
      <c r="C18" s="42"/>
      <c r="D18" s="42"/>
      <c r="E18" s="42"/>
      <c r="F18" s="42"/>
      <c r="G18" s="42"/>
      <c r="H18" s="39"/>
      <c r="I18" s="39"/>
      <c r="J18" s="39"/>
      <c r="K18" s="39"/>
      <c r="L18" s="39"/>
      <c r="M18" s="39"/>
      <c r="N18" s="39"/>
      <c r="O18" s="39"/>
      <c r="P18" s="39"/>
      <c r="Q18" s="39"/>
      <c r="R18" s="39"/>
      <c r="S18" s="39"/>
      <c r="T18" s="39"/>
      <c r="U18" s="39"/>
      <c r="V18" s="39"/>
      <c r="W18" s="39"/>
      <c r="X18" s="39"/>
      <c r="Y18" s="39"/>
      <c r="Z18" s="39"/>
      <c r="AA18" s="39"/>
    </row>
    <row r="19" ht="14.25" customHeight="1">
      <c r="A19" s="39"/>
      <c r="B19" s="52"/>
      <c r="C19" s="42"/>
      <c r="D19" s="42"/>
      <c r="E19" s="42"/>
      <c r="F19" s="42"/>
      <c r="G19" s="42"/>
      <c r="H19" s="39"/>
      <c r="I19" s="39"/>
      <c r="J19" s="39"/>
      <c r="K19" s="39"/>
      <c r="L19" s="39"/>
      <c r="M19" s="39"/>
      <c r="N19" s="39"/>
      <c r="O19" s="39"/>
      <c r="P19" s="39"/>
      <c r="Q19" s="39"/>
      <c r="R19" s="39"/>
      <c r="S19" s="39"/>
      <c r="T19" s="39"/>
      <c r="U19" s="39"/>
      <c r="V19" s="39"/>
      <c r="W19" s="39"/>
      <c r="X19" s="39"/>
      <c r="Y19" s="39"/>
      <c r="Z19" s="39"/>
      <c r="AA19" s="39"/>
    </row>
    <row r="20" ht="14.25" customHeight="1">
      <c r="A20" s="39"/>
      <c r="B20" s="52"/>
      <c r="C20" s="42"/>
      <c r="D20" s="42"/>
      <c r="E20" s="42"/>
      <c r="F20" s="42"/>
      <c r="G20" s="42"/>
      <c r="H20" s="39"/>
      <c r="I20" s="39"/>
      <c r="J20" s="39"/>
      <c r="K20" s="39"/>
      <c r="L20" s="39"/>
      <c r="M20" s="39"/>
      <c r="N20" s="39"/>
      <c r="O20" s="39"/>
      <c r="P20" s="39"/>
      <c r="Q20" s="39"/>
      <c r="R20" s="39"/>
      <c r="S20" s="39"/>
      <c r="T20" s="39"/>
      <c r="U20" s="39"/>
      <c r="V20" s="39"/>
      <c r="W20" s="39"/>
      <c r="X20" s="39"/>
      <c r="Y20" s="39"/>
      <c r="Z20" s="39"/>
      <c r="AA20" s="39"/>
    </row>
    <row r="21" ht="14.25" customHeight="1">
      <c r="A21" s="39"/>
      <c r="B21" s="52"/>
      <c r="C21" s="42"/>
      <c r="D21" s="42"/>
      <c r="E21" s="42"/>
      <c r="F21" s="42"/>
      <c r="G21" s="42"/>
      <c r="H21" s="39"/>
      <c r="I21" s="39"/>
      <c r="J21" s="39"/>
      <c r="K21" s="39"/>
      <c r="L21" s="39"/>
      <c r="M21" s="39"/>
      <c r="N21" s="39"/>
      <c r="O21" s="39"/>
      <c r="P21" s="39"/>
      <c r="Q21" s="39"/>
      <c r="R21" s="39"/>
      <c r="S21" s="39"/>
      <c r="T21" s="39"/>
      <c r="U21" s="39"/>
      <c r="V21" s="39"/>
      <c r="W21" s="39"/>
      <c r="X21" s="39"/>
      <c r="Y21" s="39"/>
      <c r="Z21" s="39"/>
      <c r="AA21" s="39"/>
    </row>
    <row r="22" ht="14.25" customHeight="1">
      <c r="A22" s="39"/>
      <c r="B22" s="52"/>
      <c r="C22" s="42"/>
      <c r="D22" s="42"/>
      <c r="E22" s="42"/>
      <c r="F22" s="42"/>
      <c r="G22" s="42"/>
      <c r="H22" s="39"/>
      <c r="I22" s="39"/>
      <c r="J22" s="39"/>
      <c r="K22" s="39"/>
      <c r="L22" s="39"/>
      <c r="M22" s="39"/>
      <c r="N22" s="39"/>
      <c r="O22" s="39"/>
      <c r="P22" s="39"/>
      <c r="Q22" s="39"/>
      <c r="R22" s="39"/>
      <c r="S22" s="39"/>
      <c r="T22" s="39"/>
      <c r="U22" s="39"/>
      <c r="V22" s="39"/>
      <c r="W22" s="39"/>
      <c r="X22" s="39"/>
      <c r="Y22" s="39"/>
      <c r="Z22" s="39"/>
      <c r="AA22" s="39"/>
    </row>
    <row r="23" ht="14.25" customHeight="1">
      <c r="A23" s="39"/>
      <c r="B23" s="52"/>
      <c r="C23" s="42"/>
      <c r="D23" s="42"/>
      <c r="E23" s="42"/>
      <c r="F23" s="42"/>
      <c r="G23" s="42"/>
      <c r="H23" s="39"/>
      <c r="I23" s="39"/>
      <c r="J23" s="39"/>
      <c r="K23" s="39"/>
      <c r="L23" s="39"/>
      <c r="M23" s="39"/>
      <c r="N23" s="39"/>
      <c r="O23" s="39"/>
      <c r="P23" s="39"/>
      <c r="Q23" s="39"/>
      <c r="R23" s="39"/>
      <c r="S23" s="39"/>
      <c r="T23" s="39"/>
      <c r="U23" s="39"/>
      <c r="V23" s="39"/>
      <c r="W23" s="39"/>
      <c r="X23" s="39"/>
      <c r="Y23" s="39"/>
      <c r="Z23" s="39"/>
      <c r="AA23" s="39"/>
    </row>
    <row r="24" ht="14.25" customHeight="1">
      <c r="A24" s="39"/>
      <c r="B24" s="52"/>
      <c r="C24" s="42"/>
      <c r="D24" s="42"/>
      <c r="E24" s="42"/>
      <c r="F24" s="42"/>
      <c r="G24" s="42"/>
      <c r="H24" s="39"/>
      <c r="I24" s="39"/>
      <c r="J24" s="39"/>
      <c r="K24" s="39"/>
      <c r="L24" s="39"/>
      <c r="M24" s="39"/>
      <c r="N24" s="39"/>
      <c r="O24" s="39"/>
      <c r="P24" s="39"/>
      <c r="Q24" s="39"/>
      <c r="R24" s="39"/>
      <c r="S24" s="39"/>
      <c r="T24" s="39"/>
      <c r="U24" s="39"/>
      <c r="V24" s="39"/>
      <c r="W24" s="39"/>
      <c r="X24" s="39"/>
      <c r="Y24" s="39"/>
      <c r="Z24" s="39"/>
      <c r="AA24" s="39"/>
    </row>
    <row r="25" ht="14.25" customHeight="1">
      <c r="A25" s="39"/>
      <c r="B25" s="52"/>
      <c r="C25" s="42"/>
      <c r="D25" s="42"/>
      <c r="E25" s="42"/>
      <c r="F25" s="42"/>
      <c r="G25" s="42"/>
      <c r="H25" s="39"/>
      <c r="I25" s="39"/>
      <c r="J25" s="39"/>
      <c r="K25" s="39"/>
      <c r="L25" s="39"/>
      <c r="M25" s="39"/>
      <c r="N25" s="39"/>
      <c r="O25" s="39"/>
      <c r="P25" s="39"/>
      <c r="Q25" s="39"/>
      <c r="R25" s="39"/>
      <c r="S25" s="39"/>
      <c r="T25" s="39"/>
      <c r="U25" s="39"/>
      <c r="V25" s="39"/>
      <c r="W25" s="39"/>
      <c r="X25" s="39"/>
      <c r="Y25" s="39"/>
      <c r="Z25" s="39"/>
      <c r="AA25" s="39"/>
    </row>
    <row r="26" ht="14.25" customHeight="1">
      <c r="A26" s="57"/>
      <c r="B26" s="58"/>
      <c r="C26" s="59"/>
      <c r="D26" s="59"/>
      <c r="E26" s="59"/>
      <c r="F26" s="59"/>
      <c r="G26" s="59"/>
      <c r="H26" s="57"/>
      <c r="I26" s="57"/>
      <c r="J26" s="57"/>
      <c r="K26" s="57"/>
      <c r="L26" s="57"/>
      <c r="M26" s="57"/>
      <c r="N26" s="57"/>
      <c r="O26" s="57"/>
      <c r="P26" s="57"/>
      <c r="Q26" s="57"/>
      <c r="R26" s="57"/>
      <c r="S26" s="57"/>
      <c r="T26" s="57"/>
      <c r="U26" s="57"/>
      <c r="V26" s="57"/>
      <c r="W26" s="57"/>
      <c r="X26" s="57"/>
      <c r="Y26" s="57"/>
      <c r="Z26" s="57"/>
      <c r="AA26" s="57"/>
    </row>
    <row r="27" ht="14.25" customHeight="1">
      <c r="A27" s="60" t="s">
        <v>5</v>
      </c>
      <c r="B27" s="62" t="s">
        <v>50</v>
      </c>
      <c r="C27" s="46" t="s">
        <v>51</v>
      </c>
      <c r="D27" s="46" t="s">
        <v>52</v>
      </c>
      <c r="E27" s="46" t="s">
        <v>53</v>
      </c>
      <c r="F27" s="46" t="s">
        <v>54</v>
      </c>
      <c r="G27" s="46" t="s">
        <v>55</v>
      </c>
      <c r="H27" s="39"/>
      <c r="I27" s="39"/>
      <c r="J27" s="39"/>
      <c r="K27" s="39"/>
      <c r="L27" s="39"/>
      <c r="M27" s="39"/>
      <c r="N27" s="39"/>
      <c r="O27" s="39"/>
      <c r="P27" s="39"/>
      <c r="Q27" s="39"/>
      <c r="R27" s="39"/>
      <c r="S27" s="39"/>
      <c r="T27" s="39"/>
      <c r="U27" s="39"/>
      <c r="V27" s="39"/>
      <c r="W27" s="39"/>
      <c r="X27" s="39"/>
      <c r="Y27" s="39"/>
      <c r="Z27" s="39"/>
      <c r="AA27" s="39"/>
    </row>
    <row r="28" ht="14.25" customHeight="1">
      <c r="A28" s="12"/>
      <c r="B28" s="63">
        <v>6.0</v>
      </c>
      <c r="C28" s="48">
        <v>600000.0</v>
      </c>
      <c r="D28" s="48">
        <v>672750.0</v>
      </c>
      <c r="E28" s="48">
        <v>789806.305233374</v>
      </c>
      <c r="F28" s="48">
        <v>760402.7496959438</v>
      </c>
      <c r="G28" s="48">
        <v>846825.4182642043</v>
      </c>
      <c r="H28" s="39"/>
      <c r="I28" s="39"/>
      <c r="J28" s="39"/>
      <c r="K28" s="39"/>
      <c r="L28" s="39"/>
      <c r="M28" s="39"/>
      <c r="N28" s="39"/>
      <c r="O28" s="39"/>
      <c r="P28" s="39"/>
      <c r="Q28" s="39"/>
      <c r="R28" s="39"/>
      <c r="S28" s="39"/>
      <c r="T28" s="39"/>
      <c r="U28" s="39"/>
      <c r="V28" s="39"/>
      <c r="W28" s="39"/>
      <c r="X28" s="39"/>
      <c r="Y28" s="39"/>
      <c r="Z28" s="39"/>
      <c r="AA28" s="39"/>
    </row>
    <row r="29" ht="14.25" customHeight="1">
      <c r="A29" s="39"/>
      <c r="B29" s="63">
        <v>7.0</v>
      </c>
      <c r="C29" s="48">
        <v>700000.0</v>
      </c>
      <c r="D29" s="48">
        <v>696296.2500000002</v>
      </c>
      <c r="E29" s="48">
        <v>938482.6230240999</v>
      </c>
      <c r="F29" s="48">
        <v>873399.1873698579</v>
      </c>
      <c r="G29" s="48">
        <v>1071104.4505215306</v>
      </c>
      <c r="H29" s="39"/>
      <c r="I29" s="39"/>
      <c r="J29" s="39"/>
      <c r="K29" s="39"/>
      <c r="L29" s="39"/>
      <c r="M29" s="39"/>
      <c r="N29" s="39"/>
      <c r="O29" s="39"/>
      <c r="P29" s="39"/>
      <c r="Q29" s="39"/>
      <c r="R29" s="39"/>
      <c r="S29" s="39"/>
      <c r="T29" s="39"/>
      <c r="U29" s="39"/>
      <c r="V29" s="39"/>
      <c r="W29" s="39"/>
      <c r="X29" s="39"/>
      <c r="Y29" s="39"/>
      <c r="Z29" s="39"/>
      <c r="AA29" s="39"/>
    </row>
    <row r="30" ht="14.25" customHeight="1">
      <c r="A30" s="39"/>
      <c r="B30" s="63">
        <v>8.0</v>
      </c>
      <c r="C30" s="48">
        <v>800000.0</v>
      </c>
      <c r="D30" s="48">
        <v>720666.6187500001</v>
      </c>
      <c r="E30" s="48">
        <v>1096515.123621556</v>
      </c>
      <c r="F30" s="48">
        <v>988949.1549953707</v>
      </c>
      <c r="G30" s="48">
        <v>1326623.1326168305</v>
      </c>
      <c r="H30" s="39"/>
      <c r="I30" s="39"/>
      <c r="J30" s="39"/>
      <c r="K30" s="39"/>
      <c r="L30" s="39"/>
      <c r="M30" s="39"/>
      <c r="N30" s="39"/>
      <c r="O30" s="39"/>
      <c r="P30" s="39"/>
      <c r="Q30" s="39"/>
      <c r="R30" s="39"/>
      <c r="S30" s="39"/>
      <c r="T30" s="39"/>
      <c r="U30" s="39"/>
      <c r="V30" s="39"/>
      <c r="W30" s="39"/>
      <c r="X30" s="39"/>
      <c r="Y30" s="39"/>
      <c r="Z30" s="39"/>
      <c r="AA30" s="39"/>
    </row>
    <row r="31" ht="14.25" customHeight="1">
      <c r="A31" s="39"/>
      <c r="B31" s="63">
        <v>9.0</v>
      </c>
      <c r="C31" s="48">
        <v>800000.0</v>
      </c>
      <c r="D31" s="48">
        <v>745889.9504062502</v>
      </c>
      <c r="E31" s="48">
        <v>1158199.602505735</v>
      </c>
      <c r="F31" s="48">
        <v>1004720.815189089</v>
      </c>
      <c r="G31" s="48">
        <v>1503803.8895080748</v>
      </c>
      <c r="H31" s="39"/>
      <c r="I31" s="39"/>
      <c r="J31" s="39"/>
      <c r="K31" s="39"/>
      <c r="L31" s="39"/>
      <c r="M31" s="39"/>
      <c r="N31" s="39"/>
      <c r="O31" s="39"/>
      <c r="P31" s="39"/>
      <c r="Q31" s="39"/>
      <c r="R31" s="39"/>
      <c r="S31" s="39"/>
      <c r="T31" s="39"/>
      <c r="U31" s="39"/>
      <c r="V31" s="39"/>
      <c r="W31" s="39"/>
      <c r="X31" s="39"/>
      <c r="Y31" s="39"/>
      <c r="Z31" s="39"/>
      <c r="AA31" s="39"/>
    </row>
    <row r="32" ht="14.25" customHeight="1">
      <c r="A32" s="39"/>
      <c r="B32" s="63">
        <v>10.0</v>
      </c>
      <c r="C32" s="48">
        <v>800000.0</v>
      </c>
      <c r="D32" s="48">
        <v>771996.098670469</v>
      </c>
      <c r="E32" s="48">
        <v>1223765.8782312279</v>
      </c>
      <c r="F32" s="48">
        <v>1020679.4538183177</v>
      </c>
      <c r="G32" s="48">
        <v>1705664.0145399799</v>
      </c>
      <c r="H32" s="39"/>
      <c r="I32" s="39"/>
      <c r="J32" s="39"/>
      <c r="K32" s="39"/>
      <c r="L32" s="39"/>
      <c r="M32" s="39"/>
      <c r="N32" s="39"/>
      <c r="O32" s="39"/>
      <c r="P32" s="39"/>
      <c r="Q32" s="39"/>
      <c r="R32" s="39"/>
      <c r="S32" s="39"/>
      <c r="T32" s="39"/>
      <c r="U32" s="39"/>
      <c r="V32" s="39"/>
      <c r="W32" s="39"/>
      <c r="X32" s="39"/>
      <c r="Y32" s="39"/>
      <c r="Z32" s="39"/>
      <c r="AA32" s="39"/>
    </row>
    <row r="33" ht="14.25" customHeight="1">
      <c r="A33" s="39"/>
      <c r="B33" s="43"/>
      <c r="C33" s="44">
        <v>0.08</v>
      </c>
      <c r="D33" s="44">
        <v>0.04</v>
      </c>
      <c r="E33" s="61" t="str">
        <f>"Historical Growth= "&amp;'Pre-Calculation'!D24&amp;"."&amp;'Pre-Calculation'!D25&amp;"%"</f>
        <v>Historical Growth= 13.93%</v>
      </c>
      <c r="F33" s="42"/>
      <c r="G33" s="42"/>
      <c r="H33" s="39"/>
      <c r="I33" s="39"/>
      <c r="J33" s="39"/>
      <c r="K33" s="39"/>
      <c r="L33" s="39"/>
      <c r="M33" s="39"/>
      <c r="N33" s="39"/>
      <c r="O33" s="39"/>
      <c r="P33" s="39"/>
      <c r="Q33" s="39"/>
      <c r="R33" s="39"/>
      <c r="S33" s="39"/>
      <c r="T33" s="39"/>
      <c r="U33" s="39"/>
      <c r="V33" s="39"/>
      <c r="W33" s="39"/>
      <c r="X33" s="39"/>
      <c r="Y33" s="39"/>
      <c r="Z33" s="39"/>
      <c r="AA33" s="39"/>
    </row>
    <row r="34" ht="14.25" customHeight="1">
      <c r="A34" s="39"/>
      <c r="B34" s="46" t="s">
        <v>57</v>
      </c>
      <c r="C34" s="64">
        <v>1223765.8782312279</v>
      </c>
      <c r="D34" s="48">
        <v>1020679.4538183177</v>
      </c>
      <c r="E34" s="48">
        <v>1705664.0145399799</v>
      </c>
      <c r="F34" s="42"/>
      <c r="G34" s="42"/>
      <c r="H34" s="39"/>
      <c r="I34" s="39"/>
      <c r="J34" s="39"/>
      <c r="K34" s="39"/>
      <c r="L34" s="39"/>
      <c r="M34" s="39"/>
      <c r="N34" s="39"/>
      <c r="O34" s="39"/>
      <c r="P34" s="39"/>
      <c r="Q34" s="39"/>
      <c r="R34" s="39"/>
      <c r="S34" s="39"/>
      <c r="T34" s="39"/>
      <c r="U34" s="39"/>
      <c r="V34" s="39"/>
      <c r="W34" s="39"/>
      <c r="X34" s="39"/>
      <c r="Y34" s="39"/>
      <c r="Z34" s="39"/>
      <c r="AA34" s="39"/>
    </row>
    <row r="35" ht="14.25" customHeight="1">
      <c r="A35" s="39"/>
      <c r="B35" s="46" t="s">
        <v>58</v>
      </c>
      <c r="C35" s="50">
        <v>0.06583474744216566</v>
      </c>
      <c r="D35" s="50">
        <v>0.03761878644844874</v>
      </c>
      <c r="E35" s="50">
        <v>0.11794275220381745</v>
      </c>
      <c r="F35" s="42"/>
      <c r="G35" s="42"/>
      <c r="H35" s="39"/>
      <c r="I35" s="39"/>
      <c r="J35" s="39"/>
      <c r="K35" s="39"/>
      <c r="L35" s="39"/>
      <c r="M35" s="39"/>
      <c r="N35" s="39"/>
      <c r="O35" s="39"/>
      <c r="P35" s="39"/>
      <c r="Q35" s="39"/>
      <c r="R35" s="39"/>
      <c r="S35" s="39"/>
      <c r="T35" s="39"/>
      <c r="U35" s="39"/>
      <c r="V35" s="39"/>
      <c r="W35" s="39"/>
      <c r="X35" s="39"/>
      <c r="Y35" s="39"/>
      <c r="Z35" s="39"/>
      <c r="AA35" s="39"/>
    </row>
    <row r="36" ht="14.25" customHeight="1">
      <c r="A36" s="39"/>
      <c r="B36" s="46" t="s">
        <v>59</v>
      </c>
      <c r="C36" s="50">
        <v>0.023306521462013105</v>
      </c>
      <c r="D36" s="50">
        <v>0.02402963777197705</v>
      </c>
      <c r="E36" s="50">
        <v>0.004394087970475108</v>
      </c>
      <c r="F36" s="42"/>
      <c r="G36" s="42"/>
      <c r="H36" s="39"/>
      <c r="I36" s="39"/>
      <c r="J36" s="39"/>
      <c r="K36" s="39"/>
      <c r="L36" s="39"/>
      <c r="M36" s="39"/>
      <c r="N36" s="39"/>
      <c r="O36" s="39"/>
      <c r="P36" s="39"/>
      <c r="Q36" s="39"/>
      <c r="R36" s="39"/>
      <c r="S36" s="39"/>
      <c r="T36" s="39"/>
      <c r="U36" s="39"/>
      <c r="V36" s="39"/>
      <c r="W36" s="39"/>
      <c r="X36" s="39"/>
      <c r="Y36" s="39"/>
      <c r="Z36" s="39"/>
      <c r="AA36" s="39"/>
    </row>
    <row r="37" ht="14.25" customHeight="1">
      <c r="A37" s="39"/>
      <c r="B37" s="46" t="s">
        <v>60</v>
      </c>
      <c r="C37" s="50">
        <v>0.020318090294791855</v>
      </c>
      <c r="D37" s="50">
        <v>0.02024590473075879</v>
      </c>
      <c r="E37" s="42"/>
      <c r="F37" s="42"/>
      <c r="G37" s="42"/>
      <c r="H37" s="39"/>
      <c r="I37" s="39"/>
      <c r="J37" s="39"/>
      <c r="K37" s="39"/>
      <c r="L37" s="39"/>
      <c r="M37" s="39"/>
      <c r="N37" s="39"/>
      <c r="O37" s="39"/>
      <c r="P37" s="39"/>
      <c r="Q37" s="39"/>
      <c r="R37" s="39"/>
      <c r="S37" s="39"/>
      <c r="T37" s="39"/>
      <c r="U37" s="39"/>
      <c r="V37" s="39"/>
      <c r="W37" s="39"/>
      <c r="X37" s="39"/>
      <c r="Y37" s="39"/>
      <c r="Z37" s="39"/>
      <c r="AA37" s="39"/>
    </row>
    <row r="38" ht="14.25" customHeight="1">
      <c r="A38" s="39"/>
      <c r="B38" s="52"/>
      <c r="C38" s="42"/>
      <c r="D38" s="42"/>
      <c r="E38" s="42"/>
      <c r="F38" s="42"/>
      <c r="G38" s="42"/>
      <c r="H38" s="39"/>
      <c r="I38" s="39"/>
      <c r="J38" s="39"/>
      <c r="K38" s="39"/>
      <c r="L38" s="39"/>
      <c r="M38" s="39"/>
      <c r="N38" s="39"/>
      <c r="O38" s="39"/>
      <c r="P38" s="39"/>
      <c r="Q38" s="39"/>
      <c r="R38" s="39"/>
      <c r="S38" s="39"/>
      <c r="T38" s="39"/>
      <c r="U38" s="39"/>
      <c r="V38" s="39"/>
      <c r="W38" s="39"/>
      <c r="X38" s="39"/>
      <c r="Y38" s="39"/>
      <c r="Z38" s="39"/>
      <c r="AA38" s="39"/>
    </row>
    <row r="39" ht="14.25" customHeight="1">
      <c r="A39" s="39"/>
      <c r="B39" s="52"/>
      <c r="C39" s="42"/>
      <c r="D39" s="42"/>
      <c r="E39" s="42"/>
      <c r="F39" s="42"/>
      <c r="G39" s="42"/>
      <c r="H39" s="39"/>
      <c r="I39" s="39"/>
      <c r="J39" s="39"/>
      <c r="K39" s="39"/>
      <c r="L39" s="39"/>
      <c r="M39" s="39"/>
      <c r="N39" s="39"/>
      <c r="O39" s="39"/>
      <c r="P39" s="39"/>
      <c r="Q39" s="39"/>
      <c r="R39" s="39"/>
      <c r="S39" s="39"/>
      <c r="T39" s="39"/>
      <c r="U39" s="39"/>
      <c r="V39" s="39"/>
      <c r="W39" s="39"/>
      <c r="X39" s="39"/>
      <c r="Y39" s="39"/>
      <c r="Z39" s="39"/>
      <c r="AA39" s="39"/>
    </row>
    <row r="40" ht="14.25" customHeight="1">
      <c r="A40" s="39"/>
      <c r="B40" s="52"/>
      <c r="C40" s="42"/>
      <c r="D40" s="42"/>
      <c r="E40" s="42"/>
      <c r="F40" s="42"/>
      <c r="G40" s="42"/>
      <c r="H40" s="39"/>
      <c r="I40" s="39"/>
      <c r="J40" s="39"/>
      <c r="K40" s="39"/>
      <c r="L40" s="39"/>
      <c r="M40" s="39"/>
      <c r="N40" s="39"/>
      <c r="O40" s="39"/>
      <c r="P40" s="39"/>
      <c r="Q40" s="39"/>
      <c r="R40" s="39"/>
      <c r="S40" s="39"/>
      <c r="T40" s="39"/>
      <c r="U40" s="39"/>
      <c r="V40" s="39"/>
      <c r="W40" s="39"/>
      <c r="X40" s="39"/>
      <c r="Y40" s="39"/>
      <c r="Z40" s="39"/>
      <c r="AA40" s="39"/>
    </row>
    <row r="41" ht="14.25" customHeight="1">
      <c r="A41" s="39"/>
      <c r="B41" s="52"/>
      <c r="C41" s="42"/>
      <c r="D41" s="42"/>
      <c r="E41" s="42"/>
      <c r="F41" s="42"/>
      <c r="G41" s="42"/>
      <c r="H41" s="39"/>
      <c r="I41" s="39"/>
      <c r="J41" s="39"/>
      <c r="K41" s="39"/>
      <c r="L41" s="39"/>
      <c r="M41" s="39"/>
      <c r="N41" s="39"/>
      <c r="O41" s="39"/>
      <c r="P41" s="39"/>
      <c r="Q41" s="39"/>
      <c r="R41" s="39"/>
      <c r="S41" s="39"/>
      <c r="T41" s="39"/>
      <c r="U41" s="39"/>
      <c r="V41" s="39"/>
      <c r="W41" s="39"/>
      <c r="X41" s="39"/>
      <c r="Y41" s="39"/>
      <c r="Z41" s="39"/>
      <c r="AA41" s="39"/>
    </row>
    <row r="42" ht="14.25" customHeight="1">
      <c r="A42" s="39"/>
      <c r="B42" s="52"/>
      <c r="C42" s="42"/>
      <c r="D42" s="42"/>
      <c r="E42" s="42"/>
      <c r="F42" s="42"/>
      <c r="G42" s="42"/>
      <c r="H42" s="39"/>
      <c r="I42" s="39"/>
      <c r="J42" s="39"/>
      <c r="K42" s="39"/>
      <c r="L42" s="39"/>
      <c r="M42" s="39"/>
      <c r="N42" s="39"/>
      <c r="O42" s="39"/>
      <c r="P42" s="39"/>
      <c r="Q42" s="39"/>
      <c r="R42" s="39"/>
      <c r="S42" s="39"/>
      <c r="T42" s="39"/>
      <c r="U42" s="39"/>
      <c r="V42" s="39"/>
      <c r="W42" s="39"/>
      <c r="X42" s="39"/>
      <c r="Y42" s="39"/>
      <c r="Z42" s="39"/>
      <c r="AA42" s="39"/>
    </row>
    <row r="43" ht="14.25" customHeight="1">
      <c r="A43" s="39"/>
      <c r="B43" s="52"/>
      <c r="C43" s="42"/>
      <c r="D43" s="42"/>
      <c r="E43" s="42"/>
      <c r="F43" s="42"/>
      <c r="G43" s="42"/>
      <c r="H43" s="39"/>
      <c r="I43" s="39"/>
      <c r="J43" s="39"/>
      <c r="K43" s="39"/>
      <c r="L43" s="39"/>
      <c r="M43" s="39"/>
      <c r="N43" s="39"/>
      <c r="O43" s="39"/>
      <c r="P43" s="39"/>
      <c r="Q43" s="39"/>
      <c r="R43" s="39"/>
      <c r="S43" s="39"/>
      <c r="T43" s="39"/>
      <c r="U43" s="39"/>
      <c r="V43" s="39"/>
      <c r="W43" s="39"/>
      <c r="X43" s="39"/>
      <c r="Y43" s="39"/>
      <c r="Z43" s="39"/>
      <c r="AA43" s="39"/>
    </row>
    <row r="44" ht="14.25" customHeight="1">
      <c r="A44" s="39"/>
      <c r="B44" s="52"/>
      <c r="C44" s="42"/>
      <c r="D44" s="42"/>
      <c r="E44" s="42"/>
      <c r="F44" s="42"/>
      <c r="G44" s="42"/>
      <c r="H44" s="39"/>
      <c r="I44" s="39"/>
      <c r="J44" s="39"/>
      <c r="K44" s="39"/>
      <c r="L44" s="39"/>
      <c r="M44" s="39"/>
      <c r="N44" s="39"/>
      <c r="O44" s="39"/>
      <c r="P44" s="39"/>
      <c r="Q44" s="39"/>
      <c r="R44" s="39"/>
      <c r="S44" s="39"/>
      <c r="T44" s="39"/>
      <c r="U44" s="39"/>
      <c r="V44" s="39"/>
      <c r="W44" s="39"/>
      <c r="X44" s="39"/>
      <c r="Y44" s="39"/>
      <c r="Z44" s="39"/>
      <c r="AA44" s="39"/>
    </row>
    <row r="45" ht="14.25" customHeight="1">
      <c r="A45" s="39"/>
      <c r="B45" s="52"/>
      <c r="C45" s="42"/>
      <c r="D45" s="42"/>
      <c r="E45" s="42"/>
      <c r="F45" s="42"/>
      <c r="G45" s="42"/>
      <c r="H45" s="39"/>
      <c r="I45" s="39"/>
      <c r="J45" s="39"/>
      <c r="K45" s="39"/>
      <c r="L45" s="39"/>
      <c r="M45" s="39"/>
      <c r="N45" s="39"/>
      <c r="O45" s="39"/>
      <c r="P45" s="39"/>
      <c r="Q45" s="39"/>
      <c r="R45" s="39"/>
      <c r="S45" s="39"/>
      <c r="T45" s="39"/>
      <c r="U45" s="39"/>
      <c r="V45" s="39"/>
      <c r="W45" s="39"/>
      <c r="X45" s="39"/>
      <c r="Y45" s="39"/>
      <c r="Z45" s="39"/>
      <c r="AA45" s="39"/>
    </row>
    <row r="46" ht="14.25" customHeight="1">
      <c r="A46" s="57"/>
      <c r="B46" s="58"/>
      <c r="C46" s="59"/>
      <c r="D46" s="59"/>
      <c r="E46" s="59"/>
      <c r="F46" s="59"/>
      <c r="G46" s="59"/>
      <c r="H46" s="57"/>
      <c r="I46" s="57"/>
      <c r="J46" s="57"/>
      <c r="K46" s="57"/>
      <c r="L46" s="57"/>
      <c r="M46" s="57"/>
      <c r="N46" s="57"/>
      <c r="O46" s="57"/>
      <c r="P46" s="57"/>
      <c r="Q46" s="57"/>
      <c r="R46" s="57"/>
      <c r="S46" s="57"/>
      <c r="T46" s="57"/>
      <c r="U46" s="57"/>
      <c r="V46" s="57"/>
      <c r="W46" s="57"/>
      <c r="X46" s="57"/>
      <c r="Y46" s="57"/>
      <c r="Z46" s="57"/>
      <c r="AA46" s="57"/>
    </row>
    <row r="47" ht="14.25" customHeight="1">
      <c r="A47" s="60" t="s">
        <v>6</v>
      </c>
      <c r="B47" s="62" t="s">
        <v>50</v>
      </c>
      <c r="C47" s="46" t="s">
        <v>51</v>
      </c>
      <c r="D47" s="46" t="s">
        <v>52</v>
      </c>
      <c r="E47" s="46" t="s">
        <v>53</v>
      </c>
      <c r="F47" s="46" t="s">
        <v>54</v>
      </c>
      <c r="G47" s="46" t="s">
        <v>55</v>
      </c>
      <c r="H47" s="39"/>
      <c r="I47" s="39"/>
      <c r="J47" s="39"/>
      <c r="K47" s="39"/>
      <c r="L47" s="39"/>
      <c r="M47" s="39"/>
      <c r="N47" s="39"/>
      <c r="O47" s="39"/>
      <c r="P47" s="39"/>
      <c r="Q47" s="39"/>
      <c r="R47" s="39"/>
      <c r="S47" s="39"/>
      <c r="T47" s="39"/>
      <c r="U47" s="39"/>
      <c r="V47" s="39"/>
      <c r="W47" s="39"/>
      <c r="X47" s="39"/>
      <c r="Y47" s="39"/>
      <c r="Z47" s="39"/>
      <c r="AA47" s="39"/>
    </row>
    <row r="48" ht="14.25" customHeight="1">
      <c r="A48" s="12"/>
      <c r="B48" s="63">
        <v>6.0</v>
      </c>
      <c r="C48" s="48">
        <v>600000.0</v>
      </c>
      <c r="D48" s="48">
        <v>672750.0</v>
      </c>
      <c r="E48" s="48">
        <v>789878.3238079976</v>
      </c>
      <c r="F48" s="48">
        <v>760473.0334185803</v>
      </c>
      <c r="G48" s="48">
        <v>846863.3746994159</v>
      </c>
      <c r="H48" s="39"/>
      <c r="I48" s="39"/>
      <c r="J48" s="39"/>
      <c r="K48" s="39"/>
      <c r="L48" s="39"/>
      <c r="M48" s="39"/>
      <c r="N48" s="39"/>
      <c r="O48" s="39"/>
      <c r="P48" s="39"/>
      <c r="Q48" s="39"/>
      <c r="R48" s="39"/>
      <c r="S48" s="39"/>
      <c r="T48" s="39"/>
      <c r="U48" s="39"/>
      <c r="V48" s="39"/>
      <c r="W48" s="39"/>
      <c r="X48" s="39"/>
      <c r="Y48" s="39"/>
      <c r="Z48" s="39"/>
      <c r="AA48" s="39"/>
    </row>
    <row r="49" ht="14.25" customHeight="1">
      <c r="A49" s="39"/>
      <c r="B49" s="63">
        <v>7.0</v>
      </c>
      <c r="C49" s="48">
        <v>600000.0</v>
      </c>
      <c r="D49" s="48">
        <v>696296.2500000002</v>
      </c>
      <c r="E49" s="48">
        <v>832266.1857396043</v>
      </c>
      <c r="F49" s="48">
        <v>771119.0546005361</v>
      </c>
      <c r="G49" s="48">
        <v>957218.7726043814</v>
      </c>
      <c r="H49" s="39"/>
      <c r="I49" s="39"/>
      <c r="J49" s="39"/>
      <c r="K49" s="39"/>
      <c r="L49" s="39"/>
      <c r="M49" s="39"/>
      <c r="N49" s="39"/>
      <c r="O49" s="39"/>
      <c r="P49" s="39"/>
      <c r="Q49" s="39"/>
      <c r="R49" s="39"/>
      <c r="S49" s="39"/>
      <c r="T49" s="39"/>
      <c r="U49" s="39"/>
      <c r="V49" s="39"/>
      <c r="W49" s="39"/>
      <c r="X49" s="39"/>
      <c r="Y49" s="39"/>
      <c r="Z49" s="39"/>
      <c r="AA49" s="39"/>
    </row>
    <row r="50" ht="14.25" customHeight="1">
      <c r="A50" s="39"/>
      <c r="B50" s="63">
        <v>8.0</v>
      </c>
      <c r="C50" s="48">
        <v>600000.0</v>
      </c>
      <c r="D50" s="48">
        <v>720666.6187500001</v>
      </c>
      <c r="E50" s="48">
        <v>877321.510727276</v>
      </c>
      <c r="F50" s="48">
        <v>781922.4006136319</v>
      </c>
      <c r="G50" s="48">
        <v>1082945.4870055139</v>
      </c>
      <c r="H50" s="39"/>
      <c r="I50" s="39"/>
      <c r="J50" s="39"/>
      <c r="K50" s="39"/>
      <c r="L50" s="39"/>
      <c r="M50" s="39"/>
      <c r="N50" s="39"/>
      <c r="O50" s="39"/>
      <c r="P50" s="39"/>
      <c r="Q50" s="39"/>
      <c r="R50" s="39"/>
      <c r="S50" s="39"/>
      <c r="T50" s="39"/>
      <c r="U50" s="39"/>
      <c r="V50" s="39"/>
      <c r="W50" s="39"/>
      <c r="X50" s="39"/>
      <c r="Y50" s="39"/>
      <c r="Z50" s="39"/>
      <c r="AA50" s="39"/>
    </row>
    <row r="51" ht="14.25" customHeight="1">
      <c r="A51" s="39"/>
      <c r="B51" s="63">
        <v>9.0</v>
      </c>
      <c r="C51" s="48">
        <v>600000.0</v>
      </c>
      <c r="D51" s="48">
        <v>745889.9504062502</v>
      </c>
      <c r="E51" s="48">
        <v>925212.1619004849</v>
      </c>
      <c r="F51" s="48">
        <v>792861.5432121599</v>
      </c>
      <c r="G51" s="48">
        <v>1226184.576476394</v>
      </c>
      <c r="H51" s="39"/>
      <c r="I51" s="39"/>
      <c r="J51" s="39"/>
      <c r="K51" s="39"/>
      <c r="L51" s="39"/>
      <c r="M51" s="39"/>
      <c r="N51" s="39"/>
      <c r="O51" s="39"/>
      <c r="P51" s="39"/>
      <c r="Q51" s="39"/>
      <c r="R51" s="39"/>
      <c r="S51" s="39"/>
      <c r="T51" s="39"/>
      <c r="U51" s="39"/>
      <c r="V51" s="39"/>
      <c r="W51" s="39"/>
      <c r="X51" s="39"/>
      <c r="Y51" s="39"/>
      <c r="Z51" s="39"/>
      <c r="AA51" s="39"/>
    </row>
    <row r="52" ht="14.25" customHeight="1">
      <c r="A52" s="39"/>
      <c r="B52" s="63">
        <v>10.0</v>
      </c>
      <c r="C52" s="48">
        <v>600000.0</v>
      </c>
      <c r="D52" s="48">
        <v>771996.098670469</v>
      </c>
      <c r="E52" s="48">
        <v>976116.5659952628</v>
      </c>
      <c r="F52" s="48">
        <v>803907.3647369851</v>
      </c>
      <c r="G52" s="48">
        <v>1389375.325953754</v>
      </c>
      <c r="H52" s="39"/>
      <c r="I52" s="39"/>
      <c r="J52" s="39"/>
      <c r="K52" s="39"/>
      <c r="L52" s="39"/>
      <c r="M52" s="39"/>
      <c r="N52" s="39"/>
      <c r="O52" s="39"/>
      <c r="P52" s="39"/>
      <c r="Q52" s="39"/>
      <c r="R52" s="39"/>
      <c r="S52" s="39"/>
      <c r="T52" s="39"/>
      <c r="U52" s="39"/>
      <c r="V52" s="39"/>
      <c r="W52" s="39"/>
      <c r="X52" s="39"/>
      <c r="Y52" s="39"/>
      <c r="Z52" s="39"/>
      <c r="AA52" s="39"/>
    </row>
    <row r="53" ht="14.25" customHeight="1">
      <c r="A53" s="39"/>
      <c r="B53" s="43"/>
      <c r="C53" s="44">
        <v>0.08</v>
      </c>
      <c r="D53" s="44">
        <v>0.04</v>
      </c>
      <c r="E53" s="61" t="str">
        <f>"Historical Growth= "&amp;'Pre-Calculation'!D24&amp;"."&amp;'Pre-Calculation'!D25&amp;"%"</f>
        <v>Historical Growth= 13.93%</v>
      </c>
      <c r="F53" s="42"/>
      <c r="G53" s="42"/>
      <c r="H53" s="39"/>
      <c r="I53" s="39"/>
      <c r="J53" s="39"/>
      <c r="K53" s="39"/>
      <c r="L53" s="39"/>
      <c r="M53" s="39"/>
      <c r="N53" s="39"/>
      <c r="O53" s="39"/>
      <c r="P53" s="39"/>
      <c r="Q53" s="39"/>
      <c r="R53" s="39"/>
      <c r="S53" s="39"/>
      <c r="T53" s="39"/>
      <c r="U53" s="39"/>
      <c r="V53" s="39"/>
      <c r="W53" s="39"/>
      <c r="X53" s="39"/>
      <c r="Y53" s="39"/>
      <c r="Z53" s="39"/>
      <c r="AA53" s="39"/>
    </row>
    <row r="54" ht="14.25" customHeight="1">
      <c r="A54" s="39"/>
      <c r="B54" s="46" t="s">
        <v>68</v>
      </c>
      <c r="C54" s="64">
        <v>976116.5659952628</v>
      </c>
      <c r="D54" s="48">
        <v>803907.3647369851</v>
      </c>
      <c r="E54" s="48">
        <v>1389375.325953754</v>
      </c>
      <c r="F54" s="42"/>
      <c r="G54" s="42"/>
      <c r="H54" s="39"/>
      <c r="I54" s="39"/>
      <c r="J54" s="39"/>
      <c r="K54" s="39"/>
      <c r="L54" s="39"/>
      <c r="M54" s="39"/>
      <c r="N54" s="39"/>
      <c r="O54" s="39"/>
      <c r="P54" s="39"/>
      <c r="Q54" s="39"/>
      <c r="R54" s="39"/>
      <c r="S54" s="39"/>
      <c r="T54" s="39"/>
      <c r="U54" s="39"/>
      <c r="V54" s="39"/>
      <c r="W54" s="39"/>
      <c r="X54" s="39"/>
      <c r="Y54" s="39"/>
      <c r="Z54" s="39"/>
      <c r="AA54" s="39"/>
    </row>
    <row r="55" ht="14.25" customHeight="1">
      <c r="A55" s="39"/>
      <c r="B55" s="46" t="s">
        <v>58</v>
      </c>
      <c r="C55" s="50">
        <v>0.06618762732468175</v>
      </c>
      <c r="D55" s="50">
        <v>0.039475157180710596</v>
      </c>
      <c r="E55" s="50">
        <v>0.11586398903795558</v>
      </c>
      <c r="F55" s="42"/>
      <c r="G55" s="42"/>
      <c r="H55" s="39"/>
      <c r="I55" s="39"/>
      <c r="J55" s="39"/>
      <c r="K55" s="39"/>
      <c r="L55" s="39"/>
      <c r="M55" s="39"/>
      <c r="N55" s="39"/>
      <c r="O55" s="39"/>
      <c r="P55" s="39"/>
      <c r="Q55" s="39"/>
      <c r="R55" s="39"/>
      <c r="S55" s="39"/>
      <c r="T55" s="39"/>
      <c r="U55" s="39"/>
      <c r="V55" s="39"/>
      <c r="W55" s="39"/>
      <c r="X55" s="39"/>
      <c r="Y55" s="39"/>
      <c r="Z55" s="39"/>
      <c r="AA55" s="39"/>
    </row>
    <row r="56" ht="14.25" customHeight="1">
      <c r="A56" s="39"/>
      <c r="B56" s="46" t="s">
        <v>59</v>
      </c>
      <c r="C56" s="50">
        <v>0.02464594425814763</v>
      </c>
      <c r="D56" s="50">
        <v>0.025479990632928794</v>
      </c>
      <c r="E56" s="50">
        <v>0.005602555364461609</v>
      </c>
      <c r="F56" s="42"/>
      <c r="G56" s="42"/>
      <c r="H56" s="39"/>
      <c r="I56" s="39"/>
      <c r="J56" s="39"/>
      <c r="K56" s="39"/>
      <c r="L56" s="39"/>
      <c r="M56" s="39"/>
      <c r="N56" s="39"/>
      <c r="O56" s="39"/>
      <c r="P56" s="39"/>
      <c r="Q56" s="39"/>
      <c r="R56" s="39"/>
      <c r="S56" s="39"/>
      <c r="T56" s="39"/>
      <c r="U56" s="39"/>
      <c r="V56" s="39"/>
      <c r="W56" s="39"/>
      <c r="X56" s="39"/>
      <c r="Y56" s="39"/>
      <c r="Z56" s="39"/>
      <c r="AA56" s="39"/>
    </row>
    <row r="57" ht="14.25" customHeight="1">
      <c r="A57" s="39"/>
      <c r="B57" s="46" t="s">
        <v>60</v>
      </c>
      <c r="C57" s="50">
        <v>0.02038054947753369</v>
      </c>
      <c r="D57" s="50">
        <v>0.02026733350300921</v>
      </c>
      <c r="E57" s="42"/>
      <c r="F57" s="42"/>
      <c r="G57" s="42"/>
      <c r="H57" s="39"/>
      <c r="I57" s="39"/>
      <c r="J57" s="39"/>
      <c r="K57" s="39"/>
      <c r="L57" s="39"/>
      <c r="M57" s="39"/>
      <c r="N57" s="39"/>
      <c r="O57" s="39"/>
      <c r="P57" s="39"/>
      <c r="Q57" s="39"/>
      <c r="R57" s="39"/>
      <c r="S57" s="39"/>
      <c r="T57" s="39"/>
      <c r="U57" s="39"/>
      <c r="V57" s="39"/>
      <c r="W57" s="39"/>
      <c r="X57" s="39"/>
      <c r="Y57" s="39"/>
      <c r="Z57" s="39"/>
      <c r="AA57" s="39"/>
    </row>
    <row r="58" ht="14.25" customHeight="1">
      <c r="A58" s="39"/>
      <c r="B58" s="52"/>
      <c r="C58" s="42"/>
      <c r="D58" s="42"/>
      <c r="E58" s="42"/>
      <c r="F58" s="42"/>
      <c r="G58" s="42"/>
      <c r="H58" s="39"/>
      <c r="I58" s="39"/>
      <c r="J58" s="39"/>
      <c r="K58" s="39"/>
      <c r="L58" s="39"/>
      <c r="M58" s="39"/>
      <c r="N58" s="39"/>
      <c r="O58" s="39"/>
      <c r="P58" s="39"/>
      <c r="Q58" s="39"/>
      <c r="R58" s="39"/>
      <c r="S58" s="39"/>
      <c r="T58" s="39"/>
      <c r="U58" s="39"/>
      <c r="V58" s="39"/>
      <c r="W58" s="39"/>
      <c r="X58" s="39"/>
      <c r="Y58" s="39"/>
      <c r="Z58" s="39"/>
      <c r="AA58" s="39"/>
    </row>
    <row r="59" ht="14.25" customHeight="1">
      <c r="A59" s="39"/>
      <c r="B59" s="52"/>
      <c r="C59" s="42"/>
      <c r="D59" s="42"/>
      <c r="E59" s="42"/>
      <c r="F59" s="42"/>
      <c r="G59" s="42"/>
      <c r="H59" s="39"/>
      <c r="I59" s="39"/>
      <c r="J59" s="39"/>
      <c r="K59" s="39"/>
      <c r="L59" s="39"/>
      <c r="M59" s="39"/>
      <c r="N59" s="39"/>
      <c r="O59" s="39"/>
      <c r="P59" s="39"/>
      <c r="Q59" s="39"/>
      <c r="R59" s="39"/>
      <c r="S59" s="39"/>
      <c r="T59" s="39"/>
      <c r="U59" s="39"/>
      <c r="V59" s="39"/>
      <c r="W59" s="39"/>
      <c r="X59" s="39"/>
      <c r="Y59" s="39"/>
      <c r="Z59" s="39"/>
      <c r="AA59" s="39"/>
    </row>
    <row r="60" ht="14.25" customHeight="1">
      <c r="A60" s="39"/>
      <c r="B60" s="52"/>
      <c r="C60" s="42"/>
      <c r="D60" s="42"/>
      <c r="E60" s="42"/>
      <c r="F60" s="42"/>
      <c r="G60" s="42"/>
      <c r="H60" s="39"/>
      <c r="I60" s="39"/>
      <c r="J60" s="39"/>
      <c r="K60" s="39"/>
      <c r="L60" s="39"/>
      <c r="M60" s="39"/>
      <c r="N60" s="39"/>
      <c r="O60" s="39"/>
      <c r="P60" s="39"/>
      <c r="Q60" s="39"/>
      <c r="R60" s="39"/>
      <c r="S60" s="39"/>
      <c r="T60" s="39"/>
      <c r="U60" s="39"/>
      <c r="V60" s="39"/>
      <c r="W60" s="39"/>
      <c r="X60" s="39"/>
      <c r="Y60" s="39"/>
      <c r="Z60" s="39"/>
      <c r="AA60" s="39"/>
    </row>
    <row r="61" ht="14.25" customHeight="1">
      <c r="A61" s="39"/>
      <c r="B61" s="52"/>
      <c r="C61" s="42"/>
      <c r="D61" s="42"/>
      <c r="E61" s="42"/>
      <c r="F61" s="42"/>
      <c r="G61" s="42"/>
      <c r="H61" s="39"/>
      <c r="I61" s="39"/>
      <c r="J61" s="39"/>
      <c r="K61" s="39"/>
      <c r="L61" s="39"/>
      <c r="M61" s="39"/>
      <c r="N61" s="39"/>
      <c r="O61" s="39"/>
      <c r="P61" s="39"/>
      <c r="Q61" s="39"/>
      <c r="R61" s="39"/>
      <c r="S61" s="39"/>
      <c r="T61" s="39"/>
      <c r="U61" s="39"/>
      <c r="V61" s="39"/>
      <c r="W61" s="39"/>
      <c r="X61" s="39"/>
      <c r="Y61" s="39"/>
      <c r="Z61" s="39"/>
      <c r="AA61" s="39"/>
    </row>
    <row r="62" ht="14.25" customHeight="1">
      <c r="A62" s="39"/>
      <c r="B62" s="52"/>
      <c r="C62" s="42"/>
      <c r="D62" s="42"/>
      <c r="E62" s="42"/>
      <c r="F62" s="42"/>
      <c r="G62" s="42"/>
      <c r="H62" s="39"/>
      <c r="I62" s="39"/>
      <c r="J62" s="39"/>
      <c r="K62" s="39"/>
      <c r="L62" s="39"/>
      <c r="M62" s="39"/>
      <c r="N62" s="39"/>
      <c r="O62" s="39"/>
      <c r="P62" s="39"/>
      <c r="Q62" s="39"/>
      <c r="R62" s="39"/>
      <c r="S62" s="39"/>
      <c r="T62" s="39"/>
      <c r="U62" s="39"/>
      <c r="V62" s="39"/>
      <c r="W62" s="39"/>
      <c r="X62" s="39"/>
      <c r="Y62" s="39"/>
      <c r="Z62" s="39"/>
      <c r="AA62" s="39"/>
    </row>
    <row r="63" ht="14.25" customHeight="1">
      <c r="A63" s="39"/>
      <c r="B63" s="52"/>
      <c r="C63" s="42"/>
      <c r="D63" s="42"/>
      <c r="E63" s="42"/>
      <c r="F63" s="42"/>
      <c r="G63" s="42"/>
      <c r="H63" s="39"/>
      <c r="I63" s="39"/>
      <c r="J63" s="39"/>
      <c r="K63" s="39"/>
      <c r="L63" s="39"/>
      <c r="M63" s="39"/>
      <c r="N63" s="39"/>
      <c r="O63" s="39"/>
      <c r="P63" s="39"/>
      <c r="Q63" s="39"/>
      <c r="R63" s="39"/>
      <c r="S63" s="39"/>
      <c r="T63" s="39"/>
      <c r="U63" s="39"/>
      <c r="V63" s="39"/>
      <c r="W63" s="39"/>
      <c r="X63" s="39"/>
      <c r="Y63" s="39"/>
      <c r="Z63" s="39"/>
      <c r="AA63" s="39"/>
    </row>
    <row r="64" ht="14.25" customHeight="1">
      <c r="A64" s="39"/>
      <c r="B64" s="52"/>
      <c r="C64" s="42"/>
      <c r="D64" s="42"/>
      <c r="E64" s="42"/>
      <c r="F64" s="42"/>
      <c r="G64" s="42"/>
      <c r="H64" s="39"/>
      <c r="I64" s="39"/>
      <c r="J64" s="39"/>
      <c r="K64" s="39"/>
      <c r="L64" s="39"/>
      <c r="M64" s="39"/>
      <c r="N64" s="39"/>
      <c r="O64" s="39"/>
      <c r="P64" s="39"/>
      <c r="Q64" s="39"/>
      <c r="R64" s="39"/>
      <c r="S64" s="39"/>
      <c r="T64" s="39"/>
      <c r="U64" s="39"/>
      <c r="V64" s="39"/>
      <c r="W64" s="39"/>
      <c r="X64" s="39"/>
      <c r="Y64" s="39"/>
      <c r="Z64" s="39"/>
      <c r="AA64" s="39"/>
    </row>
    <row r="65" ht="14.25" customHeight="1">
      <c r="A65" s="39"/>
      <c r="B65" s="52"/>
      <c r="C65" s="42"/>
      <c r="D65" s="42"/>
      <c r="E65" s="42"/>
      <c r="F65" s="42"/>
      <c r="G65" s="42"/>
      <c r="H65" s="39"/>
      <c r="I65" s="39"/>
      <c r="J65" s="39"/>
      <c r="K65" s="39"/>
      <c r="L65" s="39"/>
      <c r="M65" s="39"/>
      <c r="N65" s="39"/>
      <c r="O65" s="39"/>
      <c r="P65" s="39"/>
      <c r="Q65" s="39"/>
      <c r="R65" s="39"/>
      <c r="S65" s="39"/>
      <c r="T65" s="39"/>
      <c r="U65" s="39"/>
      <c r="V65" s="39"/>
      <c r="W65" s="39"/>
      <c r="X65" s="39"/>
      <c r="Y65" s="39"/>
      <c r="Z65" s="39"/>
      <c r="AA65" s="39"/>
    </row>
    <row r="66" ht="14.25" customHeight="1">
      <c r="A66" s="57"/>
      <c r="B66" s="58"/>
      <c r="C66" s="59"/>
      <c r="D66" s="59"/>
      <c r="E66" s="59"/>
      <c r="F66" s="59"/>
      <c r="G66" s="59"/>
      <c r="H66" s="57"/>
      <c r="I66" s="57"/>
      <c r="J66" s="57"/>
      <c r="K66" s="57"/>
      <c r="L66" s="57"/>
      <c r="M66" s="57"/>
      <c r="N66" s="57"/>
      <c r="O66" s="57"/>
      <c r="P66" s="39"/>
      <c r="Q66" s="39"/>
      <c r="R66" s="39"/>
      <c r="S66" s="39"/>
      <c r="T66" s="39"/>
      <c r="U66" s="39"/>
      <c r="V66" s="39"/>
      <c r="W66" s="39"/>
      <c r="X66" s="39"/>
      <c r="Y66" s="39"/>
      <c r="Z66" s="39"/>
      <c r="AA66" s="39"/>
    </row>
    <row r="67" ht="14.25" customHeight="1">
      <c r="A67" s="60" t="s">
        <v>69</v>
      </c>
      <c r="B67" s="62" t="s">
        <v>50</v>
      </c>
      <c r="C67" s="46" t="s">
        <v>51</v>
      </c>
      <c r="D67" s="46" t="s">
        <v>52</v>
      </c>
      <c r="E67" s="46" t="s">
        <v>53</v>
      </c>
      <c r="F67" s="46" t="s">
        <v>54</v>
      </c>
      <c r="G67" s="46" t="s">
        <v>55</v>
      </c>
      <c r="H67" s="39"/>
      <c r="I67" s="39"/>
      <c r="J67" s="39"/>
      <c r="K67" s="39"/>
      <c r="L67" s="39"/>
      <c r="M67" s="39"/>
      <c r="N67" s="39"/>
      <c r="O67" s="39"/>
      <c r="P67" s="39"/>
      <c r="Q67" s="39"/>
      <c r="R67" s="39"/>
      <c r="S67" s="39"/>
      <c r="T67" s="39"/>
      <c r="U67" s="39"/>
      <c r="V67" s="39"/>
      <c r="W67" s="39"/>
      <c r="X67" s="39"/>
      <c r="Y67" s="39"/>
      <c r="Z67" s="39"/>
      <c r="AA67" s="39"/>
    </row>
    <row r="68" ht="14.25" customHeight="1">
      <c r="A68" s="12"/>
      <c r="B68" s="63">
        <v>6.0</v>
      </c>
      <c r="C68" s="48">
        <v>500000.0</v>
      </c>
      <c r="D68" s="48">
        <v>672750.0</v>
      </c>
      <c r="E68" s="48">
        <v>684212.4644577126</v>
      </c>
      <c r="F68" s="48">
        <v>658724.5157826933</v>
      </c>
      <c r="G68" s="48">
        <v>733606.6340605946</v>
      </c>
      <c r="H68" s="39"/>
      <c r="I68" s="39"/>
      <c r="J68" s="39"/>
      <c r="K68" s="39"/>
      <c r="L68" s="39"/>
      <c r="M68" s="39"/>
      <c r="N68" s="39"/>
      <c r="O68" s="39"/>
      <c r="P68" s="39"/>
      <c r="Q68" s="39"/>
      <c r="R68" s="39"/>
      <c r="S68" s="39"/>
      <c r="T68" s="39"/>
      <c r="U68" s="39"/>
      <c r="V68" s="39"/>
      <c r="W68" s="39"/>
      <c r="X68" s="39"/>
      <c r="Y68" s="39"/>
      <c r="Z68" s="39"/>
      <c r="AA68" s="39"/>
    </row>
    <row r="69" ht="14.25" customHeight="1">
      <c r="A69" s="39"/>
      <c r="B69" s="63">
        <v>7.0</v>
      </c>
      <c r="C69" s="48">
        <v>500000.0</v>
      </c>
      <c r="D69" s="48">
        <v>696296.2500000002</v>
      </c>
      <c r="E69" s="48">
        <v>719950.7865621148</v>
      </c>
      <c r="F69" s="48">
        <v>666986.7862344589</v>
      </c>
      <c r="G69" s="48">
        <v>828186.589724096</v>
      </c>
      <c r="H69" s="39"/>
      <c r="I69" s="39"/>
      <c r="J69" s="39"/>
      <c r="K69" s="39"/>
      <c r="L69" s="39"/>
      <c r="M69" s="39"/>
      <c r="N69" s="39"/>
      <c r="O69" s="39"/>
      <c r="P69" s="39"/>
      <c r="Q69" s="39"/>
      <c r="R69" s="39"/>
      <c r="S69" s="39"/>
      <c r="T69" s="39"/>
      <c r="U69" s="39"/>
      <c r="V69" s="39"/>
      <c r="W69" s="39"/>
      <c r="X69" s="39"/>
      <c r="Y69" s="39"/>
      <c r="Z69" s="39"/>
      <c r="AA69" s="39"/>
    </row>
    <row r="70" ht="14.25" customHeight="1">
      <c r="A70" s="39"/>
      <c r="B70" s="63">
        <v>8.0</v>
      </c>
      <c r="C70" s="48">
        <v>500000.0</v>
      </c>
      <c r="D70" s="48">
        <v>720666.6187500001</v>
      </c>
      <c r="E70" s="48">
        <v>757938.116980573</v>
      </c>
      <c r="F70" s="48">
        <v>675362.8182589626</v>
      </c>
      <c r="G70" s="48">
        <v>935940.5129532717</v>
      </c>
      <c r="H70" s="39"/>
      <c r="I70" s="39"/>
      <c r="J70" s="39"/>
      <c r="K70" s="39"/>
      <c r="L70" s="39"/>
      <c r="M70" s="39"/>
      <c r="N70" s="39"/>
      <c r="O70" s="39"/>
      <c r="P70" s="39"/>
      <c r="Q70" s="39"/>
      <c r="R70" s="39"/>
      <c r="S70" s="39"/>
      <c r="T70" s="39"/>
      <c r="U70" s="39"/>
      <c r="V70" s="39"/>
      <c r="W70" s="39"/>
      <c r="X70" s="39"/>
      <c r="Y70" s="39"/>
      <c r="Z70" s="39"/>
      <c r="AA70" s="39"/>
    </row>
    <row r="71" ht="14.25" customHeight="1">
      <c r="A71" s="39"/>
      <c r="B71" s="63">
        <v>9.0</v>
      </c>
      <c r="C71" s="48">
        <v>500000.0</v>
      </c>
      <c r="D71" s="48">
        <v>745889.9504062502</v>
      </c>
      <c r="E71" s="48">
        <v>798315.9855359459</v>
      </c>
      <c r="F71" s="48">
        <v>683833.5653867269</v>
      </c>
      <c r="G71" s="48">
        <v>1058703.3953190518</v>
      </c>
      <c r="H71" s="39"/>
      <c r="I71" s="39"/>
      <c r="J71" s="39"/>
      <c r="K71" s="39"/>
      <c r="L71" s="39"/>
      <c r="M71" s="39"/>
      <c r="N71" s="39"/>
      <c r="O71" s="39"/>
      <c r="P71" s="39"/>
      <c r="Q71" s="39"/>
      <c r="R71" s="39"/>
      <c r="S71" s="39"/>
      <c r="T71" s="39"/>
      <c r="U71" s="39"/>
      <c r="V71" s="39"/>
      <c r="W71" s="39"/>
      <c r="X71" s="39"/>
      <c r="Y71" s="39"/>
      <c r="Z71" s="39"/>
      <c r="AA71" s="39"/>
    </row>
    <row r="72" ht="14.25" customHeight="1">
      <c r="A72" s="39"/>
      <c r="B72" s="63">
        <v>10.0</v>
      </c>
      <c r="C72" s="48">
        <v>500000.0</v>
      </c>
      <c r="D72" s="48">
        <v>771996.098670469</v>
      </c>
      <c r="E72" s="48">
        <v>841234.8285058315</v>
      </c>
      <c r="F72" s="48">
        <v>692373.4486206053</v>
      </c>
      <c r="G72" s="48">
        <v>1198565.8229236712</v>
      </c>
      <c r="H72" s="39"/>
      <c r="I72" s="39"/>
      <c r="J72" s="39"/>
      <c r="K72" s="39"/>
      <c r="L72" s="39"/>
      <c r="M72" s="39"/>
      <c r="N72" s="39"/>
      <c r="O72" s="39"/>
      <c r="P72" s="39"/>
      <c r="Q72" s="39"/>
      <c r="R72" s="39"/>
      <c r="S72" s="39"/>
      <c r="T72" s="39"/>
      <c r="U72" s="39"/>
      <c r="V72" s="39"/>
      <c r="W72" s="39"/>
      <c r="X72" s="39"/>
      <c r="Y72" s="39"/>
      <c r="Z72" s="39"/>
      <c r="AA72" s="39"/>
    </row>
    <row r="73" ht="14.25" customHeight="1">
      <c r="A73" s="39"/>
      <c r="B73" s="43"/>
      <c r="C73" s="44">
        <v>0.08</v>
      </c>
      <c r="D73" s="44">
        <v>0.04</v>
      </c>
      <c r="E73" s="61" t="str">
        <f>"Historical Growth= "&amp;'Pre-Calculation'!D24&amp;"."&amp;'Pre-Calculation'!D25&amp;"%"</f>
        <v>Historical Growth= 13.93%</v>
      </c>
      <c r="F73" s="42"/>
      <c r="G73" s="42"/>
      <c r="H73" s="39"/>
      <c r="I73" s="39"/>
      <c r="J73" s="39"/>
      <c r="K73" s="39"/>
      <c r="L73" s="39"/>
      <c r="M73" s="39"/>
      <c r="N73" s="39"/>
      <c r="O73" s="39"/>
      <c r="P73" s="39"/>
      <c r="Q73" s="39"/>
      <c r="R73" s="39"/>
      <c r="S73" s="39"/>
      <c r="T73" s="39"/>
      <c r="U73" s="39"/>
      <c r="V73" s="39"/>
      <c r="W73" s="39"/>
      <c r="X73" s="39"/>
      <c r="Y73" s="39"/>
      <c r="Z73" s="39"/>
      <c r="AA73" s="39"/>
    </row>
    <row r="74" ht="14.25" customHeight="1">
      <c r="A74" s="39"/>
      <c r="B74" s="53" t="s">
        <v>70</v>
      </c>
      <c r="C74" s="64">
        <v>841234.8285058315</v>
      </c>
      <c r="D74" s="48">
        <v>692373.4486206053</v>
      </c>
      <c r="E74" s="48">
        <v>1198565.8229236712</v>
      </c>
      <c r="F74" s="42"/>
      <c r="G74" s="42"/>
      <c r="H74" s="39"/>
      <c r="I74" s="39"/>
      <c r="J74" s="39"/>
      <c r="K74" s="39"/>
      <c r="L74" s="39"/>
      <c r="M74" s="39"/>
      <c r="N74" s="39"/>
      <c r="O74" s="39"/>
      <c r="P74" s="39"/>
      <c r="Q74" s="39"/>
      <c r="R74" s="39"/>
      <c r="S74" s="39"/>
      <c r="T74" s="39"/>
      <c r="U74" s="39"/>
      <c r="V74" s="39"/>
      <c r="W74" s="39"/>
      <c r="X74" s="39"/>
      <c r="Y74" s="39"/>
      <c r="Z74" s="39"/>
      <c r="AA74" s="39"/>
    </row>
    <row r="75" ht="14.25" customHeight="1">
      <c r="A75" s="39"/>
      <c r="B75" s="46" t="s">
        <v>58</v>
      </c>
      <c r="C75" s="50">
        <v>0.0666395189417559</v>
      </c>
      <c r="D75" s="50">
        <v>0.0413155511596337</v>
      </c>
      <c r="E75" s="50">
        <v>0.1138630817311661</v>
      </c>
      <c r="F75" s="42"/>
      <c r="G75" s="42"/>
      <c r="H75" s="39"/>
      <c r="I75" s="39"/>
      <c r="J75" s="39"/>
      <c r="K75" s="39"/>
      <c r="L75" s="39"/>
      <c r="M75" s="39"/>
      <c r="N75" s="39"/>
      <c r="O75" s="39"/>
      <c r="P75" s="39"/>
      <c r="Q75" s="39"/>
      <c r="R75" s="39"/>
      <c r="S75" s="39"/>
      <c r="T75" s="39"/>
      <c r="U75" s="39"/>
      <c r="V75" s="39"/>
      <c r="W75" s="39"/>
      <c r="X75" s="39"/>
      <c r="Y75" s="39"/>
      <c r="Z75" s="39"/>
      <c r="AA75" s="39"/>
    </row>
    <row r="76" ht="14.25" customHeight="1">
      <c r="A76" s="39"/>
      <c r="B76" s="46" t="s">
        <v>71</v>
      </c>
      <c r="C76" s="50">
        <v>0.02599536367427306</v>
      </c>
      <c r="D76" s="50">
        <v>0.026908427281099954</v>
      </c>
      <c r="E76" s="50">
        <v>0.006829800878549647</v>
      </c>
      <c r="F76" s="42"/>
      <c r="G76" s="42"/>
      <c r="H76" s="39"/>
      <c r="I76" s="39"/>
      <c r="J76" s="39"/>
      <c r="K76" s="39"/>
      <c r="L76" s="39"/>
      <c r="M76" s="39"/>
      <c r="N76" s="39"/>
      <c r="O76" s="39"/>
      <c r="P76" s="39"/>
      <c r="Q76" s="39"/>
      <c r="R76" s="39"/>
      <c r="S76" s="39"/>
      <c r="T76" s="39"/>
      <c r="U76" s="39"/>
      <c r="V76" s="39"/>
      <c r="W76" s="39"/>
      <c r="X76" s="39"/>
      <c r="Y76" s="39"/>
      <c r="Z76" s="39"/>
      <c r="AA76" s="39"/>
    </row>
    <row r="77" ht="14.25" customHeight="1">
      <c r="A77" s="39"/>
      <c r="B77" s="46" t="s">
        <v>60</v>
      </c>
      <c r="C77" s="50">
        <v>0.020380549477536355</v>
      </c>
      <c r="D77" s="50">
        <v>0.02026733350300921</v>
      </c>
      <c r="E77" s="42"/>
      <c r="F77" s="42"/>
      <c r="G77" s="42"/>
      <c r="H77" s="39"/>
      <c r="I77" s="39"/>
      <c r="J77" s="39"/>
      <c r="K77" s="39"/>
      <c r="L77" s="39"/>
      <c r="M77" s="39"/>
      <c r="N77" s="39"/>
      <c r="O77" s="39"/>
      <c r="P77" s="39"/>
      <c r="Q77" s="39"/>
      <c r="R77" s="39"/>
      <c r="S77" s="39"/>
      <c r="T77" s="39"/>
      <c r="U77" s="39"/>
      <c r="V77" s="39"/>
      <c r="W77" s="39"/>
      <c r="X77" s="39"/>
      <c r="Y77" s="39"/>
      <c r="Z77" s="39"/>
      <c r="AA77" s="39"/>
    </row>
    <row r="78" ht="14.25" customHeight="1">
      <c r="A78" s="39"/>
      <c r="B78" s="65"/>
      <c r="C78" s="39"/>
      <c r="D78" s="39"/>
      <c r="E78" s="39"/>
      <c r="F78" s="39"/>
      <c r="G78" s="39"/>
      <c r="H78" s="39"/>
      <c r="I78" s="39"/>
      <c r="J78" s="39"/>
      <c r="K78" s="39"/>
      <c r="L78" s="39"/>
      <c r="M78" s="39"/>
      <c r="N78" s="39"/>
      <c r="O78" s="39"/>
      <c r="P78" s="39"/>
      <c r="Q78" s="39"/>
      <c r="R78" s="39"/>
      <c r="S78" s="39"/>
      <c r="T78" s="39"/>
      <c r="U78" s="39"/>
      <c r="V78" s="39"/>
      <c r="W78" s="39"/>
      <c r="X78" s="39"/>
      <c r="Y78" s="39"/>
      <c r="Z78" s="39"/>
      <c r="AA78" s="39"/>
    </row>
    <row r="79" ht="14.25" customHeight="1">
      <c r="A79" s="39"/>
      <c r="B79" s="65"/>
      <c r="C79" s="39"/>
      <c r="D79" s="39"/>
      <c r="E79" s="39"/>
      <c r="F79" s="39"/>
      <c r="G79" s="39"/>
      <c r="H79" s="39"/>
      <c r="I79" s="39"/>
      <c r="J79" s="39"/>
      <c r="K79" s="39"/>
      <c r="L79" s="39"/>
      <c r="M79" s="39"/>
      <c r="N79" s="39"/>
      <c r="O79" s="39"/>
      <c r="P79" s="39"/>
      <c r="Q79" s="39"/>
      <c r="R79" s="39"/>
      <c r="S79" s="39"/>
      <c r="T79" s="39"/>
      <c r="U79" s="39"/>
      <c r="V79" s="39"/>
      <c r="W79" s="39"/>
      <c r="X79" s="39"/>
      <c r="Y79" s="39"/>
      <c r="Z79" s="39"/>
      <c r="AA79" s="39"/>
    </row>
    <row r="80" ht="14.25" customHeight="1">
      <c r="A80" s="39"/>
      <c r="B80" s="65"/>
      <c r="C80" s="39"/>
      <c r="D80" s="39"/>
      <c r="E80" s="39"/>
      <c r="F80" s="39"/>
      <c r="G80" s="39"/>
      <c r="H80" s="39"/>
      <c r="I80" s="39"/>
      <c r="J80" s="39"/>
      <c r="K80" s="39"/>
      <c r="L80" s="39"/>
      <c r="M80" s="39"/>
      <c r="N80" s="39"/>
      <c r="O80" s="39"/>
      <c r="P80" s="39"/>
      <c r="Q80" s="39"/>
      <c r="R80" s="39"/>
      <c r="S80" s="39"/>
      <c r="T80" s="39"/>
      <c r="U80" s="39"/>
      <c r="V80" s="39"/>
      <c r="W80" s="39"/>
      <c r="X80" s="39"/>
      <c r="Y80" s="39"/>
      <c r="Z80" s="39"/>
      <c r="AA80" s="39"/>
    </row>
    <row r="81" ht="14.25" customHeight="1">
      <c r="A81" s="39"/>
      <c r="B81" s="65"/>
      <c r="C81" s="39"/>
      <c r="D81" s="39"/>
      <c r="E81" s="39"/>
      <c r="F81" s="39"/>
      <c r="G81" s="39"/>
      <c r="H81" s="39"/>
      <c r="I81" s="39"/>
      <c r="J81" s="39"/>
      <c r="K81" s="39"/>
      <c r="L81" s="39"/>
      <c r="M81" s="39"/>
      <c r="N81" s="39"/>
      <c r="O81" s="39"/>
      <c r="P81" s="39"/>
      <c r="Q81" s="39"/>
      <c r="R81" s="39"/>
      <c r="S81" s="39"/>
      <c r="T81" s="39"/>
      <c r="U81" s="39"/>
      <c r="V81" s="39"/>
      <c r="W81" s="39"/>
      <c r="X81" s="39"/>
      <c r="Y81" s="39"/>
      <c r="Z81" s="39"/>
      <c r="AA81" s="39"/>
    </row>
    <row r="82" ht="14.25" customHeight="1">
      <c r="A82" s="39"/>
      <c r="B82" s="65"/>
      <c r="C82" s="39"/>
      <c r="D82" s="39"/>
      <c r="E82" s="39"/>
      <c r="F82" s="39"/>
      <c r="G82" s="39"/>
      <c r="H82" s="39"/>
      <c r="I82" s="39"/>
      <c r="J82" s="39"/>
      <c r="K82" s="39"/>
      <c r="L82" s="39"/>
      <c r="M82" s="39"/>
      <c r="N82" s="39"/>
      <c r="O82" s="39"/>
      <c r="P82" s="39"/>
      <c r="Q82" s="39"/>
      <c r="R82" s="39"/>
      <c r="S82" s="39"/>
      <c r="T82" s="39"/>
      <c r="U82" s="39"/>
      <c r="V82" s="39"/>
      <c r="W82" s="39"/>
      <c r="X82" s="39"/>
      <c r="Y82" s="39"/>
      <c r="Z82" s="39"/>
      <c r="AA82" s="39"/>
    </row>
    <row r="83" ht="14.25" customHeight="1">
      <c r="A83" s="39"/>
      <c r="B83" s="65"/>
      <c r="C83" s="39"/>
      <c r="D83" s="39"/>
      <c r="E83" s="39"/>
      <c r="F83" s="39"/>
      <c r="G83" s="39"/>
      <c r="H83" s="39"/>
      <c r="I83" s="39"/>
      <c r="J83" s="39"/>
      <c r="K83" s="39"/>
      <c r="L83" s="39"/>
      <c r="M83" s="39"/>
      <c r="N83" s="39"/>
      <c r="O83" s="39"/>
      <c r="P83" s="39"/>
      <c r="Q83" s="39"/>
      <c r="R83" s="39"/>
      <c r="S83" s="39"/>
      <c r="T83" s="39"/>
      <c r="U83" s="39"/>
      <c r="V83" s="39"/>
      <c r="W83" s="39"/>
      <c r="X83" s="39"/>
      <c r="Y83" s="39"/>
      <c r="Z83" s="39"/>
      <c r="AA83" s="39"/>
    </row>
    <row r="84" ht="14.25" customHeight="1">
      <c r="A84" s="39"/>
      <c r="B84" s="65"/>
      <c r="C84" s="39"/>
      <c r="D84" s="39"/>
      <c r="E84" s="39"/>
      <c r="F84" s="39"/>
      <c r="G84" s="39"/>
      <c r="H84" s="39"/>
      <c r="I84" s="39"/>
      <c r="J84" s="39"/>
      <c r="K84" s="39"/>
      <c r="L84" s="39"/>
      <c r="M84" s="39"/>
      <c r="N84" s="39"/>
      <c r="O84" s="39"/>
      <c r="P84" s="39"/>
      <c r="Q84" s="39"/>
      <c r="R84" s="39"/>
      <c r="S84" s="39"/>
      <c r="T84" s="39"/>
      <c r="U84" s="39"/>
      <c r="V84" s="39"/>
      <c r="W84" s="39"/>
      <c r="X84" s="39"/>
      <c r="Y84" s="39"/>
      <c r="Z84" s="39"/>
      <c r="AA84" s="39"/>
    </row>
    <row r="85" ht="14.25" customHeight="1">
      <c r="A85" s="39"/>
      <c r="B85" s="65"/>
      <c r="C85" s="39"/>
      <c r="D85" s="39"/>
      <c r="E85" s="39"/>
      <c r="F85" s="39"/>
      <c r="G85" s="39"/>
      <c r="H85" s="39"/>
      <c r="I85" s="39"/>
      <c r="J85" s="39"/>
      <c r="K85" s="39"/>
      <c r="L85" s="39"/>
      <c r="M85" s="39"/>
      <c r="N85" s="39"/>
      <c r="O85" s="39"/>
      <c r="P85" s="39"/>
      <c r="Q85" s="39"/>
      <c r="R85" s="39"/>
      <c r="S85" s="39"/>
      <c r="T85" s="39"/>
      <c r="U85" s="39"/>
      <c r="V85" s="39"/>
      <c r="W85" s="39"/>
      <c r="X85" s="39"/>
      <c r="Y85" s="39"/>
      <c r="Z85" s="39"/>
      <c r="AA85" s="39"/>
    </row>
    <row r="86" ht="14.25" customHeight="1">
      <c r="A86" s="57"/>
      <c r="B86" s="66"/>
      <c r="C86" s="57"/>
      <c r="D86" s="57"/>
      <c r="E86" s="57"/>
      <c r="F86" s="57"/>
      <c r="G86" s="57"/>
      <c r="H86" s="57"/>
      <c r="I86" s="57"/>
      <c r="J86" s="57"/>
      <c r="K86" s="57"/>
      <c r="L86" s="57"/>
      <c r="M86" s="57"/>
      <c r="N86" s="57"/>
      <c r="O86" s="57"/>
      <c r="P86" s="39"/>
      <c r="Q86" s="39"/>
      <c r="R86" s="39"/>
      <c r="S86" s="39"/>
      <c r="T86" s="39"/>
      <c r="U86" s="39"/>
      <c r="V86" s="39"/>
      <c r="W86" s="39"/>
      <c r="X86" s="39"/>
      <c r="Y86" s="39"/>
      <c r="Z86" s="39"/>
      <c r="AA86" s="39"/>
    </row>
    <row r="87" ht="14.25" customHeight="1">
      <c r="A87" s="60" t="s">
        <v>72</v>
      </c>
      <c r="B87" s="46" t="s">
        <v>73</v>
      </c>
      <c r="C87" s="67" t="s">
        <v>74</v>
      </c>
      <c r="D87" s="68"/>
      <c r="E87" s="69"/>
      <c r="F87" s="39"/>
      <c r="G87" s="39"/>
      <c r="H87" s="39"/>
      <c r="I87" s="39"/>
      <c r="J87" s="39"/>
      <c r="K87" s="39"/>
      <c r="L87" s="39"/>
      <c r="M87" s="39"/>
      <c r="N87" s="39"/>
      <c r="O87" s="39"/>
      <c r="P87" s="39"/>
      <c r="Q87" s="39"/>
      <c r="R87" s="39"/>
      <c r="S87" s="39"/>
      <c r="T87" s="39"/>
      <c r="U87" s="39"/>
      <c r="V87" s="39"/>
      <c r="W87" s="39"/>
      <c r="X87" s="39"/>
      <c r="Y87" s="39"/>
      <c r="Z87" s="39"/>
      <c r="AA87" s="39"/>
    </row>
    <row r="88" ht="14.25" customHeight="1">
      <c r="A88" s="39"/>
      <c r="B88" s="46" t="s">
        <v>75</v>
      </c>
      <c r="C88" s="70">
        <v>0.0721</v>
      </c>
      <c r="D88" s="68"/>
      <c r="E88" s="69"/>
      <c r="F88" s="39"/>
      <c r="G88" s="39"/>
      <c r="H88" s="39"/>
      <c r="I88" s="39"/>
      <c r="J88" s="39"/>
      <c r="K88" s="39"/>
      <c r="L88" s="39"/>
      <c r="M88" s="39"/>
      <c r="N88" s="39"/>
      <c r="O88" s="39"/>
      <c r="P88" s="39"/>
      <c r="Q88" s="39"/>
      <c r="R88" s="39"/>
      <c r="S88" s="39"/>
      <c r="T88" s="39"/>
      <c r="U88" s="39"/>
      <c r="V88" s="39"/>
      <c r="W88" s="39"/>
      <c r="X88" s="39"/>
      <c r="Y88" s="39"/>
      <c r="Z88" s="39"/>
      <c r="AA88" s="39"/>
    </row>
    <row r="89" ht="14.25" customHeight="1">
      <c r="A89" s="39"/>
      <c r="B89" s="46" t="s">
        <v>76</v>
      </c>
      <c r="C89" s="70">
        <v>0.0791</v>
      </c>
      <c r="D89" s="68"/>
      <c r="E89" s="69"/>
      <c r="F89" s="39"/>
      <c r="G89" s="39"/>
      <c r="H89" s="39"/>
      <c r="I89" s="39"/>
      <c r="J89" s="39"/>
      <c r="K89" s="39"/>
      <c r="L89" s="39"/>
      <c r="M89" s="39"/>
      <c r="N89" s="39"/>
      <c r="O89" s="39"/>
      <c r="P89" s="39"/>
      <c r="Q89" s="39"/>
      <c r="R89" s="39"/>
      <c r="S89" s="39"/>
      <c r="T89" s="39"/>
      <c r="U89" s="39"/>
      <c r="V89" s="39"/>
      <c r="W89" s="39"/>
      <c r="X89" s="39"/>
      <c r="Y89" s="39"/>
      <c r="Z89" s="39"/>
      <c r="AA89" s="39"/>
    </row>
    <row r="90" ht="14.25" customHeight="1">
      <c r="A90" s="39"/>
      <c r="B90" s="46" t="s">
        <v>77</v>
      </c>
      <c r="C90" s="70" t="s">
        <v>78</v>
      </c>
      <c r="D90" s="68"/>
      <c r="E90" s="69"/>
      <c r="F90" s="39"/>
      <c r="G90" s="39"/>
      <c r="H90" s="39"/>
      <c r="I90" s="39"/>
      <c r="J90" s="39"/>
      <c r="K90" s="39"/>
      <c r="L90" s="39"/>
      <c r="M90" s="39"/>
      <c r="N90" s="39"/>
      <c r="O90" s="39"/>
      <c r="P90" s="39"/>
      <c r="Q90" s="39"/>
      <c r="R90" s="39"/>
      <c r="S90" s="39"/>
      <c r="T90" s="39"/>
      <c r="U90" s="39"/>
      <c r="V90" s="39"/>
      <c r="W90" s="39"/>
      <c r="X90" s="39"/>
      <c r="Y90" s="39"/>
      <c r="Z90" s="39"/>
      <c r="AA90" s="39"/>
    </row>
    <row r="91" ht="14.25" customHeight="1">
      <c r="A91" s="39"/>
      <c r="B91" s="46" t="s">
        <v>79</v>
      </c>
      <c r="C91" s="71"/>
      <c r="D91" s="72"/>
      <c r="E91" s="73"/>
      <c r="F91" s="39"/>
      <c r="G91" s="39"/>
      <c r="H91" s="39"/>
      <c r="I91" s="39"/>
      <c r="J91" s="39"/>
      <c r="K91" s="39"/>
      <c r="L91" s="39"/>
      <c r="M91" s="39"/>
      <c r="N91" s="39"/>
      <c r="O91" s="39"/>
      <c r="P91" s="39"/>
      <c r="Q91" s="39"/>
      <c r="R91" s="39"/>
      <c r="S91" s="39"/>
      <c r="T91" s="39"/>
      <c r="U91" s="39"/>
      <c r="V91" s="39"/>
      <c r="W91" s="39"/>
      <c r="X91" s="39"/>
      <c r="Y91" s="39"/>
      <c r="Z91" s="39"/>
      <c r="AA91" s="39"/>
    </row>
    <row r="92" ht="14.25" customHeight="1">
      <c r="A92" s="39"/>
      <c r="B92" s="74" t="s">
        <v>80</v>
      </c>
      <c r="C92" s="70">
        <v>0.0</v>
      </c>
      <c r="D92" s="68"/>
      <c r="E92" s="69"/>
      <c r="F92" s="39"/>
      <c r="G92" s="39"/>
      <c r="H92" s="39"/>
      <c r="I92" s="39"/>
      <c r="J92" s="39"/>
      <c r="K92" s="39"/>
      <c r="L92" s="39"/>
      <c r="M92" s="39"/>
      <c r="N92" s="39"/>
      <c r="O92" s="39"/>
      <c r="P92" s="39"/>
      <c r="Q92" s="39"/>
      <c r="R92" s="39"/>
      <c r="S92" s="39"/>
      <c r="T92" s="39"/>
      <c r="U92" s="39"/>
      <c r="V92" s="39"/>
      <c r="W92" s="39"/>
      <c r="X92" s="39"/>
      <c r="Y92" s="39"/>
      <c r="Z92" s="39"/>
      <c r="AA92" s="39"/>
    </row>
    <row r="93" ht="14.25" customHeight="1">
      <c r="A93" s="39"/>
      <c r="B93" s="74" t="s">
        <v>81</v>
      </c>
      <c r="C93" s="70">
        <v>0.5184</v>
      </c>
      <c r="D93" s="68"/>
      <c r="E93" s="69"/>
      <c r="F93" s="39"/>
      <c r="G93" s="39"/>
      <c r="H93" s="39"/>
      <c r="I93" s="39"/>
      <c r="J93" s="39"/>
      <c r="K93" s="39"/>
      <c r="L93" s="39"/>
      <c r="M93" s="39"/>
      <c r="N93" s="39"/>
      <c r="O93" s="39"/>
      <c r="P93" s="39"/>
      <c r="Q93" s="39"/>
      <c r="R93" s="39"/>
      <c r="S93" s="39"/>
      <c r="T93" s="39"/>
      <c r="U93" s="39"/>
      <c r="V93" s="39"/>
      <c r="W93" s="39"/>
      <c r="X93" s="39"/>
      <c r="Y93" s="39"/>
      <c r="Z93" s="39"/>
      <c r="AA93" s="39"/>
    </row>
    <row r="94" ht="14.25" customHeight="1">
      <c r="A94" s="39"/>
      <c r="B94" s="74" t="s">
        <v>82</v>
      </c>
      <c r="C94" s="70">
        <f>83.56%-C93</f>
        <v>0.3172</v>
      </c>
      <c r="D94" s="68"/>
      <c r="E94" s="69"/>
      <c r="F94" s="39"/>
      <c r="G94" s="39"/>
      <c r="H94" s="39"/>
      <c r="I94" s="39"/>
      <c r="J94" s="39"/>
      <c r="K94" s="39"/>
      <c r="L94" s="39"/>
      <c r="M94" s="39"/>
      <c r="N94" s="39"/>
      <c r="O94" s="39"/>
      <c r="P94" s="39"/>
      <c r="Q94" s="39"/>
      <c r="R94" s="39"/>
      <c r="S94" s="39"/>
      <c r="T94" s="39"/>
      <c r="U94" s="39"/>
      <c r="V94" s="39"/>
      <c r="W94" s="39"/>
      <c r="X94" s="39"/>
      <c r="Y94" s="39"/>
      <c r="Z94" s="39"/>
      <c r="AA94" s="39"/>
    </row>
    <row r="95" ht="14.25" customHeight="1">
      <c r="A95" s="39"/>
      <c r="B95" s="74" t="s">
        <v>83</v>
      </c>
      <c r="C95" s="70">
        <f>12.26%+4.18%</f>
        <v>0.1644</v>
      </c>
      <c r="D95" s="68"/>
      <c r="E95" s="69"/>
      <c r="F95" s="39"/>
      <c r="G95" s="39"/>
      <c r="H95" s="39"/>
      <c r="I95" s="39"/>
      <c r="J95" s="39"/>
      <c r="K95" s="39"/>
      <c r="L95" s="39"/>
      <c r="M95" s="39"/>
      <c r="N95" s="39"/>
      <c r="O95" s="39"/>
      <c r="P95" s="39"/>
      <c r="Q95" s="39"/>
      <c r="R95" s="39"/>
      <c r="S95" s="39"/>
      <c r="T95" s="39"/>
      <c r="U95" s="39"/>
      <c r="V95" s="39"/>
      <c r="W95" s="39"/>
      <c r="X95" s="39"/>
      <c r="Y95" s="39"/>
      <c r="Z95" s="39"/>
      <c r="AA95" s="39"/>
    </row>
    <row r="96" ht="14.25" customHeight="1">
      <c r="A96" s="39"/>
      <c r="B96" s="46" t="s">
        <v>84</v>
      </c>
      <c r="C96" s="70">
        <f>1-2.45%</f>
        <v>0.9755</v>
      </c>
      <c r="D96" s="68"/>
      <c r="E96" s="69"/>
      <c r="F96" s="39"/>
      <c r="G96" s="39"/>
      <c r="H96" s="39"/>
      <c r="I96" s="39"/>
      <c r="J96" s="39"/>
      <c r="K96" s="39"/>
      <c r="L96" s="39"/>
      <c r="M96" s="39"/>
      <c r="N96" s="39"/>
      <c r="O96" s="39"/>
      <c r="P96" s="39"/>
      <c r="Q96" s="39"/>
      <c r="R96" s="39"/>
      <c r="S96" s="39"/>
      <c r="T96" s="39"/>
      <c r="U96" s="39"/>
      <c r="V96" s="39"/>
      <c r="W96" s="39"/>
      <c r="X96" s="39"/>
      <c r="Y96" s="39"/>
      <c r="Z96" s="39"/>
      <c r="AA96" s="39"/>
    </row>
    <row r="97" ht="14.25" customHeight="1">
      <c r="A97" s="39"/>
      <c r="B97" s="62" t="s">
        <v>50</v>
      </c>
      <c r="C97" s="46" t="s">
        <v>51</v>
      </c>
      <c r="D97" s="46" t="s">
        <v>53</v>
      </c>
      <c r="E97" s="46" t="s">
        <v>54</v>
      </c>
      <c r="F97" s="46" t="s">
        <v>85</v>
      </c>
      <c r="G97" s="39"/>
      <c r="H97" s="39"/>
      <c r="I97" s="39"/>
      <c r="J97" s="39"/>
      <c r="K97" s="39"/>
      <c r="L97" s="39"/>
      <c r="M97" s="39"/>
      <c r="N97" s="39"/>
      <c r="O97" s="39"/>
      <c r="P97" s="39"/>
      <c r="Q97" s="39"/>
      <c r="R97" s="39"/>
      <c r="S97" s="39"/>
      <c r="T97" s="39"/>
      <c r="U97" s="39"/>
      <c r="V97" s="39"/>
      <c r="W97" s="39"/>
      <c r="X97" s="39"/>
      <c r="Y97" s="39"/>
      <c r="Z97" s="39"/>
      <c r="AA97" s="39"/>
    </row>
    <row r="98" ht="14.25" customHeight="1">
      <c r="A98" s="39"/>
      <c r="B98" s="62">
        <v>6.0</v>
      </c>
      <c r="C98" s="48">
        <v>600000.0</v>
      </c>
      <c r="D98" s="48">
        <v>789366.1164699894</v>
      </c>
      <c r="E98" s="48">
        <v>759971.5278602329</v>
      </c>
      <c r="F98" s="48">
        <v>783184.038260795</v>
      </c>
      <c r="G98" s="39"/>
      <c r="H98" s="39"/>
      <c r="I98" s="39"/>
      <c r="J98" s="39"/>
      <c r="K98" s="39"/>
      <c r="L98" s="39"/>
      <c r="M98" s="39"/>
      <c r="N98" s="39"/>
      <c r="O98" s="39"/>
      <c r="P98" s="39"/>
      <c r="Q98" s="39"/>
      <c r="R98" s="39"/>
      <c r="S98" s="39"/>
      <c r="T98" s="39"/>
      <c r="U98" s="39"/>
      <c r="V98" s="39"/>
      <c r="W98" s="39"/>
      <c r="X98" s="39"/>
      <c r="Y98" s="39"/>
      <c r="Z98" s="39"/>
      <c r="AA98" s="39"/>
    </row>
    <row r="99" ht="14.25" customHeight="1">
      <c r="A99" s="39"/>
      <c r="B99" s="62">
        <v>7.0</v>
      </c>
      <c r="C99" s="48">
        <v>700000.0</v>
      </c>
      <c r="D99" s="48">
        <v>937800.8031057465</v>
      </c>
      <c r="E99" s="48">
        <v>872748.6274853746</v>
      </c>
      <c r="F99" s="48">
        <v>923926.8483598741</v>
      </c>
      <c r="G99" s="39"/>
      <c r="H99" s="39"/>
      <c r="I99" s="39"/>
      <c r="J99" s="39"/>
      <c r="K99" s="39"/>
      <c r="L99" s="39"/>
      <c r="M99" s="39"/>
      <c r="N99" s="39"/>
      <c r="O99" s="39"/>
      <c r="P99" s="39"/>
      <c r="Q99" s="39"/>
      <c r="R99" s="39"/>
      <c r="S99" s="39"/>
      <c r="T99" s="39"/>
      <c r="U99" s="39"/>
      <c r="V99" s="39"/>
      <c r="W99" s="39"/>
      <c r="X99" s="39"/>
      <c r="Y99" s="39"/>
      <c r="Z99" s="39"/>
      <c r="AA99" s="39"/>
    </row>
    <row r="100" ht="14.25" customHeight="1">
      <c r="A100" s="39"/>
      <c r="B100" s="62">
        <v>8.0</v>
      </c>
      <c r="C100" s="48">
        <v>800000.0</v>
      </c>
      <c r="D100" s="48">
        <v>1095790.3968577003</v>
      </c>
      <c r="E100" s="48">
        <v>988283.3783170495</v>
      </c>
      <c r="F100" s="48">
        <v>1072550.2292240614</v>
      </c>
      <c r="G100" s="39"/>
      <c r="H100" s="39"/>
      <c r="I100" s="39"/>
      <c r="J100" s="39"/>
      <c r="K100" s="39"/>
      <c r="L100" s="39"/>
      <c r="M100" s="39"/>
      <c r="N100" s="39"/>
      <c r="O100" s="39"/>
      <c r="P100" s="39"/>
      <c r="Q100" s="39"/>
      <c r="R100" s="39"/>
      <c r="S100" s="39"/>
      <c r="T100" s="39"/>
      <c r="U100" s="39"/>
      <c r="V100" s="39"/>
      <c r="W100" s="39"/>
      <c r="X100" s="39"/>
      <c r="Y100" s="39"/>
      <c r="Z100" s="39"/>
      <c r="AA100" s="39"/>
    </row>
    <row r="101" ht="14.25" customHeight="1">
      <c r="A101" s="39"/>
      <c r="B101" s="62">
        <v>9.0</v>
      </c>
      <c r="C101" s="48">
        <v>900000.0</v>
      </c>
      <c r="D101" s="48">
        <v>1263722.256753109</v>
      </c>
      <c r="E101" s="48">
        <v>1106390.7934447173</v>
      </c>
      <c r="F101" s="48">
        <v>1229262.2806554495</v>
      </c>
      <c r="G101" s="39"/>
      <c r="H101" s="39"/>
      <c r="I101" s="39"/>
      <c r="J101" s="39"/>
      <c r="K101" s="39"/>
      <c r="L101" s="39"/>
      <c r="M101" s="39"/>
      <c r="N101" s="39"/>
      <c r="O101" s="39"/>
      <c r="P101" s="39"/>
      <c r="Q101" s="39"/>
      <c r="R101" s="39"/>
      <c r="S101" s="39"/>
      <c r="T101" s="39"/>
      <c r="U101" s="39"/>
      <c r="V101" s="39"/>
      <c r="W101" s="39"/>
      <c r="X101" s="39"/>
      <c r="Y101" s="39"/>
      <c r="Z101" s="39"/>
      <c r="AA101" s="39"/>
    </row>
    <row r="102" ht="14.25" customHeight="1">
      <c r="A102" s="39"/>
      <c r="B102" s="62">
        <v>10.0</v>
      </c>
      <c r="C102" s="48">
        <v>1000000.0</v>
      </c>
      <c r="D102" s="48">
        <v>1442222.0484052575</v>
      </c>
      <c r="E102" s="48">
        <v>1227077.8443515988</v>
      </c>
      <c r="F102" s="48">
        <v>1394492.188660263</v>
      </c>
      <c r="G102" s="39"/>
      <c r="H102" s="39"/>
      <c r="I102" s="39"/>
      <c r="J102" s="39"/>
      <c r="K102" s="39"/>
      <c r="L102" s="39"/>
      <c r="M102" s="39"/>
      <c r="N102" s="39"/>
      <c r="O102" s="39"/>
      <c r="P102" s="39"/>
      <c r="Q102" s="39"/>
      <c r="R102" s="39"/>
      <c r="S102" s="39"/>
      <c r="T102" s="39"/>
      <c r="U102" s="39"/>
      <c r="V102" s="39"/>
      <c r="W102" s="39"/>
      <c r="X102" s="39"/>
      <c r="Y102" s="39"/>
      <c r="Z102" s="39"/>
      <c r="AA102" s="39"/>
    </row>
    <row r="103" ht="14.25" customHeight="1">
      <c r="A103" s="39"/>
      <c r="B103" s="65"/>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row>
    <row r="104" ht="14.25" hidden="1" customHeight="1">
      <c r="A104" s="39"/>
      <c r="B104" s="65"/>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row>
    <row r="105" ht="14.25" hidden="1" customHeight="1">
      <c r="A105" s="39"/>
      <c r="B105" s="65"/>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row>
    <row r="106" ht="14.25" hidden="1" customHeight="1">
      <c r="A106" s="39"/>
      <c r="B106" s="65"/>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row>
    <row r="107" ht="14.25" hidden="1" customHeight="1">
      <c r="A107" s="39"/>
      <c r="B107" s="65"/>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row>
    <row r="108" ht="14.25" hidden="1" customHeight="1">
      <c r="A108" s="39"/>
      <c r="B108" s="65"/>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row>
    <row r="109" ht="14.25" hidden="1" customHeight="1">
      <c r="A109" s="39"/>
      <c r="B109" s="65"/>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row>
    <row r="110" ht="14.25" hidden="1" customHeight="1">
      <c r="A110" s="39"/>
      <c r="B110" s="65"/>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row>
    <row r="111" ht="14.25" hidden="1" customHeight="1">
      <c r="A111" s="39"/>
      <c r="B111" s="65"/>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row>
    <row r="112" ht="14.25" hidden="1" customHeight="1">
      <c r="A112" s="39"/>
      <c r="B112" s="65"/>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row>
    <row r="113" ht="14.25" hidden="1" customHeight="1">
      <c r="A113" s="39"/>
      <c r="B113" s="65"/>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row>
    <row r="114" ht="14.25" hidden="1" customHeight="1">
      <c r="A114" s="39"/>
      <c r="B114" s="65"/>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row>
    <row r="115" ht="14.25" hidden="1" customHeight="1">
      <c r="A115" s="39"/>
      <c r="B115" s="65"/>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row>
    <row r="116" ht="14.25" hidden="1" customHeight="1">
      <c r="A116" s="39"/>
      <c r="B116" s="65"/>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row>
    <row r="117" ht="14.25" hidden="1" customHeight="1">
      <c r="A117" s="39"/>
      <c r="B117" s="65"/>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row>
    <row r="118" ht="14.25" hidden="1" customHeight="1">
      <c r="A118" s="39"/>
      <c r="B118" s="65"/>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row>
    <row r="119" ht="14.25" hidden="1" customHeight="1">
      <c r="A119" s="75"/>
      <c r="B119" s="76"/>
      <c r="C119" s="77"/>
      <c r="D119" s="77"/>
      <c r="E119" s="75"/>
      <c r="F119" s="75"/>
      <c r="G119" s="75"/>
      <c r="H119" s="75"/>
      <c r="I119" s="75"/>
      <c r="J119" s="75"/>
      <c r="K119" s="75"/>
      <c r="L119" s="75"/>
      <c r="M119" s="75"/>
      <c r="N119" s="75"/>
      <c r="O119" s="75"/>
    </row>
    <row r="120" ht="14.25" hidden="1" customHeight="1">
      <c r="B120" s="78"/>
      <c r="C120" s="12"/>
      <c r="D120" s="12"/>
    </row>
    <row r="121" ht="14.25" hidden="1" customHeight="1">
      <c r="B121" s="78"/>
      <c r="C121" s="12"/>
      <c r="D121" s="12"/>
    </row>
    <row r="122" ht="14.25" hidden="1" customHeight="1">
      <c r="B122" s="78"/>
      <c r="C122" s="12"/>
      <c r="D122" s="12"/>
    </row>
    <row r="123" ht="14.25" hidden="1" customHeight="1">
      <c r="B123" s="78"/>
      <c r="C123" s="12"/>
      <c r="D123" s="12"/>
    </row>
    <row r="124" ht="14.25" hidden="1" customHeight="1">
      <c r="B124" s="78"/>
      <c r="C124" s="12"/>
      <c r="D124" s="12"/>
    </row>
    <row r="125" ht="14.25" hidden="1" customHeight="1">
      <c r="B125" s="78"/>
      <c r="C125" s="12"/>
      <c r="D125" s="12"/>
    </row>
    <row r="126" ht="14.25" hidden="1" customHeight="1">
      <c r="B126" s="78"/>
      <c r="C126" s="12"/>
      <c r="D126" s="12"/>
    </row>
    <row r="127" ht="14.25" hidden="1" customHeight="1">
      <c r="B127" s="78"/>
      <c r="C127" s="12"/>
      <c r="D127" s="12"/>
    </row>
    <row r="128" ht="14.25" hidden="1" customHeight="1">
      <c r="B128" s="78"/>
      <c r="C128" s="12"/>
      <c r="D128" s="12"/>
    </row>
    <row r="129" ht="14.25" hidden="1" customHeight="1">
      <c r="B129" s="78"/>
      <c r="C129" s="12"/>
      <c r="D129" s="12"/>
    </row>
    <row r="130" ht="14.25" hidden="1" customHeight="1">
      <c r="B130" s="78"/>
      <c r="C130" s="12"/>
      <c r="D130" s="12"/>
    </row>
    <row r="131" ht="14.25" hidden="1" customHeight="1">
      <c r="B131" s="78"/>
      <c r="C131" s="12"/>
      <c r="D131" s="12"/>
    </row>
    <row r="132" ht="14.25" hidden="1" customHeight="1">
      <c r="B132" s="78"/>
      <c r="C132" s="12"/>
      <c r="D132" s="12"/>
    </row>
    <row r="133" ht="14.25" hidden="1" customHeight="1">
      <c r="B133" s="78"/>
      <c r="C133" s="12"/>
      <c r="D133" s="12"/>
    </row>
    <row r="134" ht="14.25" hidden="1" customHeight="1">
      <c r="B134" s="78"/>
      <c r="C134" s="12"/>
      <c r="D134" s="12"/>
    </row>
    <row r="135" ht="14.25" hidden="1" customHeight="1">
      <c r="B135" s="78"/>
      <c r="C135" s="12"/>
      <c r="D135" s="12"/>
    </row>
    <row r="136" ht="14.25" hidden="1" customHeight="1">
      <c r="B136" s="78"/>
      <c r="C136" s="12"/>
      <c r="D136" s="12"/>
    </row>
    <row r="137" ht="14.25" hidden="1" customHeight="1">
      <c r="B137" s="78"/>
      <c r="C137" s="12"/>
      <c r="D137" s="12"/>
    </row>
    <row r="138" ht="14.25" hidden="1" customHeight="1">
      <c r="B138" s="78"/>
      <c r="C138" s="12"/>
      <c r="D138" s="12"/>
    </row>
    <row r="139" ht="14.25" hidden="1" customHeight="1">
      <c r="B139" s="78"/>
      <c r="C139" s="12"/>
      <c r="D139" s="12"/>
    </row>
    <row r="140" ht="14.25" hidden="1" customHeight="1">
      <c r="B140" s="78"/>
      <c r="C140" s="12"/>
      <c r="D140" s="12"/>
    </row>
    <row r="141" ht="14.25" hidden="1" customHeight="1">
      <c r="B141" s="78"/>
      <c r="C141" s="12"/>
      <c r="D141" s="12"/>
    </row>
    <row r="142" ht="14.25" hidden="1" customHeight="1">
      <c r="B142" s="78"/>
      <c r="C142" s="12"/>
      <c r="D142" s="12"/>
    </row>
    <row r="143" ht="14.25" hidden="1" customHeight="1">
      <c r="B143" s="78"/>
      <c r="C143" s="12"/>
      <c r="D143" s="12"/>
    </row>
    <row r="144" ht="14.25" hidden="1" customHeight="1">
      <c r="B144" s="78"/>
      <c r="C144" s="12"/>
      <c r="D144" s="12"/>
    </row>
    <row r="145" ht="14.25" hidden="1" customHeight="1">
      <c r="B145" s="78"/>
      <c r="C145" s="12"/>
      <c r="D145" s="12"/>
    </row>
    <row r="146" ht="14.25" hidden="1" customHeight="1">
      <c r="B146" s="78"/>
      <c r="C146" s="12"/>
      <c r="D146" s="12"/>
    </row>
    <row r="147" ht="14.25" hidden="1" customHeight="1">
      <c r="B147" s="78"/>
      <c r="C147" s="12"/>
      <c r="D147" s="12"/>
    </row>
    <row r="148" ht="14.25" hidden="1" customHeight="1">
      <c r="B148" s="78"/>
      <c r="C148" s="12"/>
      <c r="D148" s="12"/>
    </row>
    <row r="149" ht="14.25" hidden="1" customHeight="1">
      <c r="B149" s="78"/>
      <c r="C149" s="12"/>
      <c r="D149" s="12"/>
    </row>
    <row r="150" ht="14.25" hidden="1" customHeight="1">
      <c r="B150" s="78"/>
      <c r="C150" s="12"/>
      <c r="D150" s="12"/>
    </row>
    <row r="151" ht="14.25" hidden="1" customHeight="1">
      <c r="B151" s="78"/>
      <c r="C151" s="12"/>
      <c r="D151" s="12"/>
    </row>
    <row r="152" ht="14.25" hidden="1" customHeight="1">
      <c r="B152" s="78"/>
      <c r="C152" s="12"/>
      <c r="D152" s="12"/>
    </row>
    <row r="153" ht="14.25" hidden="1" customHeight="1">
      <c r="B153" s="78"/>
      <c r="C153" s="12"/>
      <c r="D153" s="12"/>
    </row>
    <row r="154" ht="14.25" hidden="1" customHeight="1">
      <c r="B154" s="78"/>
      <c r="C154" s="12"/>
      <c r="D154" s="12"/>
    </row>
    <row r="155" ht="14.25" hidden="1" customHeight="1">
      <c r="B155" s="78"/>
      <c r="C155" s="12"/>
      <c r="D155" s="12"/>
    </row>
    <row r="156" ht="14.25" hidden="1" customHeight="1">
      <c r="B156" s="78"/>
      <c r="C156" s="12"/>
      <c r="D156" s="12"/>
    </row>
    <row r="157" ht="14.25" hidden="1" customHeight="1">
      <c r="B157" s="78"/>
      <c r="C157" s="12"/>
      <c r="D157" s="12"/>
    </row>
    <row r="158" ht="14.25" hidden="1" customHeight="1">
      <c r="B158" s="78"/>
      <c r="C158" s="12"/>
      <c r="D158" s="12"/>
    </row>
    <row r="159" ht="14.25" hidden="1" customHeight="1">
      <c r="B159" s="78"/>
      <c r="C159" s="12"/>
      <c r="D159" s="12"/>
    </row>
    <row r="160" ht="14.25" hidden="1" customHeight="1">
      <c r="B160" s="78"/>
      <c r="C160" s="12"/>
      <c r="D160" s="12"/>
    </row>
    <row r="161" ht="14.25" hidden="1" customHeight="1">
      <c r="B161" s="78"/>
      <c r="C161" s="12"/>
      <c r="D161" s="12"/>
    </row>
    <row r="162" ht="14.25" hidden="1" customHeight="1">
      <c r="B162" s="78"/>
      <c r="C162" s="12"/>
      <c r="D162" s="12"/>
    </row>
    <row r="163" ht="14.25" hidden="1" customHeight="1">
      <c r="B163" s="78"/>
      <c r="C163" s="12"/>
      <c r="D163" s="12"/>
    </row>
    <row r="164" ht="14.25" hidden="1" customHeight="1">
      <c r="B164" s="78"/>
      <c r="C164" s="12"/>
      <c r="D164" s="12"/>
    </row>
    <row r="165" ht="14.25" hidden="1" customHeight="1">
      <c r="B165" s="78"/>
      <c r="C165" s="12"/>
      <c r="D165" s="12"/>
    </row>
    <row r="166" ht="14.25" hidden="1" customHeight="1">
      <c r="B166" s="78"/>
      <c r="C166" s="12"/>
      <c r="D166" s="12"/>
    </row>
    <row r="167" ht="14.25" hidden="1" customHeight="1">
      <c r="B167" s="78"/>
      <c r="C167" s="12"/>
      <c r="D167" s="12"/>
    </row>
    <row r="168" ht="14.25" hidden="1" customHeight="1">
      <c r="B168" s="78"/>
      <c r="C168" s="12"/>
      <c r="D168" s="12"/>
    </row>
    <row r="169" ht="14.25" hidden="1" customHeight="1">
      <c r="B169" s="78"/>
      <c r="C169" s="12"/>
      <c r="D169" s="12"/>
    </row>
    <row r="170" ht="14.25" hidden="1" customHeight="1">
      <c r="B170" s="78"/>
      <c r="C170" s="12"/>
      <c r="D170" s="12"/>
    </row>
    <row r="171" ht="14.25" hidden="1" customHeight="1">
      <c r="B171" s="78"/>
      <c r="C171" s="12"/>
      <c r="D171" s="12"/>
    </row>
    <row r="172" ht="14.25" hidden="1" customHeight="1">
      <c r="B172" s="78"/>
      <c r="C172" s="12"/>
      <c r="D172" s="12"/>
    </row>
    <row r="173" ht="14.25" hidden="1" customHeight="1">
      <c r="B173" s="78"/>
      <c r="C173" s="12"/>
      <c r="D173" s="12"/>
    </row>
    <row r="174" ht="14.25" hidden="1" customHeight="1">
      <c r="B174" s="78"/>
      <c r="C174" s="12"/>
      <c r="D174" s="12"/>
    </row>
    <row r="175" ht="14.25" hidden="1" customHeight="1">
      <c r="B175" s="78"/>
      <c r="C175" s="12"/>
      <c r="D175" s="12"/>
    </row>
    <row r="176" ht="14.25" hidden="1" customHeight="1">
      <c r="B176" s="78"/>
      <c r="C176" s="12"/>
      <c r="D176" s="12"/>
    </row>
    <row r="177" ht="14.25" hidden="1" customHeight="1">
      <c r="B177" s="78"/>
      <c r="C177" s="12"/>
      <c r="D177" s="12"/>
    </row>
    <row r="178" ht="14.25" hidden="1" customHeight="1">
      <c r="B178" s="78"/>
      <c r="C178" s="12"/>
      <c r="D178" s="12"/>
    </row>
    <row r="179" ht="14.25" hidden="1" customHeight="1">
      <c r="B179" s="78"/>
      <c r="C179" s="12"/>
      <c r="D179" s="12"/>
    </row>
    <row r="180" ht="14.25" hidden="1" customHeight="1">
      <c r="B180" s="78"/>
      <c r="C180" s="12"/>
      <c r="D180" s="12"/>
    </row>
    <row r="181" ht="14.25" hidden="1" customHeight="1">
      <c r="B181" s="78"/>
      <c r="C181" s="12"/>
      <c r="D181" s="12"/>
    </row>
    <row r="182" ht="14.25" hidden="1" customHeight="1">
      <c r="B182" s="78"/>
      <c r="C182" s="12"/>
      <c r="D182" s="12"/>
    </row>
    <row r="183" ht="14.25" hidden="1" customHeight="1">
      <c r="B183" s="78"/>
      <c r="C183" s="12"/>
      <c r="D183" s="12"/>
    </row>
    <row r="184" ht="14.25" hidden="1" customHeight="1">
      <c r="B184" s="78"/>
      <c r="C184" s="12"/>
      <c r="D184" s="12"/>
    </row>
    <row r="185" ht="14.25" hidden="1" customHeight="1">
      <c r="B185" s="78"/>
      <c r="C185" s="12"/>
      <c r="D185" s="12"/>
    </row>
    <row r="186" ht="14.25" hidden="1" customHeight="1">
      <c r="B186" s="78"/>
      <c r="C186" s="12"/>
      <c r="D186" s="12"/>
    </row>
    <row r="187" ht="14.25" hidden="1" customHeight="1">
      <c r="B187" s="78"/>
      <c r="C187" s="12"/>
      <c r="D187" s="12"/>
    </row>
    <row r="188" ht="14.25" hidden="1" customHeight="1">
      <c r="B188" s="78"/>
      <c r="C188" s="12"/>
      <c r="D188" s="12"/>
    </row>
    <row r="189" ht="14.25" hidden="1" customHeight="1">
      <c r="B189" s="78"/>
      <c r="C189" s="12"/>
      <c r="D189" s="12"/>
    </row>
    <row r="190" ht="14.25" hidden="1" customHeight="1">
      <c r="B190" s="78"/>
      <c r="C190" s="12"/>
      <c r="D190" s="12"/>
    </row>
    <row r="191" ht="14.25" hidden="1" customHeight="1">
      <c r="B191" s="78"/>
      <c r="C191" s="12"/>
      <c r="D191" s="12"/>
    </row>
    <row r="192" ht="14.25" hidden="1" customHeight="1">
      <c r="B192" s="78"/>
      <c r="C192" s="12"/>
      <c r="D192" s="12"/>
    </row>
    <row r="193" ht="14.25" hidden="1" customHeight="1">
      <c r="B193" s="78"/>
      <c r="C193" s="12"/>
      <c r="D193" s="12"/>
    </row>
    <row r="194" ht="14.25" hidden="1" customHeight="1">
      <c r="B194" s="78"/>
      <c r="C194" s="12"/>
      <c r="D194" s="12"/>
    </row>
    <row r="195" ht="14.25" hidden="1" customHeight="1">
      <c r="B195" s="78"/>
      <c r="C195" s="12"/>
      <c r="D195" s="12"/>
    </row>
    <row r="196" ht="14.25" hidden="1" customHeight="1">
      <c r="B196" s="78"/>
      <c r="C196" s="12"/>
      <c r="D196" s="12"/>
    </row>
    <row r="197" ht="14.25" hidden="1" customHeight="1">
      <c r="B197" s="78"/>
      <c r="C197" s="12"/>
      <c r="D197" s="12"/>
    </row>
    <row r="198" ht="14.25" hidden="1" customHeight="1">
      <c r="B198" s="78"/>
      <c r="C198" s="12"/>
      <c r="D198" s="12"/>
    </row>
    <row r="199" ht="14.25" hidden="1" customHeight="1">
      <c r="B199" s="78"/>
      <c r="C199" s="12"/>
      <c r="D199" s="12"/>
    </row>
    <row r="200" ht="14.25" hidden="1" customHeight="1">
      <c r="B200" s="78"/>
      <c r="C200" s="12"/>
      <c r="D200" s="12"/>
    </row>
    <row r="201" ht="14.25" hidden="1" customHeight="1">
      <c r="B201" s="78"/>
      <c r="C201" s="12"/>
      <c r="D201" s="12"/>
    </row>
    <row r="202" ht="14.25" hidden="1" customHeight="1">
      <c r="B202" s="78"/>
      <c r="C202" s="12"/>
      <c r="D202" s="12"/>
    </row>
    <row r="203" ht="14.25" hidden="1" customHeight="1">
      <c r="B203" s="78"/>
      <c r="C203" s="12"/>
      <c r="D203" s="12"/>
    </row>
    <row r="204" ht="14.25" hidden="1" customHeight="1">
      <c r="B204" s="78"/>
      <c r="C204" s="12"/>
      <c r="D204" s="12"/>
    </row>
    <row r="205" ht="14.25" hidden="1" customHeight="1">
      <c r="B205" s="78"/>
      <c r="C205" s="12"/>
      <c r="D205" s="12"/>
    </row>
    <row r="206" ht="14.25" hidden="1" customHeight="1">
      <c r="B206" s="78"/>
      <c r="C206" s="12"/>
      <c r="D206" s="12"/>
    </row>
    <row r="207" ht="14.25" hidden="1" customHeight="1">
      <c r="B207" s="78"/>
      <c r="C207" s="12"/>
      <c r="D207" s="12"/>
    </row>
    <row r="208" ht="14.25" hidden="1" customHeight="1">
      <c r="B208" s="78"/>
      <c r="C208" s="12"/>
      <c r="D208" s="12"/>
    </row>
    <row r="209" ht="14.25" hidden="1" customHeight="1">
      <c r="B209" s="78"/>
      <c r="C209" s="12"/>
      <c r="D209" s="12"/>
    </row>
    <row r="210" ht="14.25" hidden="1" customHeight="1">
      <c r="B210" s="78"/>
      <c r="C210" s="12"/>
      <c r="D210" s="12"/>
    </row>
    <row r="211" ht="14.25" hidden="1" customHeight="1">
      <c r="B211" s="78"/>
      <c r="C211" s="12"/>
      <c r="D211" s="12"/>
    </row>
    <row r="212" ht="14.25" hidden="1" customHeight="1">
      <c r="B212" s="78"/>
      <c r="C212" s="12"/>
      <c r="D212" s="12"/>
    </row>
    <row r="213" ht="14.25" hidden="1" customHeight="1">
      <c r="B213" s="78"/>
      <c r="C213" s="12"/>
      <c r="D213" s="12"/>
    </row>
    <row r="214" ht="14.25" hidden="1" customHeight="1">
      <c r="B214" s="78"/>
      <c r="C214" s="12"/>
      <c r="D214" s="12"/>
    </row>
    <row r="215" ht="14.25" hidden="1" customHeight="1">
      <c r="B215" s="78"/>
      <c r="C215" s="12"/>
      <c r="D215" s="12"/>
    </row>
    <row r="216" ht="14.25" hidden="1" customHeight="1">
      <c r="B216" s="78"/>
      <c r="C216" s="12"/>
      <c r="D216" s="12"/>
    </row>
    <row r="217" ht="14.25" hidden="1" customHeight="1">
      <c r="B217" s="78"/>
      <c r="C217" s="12"/>
      <c r="D217" s="12"/>
    </row>
    <row r="218" ht="14.25" hidden="1" customHeight="1">
      <c r="B218" s="78"/>
      <c r="C218" s="12"/>
      <c r="D218" s="12"/>
    </row>
    <row r="219" ht="14.25" hidden="1" customHeight="1">
      <c r="B219" s="78"/>
      <c r="C219" s="12"/>
      <c r="D219" s="12"/>
    </row>
    <row r="220" ht="14.25" hidden="1" customHeight="1">
      <c r="B220" s="78"/>
      <c r="C220" s="12"/>
      <c r="D220" s="12"/>
    </row>
    <row r="221" ht="14.25" hidden="1" customHeight="1">
      <c r="B221" s="78"/>
      <c r="C221" s="12"/>
      <c r="D221" s="12"/>
    </row>
    <row r="222" ht="14.25" hidden="1" customHeight="1">
      <c r="B222" s="78"/>
      <c r="C222" s="12"/>
      <c r="D222" s="12"/>
    </row>
    <row r="223" ht="14.25" hidden="1" customHeight="1">
      <c r="B223" s="78"/>
      <c r="C223" s="12"/>
      <c r="D223" s="12"/>
    </row>
    <row r="224" ht="14.25" hidden="1" customHeight="1">
      <c r="B224" s="78"/>
      <c r="C224" s="12"/>
      <c r="D224" s="12"/>
    </row>
    <row r="225" ht="14.25" hidden="1" customHeight="1">
      <c r="B225" s="78"/>
      <c r="C225" s="12"/>
      <c r="D225" s="12"/>
    </row>
    <row r="226" ht="14.25" hidden="1" customHeight="1">
      <c r="B226" s="78"/>
      <c r="C226" s="12"/>
      <c r="D226" s="12"/>
    </row>
    <row r="227" ht="14.25" hidden="1" customHeight="1">
      <c r="B227" s="78"/>
      <c r="C227" s="12"/>
      <c r="D227" s="12"/>
    </row>
    <row r="228" ht="14.25" hidden="1" customHeight="1">
      <c r="B228" s="78"/>
      <c r="C228" s="12"/>
      <c r="D228" s="12"/>
    </row>
    <row r="229" ht="14.25" hidden="1" customHeight="1">
      <c r="B229" s="78"/>
      <c r="C229" s="12"/>
      <c r="D229" s="12"/>
    </row>
    <row r="230" ht="14.25" hidden="1" customHeight="1">
      <c r="B230" s="78"/>
      <c r="C230" s="12"/>
      <c r="D230" s="12"/>
    </row>
    <row r="231" ht="14.25" hidden="1" customHeight="1">
      <c r="B231" s="78"/>
      <c r="C231" s="12"/>
      <c r="D231" s="12"/>
    </row>
    <row r="232" ht="14.25" hidden="1" customHeight="1">
      <c r="B232" s="78"/>
      <c r="C232" s="12"/>
      <c r="D232" s="12"/>
    </row>
    <row r="233" ht="14.25" hidden="1" customHeight="1">
      <c r="B233" s="78"/>
      <c r="C233" s="12"/>
      <c r="D233" s="12"/>
    </row>
    <row r="234" ht="14.25" hidden="1" customHeight="1">
      <c r="B234" s="78"/>
      <c r="C234" s="12"/>
      <c r="D234" s="12"/>
    </row>
    <row r="235" ht="14.25" hidden="1" customHeight="1">
      <c r="B235" s="78"/>
      <c r="C235" s="12"/>
      <c r="D235" s="12"/>
    </row>
    <row r="236" ht="14.25" hidden="1" customHeight="1">
      <c r="B236" s="78"/>
      <c r="C236" s="12"/>
      <c r="D236" s="12"/>
    </row>
    <row r="237" ht="14.25" hidden="1" customHeight="1">
      <c r="B237" s="78"/>
      <c r="C237" s="12"/>
      <c r="D237" s="12"/>
    </row>
    <row r="238" ht="14.25" hidden="1" customHeight="1">
      <c r="B238" s="78"/>
      <c r="C238" s="12"/>
      <c r="D238" s="12"/>
    </row>
    <row r="239" ht="14.25" hidden="1" customHeight="1">
      <c r="B239" s="78"/>
      <c r="C239" s="12"/>
      <c r="D239" s="12"/>
    </row>
    <row r="240" ht="14.25" hidden="1" customHeight="1">
      <c r="B240" s="78"/>
      <c r="C240" s="12"/>
      <c r="D240" s="12"/>
    </row>
    <row r="241" ht="14.25" hidden="1" customHeight="1">
      <c r="B241" s="78"/>
      <c r="C241" s="12"/>
      <c r="D241" s="12"/>
    </row>
    <row r="242" ht="14.25" hidden="1" customHeight="1">
      <c r="B242" s="78"/>
      <c r="C242" s="12"/>
      <c r="D242" s="12"/>
    </row>
    <row r="243" ht="14.25" hidden="1" customHeight="1">
      <c r="B243" s="78"/>
      <c r="C243" s="12"/>
      <c r="D243" s="12"/>
    </row>
    <row r="244" ht="14.25" hidden="1" customHeight="1">
      <c r="B244" s="78"/>
      <c r="C244" s="12"/>
      <c r="D244" s="12"/>
    </row>
    <row r="245" ht="14.25" hidden="1" customHeight="1">
      <c r="B245" s="78"/>
      <c r="C245" s="12"/>
      <c r="D245" s="12"/>
    </row>
    <row r="246" ht="14.25" hidden="1" customHeight="1">
      <c r="B246" s="78"/>
      <c r="C246" s="12"/>
      <c r="D246" s="12"/>
    </row>
    <row r="247" ht="14.25" hidden="1" customHeight="1">
      <c r="B247" s="78"/>
      <c r="C247" s="12"/>
      <c r="D247" s="12"/>
    </row>
    <row r="248" ht="14.25" hidden="1" customHeight="1">
      <c r="B248" s="78"/>
      <c r="C248" s="12"/>
      <c r="D248" s="12"/>
    </row>
    <row r="249" ht="14.25" hidden="1" customHeight="1">
      <c r="B249" s="78"/>
      <c r="C249" s="12"/>
      <c r="D249" s="12"/>
    </row>
    <row r="250" ht="14.25" hidden="1" customHeight="1">
      <c r="B250" s="78"/>
      <c r="C250" s="12"/>
      <c r="D250" s="12"/>
    </row>
    <row r="251" ht="14.25" hidden="1" customHeight="1">
      <c r="B251" s="78"/>
      <c r="C251" s="12"/>
      <c r="D251" s="12"/>
    </row>
    <row r="252" ht="14.25" hidden="1" customHeight="1">
      <c r="B252" s="78"/>
      <c r="C252" s="12"/>
      <c r="D252" s="12"/>
    </row>
    <row r="253" ht="14.25" hidden="1" customHeight="1">
      <c r="B253" s="78"/>
      <c r="C253" s="12"/>
      <c r="D253" s="12"/>
    </row>
    <row r="254" ht="14.25" hidden="1" customHeight="1">
      <c r="B254" s="78"/>
      <c r="C254" s="12"/>
      <c r="D254" s="12"/>
    </row>
    <row r="255" ht="14.25" hidden="1" customHeight="1">
      <c r="B255" s="78"/>
      <c r="C255" s="12"/>
      <c r="D255" s="12"/>
    </row>
    <row r="256" ht="14.25" hidden="1" customHeight="1">
      <c r="B256" s="78"/>
      <c r="C256" s="12"/>
      <c r="D256" s="12"/>
    </row>
    <row r="257" ht="14.25" hidden="1" customHeight="1">
      <c r="B257" s="78"/>
      <c r="C257" s="12"/>
      <c r="D257" s="12"/>
    </row>
    <row r="258" ht="14.25" hidden="1" customHeight="1">
      <c r="B258" s="78"/>
      <c r="C258" s="12"/>
      <c r="D258" s="12"/>
    </row>
    <row r="259" ht="14.25" hidden="1" customHeight="1">
      <c r="B259" s="78"/>
      <c r="C259" s="12"/>
      <c r="D259" s="12"/>
    </row>
    <row r="260" ht="14.25" hidden="1" customHeight="1">
      <c r="B260" s="78"/>
      <c r="C260" s="12"/>
      <c r="D260" s="12"/>
    </row>
    <row r="261" ht="14.25" hidden="1" customHeight="1">
      <c r="B261" s="78"/>
      <c r="C261" s="12"/>
      <c r="D261" s="12"/>
    </row>
    <row r="262" ht="14.25" hidden="1" customHeight="1">
      <c r="B262" s="78"/>
      <c r="C262" s="12"/>
      <c r="D262" s="12"/>
    </row>
    <row r="263" ht="14.25" hidden="1" customHeight="1">
      <c r="B263" s="78"/>
      <c r="C263" s="12"/>
      <c r="D263" s="12"/>
    </row>
    <row r="264" ht="14.25" hidden="1" customHeight="1">
      <c r="B264" s="78"/>
      <c r="C264" s="12"/>
      <c r="D264" s="12"/>
    </row>
    <row r="265" ht="14.25" hidden="1" customHeight="1">
      <c r="B265" s="78"/>
      <c r="C265" s="12"/>
      <c r="D265" s="12"/>
    </row>
    <row r="266" ht="14.25" hidden="1" customHeight="1">
      <c r="B266" s="78"/>
      <c r="C266" s="12"/>
      <c r="D266" s="12"/>
    </row>
    <row r="267" ht="14.25" hidden="1" customHeight="1">
      <c r="B267" s="78"/>
      <c r="C267" s="12"/>
      <c r="D267" s="12"/>
    </row>
    <row r="268" ht="14.25" hidden="1" customHeight="1">
      <c r="B268" s="78"/>
      <c r="C268" s="12"/>
      <c r="D268" s="12"/>
    </row>
    <row r="269" ht="14.25" hidden="1" customHeight="1">
      <c r="B269" s="78"/>
      <c r="C269" s="12"/>
      <c r="D269" s="12"/>
    </row>
    <row r="270" ht="14.25" hidden="1" customHeight="1">
      <c r="B270" s="78"/>
      <c r="C270" s="12"/>
      <c r="D270" s="12"/>
    </row>
    <row r="271" ht="14.25" hidden="1" customHeight="1">
      <c r="B271" s="78"/>
      <c r="C271" s="12"/>
      <c r="D271" s="12"/>
    </row>
    <row r="272" ht="14.25" hidden="1" customHeight="1">
      <c r="B272" s="78"/>
      <c r="C272" s="12"/>
      <c r="D272" s="12"/>
    </row>
    <row r="273" ht="14.25" hidden="1" customHeight="1">
      <c r="B273" s="78"/>
      <c r="C273" s="12"/>
      <c r="D273" s="12"/>
    </row>
    <row r="274" ht="14.25" hidden="1" customHeight="1">
      <c r="B274" s="78"/>
      <c r="C274" s="12"/>
      <c r="D274" s="12"/>
    </row>
    <row r="275" ht="14.25" hidden="1" customHeight="1">
      <c r="B275" s="78"/>
      <c r="C275" s="12"/>
      <c r="D275" s="12"/>
    </row>
    <row r="276" ht="14.25" hidden="1" customHeight="1">
      <c r="B276" s="78"/>
      <c r="C276" s="12"/>
      <c r="D276" s="12"/>
    </row>
    <row r="277" ht="14.25" hidden="1" customHeight="1">
      <c r="B277" s="78"/>
      <c r="C277" s="12"/>
      <c r="D277" s="12"/>
    </row>
    <row r="278" ht="14.25" hidden="1" customHeight="1">
      <c r="B278" s="78"/>
      <c r="C278" s="12"/>
      <c r="D278" s="12"/>
    </row>
    <row r="279" ht="14.25" hidden="1" customHeight="1">
      <c r="B279" s="78"/>
      <c r="C279" s="12"/>
      <c r="D279" s="12"/>
    </row>
    <row r="280" ht="14.25" hidden="1" customHeight="1">
      <c r="B280" s="78"/>
      <c r="C280" s="12"/>
      <c r="D280" s="12"/>
    </row>
    <row r="281" ht="14.25" hidden="1" customHeight="1">
      <c r="B281" s="78"/>
      <c r="C281" s="12"/>
      <c r="D281" s="12"/>
    </row>
    <row r="282" ht="14.25" hidden="1" customHeight="1">
      <c r="B282" s="78"/>
      <c r="C282" s="12"/>
      <c r="D282" s="12"/>
    </row>
    <row r="283" ht="14.25" hidden="1" customHeight="1">
      <c r="B283" s="78"/>
      <c r="C283" s="12"/>
      <c r="D283" s="12"/>
    </row>
    <row r="284" ht="14.25" hidden="1" customHeight="1">
      <c r="B284" s="78"/>
      <c r="C284" s="12"/>
      <c r="D284" s="12"/>
    </row>
    <row r="285" ht="14.25" hidden="1" customHeight="1">
      <c r="B285" s="78"/>
      <c r="C285" s="12"/>
      <c r="D285" s="12"/>
    </row>
    <row r="286" ht="14.25" hidden="1" customHeight="1">
      <c r="B286" s="78"/>
      <c r="C286" s="12"/>
      <c r="D286" s="12"/>
    </row>
    <row r="287" ht="14.25" hidden="1" customHeight="1">
      <c r="B287" s="78"/>
      <c r="C287" s="12"/>
      <c r="D287" s="12"/>
    </row>
    <row r="288" ht="14.25" hidden="1" customHeight="1">
      <c r="B288" s="78"/>
      <c r="C288" s="12"/>
      <c r="D288" s="12"/>
    </row>
    <row r="289" ht="14.25" hidden="1" customHeight="1">
      <c r="B289" s="78"/>
      <c r="C289" s="12"/>
      <c r="D289" s="12"/>
    </row>
    <row r="290" ht="14.25" hidden="1" customHeight="1">
      <c r="B290" s="78"/>
      <c r="C290" s="12"/>
      <c r="D290" s="12"/>
    </row>
    <row r="291" ht="14.25" hidden="1" customHeight="1">
      <c r="B291" s="78"/>
      <c r="C291" s="12"/>
      <c r="D291" s="12"/>
    </row>
    <row r="292" ht="14.25" hidden="1" customHeight="1">
      <c r="B292" s="78"/>
      <c r="C292" s="12"/>
      <c r="D292" s="12"/>
    </row>
    <row r="293" ht="14.25" hidden="1" customHeight="1">
      <c r="B293" s="78"/>
      <c r="C293" s="12"/>
      <c r="D293" s="12"/>
    </row>
    <row r="294" ht="14.25" hidden="1" customHeight="1">
      <c r="B294" s="78"/>
      <c r="C294" s="12"/>
      <c r="D294" s="12"/>
    </row>
    <row r="295" ht="14.25" hidden="1" customHeight="1">
      <c r="B295" s="78"/>
      <c r="C295" s="12"/>
      <c r="D295" s="12"/>
    </row>
    <row r="296" ht="14.25" hidden="1" customHeight="1">
      <c r="B296" s="78"/>
      <c r="C296" s="12"/>
      <c r="D296" s="12"/>
    </row>
    <row r="297" ht="14.25" hidden="1" customHeight="1">
      <c r="B297" s="78"/>
      <c r="C297" s="12"/>
      <c r="D297" s="12"/>
    </row>
    <row r="298" ht="14.25" hidden="1" customHeight="1">
      <c r="B298" s="78"/>
      <c r="C298" s="12"/>
      <c r="D298" s="12"/>
    </row>
    <row r="299" ht="14.25" hidden="1" customHeight="1">
      <c r="B299" s="78"/>
      <c r="C299" s="12"/>
      <c r="D299" s="12"/>
    </row>
    <row r="300" ht="14.25" hidden="1" customHeight="1">
      <c r="B300" s="78"/>
      <c r="C300" s="12"/>
      <c r="D300" s="12"/>
    </row>
    <row r="301" ht="14.25" hidden="1" customHeight="1">
      <c r="B301" s="78"/>
      <c r="C301" s="12"/>
      <c r="D301" s="12"/>
    </row>
    <row r="302" ht="14.25" hidden="1" customHeight="1">
      <c r="B302" s="78"/>
      <c r="C302" s="12"/>
      <c r="D302" s="12"/>
    </row>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95:E95"/>
    <mergeCell ref="C96:E96"/>
    <mergeCell ref="C87:E87"/>
    <mergeCell ref="C88:E88"/>
    <mergeCell ref="C89:E89"/>
    <mergeCell ref="C90:E90"/>
    <mergeCell ref="C92:E92"/>
    <mergeCell ref="C93:E93"/>
    <mergeCell ref="C94:E9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hidden="1" min="1" max="1" width="12.63"/>
    <col customWidth="1" min="2" max="2" width="29.13"/>
    <col customWidth="1" min="3" max="6" width="12.63"/>
  </cols>
  <sheetData>
    <row r="1">
      <c r="A1" s="60" t="s">
        <v>69</v>
      </c>
      <c r="B1" s="37" t="s">
        <v>50</v>
      </c>
      <c r="C1" s="38" t="s">
        <v>51</v>
      </c>
      <c r="D1" s="38" t="s">
        <v>52</v>
      </c>
      <c r="E1" s="38" t="s">
        <v>53</v>
      </c>
      <c r="F1" s="38" t="s">
        <v>54</v>
      </c>
      <c r="G1" s="38" t="s">
        <v>55</v>
      </c>
      <c r="H1" s="39"/>
      <c r="I1" s="39"/>
      <c r="J1" s="39"/>
      <c r="K1" s="39"/>
      <c r="L1" s="39"/>
      <c r="M1" s="39"/>
      <c r="N1" s="39"/>
      <c r="O1" s="39"/>
    </row>
    <row r="2">
      <c r="A2" s="12"/>
      <c r="B2" s="40">
        <v>6.0</v>
      </c>
      <c r="C2" s="41">
        <v>500000.0</v>
      </c>
      <c r="D2" s="41">
        <v>672750.0</v>
      </c>
      <c r="E2" s="41">
        <v>684212.4644577126</v>
      </c>
      <c r="F2" s="41">
        <v>658724.5157826933</v>
      </c>
      <c r="G2" s="41">
        <v>733606.6340605946</v>
      </c>
      <c r="H2" s="39"/>
      <c r="I2" s="39"/>
      <c r="J2" s="39"/>
      <c r="K2" s="39"/>
      <c r="L2" s="39"/>
      <c r="M2" s="39"/>
      <c r="N2" s="39"/>
      <c r="O2" s="39"/>
    </row>
    <row r="3">
      <c r="A3" s="39"/>
      <c r="B3" s="40">
        <v>7.0</v>
      </c>
      <c r="C3" s="41">
        <v>500000.0</v>
      </c>
      <c r="D3" s="41">
        <v>696296.2500000002</v>
      </c>
      <c r="E3" s="41">
        <v>719950.7865621148</v>
      </c>
      <c r="F3" s="41">
        <v>666986.7862344589</v>
      </c>
      <c r="G3" s="41">
        <v>828186.589724096</v>
      </c>
      <c r="H3" s="39"/>
      <c r="I3" s="39"/>
      <c r="J3" s="39"/>
      <c r="K3" s="39"/>
      <c r="L3" s="39"/>
      <c r="M3" s="39"/>
      <c r="N3" s="39"/>
      <c r="O3" s="39"/>
    </row>
    <row r="4">
      <c r="A4" s="39"/>
      <c r="B4" s="40">
        <v>8.0</v>
      </c>
      <c r="C4" s="41">
        <v>500000.0</v>
      </c>
      <c r="D4" s="41">
        <v>720666.6187500001</v>
      </c>
      <c r="E4" s="41">
        <v>757938.116980573</v>
      </c>
      <c r="F4" s="41">
        <v>675362.8182589626</v>
      </c>
      <c r="G4" s="41">
        <v>935940.5129532717</v>
      </c>
      <c r="H4" s="39"/>
      <c r="I4" s="39"/>
      <c r="J4" s="39"/>
      <c r="K4" s="39"/>
      <c r="L4" s="39"/>
      <c r="M4" s="39"/>
      <c r="N4" s="39"/>
      <c r="O4" s="39"/>
    </row>
    <row r="5">
      <c r="A5" s="39"/>
      <c r="B5" s="40">
        <v>9.0</v>
      </c>
      <c r="C5" s="41">
        <v>500000.0</v>
      </c>
      <c r="D5" s="41">
        <v>745889.9504062502</v>
      </c>
      <c r="E5" s="41">
        <v>798315.9855359459</v>
      </c>
      <c r="F5" s="41">
        <v>683833.5653867269</v>
      </c>
      <c r="G5" s="41">
        <v>1058703.3953190518</v>
      </c>
      <c r="H5" s="39"/>
      <c r="I5" s="39"/>
      <c r="J5" s="39"/>
      <c r="K5" s="39"/>
      <c r="L5" s="39"/>
      <c r="M5" s="39"/>
      <c r="N5" s="39"/>
      <c r="O5" s="39"/>
    </row>
    <row r="6">
      <c r="A6" s="39"/>
      <c r="B6" s="40">
        <v>10.0</v>
      </c>
      <c r="C6" s="41">
        <v>500000.0</v>
      </c>
      <c r="D6" s="41">
        <v>771996.098670469</v>
      </c>
      <c r="E6" s="41">
        <v>841234.8285058315</v>
      </c>
      <c r="F6" s="41">
        <v>692373.4486206053</v>
      </c>
      <c r="G6" s="41">
        <v>1198565.8229236712</v>
      </c>
      <c r="H6" s="39"/>
      <c r="I6" s="39"/>
      <c r="J6" s="39"/>
      <c r="K6" s="39"/>
      <c r="L6" s="39"/>
      <c r="M6" s="39"/>
      <c r="N6" s="39"/>
      <c r="O6" s="39"/>
    </row>
    <row r="7">
      <c r="A7" s="39"/>
      <c r="B7" s="39"/>
      <c r="C7" s="39"/>
      <c r="D7" s="39"/>
      <c r="E7" s="39"/>
      <c r="F7" s="39"/>
      <c r="G7" s="39"/>
      <c r="H7" s="39"/>
      <c r="I7" s="39"/>
      <c r="J7" s="39"/>
      <c r="K7" s="39"/>
      <c r="L7" s="39"/>
      <c r="M7" s="39"/>
      <c r="N7" s="39"/>
      <c r="O7" s="39"/>
    </row>
    <row r="8">
      <c r="A8" s="39"/>
      <c r="B8" s="43"/>
      <c r="C8" s="79">
        <v>0.08</v>
      </c>
      <c r="D8" s="79">
        <v>0.04</v>
      </c>
      <c r="E8" s="80" t="s">
        <v>56</v>
      </c>
      <c r="F8" s="42"/>
      <c r="G8" s="42"/>
      <c r="H8" s="39"/>
      <c r="I8" s="39"/>
      <c r="J8" s="39"/>
      <c r="K8" s="39"/>
      <c r="L8" s="39"/>
      <c r="M8" s="39"/>
      <c r="N8" s="39"/>
      <c r="O8" s="39"/>
    </row>
    <row r="9">
      <c r="A9" s="39"/>
      <c r="B9" s="53" t="s">
        <v>70</v>
      </c>
      <c r="C9" s="47">
        <v>841234.8285058315</v>
      </c>
      <c r="D9" s="48">
        <v>692373.4486206053</v>
      </c>
      <c r="E9" s="48">
        <v>1198565.8229236712</v>
      </c>
      <c r="F9" s="42"/>
      <c r="G9" s="42"/>
      <c r="H9" s="39"/>
      <c r="I9" s="39"/>
      <c r="J9" s="39"/>
      <c r="K9" s="39"/>
      <c r="L9" s="39"/>
      <c r="M9" s="39"/>
      <c r="N9" s="39"/>
      <c r="O9" s="39"/>
    </row>
    <row r="10">
      <c r="A10" s="39"/>
      <c r="B10" s="46" t="s">
        <v>58</v>
      </c>
      <c r="C10" s="50">
        <v>0.0666395189417559</v>
      </c>
      <c r="D10" s="50">
        <v>0.0413155511596337</v>
      </c>
      <c r="E10" s="50">
        <v>0.1138630817311661</v>
      </c>
      <c r="F10" s="42"/>
      <c r="G10" s="42"/>
      <c r="H10" s="39"/>
      <c r="I10" s="39"/>
      <c r="J10" s="39"/>
      <c r="K10" s="39"/>
      <c r="L10" s="39"/>
      <c r="M10" s="39"/>
      <c r="N10" s="39"/>
      <c r="O10" s="39"/>
    </row>
    <row r="11">
      <c r="A11" s="39"/>
      <c r="B11" s="46" t="s">
        <v>71</v>
      </c>
      <c r="C11" s="51">
        <v>0.02599536367427306</v>
      </c>
      <c r="D11" s="50">
        <v>0.026908427281099954</v>
      </c>
      <c r="E11" s="50">
        <v>0.006829800878549647</v>
      </c>
      <c r="F11" s="42"/>
      <c r="G11" s="42"/>
      <c r="H11" s="39"/>
      <c r="I11" s="39"/>
      <c r="J11" s="39"/>
      <c r="K11" s="39"/>
      <c r="L11" s="39"/>
      <c r="M11" s="39"/>
      <c r="N11" s="39"/>
      <c r="O11" s="39"/>
    </row>
    <row r="12">
      <c r="A12" s="39"/>
      <c r="B12" s="46" t="s">
        <v>60</v>
      </c>
      <c r="C12" s="50">
        <v>0.020380549477536355</v>
      </c>
      <c r="D12" s="50">
        <v>0.02026733350300921</v>
      </c>
      <c r="E12" s="42"/>
      <c r="F12" s="42"/>
      <c r="G12" s="42"/>
      <c r="H12" s="39"/>
      <c r="I12" s="39"/>
      <c r="J12" s="39"/>
      <c r="K12" s="39"/>
      <c r="L12" s="39"/>
      <c r="M12" s="39"/>
      <c r="N12" s="39"/>
      <c r="O12" s="39"/>
    </row>
    <row r="13">
      <c r="A13" s="39"/>
      <c r="B13" s="65"/>
      <c r="C13" s="39"/>
      <c r="D13" s="39"/>
      <c r="E13" s="39"/>
      <c r="F13" s="39"/>
      <c r="G13" s="39"/>
      <c r="H13" s="39"/>
      <c r="I13" s="39"/>
      <c r="J13" s="39"/>
      <c r="K13" s="39"/>
      <c r="L13" s="39"/>
      <c r="M13" s="39"/>
      <c r="N13" s="39"/>
      <c r="O13" s="39"/>
    </row>
    <row r="14">
      <c r="A14" s="39"/>
      <c r="B14" s="53" t="s">
        <v>61</v>
      </c>
      <c r="C14" s="51">
        <f>'Surrender vs. Continuing'!C4</f>
        <v>0.04563322139</v>
      </c>
      <c r="D14" s="39"/>
      <c r="E14" s="39"/>
      <c r="F14" s="39"/>
      <c r="G14" s="39"/>
      <c r="H14" s="39"/>
      <c r="I14" s="39"/>
      <c r="J14" s="39"/>
      <c r="K14" s="39"/>
      <c r="L14" s="39"/>
      <c r="M14" s="39"/>
      <c r="N14" s="39"/>
      <c r="O14" s="39"/>
    </row>
    <row r="15">
      <c r="A15" s="39"/>
      <c r="B15" s="65"/>
      <c r="C15" s="39"/>
      <c r="D15" s="39"/>
      <c r="E15" s="39"/>
      <c r="F15" s="39"/>
      <c r="G15" s="39"/>
      <c r="H15" s="39"/>
      <c r="I15" s="39"/>
      <c r="J15" s="39"/>
      <c r="K15" s="39"/>
      <c r="L15" s="39"/>
      <c r="M15" s="39"/>
      <c r="N15" s="39"/>
      <c r="O15" s="39"/>
    </row>
    <row r="16">
      <c r="A16" s="39"/>
      <c r="B16" s="65"/>
      <c r="C16" s="39"/>
      <c r="D16" s="39"/>
      <c r="E16" s="39"/>
      <c r="F16" s="39"/>
      <c r="G16" s="39"/>
      <c r="H16" s="39"/>
      <c r="I16" s="39"/>
      <c r="J16" s="39"/>
      <c r="K16" s="39"/>
      <c r="L16" s="39"/>
      <c r="M16" s="39"/>
      <c r="N16" s="39"/>
      <c r="O16" s="39"/>
    </row>
    <row r="17">
      <c r="A17" s="39"/>
      <c r="B17" s="65"/>
      <c r="C17" s="39"/>
      <c r="D17" s="39"/>
      <c r="E17" s="39"/>
      <c r="F17" s="39"/>
      <c r="G17" s="39"/>
      <c r="H17" s="39"/>
      <c r="I17" s="39"/>
      <c r="J17" s="39"/>
      <c r="K17" s="39"/>
      <c r="L17" s="39"/>
      <c r="M17" s="39"/>
      <c r="N17" s="39"/>
      <c r="O17" s="39"/>
    </row>
    <row r="18">
      <c r="A18" s="39"/>
      <c r="B18" s="65"/>
      <c r="C18" s="39"/>
      <c r="D18" s="39"/>
      <c r="E18" s="39"/>
      <c r="F18" s="39"/>
      <c r="G18" s="39"/>
      <c r="H18" s="39"/>
      <c r="I18" s="39"/>
      <c r="J18" s="39"/>
      <c r="K18" s="39"/>
      <c r="L18" s="39"/>
      <c r="M18" s="39"/>
      <c r="N18" s="39"/>
      <c r="O18" s="39"/>
    </row>
    <row r="19">
      <c r="A19" s="39"/>
      <c r="B19" s="65"/>
      <c r="C19" s="39"/>
      <c r="D19" s="39"/>
      <c r="E19" s="39"/>
      <c r="F19" s="39"/>
      <c r="G19" s="39"/>
      <c r="H19" s="39"/>
      <c r="I19" s="39"/>
      <c r="J19" s="39"/>
      <c r="K19" s="39"/>
      <c r="L19" s="39"/>
      <c r="M19" s="39"/>
      <c r="N19" s="39"/>
      <c r="O19" s="39"/>
    </row>
    <row r="20">
      <c r="A20" s="39"/>
      <c r="B20" s="65"/>
      <c r="C20" s="39"/>
      <c r="D20" s="39"/>
      <c r="E20" s="39"/>
      <c r="F20" s="39"/>
      <c r="G20" s="39"/>
      <c r="H20" s="39"/>
      <c r="I20" s="39"/>
      <c r="J20" s="39"/>
      <c r="K20" s="39"/>
      <c r="L20" s="39"/>
      <c r="M20" s="39"/>
      <c r="N20" s="39"/>
      <c r="O20" s="39"/>
    </row>
    <row r="21" ht="15.75" hidden="1" customHeight="1"/>
    <row r="22" ht="15.75" hidden="1" customHeight="1"/>
    <row r="23" ht="15.75" hidden="1" customHeight="1"/>
    <row r="24" ht="15.75" hidden="1" customHeight="1"/>
    <row r="25" ht="15.75" hidden="1" customHeight="1"/>
    <row r="26" ht="15.75" hidden="1" customHeight="1"/>
    <row r="27" ht="15.75" hidden="1" customHeight="1"/>
    <row r="28" ht="15.75" hidden="1" customHeight="1"/>
    <row r="29" ht="15.75" hidden="1" customHeight="1"/>
    <row r="30" ht="15.75" hidden="1" customHeight="1"/>
    <row r="31" ht="15.75" hidden="1" customHeight="1"/>
    <row r="32" ht="15.75" hidden="1" customHeight="1"/>
    <row r="33" ht="15.75" hidden="1" customHeight="1"/>
    <row r="34" ht="15.75" hidden="1" customHeight="1"/>
    <row r="35" ht="15.75" hidden="1" customHeight="1"/>
    <row r="36" ht="15.75" hidden="1" customHeight="1"/>
    <row r="37" ht="15.75" hidden="1" customHeight="1"/>
    <row r="38" ht="15.75" hidden="1" customHeight="1"/>
    <row r="39" ht="15.75" hidden="1" customHeight="1"/>
    <row r="40" ht="15.75" hidden="1" customHeight="1"/>
    <row r="41" ht="15.75" hidden="1" customHeight="1"/>
    <row r="42" ht="15.75" hidden="1" customHeight="1"/>
    <row r="43" ht="15.75" hidden="1" customHeight="1"/>
    <row r="44" ht="15.75" hidden="1" customHeight="1"/>
    <row r="45" ht="15.75" hidden="1" customHeight="1"/>
    <row r="46" ht="15.75" hidden="1" customHeight="1"/>
    <row r="47" ht="15.75" hidden="1" customHeight="1"/>
    <row r="48" ht="15.75" hidden="1" customHeight="1"/>
    <row r="49" ht="15.75" hidden="1" customHeight="1"/>
    <row r="50" ht="15.75" hidden="1" customHeight="1"/>
    <row r="51" ht="15.75" hidden="1" customHeight="1"/>
    <row r="52" ht="15.75" hidden="1" customHeight="1"/>
    <row r="53" ht="15.75" hidden="1" customHeight="1"/>
    <row r="54" ht="15.75" hidden="1" customHeight="1"/>
    <row r="55" ht="15.75" hidden="1" customHeight="1"/>
    <row r="56" ht="15.75" hidden="1" customHeight="1"/>
    <row r="57" ht="15.75" hidden="1" customHeight="1"/>
    <row r="58" ht="15.75" hidden="1" customHeight="1"/>
    <row r="59" ht="15.75" hidden="1" customHeight="1"/>
    <row r="60" ht="15.75" hidden="1" customHeight="1"/>
    <row r="61" ht="15.75" hidden="1" customHeight="1"/>
    <row r="62" ht="15.75" hidden="1" customHeight="1"/>
    <row r="63" ht="15.75" hidden="1" customHeight="1"/>
    <row r="64" ht="15.75" hidden="1" customHeight="1"/>
    <row r="65" ht="15.75" hidden="1" customHeight="1"/>
    <row r="66" ht="15.75" hidden="1" customHeight="1"/>
    <row r="67" ht="15.75" hidden="1" customHeight="1"/>
    <row r="68" ht="15.75" hidden="1" customHeight="1"/>
    <row r="69" ht="15.75" hidden="1" customHeight="1"/>
    <row r="70" ht="15.75" hidden="1" customHeight="1"/>
    <row r="71" ht="15.75" hidden="1" customHeight="1"/>
    <row r="72" ht="15.75" hidden="1" customHeight="1"/>
    <row r="73" ht="15.75" hidden="1" customHeight="1"/>
    <row r="74" ht="15.75" hidden="1" customHeight="1"/>
    <row r="75" ht="15.75" hidden="1" customHeight="1"/>
    <row r="76" ht="15.75" hidden="1" customHeight="1"/>
    <row r="77" ht="15.75" hidden="1" customHeight="1"/>
    <row r="78" ht="15.75" hidden="1" customHeight="1"/>
    <row r="79" ht="15.75" hidden="1" customHeight="1"/>
    <row r="80" ht="15.75" hidden="1" customHeight="1"/>
    <row r="81" ht="15.75" hidden="1" customHeight="1"/>
    <row r="82" ht="15.75" hidden="1" customHeight="1"/>
    <row r="83" ht="15.75" hidden="1" customHeight="1"/>
    <row r="84" ht="15.75" hidden="1" customHeight="1"/>
    <row r="85" ht="15.75" hidden="1" customHeight="1"/>
    <row r="86" ht="15.75" hidden="1" customHeight="1"/>
    <row r="87" ht="15.75" hidden="1" customHeight="1"/>
    <row r="88" ht="15.75" hidden="1" customHeight="1"/>
    <row r="89" ht="15.75" hidden="1" customHeight="1"/>
    <row r="90" ht="15.75" hidden="1" customHeight="1"/>
    <row r="91" ht="15.75" hidden="1" customHeight="1"/>
    <row r="92" ht="15.75" hidden="1" customHeight="1"/>
    <row r="93" ht="15.75" hidden="1" customHeight="1"/>
    <row r="94" ht="15.75" hidden="1" customHeight="1"/>
    <row r="95" ht="15.75" hidden="1" customHeight="1"/>
    <row r="96" ht="15.75" hidden="1" customHeight="1"/>
    <row r="97" ht="15.75" hidden="1" customHeight="1"/>
    <row r="98" ht="15.75" hidden="1" customHeight="1"/>
    <row r="99" ht="15.75" hidden="1" customHeight="1"/>
    <row r="100" ht="15.75" hidden="1" customHeight="1"/>
    <row r="101" ht="15.75" hidden="1" customHeight="1"/>
    <row r="102" ht="15.75" hidden="1" customHeight="1"/>
    <row r="103" ht="15.75" hidden="1" customHeight="1"/>
    <row r="104" ht="15.75" hidden="1" customHeight="1"/>
    <row r="105" ht="15.75" hidden="1" customHeight="1"/>
    <row r="106" ht="15.75" hidden="1" customHeight="1"/>
    <row r="107" ht="15.75" hidden="1" customHeight="1"/>
    <row r="108" ht="15.75" hidden="1" customHeight="1"/>
    <row r="109" ht="15.75" hidden="1" customHeight="1"/>
    <row r="110" ht="15.75" hidden="1" customHeight="1"/>
    <row r="111" ht="15.75" hidden="1" customHeight="1"/>
    <row r="112" ht="15.75" hidden="1" customHeight="1"/>
    <row r="113" ht="15.75" hidden="1" customHeight="1"/>
    <row r="114" ht="15.75" hidden="1" customHeight="1"/>
    <row r="115" ht="15.75" hidden="1" customHeight="1"/>
    <row r="116" ht="15.75" hidden="1" customHeight="1"/>
    <row r="117" ht="15.75" hidden="1" customHeight="1"/>
    <row r="118" ht="15.75" hidden="1" customHeight="1"/>
    <row r="119" ht="15.75" hidden="1" customHeight="1"/>
    <row r="120" ht="15.75" hidden="1" customHeight="1"/>
    <row r="121" ht="15.75" hidden="1" customHeight="1"/>
    <row r="122" ht="15.75" hidden="1" customHeight="1"/>
    <row r="123" ht="15.75" hidden="1" customHeight="1"/>
    <row r="124" ht="15.75" hidden="1" customHeight="1"/>
    <row r="125" ht="15.75" hidden="1" customHeight="1"/>
    <row r="126" ht="15.75" hidden="1" customHeight="1"/>
    <row r="127" ht="15.75" hidden="1" customHeight="1"/>
    <row r="128" ht="15.75" hidden="1" customHeight="1"/>
    <row r="129" ht="15.75" hidden="1" customHeight="1"/>
    <row r="130" ht="15.75" hidden="1" customHeight="1"/>
    <row r="131" ht="15.75" hidden="1" customHeight="1"/>
    <row r="132" ht="15.75" hidden="1" customHeight="1"/>
    <row r="133" ht="15.75" hidden="1" customHeight="1"/>
    <row r="134" ht="15.75" hidden="1" customHeight="1"/>
    <row r="135" ht="15.75" hidden="1" customHeight="1"/>
    <row r="136" ht="15.75" hidden="1" customHeight="1"/>
    <row r="137" ht="15.75" hidden="1" customHeight="1"/>
    <row r="138" ht="15.75" hidden="1" customHeight="1"/>
    <row r="139" ht="15.75" hidden="1" customHeight="1"/>
    <row r="140" ht="15.75" hidden="1" customHeight="1"/>
    <row r="141" ht="15.75" hidden="1" customHeight="1"/>
    <row r="142" ht="15.75" hidden="1" customHeight="1"/>
    <row r="143" ht="15.75" hidden="1" customHeight="1"/>
    <row r="144" ht="15.75" hidden="1" customHeight="1"/>
    <row r="145" ht="15.75" hidden="1" customHeight="1"/>
    <row r="146" ht="15.75" hidden="1" customHeight="1"/>
    <row r="147" ht="15.75" hidden="1" customHeight="1"/>
    <row r="148" ht="15.75" hidden="1" customHeight="1"/>
    <row r="149" ht="15.75" hidden="1" customHeight="1"/>
    <row r="150" ht="15.75" hidden="1" customHeight="1"/>
    <row r="151" ht="15.75" hidden="1" customHeight="1"/>
    <row r="152" ht="15.75" hidden="1" customHeight="1"/>
    <row r="153" ht="15.75" hidden="1" customHeight="1"/>
    <row r="154" ht="15.75" hidden="1" customHeight="1"/>
    <row r="155" ht="15.75" hidden="1" customHeight="1"/>
    <row r="156" ht="15.75" hidden="1" customHeight="1"/>
    <row r="157" ht="15.75" hidden="1" customHeight="1"/>
    <row r="158" ht="15.75" hidden="1" customHeight="1"/>
    <row r="159" ht="15.75" hidden="1" customHeight="1"/>
    <row r="160" ht="15.75" hidden="1" customHeight="1"/>
    <row r="161" ht="15.75" hidden="1" customHeight="1"/>
    <row r="162" ht="15.75" hidden="1" customHeight="1"/>
    <row r="163" ht="15.75" hidden="1" customHeight="1"/>
    <row r="164" ht="15.75" hidden="1" customHeight="1"/>
    <row r="165" ht="15.75" hidden="1" customHeight="1"/>
    <row r="166" ht="15.75" hidden="1" customHeight="1"/>
    <row r="167" ht="15.75" hidden="1" customHeight="1"/>
    <row r="168" ht="15.75" hidden="1" customHeight="1"/>
    <row r="169" ht="15.75" hidden="1" customHeight="1"/>
    <row r="170" ht="15.75" hidden="1" customHeight="1"/>
    <row r="171" ht="15.75" hidden="1" customHeight="1"/>
    <row r="172" ht="15.75" hidden="1" customHeight="1"/>
    <row r="173" ht="15.75" hidden="1" customHeight="1"/>
    <row r="174" ht="15.75" hidden="1" customHeight="1"/>
    <row r="175" ht="15.75" hidden="1" customHeight="1"/>
    <row r="176" ht="15.75" hidden="1" customHeight="1"/>
    <row r="177" ht="15.75" hidden="1" customHeight="1"/>
    <row r="178" ht="15.75" hidden="1" customHeight="1"/>
    <row r="179" ht="15.75" hidden="1" customHeight="1"/>
    <row r="180" ht="15.75" hidden="1" customHeight="1"/>
    <row r="181" ht="15.75" hidden="1" customHeight="1"/>
    <row r="182" ht="15.75" hidden="1" customHeight="1"/>
    <row r="183" ht="15.75" hidden="1" customHeight="1"/>
    <row r="184" ht="15.75" hidden="1" customHeight="1"/>
    <row r="185" ht="15.75" hidden="1" customHeight="1"/>
    <row r="186" ht="15.75" hidden="1" customHeight="1"/>
    <row r="187" ht="15.75" hidden="1" customHeight="1"/>
    <row r="188" ht="15.75" hidden="1" customHeight="1"/>
    <row r="189" ht="15.75" hidden="1" customHeight="1"/>
    <row r="190" ht="15.75" hidden="1" customHeight="1"/>
    <row r="191" ht="15.75" hidden="1" customHeight="1"/>
    <row r="192" ht="15.75" hidden="1" customHeight="1"/>
    <row r="193" ht="15.75" hidden="1" customHeight="1"/>
    <row r="194" ht="15.75" hidden="1" customHeight="1"/>
    <row r="195" ht="15.75" hidden="1" customHeight="1"/>
    <row r="196" ht="15.75" hidden="1" customHeight="1"/>
    <row r="197" ht="15.75" hidden="1" customHeight="1"/>
    <row r="198" ht="15.75" hidden="1" customHeight="1"/>
    <row r="199" ht="15.75" hidden="1" customHeight="1"/>
    <row r="200" ht="15.75" hidden="1" customHeight="1"/>
    <row r="201" ht="15.75" hidden="1" customHeight="1"/>
    <row r="202" ht="15.75" hidden="1" customHeight="1"/>
    <row r="203" ht="15.75" hidden="1" customHeight="1"/>
    <row r="204" ht="15.75" hidden="1" customHeight="1"/>
    <row r="205" ht="15.75" hidden="1" customHeight="1"/>
    <row r="206" ht="15.75" hidden="1" customHeight="1"/>
    <row r="207" ht="15.75" hidden="1" customHeight="1"/>
    <row r="208" ht="15.75" hidden="1" customHeight="1"/>
    <row r="209" ht="15.75" hidden="1" customHeight="1"/>
    <row r="210" ht="15.75" hidden="1" customHeight="1"/>
    <row r="211" ht="15.75" hidden="1" customHeight="1"/>
    <row r="212" ht="15.75" hidden="1" customHeight="1"/>
    <row r="213" ht="15.75" hidden="1" customHeight="1"/>
    <row r="214" ht="15.75" hidden="1" customHeight="1"/>
    <row r="215" ht="15.75" hidden="1" customHeight="1"/>
    <row r="216" ht="15.75" hidden="1" customHeight="1"/>
    <row r="217" ht="15.75" hidden="1" customHeight="1"/>
    <row r="218" ht="15.75" hidden="1" customHeight="1"/>
    <row r="219" ht="15.75" hidden="1" customHeight="1"/>
    <row r="220" ht="15.75" hidden="1"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9.13"/>
    <col customWidth="1" min="2" max="6" width="12.63"/>
  </cols>
  <sheetData>
    <row r="1" ht="15.0" customHeight="1">
      <c r="A1" s="37" t="s">
        <v>50</v>
      </c>
      <c r="B1" s="38" t="s">
        <v>51</v>
      </c>
      <c r="C1" s="38" t="s">
        <v>52</v>
      </c>
      <c r="D1" s="38" t="s">
        <v>53</v>
      </c>
      <c r="E1" s="38" t="s">
        <v>54</v>
      </c>
      <c r="F1" s="38" t="s">
        <v>55</v>
      </c>
      <c r="G1" s="39"/>
      <c r="H1" s="39"/>
      <c r="I1" s="39"/>
      <c r="J1" s="39"/>
      <c r="K1" s="39"/>
      <c r="L1" s="39"/>
      <c r="M1" s="39"/>
      <c r="N1" s="39"/>
    </row>
    <row r="2" ht="15.0" customHeight="1">
      <c r="A2" s="40">
        <v>6.0</v>
      </c>
      <c r="B2" s="41">
        <v>600000.0</v>
      </c>
      <c r="C2" s="41">
        <v>672750.0</v>
      </c>
      <c r="D2" s="41">
        <v>789878.3238079976</v>
      </c>
      <c r="E2" s="41">
        <v>760473.0334185803</v>
      </c>
      <c r="F2" s="41">
        <v>846863.3746994159</v>
      </c>
      <c r="G2" s="39"/>
      <c r="H2" s="39"/>
      <c r="I2" s="39"/>
      <c r="J2" s="39"/>
      <c r="K2" s="39"/>
      <c r="L2" s="39"/>
      <c r="M2" s="39"/>
      <c r="N2" s="39"/>
    </row>
    <row r="3" ht="15.0" customHeight="1">
      <c r="A3" s="40">
        <v>7.0</v>
      </c>
      <c r="B3" s="41">
        <v>600000.0</v>
      </c>
      <c r="C3" s="41">
        <v>696296.2500000002</v>
      </c>
      <c r="D3" s="41">
        <v>832266.1857396043</v>
      </c>
      <c r="E3" s="41">
        <v>771119.0546005361</v>
      </c>
      <c r="F3" s="41">
        <v>957218.7726043814</v>
      </c>
      <c r="G3" s="39"/>
      <c r="H3" s="39"/>
      <c r="I3" s="39"/>
      <c r="J3" s="39"/>
      <c r="K3" s="39"/>
      <c r="L3" s="39"/>
      <c r="M3" s="39"/>
      <c r="N3" s="39"/>
    </row>
    <row r="4" ht="15.0" customHeight="1">
      <c r="A4" s="40">
        <v>8.0</v>
      </c>
      <c r="B4" s="41">
        <v>600000.0</v>
      </c>
      <c r="C4" s="41">
        <v>720666.6187500001</v>
      </c>
      <c r="D4" s="41">
        <v>877321.510727276</v>
      </c>
      <c r="E4" s="41">
        <v>781922.4006136319</v>
      </c>
      <c r="F4" s="41">
        <v>1082945.4870055139</v>
      </c>
      <c r="G4" s="39"/>
      <c r="H4" s="39"/>
      <c r="I4" s="39"/>
      <c r="J4" s="39"/>
      <c r="K4" s="39"/>
      <c r="L4" s="39"/>
      <c r="M4" s="39"/>
      <c r="N4" s="39"/>
    </row>
    <row r="5" ht="15.0" customHeight="1">
      <c r="A5" s="40">
        <v>9.0</v>
      </c>
      <c r="B5" s="41">
        <v>600000.0</v>
      </c>
      <c r="C5" s="41">
        <v>745889.9504062502</v>
      </c>
      <c r="D5" s="41">
        <v>925212.1619004849</v>
      </c>
      <c r="E5" s="41">
        <v>792861.5432121599</v>
      </c>
      <c r="F5" s="41">
        <v>1226184.576476394</v>
      </c>
      <c r="G5" s="39"/>
      <c r="H5" s="39"/>
      <c r="I5" s="39"/>
      <c r="J5" s="39"/>
      <c r="K5" s="39"/>
      <c r="L5" s="39"/>
      <c r="M5" s="39"/>
      <c r="N5" s="39"/>
    </row>
    <row r="6" ht="15.0" customHeight="1">
      <c r="A6" s="40">
        <v>10.0</v>
      </c>
      <c r="B6" s="41">
        <v>600000.0</v>
      </c>
      <c r="C6" s="41">
        <v>771996.098670469</v>
      </c>
      <c r="D6" s="41">
        <v>976116.5659952628</v>
      </c>
      <c r="E6" s="41">
        <v>803907.3647369851</v>
      </c>
      <c r="F6" s="41">
        <v>1389375.325953754</v>
      </c>
      <c r="G6" s="39"/>
      <c r="H6" s="39"/>
      <c r="I6" s="39"/>
      <c r="J6" s="39"/>
      <c r="K6" s="39"/>
      <c r="L6" s="39"/>
      <c r="M6" s="39"/>
      <c r="N6" s="39"/>
    </row>
    <row r="7" ht="15.0" customHeight="1">
      <c r="A7" s="39"/>
      <c r="B7" s="39"/>
      <c r="C7" s="39"/>
      <c r="D7" s="39"/>
      <c r="E7" s="39"/>
      <c r="F7" s="39"/>
      <c r="G7" s="39"/>
      <c r="H7" s="39"/>
      <c r="I7" s="39"/>
      <c r="J7" s="39"/>
      <c r="K7" s="39"/>
      <c r="L7" s="39"/>
      <c r="M7" s="39"/>
      <c r="N7" s="39"/>
    </row>
    <row r="8" ht="15.0" customHeight="1">
      <c r="A8" s="43"/>
      <c r="B8" s="44">
        <v>0.08</v>
      </c>
      <c r="C8" s="44">
        <v>0.04</v>
      </c>
      <c r="D8" s="45" t="s">
        <v>56</v>
      </c>
      <c r="E8" s="42"/>
      <c r="F8" s="42"/>
      <c r="G8" s="39"/>
      <c r="H8" s="39"/>
      <c r="I8" s="39"/>
      <c r="J8" s="39"/>
      <c r="K8" s="39"/>
      <c r="L8" s="39"/>
      <c r="M8" s="39"/>
      <c r="N8" s="39"/>
    </row>
    <row r="9" ht="15.0" customHeight="1">
      <c r="A9" s="46" t="s">
        <v>68</v>
      </c>
      <c r="B9" s="47">
        <v>976116.5659952628</v>
      </c>
      <c r="C9" s="48">
        <v>803907.3647369851</v>
      </c>
      <c r="D9" s="49">
        <v>1389375.325953754</v>
      </c>
      <c r="E9" s="42"/>
      <c r="F9" s="42"/>
      <c r="G9" s="39"/>
      <c r="H9" s="39"/>
      <c r="I9" s="39"/>
      <c r="J9" s="39"/>
      <c r="K9" s="39"/>
      <c r="L9" s="39"/>
      <c r="M9" s="39"/>
      <c r="N9" s="39"/>
    </row>
    <row r="10" ht="15.0" customHeight="1">
      <c r="A10" s="46" t="s">
        <v>58</v>
      </c>
      <c r="B10" s="50">
        <v>0.06618762732468175</v>
      </c>
      <c r="C10" s="50">
        <v>0.039475157180710596</v>
      </c>
      <c r="D10" s="50">
        <v>0.11586398903795558</v>
      </c>
      <c r="E10" s="42"/>
      <c r="F10" s="42"/>
      <c r="G10" s="39"/>
      <c r="H10" s="39"/>
      <c r="I10" s="39"/>
      <c r="J10" s="39"/>
      <c r="K10" s="39"/>
      <c r="L10" s="39"/>
      <c r="M10" s="39"/>
      <c r="N10" s="39"/>
    </row>
    <row r="11" ht="15.0" customHeight="1">
      <c r="A11" s="46" t="s">
        <v>59</v>
      </c>
      <c r="B11" s="51">
        <v>0.02464594425814763</v>
      </c>
      <c r="C11" s="50">
        <v>0.025479990632928794</v>
      </c>
      <c r="D11" s="50">
        <v>0.005602555364461609</v>
      </c>
      <c r="E11" s="42"/>
      <c r="F11" s="42"/>
      <c r="G11" s="39"/>
      <c r="H11" s="39"/>
      <c r="I11" s="39"/>
      <c r="J11" s="39"/>
      <c r="K11" s="39"/>
      <c r="L11" s="39"/>
      <c r="M11" s="39"/>
      <c r="N11" s="39"/>
    </row>
    <row r="12" ht="15.0" customHeight="1">
      <c r="A12" s="46" t="s">
        <v>60</v>
      </c>
      <c r="B12" s="50">
        <v>0.02038054947753369</v>
      </c>
      <c r="C12" s="50">
        <v>0.02026733350300921</v>
      </c>
      <c r="D12" s="42"/>
      <c r="E12" s="42"/>
      <c r="F12" s="42"/>
      <c r="G12" s="39"/>
      <c r="H12" s="39"/>
      <c r="I12" s="39"/>
      <c r="J12" s="39"/>
      <c r="K12" s="39"/>
      <c r="L12" s="39"/>
      <c r="M12" s="39"/>
      <c r="N12" s="39"/>
    </row>
    <row r="13" ht="15.0" customHeight="1">
      <c r="A13" s="65"/>
      <c r="B13" s="39"/>
      <c r="C13" s="39"/>
      <c r="D13" s="39"/>
      <c r="E13" s="39"/>
      <c r="F13" s="39"/>
      <c r="G13" s="39"/>
      <c r="H13" s="39"/>
      <c r="I13" s="39"/>
      <c r="J13" s="39"/>
      <c r="K13" s="39"/>
      <c r="L13" s="39"/>
      <c r="M13" s="39"/>
      <c r="N13" s="39"/>
    </row>
    <row r="14" ht="15.0" customHeight="1">
      <c r="A14" s="65"/>
      <c r="B14" s="39"/>
      <c r="C14" s="39"/>
      <c r="D14" s="39"/>
      <c r="E14" s="39"/>
      <c r="F14" s="39"/>
      <c r="G14" s="39"/>
      <c r="H14" s="39"/>
      <c r="I14" s="39"/>
      <c r="J14" s="39"/>
      <c r="K14" s="39"/>
      <c r="L14" s="39"/>
      <c r="M14" s="39"/>
      <c r="N14" s="39"/>
    </row>
    <row r="15" ht="15.0" customHeight="1">
      <c r="A15" s="53" t="s">
        <v>61</v>
      </c>
      <c r="B15" s="51">
        <f>'Surrender vs. Continuing'!C4</f>
        <v>0.04563322139</v>
      </c>
      <c r="C15" s="39"/>
      <c r="D15" s="39"/>
      <c r="E15" s="39"/>
      <c r="F15" s="39"/>
      <c r="G15" s="39"/>
      <c r="H15" s="39"/>
      <c r="I15" s="39"/>
      <c r="J15" s="39"/>
      <c r="K15" s="39"/>
      <c r="L15" s="39"/>
      <c r="M15" s="39"/>
      <c r="N15" s="39"/>
    </row>
    <row r="16" ht="15.0" customHeight="1">
      <c r="A16" s="65"/>
      <c r="B16" s="39"/>
      <c r="C16" s="39"/>
      <c r="D16" s="39"/>
      <c r="E16" s="39"/>
      <c r="F16" s="39"/>
      <c r="G16" s="39"/>
      <c r="H16" s="39"/>
      <c r="I16" s="39"/>
      <c r="J16" s="39"/>
      <c r="K16" s="39"/>
      <c r="L16" s="39"/>
      <c r="M16" s="39"/>
      <c r="N16" s="39"/>
    </row>
    <row r="17" ht="15.0" customHeight="1">
      <c r="A17" s="65"/>
      <c r="B17" s="39"/>
      <c r="C17" s="39"/>
      <c r="D17" s="39"/>
      <c r="E17" s="39"/>
      <c r="F17" s="39"/>
      <c r="G17" s="39"/>
      <c r="H17" s="39"/>
      <c r="I17" s="39"/>
      <c r="J17" s="39"/>
      <c r="K17" s="39"/>
      <c r="L17" s="39"/>
      <c r="M17" s="39"/>
      <c r="N17" s="39"/>
    </row>
    <row r="18" ht="15.0" customHeight="1">
      <c r="A18" s="65"/>
      <c r="B18" s="39"/>
      <c r="C18" s="39"/>
      <c r="D18" s="39"/>
      <c r="E18" s="39"/>
      <c r="F18" s="39"/>
      <c r="G18" s="39"/>
      <c r="H18" s="39"/>
      <c r="I18" s="39"/>
      <c r="J18" s="39"/>
      <c r="K18" s="39"/>
      <c r="L18" s="39"/>
      <c r="M18" s="39"/>
      <c r="N18" s="39"/>
    </row>
    <row r="19" ht="15.0" customHeight="1">
      <c r="A19" s="65"/>
      <c r="B19" s="39"/>
      <c r="C19" s="39"/>
      <c r="D19" s="39"/>
      <c r="E19" s="39"/>
      <c r="F19" s="39"/>
      <c r="G19" s="39"/>
      <c r="H19" s="39"/>
      <c r="I19" s="39"/>
      <c r="J19" s="39"/>
      <c r="K19" s="39"/>
      <c r="L19" s="39"/>
      <c r="M19" s="39"/>
      <c r="N19" s="39"/>
    </row>
    <row r="20" ht="15.0" customHeight="1">
      <c r="A20" s="65"/>
      <c r="B20" s="39"/>
      <c r="C20" s="39"/>
      <c r="D20" s="39"/>
      <c r="E20" s="39"/>
      <c r="F20" s="39"/>
      <c r="G20" s="39"/>
      <c r="H20" s="39"/>
      <c r="I20" s="39"/>
      <c r="J20" s="39"/>
      <c r="K20" s="39"/>
      <c r="L20" s="39"/>
      <c r="M20" s="39"/>
      <c r="N20" s="39"/>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hidden="1" min="1" max="1" width="12.63"/>
    <col customWidth="1" min="2" max="2" width="22.0"/>
    <col customWidth="1" min="3" max="6" width="12.63"/>
    <col customWidth="1" min="12" max="12" width="5.25"/>
    <col customWidth="1" hidden="1" min="13" max="15" width="12.63"/>
  </cols>
  <sheetData>
    <row r="1">
      <c r="A1" s="60" t="s">
        <v>86</v>
      </c>
      <c r="B1" s="46" t="s">
        <v>73</v>
      </c>
      <c r="C1" s="67" t="s">
        <v>74</v>
      </c>
      <c r="D1" s="68"/>
      <c r="E1" s="69"/>
      <c r="F1" s="39"/>
      <c r="G1" s="39"/>
      <c r="H1" s="39"/>
      <c r="I1" s="39"/>
      <c r="J1" s="39"/>
      <c r="K1" s="39"/>
      <c r="L1" s="39"/>
      <c r="M1" s="39"/>
      <c r="N1" s="39"/>
      <c r="O1" s="39"/>
    </row>
    <row r="2">
      <c r="A2" s="39"/>
      <c r="B2" s="46" t="s">
        <v>75</v>
      </c>
      <c r="C2" s="81">
        <v>0.0721</v>
      </c>
      <c r="D2" s="68"/>
      <c r="E2" s="69"/>
      <c r="F2" s="39"/>
      <c r="G2" s="39"/>
      <c r="H2" s="39"/>
      <c r="I2" s="39"/>
      <c r="J2" s="39"/>
      <c r="K2" s="39"/>
      <c r="L2" s="39"/>
      <c r="M2" s="39"/>
      <c r="N2" s="39"/>
      <c r="O2" s="39"/>
    </row>
    <row r="3">
      <c r="A3" s="39"/>
      <c r="B3" s="46" t="s">
        <v>76</v>
      </c>
      <c r="C3" s="70">
        <v>0.0791</v>
      </c>
      <c r="D3" s="68"/>
      <c r="E3" s="69"/>
      <c r="F3" s="39"/>
      <c r="G3" s="39"/>
      <c r="H3" s="39"/>
      <c r="I3" s="39"/>
      <c r="J3" s="39"/>
      <c r="K3" s="39"/>
      <c r="L3" s="39"/>
      <c r="M3" s="39"/>
      <c r="N3" s="39"/>
      <c r="O3" s="39"/>
    </row>
    <row r="4">
      <c r="A4" s="39"/>
      <c r="B4" s="46" t="s">
        <v>77</v>
      </c>
      <c r="C4" s="70" t="s">
        <v>78</v>
      </c>
      <c r="D4" s="68"/>
      <c r="E4" s="69"/>
      <c r="F4" s="39"/>
      <c r="G4" s="39"/>
      <c r="H4" s="39"/>
      <c r="I4" s="39"/>
      <c r="J4" s="39"/>
      <c r="K4" s="39"/>
      <c r="L4" s="39"/>
      <c r="M4" s="39"/>
      <c r="N4" s="39"/>
      <c r="O4" s="39"/>
    </row>
    <row r="5">
      <c r="A5" s="39"/>
      <c r="B5" s="46" t="s">
        <v>79</v>
      </c>
      <c r="C5" s="71"/>
      <c r="D5" s="72"/>
      <c r="E5" s="73"/>
      <c r="F5" s="39"/>
      <c r="G5" s="39"/>
      <c r="H5" s="39"/>
      <c r="I5" s="39"/>
      <c r="J5" s="39"/>
      <c r="K5" s="39"/>
      <c r="L5" s="39"/>
      <c r="M5" s="39"/>
      <c r="N5" s="39"/>
      <c r="O5" s="39"/>
    </row>
    <row r="6">
      <c r="A6" s="39"/>
      <c r="B6" s="74" t="s">
        <v>80</v>
      </c>
      <c r="C6" s="81">
        <v>0.0</v>
      </c>
      <c r="D6" s="68"/>
      <c r="E6" s="69"/>
      <c r="F6" s="39"/>
      <c r="G6" s="39"/>
      <c r="H6" s="39"/>
      <c r="I6" s="39"/>
      <c r="J6" s="39"/>
      <c r="K6" s="39"/>
      <c r="L6" s="39"/>
      <c r="M6" s="39"/>
      <c r="N6" s="39"/>
      <c r="O6" s="39"/>
    </row>
    <row r="7">
      <c r="A7" s="39"/>
      <c r="B7" s="74" t="s">
        <v>81</v>
      </c>
      <c r="C7" s="70">
        <v>0.5184</v>
      </c>
      <c r="D7" s="68"/>
      <c r="E7" s="69"/>
      <c r="F7" s="39"/>
      <c r="G7" s="39"/>
      <c r="H7" s="39"/>
      <c r="I7" s="39"/>
      <c r="J7" s="39"/>
      <c r="K7" s="39"/>
      <c r="L7" s="39"/>
      <c r="M7" s="39"/>
      <c r="N7" s="39"/>
      <c r="O7" s="39"/>
    </row>
    <row r="8">
      <c r="A8" s="39"/>
      <c r="B8" s="74" t="s">
        <v>82</v>
      </c>
      <c r="C8" s="70">
        <f>83.56%-C7</f>
        <v>0.3172</v>
      </c>
      <c r="D8" s="68"/>
      <c r="E8" s="69"/>
      <c r="F8" s="39"/>
      <c r="G8" s="39"/>
      <c r="H8" s="39"/>
      <c r="I8" s="39"/>
      <c r="J8" s="39"/>
      <c r="K8" s="39"/>
      <c r="L8" s="39"/>
      <c r="M8" s="39"/>
      <c r="N8" s="39"/>
      <c r="O8" s="39"/>
    </row>
    <row r="9">
      <c r="A9" s="39"/>
      <c r="B9" s="74" t="s">
        <v>83</v>
      </c>
      <c r="C9" s="70">
        <f>12.26%+4.18%</f>
        <v>0.1644</v>
      </c>
      <c r="D9" s="68"/>
      <c r="E9" s="69"/>
      <c r="F9" s="39"/>
      <c r="G9" s="39"/>
      <c r="H9" s="39"/>
      <c r="I9" s="39"/>
      <c r="J9" s="39"/>
      <c r="K9" s="39"/>
      <c r="L9" s="39"/>
      <c r="M9" s="39"/>
      <c r="N9" s="39"/>
      <c r="O9" s="39"/>
    </row>
    <row r="10">
      <c r="A10" s="39"/>
      <c r="B10" s="46" t="s">
        <v>84</v>
      </c>
      <c r="C10" s="81">
        <f>1-2.45%</f>
        <v>0.9755</v>
      </c>
      <c r="D10" s="68"/>
      <c r="E10" s="69"/>
      <c r="F10" s="39"/>
      <c r="G10" s="39"/>
      <c r="H10" s="39"/>
      <c r="I10" s="39"/>
      <c r="J10" s="39"/>
      <c r="K10" s="39"/>
      <c r="L10" s="39"/>
      <c r="M10" s="39"/>
      <c r="N10" s="39"/>
      <c r="O10" s="39"/>
    </row>
    <row r="11">
      <c r="A11" s="39"/>
      <c r="B11" s="39"/>
      <c r="C11" s="39"/>
      <c r="D11" s="39"/>
      <c r="E11" s="39"/>
      <c r="F11" s="39"/>
      <c r="G11" s="39"/>
      <c r="H11" s="39"/>
      <c r="I11" s="39"/>
      <c r="J11" s="39"/>
      <c r="K11" s="39"/>
      <c r="L11" s="39"/>
      <c r="M11" s="39"/>
      <c r="N11" s="39"/>
      <c r="O11" s="39"/>
    </row>
    <row r="12">
      <c r="A12" s="39"/>
      <c r="B12" s="62" t="s">
        <v>50</v>
      </c>
      <c r="C12" s="46" t="s">
        <v>51</v>
      </c>
      <c r="D12" s="46" t="s">
        <v>53</v>
      </c>
      <c r="E12" s="46" t="s">
        <v>54</v>
      </c>
      <c r="F12" s="46" t="s">
        <v>85</v>
      </c>
      <c r="G12" s="39"/>
      <c r="H12" s="39"/>
      <c r="I12" s="39"/>
      <c r="J12" s="39"/>
      <c r="K12" s="39"/>
      <c r="L12" s="39"/>
      <c r="M12" s="39"/>
      <c r="N12" s="39"/>
      <c r="O12" s="39"/>
    </row>
    <row r="13">
      <c r="A13" s="39"/>
      <c r="B13" s="62">
        <v>6.0</v>
      </c>
      <c r="C13" s="48">
        <v>600000.0</v>
      </c>
      <c r="D13" s="48">
        <v>789366.1164699894</v>
      </c>
      <c r="E13" s="48">
        <v>759971.5278602329</v>
      </c>
      <c r="F13" s="48">
        <v>783184.038260795</v>
      </c>
      <c r="G13" s="39"/>
      <c r="H13" s="39"/>
      <c r="I13" s="39"/>
      <c r="J13" s="39"/>
      <c r="K13" s="39"/>
      <c r="L13" s="39"/>
      <c r="M13" s="39"/>
      <c r="N13" s="39"/>
      <c r="O13" s="39"/>
    </row>
    <row r="14">
      <c r="A14" s="39"/>
      <c r="B14" s="62">
        <v>7.0</v>
      </c>
      <c r="C14" s="48">
        <v>700000.0</v>
      </c>
      <c r="D14" s="48">
        <v>937800.8031057465</v>
      </c>
      <c r="E14" s="48">
        <v>872748.6274853746</v>
      </c>
      <c r="F14" s="48">
        <v>923926.8483598741</v>
      </c>
      <c r="G14" s="39"/>
      <c r="H14" s="39"/>
      <c r="I14" s="39"/>
      <c r="J14" s="39"/>
      <c r="K14" s="39"/>
      <c r="L14" s="39"/>
      <c r="M14" s="39"/>
      <c r="N14" s="39"/>
      <c r="O14" s="39"/>
    </row>
    <row r="15">
      <c r="A15" s="39"/>
      <c r="B15" s="62">
        <v>8.0</v>
      </c>
      <c r="C15" s="48">
        <v>800000.0</v>
      </c>
      <c r="D15" s="48">
        <v>1095790.3968577003</v>
      </c>
      <c r="E15" s="48">
        <v>988283.3783170495</v>
      </c>
      <c r="F15" s="48">
        <v>1072550.2292240614</v>
      </c>
      <c r="G15" s="39"/>
      <c r="H15" s="39"/>
      <c r="I15" s="39"/>
      <c r="J15" s="39"/>
      <c r="K15" s="39"/>
      <c r="L15" s="39"/>
      <c r="M15" s="39"/>
      <c r="N15" s="39"/>
      <c r="O15" s="39"/>
    </row>
    <row r="16">
      <c r="A16" s="39"/>
      <c r="B16" s="62">
        <v>9.0</v>
      </c>
      <c r="C16" s="48">
        <v>900000.0</v>
      </c>
      <c r="D16" s="48">
        <v>1263722.256753109</v>
      </c>
      <c r="E16" s="48">
        <v>1106390.7934447173</v>
      </c>
      <c r="F16" s="48">
        <v>1229262.2806554495</v>
      </c>
      <c r="G16" s="39"/>
      <c r="H16" s="39"/>
      <c r="I16" s="39"/>
      <c r="J16" s="39"/>
      <c r="K16" s="39"/>
      <c r="L16" s="39"/>
      <c r="M16" s="39"/>
      <c r="N16" s="39"/>
      <c r="O16" s="39"/>
    </row>
    <row r="17">
      <c r="A17" s="39"/>
      <c r="B17" s="62">
        <v>10.0</v>
      </c>
      <c r="C17" s="48">
        <v>1000000.0</v>
      </c>
      <c r="D17" s="49">
        <v>1442222.0484052575</v>
      </c>
      <c r="E17" s="48">
        <v>1227077.8443515988</v>
      </c>
      <c r="F17" s="49">
        <v>1394492.188660263</v>
      </c>
      <c r="G17" s="39"/>
      <c r="H17" s="39"/>
      <c r="I17" s="39"/>
      <c r="J17" s="39"/>
      <c r="K17" s="39"/>
      <c r="L17" s="39"/>
      <c r="M17" s="39"/>
      <c r="N17" s="39"/>
      <c r="O17" s="39"/>
    </row>
    <row r="18">
      <c r="A18" s="39"/>
      <c r="B18" s="65"/>
      <c r="C18" s="39"/>
      <c r="D18" s="39"/>
      <c r="E18" s="39"/>
      <c r="F18" s="39"/>
      <c r="G18" s="39"/>
      <c r="H18" s="39"/>
      <c r="I18" s="39"/>
      <c r="J18" s="39"/>
      <c r="K18" s="39"/>
      <c r="L18" s="39"/>
      <c r="M18" s="39"/>
      <c r="N18" s="39"/>
      <c r="O18" s="39"/>
    </row>
    <row r="19" hidden="1"/>
    <row r="20" hidden="1"/>
    <row r="21" ht="15.75" hidden="1" customHeight="1"/>
    <row r="22" ht="15.75" hidden="1" customHeight="1"/>
    <row r="23" ht="15.75" hidden="1" customHeight="1"/>
    <row r="24" ht="15.75" hidden="1" customHeight="1"/>
    <row r="25" ht="15.75" hidden="1" customHeight="1"/>
    <row r="26" ht="15.75" hidden="1" customHeight="1"/>
    <row r="27" ht="15.75" hidden="1" customHeight="1"/>
    <row r="28" ht="15.75" hidden="1" customHeight="1"/>
    <row r="29" ht="15.75" hidden="1" customHeight="1"/>
    <row r="30" ht="15.75" hidden="1" customHeight="1"/>
    <row r="31" ht="15.75" hidden="1" customHeight="1"/>
    <row r="32" ht="15.75" hidden="1" customHeight="1"/>
    <row r="33" ht="15.75" hidden="1" customHeight="1"/>
    <row r="34" ht="15.75" hidden="1" customHeight="1"/>
    <row r="35" ht="15.75" hidden="1" customHeight="1"/>
    <row r="36" ht="15.75" hidden="1" customHeight="1"/>
    <row r="37" ht="15.75" hidden="1" customHeight="1"/>
    <row r="38" ht="15.75" hidden="1" customHeight="1"/>
    <row r="39" ht="15.75" hidden="1" customHeight="1"/>
    <row r="40" ht="15.75" hidden="1" customHeight="1"/>
    <row r="41" ht="15.75" hidden="1" customHeight="1"/>
    <row r="42" ht="15.75" hidden="1" customHeight="1"/>
    <row r="43" ht="15.75" hidden="1" customHeight="1"/>
    <row r="44" ht="15.75" hidden="1" customHeight="1"/>
    <row r="45" ht="15.75" hidden="1" customHeight="1"/>
    <row r="46" ht="15.75" hidden="1" customHeight="1"/>
    <row r="47" ht="15.75" hidden="1" customHeight="1"/>
    <row r="48" ht="15.75" hidden="1" customHeight="1"/>
    <row r="49" ht="15.75" hidden="1" customHeight="1"/>
    <row r="50" ht="15.75" hidden="1" customHeight="1"/>
    <row r="51" ht="15.75" hidden="1" customHeight="1"/>
    <row r="52" ht="15.75" hidden="1" customHeight="1"/>
    <row r="53" ht="15.75" hidden="1" customHeight="1"/>
    <row r="54" ht="15.75" hidden="1" customHeight="1"/>
    <row r="55" ht="15.75" hidden="1" customHeight="1"/>
    <row r="56" ht="15.75" hidden="1" customHeight="1"/>
    <row r="57" ht="15.75" hidden="1" customHeight="1"/>
    <row r="58" ht="15.75" hidden="1" customHeight="1"/>
    <row r="59" ht="15.75" hidden="1" customHeight="1"/>
    <row r="60" ht="15.75" hidden="1" customHeight="1"/>
    <row r="61" ht="15.75" hidden="1" customHeight="1"/>
    <row r="62" ht="15.75" hidden="1" customHeight="1"/>
    <row r="63" ht="15.75" hidden="1" customHeight="1"/>
    <row r="64" ht="15.75" hidden="1" customHeight="1"/>
    <row r="65" ht="15.75" hidden="1" customHeight="1"/>
    <row r="66" ht="15.75" hidden="1" customHeight="1"/>
    <row r="67" ht="15.75" hidden="1" customHeight="1"/>
    <row r="68" ht="15.75" hidden="1" customHeight="1"/>
    <row r="69" ht="15.75" hidden="1" customHeight="1"/>
    <row r="70" ht="15.75" hidden="1" customHeight="1"/>
    <row r="71" ht="15.75" hidden="1" customHeight="1"/>
    <row r="72" ht="15.75" hidden="1" customHeight="1"/>
    <row r="73" ht="15.75" hidden="1" customHeight="1"/>
    <row r="74" ht="15.75" hidden="1" customHeight="1"/>
    <row r="75" ht="15.75" hidden="1" customHeight="1"/>
    <row r="76" ht="15.75" hidden="1" customHeight="1"/>
    <row r="77" ht="15.75" hidden="1" customHeight="1"/>
    <row r="78" ht="15.75" hidden="1" customHeight="1"/>
    <row r="79" ht="15.75" hidden="1" customHeight="1"/>
    <row r="80" ht="15.75" hidden="1" customHeight="1"/>
    <row r="81" ht="15.75" hidden="1" customHeight="1"/>
    <row r="82" ht="15.75" hidden="1" customHeight="1"/>
    <row r="83" ht="15.75" hidden="1" customHeight="1"/>
    <row r="84" ht="15.75" hidden="1" customHeight="1"/>
    <row r="85" ht="15.75" hidden="1" customHeight="1"/>
    <row r="86" ht="15.75" hidden="1" customHeight="1"/>
    <row r="87" ht="15.75" hidden="1" customHeight="1"/>
    <row r="88" ht="15.75" hidden="1" customHeight="1"/>
    <row r="89" ht="15.75" hidden="1" customHeight="1"/>
    <row r="90" ht="15.75" hidden="1" customHeight="1"/>
    <row r="91" ht="15.75" hidden="1" customHeight="1"/>
    <row r="92" ht="15.75" hidden="1" customHeight="1"/>
    <row r="93" ht="15.75" hidden="1" customHeight="1"/>
    <row r="94" ht="15.75" hidden="1" customHeight="1"/>
    <row r="95" ht="15.75" hidden="1" customHeight="1"/>
    <row r="96" ht="15.75" hidden="1" customHeight="1"/>
    <row r="97" ht="15.75" hidden="1" customHeight="1"/>
    <row r="98" ht="15.75" hidden="1" customHeight="1"/>
    <row r="99" ht="15.75" hidden="1" customHeight="1"/>
    <row r="100" ht="15.75" hidden="1" customHeight="1"/>
    <row r="101" ht="15.75" hidden="1" customHeight="1"/>
    <row r="102" ht="15.75" hidden="1" customHeight="1"/>
    <row r="103" ht="15.75" hidden="1" customHeight="1"/>
    <row r="104" ht="15.75" hidden="1" customHeight="1"/>
    <row r="105" ht="15.75" hidden="1" customHeight="1"/>
    <row r="106" ht="15.75" hidden="1" customHeight="1"/>
    <row r="107" ht="15.75" hidden="1" customHeight="1"/>
    <row r="108" ht="15.75" hidden="1" customHeight="1"/>
    <row r="109" ht="15.75" hidden="1" customHeight="1"/>
    <row r="110" ht="15.75" hidden="1" customHeight="1"/>
    <row r="111" ht="15.75" hidden="1" customHeight="1"/>
    <row r="112" ht="15.75" hidden="1" customHeight="1"/>
    <row r="113" ht="15.75" hidden="1" customHeight="1"/>
    <row r="114" ht="15.75" hidden="1" customHeight="1"/>
    <row r="115" ht="15.75" hidden="1" customHeight="1"/>
    <row r="116" ht="15.75" hidden="1" customHeight="1"/>
    <row r="117" ht="15.75" hidden="1" customHeight="1"/>
    <row r="118" ht="15.75" hidden="1" customHeight="1"/>
    <row r="119" ht="15.75" hidden="1" customHeight="1"/>
    <row r="120" ht="15.75" hidden="1" customHeight="1"/>
    <row r="121" ht="15.75" hidden="1" customHeight="1"/>
    <row r="122" ht="15.75" hidden="1" customHeight="1"/>
    <row r="123" ht="15.75" hidden="1" customHeight="1"/>
    <row r="124" ht="15.75" hidden="1" customHeight="1"/>
    <row r="125" ht="15.75" hidden="1" customHeight="1"/>
    <row r="126" ht="15.75" hidden="1" customHeight="1"/>
    <row r="127" ht="15.75" hidden="1" customHeight="1"/>
    <row r="128" ht="15.75" hidden="1" customHeight="1"/>
    <row r="129" ht="15.75" hidden="1" customHeight="1"/>
    <row r="130" ht="15.75" hidden="1" customHeight="1"/>
    <row r="131" ht="15.75" hidden="1" customHeight="1"/>
    <row r="132" ht="15.75" hidden="1" customHeight="1"/>
    <row r="133" ht="15.75" hidden="1" customHeight="1"/>
    <row r="134" ht="15.75" hidden="1" customHeight="1"/>
    <row r="135" ht="15.75" hidden="1" customHeight="1"/>
    <row r="136" ht="15.75" hidden="1" customHeight="1"/>
    <row r="137" ht="15.75" hidden="1" customHeight="1"/>
    <row r="138" ht="15.75" hidden="1" customHeight="1"/>
    <row r="139" ht="15.75" hidden="1" customHeight="1"/>
    <row r="140" ht="15.75" hidden="1" customHeight="1"/>
    <row r="141" ht="15.75" hidden="1" customHeight="1"/>
    <row r="142" ht="15.75" hidden="1" customHeight="1"/>
    <row r="143" ht="15.75" hidden="1" customHeight="1"/>
    <row r="144" ht="15.75" hidden="1" customHeight="1"/>
    <row r="145" ht="15.75" hidden="1" customHeight="1"/>
    <row r="146" ht="15.75" hidden="1" customHeight="1"/>
    <row r="147" ht="15.75" hidden="1" customHeight="1"/>
    <row r="148" ht="15.75" hidden="1" customHeight="1"/>
    <row r="149" ht="15.75" hidden="1" customHeight="1"/>
    <row r="150" ht="15.75" hidden="1" customHeight="1"/>
    <row r="151" ht="15.75" hidden="1" customHeight="1"/>
    <row r="152" ht="15.75" hidden="1" customHeight="1"/>
    <row r="153" ht="15.75" hidden="1" customHeight="1"/>
    <row r="154" ht="15.75" hidden="1" customHeight="1"/>
    <row r="155" ht="15.75" hidden="1" customHeight="1"/>
    <row r="156" ht="15.75" hidden="1" customHeight="1"/>
    <row r="157" ht="15.75" hidden="1" customHeight="1"/>
    <row r="158" ht="15.75" hidden="1" customHeight="1"/>
    <row r="159" ht="15.75" hidden="1" customHeight="1"/>
    <row r="160" ht="15.75" hidden="1" customHeight="1"/>
    <row r="161" ht="15.75" hidden="1" customHeight="1"/>
    <row r="162" ht="15.75" hidden="1" customHeight="1"/>
    <row r="163" ht="15.75" hidden="1" customHeight="1"/>
    <row r="164" ht="15.75" hidden="1" customHeight="1"/>
    <row r="165" ht="15.75" hidden="1" customHeight="1"/>
    <row r="166" ht="15.75" hidden="1" customHeight="1"/>
    <row r="167" ht="15.75" hidden="1" customHeight="1"/>
    <row r="168" ht="15.75" hidden="1" customHeight="1"/>
    <row r="169" ht="15.75" hidden="1" customHeight="1"/>
    <row r="170" ht="15.75" hidden="1" customHeight="1"/>
    <row r="171" ht="15.75" hidden="1" customHeight="1"/>
    <row r="172" ht="15.75" hidden="1" customHeight="1"/>
    <row r="173" ht="15.75" hidden="1" customHeight="1"/>
    <row r="174" ht="15.75" hidden="1" customHeight="1"/>
    <row r="175" ht="15.75" hidden="1" customHeight="1"/>
    <row r="176" ht="15.75" hidden="1" customHeight="1"/>
    <row r="177" ht="15.75" hidden="1" customHeight="1"/>
    <row r="178" ht="15.75" hidden="1" customHeight="1"/>
    <row r="179" ht="15.75" hidden="1" customHeight="1"/>
    <row r="180" ht="15.75" hidden="1" customHeight="1"/>
    <row r="181" ht="15.75" hidden="1" customHeight="1"/>
    <row r="182" ht="15.75" hidden="1" customHeight="1"/>
    <row r="183" ht="15.75" hidden="1" customHeight="1"/>
    <row r="184" ht="15.75" hidden="1" customHeight="1"/>
    <row r="185" ht="15.75" hidden="1" customHeight="1"/>
    <row r="186" ht="15.75" hidden="1" customHeight="1"/>
    <row r="187" ht="15.75" hidden="1" customHeight="1"/>
    <row r="188" ht="15.75" hidden="1" customHeight="1"/>
    <row r="189" ht="15.75" hidden="1" customHeight="1"/>
    <row r="190" ht="15.75" hidden="1" customHeight="1"/>
    <row r="191" ht="15.75" hidden="1" customHeight="1"/>
    <row r="192" ht="15.75" hidden="1" customHeight="1"/>
    <row r="193" ht="15.75" hidden="1" customHeight="1"/>
    <row r="194" ht="15.75" hidden="1" customHeight="1"/>
    <row r="195" ht="15.75" hidden="1" customHeight="1"/>
    <row r="196" ht="15.75" hidden="1" customHeight="1"/>
    <row r="197" ht="15.75" hidden="1" customHeight="1"/>
    <row r="198" ht="15.75" hidden="1" customHeight="1"/>
    <row r="199" ht="15.75" hidden="1" customHeight="1"/>
    <row r="200" ht="15.75" hidden="1" customHeight="1"/>
    <row r="201" ht="15.75" hidden="1" customHeight="1"/>
    <row r="202" ht="15.75" hidden="1" customHeight="1"/>
    <row r="203" ht="15.75" hidden="1" customHeight="1"/>
    <row r="204" ht="15.75" hidden="1" customHeight="1"/>
    <row r="205" ht="15.75" hidden="1" customHeight="1"/>
    <row r="206" ht="15.75" hidden="1" customHeight="1"/>
    <row r="207" ht="15.75" hidden="1" customHeight="1"/>
    <row r="208" ht="15.75" hidden="1" customHeight="1"/>
    <row r="209" ht="15.75" hidden="1" customHeight="1"/>
    <row r="210" ht="15.75" hidden="1" customHeight="1"/>
    <row r="211" ht="15.75" hidden="1" customHeight="1"/>
    <row r="212" ht="15.75" hidden="1" customHeight="1"/>
    <row r="213" ht="15.75" hidden="1" customHeight="1"/>
    <row r="214" ht="15.75" hidden="1" customHeight="1"/>
    <row r="215" ht="15.75" hidden="1" customHeight="1"/>
    <row r="216" ht="15.75" hidden="1" customHeight="1"/>
    <row r="217" ht="15.75" hidden="1" customHeight="1"/>
    <row r="218" ht="15.75" hidden="1" customHeight="1"/>
    <row r="219" ht="15.75" hidden="1" customHeight="1"/>
    <row r="220" ht="15.75" hidden="1"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C9:E9"/>
    <mergeCell ref="C10:E10"/>
    <mergeCell ref="C1:E1"/>
    <mergeCell ref="C2:E2"/>
    <mergeCell ref="C3:E3"/>
    <mergeCell ref="C4:E4"/>
    <mergeCell ref="C6:E6"/>
    <mergeCell ref="C7:E7"/>
    <mergeCell ref="C8:E8"/>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25"/>
    <col customWidth="1" min="2" max="2" width="17.0"/>
    <col customWidth="1" min="3" max="3" width="20.38"/>
    <col customWidth="1" min="4" max="4" width="21.88"/>
    <col customWidth="1" min="5" max="17" width="8.63"/>
    <col customWidth="1" min="18" max="18" width="12.63"/>
    <col customWidth="1" min="19" max="26" width="8.63"/>
  </cols>
  <sheetData>
    <row r="1" ht="15.0" customHeight="1">
      <c r="A1" s="82"/>
      <c r="B1" s="83" t="s">
        <v>87</v>
      </c>
      <c r="C1" s="84"/>
      <c r="D1" s="84"/>
      <c r="E1" s="42"/>
      <c r="F1" s="42"/>
      <c r="G1" s="42"/>
      <c r="H1" s="42"/>
      <c r="I1" s="42"/>
      <c r="J1" s="42"/>
      <c r="K1" s="42"/>
      <c r="L1" s="42"/>
      <c r="M1" s="42"/>
      <c r="N1" s="42"/>
      <c r="O1" s="42"/>
      <c r="P1" s="42"/>
      <c r="Q1" s="42"/>
      <c r="R1" s="42"/>
      <c r="S1" s="42"/>
      <c r="T1" s="42"/>
      <c r="U1" s="42"/>
      <c r="V1" s="42"/>
      <c r="W1" s="42"/>
      <c r="X1" s="42"/>
      <c r="Y1" s="42"/>
      <c r="Z1" s="42"/>
    </row>
    <row r="2">
      <c r="A2" s="34"/>
      <c r="B2" s="85" t="s">
        <v>88</v>
      </c>
      <c r="C2" s="86" t="s">
        <v>73</v>
      </c>
      <c r="D2" s="42"/>
      <c r="E2" s="42"/>
      <c r="F2" s="42"/>
      <c r="G2" s="42"/>
      <c r="H2" s="42"/>
      <c r="I2" s="42"/>
      <c r="J2" s="42"/>
      <c r="K2" s="42"/>
      <c r="L2" s="42"/>
      <c r="M2" s="42"/>
      <c r="N2" s="42"/>
      <c r="O2" s="42"/>
      <c r="P2" s="42"/>
      <c r="Q2" s="42"/>
      <c r="R2" s="42"/>
      <c r="S2" s="42"/>
      <c r="T2" s="42"/>
      <c r="U2" s="42"/>
      <c r="V2" s="42"/>
      <c r="W2" s="42"/>
      <c r="X2" s="42"/>
      <c r="Y2" s="42"/>
      <c r="Z2" s="42"/>
    </row>
    <row r="3">
      <c r="A3" s="34"/>
      <c r="B3" s="87" t="s">
        <v>89</v>
      </c>
      <c r="C3" s="88">
        <v>29664.0</v>
      </c>
      <c r="D3" s="42"/>
      <c r="E3" s="42"/>
      <c r="F3" s="42"/>
      <c r="G3" s="42"/>
      <c r="H3" s="42"/>
      <c r="I3" s="42"/>
      <c r="J3" s="42"/>
      <c r="K3" s="42"/>
      <c r="L3" s="42"/>
      <c r="M3" s="42"/>
      <c r="N3" s="42"/>
      <c r="O3" s="42"/>
      <c r="P3" s="42"/>
      <c r="Q3" s="42"/>
      <c r="R3" s="42"/>
      <c r="S3" s="42"/>
      <c r="T3" s="42"/>
      <c r="U3" s="42"/>
      <c r="V3" s="42"/>
      <c r="W3" s="42"/>
      <c r="X3" s="42"/>
      <c r="Y3" s="42"/>
      <c r="Z3" s="42"/>
    </row>
    <row r="4">
      <c r="A4" s="34"/>
      <c r="B4" s="87" t="s">
        <v>90</v>
      </c>
      <c r="C4" s="89" t="s">
        <v>91</v>
      </c>
      <c r="D4" s="42"/>
      <c r="E4" s="42"/>
      <c r="F4" s="42"/>
      <c r="G4" s="42"/>
      <c r="H4" s="42"/>
      <c r="I4" s="42"/>
      <c r="J4" s="42"/>
      <c r="K4" s="42"/>
      <c r="L4" s="42"/>
      <c r="M4" s="42"/>
      <c r="N4" s="42"/>
      <c r="O4" s="42"/>
      <c r="P4" s="42"/>
      <c r="Q4" s="42"/>
      <c r="R4" s="42"/>
      <c r="S4" s="42"/>
      <c r="T4" s="42"/>
      <c r="U4" s="42"/>
      <c r="V4" s="42"/>
      <c r="W4" s="42"/>
      <c r="X4" s="42"/>
      <c r="Y4" s="42"/>
      <c r="Z4" s="42"/>
    </row>
    <row r="5">
      <c r="A5" s="34"/>
      <c r="B5" s="87" t="s">
        <v>92</v>
      </c>
      <c r="C5" s="90">
        <v>1000000.0</v>
      </c>
      <c r="D5" s="91"/>
      <c r="E5" s="42"/>
      <c r="F5" s="42"/>
      <c r="G5" s="42"/>
      <c r="H5" s="42"/>
      <c r="I5" s="42"/>
      <c r="J5" s="42"/>
      <c r="K5" s="42"/>
      <c r="L5" s="42"/>
      <c r="M5" s="42"/>
      <c r="N5" s="42"/>
      <c r="O5" s="42"/>
      <c r="P5" s="42"/>
      <c r="Q5" s="42"/>
      <c r="R5" s="42"/>
      <c r="S5" s="42"/>
      <c r="T5" s="42"/>
      <c r="U5" s="42"/>
      <c r="V5" s="42"/>
      <c r="W5" s="42"/>
      <c r="X5" s="42"/>
      <c r="Y5" s="42"/>
      <c r="Z5" s="42"/>
    </row>
    <row r="6">
      <c r="A6" s="34"/>
      <c r="B6" s="87" t="s">
        <v>93</v>
      </c>
      <c r="C6" s="90">
        <v>100000.0</v>
      </c>
      <c r="D6" s="42"/>
      <c r="E6" s="42"/>
      <c r="F6" s="42"/>
      <c r="G6" s="42"/>
      <c r="H6" s="42"/>
      <c r="I6" s="42"/>
      <c r="J6" s="42"/>
      <c r="K6" s="42"/>
      <c r="L6" s="42"/>
      <c r="M6" s="42"/>
      <c r="N6" s="42"/>
      <c r="O6" s="42"/>
      <c r="P6" s="42"/>
      <c r="Q6" s="42"/>
      <c r="R6" s="42"/>
      <c r="S6" s="42"/>
      <c r="T6" s="42"/>
      <c r="U6" s="42"/>
      <c r="V6" s="42"/>
      <c r="W6" s="42"/>
      <c r="X6" s="42"/>
      <c r="Y6" s="42"/>
      <c r="Z6" s="42"/>
    </row>
    <row r="7" ht="21.75" customHeight="1">
      <c r="A7" s="34"/>
      <c r="B7" s="87" t="s">
        <v>94</v>
      </c>
      <c r="C7" s="89">
        <v>12.0</v>
      </c>
      <c r="D7" s="42"/>
      <c r="E7" s="42"/>
      <c r="F7" s="42"/>
      <c r="G7" s="42"/>
      <c r="H7" s="42"/>
      <c r="I7" s="42"/>
      <c r="J7" s="42"/>
      <c r="K7" s="42"/>
      <c r="L7" s="42"/>
      <c r="M7" s="42"/>
      <c r="N7" s="42"/>
      <c r="O7" s="42"/>
      <c r="P7" s="42"/>
      <c r="Q7" s="42"/>
      <c r="R7" s="42"/>
      <c r="S7" s="42"/>
      <c r="T7" s="42"/>
      <c r="U7" s="42"/>
      <c r="V7" s="42"/>
      <c r="W7" s="42"/>
      <c r="X7" s="42"/>
      <c r="Y7" s="42"/>
      <c r="Z7" s="42"/>
    </row>
    <row r="8">
      <c r="A8" s="34"/>
      <c r="B8" s="87" t="s">
        <v>95</v>
      </c>
      <c r="C8" s="88">
        <v>42551.0</v>
      </c>
      <c r="D8" s="42"/>
      <c r="E8" s="42"/>
      <c r="F8" s="42"/>
      <c r="G8" s="42"/>
      <c r="H8" s="42"/>
      <c r="I8" s="42"/>
      <c r="J8" s="42"/>
      <c r="K8" s="42"/>
      <c r="L8" s="42"/>
      <c r="M8" s="42"/>
      <c r="N8" s="42"/>
      <c r="O8" s="42"/>
      <c r="P8" s="42"/>
      <c r="Q8" s="42"/>
      <c r="R8" s="42"/>
      <c r="S8" s="42"/>
      <c r="T8" s="42"/>
      <c r="U8" s="42"/>
      <c r="V8" s="42"/>
      <c r="W8" s="42"/>
      <c r="X8" s="42"/>
      <c r="Y8" s="42"/>
      <c r="Z8" s="42"/>
    </row>
    <row r="9">
      <c r="A9" s="34"/>
      <c r="B9" s="87" t="s">
        <v>96</v>
      </c>
      <c r="C9" s="92" t="s">
        <v>97</v>
      </c>
      <c r="D9" s="42"/>
      <c r="E9" s="42"/>
      <c r="F9" s="42"/>
      <c r="G9" s="42"/>
      <c r="H9" s="42"/>
      <c r="I9" s="42"/>
      <c r="J9" s="42"/>
      <c r="K9" s="42"/>
      <c r="L9" s="42"/>
      <c r="M9" s="42"/>
      <c r="N9" s="42"/>
      <c r="O9" s="42"/>
      <c r="P9" s="42"/>
      <c r="Q9" s="42"/>
      <c r="R9" s="42"/>
      <c r="S9" s="42"/>
      <c r="T9" s="42"/>
      <c r="U9" s="42"/>
      <c r="V9" s="42"/>
      <c r="W9" s="42"/>
      <c r="X9" s="42"/>
      <c r="Y9" s="42"/>
      <c r="Z9" s="42"/>
    </row>
    <row r="10">
      <c r="A10" s="34"/>
      <c r="B10" s="85" t="s">
        <v>98</v>
      </c>
      <c r="C10" s="93" t="s">
        <v>99</v>
      </c>
      <c r="D10" s="94" t="s">
        <v>100</v>
      </c>
      <c r="E10" s="42"/>
      <c r="F10" s="42"/>
      <c r="G10" s="42"/>
      <c r="H10" s="42"/>
      <c r="I10" s="42"/>
      <c r="J10" s="42"/>
      <c r="K10" s="42"/>
      <c r="L10" s="42"/>
      <c r="M10" s="42"/>
      <c r="N10" s="42"/>
      <c r="O10" s="42"/>
      <c r="P10" s="42"/>
      <c r="Q10" s="42"/>
      <c r="R10" s="42"/>
      <c r="S10" s="42"/>
      <c r="T10" s="42"/>
      <c r="U10" s="42"/>
      <c r="V10" s="42"/>
      <c r="W10" s="42"/>
      <c r="X10" s="42"/>
      <c r="Y10" s="42"/>
      <c r="Z10" s="42"/>
    </row>
    <row r="11">
      <c r="A11" s="34"/>
      <c r="B11" s="87" t="s">
        <v>101</v>
      </c>
      <c r="C11" s="95">
        <v>10.0</v>
      </c>
      <c r="D11" s="96">
        <v>5.0</v>
      </c>
      <c r="E11" s="42"/>
      <c r="F11" s="42"/>
      <c r="G11" s="42"/>
      <c r="H11" s="42"/>
      <c r="I11" s="42"/>
      <c r="J11" s="42"/>
      <c r="K11" s="42"/>
      <c r="L11" s="42"/>
      <c r="M11" s="42"/>
      <c r="N11" s="42"/>
      <c r="O11" s="42"/>
      <c r="P11" s="42"/>
      <c r="Q11" s="42"/>
      <c r="R11" s="42"/>
      <c r="S11" s="42"/>
      <c r="T11" s="42"/>
      <c r="U11" s="42"/>
      <c r="V11" s="42"/>
      <c r="W11" s="42"/>
      <c r="X11" s="42"/>
      <c r="Y11" s="42"/>
      <c r="Z11" s="42"/>
    </row>
    <row r="12">
      <c r="A12" s="34"/>
      <c r="B12" s="87" t="s">
        <v>102</v>
      </c>
      <c r="C12" s="89">
        <v>10.0</v>
      </c>
      <c r="D12" s="42"/>
      <c r="E12" s="42"/>
      <c r="F12" s="42"/>
      <c r="G12" s="42"/>
      <c r="H12" s="42"/>
      <c r="I12" s="42"/>
      <c r="J12" s="42"/>
      <c r="K12" s="42"/>
      <c r="L12" s="42"/>
      <c r="M12" s="42"/>
      <c r="N12" s="42"/>
      <c r="O12" s="42"/>
      <c r="P12" s="42"/>
      <c r="Q12" s="42"/>
      <c r="R12" s="42"/>
      <c r="S12" s="42"/>
      <c r="T12" s="42"/>
      <c r="U12" s="42"/>
      <c r="V12" s="42"/>
      <c r="W12" s="42"/>
      <c r="X12" s="42"/>
      <c r="Y12" s="42"/>
      <c r="Z12" s="42"/>
    </row>
    <row r="13" ht="15.0" customHeight="1">
      <c r="A13" s="82"/>
      <c r="B13" s="87" t="s">
        <v>103</v>
      </c>
      <c r="C13" s="97">
        <v>44385.0</v>
      </c>
      <c r="D13" s="98" t="s">
        <v>104</v>
      </c>
      <c r="E13" s="42"/>
      <c r="F13" s="42"/>
      <c r="G13" s="42"/>
      <c r="H13" s="42"/>
      <c r="I13" s="42"/>
      <c r="J13" s="42"/>
      <c r="K13" s="42"/>
      <c r="L13" s="42"/>
      <c r="M13" s="42"/>
      <c r="N13" s="42"/>
      <c r="O13" s="42"/>
      <c r="P13" s="42"/>
      <c r="Q13" s="42"/>
      <c r="R13" s="42"/>
      <c r="S13" s="42"/>
      <c r="T13" s="42"/>
      <c r="U13" s="42"/>
      <c r="V13" s="42"/>
      <c r="W13" s="42"/>
      <c r="X13" s="42"/>
      <c r="Y13" s="42"/>
      <c r="Z13" s="42"/>
    </row>
    <row r="14" ht="15.0" customHeight="1">
      <c r="A14" s="82"/>
      <c r="B14" s="87" t="s">
        <v>105</v>
      </c>
      <c r="C14" s="90">
        <v>650000.0</v>
      </c>
      <c r="D14" s="99">
        <v>0.0</v>
      </c>
      <c r="E14" s="42"/>
      <c r="F14" s="42"/>
      <c r="G14" s="42"/>
      <c r="H14" s="42"/>
      <c r="I14" s="42"/>
      <c r="J14" s="42"/>
      <c r="K14" s="42"/>
      <c r="L14" s="42"/>
      <c r="M14" s="42"/>
      <c r="N14" s="42"/>
      <c r="O14" s="42"/>
      <c r="P14" s="42"/>
      <c r="Q14" s="42"/>
      <c r="R14" s="42"/>
      <c r="S14" s="42"/>
      <c r="T14" s="42"/>
      <c r="U14" s="42"/>
      <c r="V14" s="42"/>
      <c r="W14" s="42"/>
      <c r="X14" s="42"/>
      <c r="Y14" s="42"/>
      <c r="Z14" s="42"/>
    </row>
    <row r="15" ht="15.0" customHeight="1">
      <c r="A15" s="82"/>
      <c r="B15" s="87" t="s">
        <v>106</v>
      </c>
      <c r="C15" s="100">
        <v>44385.0</v>
      </c>
      <c r="D15" s="42"/>
      <c r="E15" s="42"/>
      <c r="F15" s="42"/>
      <c r="G15" s="42"/>
      <c r="H15" s="42"/>
      <c r="I15" s="42"/>
      <c r="J15" s="42"/>
      <c r="K15" s="42"/>
      <c r="L15" s="42"/>
      <c r="M15" s="42"/>
      <c r="N15" s="42"/>
      <c r="O15" s="42"/>
      <c r="P15" s="42"/>
      <c r="Q15" s="42"/>
      <c r="R15" s="42"/>
      <c r="S15" s="42"/>
      <c r="T15" s="42"/>
      <c r="U15" s="42"/>
      <c r="V15" s="42"/>
      <c r="W15" s="42"/>
      <c r="X15" s="42"/>
      <c r="Y15" s="42"/>
      <c r="Z15" s="42"/>
    </row>
    <row r="16" ht="15.0" customHeight="1">
      <c r="A16" s="82"/>
      <c r="B16" s="87" t="s">
        <v>107</v>
      </c>
      <c r="C16" s="101">
        <v>44012.0</v>
      </c>
      <c r="D16" s="42"/>
      <c r="E16" s="42"/>
      <c r="F16" s="42"/>
      <c r="G16" s="42"/>
      <c r="H16" s="42"/>
      <c r="I16" s="42"/>
      <c r="J16" s="42"/>
      <c r="K16" s="42"/>
      <c r="L16" s="42"/>
      <c r="M16" s="42"/>
      <c r="N16" s="42"/>
      <c r="O16" s="42"/>
      <c r="P16" s="42"/>
      <c r="Q16" s="42"/>
      <c r="R16" s="42"/>
      <c r="S16" s="42"/>
      <c r="T16" s="42"/>
      <c r="U16" s="42"/>
      <c r="V16" s="42"/>
      <c r="W16" s="42"/>
      <c r="X16" s="42"/>
      <c r="Y16" s="42"/>
      <c r="Z16" s="42"/>
    </row>
    <row r="17" ht="15.0" customHeight="1">
      <c r="A17" s="82"/>
      <c r="B17" s="87" t="s">
        <v>108</v>
      </c>
      <c r="C17" s="102">
        <v>6.5846845E7</v>
      </c>
      <c r="D17" s="42"/>
      <c r="E17" s="42"/>
      <c r="F17" s="42"/>
      <c r="G17" s="42"/>
      <c r="H17" s="42"/>
      <c r="I17" s="42"/>
      <c r="J17" s="42"/>
      <c r="K17" s="42"/>
      <c r="L17" s="42"/>
      <c r="M17" s="42"/>
      <c r="N17" s="42"/>
      <c r="O17" s="42"/>
      <c r="P17" s="42"/>
      <c r="Q17" s="42"/>
      <c r="R17" s="42"/>
      <c r="S17" s="42"/>
      <c r="T17" s="42"/>
      <c r="U17" s="42"/>
      <c r="V17" s="42"/>
      <c r="W17" s="42"/>
      <c r="X17" s="42"/>
      <c r="Y17" s="42"/>
      <c r="Z17" s="42"/>
    </row>
    <row r="18" ht="15.0" customHeight="1">
      <c r="A18" s="82"/>
      <c r="B18" s="42"/>
      <c r="C18" s="42"/>
      <c r="D18" s="42"/>
      <c r="E18" s="42"/>
      <c r="F18" s="42"/>
      <c r="G18" s="42"/>
      <c r="H18" s="42"/>
      <c r="I18" s="42"/>
      <c r="J18" s="42"/>
      <c r="K18" s="42"/>
      <c r="L18" s="42"/>
      <c r="M18" s="42"/>
      <c r="N18" s="42"/>
      <c r="O18" s="42"/>
      <c r="P18" s="42"/>
      <c r="Q18" s="42"/>
      <c r="R18" s="42"/>
      <c r="S18" s="42"/>
      <c r="T18" s="42"/>
      <c r="U18" s="42"/>
      <c r="V18" s="42"/>
      <c r="W18" s="42"/>
      <c r="X18" s="42"/>
      <c r="Y18" s="42"/>
      <c r="Z18" s="42"/>
    </row>
    <row r="19" ht="29.25" customHeight="1">
      <c r="A19" s="82" t="s">
        <v>109</v>
      </c>
      <c r="B19" s="103" t="s">
        <v>110</v>
      </c>
      <c r="C19" s="86" t="s">
        <v>111</v>
      </c>
      <c r="D19" s="42"/>
      <c r="E19" s="42"/>
      <c r="F19" s="42"/>
      <c r="G19" s="42"/>
      <c r="H19" s="42"/>
      <c r="I19" s="42"/>
      <c r="J19" s="42"/>
      <c r="K19" s="42"/>
      <c r="L19" s="42"/>
      <c r="M19" s="42"/>
      <c r="N19" s="42"/>
      <c r="O19" s="42"/>
      <c r="P19" s="42"/>
      <c r="Q19" s="42"/>
      <c r="R19" s="42"/>
      <c r="S19" s="42"/>
      <c r="T19" s="42"/>
      <c r="U19" s="42"/>
      <c r="V19" s="42"/>
      <c r="W19" s="42"/>
      <c r="X19" s="42"/>
      <c r="Y19" s="42"/>
      <c r="Z19" s="42"/>
    </row>
    <row r="20" ht="15.0" customHeight="1">
      <c r="A20" s="82">
        <f t="shared" ref="A20:A28" si="1">IF(C20&lt;&gt;0,1,0)</f>
        <v>1</v>
      </c>
      <c r="B20" s="104" t="s">
        <v>112</v>
      </c>
      <c r="C20" s="105">
        <v>1.0</v>
      </c>
      <c r="D20" s="42"/>
      <c r="E20" s="42"/>
      <c r="F20" s="42"/>
      <c r="G20" s="42"/>
      <c r="H20" s="42"/>
      <c r="I20" s="42"/>
      <c r="J20" s="42"/>
      <c r="K20" s="42"/>
      <c r="L20" s="42"/>
      <c r="M20" s="42"/>
      <c r="N20" s="42"/>
      <c r="O20" s="42"/>
      <c r="P20" s="42"/>
      <c r="Q20" s="42"/>
      <c r="R20" s="42"/>
      <c r="S20" s="42"/>
      <c r="T20" s="42"/>
      <c r="U20" s="42"/>
      <c r="V20" s="42"/>
      <c r="W20" s="42"/>
      <c r="X20" s="42"/>
      <c r="Y20" s="42"/>
      <c r="Z20" s="42"/>
    </row>
    <row r="21" ht="15.0" customHeight="1">
      <c r="A21" s="82">
        <f t="shared" si="1"/>
        <v>0</v>
      </c>
      <c r="B21" s="104" t="s">
        <v>113</v>
      </c>
      <c r="C21" s="105">
        <v>0.0</v>
      </c>
      <c r="D21" s="42"/>
      <c r="E21" s="42"/>
      <c r="F21" s="42"/>
      <c r="G21" s="42"/>
      <c r="H21" s="42"/>
      <c r="I21" s="42"/>
      <c r="J21" s="42"/>
      <c r="K21" s="42"/>
      <c r="L21" s="42"/>
      <c r="M21" s="42"/>
      <c r="N21" s="42"/>
      <c r="O21" s="42"/>
      <c r="P21" s="42"/>
      <c r="Q21" s="42"/>
      <c r="R21" s="42"/>
      <c r="S21" s="42"/>
      <c r="T21" s="42"/>
      <c r="U21" s="42"/>
      <c r="V21" s="42"/>
      <c r="W21" s="42"/>
      <c r="X21" s="42"/>
      <c r="Y21" s="42"/>
      <c r="Z21" s="42"/>
    </row>
    <row r="22" ht="15.0" customHeight="1">
      <c r="A22" s="82">
        <f t="shared" si="1"/>
        <v>0</v>
      </c>
      <c r="B22" s="104" t="s">
        <v>114</v>
      </c>
      <c r="C22" s="105">
        <v>0.0</v>
      </c>
      <c r="D22" s="42"/>
      <c r="E22" s="42"/>
      <c r="F22" s="42"/>
      <c r="G22" s="42"/>
      <c r="H22" s="42"/>
      <c r="I22" s="42"/>
      <c r="J22" s="42"/>
      <c r="K22" s="42"/>
      <c r="L22" s="42"/>
      <c r="M22" s="42"/>
      <c r="N22" s="42"/>
      <c r="O22" s="42"/>
      <c r="P22" s="42"/>
      <c r="Q22" s="42"/>
      <c r="R22" s="42"/>
      <c r="S22" s="42"/>
      <c r="T22" s="42"/>
      <c r="U22" s="42"/>
      <c r="V22" s="42"/>
      <c r="W22" s="42"/>
      <c r="X22" s="42"/>
      <c r="Y22" s="42"/>
      <c r="Z22" s="42"/>
    </row>
    <row r="23" ht="15.0" customHeight="1">
      <c r="A23" s="82">
        <f t="shared" si="1"/>
        <v>0</v>
      </c>
      <c r="B23" s="104" t="s">
        <v>86</v>
      </c>
      <c r="C23" s="105">
        <v>0.0</v>
      </c>
      <c r="D23" s="42"/>
      <c r="E23" s="42"/>
      <c r="F23" s="42"/>
      <c r="G23" s="42"/>
      <c r="H23" s="42"/>
      <c r="I23" s="42"/>
      <c r="J23" s="42"/>
      <c r="K23" s="42"/>
      <c r="L23" s="42"/>
      <c r="M23" s="42"/>
      <c r="N23" s="42"/>
      <c r="O23" s="42"/>
      <c r="P23" s="42"/>
      <c r="Q23" s="42"/>
      <c r="R23" s="42"/>
      <c r="S23" s="42"/>
      <c r="T23" s="42"/>
      <c r="U23" s="42"/>
      <c r="V23" s="42"/>
      <c r="W23" s="42"/>
      <c r="X23" s="42"/>
      <c r="Y23" s="42"/>
      <c r="Z23" s="42"/>
    </row>
    <row r="24" ht="15.0" customHeight="1">
      <c r="A24" s="82">
        <f t="shared" si="1"/>
        <v>0</v>
      </c>
      <c r="B24" s="104" t="s">
        <v>115</v>
      </c>
      <c r="C24" s="105">
        <v>0.0</v>
      </c>
      <c r="D24" s="42"/>
      <c r="E24" s="42"/>
      <c r="F24" s="42"/>
      <c r="G24" s="42"/>
      <c r="H24" s="42"/>
      <c r="I24" s="42"/>
      <c r="J24" s="42"/>
      <c r="K24" s="42"/>
      <c r="L24" s="42"/>
      <c r="M24" s="42"/>
      <c r="N24" s="42"/>
      <c r="O24" s="42"/>
      <c r="P24" s="42"/>
      <c r="Q24" s="42"/>
      <c r="R24" s="42"/>
      <c r="S24" s="42"/>
      <c r="T24" s="42"/>
      <c r="U24" s="42"/>
      <c r="V24" s="42"/>
      <c r="W24" s="42"/>
      <c r="X24" s="42"/>
      <c r="Y24" s="42"/>
      <c r="Z24" s="42"/>
    </row>
    <row r="25" ht="15.0" customHeight="1">
      <c r="A25" s="82">
        <f t="shared" si="1"/>
        <v>0</v>
      </c>
      <c r="B25" s="104" t="s">
        <v>116</v>
      </c>
      <c r="C25" s="105">
        <v>0.0</v>
      </c>
      <c r="D25" s="42"/>
      <c r="E25" s="42"/>
      <c r="F25" s="42"/>
      <c r="G25" s="42"/>
      <c r="H25" s="42"/>
      <c r="I25" s="42"/>
      <c r="J25" s="42"/>
      <c r="K25" s="42"/>
      <c r="L25" s="42"/>
      <c r="M25" s="42"/>
      <c r="N25" s="42"/>
      <c r="O25" s="42"/>
      <c r="P25" s="42"/>
      <c r="Q25" s="42"/>
      <c r="R25" s="42"/>
      <c r="S25" s="42"/>
      <c r="T25" s="42"/>
      <c r="U25" s="42"/>
      <c r="V25" s="42"/>
      <c r="W25" s="42"/>
      <c r="X25" s="42"/>
      <c r="Y25" s="42"/>
      <c r="Z25" s="42"/>
    </row>
    <row r="26" ht="15.0" customHeight="1">
      <c r="A26" s="82">
        <f t="shared" si="1"/>
        <v>0</v>
      </c>
      <c r="B26" s="104" t="s">
        <v>117</v>
      </c>
      <c r="C26" s="105">
        <v>0.0</v>
      </c>
      <c r="D26" s="42"/>
      <c r="E26" s="42"/>
      <c r="F26" s="42"/>
      <c r="G26" s="42"/>
      <c r="H26" s="42"/>
      <c r="I26" s="42"/>
      <c r="J26" s="42"/>
      <c r="K26" s="42"/>
      <c r="L26" s="42"/>
      <c r="M26" s="42"/>
      <c r="N26" s="42"/>
      <c r="O26" s="42"/>
      <c r="P26" s="42"/>
      <c r="Q26" s="42"/>
      <c r="R26" s="42"/>
      <c r="S26" s="42"/>
      <c r="T26" s="42"/>
      <c r="U26" s="42"/>
      <c r="V26" s="42"/>
      <c r="W26" s="42"/>
      <c r="X26" s="42"/>
      <c r="Y26" s="42"/>
      <c r="Z26" s="42"/>
    </row>
    <row r="27" ht="15.0" customHeight="1">
      <c r="A27" s="82">
        <f t="shared" si="1"/>
        <v>0</v>
      </c>
      <c r="B27" s="104" t="s">
        <v>118</v>
      </c>
      <c r="C27" s="105">
        <v>0.0</v>
      </c>
      <c r="D27" s="42"/>
      <c r="E27" s="42"/>
      <c r="F27" s="42"/>
      <c r="G27" s="42"/>
      <c r="H27" s="42"/>
      <c r="I27" s="42"/>
      <c r="J27" s="42"/>
      <c r="K27" s="42"/>
      <c r="L27" s="42"/>
      <c r="M27" s="42"/>
      <c r="N27" s="42"/>
      <c r="O27" s="42"/>
      <c r="P27" s="42"/>
      <c r="Q27" s="42"/>
      <c r="R27" s="42"/>
      <c r="S27" s="42"/>
      <c r="T27" s="42"/>
      <c r="U27" s="42"/>
      <c r="V27" s="42"/>
      <c r="W27" s="42"/>
      <c r="X27" s="42"/>
      <c r="Y27" s="42"/>
      <c r="Z27" s="42"/>
    </row>
    <row r="28" ht="15.0" customHeight="1">
      <c r="A28" s="82">
        <f t="shared" si="1"/>
        <v>0</v>
      </c>
      <c r="B28" s="104" t="s">
        <v>119</v>
      </c>
      <c r="C28" s="105">
        <v>0.0</v>
      </c>
      <c r="D28" s="42"/>
      <c r="E28" s="42"/>
      <c r="F28" s="42"/>
      <c r="G28" s="42"/>
      <c r="H28" s="42"/>
      <c r="I28" s="42"/>
      <c r="J28" s="42"/>
      <c r="K28" s="42"/>
      <c r="L28" s="42"/>
      <c r="M28" s="42"/>
      <c r="N28" s="42"/>
      <c r="O28" s="42"/>
      <c r="P28" s="42"/>
      <c r="Q28" s="42"/>
      <c r="R28" s="42"/>
      <c r="S28" s="42"/>
      <c r="T28" s="42"/>
      <c r="U28" s="42"/>
      <c r="V28" s="42"/>
      <c r="W28" s="42"/>
      <c r="X28" s="42"/>
      <c r="Y28" s="42"/>
      <c r="Z28" s="42"/>
    </row>
    <row r="29" ht="15.0" customHeight="1">
      <c r="A29" s="82"/>
      <c r="B29" s="106" t="s">
        <v>120</v>
      </c>
      <c r="C29" s="107">
        <f>SUM(C20:C28)</f>
        <v>1</v>
      </c>
      <c r="D29" s="42"/>
      <c r="E29" s="42"/>
      <c r="F29" s="42"/>
      <c r="G29" s="42"/>
      <c r="H29" s="42"/>
      <c r="I29" s="42"/>
      <c r="J29" s="42"/>
      <c r="K29" s="42"/>
      <c r="L29" s="42"/>
      <c r="M29" s="42"/>
      <c r="N29" s="42"/>
      <c r="O29" s="42"/>
      <c r="P29" s="42"/>
      <c r="Q29" s="42"/>
      <c r="R29" s="42"/>
      <c r="S29" s="42"/>
      <c r="T29" s="42"/>
      <c r="U29" s="42"/>
      <c r="V29" s="42"/>
      <c r="W29" s="42"/>
      <c r="X29" s="42"/>
      <c r="Y29" s="42"/>
      <c r="Z29" s="42"/>
    </row>
    <row r="30" ht="15.0" customHeight="1">
      <c r="A30" s="82"/>
      <c r="B30" s="39"/>
      <c r="C30" s="39"/>
      <c r="D30" s="39"/>
      <c r="E30" s="42"/>
      <c r="F30" s="42"/>
      <c r="G30" s="42"/>
      <c r="H30" s="42"/>
      <c r="I30" s="42"/>
      <c r="J30" s="42"/>
      <c r="K30" s="42"/>
      <c r="L30" s="42"/>
      <c r="M30" s="42"/>
      <c r="N30" s="42"/>
      <c r="O30" s="42"/>
      <c r="P30" s="42"/>
      <c r="Q30" s="42"/>
      <c r="R30" s="42"/>
      <c r="S30" s="42"/>
      <c r="T30" s="42"/>
      <c r="U30" s="42"/>
      <c r="V30" s="42"/>
      <c r="W30" s="42"/>
      <c r="X30" s="42"/>
      <c r="Y30" s="42"/>
      <c r="Z30" s="42"/>
    </row>
    <row r="31" ht="15.75" customHeight="1">
      <c r="A31" s="82"/>
      <c r="E31" s="42"/>
      <c r="F31" s="42"/>
      <c r="G31" s="42"/>
      <c r="H31" s="42"/>
      <c r="I31" s="42"/>
      <c r="J31" s="42"/>
      <c r="K31" s="42"/>
      <c r="L31" s="42"/>
      <c r="M31" s="42"/>
      <c r="N31" s="42"/>
      <c r="O31" s="42"/>
      <c r="P31" s="42"/>
      <c r="Q31" s="42"/>
      <c r="R31" s="42"/>
      <c r="S31" s="42"/>
      <c r="T31" s="42"/>
      <c r="U31" s="42"/>
      <c r="V31" s="42"/>
      <c r="W31" s="42"/>
      <c r="X31" s="42"/>
      <c r="Y31" s="42"/>
      <c r="Z31" s="42"/>
    </row>
    <row r="32" ht="15.75" customHeight="1">
      <c r="A32" s="82"/>
      <c r="E32" s="42"/>
      <c r="F32" s="42"/>
      <c r="G32" s="42"/>
      <c r="H32" s="42"/>
      <c r="I32" s="42"/>
      <c r="J32" s="42"/>
      <c r="K32" s="42"/>
      <c r="L32" s="42"/>
      <c r="M32" s="42"/>
      <c r="N32" s="42"/>
      <c r="O32" s="42"/>
      <c r="P32" s="42"/>
      <c r="Q32" s="42"/>
      <c r="R32" s="42"/>
      <c r="S32" s="42"/>
      <c r="T32" s="42"/>
      <c r="U32" s="42"/>
      <c r="V32" s="42"/>
      <c r="W32" s="42"/>
      <c r="X32" s="42"/>
      <c r="Y32" s="42"/>
      <c r="Z32" s="42"/>
    </row>
    <row r="33" ht="15.75" customHeight="1">
      <c r="A33" s="82"/>
      <c r="E33" s="42"/>
      <c r="F33" s="42"/>
      <c r="G33" s="42"/>
      <c r="H33" s="42"/>
      <c r="I33" s="42"/>
      <c r="J33" s="42"/>
      <c r="K33" s="42"/>
      <c r="L33" s="42"/>
      <c r="M33" s="42"/>
      <c r="N33" s="42"/>
      <c r="O33" s="42"/>
      <c r="P33" s="42"/>
      <c r="Q33" s="42"/>
      <c r="R33" s="42"/>
      <c r="S33" s="42"/>
      <c r="T33" s="42"/>
      <c r="U33" s="42"/>
      <c r="V33" s="42"/>
      <c r="W33" s="42"/>
      <c r="X33" s="42"/>
      <c r="Y33" s="42"/>
      <c r="Z33" s="42"/>
    </row>
    <row r="34" ht="15.75" customHeight="1">
      <c r="A34" s="82"/>
      <c r="E34" s="42"/>
      <c r="F34" s="42"/>
      <c r="G34" s="42"/>
      <c r="H34" s="42"/>
      <c r="I34" s="42"/>
      <c r="J34" s="42"/>
      <c r="K34" s="42"/>
      <c r="L34" s="42"/>
      <c r="M34" s="42"/>
      <c r="N34" s="42"/>
      <c r="O34" s="42"/>
      <c r="P34" s="42"/>
      <c r="Q34" s="42"/>
      <c r="R34" s="42"/>
      <c r="S34" s="42"/>
      <c r="T34" s="42"/>
      <c r="U34" s="42"/>
      <c r="V34" s="42"/>
      <c r="W34" s="42"/>
      <c r="X34" s="42"/>
      <c r="Y34" s="42"/>
      <c r="Z34" s="42"/>
    </row>
    <row r="35" ht="15.75" customHeight="1">
      <c r="A35" s="82"/>
      <c r="E35" s="42"/>
      <c r="F35" s="42"/>
      <c r="G35" s="42"/>
      <c r="H35" s="42"/>
      <c r="I35" s="42"/>
      <c r="J35" s="42"/>
      <c r="K35" s="42"/>
      <c r="L35" s="42"/>
      <c r="M35" s="42"/>
      <c r="N35" s="42"/>
      <c r="O35" s="42"/>
      <c r="P35" s="42"/>
      <c r="Q35" s="42"/>
      <c r="R35" s="42"/>
      <c r="S35" s="42"/>
      <c r="T35" s="42"/>
      <c r="U35" s="42"/>
      <c r="V35" s="42"/>
      <c r="W35" s="42"/>
      <c r="X35" s="42"/>
      <c r="Y35" s="42"/>
      <c r="Z35" s="42"/>
    </row>
    <row r="36" ht="15.75" customHeight="1">
      <c r="A36" s="82"/>
      <c r="E36" s="42"/>
      <c r="F36" s="42"/>
      <c r="G36" s="42"/>
      <c r="H36" s="42"/>
      <c r="I36" s="42"/>
      <c r="J36" s="42"/>
      <c r="K36" s="42"/>
      <c r="L36" s="42"/>
      <c r="M36" s="42"/>
      <c r="N36" s="42"/>
      <c r="O36" s="42"/>
      <c r="P36" s="42"/>
      <c r="Q36" s="42"/>
      <c r="R36" s="42"/>
      <c r="S36" s="42"/>
      <c r="T36" s="42"/>
      <c r="U36" s="42"/>
      <c r="V36" s="42"/>
      <c r="W36" s="42"/>
      <c r="X36" s="42"/>
      <c r="Y36" s="42"/>
      <c r="Z36" s="42"/>
    </row>
    <row r="37" ht="15.75" customHeight="1">
      <c r="A37" s="82"/>
      <c r="E37" s="42"/>
      <c r="F37" s="42"/>
      <c r="G37" s="42"/>
      <c r="H37" s="42"/>
      <c r="I37" s="42"/>
      <c r="J37" s="42"/>
      <c r="K37" s="42"/>
      <c r="L37" s="42"/>
      <c r="M37" s="42"/>
      <c r="N37" s="42"/>
      <c r="O37" s="42"/>
      <c r="P37" s="42"/>
      <c r="Q37" s="42"/>
      <c r="R37" s="42"/>
      <c r="S37" s="42"/>
      <c r="T37" s="42"/>
      <c r="U37" s="42"/>
      <c r="V37" s="42"/>
      <c r="W37" s="42"/>
      <c r="X37" s="42"/>
      <c r="Y37" s="42"/>
      <c r="Z37" s="42"/>
    </row>
    <row r="38" ht="15.75" customHeight="1">
      <c r="A38" s="82"/>
      <c r="E38" s="42"/>
      <c r="F38" s="42"/>
      <c r="G38" s="42"/>
      <c r="H38" s="42"/>
      <c r="I38" s="42"/>
      <c r="J38" s="42"/>
      <c r="K38" s="42"/>
      <c r="L38" s="42"/>
      <c r="M38" s="42"/>
      <c r="N38" s="42"/>
      <c r="O38" s="42"/>
      <c r="P38" s="42"/>
      <c r="Q38" s="42"/>
      <c r="R38" s="42"/>
      <c r="S38" s="42"/>
      <c r="T38" s="42"/>
      <c r="U38" s="42"/>
      <c r="V38" s="42"/>
      <c r="W38" s="42"/>
      <c r="X38" s="42"/>
      <c r="Y38" s="42"/>
      <c r="Z38" s="42"/>
    </row>
    <row r="39" ht="15.75" customHeight="1">
      <c r="A39" s="82"/>
      <c r="E39" s="42"/>
      <c r="F39" s="42"/>
      <c r="G39" s="42"/>
      <c r="H39" s="42"/>
      <c r="I39" s="42"/>
      <c r="J39" s="42"/>
      <c r="K39" s="42"/>
      <c r="L39" s="42"/>
      <c r="M39" s="42"/>
      <c r="N39" s="42"/>
      <c r="O39" s="42"/>
      <c r="P39" s="42"/>
      <c r="Q39" s="42"/>
      <c r="R39" s="42"/>
      <c r="S39" s="42"/>
      <c r="T39" s="42"/>
      <c r="U39" s="42"/>
      <c r="V39" s="42"/>
      <c r="W39" s="42"/>
      <c r="X39" s="42"/>
      <c r="Y39" s="42"/>
      <c r="Z39" s="42"/>
    </row>
    <row r="40" ht="15.75" customHeight="1">
      <c r="A40" s="82"/>
      <c r="E40" s="42"/>
      <c r="F40" s="42"/>
      <c r="G40" s="42"/>
      <c r="H40" s="42"/>
      <c r="I40" s="42"/>
      <c r="J40" s="42"/>
      <c r="K40" s="42"/>
      <c r="L40" s="42"/>
      <c r="M40" s="42"/>
      <c r="N40" s="42"/>
      <c r="O40" s="42"/>
      <c r="P40" s="42"/>
      <c r="Q40" s="42"/>
      <c r="R40" s="42"/>
      <c r="S40" s="42"/>
      <c r="T40" s="42"/>
      <c r="U40" s="42"/>
      <c r="V40" s="42"/>
      <c r="W40" s="42"/>
      <c r="X40" s="42"/>
      <c r="Y40" s="42"/>
      <c r="Z40" s="42"/>
    </row>
    <row r="41" ht="15.75" customHeight="1">
      <c r="A41" s="82"/>
      <c r="E41" s="42"/>
      <c r="F41" s="42"/>
      <c r="G41" s="42"/>
      <c r="H41" s="42"/>
      <c r="I41" s="42"/>
      <c r="J41" s="42"/>
      <c r="K41" s="42"/>
      <c r="L41" s="42"/>
      <c r="M41" s="42"/>
      <c r="N41" s="42"/>
      <c r="O41" s="42"/>
      <c r="P41" s="42"/>
      <c r="Q41" s="42"/>
      <c r="R41" s="42"/>
      <c r="S41" s="42"/>
      <c r="T41" s="42"/>
      <c r="U41" s="42"/>
      <c r="V41" s="42"/>
      <c r="W41" s="42"/>
      <c r="X41" s="42"/>
      <c r="Y41" s="42"/>
      <c r="Z41" s="42"/>
    </row>
    <row r="42" ht="15.75" customHeight="1">
      <c r="A42" s="82"/>
      <c r="E42" s="42"/>
      <c r="F42" s="42"/>
      <c r="G42" s="42"/>
      <c r="H42" s="42"/>
      <c r="I42" s="42"/>
      <c r="J42" s="42"/>
      <c r="K42" s="42"/>
      <c r="L42" s="42"/>
      <c r="M42" s="42"/>
      <c r="N42" s="42"/>
      <c r="O42" s="42"/>
      <c r="P42" s="42"/>
      <c r="Q42" s="42"/>
      <c r="R42" s="42"/>
      <c r="S42" s="42"/>
      <c r="T42" s="42"/>
      <c r="U42" s="42"/>
      <c r="V42" s="42"/>
      <c r="W42" s="42"/>
      <c r="X42" s="42"/>
      <c r="Y42" s="42"/>
      <c r="Z42" s="42"/>
    </row>
    <row r="43" ht="15.75" customHeight="1">
      <c r="A43" s="82"/>
      <c r="E43" s="42"/>
      <c r="F43" s="42"/>
      <c r="G43" s="42"/>
      <c r="H43" s="42"/>
      <c r="I43" s="42"/>
      <c r="J43" s="42"/>
      <c r="K43" s="42"/>
      <c r="L43" s="42"/>
      <c r="M43" s="42"/>
      <c r="N43" s="42"/>
      <c r="O43" s="42"/>
      <c r="P43" s="42"/>
      <c r="Q43" s="42"/>
      <c r="R43" s="42"/>
      <c r="S43" s="42"/>
      <c r="T43" s="42"/>
      <c r="U43" s="42"/>
      <c r="V43" s="42"/>
      <c r="W43" s="42"/>
      <c r="X43" s="42"/>
      <c r="Y43" s="42"/>
      <c r="Z43" s="42"/>
    </row>
    <row r="44" ht="15.75" customHeight="1">
      <c r="A44" s="82"/>
      <c r="E44" s="42"/>
      <c r="F44" s="42"/>
      <c r="G44" s="42"/>
      <c r="H44" s="42"/>
      <c r="I44" s="42"/>
      <c r="J44" s="42"/>
      <c r="K44" s="42"/>
      <c r="L44" s="42"/>
      <c r="M44" s="42"/>
      <c r="N44" s="42"/>
      <c r="O44" s="42"/>
      <c r="P44" s="42"/>
      <c r="Q44" s="42"/>
      <c r="R44" s="42"/>
      <c r="S44" s="42"/>
      <c r="T44" s="42"/>
      <c r="U44" s="42"/>
      <c r="V44" s="42"/>
      <c r="W44" s="42"/>
      <c r="X44" s="42"/>
      <c r="Y44" s="42"/>
      <c r="Z44" s="42"/>
    </row>
    <row r="45" ht="15.75" customHeight="1">
      <c r="A45" s="82"/>
      <c r="E45" s="42"/>
      <c r="F45" s="42"/>
      <c r="G45" s="42"/>
      <c r="H45" s="42"/>
      <c r="I45" s="42"/>
      <c r="J45" s="42"/>
      <c r="K45" s="42"/>
      <c r="L45" s="42"/>
      <c r="M45" s="42"/>
      <c r="N45" s="42"/>
      <c r="O45" s="42"/>
      <c r="P45" s="42"/>
      <c r="Q45" s="42"/>
      <c r="R45" s="42"/>
      <c r="S45" s="42"/>
      <c r="T45" s="42"/>
      <c r="U45" s="42"/>
      <c r="V45" s="42"/>
      <c r="W45" s="42"/>
      <c r="X45" s="42"/>
      <c r="Y45" s="42"/>
      <c r="Z45" s="42"/>
    </row>
    <row r="46" ht="15.75" customHeight="1">
      <c r="A46" s="82"/>
      <c r="E46" s="42"/>
      <c r="F46" s="42"/>
      <c r="G46" s="42"/>
      <c r="H46" s="42"/>
      <c r="I46" s="42"/>
      <c r="J46" s="42"/>
      <c r="K46" s="42"/>
      <c r="L46" s="42"/>
      <c r="M46" s="42"/>
      <c r="N46" s="42"/>
      <c r="O46" s="42"/>
      <c r="P46" s="42"/>
      <c r="Q46" s="42"/>
      <c r="R46" s="42"/>
      <c r="S46" s="42"/>
      <c r="T46" s="42"/>
      <c r="U46" s="42"/>
      <c r="V46" s="42"/>
      <c r="W46" s="42"/>
      <c r="X46" s="42"/>
      <c r="Y46" s="42"/>
      <c r="Z46" s="42"/>
    </row>
    <row r="47" ht="15.75" customHeight="1">
      <c r="A47" s="82"/>
      <c r="E47" s="42"/>
      <c r="F47" s="42"/>
      <c r="G47" s="42"/>
      <c r="H47" s="42"/>
      <c r="I47" s="42"/>
      <c r="J47" s="42"/>
      <c r="K47" s="42"/>
      <c r="L47" s="42"/>
      <c r="M47" s="42"/>
      <c r="N47" s="42"/>
      <c r="O47" s="42"/>
      <c r="P47" s="42"/>
      <c r="Q47" s="42"/>
      <c r="R47" s="42"/>
      <c r="S47" s="42"/>
      <c r="T47" s="42"/>
      <c r="U47" s="42"/>
      <c r="V47" s="42"/>
      <c r="W47" s="42"/>
      <c r="X47" s="42"/>
      <c r="Y47" s="42"/>
      <c r="Z47" s="42"/>
    </row>
    <row r="48" ht="15.75" customHeight="1">
      <c r="A48" s="82"/>
      <c r="E48" s="42"/>
      <c r="F48" s="42"/>
      <c r="G48" s="42"/>
      <c r="H48" s="42"/>
      <c r="I48" s="42"/>
      <c r="J48" s="42"/>
      <c r="K48" s="42"/>
      <c r="L48" s="42"/>
      <c r="M48" s="42"/>
      <c r="N48" s="42"/>
      <c r="O48" s="42"/>
      <c r="P48" s="42"/>
      <c r="Q48" s="42"/>
      <c r="R48" s="42"/>
      <c r="S48" s="42"/>
      <c r="T48" s="42"/>
      <c r="U48" s="42"/>
      <c r="V48" s="42"/>
      <c r="W48" s="42"/>
      <c r="X48" s="42"/>
      <c r="Y48" s="42"/>
      <c r="Z48" s="42"/>
    </row>
    <row r="49" ht="15.75" customHeight="1">
      <c r="A49" s="82"/>
      <c r="E49" s="42"/>
      <c r="F49" s="42"/>
      <c r="G49" s="42"/>
      <c r="H49" s="42"/>
      <c r="I49" s="42"/>
      <c r="J49" s="42"/>
      <c r="K49" s="42"/>
      <c r="L49" s="42"/>
      <c r="M49" s="42"/>
      <c r="N49" s="42"/>
      <c r="O49" s="42"/>
      <c r="P49" s="42"/>
      <c r="Q49" s="42"/>
      <c r="R49" s="42"/>
      <c r="S49" s="42"/>
      <c r="T49" s="42"/>
      <c r="U49" s="42"/>
      <c r="V49" s="42"/>
      <c r="W49" s="42"/>
      <c r="X49" s="42"/>
      <c r="Y49" s="42"/>
      <c r="Z49" s="42"/>
    </row>
    <row r="50" ht="15.75" customHeight="1">
      <c r="A50" s="82"/>
      <c r="E50" s="42"/>
      <c r="F50" s="42"/>
      <c r="G50" s="42"/>
      <c r="H50" s="42"/>
      <c r="I50" s="42"/>
      <c r="J50" s="42"/>
      <c r="K50" s="42"/>
      <c r="L50" s="42"/>
      <c r="M50" s="42"/>
      <c r="N50" s="42"/>
      <c r="O50" s="42"/>
      <c r="P50" s="42"/>
      <c r="Q50" s="42"/>
      <c r="R50" s="42"/>
      <c r="S50" s="42"/>
      <c r="T50" s="42"/>
      <c r="U50" s="42"/>
      <c r="V50" s="42"/>
      <c r="W50" s="42"/>
      <c r="X50" s="42"/>
      <c r="Y50" s="42"/>
      <c r="Z50" s="42"/>
    </row>
    <row r="51" ht="15.75" customHeight="1">
      <c r="A51" s="82"/>
      <c r="E51" s="42"/>
      <c r="F51" s="42"/>
      <c r="G51" s="42"/>
      <c r="H51" s="42"/>
      <c r="I51" s="42"/>
      <c r="J51" s="42"/>
      <c r="K51" s="42"/>
      <c r="L51" s="42"/>
      <c r="M51" s="42"/>
      <c r="N51" s="42"/>
      <c r="O51" s="42"/>
      <c r="P51" s="42"/>
      <c r="Q51" s="42"/>
      <c r="R51" s="42"/>
      <c r="S51" s="42"/>
      <c r="T51" s="42"/>
      <c r="U51" s="42"/>
      <c r="V51" s="42"/>
      <c r="W51" s="42"/>
      <c r="X51" s="42"/>
      <c r="Y51" s="42"/>
      <c r="Z51" s="42"/>
    </row>
    <row r="52" ht="15.75" customHeight="1">
      <c r="A52" s="82"/>
      <c r="E52" s="42"/>
      <c r="F52" s="42"/>
      <c r="G52" s="42"/>
      <c r="H52" s="42"/>
      <c r="I52" s="42"/>
      <c r="J52" s="42"/>
      <c r="K52" s="42"/>
      <c r="L52" s="42"/>
      <c r="M52" s="42"/>
      <c r="N52" s="42"/>
      <c r="O52" s="42"/>
      <c r="P52" s="42"/>
      <c r="Q52" s="42"/>
      <c r="R52" s="42"/>
      <c r="S52" s="42"/>
      <c r="T52" s="42"/>
      <c r="U52" s="42"/>
      <c r="V52" s="42"/>
      <c r="W52" s="42"/>
      <c r="X52" s="42"/>
      <c r="Y52" s="42"/>
      <c r="Z52" s="42"/>
    </row>
    <row r="53" ht="15.75" customHeight="1">
      <c r="A53" s="82"/>
      <c r="E53" s="42"/>
      <c r="F53" s="42"/>
      <c r="G53" s="42"/>
      <c r="H53" s="42"/>
      <c r="I53" s="42"/>
      <c r="J53" s="42"/>
      <c r="K53" s="42"/>
      <c r="L53" s="42"/>
      <c r="M53" s="42"/>
      <c r="N53" s="42"/>
      <c r="O53" s="42"/>
      <c r="P53" s="42"/>
      <c r="Q53" s="42"/>
      <c r="R53" s="42"/>
      <c r="S53" s="42"/>
      <c r="T53" s="42"/>
      <c r="U53" s="42"/>
      <c r="V53" s="42"/>
      <c r="W53" s="42"/>
      <c r="X53" s="42"/>
      <c r="Y53" s="42"/>
      <c r="Z53" s="42"/>
    </row>
    <row r="54" ht="15.75" customHeight="1">
      <c r="A54" s="82"/>
      <c r="E54" s="42"/>
      <c r="F54" s="42"/>
      <c r="G54" s="42"/>
      <c r="H54" s="42"/>
      <c r="I54" s="42"/>
      <c r="J54" s="42"/>
      <c r="K54" s="42"/>
      <c r="L54" s="42"/>
      <c r="M54" s="42"/>
      <c r="N54" s="42"/>
      <c r="O54" s="42"/>
      <c r="P54" s="42"/>
      <c r="Q54" s="42"/>
      <c r="R54" s="42"/>
      <c r="S54" s="42"/>
      <c r="T54" s="42"/>
      <c r="U54" s="42"/>
      <c r="V54" s="42"/>
      <c r="W54" s="42"/>
      <c r="X54" s="42"/>
      <c r="Y54" s="42"/>
      <c r="Z54" s="42"/>
    </row>
    <row r="55" ht="15.75" customHeight="1">
      <c r="A55" s="82"/>
      <c r="E55" s="42"/>
      <c r="F55" s="42"/>
      <c r="G55" s="42"/>
      <c r="H55" s="42"/>
      <c r="I55" s="42"/>
      <c r="J55" s="42"/>
      <c r="K55" s="42"/>
      <c r="L55" s="42"/>
      <c r="M55" s="42"/>
      <c r="N55" s="42"/>
      <c r="O55" s="42"/>
      <c r="P55" s="42"/>
      <c r="Q55" s="42"/>
      <c r="R55" s="42"/>
      <c r="S55" s="42"/>
      <c r="T55" s="42"/>
      <c r="U55" s="42"/>
      <c r="V55" s="42"/>
      <c r="W55" s="42"/>
      <c r="X55" s="42"/>
      <c r="Y55" s="42"/>
      <c r="Z55" s="42"/>
    </row>
    <row r="56" ht="15.75" customHeight="1">
      <c r="A56" s="82"/>
      <c r="E56" s="42"/>
      <c r="F56" s="42"/>
      <c r="G56" s="42"/>
      <c r="H56" s="42"/>
      <c r="I56" s="42"/>
      <c r="J56" s="42"/>
      <c r="K56" s="42"/>
      <c r="L56" s="42"/>
      <c r="M56" s="42"/>
      <c r="N56" s="42"/>
      <c r="O56" s="42"/>
      <c r="P56" s="42"/>
      <c r="Q56" s="42"/>
      <c r="R56" s="42"/>
      <c r="S56" s="42"/>
      <c r="T56" s="42"/>
      <c r="U56" s="42"/>
      <c r="V56" s="42"/>
      <c r="W56" s="42"/>
      <c r="X56" s="42"/>
      <c r="Y56" s="42"/>
      <c r="Z56" s="42"/>
    </row>
    <row r="57" ht="15.75" customHeight="1">
      <c r="A57" s="82"/>
      <c r="E57" s="42"/>
      <c r="F57" s="42"/>
      <c r="G57" s="42"/>
      <c r="H57" s="42"/>
      <c r="I57" s="42"/>
      <c r="J57" s="42"/>
      <c r="K57" s="42"/>
      <c r="L57" s="42"/>
      <c r="M57" s="42"/>
      <c r="N57" s="42"/>
      <c r="O57" s="42"/>
      <c r="P57" s="42"/>
      <c r="Q57" s="42"/>
      <c r="R57" s="42"/>
      <c r="S57" s="42"/>
      <c r="T57" s="42"/>
      <c r="U57" s="42"/>
      <c r="V57" s="42"/>
      <c r="W57" s="42"/>
      <c r="X57" s="42"/>
      <c r="Y57" s="42"/>
      <c r="Z57" s="42"/>
    </row>
    <row r="58" ht="15.75" customHeight="1">
      <c r="A58" s="82"/>
      <c r="E58" s="42"/>
      <c r="F58" s="42"/>
      <c r="G58" s="42"/>
      <c r="H58" s="42"/>
      <c r="I58" s="42"/>
      <c r="J58" s="42"/>
      <c r="K58" s="42"/>
      <c r="L58" s="42"/>
      <c r="M58" s="42"/>
      <c r="N58" s="42"/>
      <c r="O58" s="42"/>
      <c r="P58" s="42"/>
      <c r="Q58" s="42"/>
      <c r="R58" s="42"/>
      <c r="S58" s="42"/>
      <c r="T58" s="42"/>
      <c r="U58" s="42"/>
      <c r="V58" s="42"/>
      <c r="W58" s="42"/>
      <c r="X58" s="42"/>
      <c r="Y58" s="42"/>
      <c r="Z58" s="42"/>
    </row>
    <row r="59" ht="15.75" customHeight="1">
      <c r="A59" s="82"/>
      <c r="E59" s="42"/>
      <c r="F59" s="42"/>
      <c r="G59" s="42"/>
      <c r="H59" s="42"/>
      <c r="I59" s="42"/>
      <c r="J59" s="42"/>
      <c r="K59" s="42"/>
      <c r="L59" s="42"/>
      <c r="M59" s="42"/>
      <c r="N59" s="42"/>
      <c r="O59" s="42"/>
      <c r="P59" s="42"/>
      <c r="Q59" s="42"/>
      <c r="R59" s="42"/>
      <c r="S59" s="42"/>
      <c r="T59" s="42"/>
      <c r="U59" s="42"/>
      <c r="V59" s="42"/>
      <c r="W59" s="42"/>
      <c r="X59" s="42"/>
      <c r="Y59" s="42"/>
      <c r="Z59" s="42"/>
    </row>
    <row r="60" ht="15.75" customHeight="1">
      <c r="A60" s="82"/>
      <c r="E60" s="42"/>
      <c r="F60" s="42"/>
      <c r="G60" s="42"/>
      <c r="H60" s="42"/>
      <c r="I60" s="42"/>
      <c r="J60" s="42"/>
      <c r="K60" s="42"/>
      <c r="L60" s="42"/>
      <c r="M60" s="42"/>
      <c r="N60" s="42"/>
      <c r="O60" s="42"/>
      <c r="P60" s="42"/>
      <c r="Q60" s="42"/>
      <c r="R60" s="42"/>
      <c r="S60" s="42"/>
      <c r="T60" s="42"/>
      <c r="U60" s="42"/>
      <c r="V60" s="42"/>
      <c r="W60" s="42"/>
      <c r="X60" s="42"/>
      <c r="Y60" s="42"/>
      <c r="Z60" s="42"/>
    </row>
    <row r="61" ht="15.75" customHeight="1">
      <c r="A61" s="82"/>
      <c r="E61" s="42"/>
      <c r="F61" s="42"/>
      <c r="G61" s="42"/>
      <c r="H61" s="42"/>
      <c r="I61" s="42"/>
      <c r="J61" s="42"/>
      <c r="K61" s="42"/>
      <c r="L61" s="42"/>
      <c r="M61" s="42"/>
      <c r="N61" s="42"/>
      <c r="O61" s="42"/>
      <c r="P61" s="42"/>
      <c r="Q61" s="42"/>
      <c r="R61" s="42"/>
      <c r="S61" s="42"/>
      <c r="T61" s="42"/>
      <c r="U61" s="42"/>
      <c r="V61" s="42"/>
      <c r="W61" s="42"/>
      <c r="X61" s="42"/>
      <c r="Y61" s="42"/>
      <c r="Z61" s="42"/>
    </row>
    <row r="62" ht="15.75" customHeight="1">
      <c r="A62" s="82"/>
      <c r="E62" s="42"/>
      <c r="F62" s="42"/>
      <c r="G62" s="42"/>
      <c r="H62" s="42"/>
      <c r="I62" s="42"/>
      <c r="J62" s="42"/>
      <c r="K62" s="42"/>
      <c r="L62" s="42"/>
      <c r="M62" s="42"/>
      <c r="N62" s="42"/>
      <c r="O62" s="42"/>
      <c r="P62" s="42"/>
      <c r="Q62" s="42"/>
      <c r="R62" s="42"/>
      <c r="S62" s="42"/>
      <c r="T62" s="42"/>
      <c r="U62" s="42"/>
      <c r="V62" s="42"/>
      <c r="W62" s="42"/>
      <c r="X62" s="42"/>
      <c r="Y62" s="42"/>
      <c r="Z62" s="42"/>
    </row>
    <row r="63" ht="15.75" customHeight="1">
      <c r="A63" s="82"/>
      <c r="E63" s="42"/>
      <c r="F63" s="42"/>
      <c r="G63" s="42"/>
      <c r="H63" s="42"/>
      <c r="I63" s="42"/>
      <c r="J63" s="42"/>
      <c r="K63" s="42"/>
      <c r="L63" s="42"/>
      <c r="M63" s="42"/>
      <c r="N63" s="42"/>
      <c r="O63" s="42"/>
      <c r="P63" s="42"/>
      <c r="Q63" s="42"/>
      <c r="R63" s="42"/>
      <c r="S63" s="42"/>
      <c r="T63" s="42"/>
      <c r="U63" s="42"/>
      <c r="V63" s="42"/>
      <c r="W63" s="42"/>
      <c r="X63" s="42"/>
      <c r="Y63" s="42"/>
      <c r="Z63" s="42"/>
    </row>
    <row r="64" ht="15.75" customHeight="1">
      <c r="A64" s="82"/>
      <c r="E64" s="42"/>
      <c r="F64" s="42"/>
      <c r="G64" s="42"/>
      <c r="H64" s="42"/>
      <c r="I64" s="42"/>
      <c r="J64" s="42"/>
      <c r="K64" s="42"/>
      <c r="L64" s="42"/>
      <c r="M64" s="42"/>
      <c r="N64" s="42"/>
      <c r="O64" s="42"/>
      <c r="P64" s="42"/>
      <c r="Q64" s="42"/>
      <c r="R64" s="42"/>
      <c r="S64" s="42"/>
      <c r="T64" s="42"/>
      <c r="U64" s="42"/>
      <c r="V64" s="42"/>
      <c r="W64" s="42"/>
      <c r="X64" s="42"/>
      <c r="Y64" s="42"/>
      <c r="Z64" s="42"/>
    </row>
    <row r="65" ht="15.75" customHeight="1">
      <c r="A65" s="82"/>
      <c r="E65" s="42"/>
      <c r="F65" s="42"/>
      <c r="G65" s="42"/>
      <c r="H65" s="42"/>
      <c r="I65" s="42"/>
      <c r="J65" s="42"/>
      <c r="K65" s="42"/>
      <c r="L65" s="42"/>
      <c r="M65" s="42"/>
      <c r="N65" s="42"/>
      <c r="O65" s="42"/>
      <c r="P65" s="42"/>
      <c r="Q65" s="42"/>
      <c r="R65" s="42"/>
      <c r="S65" s="42"/>
      <c r="T65" s="42"/>
      <c r="U65" s="42"/>
      <c r="V65" s="42"/>
      <c r="W65" s="42"/>
      <c r="X65" s="42"/>
      <c r="Y65" s="42"/>
      <c r="Z65" s="42"/>
    </row>
    <row r="66" ht="15.75" customHeight="1">
      <c r="A66" s="82"/>
      <c r="E66" s="42"/>
      <c r="F66" s="42"/>
      <c r="G66" s="42"/>
      <c r="H66" s="42"/>
      <c r="I66" s="42"/>
      <c r="J66" s="42"/>
      <c r="K66" s="42"/>
      <c r="L66" s="42"/>
      <c r="M66" s="42"/>
      <c r="N66" s="42"/>
      <c r="O66" s="42"/>
      <c r="P66" s="42"/>
      <c r="Q66" s="42"/>
      <c r="R66" s="42"/>
      <c r="S66" s="42"/>
      <c r="T66" s="42"/>
      <c r="U66" s="42"/>
      <c r="V66" s="42"/>
      <c r="W66" s="42"/>
      <c r="X66" s="42"/>
      <c r="Y66" s="42"/>
      <c r="Z66" s="42"/>
    </row>
    <row r="67" ht="15.75" customHeight="1">
      <c r="A67" s="82"/>
      <c r="E67" s="42"/>
      <c r="F67" s="42"/>
      <c r="G67" s="42"/>
      <c r="H67" s="42"/>
      <c r="I67" s="42"/>
      <c r="J67" s="42"/>
      <c r="K67" s="42"/>
      <c r="L67" s="42"/>
      <c r="M67" s="42"/>
      <c r="N67" s="42"/>
      <c r="O67" s="42"/>
      <c r="P67" s="42"/>
      <c r="Q67" s="42"/>
      <c r="R67" s="42"/>
      <c r="S67" s="42"/>
      <c r="T67" s="42"/>
      <c r="U67" s="42"/>
      <c r="V67" s="42"/>
      <c r="W67" s="42"/>
      <c r="X67" s="42"/>
      <c r="Y67" s="42"/>
      <c r="Z67" s="42"/>
    </row>
    <row r="68" ht="15.75" customHeight="1">
      <c r="A68" s="82"/>
      <c r="E68" s="42"/>
      <c r="F68" s="42"/>
      <c r="G68" s="42"/>
      <c r="H68" s="42"/>
      <c r="I68" s="42"/>
      <c r="J68" s="42"/>
      <c r="K68" s="42"/>
      <c r="L68" s="42"/>
      <c r="M68" s="42"/>
      <c r="N68" s="42"/>
      <c r="O68" s="42"/>
      <c r="P68" s="42"/>
      <c r="Q68" s="42"/>
      <c r="R68" s="42"/>
      <c r="S68" s="42"/>
      <c r="T68" s="42"/>
      <c r="U68" s="42"/>
      <c r="V68" s="42"/>
      <c r="W68" s="42"/>
      <c r="X68" s="42"/>
      <c r="Y68" s="42"/>
      <c r="Z68" s="42"/>
    </row>
    <row r="69" ht="15.75" customHeight="1">
      <c r="A69" s="82"/>
      <c r="E69" s="42"/>
      <c r="F69" s="42"/>
      <c r="G69" s="42"/>
      <c r="H69" s="42"/>
      <c r="I69" s="42"/>
      <c r="J69" s="42"/>
      <c r="K69" s="42"/>
      <c r="L69" s="42"/>
      <c r="M69" s="42"/>
      <c r="N69" s="42"/>
      <c r="O69" s="42"/>
      <c r="P69" s="42"/>
      <c r="Q69" s="42"/>
      <c r="R69" s="42"/>
      <c r="S69" s="42"/>
      <c r="T69" s="42"/>
      <c r="U69" s="42"/>
      <c r="V69" s="42"/>
      <c r="W69" s="42"/>
      <c r="X69" s="42"/>
      <c r="Y69" s="42"/>
      <c r="Z69" s="42"/>
    </row>
    <row r="70" ht="15.75" customHeight="1">
      <c r="A70" s="82"/>
      <c r="E70" s="42"/>
      <c r="F70" s="42"/>
      <c r="G70" s="42"/>
      <c r="H70" s="42"/>
      <c r="I70" s="42"/>
      <c r="J70" s="42"/>
      <c r="K70" s="42"/>
      <c r="L70" s="42"/>
      <c r="M70" s="42"/>
      <c r="N70" s="42"/>
      <c r="O70" s="42"/>
      <c r="P70" s="42"/>
      <c r="Q70" s="42"/>
      <c r="R70" s="42"/>
      <c r="S70" s="42"/>
      <c r="T70" s="42"/>
      <c r="U70" s="42"/>
      <c r="V70" s="42"/>
      <c r="W70" s="42"/>
      <c r="X70" s="42"/>
      <c r="Y70" s="42"/>
      <c r="Z70" s="42"/>
    </row>
    <row r="71" ht="15.75" customHeight="1">
      <c r="A71" s="82"/>
      <c r="E71" s="42"/>
      <c r="F71" s="42"/>
      <c r="G71" s="42"/>
      <c r="H71" s="42"/>
      <c r="I71" s="42"/>
      <c r="J71" s="42"/>
      <c r="K71" s="42"/>
      <c r="L71" s="42"/>
      <c r="M71" s="42"/>
      <c r="N71" s="42"/>
      <c r="O71" s="42"/>
      <c r="P71" s="42"/>
      <c r="Q71" s="42"/>
      <c r="R71" s="42"/>
      <c r="S71" s="42"/>
      <c r="T71" s="42"/>
      <c r="U71" s="42"/>
      <c r="V71" s="42"/>
      <c r="W71" s="42"/>
      <c r="X71" s="42"/>
      <c r="Y71" s="42"/>
      <c r="Z71" s="42"/>
    </row>
    <row r="72" ht="15.75" customHeight="1">
      <c r="A72" s="82"/>
      <c r="E72" s="42"/>
      <c r="F72" s="42"/>
      <c r="G72" s="42"/>
      <c r="H72" s="42"/>
      <c r="I72" s="42"/>
      <c r="J72" s="42"/>
      <c r="K72" s="42"/>
      <c r="L72" s="42"/>
      <c r="M72" s="42"/>
      <c r="N72" s="42"/>
      <c r="O72" s="42"/>
      <c r="P72" s="42"/>
      <c r="Q72" s="42"/>
      <c r="R72" s="42"/>
      <c r="S72" s="42"/>
      <c r="T72" s="42"/>
      <c r="U72" s="42"/>
      <c r="V72" s="42"/>
      <c r="W72" s="42"/>
      <c r="X72" s="42"/>
      <c r="Y72" s="42"/>
      <c r="Z72" s="42"/>
    </row>
    <row r="73" ht="15.75" customHeight="1">
      <c r="A73" s="82"/>
    </row>
    <row r="74" ht="15.75" customHeight="1">
      <c r="A74" s="82"/>
    </row>
    <row r="75" ht="15.75" customHeight="1">
      <c r="A75" s="82"/>
    </row>
    <row r="76" ht="15.75" customHeight="1">
      <c r="A76" s="82"/>
    </row>
    <row r="77" ht="15.75" customHeight="1">
      <c r="A77" s="82"/>
    </row>
    <row r="78" ht="15.75" customHeight="1">
      <c r="A78" s="82"/>
    </row>
    <row r="79" ht="15.75" customHeight="1">
      <c r="A79" s="82"/>
    </row>
    <row r="80" ht="15.75" customHeight="1">
      <c r="A80" s="82"/>
    </row>
    <row r="81" ht="15.75" customHeight="1">
      <c r="A81" s="82"/>
    </row>
    <row r="82" ht="15.75" customHeight="1">
      <c r="A82" s="82"/>
    </row>
    <row r="83" ht="15.75" customHeight="1">
      <c r="A83" s="82"/>
    </row>
    <row r="84" ht="15.75" customHeight="1">
      <c r="A84" s="82"/>
    </row>
    <row r="85" ht="15.75" customHeight="1">
      <c r="A85" s="82"/>
    </row>
    <row r="86" ht="15.75" customHeight="1">
      <c r="A86" s="82"/>
    </row>
    <row r="87" ht="15.75" customHeight="1">
      <c r="A87" s="82"/>
    </row>
    <row r="88" ht="15.75" customHeight="1">
      <c r="A88" s="82"/>
    </row>
    <row r="89" ht="15.75" customHeight="1">
      <c r="A89" s="82"/>
    </row>
    <row r="90" ht="15.75" customHeight="1">
      <c r="A90" s="82"/>
    </row>
    <row r="91" ht="15.75" customHeight="1">
      <c r="A91" s="82"/>
    </row>
    <row r="92" ht="15.75" customHeight="1">
      <c r="A92" s="82"/>
    </row>
    <row r="93" ht="15.75" customHeight="1">
      <c r="A93" s="82"/>
    </row>
    <row r="94" ht="15.75" customHeight="1">
      <c r="A94" s="82"/>
    </row>
    <row r="95" ht="15.75" customHeight="1">
      <c r="A95" s="82"/>
    </row>
    <row r="96" ht="15.75" customHeight="1">
      <c r="A96" s="82"/>
    </row>
    <row r="97" ht="15.75" customHeight="1">
      <c r="A97" s="82"/>
    </row>
    <row r="98" ht="15.75" customHeight="1">
      <c r="A98" s="82"/>
    </row>
    <row r="99" ht="15.75" customHeight="1">
      <c r="A99" s="82"/>
    </row>
    <row r="100" ht="15.75" customHeight="1">
      <c r="A100" s="82"/>
    </row>
    <row r="101" ht="15.75" customHeight="1">
      <c r="A101" s="82"/>
    </row>
    <row r="102" ht="15.75" customHeight="1">
      <c r="A102" s="82"/>
    </row>
    <row r="103" ht="15.75" customHeight="1">
      <c r="A103" s="82"/>
    </row>
    <row r="104" ht="15.75" customHeight="1">
      <c r="A104" s="82"/>
    </row>
    <row r="105" ht="15.75" customHeight="1">
      <c r="A105" s="82"/>
    </row>
    <row r="106" ht="15.75" customHeight="1">
      <c r="A106" s="82"/>
    </row>
    <row r="107" ht="15.75" customHeight="1">
      <c r="A107" s="82"/>
    </row>
    <row r="108" ht="15.75" customHeight="1">
      <c r="A108" s="82"/>
    </row>
    <row r="109" ht="15.75" customHeight="1">
      <c r="A109" s="82"/>
    </row>
    <row r="110" ht="15.75" customHeight="1">
      <c r="A110" s="82"/>
    </row>
    <row r="111" ht="15.75" customHeight="1">
      <c r="A111" s="82"/>
    </row>
    <row r="112" ht="15.75" customHeight="1">
      <c r="A112" s="82"/>
    </row>
    <row r="113" ht="15.75" customHeight="1">
      <c r="A113" s="82"/>
    </row>
    <row r="114" ht="15.75" customHeight="1">
      <c r="A114" s="82"/>
    </row>
    <row r="115" ht="15.75" customHeight="1">
      <c r="A115" s="82"/>
    </row>
    <row r="116" ht="15.75" customHeight="1">
      <c r="A116" s="82"/>
    </row>
    <row r="117" ht="15.75" customHeight="1">
      <c r="A117" s="82"/>
    </row>
    <row r="118" ht="15.75" customHeight="1">
      <c r="A118" s="82"/>
    </row>
    <row r="119" ht="15.75" customHeight="1">
      <c r="A119" s="82"/>
    </row>
    <row r="120" ht="15.75" customHeight="1">
      <c r="A120" s="82"/>
    </row>
    <row r="121" ht="15.75" customHeight="1">
      <c r="A121" s="82"/>
    </row>
    <row r="122" ht="15.75" customHeight="1">
      <c r="A122" s="82"/>
    </row>
    <row r="123" ht="15.75" customHeight="1">
      <c r="A123" s="82"/>
    </row>
    <row r="124" ht="15.75" customHeight="1">
      <c r="A124" s="82"/>
    </row>
    <row r="125" ht="15.75" customHeight="1">
      <c r="A125" s="82"/>
    </row>
    <row r="126" ht="15.75" customHeight="1">
      <c r="A126" s="82"/>
    </row>
    <row r="127" ht="15.75" customHeight="1">
      <c r="A127" s="82"/>
    </row>
    <row r="128" ht="15.75" customHeight="1">
      <c r="A128" s="82"/>
    </row>
    <row r="129" ht="15.75" customHeight="1">
      <c r="A129" s="82"/>
    </row>
    <row r="130" ht="15.75" customHeight="1">
      <c r="A130" s="82"/>
    </row>
    <row r="131" ht="15.75" customHeight="1">
      <c r="A131" s="82"/>
    </row>
    <row r="132" ht="15.75" customHeight="1">
      <c r="A132" s="82"/>
    </row>
    <row r="133" ht="15.75" customHeight="1">
      <c r="A133" s="82"/>
    </row>
    <row r="134" ht="15.75" customHeight="1">
      <c r="A134" s="82"/>
    </row>
    <row r="135" ht="15.75" customHeight="1">
      <c r="A135" s="82"/>
    </row>
    <row r="136" ht="15.75" customHeight="1">
      <c r="A136" s="82"/>
    </row>
    <row r="137" ht="15.75" customHeight="1">
      <c r="A137" s="82"/>
    </row>
    <row r="138" ht="15.75" customHeight="1">
      <c r="A138" s="82"/>
    </row>
    <row r="139" ht="15.75" customHeight="1">
      <c r="A139" s="82"/>
    </row>
    <row r="140" ht="15.75" customHeight="1">
      <c r="A140" s="82"/>
    </row>
    <row r="141" ht="15.75" customHeight="1">
      <c r="A141" s="82"/>
    </row>
    <row r="142" ht="15.75" customHeight="1">
      <c r="A142" s="82"/>
    </row>
    <row r="143" ht="15.75" customHeight="1">
      <c r="A143" s="82"/>
    </row>
    <row r="144" ht="15.75" customHeight="1">
      <c r="A144" s="82"/>
    </row>
    <row r="145" ht="15.75" customHeight="1">
      <c r="A145" s="82"/>
    </row>
    <row r="146" ht="15.75" customHeight="1">
      <c r="A146" s="82"/>
    </row>
    <row r="147" ht="15.75" customHeight="1">
      <c r="A147" s="82"/>
    </row>
    <row r="148" ht="15.75" customHeight="1">
      <c r="A148" s="82"/>
    </row>
    <row r="149" ht="15.75" customHeight="1">
      <c r="A149" s="82"/>
    </row>
    <row r="150" ht="15.75" customHeight="1">
      <c r="A150" s="82"/>
    </row>
    <row r="151" ht="15.75" customHeight="1">
      <c r="A151" s="82"/>
    </row>
    <row r="152" ht="15.75" customHeight="1">
      <c r="A152" s="82"/>
    </row>
    <row r="153" ht="15.75" customHeight="1">
      <c r="A153" s="82"/>
    </row>
    <row r="154" ht="15.75" customHeight="1">
      <c r="A154" s="82"/>
    </row>
    <row r="155" ht="15.75" customHeight="1">
      <c r="A155" s="82"/>
    </row>
    <row r="156" ht="15.75" customHeight="1">
      <c r="A156" s="82"/>
    </row>
    <row r="157" ht="15.75" customHeight="1">
      <c r="A157" s="82"/>
    </row>
    <row r="158" ht="15.75" customHeight="1">
      <c r="A158" s="82"/>
    </row>
    <row r="159" ht="15.75" customHeight="1">
      <c r="A159" s="82"/>
    </row>
    <row r="160" ht="15.75" customHeight="1">
      <c r="A160" s="82"/>
    </row>
    <row r="161" ht="15.75" customHeight="1">
      <c r="A161" s="82"/>
    </row>
    <row r="162" ht="15.75" customHeight="1">
      <c r="A162" s="82"/>
    </row>
    <row r="163" ht="15.75" customHeight="1">
      <c r="A163" s="82"/>
    </row>
    <row r="164" ht="15.75" customHeight="1">
      <c r="A164" s="82"/>
    </row>
    <row r="165" ht="15.75" customHeight="1">
      <c r="A165" s="82"/>
    </row>
    <row r="166" ht="15.75" customHeight="1">
      <c r="A166" s="82"/>
    </row>
    <row r="167" ht="15.75" customHeight="1">
      <c r="A167" s="82"/>
    </row>
    <row r="168" ht="15.75" customHeight="1">
      <c r="A168" s="82"/>
    </row>
    <row r="169" ht="15.75" customHeight="1">
      <c r="A169" s="82"/>
    </row>
    <row r="170" ht="15.75" customHeight="1">
      <c r="A170" s="82"/>
    </row>
    <row r="171" ht="15.75" customHeight="1">
      <c r="A171" s="82"/>
    </row>
    <row r="172" ht="15.75" customHeight="1">
      <c r="A172" s="82"/>
    </row>
    <row r="173" ht="15.75" customHeight="1">
      <c r="A173" s="82"/>
    </row>
    <row r="174" ht="15.75" customHeight="1">
      <c r="A174" s="82"/>
    </row>
    <row r="175" ht="15.75" customHeight="1">
      <c r="A175" s="82"/>
    </row>
    <row r="176" ht="15.75" customHeight="1">
      <c r="A176" s="82"/>
    </row>
    <row r="177" ht="15.75" customHeight="1">
      <c r="A177" s="82"/>
    </row>
    <row r="178" ht="15.75" customHeight="1">
      <c r="A178" s="82"/>
    </row>
    <row r="179" ht="15.75" customHeight="1">
      <c r="A179" s="82"/>
    </row>
    <row r="180" ht="15.75" customHeight="1">
      <c r="A180" s="82"/>
    </row>
    <row r="181" ht="15.75" customHeight="1">
      <c r="A181" s="82"/>
    </row>
    <row r="182" ht="15.75" customHeight="1">
      <c r="A182" s="82"/>
    </row>
    <row r="183" ht="15.75" customHeight="1">
      <c r="A183" s="82"/>
    </row>
    <row r="184" ht="15.75" customHeight="1">
      <c r="A184" s="82"/>
    </row>
    <row r="185" ht="15.75" customHeight="1">
      <c r="A185" s="82"/>
    </row>
    <row r="186" ht="15.75" customHeight="1">
      <c r="A186" s="82"/>
    </row>
    <row r="187" ht="15.75" customHeight="1">
      <c r="A187" s="82"/>
    </row>
    <row r="188" ht="15.75" customHeight="1">
      <c r="A188" s="82"/>
    </row>
    <row r="189" ht="15.75" customHeight="1">
      <c r="A189" s="82"/>
    </row>
    <row r="190" ht="15.75" customHeight="1">
      <c r="A190" s="82"/>
    </row>
    <row r="191" ht="15.75" customHeight="1">
      <c r="A191" s="82"/>
    </row>
    <row r="192" ht="15.75" customHeight="1">
      <c r="A192" s="82"/>
    </row>
    <row r="193" ht="15.75" customHeight="1">
      <c r="A193" s="82"/>
    </row>
    <row r="194" ht="15.75" customHeight="1">
      <c r="A194" s="82"/>
    </row>
    <row r="195" ht="15.75" customHeight="1">
      <c r="A195" s="82"/>
    </row>
    <row r="196" ht="15.75" customHeight="1">
      <c r="A196" s="82"/>
    </row>
    <row r="197" ht="15.75" customHeight="1">
      <c r="A197" s="82"/>
    </row>
    <row r="198" ht="15.75" customHeight="1">
      <c r="A198" s="82"/>
    </row>
    <row r="199" ht="15.75" customHeight="1">
      <c r="A199" s="82"/>
    </row>
    <row r="200" ht="15.75" customHeight="1">
      <c r="A200" s="82"/>
    </row>
    <row r="201" ht="15.75" customHeight="1">
      <c r="A201" s="82"/>
    </row>
    <row r="202" ht="15.75" customHeight="1">
      <c r="A202" s="82"/>
    </row>
    <row r="203" ht="15.75" customHeight="1">
      <c r="A203" s="82"/>
    </row>
    <row r="204" ht="15.75" customHeight="1">
      <c r="A204" s="82"/>
    </row>
    <row r="205" ht="15.75" customHeight="1">
      <c r="A205" s="82"/>
    </row>
    <row r="206" ht="15.75" customHeight="1">
      <c r="A206" s="82"/>
    </row>
    <row r="207" ht="15.75" customHeight="1">
      <c r="A207" s="82"/>
    </row>
    <row r="208" ht="15.75" customHeight="1">
      <c r="A208" s="82"/>
    </row>
    <row r="209" ht="15.75" customHeight="1">
      <c r="A209" s="82"/>
    </row>
    <row r="210" ht="15.75" customHeight="1">
      <c r="A210" s="82"/>
    </row>
    <row r="211" ht="15.75" customHeight="1">
      <c r="A211" s="82"/>
    </row>
    <row r="212" ht="15.75" customHeight="1">
      <c r="A212" s="82"/>
    </row>
    <row r="213" ht="15.75" customHeight="1">
      <c r="A213" s="82"/>
    </row>
    <row r="214" ht="15.75" customHeight="1">
      <c r="A214" s="82"/>
    </row>
    <row r="215" ht="15.75" customHeight="1">
      <c r="A215" s="82"/>
    </row>
    <row r="216" ht="15.75" customHeight="1">
      <c r="A216" s="82"/>
    </row>
    <row r="217" ht="15.75" customHeight="1">
      <c r="A217" s="82"/>
    </row>
    <row r="218" ht="15.75" customHeight="1">
      <c r="A218" s="82"/>
    </row>
    <row r="219" ht="15.75" customHeight="1">
      <c r="A219" s="82"/>
    </row>
    <row r="220" ht="15.75" customHeight="1">
      <c r="A220" s="82"/>
    </row>
    <row r="221" ht="15.75" customHeight="1">
      <c r="A221" s="82"/>
    </row>
    <row r="222" ht="15.75" customHeight="1">
      <c r="A222" s="82"/>
    </row>
    <row r="223" ht="15.75" customHeight="1">
      <c r="A223" s="82"/>
    </row>
    <row r="224" ht="15.75" customHeight="1">
      <c r="A224" s="82"/>
    </row>
    <row r="225" ht="15.75" customHeight="1">
      <c r="A225" s="82"/>
    </row>
    <row r="226" ht="15.75" customHeight="1">
      <c r="A226" s="82"/>
    </row>
    <row r="227" ht="15.75" customHeight="1">
      <c r="A227" s="82"/>
    </row>
    <row r="228" ht="15.75" customHeight="1">
      <c r="A228" s="82"/>
    </row>
    <row r="229" ht="15.75" customHeight="1">
      <c r="A229" s="82"/>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D1"/>
  </mergeCells>
  <dataValidations>
    <dataValidation type="decimal" allowBlank="1" showInputMessage="1" showErrorMessage="1" prompt="Notes - Beyond revival premiums till Year 5, if any" sqref="D11">
      <formula1>0.0</formula1>
      <formula2>C12-INT(Revival!C6/12)</formula2>
    </dataValidation>
    <dataValidation type="list" allowBlank="1" showErrorMessage="1" sqref="C4">
      <formula1>"M,F"</formula1>
    </dataValidation>
    <dataValidation type="list" allowBlank="1" showInputMessage="1" showErrorMessage="1" prompt="Annual-12 Half-Yearly-6 Quarterly-3 Monthly-1" sqref="C7">
      <formula1>"1,3,6,12"</formula1>
    </dataValidation>
    <dataValidation type="decimal" operator="equal" allowBlank="1" showInputMessage="1" showErrorMessage="1" prompt="Fund Allocation Incorrect - Sum should be 100%" sqref="C29">
      <formula1>1.0</formula1>
    </dataValidation>
  </dataValidations>
  <printOptions/>
  <pageMargins bottom="0.75" footer="0.0" header="0.0" left="0.7" right="0.7" top="0.75"/>
  <pageSetup paperSize="9" orientation="portrait"/>
  <colBreaks count="1" manualBreakCount="1">
    <brk id="9" man="1"/>
  </col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9.75"/>
    <col customWidth="1" min="2" max="3" width="12.38"/>
    <col customWidth="1" min="4" max="4" width="11.75"/>
    <col customWidth="1" min="5" max="5" width="13.25"/>
    <col customWidth="1" min="6" max="6" width="14.38"/>
    <col customWidth="1" min="7" max="9" width="8.63"/>
    <col customWidth="1" min="10" max="10" width="25.25"/>
    <col customWidth="1" min="11" max="11" width="8.63"/>
    <col customWidth="1" min="12" max="12" width="10.5"/>
    <col customWidth="1" min="13" max="13" width="10.13"/>
    <col customWidth="1" min="14" max="26" width="8.63"/>
  </cols>
  <sheetData>
    <row r="1" ht="13.5" customHeight="1">
      <c r="A1" s="108" t="s">
        <v>121</v>
      </c>
      <c r="J1" s="108" t="s">
        <v>122</v>
      </c>
    </row>
    <row r="2" ht="13.5" customHeight="1"/>
    <row r="3" ht="13.5" customHeight="1">
      <c r="A3" s="109" t="s">
        <v>63</v>
      </c>
      <c r="B3" s="48">
        <f>Revival!C8</f>
        <v>500000</v>
      </c>
    </row>
    <row r="4" ht="13.5" customHeight="1">
      <c r="A4" s="109" t="s">
        <v>64</v>
      </c>
      <c r="B4" s="48">
        <f>SV</f>
        <v>650000</v>
      </c>
      <c r="J4" s="110" t="s">
        <v>123</v>
      </c>
    </row>
    <row r="5" ht="13.5" customHeight="1">
      <c r="A5" s="109" t="s">
        <v>58</v>
      </c>
      <c r="B5" s="111">
        <f>'Returns and Effective charges'!E1</f>
        <v>0.08876877861</v>
      </c>
      <c r="J5" s="112" t="s">
        <v>112</v>
      </c>
      <c r="K5" s="112"/>
      <c r="L5" s="113">
        <f>'NAVs_Till 29 Jun 2021'!S3</f>
        <v>0.1349873906</v>
      </c>
    </row>
    <row r="6" ht="13.5" customHeight="1">
      <c r="A6" s="109" t="s">
        <v>65</v>
      </c>
      <c r="B6" s="111">
        <f>'Returns and Effective charges'!E2</f>
        <v>0.04563322139</v>
      </c>
      <c r="J6" s="112" t="s">
        <v>86</v>
      </c>
      <c r="K6" s="112"/>
      <c r="L6" s="113">
        <f>'NAVs_Till 29 Jun 2021'!S4</f>
        <v>0.06461439922</v>
      </c>
    </row>
    <row r="7" ht="13.5" customHeight="1">
      <c r="J7" s="112" t="s">
        <v>115</v>
      </c>
      <c r="K7" s="112"/>
      <c r="L7" s="113">
        <f>'NAVs_Till 29 Jun 2021'!S5</f>
        <v>0.1535849342</v>
      </c>
    </row>
    <row r="8" ht="24.75" customHeight="1">
      <c r="A8" s="63" t="s">
        <v>50</v>
      </c>
      <c r="B8" s="114" t="s">
        <v>51</v>
      </c>
      <c r="C8" s="114" t="s">
        <v>52</v>
      </c>
      <c r="D8" s="114" t="s">
        <v>53</v>
      </c>
      <c r="E8" s="114" t="s">
        <v>54</v>
      </c>
      <c r="F8" s="114" t="s">
        <v>55</v>
      </c>
      <c r="G8" s="115" t="s">
        <v>124</v>
      </c>
      <c r="J8" s="112" t="s">
        <v>116</v>
      </c>
      <c r="K8" s="112"/>
      <c r="L8" s="113">
        <f>'NAVs_Till 29 Jun 2021'!S6</f>
        <v>0.06327852046</v>
      </c>
    </row>
    <row r="9" ht="13.5" customHeight="1">
      <c r="A9" s="116">
        <f>INT('Pre-Calculation'!D12/12)+1</f>
        <v>6</v>
      </c>
      <c r="B9" s="48">
        <f>VLOOKUP($A9*12,'Cashflows_8%'!$A$7:$S$246,17,0)</f>
        <v>600000</v>
      </c>
      <c r="C9" s="48">
        <f>VLOOKUP($A9*12,'Cashflows_8%'!$A$7:$S$246,19,0)</f>
        <v>672750</v>
      </c>
      <c r="D9" s="48">
        <f>VLOOKUP($A9*12,'Cashflows_8%'!$A$7:$N$246,14,0)</f>
        <v>784529.8988</v>
      </c>
      <c r="E9" s="48">
        <f>VLOOKUP($A9*12,'Cashflows_4%'!$A$7:$N$246,14,0)</f>
        <v>755233.8271</v>
      </c>
      <c r="F9" s="48">
        <f>VLOOKUP($A9*12,Cashflows_HIST!$A$7:$N$246,14,0)</f>
        <v>841362.8727</v>
      </c>
      <c r="G9" s="48">
        <f>VLOOKUP($A9*12,'Cashflows_Bond Fund'!$A$7:$N$246,14,0)</f>
        <v>778368.4464</v>
      </c>
      <c r="J9" s="112" t="s">
        <v>125</v>
      </c>
      <c r="K9" s="112"/>
      <c r="L9" s="113">
        <f>'NAVs_Till 29 Jun 2021'!S7</f>
        <v>0.134571068</v>
      </c>
    </row>
    <row r="10" ht="13.5" customHeight="1">
      <c r="A10" s="116">
        <f t="shared" ref="A10:A13" si="1">A9+1</f>
        <v>7</v>
      </c>
      <c r="B10" s="48">
        <f>VLOOKUP($A10*12,'Cashflows_8%'!$A$7:$S$246,17,0)</f>
        <v>700000</v>
      </c>
      <c r="C10" s="48">
        <f>VLOOKUP($A10*12,'Cashflows_8%'!$A$7:$S$246,19,0)</f>
        <v>696296.25</v>
      </c>
      <c r="D10" s="48">
        <f>VLOOKUP($A10*12,'Cashflows_8%'!$A$7:$N$246,14,0)</f>
        <v>927811.6412</v>
      </c>
      <c r="E10" s="48">
        <f>VLOOKUP($A10*12,'Cashflows_4%'!$A$7:$N$246,14,0)</f>
        <v>863149.8983</v>
      </c>
      <c r="F10" s="48">
        <f>VLOOKUP($A10*12,Cashflows_HIST!$A$7:$N$246,14,0)</f>
        <v>1059815.612</v>
      </c>
      <c r="G10" s="48">
        <f>VLOOKUP($A10*12,'Cashflows_Bond Fund'!$A$7:$N$246,14,0)</f>
        <v>914020.2515</v>
      </c>
    </row>
    <row r="11" ht="13.5" customHeight="1">
      <c r="A11" s="116">
        <f t="shared" si="1"/>
        <v>8</v>
      </c>
      <c r="B11" s="48">
        <f>VLOOKUP($A11*12,'Cashflows_8%'!$A$7:$S$246,17,0)</f>
        <v>800000</v>
      </c>
      <c r="C11" s="48">
        <f>VLOOKUP($A11*12,'Cashflows_8%'!$A$7:$S$246,19,0)</f>
        <v>720666.6188</v>
      </c>
      <c r="D11" s="48">
        <f>VLOOKUP($A11*12,'Cashflows_8%'!$A$7:$N$246,14,0)</f>
        <v>1080342.021</v>
      </c>
      <c r="E11" s="48">
        <f>VLOOKUP($A11*12,'Cashflows_4%'!$A$7:$N$246,14,0)</f>
        <v>973857.1706</v>
      </c>
      <c r="F11" s="48">
        <f>VLOOKUP($A11*12,Cashflows_HIST!$A$7:$N$246,14,0)</f>
        <v>1308743.548</v>
      </c>
      <c r="G11" s="48">
        <f>VLOOKUP($A11*12,'Cashflows_Bond Fund'!$A$7:$N$246,14,0)</f>
        <v>1057339.135</v>
      </c>
    </row>
    <row r="12" ht="13.5" customHeight="1">
      <c r="A12" s="116">
        <f t="shared" si="1"/>
        <v>9</v>
      </c>
      <c r="B12" s="48">
        <f>VLOOKUP($A12*12,'Cashflows_8%'!$A$7:$S$246,17,0)</f>
        <v>900000</v>
      </c>
      <c r="C12" s="48">
        <f>VLOOKUP($A12*12,'Cashflows_8%'!$A$7:$S$246,19,0)</f>
        <v>745889.9504</v>
      </c>
      <c r="D12" s="48">
        <f>VLOOKUP($A12*12,'Cashflows_8%'!$A$7:$N$246,14,0)</f>
        <v>1242471.12</v>
      </c>
      <c r="E12" s="48">
        <f>VLOOKUP($A12*12,'Cashflows_4%'!$A$7:$N$246,14,0)</f>
        <v>1087257.243</v>
      </c>
      <c r="F12" s="48">
        <f>VLOOKUP($A12*12,Cashflows_HIST!$A$7:$N$246,14,0)</f>
        <v>1592344.46</v>
      </c>
      <c r="G12" s="48">
        <f>VLOOKUP($A12*12,'Cashflows_Bond Fund'!$A$7:$N$246,14,0)</f>
        <v>1208490.475</v>
      </c>
      <c r="J12" s="117" t="s">
        <v>126</v>
      </c>
      <c r="K12" s="118"/>
      <c r="L12" s="113">
        <f>'Cashflows_Bond Fund'!T4</f>
        <v>0.04360830362</v>
      </c>
    </row>
    <row r="13" ht="13.5" customHeight="1">
      <c r="A13" s="116">
        <f t="shared" si="1"/>
        <v>10</v>
      </c>
      <c r="B13" s="48">
        <f>VLOOKUP($A13*12,'Cashflows_8%'!$A$7:$S$246,17,0)</f>
        <v>1000000</v>
      </c>
      <c r="C13" s="48">
        <f>VLOOKUP($A13*12,'Cashflows_8%'!$A$7:$S$246,19,0)</f>
        <v>771996.0987</v>
      </c>
      <c r="D13" s="48">
        <f>VLOOKUP($A13*12,'Cashflows_8%'!$A$7:$N$246,14,0)</f>
        <v>1414802.983</v>
      </c>
      <c r="E13" s="48">
        <f>VLOOKUP($A13*12,'Cashflows_4%'!$A$7:$N$246,14,0)</f>
        <v>1203329.259</v>
      </c>
      <c r="F13" s="48">
        <f>VLOOKUP($A13*12,Cashflows_HIST!$A$7:$N$246,14,0)</f>
        <v>1915447.92</v>
      </c>
      <c r="G13" s="48">
        <f>VLOOKUP($A13*12,'Cashflows_Bond Fund'!$A$7:$N$246,14,0)</f>
        <v>1367902.318</v>
      </c>
      <c r="J13" s="112" t="s">
        <v>127</v>
      </c>
      <c r="K13" s="118"/>
      <c r="L13" s="119">
        <f>VLOOKUP(PT*12,'Cashflows_Bond Fund'!$A$4:$R$246,14,0)</f>
        <v>1367902.318</v>
      </c>
    </row>
    <row r="14" ht="13.5" customHeight="1">
      <c r="J14" s="12"/>
      <c r="K14" s="12"/>
      <c r="L14" s="12"/>
      <c r="M14" s="12"/>
      <c r="N14" s="12"/>
    </row>
    <row r="15" ht="13.5" customHeight="1">
      <c r="J15" s="117" t="s">
        <v>128</v>
      </c>
      <c r="K15" s="118"/>
      <c r="L15" s="118"/>
    </row>
    <row r="16" ht="13.5" customHeight="1">
      <c r="J16" s="112" t="s">
        <v>129</v>
      </c>
      <c r="K16" s="118"/>
      <c r="L16" s="119">
        <f>(SUM('Cashflows_4%'!F7:F246)+SUM('Cashflows_4%'!G7:G246)+SUM('Cashflows_4%'!I7:I246))*(1+Tax)</f>
        <v>59704.49437</v>
      </c>
    </row>
    <row r="17" ht="13.5" customHeight="1">
      <c r="A17" s="110"/>
      <c r="J17" s="112" t="s">
        <v>130</v>
      </c>
      <c r="K17" s="118"/>
      <c r="L17" s="119">
        <f>(SUM('Cashflows_8%'!F7:F246)+SUM('Cashflows_8%'!G7:G246)+SUM('Cashflows_8%'!I7:I246))*(1+Tax)</f>
        <v>59488.39763</v>
      </c>
    </row>
    <row r="18" ht="13.5" customHeight="1"/>
    <row r="19" ht="13.5" customHeight="1">
      <c r="J19" s="110" t="s">
        <v>131</v>
      </c>
    </row>
    <row r="20" ht="13.5" customHeight="1"/>
    <row r="21" ht="13.5" customHeight="1">
      <c r="J21" s="112"/>
      <c r="K21" s="112" t="s">
        <v>62</v>
      </c>
      <c r="L21" s="112" t="s">
        <v>130</v>
      </c>
      <c r="M21" s="112" t="s">
        <v>129</v>
      </c>
      <c r="N21" s="112" t="s">
        <v>132</v>
      </c>
    </row>
    <row r="22" ht="13.5" customHeight="1">
      <c r="J22" s="112" t="s">
        <v>133</v>
      </c>
      <c r="K22" s="113">
        <f>'Returns and Effective charges'!E6</f>
        <v>0.134402</v>
      </c>
      <c r="L22" s="113">
        <f>'Returns and Effective charges'!F6</f>
        <v>0.08</v>
      </c>
      <c r="M22" s="113">
        <f>'Returns and Effective charges'!G6</f>
        <v>0.04</v>
      </c>
      <c r="N22" s="113">
        <f>'Returns and Effective charges'!H6</f>
        <v>0.1394742641</v>
      </c>
    </row>
    <row r="23" ht="13.5" customHeight="1">
      <c r="J23" s="112" t="s">
        <v>134</v>
      </c>
      <c r="K23" s="113">
        <f>'Returns and Effective charges'!E1</f>
        <v>0.08876877861</v>
      </c>
      <c r="L23" s="113">
        <f>'Returns and Effective charges'!F1</f>
        <v>0.06222372661</v>
      </c>
      <c r="M23" s="113">
        <f>'Returns and Effective charges'!G1</f>
        <v>0.03339010126</v>
      </c>
      <c r="N23" s="113">
        <f>'Returns and Effective charges'!H1</f>
        <v>0.1154984405</v>
      </c>
    </row>
    <row r="24" ht="13.5" customHeight="1">
      <c r="J24" s="112" t="s">
        <v>135</v>
      </c>
      <c r="K24" s="113">
        <f>'Returns and Effective charges'!E2</f>
        <v>0.04563322139</v>
      </c>
      <c r="L24" s="113">
        <f>'Returns and Effective charges'!F2</f>
        <v>0.01777627339</v>
      </c>
      <c r="M24" s="113">
        <f>'Returns and Effective charges'!G2</f>
        <v>0.006609898745</v>
      </c>
      <c r="N24" s="113">
        <f>'Returns and Effective charges'!H2</f>
        <v>0.02397582367</v>
      </c>
    </row>
    <row r="25" ht="13.5" customHeight="1">
      <c r="J25" s="112" t="s">
        <v>136</v>
      </c>
      <c r="K25" s="113"/>
      <c r="L25" s="113">
        <f>'Returns and Effective charges'!F3</f>
        <v>0.0521542034</v>
      </c>
      <c r="M25" s="113">
        <f>'Returns and Effective charges'!G3</f>
        <v>0.01148090519</v>
      </c>
      <c r="N25" s="113">
        <f>'Returns and Effective charges'!H3</f>
        <v>0.1308802</v>
      </c>
    </row>
    <row r="26" ht="13.5" customHeight="1">
      <c r="J26" s="112" t="s">
        <v>137</v>
      </c>
      <c r="K26" s="113"/>
      <c r="L26" s="113">
        <f>'Returns and Effective charges'!F4</f>
        <v>0.0278457966</v>
      </c>
      <c r="M26" s="113">
        <f>'Returns and Effective charges'!G4</f>
        <v>0.02851909481</v>
      </c>
      <c r="N26" s="113">
        <f>'Returns and Effective charges'!H4</f>
        <v>0.008594064166</v>
      </c>
    </row>
    <row r="27" ht="13.5" customHeight="1">
      <c r="G27" s="12"/>
      <c r="H27" s="12"/>
      <c r="I27" s="12"/>
      <c r="O27" s="12"/>
      <c r="P27" s="12"/>
      <c r="Q27" s="12"/>
      <c r="R27" s="12"/>
      <c r="S27" s="12"/>
      <c r="T27" s="12"/>
      <c r="U27" s="12"/>
      <c r="V27" s="12"/>
      <c r="W27" s="12"/>
      <c r="X27" s="12"/>
      <c r="Y27" s="12"/>
      <c r="Z27" s="12"/>
    </row>
    <row r="28" ht="13.5" customHeight="1">
      <c r="J28" s="110" t="s">
        <v>105</v>
      </c>
      <c r="K28" s="119">
        <f>SV</f>
        <v>650000</v>
      </c>
      <c r="L28" s="119">
        <f>VLOOKUP(PT*12,'Cashflows_8%'!$A$7:$N$246,14,0)</f>
        <v>1414802.983</v>
      </c>
      <c r="M28" s="119">
        <f>VLOOKUP(PT*12,'Cashflows_4%'!$A$7:$N$246,14,0)</f>
        <v>1203329.259</v>
      </c>
      <c r="N28" s="119">
        <f>VLOOKUP(PT*12,Cashflows_HIST!$A$7:$N$246,14,0)</f>
        <v>1915447.92</v>
      </c>
    </row>
    <row r="29" ht="13.5" customHeight="1"/>
    <row r="30" ht="13.5" customHeight="1">
      <c r="J30" s="110" t="s">
        <v>138</v>
      </c>
      <c r="L30" s="120">
        <f>SUM('Cashflows_4%'!N7:N246)-SUM('Cashflows_4%'!M7:M246)</f>
        <v>0</v>
      </c>
    </row>
    <row r="31" ht="13.5" customHeight="1"/>
    <row r="32" ht="13.5" customHeight="1">
      <c r="J32" s="117" t="s">
        <v>139</v>
      </c>
      <c r="K32" s="118"/>
    </row>
    <row r="33" ht="13.5" customHeight="1">
      <c r="J33" s="112" t="s">
        <v>129</v>
      </c>
      <c r="K33" s="113">
        <f>'Returns and Effective charges'!J4</f>
        <v>0.02020191788</v>
      </c>
    </row>
    <row r="34" ht="13.5" customHeight="1">
      <c r="J34" s="112" t="s">
        <v>130</v>
      </c>
      <c r="K34" s="113">
        <f>'Returns and Effective charges'!I4</f>
        <v>0.02019790178</v>
      </c>
    </row>
    <row r="35" ht="13.5" customHeight="1"/>
    <row r="36" ht="13.5" customHeight="1">
      <c r="J36" s="110" t="s">
        <v>140</v>
      </c>
    </row>
    <row r="37" ht="13.5" customHeight="1">
      <c r="J37" s="121">
        <v>0.08</v>
      </c>
      <c r="K37" s="122">
        <f>VLOOKUP(PT*12,'Cashflows_8% from Start'!A4:N246,14,0)</f>
        <v>1269281.255</v>
      </c>
    </row>
    <row r="38" ht="13.5" customHeight="1">
      <c r="J38" s="121">
        <v>0.04</v>
      </c>
      <c r="K38" s="122">
        <f>VLOOKUP(PT*12,'Cashflows_4% from Start'!A4:N246,14,0)</f>
        <v>1012664.687</v>
      </c>
    </row>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c r="A50" s="121"/>
      <c r="B50" s="122"/>
    </row>
    <row r="51" ht="13.5" customHeight="1">
      <c r="A51" s="121"/>
      <c r="B51" s="122"/>
    </row>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7" max="7" width="16.38"/>
    <col customWidth="1" min="8" max="8" width="30.88"/>
    <col customWidth="1" min="10" max="10" width="34.0"/>
    <col customWidth="1" min="11" max="11" width="22.88"/>
  </cols>
  <sheetData>
    <row r="1">
      <c r="G1" s="123" t="s">
        <v>141</v>
      </c>
    </row>
    <row r="2">
      <c r="G2" s="124" t="s">
        <v>142</v>
      </c>
      <c r="H2" s="124" t="s">
        <v>143</v>
      </c>
      <c r="J2" s="125" t="s">
        <v>144</v>
      </c>
      <c r="K2" s="125" t="s">
        <v>143</v>
      </c>
    </row>
    <row r="3">
      <c r="B3" s="126" t="s">
        <v>145</v>
      </c>
      <c r="G3" s="127" t="s">
        <v>146</v>
      </c>
      <c r="H3" s="128" t="s">
        <v>147</v>
      </c>
      <c r="J3" s="129" t="s">
        <v>148</v>
      </c>
      <c r="K3" s="130" t="s">
        <v>149</v>
      </c>
    </row>
    <row r="4">
      <c r="G4" s="127" t="s">
        <v>150</v>
      </c>
      <c r="H4" s="128" t="s">
        <v>151</v>
      </c>
      <c r="J4" s="131" t="s">
        <v>152</v>
      </c>
      <c r="K4" s="130" t="s">
        <v>149</v>
      </c>
    </row>
    <row r="5">
      <c r="G5" s="127" t="s">
        <v>153</v>
      </c>
      <c r="H5" s="128" t="s">
        <v>154</v>
      </c>
      <c r="J5" s="131" t="s">
        <v>155</v>
      </c>
      <c r="K5" s="130" t="s">
        <v>149</v>
      </c>
    </row>
    <row r="6">
      <c r="G6" s="127" t="s">
        <v>156</v>
      </c>
      <c r="H6" s="128" t="s">
        <v>157</v>
      </c>
      <c r="J6" s="131" t="s">
        <v>155</v>
      </c>
      <c r="K6" s="130" t="s">
        <v>149</v>
      </c>
    </row>
    <row r="7">
      <c r="G7" s="132" t="s">
        <v>158</v>
      </c>
      <c r="H7" s="128" t="s">
        <v>149</v>
      </c>
      <c r="J7" s="131" t="s">
        <v>159</v>
      </c>
      <c r="K7" s="130" t="s">
        <v>149</v>
      </c>
    </row>
    <row r="8">
      <c r="G8" s="127" t="s">
        <v>160</v>
      </c>
      <c r="H8" s="128" t="s">
        <v>161</v>
      </c>
      <c r="J8" s="131" t="s">
        <v>162</v>
      </c>
      <c r="K8" s="130" t="s">
        <v>149</v>
      </c>
    </row>
    <row r="9">
      <c r="B9" s="133"/>
      <c r="C9" s="133"/>
      <c r="D9" s="133"/>
      <c r="E9" s="133"/>
      <c r="G9" s="127" t="s">
        <v>163</v>
      </c>
      <c r="H9" s="128" t="s">
        <v>164</v>
      </c>
      <c r="J9" s="131" t="s">
        <v>165</v>
      </c>
      <c r="K9" s="130" t="s">
        <v>149</v>
      </c>
    </row>
    <row r="10">
      <c r="C10" s="133"/>
      <c r="D10" s="133"/>
      <c r="E10" s="133"/>
      <c r="G10" s="127" t="s">
        <v>166</v>
      </c>
      <c r="H10" s="128" t="s">
        <v>167</v>
      </c>
      <c r="J10" s="131" t="s">
        <v>168</v>
      </c>
      <c r="K10" s="130" t="s">
        <v>149</v>
      </c>
    </row>
    <row r="11">
      <c r="B11" s="133"/>
      <c r="C11" s="133"/>
      <c r="D11" s="133"/>
      <c r="E11" s="133"/>
      <c r="G11" s="127" t="s">
        <v>169</v>
      </c>
      <c r="H11" s="128" t="s">
        <v>170</v>
      </c>
      <c r="J11" s="131" t="s">
        <v>171</v>
      </c>
      <c r="K11" s="130" t="s">
        <v>149</v>
      </c>
    </row>
    <row r="12">
      <c r="B12" s="133"/>
      <c r="C12" s="133"/>
      <c r="D12" s="133"/>
      <c r="E12" s="133"/>
      <c r="G12" s="127" t="s">
        <v>172</v>
      </c>
      <c r="H12" s="128" t="s">
        <v>170</v>
      </c>
      <c r="J12" s="131" t="s">
        <v>173</v>
      </c>
      <c r="K12" s="130" t="s">
        <v>149</v>
      </c>
    </row>
    <row r="13">
      <c r="G13" s="127" t="s">
        <v>174</v>
      </c>
      <c r="H13" s="128" t="s">
        <v>175</v>
      </c>
      <c r="J13" s="131" t="s">
        <v>176</v>
      </c>
      <c r="K13" s="130" t="s">
        <v>149</v>
      </c>
    </row>
    <row r="14">
      <c r="G14" s="127" t="s">
        <v>177</v>
      </c>
      <c r="H14" s="128" t="s">
        <v>178</v>
      </c>
      <c r="J14" s="131" t="s">
        <v>179</v>
      </c>
      <c r="K14" s="130" t="s">
        <v>149</v>
      </c>
    </row>
    <row r="15">
      <c r="G15" s="127" t="s">
        <v>180</v>
      </c>
      <c r="H15" s="128" t="s">
        <v>181</v>
      </c>
      <c r="J15" s="131" t="s">
        <v>182</v>
      </c>
      <c r="K15" s="130" t="s">
        <v>149</v>
      </c>
    </row>
    <row r="16">
      <c r="G16" s="127" t="s">
        <v>183</v>
      </c>
      <c r="H16" s="128" t="s">
        <v>184</v>
      </c>
      <c r="J16" s="131" t="s">
        <v>185</v>
      </c>
      <c r="K16" s="130" t="s">
        <v>149</v>
      </c>
    </row>
    <row r="17">
      <c r="G17" s="127" t="s">
        <v>186</v>
      </c>
      <c r="H17" s="128" t="s">
        <v>187</v>
      </c>
      <c r="J17" s="131" t="s">
        <v>188</v>
      </c>
      <c r="K17" s="130" t="s">
        <v>149</v>
      </c>
    </row>
    <row r="18">
      <c r="G18" s="127" t="s">
        <v>189</v>
      </c>
      <c r="H18" s="128" t="s">
        <v>190</v>
      </c>
      <c r="J18" s="131" t="s">
        <v>191</v>
      </c>
      <c r="K18" s="130" t="s">
        <v>149</v>
      </c>
    </row>
    <row r="19">
      <c r="G19" s="127" t="s">
        <v>192</v>
      </c>
      <c r="H19" s="128" t="s">
        <v>193</v>
      </c>
      <c r="J19" s="131" t="s">
        <v>194</v>
      </c>
      <c r="K19" s="130" t="s">
        <v>149</v>
      </c>
    </row>
    <row r="20">
      <c r="G20" s="127" t="s">
        <v>195</v>
      </c>
      <c r="H20" s="128" t="s">
        <v>193</v>
      </c>
      <c r="J20" s="131" t="s">
        <v>196</v>
      </c>
      <c r="K20" s="130" t="s">
        <v>149</v>
      </c>
    </row>
    <row r="21" ht="15.75" customHeight="1">
      <c r="G21" s="127" t="s">
        <v>197</v>
      </c>
      <c r="H21" s="128" t="s">
        <v>193</v>
      </c>
      <c r="J21" s="131" t="s">
        <v>198</v>
      </c>
      <c r="K21" s="130" t="s">
        <v>149</v>
      </c>
    </row>
    <row r="22" ht="15.75" customHeight="1">
      <c r="G22" s="127" t="s">
        <v>199</v>
      </c>
      <c r="H22" s="128" t="s">
        <v>193</v>
      </c>
      <c r="J22" s="131" t="s">
        <v>200</v>
      </c>
      <c r="K22" s="130" t="s">
        <v>149</v>
      </c>
    </row>
    <row r="23" ht="15.75" customHeight="1">
      <c r="G23" s="127" t="s">
        <v>201</v>
      </c>
      <c r="H23" s="128" t="s">
        <v>193</v>
      </c>
      <c r="J23" s="131" t="s">
        <v>202</v>
      </c>
      <c r="K23" s="130" t="s">
        <v>149</v>
      </c>
    </row>
    <row r="24" ht="15.75" customHeight="1">
      <c r="G24" s="127" t="s">
        <v>203</v>
      </c>
      <c r="H24" s="128" t="s">
        <v>193</v>
      </c>
      <c r="J24" s="131" t="s">
        <v>204</v>
      </c>
      <c r="K24" s="130" t="s">
        <v>149</v>
      </c>
    </row>
    <row r="25" ht="15.75" customHeight="1">
      <c r="G25" s="127" t="s">
        <v>205</v>
      </c>
      <c r="H25" s="128" t="s">
        <v>193</v>
      </c>
      <c r="J25" s="131" t="s">
        <v>206</v>
      </c>
      <c r="K25" s="130" t="s">
        <v>149</v>
      </c>
    </row>
    <row r="26" ht="15.75" customHeight="1">
      <c r="G26" s="127" t="s">
        <v>207</v>
      </c>
      <c r="H26" s="128" t="s">
        <v>193</v>
      </c>
      <c r="J26" s="131" t="s">
        <v>208</v>
      </c>
      <c r="K26" s="130" t="s">
        <v>149</v>
      </c>
    </row>
    <row r="27" ht="15.75" customHeight="1">
      <c r="J27" s="131" t="s">
        <v>209</v>
      </c>
      <c r="K27" s="130" t="s">
        <v>149</v>
      </c>
    </row>
    <row r="28" ht="15.75" customHeight="1">
      <c r="J28" s="131" t="s">
        <v>210</v>
      </c>
      <c r="K28" s="130" t="s">
        <v>149</v>
      </c>
    </row>
    <row r="29" ht="15.75" customHeight="1">
      <c r="J29" s="131" t="s">
        <v>211</v>
      </c>
      <c r="K29" s="130" t="s">
        <v>149</v>
      </c>
    </row>
    <row r="30" ht="15.75" customHeight="1">
      <c r="J30" s="131" t="s">
        <v>212</v>
      </c>
      <c r="K30" s="130" t="s">
        <v>149</v>
      </c>
    </row>
    <row r="31" ht="15.75" customHeight="1">
      <c r="J31" s="131" t="s">
        <v>213</v>
      </c>
      <c r="K31" s="130" t="s">
        <v>149</v>
      </c>
    </row>
    <row r="32" ht="15.75" customHeight="1">
      <c r="J32" s="131" t="s">
        <v>214</v>
      </c>
      <c r="K32" s="130" t="s">
        <v>149</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G1:H1"/>
    <mergeCell ref="B3:E8"/>
  </mergeCells>
  <hyperlinks>
    <hyperlink r:id="rId1" ref="B3"/>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63"/>
    <col customWidth="1" min="3" max="3" width="20.75"/>
    <col customWidth="1" min="4" max="4" width="26.38"/>
    <col customWidth="1" min="5" max="17" width="8.63"/>
    <col customWidth="1" min="18" max="18" width="17.0"/>
    <col customWidth="1" min="19" max="19" width="10.13"/>
    <col customWidth="1" min="20" max="20" width="9.25"/>
    <col customWidth="1" min="21" max="21" width="8.63"/>
    <col customWidth="1" min="22" max="22" width="9.13"/>
    <col customWidth="1" min="23" max="33" width="8.63"/>
    <col customWidth="1" min="34" max="34" width="9.13"/>
    <col customWidth="1" min="35" max="41" width="8.63"/>
  </cols>
  <sheetData>
    <row r="1" ht="14.25" customHeight="1">
      <c r="A1" s="134"/>
      <c r="B1" s="134"/>
      <c r="C1" s="134"/>
      <c r="D1" s="134"/>
      <c r="E1" s="134"/>
      <c r="F1" s="134"/>
      <c r="G1" s="134"/>
      <c r="H1" s="135" t="s">
        <v>215</v>
      </c>
      <c r="I1" s="136" t="s">
        <v>216</v>
      </c>
      <c r="J1" s="137" t="s">
        <v>217</v>
      </c>
      <c r="K1" s="137" t="s">
        <v>218</v>
      </c>
      <c r="L1" s="135" t="s">
        <v>219</v>
      </c>
      <c r="M1" s="134"/>
      <c r="N1" s="134" t="s">
        <v>220</v>
      </c>
      <c r="O1" s="134"/>
      <c r="P1" s="134"/>
      <c r="Q1" s="134"/>
      <c r="R1" s="134" t="s">
        <v>221</v>
      </c>
      <c r="S1" s="134"/>
      <c r="T1" s="134"/>
      <c r="U1" s="134"/>
      <c r="V1" s="134"/>
      <c r="W1" s="134"/>
      <c r="X1" s="134"/>
      <c r="Y1" s="134"/>
      <c r="Z1" s="134"/>
      <c r="AA1" s="134"/>
      <c r="AB1" s="134"/>
      <c r="AC1" s="134"/>
      <c r="AD1" s="134"/>
      <c r="AE1" s="134"/>
      <c r="AF1" s="134"/>
      <c r="AG1" s="134"/>
      <c r="AH1" s="134"/>
      <c r="AI1" s="134"/>
      <c r="AJ1" s="134"/>
      <c r="AK1" s="134"/>
      <c r="AL1" s="134"/>
      <c r="AM1" s="134"/>
      <c r="AN1" s="134"/>
      <c r="AO1" s="134"/>
    </row>
    <row r="2" ht="14.25" customHeight="1">
      <c r="A2" s="134"/>
      <c r="B2" s="134"/>
      <c r="C2" s="135" t="s">
        <v>222</v>
      </c>
      <c r="D2" s="135">
        <f>DATEDIF(INPUT!C3,INPUT!$C$8,"Y")</f>
        <v>35</v>
      </c>
      <c r="E2" s="135"/>
      <c r="F2" s="134"/>
      <c r="G2" s="134"/>
      <c r="H2" s="135">
        <v>1.0</v>
      </c>
      <c r="I2" s="138">
        <f t="array" ref="I2">IFERROR(IF($D$15=1,VLOOKUP(H2,INDIRECT(VLOOKUP(INPUT!$C$9,'Product Data'!$D$3:$AD$9810,27,FALSE)),2,1),IF($D$15=2,VLOOKUP($D$7,INDIRECT(VLOOKUP(INPUT!$C$10,'Product Data'!$D$3:$AD$9810,27,FALSE)),2,1),HLOOKUP(H2,INDIRECT(VLOOKUP(INPUT!$C$9,'Product Data'!$D$3:$AD$9810,27,FALSE)),MATCH($D$7,INDEX(INDIRECT(VLOOKUP(INPUT!$C$9,'Product Data'!$D$3:$AD$9810,27,FALSE)),0,1),1),TRUE))),0)</f>
        <v>0.06</v>
      </c>
      <c r="J2" s="139">
        <f>IFERROR(HLOOKUP(H2,INDIRECT(VLOOKUP(INPUT!$C$9,'Product Data'!$D$3:$AF$9810,29,FALSE)),2,FALSE),0)</f>
        <v>0</v>
      </c>
      <c r="K2" s="140">
        <f>IFERROR(HLOOKUP(H2,INDIRECT(VLOOKUP(INPUT!$C$9,'Product Data'!$D$3:$AF$9810,29,FALSE)),3,FALSE),0)</f>
        <v>0.0042</v>
      </c>
      <c r="L2" s="141">
        <f>IF(H2&gt;PT,0,VLOOKUP(H2,'LA %'!$A$2:$BS$31,MATCH('Pre-Calculation'!$D$19,'LA %'!$A$1:$BS$1,0)))</f>
        <v>0</v>
      </c>
      <c r="M2" s="134"/>
      <c r="N2" s="134"/>
      <c r="O2" s="134"/>
      <c r="P2" s="134"/>
      <c r="Q2" s="134"/>
      <c r="R2" s="135" t="s">
        <v>223</v>
      </c>
      <c r="S2" s="135" t="s">
        <v>111</v>
      </c>
      <c r="T2" s="134"/>
      <c r="U2" s="134"/>
      <c r="V2" s="134"/>
      <c r="W2" s="134"/>
      <c r="X2" s="134"/>
      <c r="Y2" s="134"/>
      <c r="Z2" s="134"/>
      <c r="AA2" s="134"/>
      <c r="AB2" s="134"/>
      <c r="AC2" s="134"/>
      <c r="AD2" s="134"/>
      <c r="AE2" s="134"/>
      <c r="AF2" s="134"/>
      <c r="AG2" s="134"/>
      <c r="AH2" s="134"/>
      <c r="AI2" s="134"/>
      <c r="AJ2" s="134"/>
      <c r="AK2" s="134"/>
      <c r="AL2" s="134"/>
      <c r="AM2" s="134"/>
      <c r="AN2" s="134"/>
      <c r="AO2" s="134"/>
    </row>
    <row r="3" ht="14.25" customHeight="1">
      <c r="A3" s="134"/>
      <c r="B3" s="134"/>
      <c r="C3" s="135" t="s">
        <v>224</v>
      </c>
      <c r="D3" s="135">
        <f>Age_At_Entry+PT</f>
        <v>45</v>
      </c>
      <c r="E3" s="135"/>
      <c r="F3" s="134"/>
      <c r="G3" s="134"/>
      <c r="H3" s="135">
        <f t="shared" ref="H3:H31" si="1">H2+1</f>
        <v>2</v>
      </c>
      <c r="I3" s="138">
        <f t="array" ref="I3">IFERROR(IF($D$15=1,VLOOKUP(H3,INDIRECT(VLOOKUP(INPUT!$C$9,'Product Data'!$D$3:$AD$9810,27,FALSE)),2,1),IF($D$15=2,VLOOKUP($D$7,INDIRECT(VLOOKUP(INPUT!$C$10,'Product Data'!$D$3:$AD$9810,27,FALSE)),2,1),HLOOKUP(H3,INDIRECT(VLOOKUP(INPUT!$C$9,'Product Data'!$D$3:$AD$9810,27,FALSE)),MATCH($D$7,INDEX(INDIRECT(VLOOKUP(INPUT!$C$9,'Product Data'!$D$3:$AD$9810,27,FALSE)),0,1),1),TRUE))),0)</f>
        <v>0.02</v>
      </c>
      <c r="J3" s="139">
        <f>IFERROR(HLOOKUP(H3,INDIRECT(VLOOKUP(INPUT!$C$9,'Product Data'!$D$3:$AF$9810,29,FALSE)),2,FALSE),0)</f>
        <v>0</v>
      </c>
      <c r="K3" s="140">
        <f>IFERROR(HLOOKUP(H3,INDIRECT(VLOOKUP(INPUT!$C$9,'Product Data'!$D$3:$AF$9810,29,FALSE)),3,FALSE),0)</f>
        <v>0.0042</v>
      </c>
      <c r="L3" s="141">
        <f>IF(H3&gt;PT,0,VLOOKUP(H3,'LA %'!$A$2:$BS$31,MATCH('Pre-Calculation'!$D$19,'LA %'!$A$1:$BS$1,0)))</f>
        <v>0</v>
      </c>
      <c r="M3" s="134"/>
      <c r="N3" s="135" t="s">
        <v>225</v>
      </c>
      <c r="O3" s="135" t="s">
        <v>91</v>
      </c>
      <c r="P3" s="135" t="s">
        <v>226</v>
      </c>
      <c r="Q3" s="134"/>
      <c r="R3" s="142" t="s">
        <v>112</v>
      </c>
      <c r="S3" s="141">
        <f>INPUT!C20</f>
        <v>1</v>
      </c>
      <c r="T3" s="143">
        <f>(VLOOKUP(INPUT!$C$13,'NAVs_Till 29 Jun 2021'!$A$2:$J$2236,2,1)/VLOOKUP(RCD,'NAVs_Till 29 Jun 2021'!$A$2:$J$2236,2,1))^(364.25/(INPUT!$C$13-RCD))-1</f>
        <v>0.1392892127</v>
      </c>
      <c r="U3" s="143">
        <f>IF(S3=0,0,(VLOOKUP(INPUT!$C$13,'NAVs_Till 29 Jun 2021'!$A$2:$J$2236,2,1)/VLOOKUP(RCD,'NAVs_Till 29 Jun 2021'!$A$2:$J$2236,2,1)))</f>
        <v>1.92820103</v>
      </c>
      <c r="V3" s="134"/>
      <c r="W3" s="134"/>
      <c r="X3" s="134"/>
      <c r="Y3" s="134"/>
      <c r="Z3" s="134"/>
      <c r="AA3" s="134"/>
      <c r="AB3" s="134"/>
      <c r="AC3" s="134"/>
      <c r="AD3" s="134"/>
      <c r="AE3" s="134"/>
      <c r="AF3" s="134"/>
      <c r="AG3" s="134"/>
      <c r="AH3" s="134"/>
      <c r="AI3" s="134"/>
      <c r="AJ3" s="134"/>
      <c r="AK3" s="134"/>
      <c r="AL3" s="134"/>
      <c r="AM3" s="134"/>
      <c r="AN3" s="134"/>
      <c r="AO3" s="134"/>
    </row>
    <row r="4" ht="14.25" customHeight="1">
      <c r="A4" s="134"/>
      <c r="B4" s="134"/>
      <c r="C4" s="135" t="s">
        <v>227</v>
      </c>
      <c r="D4" s="135">
        <f>Mode</f>
        <v>12</v>
      </c>
      <c r="E4" s="135"/>
      <c r="F4" s="134"/>
      <c r="G4" s="134"/>
      <c r="H4" s="135">
        <f t="shared" si="1"/>
        <v>3</v>
      </c>
      <c r="I4" s="138">
        <f t="array" ref="I4">IFERROR(IF($D$15=1,VLOOKUP(H4,INDIRECT(VLOOKUP(INPUT!$C$9,'Product Data'!$D$3:$AD$9810,27,FALSE)),2,1),IF($D$15=2,VLOOKUP($D$7,INDIRECT(VLOOKUP(INPUT!$C$10,'Product Data'!$D$3:$AD$9810,27,FALSE)),2,1),HLOOKUP(H4,INDIRECT(VLOOKUP(INPUT!$C$9,'Product Data'!$D$3:$AD$9810,27,FALSE)),MATCH($D$7,INDEX(INDIRECT(VLOOKUP(INPUT!$C$9,'Product Data'!$D$3:$AD$9810,27,FALSE)),0,1),1),TRUE))),0)</f>
        <v>0</v>
      </c>
      <c r="J4" s="139">
        <f>IFERROR(HLOOKUP(H4,INDIRECT(VLOOKUP(INPUT!$C$9,'Product Data'!$D$3:$AF$9810,29,FALSE)),2,FALSE),0)</f>
        <v>0</v>
      </c>
      <c r="K4" s="140">
        <f>IFERROR(HLOOKUP(H4,INDIRECT(VLOOKUP(INPUT!$C$9,'Product Data'!$D$3:$AF$9810,29,FALSE)),3,FALSE),0)</f>
        <v>0.0042</v>
      </c>
      <c r="L4" s="141">
        <f>IF(H4&gt;PT,0,VLOOKUP(H4,'LA %'!$A$2:$BS$31,MATCH('Pre-Calculation'!$D$19,'LA %'!$A$1:$BS$1,0)))</f>
        <v>0</v>
      </c>
      <c r="M4" s="134"/>
      <c r="N4" s="144">
        <v>0.0</v>
      </c>
      <c r="O4" s="144">
        <v>4.445</v>
      </c>
      <c r="P4" s="144">
        <v>4.445</v>
      </c>
      <c r="Q4" s="134"/>
      <c r="R4" s="142" t="s">
        <v>113</v>
      </c>
      <c r="S4" s="141">
        <f>INPUT!C21</f>
        <v>0</v>
      </c>
      <c r="T4" s="143" t="str">
        <f>(VLOOKUP(INPUT!$C$13,'NAVs_Till 29 Jun 2021'!$A$2:$J$2236,3,1)/VLOOKUP(RCD,'NAVs_Till 29 Jun 2021'!$A$2:$J$2236,3,1))^(364.25/(INPUT!$C$13-RCD))-1</f>
        <v>#DIV/0!</v>
      </c>
      <c r="U4" s="143">
        <f>IF(S4=0,0,(VLOOKUP(INPUT!$C$13,'NAVs_Till 29 Jun 2021'!$A$2:$J$2236,2,1)/VLOOKUP(RCD,'NAVs_Till 29 Jun 2021'!$A$2:$J$2236,2,1)))</f>
        <v>0</v>
      </c>
      <c r="V4" s="134"/>
      <c r="W4" s="134"/>
      <c r="X4" s="134"/>
      <c r="Y4" s="134"/>
      <c r="Z4" s="134"/>
      <c r="AA4" s="134"/>
      <c r="AB4" s="134"/>
      <c r="AC4" s="134"/>
      <c r="AD4" s="134"/>
      <c r="AE4" s="134"/>
      <c r="AF4" s="134"/>
      <c r="AG4" s="134"/>
      <c r="AH4" s="134"/>
      <c r="AI4" s="134"/>
      <c r="AJ4" s="134"/>
      <c r="AK4" s="134"/>
      <c r="AL4" s="134"/>
      <c r="AM4" s="134"/>
      <c r="AN4" s="134"/>
      <c r="AO4" s="134"/>
    </row>
    <row r="5" ht="14.25" customHeight="1">
      <c r="A5" s="134"/>
      <c r="B5" s="134"/>
      <c r="C5" s="135" t="s">
        <v>228</v>
      </c>
      <c r="D5" s="145" t="str">
        <f>VLOOKUP(INPUT!C9,'Product Data'!$B$3:$C$810,2,0)</f>
        <v>HDFC SL Pro Growth Plus </v>
      </c>
      <c r="E5" s="135"/>
      <c r="F5" s="134"/>
      <c r="G5" s="134"/>
      <c r="H5" s="135">
        <f t="shared" si="1"/>
        <v>4</v>
      </c>
      <c r="I5" s="138">
        <f t="array" ref="I5">IFERROR(IF($D$15=1,VLOOKUP(H5,INDIRECT(VLOOKUP(INPUT!$C$9,'Product Data'!$D$3:$AD$9810,27,FALSE)),2,1),IF($D$15=2,VLOOKUP($D$7,INDIRECT(VLOOKUP(INPUT!$C$10,'Product Data'!$D$3:$AD$9810,27,FALSE)),2,1),HLOOKUP(H5,INDIRECT(VLOOKUP(INPUT!$C$9,'Product Data'!$D$3:$AD$9810,27,FALSE)),MATCH($D$7,INDEX(INDIRECT(VLOOKUP(INPUT!$C$9,'Product Data'!$D$3:$AD$9810,27,FALSE)),0,1),1),TRUE))),0)</f>
        <v>0</v>
      </c>
      <c r="J5" s="139">
        <f>IFERROR(HLOOKUP(H5,INDIRECT(VLOOKUP(INPUT!$C$9,'Product Data'!$D$3:$AF$9810,29,FALSE)),2,FALSE),0)</f>
        <v>0</v>
      </c>
      <c r="K5" s="140">
        <f>IFERROR(HLOOKUP(H5,INDIRECT(VLOOKUP(INPUT!$C$9,'Product Data'!$D$3:$AF$9810,29,FALSE)),3,FALSE),0)</f>
        <v>0.0042</v>
      </c>
      <c r="L5" s="141">
        <f>IF(H5&gt;PT,0,VLOOKUP(H5,'LA %'!$A$2:$BS$31,MATCH('Pre-Calculation'!$D$19,'LA %'!$A$1:$BS$1,0)))</f>
        <v>0</v>
      </c>
      <c r="M5" s="134"/>
      <c r="N5" s="146">
        <v>1.0</v>
      </c>
      <c r="O5" s="146">
        <v>3.8965</v>
      </c>
      <c r="P5" s="146">
        <v>3.8965</v>
      </c>
      <c r="Q5" s="134"/>
      <c r="R5" s="142" t="s">
        <v>114</v>
      </c>
      <c r="S5" s="141">
        <f>INPUT!C22</f>
        <v>0</v>
      </c>
      <c r="T5" s="143" t="str">
        <f>(VLOOKUP(INPUT!$C$13,'NAVs_Till 29 Jun 2021'!$A$2:$J$2236,4,1)/VLOOKUP(RCD,'NAVs_Till 29 Jun 2021'!$A$2:$J$2236,4,1))^(364.25/(INPUT!$C$13-RCD))-1</f>
        <v>#DIV/0!</v>
      </c>
      <c r="U5" s="143">
        <f>IF(S5=0,0,(VLOOKUP(INPUT!$C$13,'NAVs_Till 29 Jun 2021'!$A$2:$J$2236,2,1)/VLOOKUP(RCD,'NAVs_Till 29 Jun 2021'!$A$2:$J$2236,2,1)))</f>
        <v>0</v>
      </c>
      <c r="V5" s="134"/>
      <c r="W5" s="134"/>
      <c r="X5" s="134"/>
      <c r="Y5" s="134"/>
      <c r="Z5" s="134"/>
      <c r="AA5" s="134"/>
      <c r="AB5" s="134"/>
      <c r="AC5" s="134"/>
      <c r="AD5" s="134"/>
      <c r="AE5" s="134"/>
      <c r="AF5" s="134"/>
      <c r="AG5" s="134"/>
      <c r="AH5" s="134"/>
      <c r="AI5" s="134"/>
      <c r="AJ5" s="134"/>
      <c r="AK5" s="134"/>
      <c r="AL5" s="134"/>
      <c r="AM5" s="134"/>
      <c r="AN5" s="134"/>
      <c r="AO5" s="134"/>
    </row>
    <row r="6" ht="14.25" customHeight="1">
      <c r="A6" s="134"/>
      <c r="B6" s="134"/>
      <c r="C6" s="135" t="s">
        <v>229</v>
      </c>
      <c r="D6" s="147">
        <f>EDATE(RCD,12*INPUT!C12-Mode)</f>
        <v>45838</v>
      </c>
      <c r="E6" s="135"/>
      <c r="F6" s="134"/>
      <c r="G6" s="134"/>
      <c r="H6" s="135">
        <f t="shared" si="1"/>
        <v>5</v>
      </c>
      <c r="I6" s="138">
        <f t="array" ref="I6">IFERROR(IF($D$15=1,VLOOKUP(H6,INDIRECT(VLOOKUP(INPUT!$C$9,'Product Data'!$D$3:$AD$9810,27,FALSE)),2,1),IF($D$15=2,VLOOKUP($D$7,INDIRECT(VLOOKUP(INPUT!$C$10,'Product Data'!$D$3:$AD$9810,27,FALSE)),2,1),HLOOKUP(H6,INDIRECT(VLOOKUP(INPUT!$C$9,'Product Data'!$D$3:$AD$9810,27,FALSE)),MATCH($D$7,INDEX(INDIRECT(VLOOKUP(INPUT!$C$9,'Product Data'!$D$3:$AD$9810,27,FALSE)),0,1),1),TRUE))),0)</f>
        <v>0</v>
      </c>
      <c r="J6" s="139">
        <f>IFERROR(HLOOKUP(H6,INDIRECT(VLOOKUP(INPUT!$C$9,'Product Data'!$D$3:$AF$9810,29,FALSE)),2,FALSE),0)</f>
        <v>0</v>
      </c>
      <c r="K6" s="140">
        <f>IFERROR(HLOOKUP(H6,INDIRECT(VLOOKUP(INPUT!$C$9,'Product Data'!$D$3:$AF$9810,29,FALSE)),3,FALSE),0)</f>
        <v>0.0042</v>
      </c>
      <c r="L6" s="141">
        <f>IF(H6&gt;PT,0,VLOOKUP(H6,'LA %'!$A$2:$BS$31,MATCH('Pre-Calculation'!$D$19,'LA %'!$A$1:$BS$1,0)))</f>
        <v>0</v>
      </c>
      <c r="M6" s="134"/>
      <c r="N6" s="146">
        <v>2.0</v>
      </c>
      <c r="O6" s="146">
        <v>2.9345</v>
      </c>
      <c r="P6" s="146">
        <v>2.9345</v>
      </c>
      <c r="Q6" s="134"/>
      <c r="R6" s="142" t="s">
        <v>86</v>
      </c>
      <c r="S6" s="141">
        <f>INPUT!C23</f>
        <v>0</v>
      </c>
      <c r="T6" s="143">
        <f>(VLOOKUP(INPUT!$C$13,'NAVs_Till 29 Jun 2021'!$A$2:$J$2236,5,1)/VLOOKUP(RCD,'NAVs_Till 29 Jun 2021'!$A$2:$J$2236,5,1))^(364.25/(INPUT!$C$13-RCD))-1</f>
        <v>0.0715877102</v>
      </c>
      <c r="U6" s="143">
        <f>IF(S6=0,0,(VLOOKUP(INPUT!$C$13,'NAVs_Till 29 Jun 2021'!$A$2:$J$2236,2,1)/VLOOKUP(RCD,'NAVs_Till 29 Jun 2021'!$A$2:$J$2236,2,1)))</f>
        <v>0</v>
      </c>
      <c r="V6" s="134"/>
      <c r="W6" s="134"/>
      <c r="X6" s="134"/>
      <c r="Y6" s="134"/>
      <c r="Z6" s="134"/>
      <c r="AA6" s="134"/>
      <c r="AB6" s="134"/>
      <c r="AC6" s="134"/>
      <c r="AD6" s="134"/>
      <c r="AE6" s="134"/>
      <c r="AF6" s="134"/>
      <c r="AG6" s="134"/>
      <c r="AH6" s="134"/>
      <c r="AI6" s="134"/>
      <c r="AJ6" s="134"/>
      <c r="AK6" s="134"/>
      <c r="AL6" s="134"/>
      <c r="AM6" s="134"/>
      <c r="AN6" s="134"/>
      <c r="AO6" s="134"/>
    </row>
    <row r="7" ht="14.25" customHeight="1">
      <c r="A7" s="134"/>
      <c r="B7" s="134"/>
      <c r="C7" s="135" t="s">
        <v>230</v>
      </c>
      <c r="D7" s="148">
        <f>(12/Mode)*Mod_Prem</f>
        <v>100000</v>
      </c>
      <c r="E7" s="135"/>
      <c r="F7" s="134"/>
      <c r="G7" s="134"/>
      <c r="H7" s="135">
        <f t="shared" si="1"/>
        <v>6</v>
      </c>
      <c r="I7" s="138">
        <f t="array" ref="I7">IFERROR(IF($D$15=1,VLOOKUP(H7,INDIRECT(VLOOKUP(INPUT!$C$9,'Product Data'!$D$3:$AD$9810,27,FALSE)),2,1),IF($D$15=2,VLOOKUP($D$7,INDIRECT(VLOOKUP(INPUT!$C$10,'Product Data'!$D$3:$AD$9810,27,FALSE)),2,1),HLOOKUP(H7,INDIRECT(VLOOKUP(INPUT!$C$9,'Product Data'!$D$3:$AD$9810,27,FALSE)),MATCH($D$7,INDEX(INDIRECT(VLOOKUP(INPUT!$C$9,'Product Data'!$D$3:$AD$9810,27,FALSE)),0,1),1),TRUE))),0)</f>
        <v>0</v>
      </c>
      <c r="J7" s="139">
        <f>IFERROR(HLOOKUP(H7,INDIRECT(VLOOKUP(INPUT!$C$9,'Product Data'!$D$3:$AF$9810,29,FALSE)),2,FALSE),0)</f>
        <v>0</v>
      </c>
      <c r="K7" s="140">
        <f>IFERROR(HLOOKUP(H7,INDIRECT(VLOOKUP(INPUT!$C$9,'Product Data'!$D$3:$AF$9810,29,FALSE)),3,FALSE),0)</f>
        <v>0.0083</v>
      </c>
      <c r="L7" s="141">
        <f>IF(H7&gt;PT,0,VLOOKUP(H7,'LA %'!$A$2:$BS$31,MATCH('Pre-Calculation'!$D$19,'LA %'!$A$1:$BS$1,0)))</f>
        <v>0</v>
      </c>
      <c r="M7" s="134"/>
      <c r="N7" s="146">
        <v>3.0</v>
      </c>
      <c r="O7" s="146">
        <v>2.2115</v>
      </c>
      <c r="P7" s="146">
        <v>2.2115</v>
      </c>
      <c r="Q7" s="134"/>
      <c r="R7" s="142" t="s">
        <v>115</v>
      </c>
      <c r="S7" s="141">
        <f>INPUT!C24</f>
        <v>0</v>
      </c>
      <c r="T7" s="143">
        <f>(VLOOKUP(INPUT!$C$13,'NAVs_Till 29 Jun 2021'!$A$2:$J$2236,6,1)/VLOOKUP(RCD,'NAVs_Till 29 Jun 2021'!$A$2:$J$2236,6,1))^(364.25/(INPUT!$C$13-RCD))-1</f>
        <v>0.1618561002</v>
      </c>
      <c r="U7" s="143">
        <f>IF(S7=0,0,(VLOOKUP(INPUT!$C$13,'NAVs_Till 29 Jun 2021'!$A$2:$J$2236,2,1)/VLOOKUP(RCD,'NAVs_Till 29 Jun 2021'!$A$2:$J$2236,2,1)))</f>
        <v>0</v>
      </c>
      <c r="V7" s="134"/>
      <c r="W7" s="134"/>
      <c r="X7" s="134"/>
      <c r="Y7" s="134"/>
      <c r="Z7" s="134"/>
      <c r="AA7" s="134"/>
      <c r="AB7" s="134"/>
      <c r="AC7" s="134"/>
      <c r="AD7" s="134"/>
      <c r="AE7" s="134"/>
      <c r="AF7" s="134"/>
      <c r="AG7" s="134"/>
      <c r="AH7" s="134"/>
      <c r="AI7" s="134"/>
      <c r="AJ7" s="134"/>
      <c r="AK7" s="134"/>
      <c r="AL7" s="134"/>
      <c r="AM7" s="134"/>
      <c r="AN7" s="134"/>
      <c r="AO7" s="134"/>
    </row>
    <row r="8" ht="14.25" customHeight="1">
      <c r="A8" s="134"/>
      <c r="B8" s="134"/>
      <c r="C8" s="135" t="s">
        <v>231</v>
      </c>
      <c r="D8" s="141">
        <v>0.08</v>
      </c>
      <c r="E8" s="149">
        <f t="shared" ref="E8:E9" si="2">(1+D8)^(1/12)-1</f>
        <v>0.00643403011</v>
      </c>
      <c r="F8" s="134"/>
      <c r="G8" s="134"/>
      <c r="H8" s="135">
        <f t="shared" si="1"/>
        <v>7</v>
      </c>
      <c r="I8" s="138">
        <f t="array" ref="I8">IFERROR(IF($D$15=1,VLOOKUP(H8,INDIRECT(VLOOKUP(INPUT!$C$9,'Product Data'!$D$3:$AD$9810,27,FALSE)),2,1),IF($D$15=2,VLOOKUP($D$7,INDIRECT(VLOOKUP(INPUT!$C$10,'Product Data'!$D$3:$AD$9810,27,FALSE)),2,1),HLOOKUP(H8,INDIRECT(VLOOKUP(INPUT!$C$9,'Product Data'!$D$3:$AD$9810,27,FALSE)),MATCH($D$7,INDEX(INDIRECT(VLOOKUP(INPUT!$C$9,'Product Data'!$D$3:$AD$9810,27,FALSE)),0,1),1),TRUE))),0)</f>
        <v>0</v>
      </c>
      <c r="J8" s="139">
        <f>IFERROR(HLOOKUP(H8,INDIRECT(VLOOKUP(INPUT!$C$9,'Product Data'!$D$3:$AF$9810,29,FALSE)),2,FALSE),0)</f>
        <v>0</v>
      </c>
      <c r="K8" s="140">
        <f>IFERROR(HLOOKUP(H8,INDIRECT(VLOOKUP(INPUT!$C$9,'Product Data'!$D$3:$AF$9810,29,FALSE)),3,FALSE),0)</f>
        <v>0.0083</v>
      </c>
      <c r="L8" s="141">
        <f>IF(H8&gt;PT,0,VLOOKUP(H8,'LA %'!$A$2:$BS$31,MATCH('Pre-Calculation'!$D$19,'LA %'!$A$1:$BS$1,0)))</f>
        <v>0</v>
      </c>
      <c r="M8" s="134"/>
      <c r="N8" s="146">
        <v>4.0</v>
      </c>
      <c r="O8" s="146">
        <v>1.67</v>
      </c>
      <c r="P8" s="146">
        <v>1.67</v>
      </c>
      <c r="Q8" s="134"/>
      <c r="R8" s="142" t="s">
        <v>116</v>
      </c>
      <c r="S8" s="141">
        <f>INPUT!C25</f>
        <v>0</v>
      </c>
      <c r="T8" s="143">
        <f>(VLOOKUP(INPUT!$C$13,'NAVs_Till 29 Jun 2021'!$A$2:$J$2236,7,1)/VLOOKUP(RCD,'NAVs_Till 29 Jun 2021'!$A$2:$J$2236,7,1))^(364.25/(INPUT!$C$13-RCD))-1</f>
        <v>0.06481874479</v>
      </c>
      <c r="U8" s="143">
        <f>IF(S8=0,0,(VLOOKUP(INPUT!$C$13,'NAVs_Till 29 Jun 2021'!$A$2:$J$2236,2,1)/VLOOKUP(RCD,'NAVs_Till 29 Jun 2021'!$A$2:$J$2236,2,1)))</f>
        <v>0</v>
      </c>
      <c r="V8" s="134"/>
      <c r="W8" s="134"/>
      <c r="X8" s="134"/>
      <c r="Y8" s="134"/>
      <c r="Z8" s="134"/>
      <c r="AA8" s="134"/>
      <c r="AB8" s="134"/>
      <c r="AC8" s="134"/>
      <c r="AD8" s="134"/>
      <c r="AE8" s="134"/>
      <c r="AF8" s="134"/>
      <c r="AG8" s="134"/>
      <c r="AH8" s="134"/>
      <c r="AI8" s="134"/>
      <c r="AJ8" s="134"/>
      <c r="AK8" s="134"/>
      <c r="AL8" s="134"/>
      <c r="AM8" s="134"/>
      <c r="AN8" s="134"/>
      <c r="AO8" s="134"/>
    </row>
    <row r="9" ht="14.25" customHeight="1">
      <c r="A9" s="134"/>
      <c r="B9" s="134"/>
      <c r="C9" s="135" t="s">
        <v>232</v>
      </c>
      <c r="D9" s="141">
        <v>0.04</v>
      </c>
      <c r="E9" s="149">
        <f t="shared" si="2"/>
        <v>0.003273739782</v>
      </c>
      <c r="F9" s="134"/>
      <c r="G9" s="134"/>
      <c r="H9" s="135">
        <f t="shared" si="1"/>
        <v>8</v>
      </c>
      <c r="I9" s="138">
        <f t="array" ref="I9">IFERROR(IF($D$15=1,VLOOKUP(H9,INDIRECT(VLOOKUP(INPUT!$C$9,'Product Data'!$D$3:$AD$9810,27,FALSE)),2,1),IF($D$15=2,VLOOKUP($D$7,INDIRECT(VLOOKUP(INPUT!$C$10,'Product Data'!$D$3:$AD$9810,27,FALSE)),2,1),HLOOKUP(H9,INDIRECT(VLOOKUP(INPUT!$C$9,'Product Data'!$D$3:$AD$9810,27,FALSE)),MATCH($D$7,INDEX(INDIRECT(VLOOKUP(INPUT!$C$9,'Product Data'!$D$3:$AD$9810,27,FALSE)),0,1),1),TRUE))),0)</f>
        <v>0</v>
      </c>
      <c r="J9" s="139">
        <f>IFERROR(HLOOKUP(H9,INDIRECT(VLOOKUP(INPUT!$C$9,'Product Data'!$D$3:$AF$9810,29,FALSE)),2,FALSE),0)</f>
        <v>0</v>
      </c>
      <c r="K9" s="140">
        <f>IFERROR(HLOOKUP(H9,INDIRECT(VLOOKUP(INPUT!$C$9,'Product Data'!$D$3:$AF$9810,29,FALSE)),3,FALSE),0)</f>
        <v>0.0083</v>
      </c>
      <c r="L9" s="141">
        <f>IF(H9&gt;PT,0,VLOOKUP(H9,'LA %'!$A$2:$BS$31,MATCH('Pre-Calculation'!$D$19,'LA %'!$A$1:$BS$1,0)))</f>
        <v>0</v>
      </c>
      <c r="M9" s="134"/>
      <c r="N9" s="146">
        <v>5.0</v>
      </c>
      <c r="O9" s="146">
        <v>1.265</v>
      </c>
      <c r="P9" s="146">
        <v>1.265</v>
      </c>
      <c r="Q9" s="134"/>
      <c r="R9" s="142" t="s">
        <v>117</v>
      </c>
      <c r="S9" s="141">
        <f>INPUT!C26</f>
        <v>0</v>
      </c>
      <c r="T9" s="143" t="str">
        <f>(VLOOKUP(INPUT!$C$13,'NAVs_Till 29 Jun 2021'!$A$2:$J$2236,8,1)/VLOOKUP(RCD,'NAVs_Till 29 Jun 2021'!$A$2:$J$2236,8,1))^(364.25/(INPUT!$C$13-RCD))-1</f>
        <v>#DIV/0!</v>
      </c>
      <c r="U9" s="143">
        <f>IF(S9=0,0,(VLOOKUP(INPUT!$C$13,'NAVs_Till 29 Jun 2021'!$A$2:$J$2236,2,1)/VLOOKUP(RCD,'NAVs_Till 29 Jun 2021'!$A$2:$J$2236,2,1)))</f>
        <v>0</v>
      </c>
      <c r="V9" s="134"/>
      <c r="W9" s="134"/>
      <c r="X9" s="134"/>
      <c r="Y9" s="134"/>
      <c r="Z9" s="134"/>
      <c r="AA9" s="134"/>
      <c r="AB9" s="134"/>
      <c r="AC9" s="134"/>
      <c r="AD9" s="134"/>
      <c r="AE9" s="134"/>
      <c r="AF9" s="134"/>
      <c r="AG9" s="134"/>
      <c r="AH9" s="134"/>
      <c r="AI9" s="134"/>
      <c r="AJ9" s="134"/>
      <c r="AK9" s="134"/>
      <c r="AL9" s="134"/>
      <c r="AM9" s="134"/>
      <c r="AN9" s="134"/>
      <c r="AO9" s="134"/>
    </row>
    <row r="10" ht="14.25" customHeight="1">
      <c r="A10" s="134"/>
      <c r="B10" s="134"/>
      <c r="C10" s="135" t="s">
        <v>221</v>
      </c>
      <c r="D10" s="149">
        <f>SUMPRODUCT(S3:S11,FMC!C2:C10)</f>
        <v>0.0135</v>
      </c>
      <c r="E10" s="150">
        <f>1-((1-D10/365)^(365/12))</f>
        <v>0.001124388207</v>
      </c>
      <c r="F10" s="134"/>
      <c r="G10" s="134"/>
      <c r="H10" s="135">
        <f t="shared" si="1"/>
        <v>9</v>
      </c>
      <c r="I10" s="138">
        <f t="array" ref="I10">IFERROR(IF($D$15=1,VLOOKUP(H10,INDIRECT(VLOOKUP(INPUT!$C$9,'Product Data'!$D$3:$AD$9810,27,FALSE)),2,1),IF($D$15=2,VLOOKUP($D$7,INDIRECT(VLOOKUP(INPUT!$C$10,'Product Data'!$D$3:$AD$9810,27,FALSE)),2,1),HLOOKUP(H10,INDIRECT(VLOOKUP(INPUT!$C$9,'Product Data'!$D$3:$AD$9810,27,FALSE)),MATCH($D$7,INDEX(INDIRECT(VLOOKUP(INPUT!$C$9,'Product Data'!$D$3:$AD$9810,27,FALSE)),0,1),1),TRUE))),0)</f>
        <v>0</v>
      </c>
      <c r="J10" s="139">
        <f>IFERROR(HLOOKUP(H10,INDIRECT(VLOOKUP(INPUT!$C$9,'Product Data'!$D$3:$AF$9810,29,FALSE)),2,FALSE),0)</f>
        <v>0</v>
      </c>
      <c r="K10" s="140">
        <f>IFERROR(HLOOKUP(H10,INDIRECT(VLOOKUP(INPUT!$C$9,'Product Data'!$D$3:$AF$9810,29,FALSE)),3,FALSE),0)</f>
        <v>0.0083</v>
      </c>
      <c r="L10" s="141">
        <f>IF(H10&gt;PT,0,VLOOKUP(H10,'LA %'!$A$2:$BS$31,MATCH('Pre-Calculation'!$D$19,'LA %'!$A$1:$BS$1,0)))</f>
        <v>0</v>
      </c>
      <c r="M10" s="134"/>
      <c r="N10" s="146">
        <v>6.0</v>
      </c>
      <c r="O10" s="146">
        <v>0.964</v>
      </c>
      <c r="P10" s="146">
        <v>0.964</v>
      </c>
      <c r="Q10" s="134"/>
      <c r="R10" s="142" t="s">
        <v>118</v>
      </c>
      <c r="S10" s="141">
        <f>INPUT!C27</f>
        <v>0</v>
      </c>
      <c r="T10" s="143" t="str">
        <f>(VLOOKUP(INPUT!$C$13,'NAVs_Till 29 Jun 2021'!$A$2:$J$2236,9,1)/VLOOKUP(RCD,'NAVs_Till 29 Jun 2021'!$A$2:$J$2236,9,1))^(364.25/(INPUT!$C$13-RCD))-1</f>
        <v>#DIV/0!</v>
      </c>
      <c r="U10" s="143">
        <f>IF(S10=0,0,(VLOOKUP(INPUT!$C$13,'NAVs_Till 29 Jun 2021'!$A$2:$J$2236,2,1)/VLOOKUP(RCD,'NAVs_Till 29 Jun 2021'!$A$2:$J$2236,2,1)))</f>
        <v>0</v>
      </c>
      <c r="V10" s="134"/>
      <c r="W10" s="134"/>
      <c r="X10" s="134"/>
      <c r="Y10" s="134"/>
      <c r="Z10" s="134"/>
      <c r="AA10" s="134"/>
      <c r="AB10" s="134"/>
      <c r="AC10" s="134"/>
      <c r="AD10" s="134"/>
      <c r="AE10" s="134"/>
      <c r="AF10" s="134"/>
      <c r="AG10" s="134"/>
      <c r="AH10" s="134"/>
      <c r="AI10" s="134"/>
      <c r="AJ10" s="134"/>
      <c r="AK10" s="134"/>
      <c r="AL10" s="134"/>
      <c r="AM10" s="134"/>
      <c r="AN10" s="134"/>
      <c r="AO10" s="134"/>
    </row>
    <row r="11" ht="14.25" customHeight="1">
      <c r="A11" s="134"/>
      <c r="B11" s="134"/>
      <c r="C11" s="135" t="s">
        <v>233</v>
      </c>
      <c r="D11" s="141">
        <v>0.18</v>
      </c>
      <c r="E11" s="135"/>
      <c r="F11" s="134"/>
      <c r="G11" s="134"/>
      <c r="H11" s="135">
        <f t="shared" si="1"/>
        <v>10</v>
      </c>
      <c r="I11" s="138">
        <f t="array" ref="I11">IFERROR(IF($D$15=1,VLOOKUP(H11,INDIRECT(VLOOKUP(INPUT!$C$9,'Product Data'!$D$3:$AD$9810,27,FALSE)),2,1),IF($D$15=2,VLOOKUP($D$7,INDIRECT(VLOOKUP(INPUT!$C$10,'Product Data'!$D$3:$AD$9810,27,FALSE)),2,1),HLOOKUP(H11,INDIRECT(VLOOKUP(INPUT!$C$9,'Product Data'!$D$3:$AD$9810,27,FALSE)),MATCH($D$7,INDEX(INDIRECT(VLOOKUP(INPUT!$C$9,'Product Data'!$D$3:$AD$9810,27,FALSE)),0,1),1),TRUE))),0)</f>
        <v>0</v>
      </c>
      <c r="J11" s="139">
        <f>IFERROR(HLOOKUP(H11,INDIRECT(VLOOKUP(INPUT!$C$9,'Product Data'!$D$3:$AF$9810,29,FALSE)),2,FALSE),0)</f>
        <v>0</v>
      </c>
      <c r="K11" s="140">
        <f>IFERROR(HLOOKUP(H11,INDIRECT(VLOOKUP(INPUT!$C$9,'Product Data'!$D$3:$AF$9810,29,FALSE)),3,FALSE),0)</f>
        <v>0.0083</v>
      </c>
      <c r="L11" s="141">
        <f>IF(H11&gt;PT,0,VLOOKUP(H11,'LA %'!$A$2:$BS$31,MATCH('Pre-Calculation'!$D$19,'LA %'!$A$1:$BS$1,0)))</f>
        <v>0</v>
      </c>
      <c r="M11" s="134"/>
      <c r="N11" s="146">
        <v>7.0</v>
      </c>
      <c r="O11" s="146">
        <v>0.744</v>
      </c>
      <c r="P11" s="146">
        <v>0.744</v>
      </c>
      <c r="Q11" s="134"/>
      <c r="R11" s="142" t="s">
        <v>119</v>
      </c>
      <c r="S11" s="141">
        <f>INPUT!C28</f>
        <v>0</v>
      </c>
      <c r="T11" s="143" t="str">
        <f>(VLOOKUP(INPUT!$C$13,'NAVs_Till 29 Jun 2021'!$A$2:$J$2236,10,1)/VLOOKUP(RCD,'NAVs_Till 29 Jun 2021'!$A$2:$J$2236,10,1))^(364.25/(INPUT!$C$13-RCD))-1</f>
        <v>#DIV/0!</v>
      </c>
      <c r="U11" s="143">
        <f>IF(S11=0,0,(VLOOKUP(INPUT!$C$13,'NAVs_Till 29 Jun 2021'!$A$2:$J$2236,2,1)/VLOOKUP(RCD,'NAVs_Till 29 Jun 2021'!$A$2:$J$2236,2,1)))</f>
        <v>0</v>
      </c>
      <c r="V11" s="134"/>
      <c r="W11" s="134"/>
      <c r="X11" s="134"/>
      <c r="Y11" s="134"/>
      <c r="Z11" s="134"/>
      <c r="AA11" s="134"/>
      <c r="AB11" s="134"/>
      <c r="AC11" s="134"/>
      <c r="AD11" s="134"/>
      <c r="AE11" s="134"/>
      <c r="AF11" s="134"/>
      <c r="AG11" s="134"/>
      <c r="AH11" s="134"/>
      <c r="AI11" s="134"/>
      <c r="AJ11" s="134"/>
      <c r="AK11" s="134"/>
      <c r="AL11" s="134"/>
      <c r="AM11" s="134"/>
      <c r="AN11" s="134"/>
      <c r="AO11" s="134"/>
    </row>
    <row r="12" ht="14.25" customHeight="1">
      <c r="A12" s="134"/>
      <c r="B12" s="134"/>
      <c r="C12" s="135" t="s">
        <v>234</v>
      </c>
      <c r="D12" s="135">
        <f>DATEDIF(RCD,INPUT!C13,"M")</f>
        <v>60</v>
      </c>
      <c r="E12" s="135"/>
      <c r="F12" s="134"/>
      <c r="G12" s="134"/>
      <c r="H12" s="135">
        <f t="shared" si="1"/>
        <v>11</v>
      </c>
      <c r="I12" s="138">
        <f t="array" ref="I12">IFERROR(IF($D$15=1,VLOOKUP(H12,INDIRECT(VLOOKUP(INPUT!$C$9,'Product Data'!$D$3:$AD$9810,27,FALSE)),2,1),IF($D$15=2,VLOOKUP($D$7,INDIRECT(VLOOKUP(INPUT!$C$10,'Product Data'!$D$3:$AD$9810,27,FALSE)),2,1),HLOOKUP(H12,INDIRECT(VLOOKUP(INPUT!$C$9,'Product Data'!$D$3:$AD$9810,27,FALSE)),MATCH($D$7,INDEX(INDIRECT(VLOOKUP(INPUT!$C$9,'Product Data'!$D$3:$AD$9810,27,FALSE)),0,1),1),TRUE))),0)</f>
        <v>0</v>
      </c>
      <c r="J12" s="139">
        <f>IFERROR(HLOOKUP(H12,INDIRECT(VLOOKUP(INPUT!$C$9,'Product Data'!$D$3:$AF$9810,29,FALSE)),2,FALSE),0)</f>
        <v>0</v>
      </c>
      <c r="K12" s="140">
        <f>IFERROR(HLOOKUP(H12,INDIRECT(VLOOKUP(INPUT!$C$9,'Product Data'!$D$3:$AF$9810,29,FALSE)),3,FALSE),0)</f>
        <v>0</v>
      </c>
      <c r="L12" s="141">
        <f>IF(H12&gt;PT,0,VLOOKUP(H12,'LA %'!$A$2:$BS$31,MATCH('Pre-Calculation'!$D$19,'LA %'!$A$1:$BS$1,0)))</f>
        <v>0</v>
      </c>
      <c r="M12" s="134"/>
      <c r="N12" s="146">
        <v>8.0</v>
      </c>
      <c r="O12" s="146">
        <v>0.59</v>
      </c>
      <c r="P12" s="146">
        <v>0.59</v>
      </c>
      <c r="Q12" s="134"/>
      <c r="R12" s="151" t="s">
        <v>120</v>
      </c>
      <c r="S12" s="152">
        <f>SUM(S3:S11)</f>
        <v>1</v>
      </c>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row>
    <row r="13" ht="14.25" customHeight="1">
      <c r="A13" s="134"/>
      <c r="B13" s="134"/>
      <c r="C13" s="135" t="s">
        <v>235</v>
      </c>
      <c r="D13" s="135">
        <f>D12/PPT</f>
        <v>6</v>
      </c>
      <c r="E13" s="135"/>
      <c r="F13" s="134"/>
      <c r="G13" s="134"/>
      <c r="H13" s="135">
        <f t="shared" si="1"/>
        <v>12</v>
      </c>
      <c r="I13" s="138">
        <f t="array" ref="I13">IFERROR(IF($D$15=1,VLOOKUP(H13,INDIRECT(VLOOKUP(INPUT!$C$9,'Product Data'!$D$3:$AD$9810,27,FALSE)),2,1),IF($D$15=2,VLOOKUP($D$7,INDIRECT(VLOOKUP(INPUT!$C$10,'Product Data'!$D$3:$AD$9810,27,FALSE)),2,1),HLOOKUP(H13,INDIRECT(VLOOKUP(INPUT!$C$9,'Product Data'!$D$3:$AD$9810,27,FALSE)),MATCH($D$7,INDEX(INDIRECT(VLOOKUP(INPUT!$C$9,'Product Data'!$D$3:$AD$9810,27,FALSE)),0,1),1),TRUE))),0)</f>
        <v>0</v>
      </c>
      <c r="J13" s="139">
        <f>IFERROR(HLOOKUP(H13,INDIRECT(VLOOKUP(INPUT!$C$9,'Product Data'!$D$3:$AF$9810,29,FALSE)),2,FALSE),0)</f>
        <v>0</v>
      </c>
      <c r="K13" s="140">
        <f>IFERROR(HLOOKUP(H13,INDIRECT(VLOOKUP(INPUT!$C$9,'Product Data'!$D$3:$AF$9810,29,FALSE)),3,FALSE),0)</f>
        <v>0</v>
      </c>
      <c r="L13" s="141">
        <f>IF(H13&gt;PT,0,VLOOKUP(H13,'LA %'!$A$2:$BS$31,MATCH('Pre-Calculation'!$D$19,'LA %'!$A$1:$BS$1,0)))</f>
        <v>0</v>
      </c>
      <c r="M13" s="134"/>
      <c r="N13" s="146">
        <v>9.0</v>
      </c>
      <c r="O13" s="146">
        <v>0.4915</v>
      </c>
      <c r="P13" s="146">
        <v>0.4915</v>
      </c>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row>
    <row r="14" ht="14.25" customHeight="1">
      <c r="A14" s="134"/>
      <c r="B14" s="134"/>
      <c r="C14" s="135" t="s">
        <v>236</v>
      </c>
      <c r="D14" s="153">
        <v>0.04</v>
      </c>
      <c r="E14" s="149">
        <f>(1+D14)^(1/12)-1</f>
        <v>0.003273739782</v>
      </c>
      <c r="F14" s="134"/>
      <c r="G14" s="134"/>
      <c r="H14" s="135">
        <f t="shared" si="1"/>
        <v>13</v>
      </c>
      <c r="I14" s="138">
        <f t="array" ref="I14">IFERROR(IF($D$15=1,VLOOKUP(H14,INDIRECT(VLOOKUP(INPUT!$C$9,'Product Data'!$D$3:$AD$9810,27,FALSE)),2,1),IF($D$15=2,VLOOKUP($D$7,INDIRECT(VLOOKUP(INPUT!$C$10,'Product Data'!$D$3:$AD$9810,27,FALSE)),2,1),HLOOKUP(H14,INDIRECT(VLOOKUP(INPUT!$C$9,'Product Data'!$D$3:$AD$9810,27,FALSE)),MATCH($D$7,INDEX(INDIRECT(VLOOKUP(INPUT!$C$9,'Product Data'!$D$3:$AD$9810,27,FALSE)),0,1),1),TRUE))),0)</f>
        <v>0</v>
      </c>
      <c r="J14" s="139">
        <f>IFERROR(HLOOKUP(H14,INDIRECT(VLOOKUP(INPUT!$C$9,'Product Data'!$D$3:$AF$9810,29,FALSE)),2,FALSE),0)</f>
        <v>0</v>
      </c>
      <c r="K14" s="140">
        <f>IFERROR(HLOOKUP(H14,INDIRECT(VLOOKUP(INPUT!$C$9,'Product Data'!$D$3:$AF$9810,29,FALSE)),3,FALSE),0)</f>
        <v>0</v>
      </c>
      <c r="L14" s="141">
        <f>IF(H14&gt;PT,0,VLOOKUP(H14,'LA %'!$A$2:$BS$31,MATCH('Pre-Calculation'!$D$19,'LA %'!$A$1:$BS$1,0)))</f>
        <v>0</v>
      </c>
      <c r="M14" s="134"/>
      <c r="N14" s="146">
        <v>10.0</v>
      </c>
      <c r="O14" s="146">
        <v>0.44</v>
      </c>
      <c r="P14" s="146">
        <v>0.44</v>
      </c>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row>
    <row r="15" ht="14.25" customHeight="1">
      <c r="A15" s="134"/>
      <c r="B15" s="134"/>
      <c r="C15" s="154" t="s">
        <v>237</v>
      </c>
      <c r="D15" s="154">
        <f t="array" ref="D15">IFERROR(IF(COLUMNS(INDIRECT(VLOOKUP(INPUT!C9,'Product Data'!D3:AD9810,27,FALSE)))=2,IF(INDEX(INDIRECT(VLOOKUP(INPUT!C9,'Product Data'!D3:AD9810,27,FALSE)),1,1)="Duration",1,2),3),0)</f>
        <v>1</v>
      </c>
      <c r="E15" s="135"/>
      <c r="F15" s="134"/>
      <c r="G15" s="134"/>
      <c r="H15" s="135">
        <f t="shared" si="1"/>
        <v>14</v>
      </c>
      <c r="I15" s="138">
        <f t="array" ref="I15">IFERROR(IF($D$15=1,VLOOKUP(H15,INDIRECT(VLOOKUP(INPUT!$C$9,'Product Data'!$D$3:$AD$9810,27,FALSE)),2,1),IF($D$15=2,VLOOKUP($D$7,INDIRECT(VLOOKUP(INPUT!$C$10,'Product Data'!$D$3:$AD$9810,27,FALSE)),2,1),HLOOKUP(H15,INDIRECT(VLOOKUP(INPUT!$C$9,'Product Data'!$D$3:$AD$9810,27,FALSE)),MATCH($D$7,INDEX(INDIRECT(VLOOKUP(INPUT!$C$9,'Product Data'!$D$3:$AD$9810,27,FALSE)),0,1),1),TRUE))),0)</f>
        <v>0</v>
      </c>
      <c r="J15" s="139">
        <f>IFERROR(HLOOKUP(H15,INDIRECT(VLOOKUP(INPUT!$C$9,'Product Data'!$D$3:$AF$9810,29,FALSE)),2,FALSE),0)</f>
        <v>0</v>
      </c>
      <c r="K15" s="140">
        <f>IFERROR(HLOOKUP(H15,INDIRECT(VLOOKUP(INPUT!$C$9,'Product Data'!$D$3:$AF$9810,29,FALSE)),3,FALSE),0)</f>
        <v>0</v>
      </c>
      <c r="L15" s="141">
        <f>IF(H15&gt;PT,0,VLOOKUP(H15,'LA %'!$A$2:$BS$31,MATCH('Pre-Calculation'!$D$19,'LA %'!$A$1:$BS$1,0)))</f>
        <v>0</v>
      </c>
      <c r="M15" s="134"/>
      <c r="N15" s="146">
        <v>11.0</v>
      </c>
      <c r="O15" s="146">
        <v>0.428</v>
      </c>
      <c r="P15" s="146">
        <v>0.428</v>
      </c>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row>
    <row r="16" ht="14.25" customHeight="1">
      <c r="A16" s="134"/>
      <c r="B16" s="134"/>
      <c r="C16" s="135" t="s">
        <v>238</v>
      </c>
      <c r="D16" s="135" t="str">
        <f>VLOOKUP(VLOOKUP(INPUT!C9,'Product Data'!D3:AG9810,30,FALSE),'LA TYPE'!A3:B265,2,FALSE)</f>
        <v>NIL</v>
      </c>
      <c r="E16" s="135"/>
      <c r="F16" s="134"/>
      <c r="G16" s="134"/>
      <c r="H16" s="135">
        <f t="shared" si="1"/>
        <v>15</v>
      </c>
      <c r="I16" s="138">
        <f t="array" ref="I16">IFERROR(IF($D$15=1,VLOOKUP(H16,INDIRECT(VLOOKUP(INPUT!$C$9,'Product Data'!$D$3:$AD$9810,27,FALSE)),2,1),IF($D$15=2,VLOOKUP($D$7,INDIRECT(VLOOKUP(INPUT!$C$10,'Product Data'!$D$3:$AD$9810,27,FALSE)),2,1),HLOOKUP(H16,INDIRECT(VLOOKUP(INPUT!$C$9,'Product Data'!$D$3:$AD$9810,27,FALSE)),MATCH($D$7,INDEX(INDIRECT(VLOOKUP(INPUT!$C$9,'Product Data'!$D$3:$AD$9810,27,FALSE)),0,1),1),TRUE))),0)</f>
        <v>0</v>
      </c>
      <c r="J16" s="139">
        <f>IFERROR(HLOOKUP(H16,INDIRECT(VLOOKUP(INPUT!$C$9,'Product Data'!$D$3:$AF$9810,29,FALSE)),2,FALSE),0)</f>
        <v>0</v>
      </c>
      <c r="K16" s="140">
        <f>IFERROR(HLOOKUP(H16,INDIRECT(VLOOKUP(INPUT!$C$9,'Product Data'!$D$3:$AF$9810,29,FALSE)),3,FALSE),0)</f>
        <v>0</v>
      </c>
      <c r="L16" s="141">
        <f>IF(H16&gt;PT,0,VLOOKUP(H16,'LA %'!$A$2:$BS$31,MATCH('Pre-Calculation'!$D$19,'LA %'!$A$1:$BS$1,0)))</f>
        <v>0</v>
      </c>
      <c r="M16" s="134"/>
      <c r="N16" s="146">
        <v>12.0</v>
      </c>
      <c r="O16" s="146">
        <v>0.4475</v>
      </c>
      <c r="P16" s="146">
        <v>0.4475</v>
      </c>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row>
    <row r="17" ht="14.25" customHeight="1">
      <c r="A17" s="134"/>
      <c r="B17" s="134"/>
      <c r="C17" s="135" t="s">
        <v>239</v>
      </c>
      <c r="D17" s="135" t="str">
        <f>VLOOKUP(INPUT!C9,'Product Data'!D3:K9810,8,FALSE)</f>
        <v>Type 4 a</v>
      </c>
      <c r="E17" s="135"/>
      <c r="F17" s="134"/>
      <c r="G17" s="134"/>
      <c r="H17" s="135">
        <f t="shared" si="1"/>
        <v>16</v>
      </c>
      <c r="I17" s="138">
        <f t="array" ref="I17">IFERROR(IF($D$15=1,VLOOKUP(H17,INDIRECT(VLOOKUP(INPUT!$C$9,'Product Data'!$D$3:$AD$9810,27,FALSE)),2,1),IF($D$15=2,VLOOKUP($D$7,INDIRECT(VLOOKUP(INPUT!$C$10,'Product Data'!$D$3:$AD$9810,27,FALSE)),2,1),HLOOKUP(H17,INDIRECT(VLOOKUP(INPUT!$C$9,'Product Data'!$D$3:$AD$9810,27,FALSE)),MATCH($D$7,INDEX(INDIRECT(VLOOKUP(INPUT!$C$9,'Product Data'!$D$3:$AD$9810,27,FALSE)),0,1),1),TRUE))),0)</f>
        <v>0</v>
      </c>
      <c r="J17" s="139">
        <f>IFERROR(HLOOKUP(H17,INDIRECT(VLOOKUP(INPUT!$C$9,'Product Data'!$D$3:$AF$9810,29,FALSE)),2,FALSE),0)</f>
        <v>0</v>
      </c>
      <c r="K17" s="140">
        <f>IFERROR(HLOOKUP(H17,INDIRECT(VLOOKUP(INPUT!$C$9,'Product Data'!$D$3:$AF$9810,29,FALSE)),3,FALSE),0)</f>
        <v>0.0083</v>
      </c>
      <c r="L17" s="141">
        <f>IF(H17&gt;PT,0,VLOOKUP(H17,'LA %'!$A$2:$BS$31,MATCH('Pre-Calculation'!$D$19,'LA %'!$A$1:$BS$1,0)))</f>
        <v>0</v>
      </c>
      <c r="M17" s="134"/>
      <c r="N17" s="146">
        <v>13.0</v>
      </c>
      <c r="O17" s="146">
        <v>0.4905</v>
      </c>
      <c r="P17" s="146">
        <v>0.4905</v>
      </c>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row>
    <row r="18" ht="14.25" customHeight="1">
      <c r="A18" s="134"/>
      <c r="B18" s="134"/>
      <c r="C18" s="155" t="s">
        <v>240</v>
      </c>
      <c r="D18" s="147" t="str">
        <f>DAY(RCD)&amp;"-"&amp;MONTH(RCD)&amp;"-"&amp;YEAR(RCD)+PT</f>
        <v>30-6-2026</v>
      </c>
      <c r="E18" s="156"/>
      <c r="F18" s="134"/>
      <c r="G18" s="134"/>
      <c r="H18" s="135">
        <f t="shared" si="1"/>
        <v>17</v>
      </c>
      <c r="I18" s="138">
        <f t="array" ref="I18">IFERROR(IF($D$15=1,VLOOKUP(H18,INDIRECT(VLOOKUP(INPUT!$C$9,'Product Data'!$D$3:$AD$9810,27,FALSE)),2,1),IF($D$15=2,VLOOKUP($D$7,INDIRECT(VLOOKUP(INPUT!$C$10,'Product Data'!$D$3:$AD$9810,27,FALSE)),2,1),HLOOKUP(H18,INDIRECT(VLOOKUP(INPUT!$C$9,'Product Data'!$D$3:$AD$9810,27,FALSE)),MATCH($D$7,INDEX(INDIRECT(VLOOKUP(INPUT!$C$9,'Product Data'!$D$3:$AD$9810,27,FALSE)),0,1),1),TRUE))),0)</f>
        <v>0</v>
      </c>
      <c r="J18" s="139">
        <f>IFERROR(HLOOKUP(H18,INDIRECT(VLOOKUP(INPUT!$C$9,'Product Data'!$D$3:$AF$9810,29,FALSE)),2,FALSE),0)</f>
        <v>0</v>
      </c>
      <c r="K18" s="140">
        <f>IFERROR(HLOOKUP(H18,INDIRECT(VLOOKUP(INPUT!$C$9,'Product Data'!$D$3:$AF$9810,29,FALSE)),3,FALSE),0)</f>
        <v>0.0083</v>
      </c>
      <c r="L18" s="141">
        <f>IF(H18&gt;PT,0,VLOOKUP(H18,'LA %'!$A$2:$BS$31,MATCH('Pre-Calculation'!$D$19,'LA %'!$A$1:$BS$1,0)))</f>
        <v>0</v>
      </c>
      <c r="M18" s="134"/>
      <c r="N18" s="146">
        <v>14.0</v>
      </c>
      <c r="O18" s="146">
        <v>0.5485</v>
      </c>
      <c r="P18" s="146">
        <v>0.5485</v>
      </c>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row>
    <row r="19" ht="14.25" customHeight="1">
      <c r="A19" s="134"/>
      <c r="B19" s="134"/>
      <c r="C19" s="157" t="s">
        <v>219</v>
      </c>
      <c r="D19" s="148">
        <f>VLOOKUP(INPUT!C9,'Product Data'!D3:AG9810,30,FALSE)</f>
        <v>5</v>
      </c>
      <c r="E19" s="156"/>
      <c r="F19" s="134"/>
      <c r="G19" s="134"/>
      <c r="H19" s="135">
        <f t="shared" si="1"/>
        <v>18</v>
      </c>
      <c r="I19" s="138">
        <f t="array" ref="I19">IFERROR(IF($D$15=1,VLOOKUP(H19,INDIRECT(VLOOKUP(INPUT!$C$9,'Product Data'!$D$3:$AD$9810,27,FALSE)),2,1),IF($D$15=2,VLOOKUP($D$7,INDIRECT(VLOOKUP(INPUT!$C$10,'Product Data'!$D$3:$AD$9810,27,FALSE)),2,1),HLOOKUP(H19,INDIRECT(VLOOKUP(INPUT!$C$9,'Product Data'!$D$3:$AD$9810,27,FALSE)),MATCH($D$7,INDEX(INDIRECT(VLOOKUP(INPUT!$C$9,'Product Data'!$D$3:$AD$9810,27,FALSE)),0,1),1),TRUE))),0)</f>
        <v>0</v>
      </c>
      <c r="J19" s="139">
        <f>IFERROR(HLOOKUP(H19,INDIRECT(VLOOKUP(INPUT!$C$9,'Product Data'!$D$3:$AF$9810,29,FALSE)),2,FALSE),0)</f>
        <v>0</v>
      </c>
      <c r="K19" s="140">
        <f>IFERROR(HLOOKUP(H19,INDIRECT(VLOOKUP(INPUT!$C$9,'Product Data'!$D$3:$AF$9810,29,FALSE)),3,FALSE),0)</f>
        <v>0.0083</v>
      </c>
      <c r="L19" s="141">
        <f>IF(H19&gt;PT,0,VLOOKUP(H19,'LA %'!$A$2:$BS$31,MATCH('Pre-Calculation'!$D$19,'LA %'!$A$1:$BS$1,0)))</f>
        <v>0</v>
      </c>
      <c r="M19" s="134"/>
      <c r="N19" s="146">
        <v>15.0</v>
      </c>
      <c r="O19" s="146">
        <v>0.6135</v>
      </c>
      <c r="P19" s="146">
        <v>0.6135</v>
      </c>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row>
    <row r="20" ht="14.25" customHeight="1">
      <c r="A20" s="134"/>
      <c r="B20" s="134"/>
      <c r="C20" s="157" t="s">
        <v>241</v>
      </c>
      <c r="D20" s="158">
        <v>0.07</v>
      </c>
      <c r="E20" s="149">
        <f>(D20+1)^(1/12)-1</f>
        <v>0.005654145387</v>
      </c>
      <c r="F20" s="134"/>
      <c r="G20" s="134"/>
      <c r="H20" s="135">
        <f t="shared" si="1"/>
        <v>19</v>
      </c>
      <c r="I20" s="138">
        <f t="array" ref="I20">IFERROR(IF($D$15=1,VLOOKUP(H20,INDIRECT(VLOOKUP(INPUT!$C$9,'Product Data'!$D$3:$AD$9810,27,FALSE)),2,1),IF($D$15=2,VLOOKUP($D$7,INDIRECT(VLOOKUP(INPUT!$C$10,'Product Data'!$D$3:$AD$9810,27,FALSE)),2,1),HLOOKUP(H20,INDIRECT(VLOOKUP(INPUT!$C$9,'Product Data'!$D$3:$AD$9810,27,FALSE)),MATCH($D$7,INDEX(INDIRECT(VLOOKUP(INPUT!$C$9,'Product Data'!$D$3:$AD$9810,27,FALSE)),0,1),1),TRUE))),0)</f>
        <v>0</v>
      </c>
      <c r="J20" s="139">
        <f>IFERROR(HLOOKUP(H20,INDIRECT(VLOOKUP(INPUT!$C$9,'Product Data'!$D$3:$AF$9810,29,FALSE)),2,FALSE),0)</f>
        <v>0</v>
      </c>
      <c r="K20" s="140">
        <f>IFERROR(HLOOKUP(H20,INDIRECT(VLOOKUP(INPUT!$C$9,'Product Data'!$D$3:$AF$9810,29,FALSE)),3,FALSE),0)</f>
        <v>0.0083</v>
      </c>
      <c r="L20" s="141">
        <f>IF(H20&gt;PT,0,VLOOKUP(H20,'LA %'!$A$2:$BS$31,MATCH('Pre-Calculation'!$D$19,'LA %'!$A$1:$BS$1,0)))</f>
        <v>0</v>
      </c>
      <c r="M20" s="134"/>
      <c r="N20" s="146">
        <v>16.0</v>
      </c>
      <c r="O20" s="146">
        <v>0.68</v>
      </c>
      <c r="P20" s="146">
        <v>0.68</v>
      </c>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row>
    <row r="21" ht="14.25" customHeight="1">
      <c r="A21" s="134"/>
      <c r="B21" s="134"/>
      <c r="C21" s="159"/>
      <c r="D21" s="159"/>
      <c r="E21" s="160"/>
      <c r="F21" s="134"/>
      <c r="G21" s="134"/>
      <c r="H21" s="135">
        <f t="shared" si="1"/>
        <v>20</v>
      </c>
      <c r="I21" s="138">
        <f t="array" ref="I21">IFERROR(IF($D$15=1,VLOOKUP(H21,INDIRECT(VLOOKUP(INPUT!$C$9,'Product Data'!$D$3:$AD$9810,27,FALSE)),2,1),IF($D$15=2,VLOOKUP($D$7,INDIRECT(VLOOKUP(INPUT!$C$10,'Product Data'!$D$3:$AD$9810,27,FALSE)),2,1),HLOOKUP(H21,INDIRECT(VLOOKUP(INPUT!$C$9,'Product Data'!$D$3:$AD$9810,27,FALSE)),MATCH($D$7,INDEX(INDIRECT(VLOOKUP(INPUT!$C$9,'Product Data'!$D$3:$AD$9810,27,FALSE)),0,1),1),TRUE))),0)</f>
        <v>0</v>
      </c>
      <c r="J21" s="139">
        <f>IFERROR(HLOOKUP(H21,INDIRECT(VLOOKUP(INPUT!$C$9,'Product Data'!$D$3:$AF$9810,29,FALSE)),2,FALSE),0)</f>
        <v>0</v>
      </c>
      <c r="K21" s="140">
        <f>IFERROR(HLOOKUP(H21,INDIRECT(VLOOKUP(INPUT!$C$9,'Product Data'!$D$3:$AF$9810,29,FALSE)),3,FALSE),0)</f>
        <v>0.0083</v>
      </c>
      <c r="L21" s="141">
        <f>IF(H21&gt;PT,0,VLOOKUP(H21,'LA %'!$A$2:$BS$31,MATCH('Pre-Calculation'!$D$19,'LA %'!$A$1:$BS$1,0)))</f>
        <v>0</v>
      </c>
      <c r="M21" s="134"/>
      <c r="N21" s="146">
        <v>17.0</v>
      </c>
      <c r="O21" s="135">
        <v>0.743</v>
      </c>
      <c r="P21" s="135">
        <v>0.743</v>
      </c>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row>
    <row r="22" ht="14.25" customHeight="1">
      <c r="A22" s="134"/>
      <c r="B22" s="134"/>
      <c r="C22" s="134"/>
      <c r="D22" s="134"/>
      <c r="E22" s="134"/>
      <c r="F22" s="134"/>
      <c r="G22" s="134"/>
      <c r="H22" s="135">
        <f t="shared" si="1"/>
        <v>21</v>
      </c>
      <c r="I22" s="138">
        <f t="array" ref="I22">IFERROR(IF($D$15=1,VLOOKUP(H22,INDIRECT(VLOOKUP(INPUT!$C$9,'Product Data'!$D$3:$AD$9810,27,FALSE)),2,1),IF($D$15=2,VLOOKUP($D$7,INDIRECT(VLOOKUP(INPUT!$C$10,'Product Data'!$D$3:$AD$9810,27,FALSE)),2,1),HLOOKUP(H22,INDIRECT(VLOOKUP(INPUT!$C$9,'Product Data'!$D$3:$AD$9810,27,FALSE)),MATCH($D$7,INDEX(INDIRECT(VLOOKUP(INPUT!$C$9,'Product Data'!$D$3:$AD$9810,27,FALSE)),0,1),1),TRUE))),0)</f>
        <v>0</v>
      </c>
      <c r="J22" s="139">
        <f>IFERROR(HLOOKUP(H22,INDIRECT(VLOOKUP(INPUT!$C$9,'Product Data'!$D$3:$AF$9810,29,FALSE)),2,FALSE),0)</f>
        <v>0</v>
      </c>
      <c r="K22" s="140">
        <f>IFERROR(HLOOKUP(H22,INDIRECT(VLOOKUP(INPUT!$C$9,'Product Data'!$D$3:$AF$9810,29,FALSE)),3,FALSE),0)</f>
        <v>0.0083</v>
      </c>
      <c r="L22" s="141">
        <f>IF(H22&gt;PT,0,VLOOKUP(H22,'LA %'!$A$2:$BS$31,MATCH('Pre-Calculation'!$D$19,'LA %'!$A$1:$BS$1,0)))</f>
        <v>0</v>
      </c>
      <c r="M22" s="134"/>
      <c r="N22" s="146">
        <v>18.0</v>
      </c>
      <c r="O22" s="135">
        <v>0.7995</v>
      </c>
      <c r="P22" s="135">
        <v>0.7995</v>
      </c>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row>
    <row r="23" ht="14.25" customHeight="1">
      <c r="A23" s="134"/>
      <c r="B23" s="134"/>
      <c r="C23" s="161" t="s">
        <v>242</v>
      </c>
      <c r="D23" s="162">
        <f>SUMPRODUCT(S3:S11,U3:U11)^(364.25/(INPUT!$C$13-RCD))-1</f>
        <v>0.1392892127</v>
      </c>
      <c r="E23" s="149">
        <f>(1+D23)^(1/12)-1</f>
        <v>0.01092630836</v>
      </c>
      <c r="F23" s="134"/>
      <c r="G23" s="134"/>
      <c r="H23" s="135">
        <f t="shared" si="1"/>
        <v>22</v>
      </c>
      <c r="I23" s="138">
        <f t="array" ref="I23">IFERROR(IF($D$15=1,VLOOKUP(H23,INDIRECT(VLOOKUP(INPUT!$C$9,'Product Data'!$D$3:$AD$9810,27,FALSE)),2,1),IF($D$15=2,VLOOKUP($D$7,INDIRECT(VLOOKUP(INPUT!$C$10,'Product Data'!$D$3:$AD$9810,27,FALSE)),2,1),HLOOKUP(H23,INDIRECT(VLOOKUP(INPUT!$C$9,'Product Data'!$D$3:$AD$9810,27,FALSE)),MATCH($D$7,INDEX(INDIRECT(VLOOKUP(INPUT!$C$9,'Product Data'!$D$3:$AD$9810,27,FALSE)),0,1),1),TRUE))),0)</f>
        <v>0</v>
      </c>
      <c r="J23" s="139">
        <f>IFERROR(HLOOKUP(H23,INDIRECT(VLOOKUP(INPUT!$C$9,'Product Data'!$D$3:$AF$9810,29,FALSE)),2,FALSE),0)</f>
        <v>0</v>
      </c>
      <c r="K23" s="140">
        <f>IFERROR(HLOOKUP(H23,INDIRECT(VLOOKUP(INPUT!$C$9,'Product Data'!$D$3:$AF$9810,29,FALSE)),3,FALSE),0)</f>
        <v>0.0083</v>
      </c>
      <c r="L23" s="141">
        <f>IF(H23&gt;PT,0,VLOOKUP(H23,'LA %'!$A$2:$BS$31,MATCH('Pre-Calculation'!$D$19,'LA %'!$A$1:$BS$1,0)))</f>
        <v>0</v>
      </c>
      <c r="M23" s="134"/>
      <c r="N23" s="146">
        <v>19.0</v>
      </c>
      <c r="O23" s="135">
        <v>0.848</v>
      </c>
      <c r="P23" s="135">
        <v>0.848</v>
      </c>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row>
    <row r="24" ht="14.25" customHeight="1">
      <c r="A24" s="134"/>
      <c r="B24" s="134"/>
      <c r="C24" s="135" t="s">
        <v>243</v>
      </c>
      <c r="D24" s="135" t="str">
        <f>TEXT(INT(D23*100),"0")</f>
        <v>13</v>
      </c>
      <c r="E24" s="135"/>
      <c r="F24" s="134"/>
      <c r="G24" s="134"/>
      <c r="H24" s="135">
        <f t="shared" si="1"/>
        <v>23</v>
      </c>
      <c r="I24" s="138">
        <f t="array" ref="I24">IFERROR(IF($D$15=1,VLOOKUP(H24,INDIRECT(VLOOKUP(INPUT!$C$9,'Product Data'!$D$3:$AD$9810,27,FALSE)),2,1),IF($D$15=2,VLOOKUP($D$7,INDIRECT(VLOOKUP(INPUT!$C$10,'Product Data'!$D$3:$AD$9810,27,FALSE)),2,1),HLOOKUP(H24,INDIRECT(VLOOKUP(INPUT!$C$9,'Product Data'!$D$3:$AD$9810,27,FALSE)),MATCH($D$7,INDEX(INDIRECT(VLOOKUP(INPUT!$C$9,'Product Data'!$D$3:$AD$9810,27,FALSE)),0,1),1),TRUE))),0)</f>
        <v>0</v>
      </c>
      <c r="J24" s="139">
        <f>IFERROR(HLOOKUP(H24,INDIRECT(VLOOKUP(INPUT!$C$9,'Product Data'!$D$3:$AF$9810,29,FALSE)),2,FALSE),0)</f>
        <v>0</v>
      </c>
      <c r="K24" s="140">
        <f>IFERROR(HLOOKUP(H24,INDIRECT(VLOOKUP(INPUT!$C$9,'Product Data'!$D$3:$AF$9810,29,FALSE)),3,FALSE),0)</f>
        <v>0.0083</v>
      </c>
      <c r="L24" s="141">
        <f>IF(H24&gt;PT,0,VLOOKUP(H24,'LA %'!$A$2:$BS$31,MATCH('Pre-Calculation'!$D$19,'LA %'!$A$1:$BS$1,0)))</f>
        <v>0</v>
      </c>
      <c r="M24" s="134"/>
      <c r="N24" s="146">
        <v>20.0</v>
      </c>
      <c r="O24" s="135">
        <v>0.8875</v>
      </c>
      <c r="P24" s="135">
        <v>0.8875</v>
      </c>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row>
    <row r="25" ht="14.25" customHeight="1">
      <c r="A25" s="134"/>
      <c r="B25" s="134"/>
      <c r="C25" s="135" t="s">
        <v>244</v>
      </c>
      <c r="D25" s="155" t="str">
        <f>TEXT(ROUND(100*(D23*100-D24),2),"0")</f>
        <v>93</v>
      </c>
      <c r="E25" s="135"/>
      <c r="F25" s="134"/>
      <c r="G25" s="134"/>
      <c r="H25" s="135">
        <f t="shared" si="1"/>
        <v>24</v>
      </c>
      <c r="I25" s="138">
        <f t="array" ref="I25">IFERROR(IF($D$15=1,VLOOKUP(H25,INDIRECT(VLOOKUP(INPUT!$C$9,'Product Data'!$D$3:$AD$9810,27,FALSE)),2,1),IF($D$15=2,VLOOKUP($D$7,INDIRECT(VLOOKUP(INPUT!$C$10,'Product Data'!$D$3:$AD$9810,27,FALSE)),2,1),HLOOKUP(H25,INDIRECT(VLOOKUP(INPUT!$C$9,'Product Data'!$D$3:$AD$9810,27,FALSE)),MATCH($D$7,INDEX(INDIRECT(VLOOKUP(INPUT!$C$9,'Product Data'!$D$3:$AD$9810,27,FALSE)),0,1),1),TRUE))),0)</f>
        <v>0</v>
      </c>
      <c r="J25" s="139">
        <f>IFERROR(HLOOKUP(H25,INDIRECT(VLOOKUP(INPUT!$C$9,'Product Data'!$D$3:$AF$9810,29,FALSE)),2,FALSE),0)</f>
        <v>0</v>
      </c>
      <c r="K25" s="140">
        <f>IFERROR(HLOOKUP(H25,INDIRECT(VLOOKUP(INPUT!$C$9,'Product Data'!$D$3:$AF$9810,29,FALSE)),3,FALSE),0)</f>
        <v>0.0083</v>
      </c>
      <c r="L25" s="141">
        <f>IF(H25&gt;PT,0,VLOOKUP(H25,'LA %'!$A$2:$BS$31,MATCH('Pre-Calculation'!$D$19,'LA %'!$A$1:$BS$1,0)))</f>
        <v>0</v>
      </c>
      <c r="M25" s="134"/>
      <c r="N25" s="146">
        <v>21.0</v>
      </c>
      <c r="O25" s="135">
        <v>0.9185</v>
      </c>
      <c r="P25" s="135">
        <v>0.9185</v>
      </c>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row>
    <row r="26" ht="14.25" customHeight="1">
      <c r="A26" s="134"/>
      <c r="B26" s="134"/>
      <c r="C26" s="135"/>
      <c r="D26" s="135"/>
      <c r="E26" s="135"/>
      <c r="F26" s="134"/>
      <c r="G26" s="134"/>
      <c r="H26" s="135">
        <f t="shared" si="1"/>
        <v>25</v>
      </c>
      <c r="I26" s="138">
        <f t="array" ref="I26">IFERROR(IF($D$15=1,VLOOKUP(H26,INDIRECT(VLOOKUP(INPUT!$C$9,'Product Data'!$D$3:$AD$9810,27,FALSE)),2,1),IF($D$15=2,VLOOKUP($D$7,INDIRECT(VLOOKUP(INPUT!$C$10,'Product Data'!$D$3:$AD$9810,27,FALSE)),2,1),HLOOKUP(H26,INDIRECT(VLOOKUP(INPUT!$C$9,'Product Data'!$D$3:$AD$9810,27,FALSE)),MATCH($D$7,INDEX(INDIRECT(VLOOKUP(INPUT!$C$9,'Product Data'!$D$3:$AD$9810,27,FALSE)),0,1),1),TRUE))),0)</f>
        <v>0</v>
      </c>
      <c r="J26" s="139">
        <f>IFERROR(HLOOKUP(H26,INDIRECT(VLOOKUP(INPUT!$C$9,'Product Data'!$D$3:$AF$9810,29,FALSE)),2,FALSE),0)</f>
        <v>0</v>
      </c>
      <c r="K26" s="140">
        <f>IFERROR(HLOOKUP(H26,INDIRECT(VLOOKUP(INPUT!$C$9,'Product Data'!$D$3:$AF$9810,29,FALSE)),3,FALSE),0)</f>
        <v>0.0083</v>
      </c>
      <c r="L26" s="141">
        <f>IF(H26&gt;PT,0,VLOOKUP(H26,'LA %'!$A$2:$BS$31,MATCH('Pre-Calculation'!$D$19,'LA %'!$A$1:$BS$1,0)))</f>
        <v>0</v>
      </c>
      <c r="M26" s="134"/>
      <c r="N26" s="146">
        <v>22.0</v>
      </c>
      <c r="O26" s="135">
        <v>0.9425</v>
      </c>
      <c r="P26" s="135">
        <v>0.9425</v>
      </c>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row>
    <row r="27" ht="14.25" customHeight="1">
      <c r="A27" s="134"/>
      <c r="B27" s="134"/>
      <c r="C27" s="135" t="s">
        <v>245</v>
      </c>
      <c r="D27" s="163">
        <v>0.035</v>
      </c>
      <c r="E27" s="149">
        <f t="shared" ref="E27:E28" si="3">(1+D27)^(1/12)-1</f>
        <v>0.002870898719</v>
      </c>
      <c r="F27" s="134"/>
      <c r="G27" s="134"/>
      <c r="H27" s="135">
        <f t="shared" si="1"/>
        <v>26</v>
      </c>
      <c r="I27" s="138">
        <f t="array" ref="I27">IFERROR(IF($D$15=1,VLOOKUP(H27,INDIRECT(VLOOKUP(INPUT!$C$9,'Product Data'!$D$3:$AD$9810,27,FALSE)),2,1),IF($D$15=2,VLOOKUP($D$7,INDIRECT(VLOOKUP(INPUT!$C$10,'Product Data'!$D$3:$AD$9810,27,FALSE)),2,1),HLOOKUP(H27,INDIRECT(VLOOKUP(INPUT!$C$9,'Product Data'!$D$3:$AD$9810,27,FALSE)),MATCH($D$7,INDEX(INDIRECT(VLOOKUP(INPUT!$C$9,'Product Data'!$D$3:$AD$9810,27,FALSE)),0,1),1),TRUE))),0)</f>
        <v>0</v>
      </c>
      <c r="J27" s="139">
        <f>IFERROR(HLOOKUP(H27,INDIRECT(VLOOKUP(INPUT!$C$9,'Product Data'!$D$3:$AF$9810,29,FALSE)),2,FALSE),0)</f>
        <v>0</v>
      </c>
      <c r="K27" s="140">
        <f>IFERROR(HLOOKUP(H27,INDIRECT(VLOOKUP(INPUT!$C$9,'Product Data'!$D$3:$AF$9810,29,FALSE)),3,FALSE),0)</f>
        <v>0.0083</v>
      </c>
      <c r="L27" s="141">
        <f>IF(H27&gt;PT,0,VLOOKUP(H27,'LA %'!$A$2:$BS$31,MATCH('Pre-Calculation'!$D$19,'LA %'!$A$1:$BS$1,0)))</f>
        <v>0</v>
      </c>
      <c r="M27" s="134"/>
      <c r="N27" s="146">
        <v>23.0</v>
      </c>
      <c r="O27" s="135">
        <v>0.9605</v>
      </c>
      <c r="P27" s="135">
        <v>0.9605</v>
      </c>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row>
    <row r="28" ht="14.25" customHeight="1">
      <c r="A28" s="134"/>
      <c r="B28" s="134"/>
      <c r="C28" s="135" t="s">
        <v>246</v>
      </c>
      <c r="D28" s="141">
        <f>T6</f>
        <v>0.0715877102</v>
      </c>
      <c r="E28" s="149">
        <f t="shared" si="3"/>
        <v>0.005778413493</v>
      </c>
      <c r="F28" s="134"/>
      <c r="G28" s="134"/>
      <c r="H28" s="135">
        <f t="shared" si="1"/>
        <v>27</v>
      </c>
      <c r="I28" s="138">
        <f t="array" ref="I28">IFERROR(IF($D$15=1,VLOOKUP(H28,INDIRECT(VLOOKUP(INPUT!$C$9,'Product Data'!$D$3:$AD$9810,27,FALSE)),2,1),IF($D$15=2,VLOOKUP($D$7,INDIRECT(VLOOKUP(INPUT!$C$10,'Product Data'!$D$3:$AD$9810,27,FALSE)),2,1),HLOOKUP(H28,INDIRECT(VLOOKUP(INPUT!$C$9,'Product Data'!$D$3:$AD$9810,27,FALSE)),MATCH($D$7,INDEX(INDIRECT(VLOOKUP(INPUT!$C$9,'Product Data'!$D$3:$AD$9810,27,FALSE)),0,1),1),TRUE))),0)</f>
        <v>0</v>
      </c>
      <c r="J28" s="139">
        <f>IFERROR(HLOOKUP(H28,INDIRECT(VLOOKUP(INPUT!$C$9,'Product Data'!$D$3:$AF$9810,29,FALSE)),2,FALSE),0)</f>
        <v>0</v>
      </c>
      <c r="K28" s="140">
        <f>IFERROR(HLOOKUP(H28,INDIRECT(VLOOKUP(INPUT!$C$9,'Product Data'!$D$3:$AF$9810,29,FALSE)),3,FALSE),0)</f>
        <v>0.0083</v>
      </c>
      <c r="L28" s="141">
        <f>IF(H28&gt;PT,0,VLOOKUP(H28,'LA %'!$A$2:$BS$31,MATCH('Pre-Calculation'!$D$19,'LA %'!$A$1:$BS$1,0)))</f>
        <v>0</v>
      </c>
      <c r="M28" s="134"/>
      <c r="N28" s="146">
        <v>24.0</v>
      </c>
      <c r="O28" s="135">
        <v>0.9735</v>
      </c>
      <c r="P28" s="135">
        <v>0.9735</v>
      </c>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row>
    <row r="29" ht="14.25" customHeight="1">
      <c r="A29" s="134"/>
      <c r="B29" s="134"/>
      <c r="C29" s="135" t="s">
        <v>247</v>
      </c>
      <c r="D29" s="149">
        <v>0.0135</v>
      </c>
      <c r="E29" s="150">
        <f>1-((1-D29/365)^(365/12))</f>
        <v>0.001124388207</v>
      </c>
      <c r="F29" s="134"/>
      <c r="G29" s="134"/>
      <c r="H29" s="135">
        <f t="shared" si="1"/>
        <v>28</v>
      </c>
      <c r="I29" s="138">
        <f t="array" ref="I29">IFERROR(IF($D$15=1,VLOOKUP(H29,INDIRECT(VLOOKUP(INPUT!$C$9,'Product Data'!$D$3:$AD$9810,27,FALSE)),2,1),IF($D$15=2,VLOOKUP($D$7,INDIRECT(VLOOKUP(INPUT!$C$10,'Product Data'!$D$3:$AD$9810,27,FALSE)),2,1),HLOOKUP(H29,INDIRECT(VLOOKUP(INPUT!$C$9,'Product Data'!$D$3:$AD$9810,27,FALSE)),MATCH($D$7,INDEX(INDIRECT(VLOOKUP(INPUT!$C$9,'Product Data'!$D$3:$AD$9810,27,FALSE)),0,1),1),TRUE))),0)</f>
        <v>0</v>
      </c>
      <c r="J29" s="139">
        <f>IFERROR(HLOOKUP(H29,INDIRECT(VLOOKUP(INPUT!$C$9,'Product Data'!$D$3:$AF$9810,29,FALSE)),2,FALSE),0)</f>
        <v>0</v>
      </c>
      <c r="K29" s="140">
        <f>IFERROR(HLOOKUP(H29,INDIRECT(VLOOKUP(INPUT!$C$9,'Product Data'!$D$3:$AF$9810,29,FALSE)),3,FALSE),0)</f>
        <v>0.0083</v>
      </c>
      <c r="L29" s="141">
        <f>IF(H29&gt;PT,0,VLOOKUP(H29,'LA %'!$A$2:$BS$31,MATCH('Pre-Calculation'!$D$19,'LA %'!$A$1:$BS$1,0)))</f>
        <v>0</v>
      </c>
      <c r="M29" s="134"/>
      <c r="N29" s="146">
        <v>25.0</v>
      </c>
      <c r="O29" s="135">
        <v>0.984</v>
      </c>
      <c r="P29" s="135">
        <v>0.984</v>
      </c>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row>
    <row r="30" ht="14.25" customHeight="1">
      <c r="A30" s="134"/>
      <c r="B30" s="134"/>
      <c r="C30" s="135"/>
      <c r="D30" s="135"/>
      <c r="E30" s="135"/>
      <c r="F30" s="134"/>
      <c r="G30" s="134"/>
      <c r="H30" s="135">
        <f t="shared" si="1"/>
        <v>29</v>
      </c>
      <c r="I30" s="138">
        <f t="array" ref="I30">IFERROR(IF($D$15=1,VLOOKUP(H30,INDIRECT(VLOOKUP(INPUT!$C$9,'Product Data'!$D$3:$AD$9810,27,FALSE)),2,1),IF($D$15=2,VLOOKUP($D$7,INDIRECT(VLOOKUP(INPUT!$C$10,'Product Data'!$D$3:$AD$9810,27,FALSE)),2,1),HLOOKUP(H30,INDIRECT(VLOOKUP(INPUT!$C$9,'Product Data'!$D$3:$AD$9810,27,FALSE)),MATCH($D$7,INDEX(INDIRECT(VLOOKUP(INPUT!$C$9,'Product Data'!$D$3:$AD$9810,27,FALSE)),0,1),1),TRUE))),0)</f>
        <v>0</v>
      </c>
      <c r="J30" s="139">
        <f>IFERROR(HLOOKUP(H30,INDIRECT(VLOOKUP(INPUT!$C$9,'Product Data'!$D$3:$AF$9810,29,FALSE)),2,FALSE),0)</f>
        <v>0</v>
      </c>
      <c r="K30" s="140">
        <f>IFERROR(HLOOKUP(H30,INDIRECT(VLOOKUP(INPUT!$C$9,'Product Data'!$D$3:$AF$9810,29,FALSE)),3,FALSE),0)</f>
        <v>0.0083</v>
      </c>
      <c r="L30" s="141">
        <f>IF(H30&gt;PT,0,VLOOKUP(H30,'LA %'!$A$2:$BS$31,MATCH('Pre-Calculation'!$D$19,'LA %'!$A$1:$BS$1,0)))</f>
        <v>0</v>
      </c>
      <c r="M30" s="134"/>
      <c r="N30" s="146">
        <v>26.0</v>
      </c>
      <c r="O30" s="135">
        <v>0.9935</v>
      </c>
      <c r="P30" s="135">
        <v>0.9935</v>
      </c>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row>
    <row r="31" ht="14.25" customHeight="1">
      <c r="A31" s="134"/>
      <c r="B31" s="134"/>
      <c r="C31" s="135" t="s">
        <v>248</v>
      </c>
      <c r="D31" s="149">
        <v>0.02</v>
      </c>
      <c r="E31" s="150">
        <f>1-((1-D31/365)^(365/12))</f>
        <v>0.001665324137</v>
      </c>
      <c r="F31" s="134"/>
      <c r="G31" s="134"/>
      <c r="H31" s="135">
        <f t="shared" si="1"/>
        <v>30</v>
      </c>
      <c r="I31" s="138">
        <f t="array" ref="I31">IFERROR(IF($D$15=1,VLOOKUP(H31,INDIRECT(VLOOKUP(INPUT!$C$9,'Product Data'!$D$3:$AD$9810,27,FALSE)),2,1),IF($D$15=2,VLOOKUP($D$7,INDIRECT(VLOOKUP(INPUT!$C$10,'Product Data'!$D$3:$AD$9810,27,FALSE)),2,1),HLOOKUP(H31,INDIRECT(VLOOKUP(INPUT!$C$9,'Product Data'!$D$3:$AD$9810,27,FALSE)),MATCH($D$7,INDEX(INDIRECT(VLOOKUP(INPUT!$C$9,'Product Data'!$D$3:$AD$9810,27,FALSE)),0,1),1),TRUE))),0)</f>
        <v>0</v>
      </c>
      <c r="J31" s="139">
        <f>IFERROR(HLOOKUP(H31,INDIRECT(VLOOKUP(INPUT!$C$9,'Product Data'!$D$3:$AF$9810,29,FALSE)),2,FALSE),0)</f>
        <v>0</v>
      </c>
      <c r="K31" s="140">
        <f>IFERROR(HLOOKUP(H31,INDIRECT(VLOOKUP(INPUT!$C$9,'Product Data'!$D$3:$AF$9810,29,FALSE)),3,FALSE),0)</f>
        <v>0.0083</v>
      </c>
      <c r="L31" s="141">
        <f>IF(H31&gt;PT,0,VLOOKUP(H31,'LA %'!$A$2:$BS$31,MATCH('Pre-Calculation'!$D$19,'LA %'!$A$1:$BS$1,0)))</f>
        <v>0</v>
      </c>
      <c r="M31" s="134"/>
      <c r="N31" s="146">
        <v>27.0</v>
      </c>
      <c r="O31" s="135">
        <v>1.0035</v>
      </c>
      <c r="P31" s="135">
        <v>1.0035</v>
      </c>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row>
    <row r="32" ht="14.25" customHeight="1">
      <c r="A32" s="134"/>
      <c r="B32" s="134"/>
      <c r="C32" s="134"/>
      <c r="D32" s="134"/>
      <c r="E32" s="134"/>
      <c r="F32" s="134"/>
      <c r="G32" s="134"/>
      <c r="H32" s="134"/>
      <c r="I32" s="134"/>
      <c r="J32" s="134"/>
      <c r="K32" s="134"/>
      <c r="L32" s="134"/>
      <c r="M32" s="134"/>
      <c r="N32" s="146">
        <v>28.0</v>
      </c>
      <c r="O32" s="135">
        <v>1.0165</v>
      </c>
      <c r="P32" s="135">
        <v>1.0165</v>
      </c>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row>
    <row r="33" ht="14.25" customHeight="1">
      <c r="A33" s="134"/>
      <c r="B33" s="134"/>
      <c r="C33" s="164" t="s">
        <v>249</v>
      </c>
      <c r="D33" s="165" t="s">
        <v>250</v>
      </c>
      <c r="E33" s="134"/>
      <c r="F33" s="134"/>
      <c r="G33" s="134"/>
      <c r="H33" s="134"/>
      <c r="I33" s="134"/>
      <c r="J33" s="134"/>
      <c r="K33" s="134"/>
      <c r="L33" s="134"/>
      <c r="M33" s="134"/>
      <c r="N33" s="146">
        <v>29.0</v>
      </c>
      <c r="O33" s="135">
        <v>1.0335</v>
      </c>
      <c r="P33" s="135">
        <v>1.0335</v>
      </c>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row>
    <row r="34" ht="14.25" customHeight="1">
      <c r="A34" s="134"/>
      <c r="B34" s="134"/>
      <c r="C34" s="166" t="str">
        <f t="array" ref="C34">INDEX(INPUT!B20:B28,MATCH(TRUE,EXACT(C35,INPUT!A20:A28),0))</f>
        <v>Equity Plus Fund</v>
      </c>
      <c r="D34" s="167" t="str">
        <f t="array" ref="D34">IFERROR((INDEX(INPUT!B20:B28,SMALL(IF(C23=INPUT!A20:A28,ROW(INPUT!A20:A28)-ROW(INPUT!A20)+1),2))),"")</f>
        <v/>
      </c>
      <c r="E34" s="134"/>
      <c r="F34" s="134"/>
      <c r="G34" s="134"/>
      <c r="H34" s="134"/>
      <c r="I34" s="134"/>
      <c r="J34" s="134"/>
      <c r="K34" s="134"/>
      <c r="L34" s="134"/>
      <c r="M34" s="134"/>
      <c r="N34" s="146">
        <v>30.0</v>
      </c>
      <c r="O34" s="135">
        <v>1.0555</v>
      </c>
      <c r="P34" s="135">
        <v>1.0555</v>
      </c>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row>
    <row r="35" ht="14.25" customHeight="1">
      <c r="A35" s="134"/>
      <c r="B35" s="134"/>
      <c r="C35" s="134">
        <v>1.0</v>
      </c>
      <c r="D35" s="134">
        <v>2.0</v>
      </c>
      <c r="E35" s="134"/>
      <c r="F35" s="134"/>
      <c r="G35" s="134"/>
      <c r="H35" s="134"/>
      <c r="I35" s="134"/>
      <c r="J35" s="134"/>
      <c r="K35" s="134"/>
      <c r="L35" s="134"/>
      <c r="M35" s="134"/>
      <c r="N35" s="146">
        <v>31.0</v>
      </c>
      <c r="O35" s="135">
        <v>1.0835</v>
      </c>
      <c r="P35" s="135">
        <v>1.0835</v>
      </c>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row>
    <row r="36" ht="14.25" customHeight="1">
      <c r="A36" s="134"/>
      <c r="B36" s="134"/>
      <c r="C36" s="134"/>
      <c r="D36" s="134"/>
      <c r="E36" s="134"/>
      <c r="F36" s="134"/>
      <c r="G36" s="134"/>
      <c r="H36" s="134"/>
      <c r="I36" s="134"/>
      <c r="J36" s="134"/>
      <c r="K36" s="134"/>
      <c r="L36" s="134"/>
      <c r="M36" s="134"/>
      <c r="N36" s="146">
        <v>32.0</v>
      </c>
      <c r="O36" s="135">
        <v>1.119</v>
      </c>
      <c r="P36" s="135">
        <v>1.119</v>
      </c>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row>
    <row r="37" ht="14.25" customHeight="1">
      <c r="A37" s="134"/>
      <c r="B37" s="134"/>
      <c r="C37" s="134"/>
      <c r="D37" s="134"/>
      <c r="E37" s="134"/>
      <c r="F37" s="134"/>
      <c r="G37" s="134"/>
      <c r="H37" s="134"/>
      <c r="I37" s="134"/>
      <c r="J37" s="134"/>
      <c r="K37" s="134"/>
      <c r="L37" s="134"/>
      <c r="M37" s="134"/>
      <c r="N37" s="146">
        <v>33.0</v>
      </c>
      <c r="O37" s="135">
        <v>1.1635</v>
      </c>
      <c r="P37" s="135">
        <v>1.1635</v>
      </c>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row>
    <row r="38" ht="14.25" customHeight="1">
      <c r="A38" s="134"/>
      <c r="B38" s="134"/>
      <c r="C38" s="134"/>
      <c r="D38" s="134"/>
      <c r="E38" s="134"/>
      <c r="F38" s="134"/>
      <c r="G38" s="134"/>
      <c r="H38" s="134"/>
      <c r="I38" s="134"/>
      <c r="J38" s="134"/>
      <c r="K38" s="134"/>
      <c r="L38" s="134"/>
      <c r="M38" s="134"/>
      <c r="N38" s="146">
        <v>34.0</v>
      </c>
      <c r="O38" s="135">
        <v>1.2175</v>
      </c>
      <c r="P38" s="135">
        <v>1.2175</v>
      </c>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row>
    <row r="39" ht="14.25" customHeight="1">
      <c r="A39" s="134"/>
      <c r="B39" s="134"/>
      <c r="C39" s="134"/>
      <c r="D39" s="134"/>
      <c r="E39" s="134"/>
      <c r="F39" s="134"/>
      <c r="G39" s="134"/>
      <c r="H39" s="134"/>
      <c r="I39" s="134"/>
      <c r="J39" s="134"/>
      <c r="K39" s="134"/>
      <c r="L39" s="134"/>
      <c r="M39" s="134"/>
      <c r="N39" s="146">
        <v>35.0</v>
      </c>
      <c r="O39" s="135">
        <v>1.282</v>
      </c>
      <c r="P39" s="135">
        <v>1.282</v>
      </c>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row>
    <row r="40" ht="14.25" customHeight="1">
      <c r="A40" s="134"/>
      <c r="B40" s="134"/>
      <c r="C40" s="134"/>
      <c r="D40" s="134"/>
      <c r="E40" s="134"/>
      <c r="F40" s="134"/>
      <c r="G40" s="134"/>
      <c r="H40" s="134"/>
      <c r="I40" s="134"/>
      <c r="J40" s="134"/>
      <c r="K40" s="134"/>
      <c r="L40" s="134"/>
      <c r="M40" s="134"/>
      <c r="N40" s="146">
        <v>36.0</v>
      </c>
      <c r="O40" s="135">
        <v>1.358</v>
      </c>
      <c r="P40" s="135">
        <v>1.358</v>
      </c>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row>
    <row r="41" ht="14.25" customHeight="1">
      <c r="A41" s="134"/>
      <c r="B41" s="134"/>
      <c r="C41" s="134"/>
      <c r="D41" s="134"/>
      <c r="E41" s="134"/>
      <c r="F41" s="134"/>
      <c r="G41" s="134"/>
      <c r="H41" s="134"/>
      <c r="I41" s="134"/>
      <c r="J41" s="134"/>
      <c r="K41" s="134"/>
      <c r="L41" s="134"/>
      <c r="M41" s="134"/>
      <c r="N41" s="146">
        <v>37.0</v>
      </c>
      <c r="O41" s="135">
        <v>1.4465</v>
      </c>
      <c r="P41" s="135">
        <v>1.4465</v>
      </c>
      <c r="Q41" s="1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row>
    <row r="42" ht="14.25" customHeight="1">
      <c r="A42" s="134"/>
      <c r="B42" s="134"/>
      <c r="C42" s="134"/>
      <c r="D42" s="134"/>
      <c r="E42" s="134"/>
      <c r="F42" s="134"/>
      <c r="G42" s="134"/>
      <c r="H42" s="134"/>
      <c r="I42" s="134"/>
      <c r="J42" s="134"/>
      <c r="K42" s="134"/>
      <c r="L42" s="134"/>
      <c r="M42" s="134"/>
      <c r="N42" s="146">
        <v>38.0</v>
      </c>
      <c r="O42" s="135">
        <v>1.549</v>
      </c>
      <c r="P42" s="135">
        <v>1.549</v>
      </c>
      <c r="Q42" s="1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row>
    <row r="43" ht="14.25" customHeight="1">
      <c r="A43" s="134"/>
      <c r="B43" s="134"/>
      <c r="C43" s="134"/>
      <c r="D43" s="134"/>
      <c r="E43" s="134"/>
      <c r="F43" s="134"/>
      <c r="G43" s="134"/>
      <c r="H43" s="134"/>
      <c r="I43" s="134"/>
      <c r="J43" s="134"/>
      <c r="K43" s="134"/>
      <c r="L43" s="134"/>
      <c r="M43" s="134"/>
      <c r="N43" s="146">
        <v>39.0</v>
      </c>
      <c r="O43" s="135">
        <v>1.667</v>
      </c>
      <c r="P43" s="135">
        <v>1.667</v>
      </c>
      <c r="Q43" s="1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row>
    <row r="44" ht="14.25" customHeight="1">
      <c r="A44" s="134"/>
      <c r="B44" s="134"/>
      <c r="C44" s="134"/>
      <c r="D44" s="134"/>
      <c r="E44" s="134"/>
      <c r="F44" s="134"/>
      <c r="G44" s="134"/>
      <c r="H44" s="134"/>
      <c r="I44" s="134"/>
      <c r="J44" s="134"/>
      <c r="K44" s="134"/>
      <c r="L44" s="134"/>
      <c r="M44" s="134"/>
      <c r="N44" s="146">
        <v>40.0</v>
      </c>
      <c r="O44" s="135">
        <v>1.8025</v>
      </c>
      <c r="P44" s="135">
        <v>1.8025</v>
      </c>
      <c r="Q44" s="1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row>
    <row r="45" ht="14.25" customHeight="1">
      <c r="A45" s="134"/>
      <c r="B45" s="134"/>
      <c r="C45" s="134"/>
      <c r="D45" s="134"/>
      <c r="E45" s="134"/>
      <c r="F45" s="134"/>
      <c r="G45" s="134"/>
      <c r="H45" s="134"/>
      <c r="I45" s="134"/>
      <c r="J45" s="134"/>
      <c r="K45" s="134"/>
      <c r="L45" s="134"/>
      <c r="M45" s="134"/>
      <c r="N45" s="146">
        <v>41.0</v>
      </c>
      <c r="O45" s="135">
        <v>1.959</v>
      </c>
      <c r="P45" s="135">
        <v>1.959</v>
      </c>
      <c r="Q45" s="1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row>
    <row r="46" ht="14.25" customHeight="1">
      <c r="A46" s="134"/>
      <c r="B46" s="134"/>
      <c r="C46" s="134"/>
      <c r="D46" s="134"/>
      <c r="E46" s="134"/>
      <c r="F46" s="134"/>
      <c r="G46" s="134"/>
      <c r="H46" s="134"/>
      <c r="I46" s="134"/>
      <c r="J46" s="134"/>
      <c r="K46" s="134"/>
      <c r="L46" s="134"/>
      <c r="M46" s="134"/>
      <c r="N46" s="146">
        <v>42.0</v>
      </c>
      <c r="O46" s="135">
        <v>2.14</v>
      </c>
      <c r="P46" s="135">
        <v>2.14</v>
      </c>
      <c r="Q46" s="134"/>
      <c r="R46" s="134"/>
      <c r="S46" s="134"/>
      <c r="T46" s="134"/>
      <c r="U46" s="134"/>
      <c r="V46" s="134"/>
      <c r="W46" s="134"/>
      <c r="X46" s="134"/>
      <c r="Y46" s="134"/>
      <c r="Z46" s="134"/>
      <c r="AA46" s="134"/>
      <c r="AB46" s="134"/>
      <c r="AC46" s="134"/>
      <c r="AD46" s="134"/>
      <c r="AE46" s="134"/>
      <c r="AF46" s="134"/>
      <c r="AG46" s="134"/>
      <c r="AH46" s="134"/>
      <c r="AI46" s="134"/>
      <c r="AJ46" s="134"/>
      <c r="AK46" s="134"/>
      <c r="AL46" s="134"/>
      <c r="AM46" s="134"/>
      <c r="AN46" s="134"/>
      <c r="AO46" s="134"/>
    </row>
    <row r="47" ht="14.25" customHeight="1">
      <c r="A47" s="134"/>
      <c r="B47" s="134"/>
      <c r="C47" s="134"/>
      <c r="D47" s="134"/>
      <c r="E47" s="134"/>
      <c r="F47" s="134"/>
      <c r="G47" s="134"/>
      <c r="H47" s="134"/>
      <c r="I47" s="134"/>
      <c r="J47" s="134"/>
      <c r="K47" s="134"/>
      <c r="L47" s="134"/>
      <c r="M47" s="134"/>
      <c r="N47" s="146">
        <v>43.0</v>
      </c>
      <c r="O47" s="135">
        <v>2.3495</v>
      </c>
      <c r="P47" s="135">
        <v>2.3495</v>
      </c>
      <c r="Q47" s="134"/>
      <c r="R47" s="134"/>
      <c r="S47" s="134"/>
      <c r="T47" s="134"/>
      <c r="U47" s="134"/>
      <c r="V47" s="134"/>
      <c r="W47" s="134"/>
      <c r="X47" s="134"/>
      <c r="Y47" s="134"/>
      <c r="Z47" s="134"/>
      <c r="AA47" s="134"/>
      <c r="AB47" s="134"/>
      <c r="AC47" s="134"/>
      <c r="AD47" s="134"/>
      <c r="AE47" s="134"/>
      <c r="AF47" s="134"/>
      <c r="AG47" s="134"/>
      <c r="AH47" s="134"/>
      <c r="AI47" s="134"/>
      <c r="AJ47" s="134"/>
      <c r="AK47" s="134"/>
      <c r="AL47" s="134"/>
      <c r="AM47" s="134"/>
      <c r="AN47" s="134"/>
      <c r="AO47" s="134"/>
    </row>
    <row r="48" ht="14.25" customHeight="1">
      <c r="A48" s="134"/>
      <c r="B48" s="134"/>
      <c r="C48" s="134"/>
      <c r="D48" s="134"/>
      <c r="E48" s="134"/>
      <c r="F48" s="134"/>
      <c r="G48" s="134"/>
      <c r="H48" s="134"/>
      <c r="I48" s="134"/>
      <c r="J48" s="134"/>
      <c r="K48" s="134"/>
      <c r="L48" s="134"/>
      <c r="M48" s="134"/>
      <c r="N48" s="146">
        <v>44.0</v>
      </c>
      <c r="O48" s="135">
        <v>2.5925</v>
      </c>
      <c r="P48" s="135">
        <v>2.5925</v>
      </c>
      <c r="Q48" s="134"/>
      <c r="R48" s="134"/>
      <c r="S48" s="134"/>
      <c r="T48" s="134"/>
      <c r="U48" s="134"/>
      <c r="V48" s="134"/>
      <c r="W48" s="134"/>
      <c r="X48" s="134"/>
      <c r="Y48" s="134"/>
      <c r="Z48" s="134"/>
      <c r="AA48" s="134"/>
      <c r="AB48" s="134"/>
      <c r="AC48" s="134"/>
      <c r="AD48" s="134"/>
      <c r="AE48" s="134"/>
      <c r="AF48" s="134"/>
      <c r="AG48" s="134"/>
      <c r="AH48" s="134"/>
      <c r="AI48" s="134"/>
      <c r="AJ48" s="134"/>
      <c r="AK48" s="134"/>
      <c r="AL48" s="134"/>
      <c r="AM48" s="134"/>
      <c r="AN48" s="134"/>
      <c r="AO48" s="134"/>
    </row>
    <row r="49" ht="14.25" customHeight="1">
      <c r="A49" s="134"/>
      <c r="B49" s="134"/>
      <c r="C49" s="134"/>
      <c r="D49" s="134"/>
      <c r="E49" s="134"/>
      <c r="F49" s="134"/>
      <c r="G49" s="134"/>
      <c r="H49" s="134"/>
      <c r="I49" s="134"/>
      <c r="J49" s="134"/>
      <c r="K49" s="134"/>
      <c r="L49" s="134"/>
      <c r="M49" s="134"/>
      <c r="N49" s="146">
        <v>45.0</v>
      </c>
      <c r="O49" s="135">
        <v>2.8735</v>
      </c>
      <c r="P49" s="135">
        <v>2.8735</v>
      </c>
      <c r="Q49" s="134"/>
      <c r="R49" s="134"/>
      <c r="S49" s="134"/>
      <c r="T49" s="134"/>
      <c r="U49" s="134"/>
      <c r="V49" s="134"/>
      <c r="W49" s="134"/>
      <c r="X49" s="134"/>
      <c r="Y49" s="134"/>
      <c r="Z49" s="134"/>
      <c r="AA49" s="134"/>
      <c r="AB49" s="134"/>
      <c r="AC49" s="134"/>
      <c r="AD49" s="134"/>
      <c r="AE49" s="134"/>
      <c r="AF49" s="134"/>
      <c r="AG49" s="134"/>
      <c r="AH49" s="134"/>
      <c r="AI49" s="134"/>
      <c r="AJ49" s="134"/>
      <c r="AK49" s="134"/>
      <c r="AL49" s="134"/>
      <c r="AM49" s="134"/>
      <c r="AN49" s="134"/>
      <c r="AO49" s="134"/>
    </row>
    <row r="50" ht="14.25" customHeight="1">
      <c r="A50" s="134"/>
      <c r="B50" s="134"/>
      <c r="C50" s="134"/>
      <c r="D50" s="134"/>
      <c r="E50" s="134"/>
      <c r="F50" s="134"/>
      <c r="G50" s="134"/>
      <c r="H50" s="134"/>
      <c r="I50" s="134"/>
      <c r="J50" s="134"/>
      <c r="K50" s="134"/>
      <c r="L50" s="134"/>
      <c r="M50" s="134"/>
      <c r="N50" s="146">
        <v>46.0</v>
      </c>
      <c r="O50" s="135">
        <v>3.197</v>
      </c>
      <c r="P50" s="135">
        <v>3.197</v>
      </c>
      <c r="Q50" s="134"/>
      <c r="R50" s="134"/>
      <c r="S50" s="134"/>
      <c r="T50" s="134"/>
      <c r="U50" s="134"/>
      <c r="V50" s="134"/>
      <c r="W50" s="134"/>
      <c r="X50" s="134"/>
      <c r="Y50" s="134"/>
      <c r="Z50" s="134"/>
      <c r="AA50" s="134"/>
      <c r="AB50" s="134"/>
      <c r="AC50" s="134"/>
      <c r="AD50" s="134"/>
      <c r="AE50" s="134"/>
      <c r="AF50" s="134"/>
      <c r="AG50" s="134"/>
      <c r="AH50" s="134"/>
      <c r="AI50" s="134"/>
      <c r="AJ50" s="134"/>
      <c r="AK50" s="134"/>
      <c r="AL50" s="134"/>
      <c r="AM50" s="134"/>
      <c r="AN50" s="134"/>
      <c r="AO50" s="134"/>
    </row>
    <row r="51" ht="14.25" customHeight="1">
      <c r="A51" s="134"/>
      <c r="B51" s="134"/>
      <c r="C51" s="134"/>
      <c r="D51" s="134"/>
      <c r="E51" s="134"/>
      <c r="F51" s="134"/>
      <c r="G51" s="134"/>
      <c r="H51" s="134"/>
      <c r="I51" s="134"/>
      <c r="J51" s="134"/>
      <c r="K51" s="134"/>
      <c r="L51" s="134"/>
      <c r="M51" s="134"/>
      <c r="N51" s="146">
        <v>47.0</v>
      </c>
      <c r="O51" s="135">
        <v>3.5665</v>
      </c>
      <c r="P51" s="135">
        <v>3.5665</v>
      </c>
      <c r="Q51" s="134"/>
      <c r="R51" s="134"/>
      <c r="S51" s="134"/>
      <c r="T51" s="134"/>
      <c r="U51" s="134"/>
      <c r="V51" s="134"/>
      <c r="W51" s="134"/>
      <c r="X51" s="134"/>
      <c r="Y51" s="134"/>
      <c r="Z51" s="134"/>
      <c r="AA51" s="134"/>
      <c r="AB51" s="134"/>
      <c r="AC51" s="134"/>
      <c r="AD51" s="134"/>
      <c r="AE51" s="134"/>
      <c r="AF51" s="134"/>
      <c r="AG51" s="134"/>
      <c r="AH51" s="134"/>
      <c r="AI51" s="134"/>
      <c r="AJ51" s="134"/>
      <c r="AK51" s="134"/>
      <c r="AL51" s="134"/>
      <c r="AM51" s="134"/>
      <c r="AN51" s="134"/>
      <c r="AO51" s="134"/>
    </row>
    <row r="52" ht="14.25" customHeight="1">
      <c r="A52" s="134"/>
      <c r="B52" s="134"/>
      <c r="C52" s="134"/>
      <c r="D52" s="134"/>
      <c r="E52" s="134"/>
      <c r="F52" s="134"/>
      <c r="G52" s="134"/>
      <c r="H52" s="134"/>
      <c r="I52" s="134"/>
      <c r="J52" s="134"/>
      <c r="K52" s="134"/>
      <c r="L52" s="134"/>
      <c r="M52" s="134"/>
      <c r="N52" s="146">
        <v>48.0</v>
      </c>
      <c r="O52" s="135">
        <v>3.9825</v>
      </c>
      <c r="P52" s="135">
        <v>3.9825</v>
      </c>
      <c r="Q52" s="134"/>
      <c r="R52" s="134"/>
      <c r="S52" s="134"/>
      <c r="T52" s="134"/>
      <c r="U52" s="134"/>
      <c r="V52" s="134"/>
      <c r="W52" s="134"/>
      <c r="X52" s="134"/>
      <c r="Y52" s="134"/>
      <c r="Z52" s="134"/>
      <c r="AA52" s="134"/>
      <c r="AB52" s="134"/>
      <c r="AC52" s="134"/>
      <c r="AD52" s="134"/>
      <c r="AE52" s="134"/>
      <c r="AF52" s="134"/>
      <c r="AG52" s="134"/>
      <c r="AH52" s="134"/>
      <c r="AI52" s="134"/>
      <c r="AJ52" s="134"/>
      <c r="AK52" s="134"/>
      <c r="AL52" s="134"/>
      <c r="AM52" s="134"/>
      <c r="AN52" s="134"/>
      <c r="AO52" s="134"/>
    </row>
    <row r="53" ht="14.25" customHeight="1">
      <c r="A53" s="134"/>
      <c r="B53" s="134"/>
      <c r="C53" s="134"/>
      <c r="D53" s="134"/>
      <c r="E53" s="134"/>
      <c r="F53" s="134"/>
      <c r="G53" s="134"/>
      <c r="H53" s="134"/>
      <c r="I53" s="134"/>
      <c r="J53" s="134"/>
      <c r="K53" s="134"/>
      <c r="L53" s="134"/>
      <c r="M53" s="134"/>
      <c r="N53" s="146">
        <v>49.0</v>
      </c>
      <c r="O53" s="135">
        <v>4.4435</v>
      </c>
      <c r="P53" s="135">
        <v>4.4435</v>
      </c>
      <c r="Q53" s="134"/>
      <c r="R53" s="134"/>
      <c r="S53" s="134"/>
      <c r="T53" s="134"/>
      <c r="U53" s="134"/>
      <c r="V53" s="134"/>
      <c r="W53" s="134"/>
      <c r="X53" s="134"/>
      <c r="Y53" s="134"/>
      <c r="Z53" s="134"/>
      <c r="AA53" s="134"/>
      <c r="AB53" s="134"/>
      <c r="AC53" s="134"/>
      <c r="AD53" s="134"/>
      <c r="AE53" s="134"/>
      <c r="AF53" s="134"/>
      <c r="AG53" s="134"/>
      <c r="AH53" s="134"/>
      <c r="AI53" s="134"/>
      <c r="AJ53" s="134"/>
      <c r="AK53" s="134"/>
      <c r="AL53" s="134"/>
      <c r="AM53" s="134"/>
      <c r="AN53" s="134"/>
      <c r="AO53" s="134"/>
    </row>
    <row r="54" ht="14.25" customHeight="1">
      <c r="A54" s="134"/>
      <c r="B54" s="134"/>
      <c r="C54" s="134"/>
      <c r="D54" s="134"/>
      <c r="E54" s="134"/>
      <c r="F54" s="134"/>
      <c r="G54" s="134"/>
      <c r="H54" s="134"/>
      <c r="I54" s="134"/>
      <c r="J54" s="134"/>
      <c r="K54" s="134"/>
      <c r="L54" s="134"/>
      <c r="M54" s="134"/>
      <c r="N54" s="146">
        <v>50.0</v>
      </c>
      <c r="O54" s="135">
        <v>4.9455</v>
      </c>
      <c r="P54" s="135">
        <v>4.9455</v>
      </c>
      <c r="Q54" s="134"/>
      <c r="R54" s="134"/>
      <c r="S54" s="134"/>
      <c r="T54" s="134"/>
      <c r="U54" s="134"/>
      <c r="V54" s="134"/>
      <c r="W54" s="134"/>
      <c r="X54" s="134"/>
      <c r="Y54" s="134"/>
      <c r="Z54" s="134"/>
      <c r="AA54" s="134"/>
      <c r="AB54" s="134"/>
      <c r="AC54" s="134"/>
      <c r="AD54" s="134"/>
      <c r="AE54" s="134"/>
      <c r="AF54" s="134"/>
      <c r="AG54" s="134"/>
      <c r="AH54" s="134"/>
      <c r="AI54" s="134"/>
      <c r="AJ54" s="134"/>
      <c r="AK54" s="134"/>
      <c r="AL54" s="134"/>
      <c r="AM54" s="134"/>
      <c r="AN54" s="134"/>
      <c r="AO54" s="134"/>
    </row>
    <row r="55" ht="14.25" customHeight="1">
      <c r="A55" s="134"/>
      <c r="B55" s="134"/>
      <c r="C55" s="134"/>
      <c r="D55" s="134"/>
      <c r="E55" s="134"/>
      <c r="F55" s="134"/>
      <c r="G55" s="134"/>
      <c r="H55" s="134"/>
      <c r="I55" s="134"/>
      <c r="J55" s="134"/>
      <c r="K55" s="134"/>
      <c r="L55" s="134"/>
      <c r="M55" s="134"/>
      <c r="N55" s="146">
        <v>51.0</v>
      </c>
      <c r="O55" s="135">
        <v>5.483</v>
      </c>
      <c r="P55" s="135">
        <v>5.483</v>
      </c>
      <c r="Q55" s="134"/>
      <c r="R55" s="134"/>
      <c r="S55" s="134"/>
      <c r="T55" s="134"/>
      <c r="U55" s="134"/>
      <c r="V55" s="134"/>
      <c r="W55" s="134"/>
      <c r="X55" s="134"/>
      <c r="Y55" s="134"/>
      <c r="Z55" s="134"/>
      <c r="AA55" s="134"/>
      <c r="AB55" s="134"/>
      <c r="AC55" s="134"/>
      <c r="AD55" s="134"/>
      <c r="AE55" s="134"/>
      <c r="AF55" s="134"/>
      <c r="AG55" s="134"/>
      <c r="AH55" s="134"/>
      <c r="AI55" s="134"/>
      <c r="AJ55" s="134"/>
      <c r="AK55" s="134"/>
      <c r="AL55" s="134"/>
      <c r="AM55" s="134"/>
      <c r="AN55" s="134"/>
      <c r="AO55" s="134"/>
    </row>
    <row r="56" ht="14.25" customHeight="1">
      <c r="A56" s="134"/>
      <c r="B56" s="134"/>
      <c r="C56" s="134"/>
      <c r="D56" s="134"/>
      <c r="E56" s="134"/>
      <c r="F56" s="134"/>
      <c r="G56" s="134"/>
      <c r="H56" s="134"/>
      <c r="I56" s="134"/>
      <c r="J56" s="134"/>
      <c r="K56" s="134"/>
      <c r="L56" s="134"/>
      <c r="M56" s="134"/>
      <c r="N56" s="146">
        <v>52.0</v>
      </c>
      <c r="O56" s="135">
        <v>6.0505</v>
      </c>
      <c r="P56" s="135">
        <v>6.0505</v>
      </c>
      <c r="Q56" s="134"/>
      <c r="R56" s="134"/>
      <c r="S56" s="134"/>
      <c r="T56" s="134"/>
      <c r="U56" s="134"/>
      <c r="V56" s="134"/>
      <c r="W56" s="134"/>
      <c r="X56" s="134"/>
      <c r="Y56" s="134"/>
      <c r="Z56" s="134"/>
      <c r="AA56" s="134"/>
      <c r="AB56" s="134"/>
      <c r="AC56" s="134"/>
      <c r="AD56" s="134"/>
      <c r="AE56" s="134"/>
      <c r="AF56" s="134"/>
      <c r="AG56" s="134"/>
      <c r="AH56" s="134"/>
      <c r="AI56" s="134"/>
      <c r="AJ56" s="134"/>
      <c r="AK56" s="134"/>
      <c r="AL56" s="134"/>
      <c r="AM56" s="134"/>
      <c r="AN56" s="134"/>
      <c r="AO56" s="134"/>
    </row>
    <row r="57" ht="14.25" customHeight="1">
      <c r="A57" s="134"/>
      <c r="B57" s="134"/>
      <c r="C57" s="134"/>
      <c r="D57" s="134"/>
      <c r="E57" s="134"/>
      <c r="F57" s="134"/>
      <c r="G57" s="134"/>
      <c r="H57" s="134"/>
      <c r="I57" s="134"/>
      <c r="J57" s="134"/>
      <c r="K57" s="134"/>
      <c r="L57" s="134"/>
      <c r="M57" s="134"/>
      <c r="N57" s="146">
        <v>53.0</v>
      </c>
      <c r="O57" s="135">
        <v>6.6425</v>
      </c>
      <c r="P57" s="135">
        <v>6.6425</v>
      </c>
      <c r="Q57" s="134"/>
      <c r="R57" s="134"/>
      <c r="S57" s="134"/>
      <c r="T57" s="134"/>
      <c r="U57" s="134"/>
      <c r="V57" s="134"/>
      <c r="W57" s="134"/>
      <c r="X57" s="134"/>
      <c r="Y57" s="134"/>
      <c r="Z57" s="134"/>
      <c r="AA57" s="134"/>
      <c r="AB57" s="134"/>
      <c r="AC57" s="134"/>
      <c r="AD57" s="134"/>
      <c r="AE57" s="134"/>
      <c r="AF57" s="134"/>
      <c r="AG57" s="134"/>
      <c r="AH57" s="134"/>
      <c r="AI57" s="134"/>
      <c r="AJ57" s="134"/>
      <c r="AK57" s="134"/>
      <c r="AL57" s="134"/>
      <c r="AM57" s="134"/>
      <c r="AN57" s="134"/>
      <c r="AO57" s="134"/>
    </row>
    <row r="58" ht="14.25" customHeight="1">
      <c r="A58" s="134"/>
      <c r="B58" s="134"/>
      <c r="C58" s="134"/>
      <c r="D58" s="134"/>
      <c r="E58" s="134"/>
      <c r="F58" s="134"/>
      <c r="G58" s="134"/>
      <c r="H58" s="134"/>
      <c r="I58" s="134"/>
      <c r="J58" s="134"/>
      <c r="K58" s="134"/>
      <c r="L58" s="134"/>
      <c r="M58" s="134"/>
      <c r="N58" s="146">
        <v>54.0</v>
      </c>
      <c r="O58" s="135">
        <v>7.2555</v>
      </c>
      <c r="P58" s="135">
        <v>7.2555</v>
      </c>
      <c r="Q58" s="134"/>
      <c r="R58" s="134"/>
      <c r="S58" s="134"/>
      <c r="T58" s="134"/>
      <c r="U58" s="134"/>
      <c r="V58" s="134"/>
      <c r="W58" s="134"/>
      <c r="X58" s="134"/>
      <c r="Y58" s="134"/>
      <c r="Z58" s="134"/>
      <c r="AA58" s="134"/>
      <c r="AB58" s="134"/>
      <c r="AC58" s="134"/>
      <c r="AD58" s="134"/>
      <c r="AE58" s="134"/>
      <c r="AF58" s="134"/>
      <c r="AG58" s="134"/>
      <c r="AH58" s="134"/>
      <c r="AI58" s="134"/>
      <c r="AJ58" s="134"/>
      <c r="AK58" s="134"/>
      <c r="AL58" s="134"/>
      <c r="AM58" s="134"/>
      <c r="AN58" s="134"/>
      <c r="AO58" s="134"/>
    </row>
    <row r="59" ht="14.25" customHeight="1">
      <c r="A59" s="134"/>
      <c r="B59" s="134"/>
      <c r="C59" s="134"/>
      <c r="D59" s="134"/>
      <c r="E59" s="134"/>
      <c r="F59" s="134"/>
      <c r="G59" s="134"/>
      <c r="H59" s="134"/>
      <c r="I59" s="134"/>
      <c r="J59" s="134"/>
      <c r="K59" s="134"/>
      <c r="L59" s="134"/>
      <c r="M59" s="134"/>
      <c r="N59" s="146">
        <v>55.0</v>
      </c>
      <c r="O59" s="135">
        <v>7.888</v>
      </c>
      <c r="P59" s="135">
        <v>7.888</v>
      </c>
      <c r="Q59" s="134"/>
      <c r="R59" s="134"/>
      <c r="S59" s="134"/>
      <c r="T59" s="134"/>
      <c r="U59" s="134"/>
      <c r="V59" s="134"/>
      <c r="W59" s="134"/>
      <c r="X59" s="134"/>
      <c r="Y59" s="134"/>
      <c r="Z59" s="134"/>
      <c r="AA59" s="134"/>
      <c r="AB59" s="134"/>
      <c r="AC59" s="134"/>
      <c r="AD59" s="134"/>
      <c r="AE59" s="134"/>
      <c r="AF59" s="134"/>
      <c r="AG59" s="134"/>
      <c r="AH59" s="134"/>
      <c r="AI59" s="134"/>
      <c r="AJ59" s="134"/>
      <c r="AK59" s="134"/>
      <c r="AL59" s="134"/>
      <c r="AM59" s="134"/>
      <c r="AN59" s="134"/>
      <c r="AO59" s="134"/>
    </row>
    <row r="60" ht="14.25" customHeight="1">
      <c r="A60" s="134"/>
      <c r="B60" s="134"/>
      <c r="C60" s="134"/>
      <c r="D60" s="134"/>
      <c r="E60" s="134"/>
      <c r="F60" s="134"/>
      <c r="G60" s="134"/>
      <c r="H60" s="134"/>
      <c r="I60" s="134"/>
      <c r="J60" s="134"/>
      <c r="K60" s="134"/>
      <c r="L60" s="134"/>
      <c r="M60" s="134"/>
      <c r="N60" s="146">
        <v>56.0</v>
      </c>
      <c r="O60" s="135">
        <v>8.5425</v>
      </c>
      <c r="P60" s="135">
        <v>8.5425</v>
      </c>
      <c r="Q60" s="134"/>
      <c r="R60" s="134"/>
      <c r="S60" s="134"/>
      <c r="T60" s="134"/>
      <c r="U60" s="134"/>
      <c r="V60" s="134"/>
      <c r="W60" s="134"/>
      <c r="X60" s="134"/>
      <c r="Y60" s="134"/>
      <c r="Z60" s="134"/>
      <c r="AA60" s="134"/>
      <c r="AB60" s="134"/>
      <c r="AC60" s="134"/>
      <c r="AD60" s="134"/>
      <c r="AE60" s="134"/>
      <c r="AF60" s="134"/>
      <c r="AG60" s="134"/>
      <c r="AH60" s="134"/>
      <c r="AI60" s="134"/>
      <c r="AJ60" s="134"/>
      <c r="AK60" s="134"/>
      <c r="AL60" s="134"/>
      <c r="AM60" s="134"/>
      <c r="AN60" s="134"/>
      <c r="AO60" s="134"/>
    </row>
    <row r="61" ht="14.25" customHeight="1">
      <c r="A61" s="134"/>
      <c r="B61" s="134"/>
      <c r="C61" s="134"/>
      <c r="D61" s="134"/>
      <c r="E61" s="134"/>
      <c r="F61" s="134"/>
      <c r="G61" s="134"/>
      <c r="H61" s="134"/>
      <c r="I61" s="134"/>
      <c r="J61" s="134"/>
      <c r="K61" s="134"/>
      <c r="L61" s="134"/>
      <c r="M61" s="134"/>
      <c r="N61" s="146">
        <v>57.0</v>
      </c>
      <c r="O61" s="135">
        <v>9.225</v>
      </c>
      <c r="P61" s="135">
        <v>9.225</v>
      </c>
      <c r="Q61" s="134"/>
      <c r="R61" s="134"/>
      <c r="S61" s="134"/>
      <c r="T61" s="134"/>
      <c r="U61" s="134"/>
      <c r="V61" s="134"/>
      <c r="W61" s="134"/>
      <c r="X61" s="134"/>
      <c r="Y61" s="134"/>
      <c r="Z61" s="134"/>
      <c r="AA61" s="134"/>
      <c r="AB61" s="134"/>
      <c r="AC61" s="134"/>
      <c r="AD61" s="134"/>
      <c r="AE61" s="134"/>
      <c r="AF61" s="134"/>
      <c r="AG61" s="134"/>
      <c r="AH61" s="134"/>
      <c r="AI61" s="134"/>
      <c r="AJ61" s="134"/>
      <c r="AK61" s="134"/>
      <c r="AL61" s="134"/>
      <c r="AM61" s="134"/>
      <c r="AN61" s="134"/>
      <c r="AO61" s="134"/>
    </row>
    <row r="62" ht="14.25" customHeight="1">
      <c r="A62" s="134"/>
      <c r="B62" s="134"/>
      <c r="C62" s="134"/>
      <c r="D62" s="134"/>
      <c r="E62" s="134"/>
      <c r="F62" s="134"/>
      <c r="G62" s="134"/>
      <c r="H62" s="134"/>
      <c r="I62" s="134"/>
      <c r="J62" s="134"/>
      <c r="K62" s="134"/>
      <c r="L62" s="134"/>
      <c r="M62" s="134"/>
      <c r="N62" s="146">
        <v>58.0</v>
      </c>
      <c r="O62" s="135">
        <v>9.9435</v>
      </c>
      <c r="P62" s="135">
        <v>9.9435</v>
      </c>
      <c r="Q62" s="134"/>
      <c r="R62" s="134"/>
      <c r="S62" s="134"/>
      <c r="T62" s="134"/>
      <c r="U62" s="134"/>
      <c r="V62" s="134"/>
      <c r="W62" s="134"/>
      <c r="X62" s="134"/>
      <c r="Y62" s="134"/>
      <c r="Z62" s="134"/>
      <c r="AA62" s="134"/>
      <c r="AB62" s="134"/>
      <c r="AC62" s="134"/>
      <c r="AD62" s="134"/>
      <c r="AE62" s="134"/>
      <c r="AF62" s="134"/>
      <c r="AG62" s="134"/>
      <c r="AH62" s="134"/>
      <c r="AI62" s="134"/>
      <c r="AJ62" s="134"/>
      <c r="AK62" s="134"/>
      <c r="AL62" s="134"/>
      <c r="AM62" s="134"/>
      <c r="AN62" s="134"/>
      <c r="AO62" s="134"/>
    </row>
    <row r="63" ht="14.25" customHeight="1">
      <c r="A63" s="134"/>
      <c r="B63" s="134"/>
      <c r="C63" s="134"/>
      <c r="D63" s="134"/>
      <c r="E63" s="134"/>
      <c r="F63" s="134"/>
      <c r="G63" s="134"/>
      <c r="H63" s="134"/>
      <c r="I63" s="134"/>
      <c r="J63" s="134"/>
      <c r="K63" s="134"/>
      <c r="L63" s="134"/>
      <c r="M63" s="134"/>
      <c r="N63" s="146">
        <v>59.0</v>
      </c>
      <c r="O63" s="135">
        <v>10.709</v>
      </c>
      <c r="P63" s="135">
        <v>10.709</v>
      </c>
      <c r="Q63" s="134"/>
      <c r="R63" s="134"/>
      <c r="S63" s="134"/>
      <c r="T63" s="134"/>
      <c r="U63" s="134"/>
      <c r="V63" s="134"/>
      <c r="W63" s="134"/>
      <c r="X63" s="134"/>
      <c r="Y63" s="134"/>
      <c r="Z63" s="134"/>
      <c r="AA63" s="134"/>
      <c r="AB63" s="134"/>
      <c r="AC63" s="134"/>
      <c r="AD63" s="134"/>
      <c r="AE63" s="134"/>
      <c r="AF63" s="134"/>
      <c r="AG63" s="134"/>
      <c r="AH63" s="134"/>
      <c r="AI63" s="134"/>
      <c r="AJ63" s="134"/>
      <c r="AK63" s="134"/>
      <c r="AL63" s="134"/>
      <c r="AM63" s="134"/>
      <c r="AN63" s="134"/>
      <c r="AO63" s="134"/>
    </row>
    <row r="64" ht="14.25" customHeight="1">
      <c r="A64" s="134"/>
      <c r="B64" s="134"/>
      <c r="C64" s="134"/>
      <c r="D64" s="134"/>
      <c r="E64" s="134"/>
      <c r="F64" s="134"/>
      <c r="G64" s="134"/>
      <c r="H64" s="134"/>
      <c r="I64" s="134"/>
      <c r="J64" s="134"/>
      <c r="K64" s="134"/>
      <c r="L64" s="134"/>
      <c r="M64" s="134"/>
      <c r="N64" s="146">
        <v>60.0</v>
      </c>
      <c r="O64" s="135">
        <v>11.5335</v>
      </c>
      <c r="P64" s="135">
        <v>11.5335</v>
      </c>
      <c r="Q64" s="134"/>
      <c r="R64" s="134"/>
      <c r="S64" s="134"/>
      <c r="T64" s="134"/>
      <c r="U64" s="134"/>
      <c r="V64" s="134"/>
      <c r="W64" s="134"/>
      <c r="X64" s="134"/>
      <c r="Y64" s="134"/>
      <c r="Z64" s="134"/>
      <c r="AA64" s="134"/>
      <c r="AB64" s="134"/>
      <c r="AC64" s="134"/>
      <c r="AD64" s="134"/>
      <c r="AE64" s="134"/>
      <c r="AF64" s="134"/>
      <c r="AG64" s="134"/>
      <c r="AH64" s="134"/>
      <c r="AI64" s="134"/>
      <c r="AJ64" s="134"/>
      <c r="AK64" s="134"/>
      <c r="AL64" s="134"/>
      <c r="AM64" s="134"/>
      <c r="AN64" s="134"/>
      <c r="AO64" s="134"/>
    </row>
    <row r="65" ht="14.25" customHeight="1">
      <c r="A65" s="134"/>
      <c r="B65" s="134"/>
      <c r="C65" s="134"/>
      <c r="D65" s="134"/>
      <c r="E65" s="134"/>
      <c r="F65" s="134"/>
      <c r="G65" s="134"/>
      <c r="H65" s="134"/>
      <c r="I65" s="134"/>
      <c r="J65" s="134"/>
      <c r="K65" s="134"/>
      <c r="L65" s="134"/>
      <c r="M65" s="134"/>
      <c r="N65" s="146">
        <v>61.0</v>
      </c>
      <c r="O65" s="135">
        <v>12.4305</v>
      </c>
      <c r="P65" s="135">
        <v>12.4305</v>
      </c>
      <c r="Q65" s="134"/>
      <c r="R65" s="134"/>
      <c r="S65" s="134"/>
      <c r="T65" s="134"/>
      <c r="U65" s="134"/>
      <c r="V65" s="134"/>
      <c r="W65" s="134"/>
      <c r="X65" s="134"/>
      <c r="Y65" s="134"/>
      <c r="Z65" s="134"/>
      <c r="AA65" s="134"/>
      <c r="AB65" s="134"/>
      <c r="AC65" s="134"/>
      <c r="AD65" s="134"/>
      <c r="AE65" s="134"/>
      <c r="AF65" s="134"/>
      <c r="AG65" s="134"/>
      <c r="AH65" s="134"/>
      <c r="AI65" s="134"/>
      <c r="AJ65" s="134"/>
      <c r="AK65" s="134"/>
      <c r="AL65" s="134"/>
      <c r="AM65" s="134"/>
      <c r="AN65" s="134"/>
      <c r="AO65" s="134"/>
    </row>
    <row r="66" ht="14.25" customHeight="1">
      <c r="A66" s="134"/>
      <c r="B66" s="134"/>
      <c r="C66" s="134"/>
      <c r="D66" s="134"/>
      <c r="E66" s="134"/>
      <c r="F66" s="134"/>
      <c r="G66" s="134"/>
      <c r="H66" s="134"/>
      <c r="I66" s="134"/>
      <c r="J66" s="134"/>
      <c r="K66" s="134"/>
      <c r="L66" s="134"/>
      <c r="M66" s="134"/>
      <c r="N66" s="146">
        <v>62.0</v>
      </c>
      <c r="O66" s="135">
        <v>13.414</v>
      </c>
      <c r="P66" s="135">
        <v>13.414</v>
      </c>
      <c r="Q66" s="134"/>
      <c r="R66" s="134"/>
      <c r="S66" s="134"/>
      <c r="T66" s="134"/>
      <c r="U66" s="134"/>
      <c r="V66" s="134"/>
      <c r="W66" s="134"/>
      <c r="X66" s="134"/>
      <c r="Y66" s="134"/>
      <c r="Z66" s="134"/>
      <c r="AA66" s="134"/>
      <c r="AB66" s="134"/>
      <c r="AC66" s="134"/>
      <c r="AD66" s="134"/>
      <c r="AE66" s="134"/>
      <c r="AF66" s="134"/>
      <c r="AG66" s="134"/>
      <c r="AH66" s="134"/>
      <c r="AI66" s="134"/>
      <c r="AJ66" s="134"/>
      <c r="AK66" s="134"/>
      <c r="AL66" s="134"/>
      <c r="AM66" s="134"/>
      <c r="AN66" s="134"/>
      <c r="AO66" s="134"/>
    </row>
    <row r="67" ht="14.25" customHeight="1">
      <c r="A67" s="134"/>
      <c r="B67" s="134"/>
      <c r="C67" s="134"/>
      <c r="D67" s="134"/>
      <c r="E67" s="134"/>
      <c r="F67" s="134"/>
      <c r="G67" s="134"/>
      <c r="H67" s="134"/>
      <c r="I67" s="134"/>
      <c r="J67" s="134"/>
      <c r="K67" s="134"/>
      <c r="L67" s="134"/>
      <c r="M67" s="134"/>
      <c r="N67" s="146">
        <v>63.0</v>
      </c>
      <c r="O67" s="135">
        <v>14.4965</v>
      </c>
      <c r="P67" s="135">
        <v>14.4965</v>
      </c>
      <c r="Q67" s="134"/>
      <c r="R67" s="134"/>
      <c r="S67" s="134"/>
      <c r="T67" s="134"/>
      <c r="U67" s="134"/>
      <c r="V67" s="134"/>
      <c r="W67" s="134"/>
      <c r="X67" s="134"/>
      <c r="Y67" s="134"/>
      <c r="Z67" s="134"/>
      <c r="AA67" s="134"/>
      <c r="AB67" s="134"/>
      <c r="AC67" s="134"/>
      <c r="AD67" s="134"/>
      <c r="AE67" s="134"/>
      <c r="AF67" s="134"/>
      <c r="AG67" s="134"/>
      <c r="AH67" s="134"/>
      <c r="AI67" s="134"/>
      <c r="AJ67" s="134"/>
      <c r="AK67" s="134"/>
      <c r="AL67" s="134"/>
      <c r="AM67" s="134"/>
      <c r="AN67" s="134"/>
      <c r="AO67" s="134"/>
    </row>
    <row r="68" ht="14.25" customHeight="1">
      <c r="A68" s="134"/>
      <c r="B68" s="134"/>
      <c r="C68" s="134"/>
      <c r="D68" s="134"/>
      <c r="E68" s="134"/>
      <c r="F68" s="134"/>
      <c r="G68" s="134"/>
      <c r="H68" s="134"/>
      <c r="I68" s="134"/>
      <c r="J68" s="134"/>
      <c r="K68" s="134"/>
      <c r="L68" s="134"/>
      <c r="M68" s="134"/>
      <c r="N68" s="146">
        <v>64.0</v>
      </c>
      <c r="O68" s="135">
        <v>15.6905</v>
      </c>
      <c r="P68" s="135">
        <v>15.6905</v>
      </c>
      <c r="Q68" s="134"/>
      <c r="R68" s="134"/>
      <c r="S68" s="134"/>
      <c r="T68" s="134"/>
      <c r="U68" s="134"/>
      <c r="V68" s="134"/>
      <c r="W68" s="134"/>
      <c r="X68" s="134"/>
      <c r="Y68" s="134"/>
      <c r="Z68" s="134"/>
      <c r="AA68" s="134"/>
      <c r="AB68" s="134"/>
      <c r="AC68" s="134"/>
      <c r="AD68" s="134"/>
      <c r="AE68" s="134"/>
      <c r="AF68" s="134"/>
      <c r="AG68" s="134"/>
      <c r="AH68" s="134"/>
      <c r="AI68" s="134"/>
      <c r="AJ68" s="134"/>
      <c r="AK68" s="134"/>
      <c r="AL68" s="134"/>
      <c r="AM68" s="134"/>
      <c r="AN68" s="134"/>
      <c r="AO68" s="134"/>
    </row>
    <row r="69" ht="14.25" customHeight="1">
      <c r="A69" s="134"/>
      <c r="B69" s="134"/>
      <c r="C69" s="134"/>
      <c r="D69" s="134"/>
      <c r="E69" s="134"/>
      <c r="F69" s="134"/>
      <c r="G69" s="134"/>
      <c r="H69" s="134"/>
      <c r="I69" s="134"/>
      <c r="J69" s="134"/>
      <c r="K69" s="134"/>
      <c r="L69" s="134"/>
      <c r="M69" s="134"/>
      <c r="N69" s="146">
        <v>65.0</v>
      </c>
      <c r="O69" s="135">
        <v>17.0085</v>
      </c>
      <c r="P69" s="135">
        <v>17.0085</v>
      </c>
      <c r="Q69" s="134"/>
      <c r="R69" s="134"/>
      <c r="S69" s="134"/>
      <c r="T69" s="134"/>
      <c r="U69" s="134"/>
      <c r="V69" s="134"/>
      <c r="W69" s="134"/>
      <c r="X69" s="134"/>
      <c r="Y69" s="134"/>
      <c r="Z69" s="134"/>
      <c r="AA69" s="134"/>
      <c r="AB69" s="134"/>
      <c r="AC69" s="134"/>
      <c r="AD69" s="134"/>
      <c r="AE69" s="134"/>
      <c r="AF69" s="134"/>
      <c r="AG69" s="134"/>
      <c r="AH69" s="134"/>
      <c r="AI69" s="134"/>
      <c r="AJ69" s="134"/>
      <c r="AK69" s="134"/>
      <c r="AL69" s="134"/>
      <c r="AM69" s="134"/>
      <c r="AN69" s="134"/>
      <c r="AO69" s="134"/>
    </row>
    <row r="70" ht="14.25" customHeight="1">
      <c r="A70" s="134"/>
      <c r="B70" s="134"/>
      <c r="C70" s="134"/>
      <c r="D70" s="134"/>
      <c r="E70" s="134"/>
      <c r="F70" s="134"/>
      <c r="G70" s="134"/>
      <c r="H70" s="134"/>
      <c r="I70" s="134"/>
      <c r="J70" s="134"/>
      <c r="K70" s="134"/>
      <c r="L70" s="134"/>
      <c r="M70" s="134"/>
      <c r="N70" s="146">
        <v>66.0</v>
      </c>
      <c r="O70" s="135">
        <v>18.4615</v>
      </c>
      <c r="P70" s="135">
        <v>18.4615</v>
      </c>
      <c r="Q70" s="134"/>
      <c r="R70" s="134"/>
      <c r="S70" s="134"/>
      <c r="T70" s="134"/>
      <c r="U70" s="134"/>
      <c r="V70" s="134"/>
      <c r="W70" s="134"/>
      <c r="X70" s="134"/>
      <c r="Y70" s="134"/>
      <c r="Z70" s="134"/>
      <c r="AA70" s="134"/>
      <c r="AB70" s="134"/>
      <c r="AC70" s="134"/>
      <c r="AD70" s="134"/>
      <c r="AE70" s="134"/>
      <c r="AF70" s="134"/>
      <c r="AG70" s="134"/>
      <c r="AH70" s="134"/>
      <c r="AI70" s="134"/>
      <c r="AJ70" s="134"/>
      <c r="AK70" s="134"/>
      <c r="AL70" s="134"/>
      <c r="AM70" s="134"/>
      <c r="AN70" s="134"/>
      <c r="AO70" s="134"/>
    </row>
    <row r="71" ht="14.25" customHeight="1">
      <c r="A71" s="134"/>
      <c r="B71" s="134"/>
      <c r="C71" s="134"/>
      <c r="D71" s="134"/>
      <c r="E71" s="134"/>
      <c r="F71" s="134"/>
      <c r="G71" s="134"/>
      <c r="H71" s="134"/>
      <c r="I71" s="134"/>
      <c r="J71" s="134"/>
      <c r="K71" s="134"/>
      <c r="L71" s="134"/>
      <c r="M71" s="134"/>
      <c r="N71" s="146">
        <v>67.0</v>
      </c>
      <c r="O71" s="135">
        <v>20.061</v>
      </c>
      <c r="P71" s="135">
        <v>20.061</v>
      </c>
      <c r="Q71" s="134"/>
      <c r="R71" s="134"/>
      <c r="S71" s="134"/>
      <c r="T71" s="134"/>
      <c r="U71" s="134"/>
      <c r="V71" s="134"/>
      <c r="W71" s="134"/>
      <c r="X71" s="134"/>
      <c r="Y71" s="134"/>
      <c r="Z71" s="134"/>
      <c r="AA71" s="134"/>
      <c r="AB71" s="134"/>
      <c r="AC71" s="134"/>
      <c r="AD71" s="134"/>
      <c r="AE71" s="134"/>
      <c r="AF71" s="134"/>
      <c r="AG71" s="134"/>
      <c r="AH71" s="134"/>
      <c r="AI71" s="134"/>
      <c r="AJ71" s="134"/>
      <c r="AK71" s="134"/>
      <c r="AL71" s="134"/>
      <c r="AM71" s="134"/>
      <c r="AN71" s="134"/>
      <c r="AO71" s="134"/>
    </row>
    <row r="72" ht="14.25" customHeight="1">
      <c r="A72" s="134"/>
      <c r="B72" s="134"/>
      <c r="C72" s="134"/>
      <c r="D72" s="134"/>
      <c r="E72" s="134"/>
      <c r="F72" s="134"/>
      <c r="G72" s="134"/>
      <c r="H72" s="134"/>
      <c r="I72" s="134"/>
      <c r="J72" s="134"/>
      <c r="K72" s="134"/>
      <c r="L72" s="134"/>
      <c r="M72" s="134"/>
      <c r="N72" s="146">
        <v>68.0</v>
      </c>
      <c r="O72" s="135">
        <v>21.8185</v>
      </c>
      <c r="P72" s="135">
        <v>21.8185</v>
      </c>
      <c r="Q72" s="134"/>
      <c r="R72" s="134"/>
      <c r="S72" s="134"/>
      <c r="T72" s="134"/>
      <c r="U72" s="134"/>
      <c r="V72" s="134"/>
      <c r="W72" s="134"/>
      <c r="X72" s="134"/>
      <c r="Y72" s="134"/>
      <c r="Z72" s="134"/>
      <c r="AA72" s="134"/>
      <c r="AB72" s="134"/>
      <c r="AC72" s="134"/>
      <c r="AD72" s="134"/>
      <c r="AE72" s="134"/>
      <c r="AF72" s="134"/>
      <c r="AG72" s="134"/>
      <c r="AH72" s="134"/>
      <c r="AI72" s="134"/>
      <c r="AJ72" s="134"/>
      <c r="AK72" s="134"/>
      <c r="AL72" s="134"/>
      <c r="AM72" s="134"/>
      <c r="AN72" s="134"/>
      <c r="AO72" s="134"/>
    </row>
    <row r="73" ht="14.25" customHeight="1">
      <c r="A73" s="134"/>
      <c r="B73" s="134"/>
      <c r="C73" s="134"/>
      <c r="D73" s="134"/>
      <c r="E73" s="134"/>
      <c r="F73" s="134"/>
      <c r="G73" s="134"/>
      <c r="H73" s="134"/>
      <c r="I73" s="134"/>
      <c r="J73" s="134"/>
      <c r="K73" s="134"/>
      <c r="L73" s="134"/>
      <c r="M73" s="134"/>
      <c r="N73" s="146">
        <v>69.0</v>
      </c>
      <c r="O73" s="135">
        <v>23.7455</v>
      </c>
      <c r="P73" s="135">
        <v>23.7455</v>
      </c>
      <c r="Q73" s="134"/>
      <c r="R73" s="134"/>
      <c r="S73" s="134"/>
      <c r="T73" s="134"/>
      <c r="U73" s="134"/>
      <c r="V73" s="134"/>
      <c r="W73" s="134"/>
      <c r="X73" s="134"/>
      <c r="Y73" s="134"/>
      <c r="Z73" s="134"/>
      <c r="AA73" s="134"/>
      <c r="AB73" s="134"/>
      <c r="AC73" s="134"/>
      <c r="AD73" s="134"/>
      <c r="AE73" s="134"/>
      <c r="AF73" s="134"/>
      <c r="AG73" s="134"/>
      <c r="AH73" s="134"/>
      <c r="AI73" s="134"/>
      <c r="AJ73" s="134"/>
      <c r="AK73" s="134"/>
      <c r="AL73" s="134"/>
      <c r="AM73" s="134"/>
      <c r="AN73" s="134"/>
      <c r="AO73" s="134"/>
    </row>
    <row r="74" ht="14.25" customHeight="1">
      <c r="A74" s="134"/>
      <c r="B74" s="134"/>
      <c r="C74" s="134"/>
      <c r="D74" s="134"/>
      <c r="E74" s="134"/>
      <c r="F74" s="134"/>
      <c r="G74" s="134"/>
      <c r="H74" s="134"/>
      <c r="I74" s="134"/>
      <c r="J74" s="134"/>
      <c r="K74" s="134"/>
      <c r="L74" s="134"/>
      <c r="M74" s="134"/>
      <c r="N74" s="146">
        <v>70.0</v>
      </c>
      <c r="O74" s="135">
        <v>25.8545</v>
      </c>
      <c r="P74" s="135">
        <v>25.8545</v>
      </c>
      <c r="Q74" s="134"/>
      <c r="R74" s="134"/>
      <c r="S74" s="134"/>
      <c r="T74" s="134"/>
      <c r="U74" s="134"/>
      <c r="V74" s="134"/>
      <c r="W74" s="134"/>
      <c r="X74" s="134"/>
      <c r="Y74" s="134"/>
      <c r="Z74" s="134"/>
      <c r="AA74" s="134"/>
      <c r="AB74" s="134"/>
      <c r="AC74" s="134"/>
      <c r="AD74" s="134"/>
      <c r="AE74" s="134"/>
      <c r="AF74" s="134"/>
      <c r="AG74" s="134"/>
      <c r="AH74" s="134"/>
      <c r="AI74" s="134"/>
      <c r="AJ74" s="134"/>
      <c r="AK74" s="134"/>
      <c r="AL74" s="134"/>
      <c r="AM74" s="134"/>
      <c r="AN74" s="134"/>
      <c r="AO74" s="134"/>
    </row>
    <row r="75" ht="14.25" customHeight="1">
      <c r="A75" s="134"/>
      <c r="B75" s="134"/>
      <c r="C75" s="134"/>
      <c r="D75" s="134"/>
      <c r="E75" s="134"/>
      <c r="F75" s="134"/>
      <c r="G75" s="134"/>
      <c r="H75" s="134"/>
      <c r="I75" s="134"/>
      <c r="J75" s="134"/>
      <c r="K75" s="134"/>
      <c r="L75" s="134"/>
      <c r="M75" s="134"/>
      <c r="N75" s="146">
        <v>71.0</v>
      </c>
      <c r="O75" s="135">
        <v>28.159</v>
      </c>
      <c r="P75" s="135">
        <v>28.159</v>
      </c>
      <c r="Q75" s="134"/>
      <c r="R75" s="134"/>
      <c r="S75" s="134"/>
      <c r="T75" s="134"/>
      <c r="U75" s="134"/>
      <c r="V75" s="134"/>
      <c r="W75" s="134"/>
      <c r="X75" s="134"/>
      <c r="Y75" s="134"/>
      <c r="Z75" s="134"/>
      <c r="AA75" s="134"/>
      <c r="AB75" s="134"/>
      <c r="AC75" s="134"/>
      <c r="AD75" s="134"/>
      <c r="AE75" s="134"/>
      <c r="AF75" s="134"/>
      <c r="AG75" s="134"/>
      <c r="AH75" s="134"/>
      <c r="AI75" s="134"/>
      <c r="AJ75" s="134"/>
      <c r="AK75" s="134"/>
      <c r="AL75" s="134"/>
      <c r="AM75" s="134"/>
      <c r="AN75" s="134"/>
      <c r="AO75" s="134"/>
    </row>
    <row r="76" ht="14.25" customHeight="1">
      <c r="A76" s="134"/>
      <c r="B76" s="134"/>
      <c r="C76" s="134"/>
      <c r="D76" s="134"/>
      <c r="E76" s="134"/>
      <c r="F76" s="134"/>
      <c r="G76" s="134"/>
      <c r="H76" s="134"/>
      <c r="I76" s="134"/>
      <c r="J76" s="134"/>
      <c r="K76" s="134"/>
      <c r="L76" s="134"/>
      <c r="M76" s="134"/>
      <c r="N76" s="146">
        <v>72.0</v>
      </c>
      <c r="O76" s="135">
        <v>30.673</v>
      </c>
      <c r="P76" s="135">
        <v>30.673</v>
      </c>
      <c r="Q76" s="134"/>
      <c r="R76" s="134"/>
      <c r="S76" s="134"/>
      <c r="T76" s="134"/>
      <c r="U76" s="134"/>
      <c r="V76" s="134"/>
      <c r="W76" s="134"/>
      <c r="X76" s="134"/>
      <c r="Y76" s="134"/>
      <c r="Z76" s="134"/>
      <c r="AA76" s="134"/>
      <c r="AB76" s="134"/>
      <c r="AC76" s="134"/>
      <c r="AD76" s="134"/>
      <c r="AE76" s="134"/>
      <c r="AF76" s="134"/>
      <c r="AG76" s="134"/>
      <c r="AH76" s="134"/>
      <c r="AI76" s="134"/>
      <c r="AJ76" s="134"/>
      <c r="AK76" s="134"/>
      <c r="AL76" s="134"/>
      <c r="AM76" s="134"/>
      <c r="AN76" s="134"/>
      <c r="AO76" s="134"/>
    </row>
    <row r="77" ht="14.25" customHeight="1">
      <c r="A77" s="134"/>
      <c r="B77" s="134"/>
      <c r="C77" s="134"/>
      <c r="D77" s="134"/>
      <c r="E77" s="134"/>
      <c r="F77" s="134"/>
      <c r="G77" s="134"/>
      <c r="H77" s="134"/>
      <c r="I77" s="134"/>
      <c r="J77" s="134"/>
      <c r="K77" s="134"/>
      <c r="L77" s="134"/>
      <c r="M77" s="134"/>
      <c r="N77" s="146">
        <v>73.0</v>
      </c>
      <c r="O77" s="135">
        <v>33.412</v>
      </c>
      <c r="P77" s="135">
        <v>33.412</v>
      </c>
      <c r="Q77" s="134"/>
      <c r="R77" s="134"/>
      <c r="S77" s="134"/>
      <c r="T77" s="134"/>
      <c r="U77" s="134"/>
      <c r="V77" s="134"/>
      <c r="W77" s="134"/>
      <c r="X77" s="134"/>
      <c r="Y77" s="134"/>
      <c r="Z77" s="134"/>
      <c r="AA77" s="134"/>
      <c r="AB77" s="134"/>
      <c r="AC77" s="134"/>
      <c r="AD77" s="134"/>
      <c r="AE77" s="134"/>
      <c r="AF77" s="134"/>
      <c r="AG77" s="134"/>
      <c r="AH77" s="134"/>
      <c r="AI77" s="134"/>
      <c r="AJ77" s="134"/>
      <c r="AK77" s="134"/>
      <c r="AL77" s="134"/>
      <c r="AM77" s="134"/>
      <c r="AN77" s="134"/>
      <c r="AO77" s="134"/>
    </row>
    <row r="78" ht="14.25" customHeight="1">
      <c r="A78" s="134"/>
      <c r="B78" s="134"/>
      <c r="C78" s="134"/>
      <c r="D78" s="134"/>
      <c r="E78" s="134"/>
      <c r="F78" s="134"/>
      <c r="G78" s="134"/>
      <c r="H78" s="134"/>
      <c r="I78" s="134"/>
      <c r="J78" s="134"/>
      <c r="K78" s="134"/>
      <c r="L78" s="134"/>
      <c r="M78" s="134"/>
      <c r="N78" s="146">
        <v>74.0</v>
      </c>
      <c r="O78" s="135">
        <v>36.394</v>
      </c>
      <c r="P78" s="135">
        <v>36.394</v>
      </c>
      <c r="Q78" s="134"/>
      <c r="R78" s="134"/>
      <c r="S78" s="134"/>
      <c r="T78" s="134"/>
      <c r="U78" s="134"/>
      <c r="V78" s="134"/>
      <c r="W78" s="134"/>
      <c r="X78" s="134"/>
      <c r="Y78" s="134"/>
      <c r="Z78" s="134"/>
      <c r="AA78" s="134"/>
      <c r="AB78" s="134"/>
      <c r="AC78" s="134"/>
      <c r="AD78" s="134"/>
      <c r="AE78" s="134"/>
      <c r="AF78" s="134"/>
      <c r="AG78" s="134"/>
      <c r="AH78" s="134"/>
      <c r="AI78" s="134"/>
      <c r="AJ78" s="134"/>
      <c r="AK78" s="134"/>
      <c r="AL78" s="134"/>
      <c r="AM78" s="134"/>
      <c r="AN78" s="134"/>
      <c r="AO78" s="134"/>
    </row>
    <row r="79" ht="14.25" customHeight="1">
      <c r="A79" s="134"/>
      <c r="B79" s="134"/>
      <c r="C79" s="134"/>
      <c r="D79" s="134"/>
      <c r="E79" s="134"/>
      <c r="F79" s="134"/>
      <c r="G79" s="134"/>
      <c r="H79" s="134"/>
      <c r="I79" s="134"/>
      <c r="J79" s="134"/>
      <c r="K79" s="134"/>
      <c r="L79" s="134"/>
      <c r="M79" s="134"/>
      <c r="N79" s="146">
        <v>75.0</v>
      </c>
      <c r="O79" s="135">
        <v>39.637</v>
      </c>
      <c r="P79" s="135">
        <v>39.637</v>
      </c>
      <c r="Q79" s="134"/>
      <c r="R79" s="134"/>
      <c r="S79" s="134"/>
      <c r="T79" s="134"/>
      <c r="U79" s="134"/>
      <c r="V79" s="134"/>
      <c r="W79" s="134"/>
      <c r="X79" s="134"/>
      <c r="Y79" s="134"/>
      <c r="Z79" s="134"/>
      <c r="AA79" s="134"/>
      <c r="AB79" s="134"/>
      <c r="AC79" s="134"/>
      <c r="AD79" s="134"/>
      <c r="AE79" s="134"/>
      <c r="AF79" s="134"/>
      <c r="AG79" s="134"/>
      <c r="AH79" s="134"/>
      <c r="AI79" s="134"/>
      <c r="AJ79" s="134"/>
      <c r="AK79" s="134"/>
      <c r="AL79" s="134"/>
      <c r="AM79" s="134"/>
      <c r="AN79" s="134"/>
      <c r="AO79" s="134"/>
    </row>
    <row r="80" ht="14.25" customHeight="1">
      <c r="A80" s="134"/>
      <c r="B80" s="134"/>
      <c r="C80" s="134"/>
      <c r="D80" s="134"/>
      <c r="E80" s="134"/>
      <c r="F80" s="134"/>
      <c r="G80" s="134"/>
      <c r="H80" s="134"/>
      <c r="I80" s="134"/>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c r="AK80" s="134"/>
      <c r="AL80" s="134"/>
      <c r="AM80" s="134"/>
      <c r="AN80" s="134"/>
      <c r="AO80" s="134"/>
    </row>
    <row r="81" ht="14.25" customHeight="1">
      <c r="A81" s="134"/>
      <c r="B81" s="134"/>
      <c r="C81" s="134"/>
      <c r="D81" s="134"/>
      <c r="E81" s="134"/>
      <c r="F81" s="134"/>
      <c r="G81" s="134"/>
      <c r="H81" s="134"/>
      <c r="I81" s="134"/>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c r="AK81" s="134"/>
      <c r="AL81" s="134"/>
      <c r="AM81" s="134"/>
      <c r="AN81" s="134"/>
      <c r="AO81" s="134"/>
    </row>
    <row r="82" ht="14.25" customHeight="1">
      <c r="A82" s="134"/>
      <c r="B82" s="134"/>
      <c r="C82" s="134"/>
      <c r="D82" s="134"/>
      <c r="E82" s="134"/>
      <c r="F82" s="134"/>
      <c r="G82" s="134"/>
      <c r="H82" s="134"/>
      <c r="I82" s="134"/>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c r="AK82" s="134"/>
      <c r="AL82" s="134"/>
      <c r="AM82" s="134"/>
      <c r="AN82" s="134"/>
      <c r="AO82" s="134"/>
    </row>
    <row r="83" ht="14.25" customHeight="1">
      <c r="A83" s="134"/>
      <c r="B83" s="134"/>
      <c r="C83" s="134"/>
      <c r="D83" s="134"/>
      <c r="E83" s="134"/>
      <c r="F83" s="134"/>
      <c r="G83" s="134"/>
      <c r="H83" s="134"/>
      <c r="I83" s="134"/>
      <c r="J83" s="134"/>
      <c r="K83" s="134"/>
      <c r="L83" s="134"/>
      <c r="M83" s="134"/>
      <c r="N83" s="134"/>
      <c r="O83" s="134"/>
      <c r="P83" s="134"/>
      <c r="Q83" s="134"/>
      <c r="R83" s="134"/>
      <c r="S83" s="134"/>
      <c r="T83" s="134"/>
      <c r="U83" s="134"/>
      <c r="V83" s="134"/>
      <c r="W83" s="134"/>
      <c r="X83" s="134"/>
      <c r="Y83" s="134"/>
      <c r="Z83" s="134"/>
      <c r="AA83" s="134"/>
      <c r="AB83" s="134"/>
      <c r="AC83" s="134"/>
      <c r="AD83" s="134"/>
      <c r="AE83" s="134"/>
      <c r="AF83" s="134"/>
      <c r="AG83" s="134"/>
      <c r="AH83" s="134"/>
      <c r="AI83" s="134"/>
      <c r="AJ83" s="134"/>
      <c r="AK83" s="134"/>
      <c r="AL83" s="134"/>
      <c r="AM83" s="134"/>
      <c r="AN83" s="134"/>
      <c r="AO83" s="134"/>
    </row>
    <row r="84" ht="14.25" customHeight="1">
      <c r="A84" s="134"/>
      <c r="B84" s="134"/>
      <c r="C84" s="134"/>
      <c r="D84" s="134"/>
      <c r="E84" s="134"/>
      <c r="F84" s="134"/>
      <c r="G84" s="134"/>
      <c r="H84" s="134"/>
      <c r="I84" s="134"/>
      <c r="J84" s="134"/>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row>
    <row r="85" ht="14.25" customHeight="1">
      <c r="A85" s="134"/>
      <c r="B85" s="134"/>
      <c r="C85" s="134"/>
      <c r="D85" s="134"/>
      <c r="E85" s="134"/>
      <c r="F85" s="134"/>
      <c r="G85" s="134"/>
      <c r="H85" s="134"/>
      <c r="I85" s="134"/>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c r="AK85" s="134"/>
      <c r="AL85" s="134"/>
      <c r="AM85" s="134"/>
      <c r="AN85" s="134"/>
      <c r="AO85" s="134"/>
    </row>
    <row r="86" ht="14.25" customHeight="1">
      <c r="A86" s="134"/>
      <c r="B86" s="134"/>
      <c r="C86" s="134"/>
      <c r="D86" s="134"/>
      <c r="E86" s="134"/>
      <c r="F86" s="134"/>
      <c r="G86" s="134"/>
      <c r="H86" s="134"/>
      <c r="I86" s="134"/>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row>
    <row r="87" ht="14.25" customHeight="1">
      <c r="A87" s="134"/>
      <c r="B87" s="134"/>
      <c r="C87" s="134"/>
      <c r="D87" s="134"/>
      <c r="E87" s="134"/>
      <c r="F87" s="134"/>
      <c r="G87" s="134"/>
      <c r="H87" s="134"/>
      <c r="I87" s="134"/>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c r="AK87" s="134"/>
      <c r="AL87" s="134"/>
      <c r="AM87" s="134"/>
      <c r="AN87" s="134"/>
      <c r="AO87" s="134"/>
    </row>
    <row r="88" ht="14.25" customHeight="1">
      <c r="A88" s="134"/>
      <c r="B88" s="134"/>
      <c r="C88" s="134"/>
      <c r="D88" s="134"/>
      <c r="E88" s="134"/>
      <c r="F88" s="134"/>
      <c r="G88" s="134"/>
      <c r="H88" s="134"/>
      <c r="I88" s="134"/>
      <c r="J88" s="134"/>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c r="AK88" s="134"/>
      <c r="AL88" s="134"/>
      <c r="AM88" s="134"/>
      <c r="AN88" s="134"/>
      <c r="AO88" s="134"/>
    </row>
    <row r="89" ht="14.25" customHeight="1">
      <c r="A89" s="134"/>
      <c r="B89" s="134"/>
      <c r="C89" s="134"/>
      <c r="D89" s="134"/>
      <c r="E89" s="134"/>
      <c r="F89" s="134"/>
      <c r="G89" s="134"/>
      <c r="H89" s="134"/>
      <c r="I89" s="134"/>
      <c r="J89" s="134"/>
      <c r="K89" s="134"/>
      <c r="L89" s="134"/>
      <c r="M89" s="134"/>
      <c r="N89" s="134"/>
      <c r="O89" s="134"/>
      <c r="P89" s="134"/>
      <c r="Q89" s="134"/>
      <c r="R89" s="134"/>
      <c r="S89" s="134"/>
      <c r="T89" s="134"/>
      <c r="U89" s="134"/>
      <c r="V89" s="134"/>
      <c r="W89" s="134"/>
      <c r="X89" s="134"/>
      <c r="Y89" s="134"/>
      <c r="Z89" s="134"/>
      <c r="AA89" s="134"/>
      <c r="AB89" s="134"/>
      <c r="AC89" s="134"/>
      <c r="AD89" s="134"/>
      <c r="AE89" s="134"/>
      <c r="AF89" s="134"/>
      <c r="AG89" s="134"/>
      <c r="AH89" s="134"/>
      <c r="AI89" s="134"/>
      <c r="AJ89" s="134"/>
      <c r="AK89" s="134"/>
      <c r="AL89" s="134"/>
      <c r="AM89" s="134"/>
      <c r="AN89" s="134"/>
      <c r="AO89" s="134"/>
    </row>
    <row r="90" ht="14.25" customHeight="1">
      <c r="A90" s="134"/>
      <c r="B90" s="134"/>
      <c r="C90" s="134"/>
      <c r="D90" s="134"/>
      <c r="E90" s="134"/>
      <c r="F90" s="134"/>
      <c r="G90" s="134"/>
      <c r="H90" s="134"/>
      <c r="I90" s="134"/>
      <c r="J90" s="134"/>
      <c r="K90" s="134"/>
      <c r="L90" s="134"/>
      <c r="M90" s="134"/>
      <c r="N90" s="134"/>
      <c r="O90" s="134"/>
      <c r="P90" s="134"/>
      <c r="Q90" s="134"/>
      <c r="R90" s="134"/>
      <c r="S90" s="134"/>
      <c r="T90" s="134"/>
      <c r="U90" s="134"/>
      <c r="V90" s="134"/>
      <c r="W90" s="134"/>
      <c r="X90" s="134"/>
      <c r="Y90" s="134"/>
      <c r="Z90" s="134"/>
      <c r="AA90" s="134"/>
      <c r="AB90" s="134"/>
      <c r="AC90" s="134"/>
      <c r="AD90" s="134"/>
      <c r="AE90" s="134"/>
      <c r="AF90" s="134"/>
      <c r="AG90" s="134"/>
      <c r="AH90" s="134"/>
      <c r="AI90" s="134"/>
      <c r="AJ90" s="134"/>
      <c r="AK90" s="134"/>
      <c r="AL90" s="134"/>
      <c r="AM90" s="134"/>
      <c r="AN90" s="134"/>
      <c r="AO90" s="134"/>
    </row>
    <row r="91" ht="14.25" customHeight="1">
      <c r="A91" s="134"/>
      <c r="B91" s="134"/>
      <c r="C91" s="134"/>
      <c r="D91" s="134"/>
      <c r="E91" s="134"/>
      <c r="F91" s="134"/>
      <c r="G91" s="134"/>
      <c r="H91" s="134"/>
      <c r="I91" s="134"/>
      <c r="J91" s="134"/>
      <c r="K91" s="134"/>
      <c r="L91" s="134"/>
      <c r="M91" s="134"/>
      <c r="N91" s="134"/>
      <c r="O91" s="134"/>
      <c r="P91" s="134"/>
      <c r="Q91" s="134"/>
      <c r="R91" s="134"/>
      <c r="S91" s="134"/>
      <c r="T91" s="134"/>
      <c r="U91" s="134"/>
      <c r="V91" s="134"/>
      <c r="W91" s="134"/>
      <c r="X91" s="134"/>
      <c r="Y91" s="134"/>
      <c r="Z91" s="134"/>
      <c r="AA91" s="134"/>
      <c r="AB91" s="134"/>
      <c r="AC91" s="134"/>
      <c r="AD91" s="134"/>
      <c r="AE91" s="134"/>
      <c r="AF91" s="134"/>
      <c r="AG91" s="134"/>
      <c r="AH91" s="134"/>
      <c r="AI91" s="134"/>
      <c r="AJ91" s="134"/>
      <c r="AK91" s="134"/>
      <c r="AL91" s="134"/>
      <c r="AM91" s="134"/>
      <c r="AN91" s="134"/>
      <c r="AO91" s="134"/>
    </row>
    <row r="92" ht="14.25" customHeight="1">
      <c r="A92" s="134"/>
      <c r="B92" s="134"/>
      <c r="C92" s="134"/>
      <c r="D92" s="134"/>
      <c r="E92" s="134"/>
      <c r="F92" s="134"/>
      <c r="G92" s="134"/>
      <c r="H92" s="134"/>
      <c r="I92" s="134"/>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c r="AK92" s="134"/>
      <c r="AL92" s="134"/>
      <c r="AM92" s="134"/>
      <c r="AN92" s="134"/>
      <c r="AO92" s="134"/>
    </row>
    <row r="93" ht="14.25" customHeight="1">
      <c r="A93" s="134"/>
      <c r="B93" s="134"/>
      <c r="C93" s="134"/>
      <c r="D93" s="134"/>
      <c r="E93" s="134"/>
      <c r="F93" s="134"/>
      <c r="G93" s="134"/>
      <c r="H93" s="134"/>
      <c r="I93" s="134"/>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c r="AJ93" s="134"/>
      <c r="AK93" s="134"/>
      <c r="AL93" s="134"/>
      <c r="AM93" s="134"/>
      <c r="AN93" s="134"/>
      <c r="AO93" s="134"/>
    </row>
    <row r="94" ht="14.25" customHeight="1">
      <c r="A94" s="134"/>
      <c r="B94" s="134"/>
      <c r="C94" s="134"/>
      <c r="D94" s="134"/>
      <c r="E94" s="134"/>
      <c r="F94" s="134"/>
      <c r="G94" s="134"/>
      <c r="H94" s="134"/>
      <c r="I94" s="134"/>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c r="AK94" s="134"/>
      <c r="AL94" s="134"/>
      <c r="AM94" s="134"/>
      <c r="AN94" s="134"/>
      <c r="AO94" s="134"/>
    </row>
    <row r="95" ht="14.25" customHeight="1">
      <c r="A95" s="134"/>
      <c r="B95" s="134"/>
      <c r="C95" s="134"/>
      <c r="D95" s="134"/>
      <c r="E95" s="134"/>
      <c r="F95" s="134"/>
      <c r="G95" s="134"/>
      <c r="H95" s="134"/>
      <c r="I95" s="134"/>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row>
    <row r="96" ht="14.25" customHeight="1">
      <c r="A96" s="134"/>
      <c r="B96" s="134"/>
      <c r="C96" s="134"/>
      <c r="D96" s="134"/>
      <c r="E96" s="134"/>
      <c r="F96" s="134"/>
      <c r="G96" s="134"/>
      <c r="H96" s="134"/>
      <c r="I96" s="134"/>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c r="AH96" s="134"/>
      <c r="AI96" s="134"/>
      <c r="AJ96" s="134"/>
      <c r="AK96" s="134"/>
      <c r="AL96" s="134"/>
      <c r="AM96" s="134"/>
      <c r="AN96" s="134"/>
      <c r="AO96" s="134"/>
    </row>
    <row r="97" ht="14.25" customHeight="1">
      <c r="A97" s="134"/>
      <c r="B97" s="134"/>
      <c r="C97" s="134"/>
      <c r="D97" s="134"/>
      <c r="E97" s="134"/>
      <c r="F97" s="134"/>
      <c r="G97" s="134"/>
      <c r="H97" s="134"/>
      <c r="I97" s="134"/>
      <c r="J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c r="AH97" s="134"/>
      <c r="AI97" s="134"/>
      <c r="AJ97" s="134"/>
      <c r="AK97" s="134"/>
      <c r="AL97" s="134"/>
      <c r="AM97" s="134"/>
      <c r="AN97" s="134"/>
      <c r="AO97" s="134"/>
    </row>
    <row r="98" ht="14.25" customHeight="1">
      <c r="A98" s="134"/>
      <c r="B98" s="134"/>
      <c r="C98" s="134"/>
      <c r="D98" s="134"/>
      <c r="E98" s="134"/>
      <c r="F98" s="134"/>
      <c r="G98" s="134"/>
      <c r="H98" s="134"/>
      <c r="I98" s="134"/>
      <c r="J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c r="AK98" s="134"/>
      <c r="AL98" s="134"/>
      <c r="AM98" s="134"/>
      <c r="AN98" s="134"/>
      <c r="AO98" s="134"/>
    </row>
    <row r="99" ht="14.25" customHeight="1">
      <c r="A99" s="134"/>
      <c r="B99" s="134"/>
      <c r="C99" s="134"/>
      <c r="D99" s="134"/>
      <c r="E99" s="134"/>
      <c r="F99" s="134"/>
      <c r="G99" s="134"/>
      <c r="H99" s="134"/>
      <c r="I99" s="134"/>
      <c r="J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c r="AH99" s="134"/>
      <c r="AI99" s="134"/>
      <c r="AJ99" s="134"/>
      <c r="AK99" s="134"/>
      <c r="AL99" s="134"/>
      <c r="AM99" s="134"/>
      <c r="AN99" s="134"/>
      <c r="AO99" s="134"/>
    </row>
    <row r="100" ht="14.25" customHeight="1">
      <c r="A100" s="134"/>
      <c r="B100" s="134"/>
      <c r="C100" s="134"/>
      <c r="D100" s="134"/>
      <c r="E100" s="134"/>
      <c r="F100" s="134"/>
      <c r="G100" s="134"/>
      <c r="H100" s="134"/>
      <c r="I100" s="134"/>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c r="AK100" s="134"/>
      <c r="AL100" s="134"/>
      <c r="AM100" s="134"/>
      <c r="AN100" s="134"/>
      <c r="AO100" s="134"/>
    </row>
    <row r="101" ht="14.25" customHeight="1">
      <c r="A101" s="134"/>
      <c r="B101" s="134"/>
      <c r="C101" s="134"/>
      <c r="D101" s="134"/>
      <c r="E101" s="134"/>
      <c r="F101" s="134"/>
      <c r="G101" s="134"/>
      <c r="H101" s="134"/>
      <c r="I101" s="134"/>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c r="AK101" s="134"/>
      <c r="AL101" s="134"/>
      <c r="AM101" s="134"/>
      <c r="AN101" s="134"/>
      <c r="AO101" s="134"/>
    </row>
    <row r="102" ht="14.25" customHeight="1">
      <c r="A102" s="134"/>
      <c r="B102" s="134"/>
      <c r="C102" s="134"/>
      <c r="D102" s="134"/>
      <c r="E102" s="134"/>
      <c r="F102" s="134"/>
      <c r="G102" s="134"/>
      <c r="H102" s="134"/>
      <c r="I102" s="134"/>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c r="AF102" s="134"/>
      <c r="AG102" s="134"/>
      <c r="AH102" s="134"/>
      <c r="AI102" s="134"/>
      <c r="AJ102" s="134"/>
      <c r="AK102" s="134"/>
      <c r="AL102" s="134"/>
      <c r="AM102" s="134"/>
      <c r="AN102" s="134"/>
      <c r="AO102" s="134"/>
    </row>
    <row r="103" ht="14.25" customHeight="1">
      <c r="A103" s="134"/>
      <c r="B103" s="134"/>
      <c r="C103" s="134"/>
      <c r="D103" s="134"/>
      <c r="E103" s="134"/>
      <c r="F103" s="134"/>
      <c r="G103" s="134"/>
      <c r="H103" s="134"/>
      <c r="I103" s="134"/>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c r="AF103" s="134"/>
      <c r="AG103" s="134"/>
      <c r="AH103" s="134"/>
      <c r="AI103" s="134"/>
      <c r="AJ103" s="134"/>
      <c r="AK103" s="134"/>
      <c r="AL103" s="134"/>
      <c r="AM103" s="134"/>
      <c r="AN103" s="134"/>
      <c r="AO103" s="134"/>
    </row>
    <row r="104" ht="14.25" customHeight="1">
      <c r="A104" s="134"/>
      <c r="B104" s="134"/>
      <c r="C104" s="134"/>
      <c r="D104" s="134"/>
      <c r="E104" s="134"/>
      <c r="F104" s="134"/>
      <c r="G104" s="134"/>
      <c r="H104" s="134"/>
      <c r="I104" s="134"/>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c r="AK104" s="134"/>
      <c r="AL104" s="134"/>
      <c r="AM104" s="134"/>
      <c r="AN104" s="134"/>
      <c r="AO104" s="134"/>
    </row>
    <row r="105" ht="14.25" customHeight="1">
      <c r="A105" s="134"/>
      <c r="B105" s="134"/>
      <c r="C105" s="134"/>
      <c r="D105" s="134"/>
      <c r="E105" s="134"/>
      <c r="F105" s="134"/>
      <c r="G105" s="134"/>
      <c r="H105" s="134"/>
      <c r="I105" s="134"/>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c r="AK105" s="134"/>
      <c r="AL105" s="134"/>
      <c r="AM105" s="134"/>
      <c r="AN105" s="134"/>
      <c r="AO105" s="134"/>
    </row>
    <row r="106" ht="14.25" customHeight="1">
      <c r="A106" s="134"/>
      <c r="B106" s="134"/>
      <c r="C106" s="134"/>
      <c r="D106" s="134"/>
      <c r="E106" s="134"/>
      <c r="F106" s="134"/>
      <c r="G106" s="134"/>
      <c r="H106" s="134"/>
      <c r="I106" s="134"/>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c r="AL106" s="134"/>
      <c r="AM106" s="134"/>
      <c r="AN106" s="134"/>
      <c r="AO106" s="134"/>
    </row>
    <row r="107" ht="14.25" customHeight="1">
      <c r="A107" s="134"/>
      <c r="B107" s="134"/>
      <c r="C107" s="134"/>
      <c r="D107" s="134"/>
      <c r="E107" s="134"/>
      <c r="F107" s="134"/>
      <c r="G107" s="134"/>
      <c r="H107" s="134"/>
      <c r="I107" s="134"/>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c r="AF107" s="134"/>
      <c r="AG107" s="134"/>
      <c r="AH107" s="134"/>
      <c r="AI107" s="134"/>
      <c r="AJ107" s="134"/>
      <c r="AK107" s="134"/>
      <c r="AL107" s="134"/>
      <c r="AM107" s="134"/>
      <c r="AN107" s="134"/>
      <c r="AO107" s="134"/>
    </row>
    <row r="108" ht="14.25" customHeight="1">
      <c r="A108" s="134"/>
      <c r="B108" s="134"/>
      <c r="C108" s="134"/>
      <c r="D108" s="134"/>
      <c r="E108" s="134"/>
      <c r="F108" s="134"/>
      <c r="G108" s="134"/>
      <c r="H108" s="134"/>
      <c r="I108" s="134"/>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row>
    <row r="109" ht="14.25" customHeight="1">
      <c r="A109" s="134"/>
      <c r="B109" s="134"/>
      <c r="C109" s="134"/>
      <c r="D109" s="134"/>
      <c r="E109" s="134"/>
      <c r="F109" s="134"/>
      <c r="G109" s="134"/>
      <c r="H109" s="134"/>
      <c r="I109" s="134"/>
      <c r="J109" s="134"/>
      <c r="K109" s="134"/>
      <c r="L109" s="134"/>
      <c r="M109" s="134"/>
      <c r="N109" s="134"/>
      <c r="O109" s="134"/>
      <c r="P109" s="134"/>
      <c r="Q109" s="134"/>
      <c r="R109" s="134"/>
      <c r="S109" s="134"/>
      <c r="T109" s="134"/>
      <c r="U109" s="134"/>
      <c r="V109" s="134"/>
      <c r="W109" s="134"/>
      <c r="X109" s="134"/>
      <c r="Y109" s="134"/>
      <c r="Z109" s="134"/>
      <c r="AA109" s="134"/>
      <c r="AB109" s="134"/>
      <c r="AC109" s="134"/>
      <c r="AD109" s="134"/>
      <c r="AE109" s="134"/>
      <c r="AF109" s="134"/>
      <c r="AG109" s="134"/>
      <c r="AH109" s="134"/>
      <c r="AI109" s="134"/>
      <c r="AJ109" s="134"/>
      <c r="AK109" s="134"/>
      <c r="AL109" s="134"/>
      <c r="AM109" s="134"/>
      <c r="AN109" s="134"/>
      <c r="AO109" s="134"/>
    </row>
    <row r="110" ht="14.25" customHeight="1">
      <c r="A110" s="134"/>
      <c r="B110" s="134"/>
      <c r="C110" s="134"/>
      <c r="D110" s="134"/>
      <c r="E110" s="134"/>
      <c r="F110" s="134"/>
      <c r="G110" s="134"/>
      <c r="H110" s="134"/>
      <c r="I110" s="134"/>
      <c r="J110" s="134"/>
      <c r="K110" s="134"/>
      <c r="L110" s="134"/>
      <c r="M110" s="134"/>
      <c r="N110" s="134"/>
      <c r="O110" s="134"/>
      <c r="P110" s="134"/>
      <c r="Q110" s="134"/>
      <c r="R110" s="134"/>
      <c r="S110" s="134"/>
      <c r="T110" s="134"/>
      <c r="U110" s="134"/>
      <c r="V110" s="134"/>
      <c r="W110" s="134"/>
      <c r="X110" s="134"/>
      <c r="Y110" s="134"/>
      <c r="Z110" s="134"/>
      <c r="AA110" s="134"/>
      <c r="AB110" s="134"/>
      <c r="AC110" s="134"/>
      <c r="AD110" s="134"/>
      <c r="AE110" s="134"/>
      <c r="AF110" s="134"/>
      <c r="AG110" s="134"/>
      <c r="AH110" s="134"/>
      <c r="AI110" s="134"/>
      <c r="AJ110" s="134"/>
      <c r="AK110" s="134"/>
      <c r="AL110" s="134"/>
      <c r="AM110" s="134"/>
      <c r="AN110" s="134"/>
      <c r="AO110" s="134"/>
    </row>
    <row r="111" ht="14.25" customHeight="1">
      <c r="A111" s="134"/>
      <c r="B111" s="134"/>
      <c r="C111" s="134"/>
      <c r="D111" s="134"/>
      <c r="E111" s="134"/>
      <c r="F111" s="134"/>
      <c r="G111" s="134"/>
      <c r="H111" s="134"/>
      <c r="I111" s="134"/>
      <c r="J111" s="134"/>
      <c r="K111" s="134"/>
      <c r="L111" s="134"/>
      <c r="M111" s="134"/>
      <c r="N111" s="134"/>
      <c r="O111" s="134"/>
      <c r="P111" s="134"/>
      <c r="Q111" s="134"/>
      <c r="R111" s="134"/>
      <c r="S111" s="134"/>
      <c r="T111" s="134"/>
      <c r="U111" s="134"/>
      <c r="V111" s="134"/>
      <c r="W111" s="134"/>
      <c r="X111" s="134"/>
      <c r="Y111" s="134"/>
      <c r="Z111" s="134"/>
      <c r="AA111" s="134"/>
      <c r="AB111" s="134"/>
      <c r="AC111" s="134"/>
      <c r="AD111" s="134"/>
      <c r="AE111" s="134"/>
      <c r="AF111" s="134"/>
      <c r="AG111" s="134"/>
      <c r="AH111" s="134"/>
      <c r="AI111" s="134"/>
      <c r="AJ111" s="134"/>
      <c r="AK111" s="134"/>
      <c r="AL111" s="134"/>
      <c r="AM111" s="134"/>
      <c r="AN111" s="134"/>
      <c r="AO111" s="134"/>
    </row>
    <row r="112" ht="14.25" customHeight="1">
      <c r="A112" s="134"/>
      <c r="B112" s="134"/>
      <c r="C112" s="134"/>
      <c r="D112" s="134"/>
      <c r="E112" s="134"/>
      <c r="F112" s="134"/>
      <c r="G112" s="134"/>
      <c r="H112" s="134"/>
      <c r="I112" s="134"/>
      <c r="J112" s="134"/>
      <c r="K112" s="134"/>
      <c r="L112" s="134"/>
      <c r="M112" s="134"/>
      <c r="N112" s="134"/>
      <c r="O112" s="134"/>
      <c r="P112" s="134"/>
      <c r="Q112" s="134"/>
      <c r="R112" s="134"/>
      <c r="S112" s="134"/>
      <c r="T112" s="134"/>
      <c r="U112" s="134"/>
      <c r="V112" s="134"/>
      <c r="W112" s="134"/>
      <c r="X112" s="134"/>
      <c r="Y112" s="134"/>
      <c r="Z112" s="134"/>
      <c r="AA112" s="134"/>
      <c r="AB112" s="134"/>
      <c r="AC112" s="134"/>
      <c r="AD112" s="134"/>
      <c r="AE112" s="134"/>
      <c r="AF112" s="134"/>
      <c r="AG112" s="134"/>
      <c r="AH112" s="134"/>
      <c r="AI112" s="134"/>
      <c r="AJ112" s="134"/>
      <c r="AK112" s="134"/>
      <c r="AL112" s="134"/>
      <c r="AM112" s="134"/>
      <c r="AN112" s="134"/>
      <c r="AO112" s="134"/>
    </row>
    <row r="113" ht="14.25" customHeight="1">
      <c r="A113" s="134"/>
      <c r="B113" s="134"/>
      <c r="C113" s="134"/>
      <c r="D113" s="134"/>
      <c r="E113" s="134"/>
      <c r="F113" s="134"/>
      <c r="G113" s="134"/>
      <c r="H113" s="134"/>
      <c r="I113" s="134"/>
      <c r="J113" s="134"/>
      <c r="K113" s="134"/>
      <c r="L113" s="134"/>
      <c r="M113" s="134"/>
      <c r="N113" s="134"/>
      <c r="O113" s="134"/>
      <c r="P113" s="134"/>
      <c r="Q113" s="134"/>
      <c r="R113" s="134"/>
      <c r="S113" s="134"/>
      <c r="T113" s="134"/>
      <c r="U113" s="134"/>
      <c r="V113" s="134"/>
      <c r="W113" s="134"/>
      <c r="X113" s="134"/>
      <c r="Y113" s="134"/>
      <c r="Z113" s="134"/>
      <c r="AA113" s="134"/>
      <c r="AB113" s="134"/>
      <c r="AC113" s="134"/>
      <c r="AD113" s="134"/>
      <c r="AE113" s="134"/>
      <c r="AF113" s="134"/>
      <c r="AG113" s="134"/>
      <c r="AH113" s="134"/>
      <c r="AI113" s="134"/>
      <c r="AJ113" s="134"/>
      <c r="AK113" s="134"/>
      <c r="AL113" s="134"/>
      <c r="AM113" s="134"/>
      <c r="AN113" s="134"/>
      <c r="AO113" s="134"/>
    </row>
    <row r="114" ht="14.25" customHeight="1">
      <c r="A114" s="134"/>
      <c r="B114" s="134"/>
      <c r="C114" s="134"/>
      <c r="D114" s="134"/>
      <c r="E114" s="134"/>
      <c r="F114" s="134"/>
      <c r="G114" s="134"/>
      <c r="H114" s="134"/>
      <c r="I114" s="134"/>
      <c r="J114" s="134"/>
      <c r="K114" s="134"/>
      <c r="L114" s="134"/>
      <c r="M114" s="134"/>
      <c r="N114" s="134"/>
      <c r="O114" s="134"/>
      <c r="P114" s="134"/>
      <c r="Q114" s="134"/>
      <c r="R114" s="134"/>
      <c r="S114" s="134"/>
      <c r="T114" s="134"/>
      <c r="U114" s="134"/>
      <c r="V114" s="134"/>
      <c r="W114" s="134"/>
      <c r="X114" s="134"/>
      <c r="Y114" s="134"/>
      <c r="Z114" s="134"/>
      <c r="AA114" s="134"/>
      <c r="AB114" s="134"/>
      <c r="AC114" s="134"/>
      <c r="AD114" s="134"/>
      <c r="AE114" s="134"/>
      <c r="AF114" s="134"/>
      <c r="AG114" s="134"/>
      <c r="AH114" s="134"/>
      <c r="AI114" s="134"/>
      <c r="AJ114" s="134"/>
      <c r="AK114" s="134"/>
      <c r="AL114" s="134"/>
      <c r="AM114" s="134"/>
      <c r="AN114" s="134"/>
      <c r="AO114" s="134"/>
    </row>
    <row r="115" ht="14.25" customHeight="1">
      <c r="A115" s="134"/>
      <c r="B115" s="134"/>
      <c r="C115" s="134"/>
      <c r="D115" s="134"/>
      <c r="E115" s="134"/>
      <c r="F115" s="134"/>
      <c r="G115" s="134"/>
      <c r="H115" s="134"/>
      <c r="I115" s="134"/>
      <c r="J115" s="134"/>
      <c r="K115" s="134"/>
      <c r="L115" s="134"/>
      <c r="M115" s="134"/>
      <c r="N115" s="134"/>
      <c r="O115" s="134"/>
      <c r="P115" s="134"/>
      <c r="Q115" s="134"/>
      <c r="R115" s="134"/>
      <c r="S115" s="134"/>
      <c r="T115" s="134"/>
      <c r="U115" s="134"/>
      <c r="V115" s="134"/>
      <c r="W115" s="134"/>
      <c r="X115" s="134"/>
      <c r="Y115" s="134"/>
      <c r="Z115" s="134"/>
      <c r="AA115" s="134"/>
      <c r="AB115" s="134"/>
      <c r="AC115" s="134"/>
      <c r="AD115" s="134"/>
      <c r="AE115" s="134"/>
      <c r="AF115" s="134"/>
      <c r="AG115" s="134"/>
      <c r="AH115" s="134"/>
      <c r="AI115" s="134"/>
      <c r="AJ115" s="134"/>
      <c r="AK115" s="134"/>
      <c r="AL115" s="134"/>
      <c r="AM115" s="134"/>
      <c r="AN115" s="134"/>
      <c r="AO115" s="134"/>
    </row>
    <row r="116" ht="14.25" customHeight="1">
      <c r="A116" s="134"/>
      <c r="B116" s="134"/>
      <c r="C116" s="134"/>
      <c r="D116" s="134"/>
      <c r="E116" s="134"/>
      <c r="F116" s="134"/>
      <c r="G116" s="134"/>
      <c r="H116" s="134"/>
      <c r="I116" s="134"/>
      <c r="J116" s="134"/>
      <c r="K116" s="134"/>
      <c r="L116" s="134"/>
      <c r="M116" s="134"/>
      <c r="N116" s="134"/>
      <c r="O116" s="134"/>
      <c r="P116" s="134"/>
      <c r="Q116" s="134"/>
      <c r="R116" s="134"/>
      <c r="S116" s="134"/>
      <c r="T116" s="134"/>
      <c r="U116" s="134"/>
      <c r="V116" s="134"/>
      <c r="W116" s="134"/>
      <c r="X116" s="134"/>
      <c r="Y116" s="134"/>
      <c r="Z116" s="134"/>
      <c r="AA116" s="134"/>
      <c r="AB116" s="134"/>
      <c r="AC116" s="134"/>
      <c r="AD116" s="134"/>
      <c r="AE116" s="134"/>
      <c r="AF116" s="134"/>
      <c r="AG116" s="134"/>
      <c r="AH116" s="134"/>
      <c r="AI116" s="134"/>
      <c r="AJ116" s="134"/>
      <c r="AK116" s="134"/>
      <c r="AL116" s="134"/>
      <c r="AM116" s="134"/>
      <c r="AN116" s="134"/>
      <c r="AO116" s="134"/>
    </row>
    <row r="117" ht="14.25" customHeight="1">
      <c r="A117" s="134"/>
      <c r="B117" s="134"/>
      <c r="C117" s="134"/>
      <c r="D117" s="134"/>
      <c r="E117" s="134"/>
      <c r="F117" s="134"/>
      <c r="G117" s="134"/>
      <c r="H117" s="134"/>
      <c r="I117" s="134"/>
      <c r="J117" s="134"/>
      <c r="K117" s="134"/>
      <c r="L117" s="134"/>
      <c r="M117" s="134"/>
      <c r="N117" s="134"/>
      <c r="O117" s="134"/>
      <c r="P117" s="134"/>
      <c r="Q117" s="134"/>
      <c r="R117" s="134"/>
      <c r="S117" s="134"/>
      <c r="T117" s="134"/>
      <c r="U117" s="134"/>
      <c r="V117" s="134"/>
      <c r="W117" s="134"/>
      <c r="X117" s="134"/>
      <c r="Y117" s="134"/>
      <c r="Z117" s="134"/>
      <c r="AA117" s="134"/>
      <c r="AB117" s="134"/>
      <c r="AC117" s="134"/>
      <c r="AD117" s="134"/>
      <c r="AE117" s="134"/>
      <c r="AF117" s="134"/>
      <c r="AG117" s="134"/>
      <c r="AH117" s="134"/>
      <c r="AI117" s="134"/>
      <c r="AJ117" s="134"/>
      <c r="AK117" s="134"/>
      <c r="AL117" s="134"/>
      <c r="AM117" s="134"/>
      <c r="AN117" s="134"/>
      <c r="AO117" s="134"/>
    </row>
    <row r="118" ht="14.25" customHeight="1">
      <c r="A118" s="134"/>
      <c r="B118" s="134"/>
      <c r="C118" s="134"/>
      <c r="D118" s="134"/>
      <c r="E118" s="134"/>
      <c r="F118" s="134"/>
      <c r="G118" s="134"/>
      <c r="H118" s="134"/>
      <c r="I118" s="134"/>
      <c r="J118" s="134"/>
      <c r="K118" s="134"/>
      <c r="L118" s="134"/>
      <c r="M118" s="134"/>
      <c r="N118" s="134"/>
      <c r="O118" s="134"/>
      <c r="P118" s="134"/>
      <c r="Q118" s="134"/>
      <c r="R118" s="134"/>
      <c r="S118" s="134"/>
      <c r="T118" s="134"/>
      <c r="U118" s="134"/>
      <c r="V118" s="134"/>
      <c r="W118" s="134"/>
      <c r="X118" s="134"/>
      <c r="Y118" s="134"/>
      <c r="Z118" s="134"/>
      <c r="AA118" s="134"/>
      <c r="AB118" s="134"/>
      <c r="AC118" s="134"/>
      <c r="AD118" s="134"/>
      <c r="AE118" s="134"/>
      <c r="AF118" s="134"/>
      <c r="AG118" s="134"/>
      <c r="AH118" s="134"/>
      <c r="AI118" s="134"/>
      <c r="AJ118" s="134"/>
      <c r="AK118" s="134"/>
      <c r="AL118" s="134"/>
      <c r="AM118" s="134"/>
      <c r="AN118" s="134"/>
      <c r="AO118" s="134"/>
    </row>
    <row r="119" ht="14.25" customHeight="1">
      <c r="A119" s="134"/>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4"/>
      <c r="Y119" s="134"/>
      <c r="Z119" s="134"/>
      <c r="AA119" s="134"/>
      <c r="AB119" s="134"/>
      <c r="AC119" s="134"/>
      <c r="AD119" s="134"/>
      <c r="AE119" s="134"/>
      <c r="AF119" s="134"/>
      <c r="AG119" s="134"/>
      <c r="AH119" s="134"/>
      <c r="AI119" s="134"/>
      <c r="AJ119" s="134"/>
      <c r="AK119" s="134"/>
      <c r="AL119" s="134"/>
      <c r="AM119" s="134"/>
      <c r="AN119" s="134"/>
      <c r="AO119" s="134"/>
    </row>
    <row r="120" ht="14.25" customHeight="1">
      <c r="A120" s="134"/>
      <c r="B120" s="134"/>
      <c r="C120" s="134"/>
      <c r="D120" s="134"/>
      <c r="E120" s="134"/>
      <c r="F120" s="134"/>
      <c r="G120" s="134"/>
      <c r="H120" s="134"/>
      <c r="I120" s="134"/>
      <c r="J120" s="134"/>
      <c r="K120" s="134"/>
      <c r="L120" s="134"/>
      <c r="M120" s="134"/>
      <c r="N120" s="134"/>
      <c r="O120" s="134"/>
      <c r="P120" s="134"/>
      <c r="Q120" s="134"/>
      <c r="R120" s="134"/>
      <c r="S120" s="134"/>
      <c r="T120" s="134"/>
      <c r="U120" s="134"/>
      <c r="V120" s="134"/>
      <c r="W120" s="134"/>
      <c r="X120" s="134"/>
      <c r="Y120" s="134"/>
      <c r="Z120" s="134"/>
      <c r="AA120" s="134"/>
      <c r="AB120" s="134"/>
      <c r="AC120" s="134"/>
      <c r="AD120" s="134"/>
      <c r="AE120" s="134"/>
      <c r="AF120" s="134"/>
      <c r="AG120" s="134"/>
      <c r="AH120" s="134"/>
      <c r="AI120" s="134"/>
      <c r="AJ120" s="134"/>
      <c r="AK120" s="134"/>
      <c r="AL120" s="134"/>
      <c r="AM120" s="134"/>
      <c r="AN120" s="134"/>
      <c r="AO120" s="134"/>
    </row>
    <row r="121" ht="14.25" customHeight="1">
      <c r="A121" s="134"/>
      <c r="B121" s="134"/>
      <c r="C121" s="134"/>
      <c r="D121" s="134"/>
      <c r="E121" s="134"/>
      <c r="F121" s="134"/>
      <c r="G121" s="134"/>
      <c r="H121" s="134"/>
      <c r="I121" s="134"/>
      <c r="J121" s="134"/>
      <c r="K121" s="134"/>
      <c r="L121" s="134"/>
      <c r="M121" s="134"/>
      <c r="N121" s="134"/>
      <c r="O121" s="134"/>
      <c r="P121" s="134"/>
      <c r="Q121" s="134"/>
      <c r="R121" s="134"/>
      <c r="S121" s="134"/>
      <c r="T121" s="134"/>
      <c r="U121" s="134"/>
      <c r="V121" s="134"/>
      <c r="W121" s="134"/>
      <c r="X121" s="134"/>
      <c r="Y121" s="134"/>
      <c r="Z121" s="134"/>
      <c r="AA121" s="134"/>
      <c r="AB121" s="134"/>
      <c r="AC121" s="134"/>
      <c r="AD121" s="134"/>
      <c r="AE121" s="134"/>
      <c r="AF121" s="134"/>
      <c r="AG121" s="134"/>
      <c r="AH121" s="134"/>
      <c r="AI121" s="134"/>
      <c r="AJ121" s="134"/>
      <c r="AK121" s="134"/>
      <c r="AL121" s="134"/>
      <c r="AM121" s="134"/>
      <c r="AN121" s="134"/>
      <c r="AO121" s="134"/>
    </row>
    <row r="122" ht="14.25" customHeight="1">
      <c r="A122" s="134"/>
      <c r="B122" s="134"/>
      <c r="C122" s="134"/>
      <c r="D122" s="134"/>
      <c r="E122" s="134"/>
      <c r="F122" s="134"/>
      <c r="G122" s="134"/>
      <c r="H122" s="134"/>
      <c r="I122" s="134"/>
      <c r="J122" s="134"/>
      <c r="K122" s="134"/>
      <c r="L122" s="134"/>
      <c r="M122" s="134"/>
      <c r="N122" s="134"/>
      <c r="O122" s="134"/>
      <c r="P122" s="134"/>
      <c r="Q122" s="134"/>
      <c r="R122" s="134"/>
      <c r="S122" s="134"/>
      <c r="T122" s="134"/>
      <c r="U122" s="134"/>
      <c r="V122" s="134"/>
      <c r="W122" s="134"/>
      <c r="X122" s="134"/>
      <c r="Y122" s="134"/>
      <c r="Z122" s="134"/>
      <c r="AA122" s="134"/>
      <c r="AB122" s="134"/>
      <c r="AC122" s="134"/>
      <c r="AD122" s="134"/>
      <c r="AE122" s="134"/>
      <c r="AF122" s="134"/>
      <c r="AG122" s="134"/>
      <c r="AH122" s="134"/>
      <c r="AI122" s="134"/>
      <c r="AJ122" s="134"/>
      <c r="AK122" s="134"/>
      <c r="AL122" s="134"/>
      <c r="AM122" s="134"/>
      <c r="AN122" s="134"/>
      <c r="AO122" s="134"/>
    </row>
    <row r="123" ht="14.25" customHeight="1">
      <c r="A123" s="134"/>
      <c r="B123" s="134"/>
      <c r="C123" s="134"/>
      <c r="D123" s="134"/>
      <c r="E123" s="134"/>
      <c r="F123" s="134"/>
      <c r="G123" s="134"/>
      <c r="H123" s="134"/>
      <c r="I123" s="134"/>
      <c r="J123" s="134"/>
      <c r="K123" s="134"/>
      <c r="L123" s="134"/>
      <c r="M123" s="134"/>
      <c r="N123" s="134"/>
      <c r="O123" s="134"/>
      <c r="P123" s="134"/>
      <c r="Q123" s="134"/>
      <c r="R123" s="134"/>
      <c r="S123" s="134"/>
      <c r="T123" s="134"/>
      <c r="U123" s="134"/>
      <c r="V123" s="134"/>
      <c r="W123" s="134"/>
      <c r="X123" s="134"/>
      <c r="Y123" s="134"/>
      <c r="Z123" s="134"/>
      <c r="AA123" s="134"/>
      <c r="AB123" s="134"/>
      <c r="AC123" s="134"/>
      <c r="AD123" s="134"/>
      <c r="AE123" s="134"/>
      <c r="AF123" s="134"/>
      <c r="AG123" s="134"/>
      <c r="AH123" s="134"/>
      <c r="AI123" s="134"/>
      <c r="AJ123" s="134"/>
      <c r="AK123" s="134"/>
      <c r="AL123" s="134"/>
      <c r="AM123" s="134"/>
      <c r="AN123" s="134"/>
      <c r="AO123" s="134"/>
    </row>
    <row r="124" ht="14.25" customHeight="1">
      <c r="A124" s="134"/>
      <c r="B124" s="134"/>
      <c r="C124" s="134"/>
      <c r="D124" s="134"/>
      <c r="E124" s="134"/>
      <c r="F124" s="134"/>
      <c r="G124" s="134"/>
      <c r="H124" s="134"/>
      <c r="I124" s="134"/>
      <c r="J124" s="134"/>
      <c r="K124" s="134"/>
      <c r="L124" s="134"/>
      <c r="M124" s="134"/>
      <c r="N124" s="134"/>
      <c r="O124" s="134"/>
      <c r="P124" s="134"/>
      <c r="Q124" s="134"/>
      <c r="R124" s="134"/>
      <c r="S124" s="134"/>
      <c r="T124" s="134"/>
      <c r="U124" s="134"/>
      <c r="V124" s="134"/>
      <c r="W124" s="134"/>
      <c r="X124" s="134"/>
      <c r="Y124" s="134"/>
      <c r="Z124" s="134"/>
      <c r="AA124" s="134"/>
      <c r="AB124" s="134"/>
      <c r="AC124" s="134"/>
      <c r="AD124" s="134"/>
      <c r="AE124" s="134"/>
      <c r="AF124" s="134"/>
      <c r="AG124" s="134"/>
      <c r="AH124" s="134"/>
      <c r="AI124" s="134"/>
      <c r="AJ124" s="134"/>
      <c r="AK124" s="134"/>
      <c r="AL124" s="134"/>
      <c r="AM124" s="134"/>
      <c r="AN124" s="134"/>
      <c r="AO124" s="134"/>
    </row>
    <row r="125" ht="14.25" customHeight="1">
      <c r="A125" s="134"/>
      <c r="B125" s="134"/>
      <c r="C125" s="134"/>
      <c r="D125" s="134"/>
      <c r="E125" s="134"/>
      <c r="F125" s="134"/>
      <c r="G125" s="134"/>
      <c r="H125" s="134"/>
      <c r="I125" s="134"/>
      <c r="J125" s="134"/>
      <c r="K125" s="134"/>
      <c r="L125" s="134"/>
      <c r="M125" s="134"/>
      <c r="N125" s="134"/>
      <c r="O125" s="134"/>
      <c r="P125" s="134"/>
      <c r="Q125" s="134"/>
      <c r="R125" s="134"/>
      <c r="S125" s="134"/>
      <c r="T125" s="134"/>
      <c r="U125" s="134"/>
      <c r="V125" s="134"/>
      <c r="W125" s="134"/>
      <c r="X125" s="134"/>
      <c r="Y125" s="134"/>
      <c r="Z125" s="134"/>
      <c r="AA125" s="134"/>
      <c r="AB125" s="134"/>
      <c r="AC125" s="134"/>
      <c r="AD125" s="134"/>
      <c r="AE125" s="134"/>
      <c r="AF125" s="134"/>
      <c r="AG125" s="134"/>
      <c r="AH125" s="134"/>
      <c r="AI125" s="134"/>
      <c r="AJ125" s="134"/>
      <c r="AK125" s="134"/>
      <c r="AL125" s="134"/>
      <c r="AM125" s="134"/>
      <c r="AN125" s="134"/>
      <c r="AO125" s="134"/>
    </row>
    <row r="126" ht="14.25" customHeight="1">
      <c r="A126" s="134"/>
      <c r="B126" s="134"/>
      <c r="C126" s="134"/>
      <c r="D126" s="134"/>
      <c r="E126" s="134"/>
      <c r="F126" s="134"/>
      <c r="G126" s="134"/>
      <c r="H126" s="134"/>
      <c r="I126" s="134"/>
      <c r="J126" s="134"/>
      <c r="K126" s="134"/>
      <c r="L126" s="134"/>
      <c r="M126" s="134"/>
      <c r="N126" s="134"/>
      <c r="O126" s="134"/>
      <c r="P126" s="134"/>
      <c r="Q126" s="134"/>
      <c r="R126" s="134"/>
      <c r="S126" s="134"/>
      <c r="T126" s="134"/>
      <c r="U126" s="134"/>
      <c r="V126" s="134"/>
      <c r="W126" s="134"/>
      <c r="X126" s="134"/>
      <c r="Y126" s="134"/>
      <c r="Z126" s="134"/>
      <c r="AA126" s="134"/>
      <c r="AB126" s="134"/>
      <c r="AC126" s="134"/>
      <c r="AD126" s="134"/>
      <c r="AE126" s="134"/>
      <c r="AF126" s="134"/>
      <c r="AG126" s="134"/>
      <c r="AH126" s="134"/>
      <c r="AI126" s="134"/>
      <c r="AJ126" s="134"/>
      <c r="AK126" s="134"/>
      <c r="AL126" s="134"/>
      <c r="AM126" s="134"/>
      <c r="AN126" s="134"/>
      <c r="AO126" s="134"/>
    </row>
    <row r="127" ht="14.25" customHeight="1">
      <c r="A127" s="134"/>
      <c r="B127" s="134"/>
      <c r="C127" s="134"/>
      <c r="D127" s="134"/>
      <c r="E127" s="134"/>
      <c r="F127" s="134"/>
      <c r="G127" s="134"/>
      <c r="H127" s="134"/>
      <c r="I127" s="134"/>
      <c r="J127" s="134"/>
      <c r="K127" s="134"/>
      <c r="L127" s="134"/>
      <c r="M127" s="134"/>
      <c r="N127" s="134"/>
      <c r="O127" s="134"/>
      <c r="P127" s="134"/>
      <c r="Q127" s="134"/>
      <c r="R127" s="134"/>
      <c r="S127" s="134"/>
      <c r="T127" s="134"/>
      <c r="U127" s="134"/>
      <c r="V127" s="134"/>
      <c r="W127" s="134"/>
      <c r="X127" s="134"/>
      <c r="Y127" s="134"/>
      <c r="Z127" s="134"/>
      <c r="AA127" s="134"/>
      <c r="AB127" s="134"/>
      <c r="AC127" s="134"/>
      <c r="AD127" s="134"/>
      <c r="AE127" s="134"/>
      <c r="AF127" s="134"/>
      <c r="AG127" s="134"/>
      <c r="AH127" s="134"/>
      <c r="AI127" s="134"/>
      <c r="AJ127" s="134"/>
      <c r="AK127" s="134"/>
      <c r="AL127" s="134"/>
      <c r="AM127" s="134"/>
      <c r="AN127" s="134"/>
      <c r="AO127" s="134"/>
    </row>
    <row r="128" ht="14.25" customHeight="1">
      <c r="A128" s="134"/>
      <c r="B128" s="134"/>
      <c r="C128" s="134"/>
      <c r="D128" s="134"/>
      <c r="E128" s="134"/>
      <c r="F128" s="134"/>
      <c r="G128" s="134"/>
      <c r="H128" s="134"/>
      <c r="I128" s="134"/>
      <c r="J128" s="134"/>
      <c r="K128" s="134"/>
      <c r="L128" s="134"/>
      <c r="M128" s="134"/>
      <c r="N128" s="134"/>
      <c r="O128" s="134"/>
      <c r="P128" s="134"/>
      <c r="Q128" s="134"/>
      <c r="R128" s="134"/>
      <c r="S128" s="134"/>
      <c r="T128" s="134"/>
      <c r="U128" s="134"/>
      <c r="V128" s="134"/>
      <c r="W128" s="134"/>
      <c r="X128" s="134"/>
      <c r="Y128" s="134"/>
      <c r="Z128" s="134"/>
      <c r="AA128" s="134"/>
      <c r="AB128" s="134"/>
      <c r="AC128" s="134"/>
      <c r="AD128" s="134"/>
      <c r="AE128" s="134"/>
      <c r="AF128" s="134"/>
      <c r="AG128" s="134"/>
      <c r="AH128" s="134"/>
      <c r="AI128" s="134"/>
      <c r="AJ128" s="134"/>
      <c r="AK128" s="134"/>
      <c r="AL128" s="134"/>
      <c r="AM128" s="134"/>
      <c r="AN128" s="134"/>
      <c r="AO128" s="134"/>
    </row>
    <row r="129" ht="14.25" customHeight="1">
      <c r="A129" s="134"/>
      <c r="B129" s="134"/>
      <c r="C129" s="134"/>
      <c r="D129" s="134"/>
      <c r="E129" s="134"/>
      <c r="F129" s="134"/>
      <c r="G129" s="134"/>
      <c r="H129" s="134"/>
      <c r="I129" s="134"/>
      <c r="J129" s="134"/>
      <c r="K129" s="134"/>
      <c r="L129" s="134"/>
      <c r="M129" s="134"/>
      <c r="N129" s="134"/>
      <c r="O129" s="134"/>
      <c r="P129" s="134"/>
      <c r="Q129" s="134"/>
      <c r="R129" s="134"/>
      <c r="S129" s="134"/>
      <c r="T129" s="134"/>
      <c r="U129" s="134"/>
      <c r="V129" s="134"/>
      <c r="W129" s="134"/>
      <c r="X129" s="134"/>
      <c r="Y129" s="134"/>
      <c r="Z129" s="134"/>
      <c r="AA129" s="134"/>
      <c r="AB129" s="134"/>
      <c r="AC129" s="134"/>
      <c r="AD129" s="134"/>
      <c r="AE129" s="134"/>
      <c r="AF129" s="134"/>
      <c r="AG129" s="134"/>
      <c r="AH129" s="134"/>
      <c r="AI129" s="134"/>
      <c r="AJ129" s="134"/>
      <c r="AK129" s="134"/>
      <c r="AL129" s="134"/>
      <c r="AM129" s="134"/>
      <c r="AN129" s="134"/>
      <c r="AO129" s="134"/>
    </row>
    <row r="130" ht="14.25" customHeight="1">
      <c r="A130" s="134"/>
      <c r="B130" s="134"/>
      <c r="C130" s="134"/>
      <c r="D130" s="134"/>
      <c r="E130" s="134"/>
      <c r="F130" s="134"/>
      <c r="G130" s="134"/>
      <c r="H130" s="134"/>
      <c r="I130" s="134"/>
      <c r="J130" s="134"/>
      <c r="K130" s="134"/>
      <c r="L130" s="134"/>
      <c r="M130" s="134"/>
      <c r="N130" s="134"/>
      <c r="O130" s="134"/>
      <c r="P130" s="134"/>
      <c r="Q130" s="134"/>
      <c r="R130" s="134"/>
      <c r="S130" s="134"/>
      <c r="T130" s="134"/>
      <c r="U130" s="134"/>
      <c r="V130" s="134"/>
      <c r="W130" s="134"/>
      <c r="X130" s="134"/>
      <c r="Y130" s="134"/>
      <c r="Z130" s="134"/>
      <c r="AA130" s="134"/>
      <c r="AB130" s="134"/>
      <c r="AC130" s="134"/>
      <c r="AD130" s="134"/>
      <c r="AE130" s="134"/>
      <c r="AF130" s="134"/>
      <c r="AG130" s="134"/>
      <c r="AH130" s="134"/>
      <c r="AI130" s="134"/>
      <c r="AJ130" s="134"/>
      <c r="AK130" s="134"/>
      <c r="AL130" s="134"/>
      <c r="AM130" s="134"/>
      <c r="AN130" s="134"/>
      <c r="AO130" s="134"/>
    </row>
    <row r="131" ht="14.25" customHeight="1">
      <c r="A131" s="134"/>
      <c r="B131" s="134"/>
      <c r="C131" s="134"/>
      <c r="D131" s="134"/>
      <c r="E131" s="134"/>
      <c r="F131" s="134"/>
      <c r="G131" s="134"/>
      <c r="H131" s="134"/>
      <c r="I131" s="134"/>
      <c r="J131" s="134"/>
      <c r="K131" s="134"/>
      <c r="L131" s="134"/>
      <c r="M131" s="134"/>
      <c r="N131" s="134"/>
      <c r="O131" s="134"/>
      <c r="P131" s="134"/>
      <c r="Q131" s="134"/>
      <c r="R131" s="134"/>
      <c r="S131" s="134"/>
      <c r="T131" s="134"/>
      <c r="U131" s="134"/>
      <c r="V131" s="134"/>
      <c r="W131" s="134"/>
      <c r="X131" s="134"/>
      <c r="Y131" s="134"/>
      <c r="Z131" s="134"/>
      <c r="AA131" s="134"/>
      <c r="AB131" s="134"/>
      <c r="AC131" s="134"/>
      <c r="AD131" s="134"/>
      <c r="AE131" s="134"/>
      <c r="AF131" s="134"/>
      <c r="AG131" s="134"/>
      <c r="AH131" s="134"/>
      <c r="AI131" s="134"/>
      <c r="AJ131" s="134"/>
      <c r="AK131" s="134"/>
      <c r="AL131" s="134"/>
      <c r="AM131" s="134"/>
      <c r="AN131" s="134"/>
      <c r="AO131" s="134"/>
    </row>
    <row r="132" ht="14.25" customHeight="1">
      <c r="A132" s="134"/>
      <c r="B132" s="134"/>
      <c r="C132" s="134"/>
      <c r="D132" s="134"/>
      <c r="E132" s="134"/>
      <c r="F132" s="134"/>
      <c r="G132" s="134"/>
      <c r="H132" s="134"/>
      <c r="I132" s="134"/>
      <c r="J132" s="134"/>
      <c r="K132" s="134"/>
      <c r="L132" s="134"/>
      <c r="M132" s="134"/>
      <c r="N132" s="134"/>
      <c r="O132" s="134"/>
      <c r="P132" s="134"/>
      <c r="Q132" s="134"/>
      <c r="R132" s="134"/>
      <c r="S132" s="134"/>
      <c r="T132" s="134"/>
      <c r="U132" s="134"/>
      <c r="V132" s="134"/>
      <c r="W132" s="134"/>
      <c r="X132" s="134"/>
      <c r="Y132" s="134"/>
      <c r="Z132" s="134"/>
      <c r="AA132" s="134"/>
      <c r="AB132" s="134"/>
      <c r="AC132" s="134"/>
      <c r="AD132" s="134"/>
      <c r="AE132" s="134"/>
      <c r="AF132" s="134"/>
      <c r="AG132" s="134"/>
      <c r="AH132" s="134"/>
      <c r="AI132" s="134"/>
      <c r="AJ132" s="134"/>
      <c r="AK132" s="134"/>
      <c r="AL132" s="134"/>
      <c r="AM132" s="134"/>
      <c r="AN132" s="134"/>
      <c r="AO132" s="134"/>
    </row>
    <row r="133" ht="14.25" customHeight="1">
      <c r="A133" s="134"/>
      <c r="B133" s="134"/>
      <c r="C133" s="134"/>
      <c r="D133" s="134"/>
      <c r="E133" s="134"/>
      <c r="F133" s="134"/>
      <c r="G133" s="134"/>
      <c r="H133" s="134"/>
      <c r="I133" s="134"/>
      <c r="J133" s="134"/>
      <c r="K133" s="134"/>
      <c r="L133" s="134"/>
      <c r="M133" s="134"/>
      <c r="N133" s="134"/>
      <c r="O133" s="134"/>
      <c r="P133" s="134"/>
      <c r="Q133" s="134"/>
      <c r="R133" s="134"/>
      <c r="S133" s="134"/>
      <c r="T133" s="134"/>
      <c r="U133" s="134"/>
      <c r="V133" s="134"/>
      <c r="W133" s="134"/>
      <c r="X133" s="134"/>
      <c r="Y133" s="134"/>
      <c r="Z133" s="134"/>
      <c r="AA133" s="134"/>
      <c r="AB133" s="134"/>
      <c r="AC133" s="134"/>
      <c r="AD133" s="134"/>
      <c r="AE133" s="134"/>
      <c r="AF133" s="134"/>
      <c r="AG133" s="134"/>
      <c r="AH133" s="134"/>
      <c r="AI133" s="134"/>
      <c r="AJ133" s="134"/>
      <c r="AK133" s="134"/>
      <c r="AL133" s="134"/>
      <c r="AM133" s="134"/>
      <c r="AN133" s="134"/>
      <c r="AO133" s="134"/>
    </row>
    <row r="134" ht="14.25" customHeight="1">
      <c r="A134" s="134"/>
      <c r="B134" s="134"/>
      <c r="C134" s="134"/>
      <c r="D134" s="134"/>
      <c r="E134" s="134"/>
      <c r="F134" s="134"/>
      <c r="G134" s="134"/>
      <c r="H134" s="134"/>
      <c r="I134" s="134"/>
      <c r="J134" s="134"/>
      <c r="K134" s="134"/>
      <c r="L134" s="134"/>
      <c r="M134" s="134"/>
      <c r="N134" s="134"/>
      <c r="O134" s="134"/>
      <c r="P134" s="134"/>
      <c r="Q134" s="134"/>
      <c r="R134" s="134"/>
      <c r="S134" s="134"/>
      <c r="T134" s="134"/>
      <c r="U134" s="134"/>
      <c r="V134" s="134"/>
      <c r="W134" s="134"/>
      <c r="X134" s="134"/>
      <c r="Y134" s="134"/>
      <c r="Z134" s="134"/>
      <c r="AA134" s="134"/>
      <c r="AB134" s="134"/>
      <c r="AC134" s="134"/>
      <c r="AD134" s="134"/>
      <c r="AE134" s="134"/>
      <c r="AF134" s="134"/>
      <c r="AG134" s="134"/>
      <c r="AH134" s="134"/>
      <c r="AI134" s="134"/>
      <c r="AJ134" s="134"/>
      <c r="AK134" s="134"/>
      <c r="AL134" s="134"/>
      <c r="AM134" s="134"/>
      <c r="AN134" s="134"/>
      <c r="AO134" s="134"/>
    </row>
    <row r="135" ht="14.25" customHeight="1">
      <c r="A135" s="134"/>
      <c r="B135" s="134"/>
      <c r="C135" s="134"/>
      <c r="D135" s="134"/>
      <c r="E135" s="134"/>
      <c r="F135" s="134"/>
      <c r="G135" s="134"/>
      <c r="H135" s="134"/>
      <c r="I135" s="134"/>
      <c r="J135" s="134"/>
      <c r="K135" s="134"/>
      <c r="L135" s="134"/>
      <c r="M135" s="134"/>
      <c r="N135" s="134"/>
      <c r="O135" s="134"/>
      <c r="P135" s="134"/>
      <c r="Q135" s="134"/>
      <c r="R135" s="134"/>
      <c r="S135" s="134"/>
      <c r="T135" s="134"/>
      <c r="U135" s="134"/>
      <c r="V135" s="134"/>
      <c r="W135" s="134"/>
      <c r="X135" s="134"/>
      <c r="Y135" s="134"/>
      <c r="Z135" s="134"/>
      <c r="AA135" s="134"/>
      <c r="AB135" s="134"/>
      <c r="AC135" s="134"/>
      <c r="AD135" s="134"/>
      <c r="AE135" s="134"/>
      <c r="AF135" s="134"/>
      <c r="AG135" s="134"/>
      <c r="AH135" s="134"/>
      <c r="AI135" s="134"/>
      <c r="AJ135" s="134"/>
      <c r="AK135" s="134"/>
      <c r="AL135" s="134"/>
      <c r="AM135" s="134"/>
      <c r="AN135" s="134"/>
      <c r="AO135" s="134"/>
    </row>
    <row r="136" ht="14.25" customHeight="1">
      <c r="A136" s="134"/>
      <c r="B136" s="134"/>
      <c r="C136" s="134"/>
      <c r="D136" s="134"/>
      <c r="E136" s="134"/>
      <c r="F136" s="134"/>
      <c r="G136" s="134"/>
      <c r="H136" s="134"/>
      <c r="I136" s="134"/>
      <c r="J136" s="134"/>
      <c r="K136" s="134"/>
      <c r="L136" s="134"/>
      <c r="M136" s="134"/>
      <c r="N136" s="134"/>
      <c r="O136" s="134"/>
      <c r="P136" s="134"/>
      <c r="Q136" s="134"/>
      <c r="R136" s="134"/>
      <c r="S136" s="134"/>
      <c r="T136" s="134"/>
      <c r="U136" s="134"/>
      <c r="V136" s="134"/>
      <c r="W136" s="134"/>
      <c r="X136" s="134"/>
      <c r="Y136" s="134"/>
      <c r="Z136" s="134"/>
      <c r="AA136" s="134"/>
      <c r="AB136" s="134"/>
      <c r="AC136" s="134"/>
      <c r="AD136" s="134"/>
      <c r="AE136" s="134"/>
      <c r="AF136" s="134"/>
      <c r="AG136" s="134"/>
      <c r="AH136" s="134"/>
      <c r="AI136" s="134"/>
      <c r="AJ136" s="134"/>
      <c r="AK136" s="134"/>
      <c r="AL136" s="134"/>
      <c r="AM136" s="134"/>
      <c r="AN136" s="134"/>
      <c r="AO136" s="134"/>
    </row>
    <row r="137" ht="14.25" customHeight="1">
      <c r="A137" s="134"/>
      <c r="B137" s="134"/>
      <c r="C137" s="134"/>
      <c r="D137" s="134"/>
      <c r="E137" s="134"/>
      <c r="F137" s="134"/>
      <c r="G137" s="134"/>
      <c r="H137" s="134"/>
      <c r="I137" s="134"/>
      <c r="J137" s="134"/>
      <c r="K137" s="134"/>
      <c r="L137" s="134"/>
      <c r="M137" s="134"/>
      <c r="N137" s="134"/>
      <c r="O137" s="134"/>
      <c r="P137" s="134"/>
      <c r="Q137" s="134"/>
      <c r="R137" s="134"/>
      <c r="S137" s="134"/>
      <c r="T137" s="134"/>
      <c r="U137" s="134"/>
      <c r="V137" s="134"/>
      <c r="W137" s="134"/>
      <c r="X137" s="134"/>
      <c r="Y137" s="134"/>
      <c r="Z137" s="134"/>
      <c r="AA137" s="134"/>
      <c r="AB137" s="134"/>
      <c r="AC137" s="134"/>
      <c r="AD137" s="134"/>
      <c r="AE137" s="134"/>
      <c r="AF137" s="134"/>
      <c r="AG137" s="134"/>
      <c r="AH137" s="134"/>
      <c r="AI137" s="134"/>
      <c r="AJ137" s="134"/>
      <c r="AK137" s="134"/>
      <c r="AL137" s="134"/>
      <c r="AM137" s="134"/>
      <c r="AN137" s="134"/>
      <c r="AO137" s="134"/>
    </row>
    <row r="138" ht="14.25" customHeight="1">
      <c r="A138" s="134"/>
      <c r="B138" s="134"/>
      <c r="C138" s="134"/>
      <c r="D138" s="134"/>
      <c r="E138" s="134"/>
      <c r="F138" s="134"/>
      <c r="G138" s="134"/>
      <c r="H138" s="134"/>
      <c r="I138" s="134"/>
      <c r="J138" s="134"/>
      <c r="K138" s="134"/>
      <c r="L138" s="134"/>
      <c r="M138" s="134"/>
      <c r="N138" s="134"/>
      <c r="O138" s="134"/>
      <c r="P138" s="134"/>
      <c r="Q138" s="134"/>
      <c r="R138" s="134"/>
      <c r="S138" s="134"/>
      <c r="T138" s="134"/>
      <c r="U138" s="134"/>
      <c r="V138" s="134"/>
      <c r="W138" s="134"/>
      <c r="X138" s="134"/>
      <c r="Y138" s="134"/>
      <c r="Z138" s="134"/>
      <c r="AA138" s="134"/>
      <c r="AB138" s="134"/>
      <c r="AC138" s="134"/>
      <c r="AD138" s="134"/>
      <c r="AE138" s="134"/>
      <c r="AF138" s="134"/>
      <c r="AG138" s="134"/>
      <c r="AH138" s="134"/>
      <c r="AI138" s="134"/>
      <c r="AJ138" s="134"/>
      <c r="AK138" s="134"/>
      <c r="AL138" s="134"/>
      <c r="AM138" s="134"/>
      <c r="AN138" s="134"/>
      <c r="AO138" s="134"/>
    </row>
    <row r="139" ht="14.25" customHeight="1">
      <c r="A139" s="134"/>
      <c r="B139" s="134"/>
      <c r="C139" s="134"/>
      <c r="D139" s="134"/>
      <c r="E139" s="134"/>
      <c r="F139" s="134"/>
      <c r="G139" s="134"/>
      <c r="H139" s="134"/>
      <c r="I139" s="134"/>
      <c r="J139" s="134"/>
      <c r="K139" s="134"/>
      <c r="L139" s="134"/>
      <c r="M139" s="134"/>
      <c r="N139" s="134"/>
      <c r="O139" s="134"/>
      <c r="P139" s="134"/>
      <c r="Q139" s="134"/>
      <c r="R139" s="134"/>
      <c r="S139" s="134"/>
      <c r="T139" s="134"/>
      <c r="U139" s="134"/>
      <c r="V139" s="134"/>
      <c r="W139" s="134"/>
      <c r="X139" s="134"/>
      <c r="Y139" s="134"/>
      <c r="Z139" s="134"/>
      <c r="AA139" s="134"/>
      <c r="AB139" s="134"/>
      <c r="AC139" s="134"/>
      <c r="AD139" s="134"/>
      <c r="AE139" s="134"/>
      <c r="AF139" s="134"/>
      <c r="AG139" s="134"/>
      <c r="AH139" s="134"/>
      <c r="AI139" s="134"/>
      <c r="AJ139" s="134"/>
      <c r="AK139" s="134"/>
      <c r="AL139" s="134"/>
      <c r="AM139" s="134"/>
      <c r="AN139" s="134"/>
      <c r="AO139" s="134"/>
    </row>
    <row r="140" ht="14.25" customHeight="1">
      <c r="A140" s="134"/>
      <c r="B140" s="134"/>
      <c r="C140" s="134"/>
      <c r="D140" s="134"/>
      <c r="E140" s="134"/>
      <c r="F140" s="134"/>
      <c r="G140" s="134"/>
      <c r="H140" s="134"/>
      <c r="I140" s="134"/>
      <c r="J140" s="134"/>
      <c r="K140" s="134"/>
      <c r="L140" s="134"/>
      <c r="M140" s="134"/>
      <c r="N140" s="134"/>
      <c r="O140" s="134"/>
      <c r="P140" s="134"/>
      <c r="Q140" s="134"/>
      <c r="R140" s="134"/>
      <c r="S140" s="134"/>
      <c r="T140" s="134"/>
      <c r="U140" s="134"/>
      <c r="V140" s="134"/>
      <c r="W140" s="134"/>
      <c r="X140" s="134"/>
      <c r="Y140" s="134"/>
      <c r="Z140" s="134"/>
      <c r="AA140" s="134"/>
      <c r="AB140" s="134"/>
      <c r="AC140" s="134"/>
      <c r="AD140" s="134"/>
      <c r="AE140" s="134"/>
      <c r="AF140" s="134"/>
      <c r="AG140" s="134"/>
      <c r="AH140" s="134"/>
      <c r="AI140" s="134"/>
      <c r="AJ140" s="134"/>
      <c r="AK140" s="134"/>
      <c r="AL140" s="134"/>
      <c r="AM140" s="134"/>
      <c r="AN140" s="134"/>
      <c r="AO140" s="134"/>
    </row>
    <row r="141" ht="14.25" customHeight="1">
      <c r="A141" s="134"/>
      <c r="B141" s="134"/>
      <c r="C141" s="134"/>
      <c r="D141" s="134"/>
      <c r="E141" s="134"/>
      <c r="F141" s="134"/>
      <c r="G141" s="134"/>
      <c r="H141" s="134"/>
      <c r="I141" s="134"/>
      <c r="J141" s="134"/>
      <c r="K141" s="134"/>
      <c r="L141" s="134"/>
      <c r="M141" s="134"/>
      <c r="N141" s="134"/>
      <c r="O141" s="134"/>
      <c r="P141" s="134"/>
      <c r="Q141" s="134"/>
      <c r="R141" s="134"/>
      <c r="S141" s="134"/>
      <c r="T141" s="134"/>
      <c r="U141" s="134"/>
      <c r="V141" s="134"/>
      <c r="W141" s="134"/>
      <c r="X141" s="134"/>
      <c r="Y141" s="134"/>
      <c r="Z141" s="134"/>
      <c r="AA141" s="134"/>
      <c r="AB141" s="134"/>
      <c r="AC141" s="134"/>
      <c r="AD141" s="134"/>
      <c r="AE141" s="134"/>
      <c r="AF141" s="134"/>
      <c r="AG141" s="134"/>
      <c r="AH141" s="134"/>
      <c r="AI141" s="134"/>
      <c r="AJ141" s="134"/>
      <c r="AK141" s="134"/>
      <c r="AL141" s="134"/>
      <c r="AM141" s="134"/>
      <c r="AN141" s="134"/>
      <c r="AO141" s="134"/>
    </row>
    <row r="142" ht="14.25" customHeight="1">
      <c r="A142" s="134"/>
      <c r="B142" s="134"/>
      <c r="C142" s="134"/>
      <c r="D142" s="134"/>
      <c r="E142" s="134"/>
      <c r="F142" s="134"/>
      <c r="G142" s="134"/>
      <c r="H142" s="134"/>
      <c r="I142" s="134"/>
      <c r="J142" s="134"/>
      <c r="K142" s="134"/>
      <c r="L142" s="134"/>
      <c r="M142" s="134"/>
      <c r="N142" s="134"/>
      <c r="O142" s="134"/>
      <c r="P142" s="134"/>
      <c r="Q142" s="134"/>
      <c r="R142" s="134"/>
      <c r="S142" s="134"/>
      <c r="T142" s="134"/>
      <c r="U142" s="134"/>
      <c r="V142" s="134"/>
      <c r="W142" s="134"/>
      <c r="X142" s="134"/>
      <c r="Y142" s="134"/>
      <c r="Z142" s="134"/>
      <c r="AA142" s="134"/>
      <c r="AB142" s="134"/>
      <c r="AC142" s="134"/>
      <c r="AD142" s="134"/>
      <c r="AE142" s="134"/>
      <c r="AF142" s="134"/>
      <c r="AG142" s="134"/>
      <c r="AH142" s="134"/>
      <c r="AI142" s="134"/>
      <c r="AJ142" s="134"/>
      <c r="AK142" s="134"/>
      <c r="AL142" s="134"/>
      <c r="AM142" s="134"/>
      <c r="AN142" s="134"/>
      <c r="AO142" s="134"/>
    </row>
    <row r="143" ht="14.25" customHeight="1">
      <c r="A143" s="134"/>
      <c r="B143" s="134"/>
      <c r="C143" s="134"/>
      <c r="D143" s="134"/>
      <c r="E143" s="134"/>
      <c r="F143" s="134"/>
      <c r="G143" s="134"/>
      <c r="H143" s="134"/>
      <c r="I143" s="134"/>
      <c r="J143" s="134"/>
      <c r="K143" s="134"/>
      <c r="L143" s="134"/>
      <c r="M143" s="134"/>
      <c r="N143" s="134"/>
      <c r="O143" s="134"/>
      <c r="P143" s="134"/>
      <c r="Q143" s="134"/>
      <c r="R143" s="134"/>
      <c r="S143" s="134"/>
      <c r="T143" s="134"/>
      <c r="U143" s="134"/>
      <c r="V143" s="134"/>
      <c r="W143" s="134"/>
      <c r="X143" s="134"/>
      <c r="Y143" s="134"/>
      <c r="Z143" s="134"/>
      <c r="AA143" s="134"/>
      <c r="AB143" s="134"/>
      <c r="AC143" s="134"/>
      <c r="AD143" s="134"/>
      <c r="AE143" s="134"/>
      <c r="AF143" s="134"/>
      <c r="AG143" s="134"/>
      <c r="AH143" s="134"/>
      <c r="AI143" s="134"/>
      <c r="AJ143" s="134"/>
      <c r="AK143" s="134"/>
      <c r="AL143" s="134"/>
      <c r="AM143" s="134"/>
      <c r="AN143" s="134"/>
      <c r="AO143" s="134"/>
    </row>
    <row r="144" ht="14.25" customHeight="1">
      <c r="A144" s="134"/>
      <c r="B144" s="134"/>
      <c r="C144" s="134"/>
      <c r="D144" s="134"/>
      <c r="E144" s="134"/>
      <c r="F144" s="134"/>
      <c r="G144" s="134"/>
      <c r="H144" s="13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row>
    <row r="145" ht="14.25" customHeight="1">
      <c r="A145" s="134"/>
      <c r="B145" s="134"/>
      <c r="C145" s="134"/>
      <c r="D145" s="134"/>
      <c r="E145" s="134"/>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row>
    <row r="146" ht="14.25" customHeight="1">
      <c r="A146" s="134"/>
      <c r="B146" s="134"/>
      <c r="C146" s="134"/>
      <c r="D146" s="134"/>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row>
    <row r="147" ht="14.25" customHeight="1">
      <c r="A147" s="134"/>
      <c r="B147" s="134"/>
      <c r="C147" s="134"/>
      <c r="D147" s="134"/>
      <c r="E147" s="134"/>
      <c r="F147" s="134"/>
      <c r="G147" s="134"/>
      <c r="H147" s="13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row>
    <row r="148" ht="14.25" customHeight="1">
      <c r="A148" s="134"/>
      <c r="B148" s="134"/>
      <c r="C148" s="134"/>
      <c r="D148" s="134"/>
      <c r="E148" s="134"/>
      <c r="F148" s="134"/>
      <c r="G148" s="134"/>
      <c r="H148" s="13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row>
    <row r="149" ht="14.25" customHeight="1">
      <c r="A149" s="134"/>
      <c r="B149" s="134"/>
      <c r="C149" s="134"/>
      <c r="D149" s="134"/>
      <c r="E149" s="134"/>
      <c r="F149" s="134"/>
      <c r="G149" s="134"/>
      <c r="H149" s="13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row>
    <row r="150" ht="14.25" customHeight="1">
      <c r="A150" s="134"/>
      <c r="B150" s="134"/>
      <c r="C150" s="134"/>
      <c r="D150" s="134"/>
      <c r="E150" s="134"/>
      <c r="F150" s="134"/>
      <c r="G150" s="134"/>
      <c r="H150" s="13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row>
    <row r="151" ht="14.25" customHeight="1">
      <c r="A151" s="134"/>
      <c r="B151" s="134"/>
      <c r="C151" s="134"/>
      <c r="D151" s="134"/>
      <c r="E151" s="134"/>
      <c r="F151" s="134"/>
      <c r="G151" s="134"/>
      <c r="H151" s="13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row>
    <row r="152" ht="14.25" customHeight="1">
      <c r="A152" s="134"/>
      <c r="B152" s="134"/>
      <c r="C152" s="134"/>
      <c r="D152" s="134"/>
      <c r="E152" s="134"/>
      <c r="F152" s="134"/>
      <c r="G152" s="134"/>
      <c r="H152" s="13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row>
    <row r="153" ht="14.25" customHeight="1">
      <c r="A153" s="134"/>
      <c r="B153" s="134"/>
      <c r="C153" s="134"/>
      <c r="D153" s="134"/>
      <c r="E153" s="134"/>
      <c r="F153" s="134"/>
      <c r="G153" s="134"/>
      <c r="H153" s="13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row>
    <row r="154" ht="14.25" customHeight="1">
      <c r="A154" s="134"/>
      <c r="B154" s="134"/>
      <c r="C154" s="134"/>
      <c r="D154" s="134"/>
      <c r="E154" s="134"/>
      <c r="F154" s="134"/>
      <c r="G154" s="134"/>
      <c r="H154" s="13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row>
    <row r="155" ht="14.25" customHeight="1">
      <c r="A155" s="134"/>
      <c r="B155" s="134"/>
      <c r="C155" s="134"/>
      <c r="D155" s="134"/>
      <c r="E155" s="134"/>
      <c r="F155" s="134"/>
      <c r="G155" s="134"/>
      <c r="H155" s="13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row>
    <row r="156" ht="14.25" customHeight="1">
      <c r="A156" s="134"/>
      <c r="B156" s="134"/>
      <c r="C156" s="134"/>
      <c r="D156" s="134"/>
      <c r="E156" s="134"/>
      <c r="F156" s="134"/>
      <c r="G156" s="134"/>
      <c r="H156" s="13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row>
    <row r="157" ht="14.25" customHeight="1">
      <c r="A157" s="134"/>
      <c r="B157" s="134"/>
      <c r="C157" s="134"/>
      <c r="D157" s="134"/>
      <c r="E157" s="134"/>
      <c r="F157" s="134"/>
      <c r="G157" s="134"/>
      <c r="H157" s="13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row>
    <row r="158" ht="14.25" customHeight="1">
      <c r="A158" s="134"/>
      <c r="B158" s="134"/>
      <c r="C158" s="134"/>
      <c r="D158" s="134"/>
      <c r="E158" s="134"/>
      <c r="F158" s="134"/>
      <c r="G158" s="134"/>
      <c r="H158" s="13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row>
    <row r="159" ht="14.25" customHeight="1">
      <c r="A159" s="134"/>
      <c r="B159" s="134"/>
      <c r="C159" s="134"/>
      <c r="D159" s="134"/>
      <c r="E159" s="134"/>
      <c r="F159" s="134"/>
      <c r="G159" s="134"/>
      <c r="H159" s="13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row>
    <row r="160" ht="14.25" customHeight="1">
      <c r="A160" s="134"/>
      <c r="B160" s="134"/>
      <c r="C160" s="134"/>
      <c r="D160" s="134"/>
      <c r="E160" s="134"/>
      <c r="F160" s="134"/>
      <c r="G160" s="134"/>
      <c r="H160" s="13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row>
    <row r="161" ht="14.25" customHeight="1">
      <c r="A161" s="134"/>
      <c r="B161" s="134"/>
      <c r="C161" s="134"/>
      <c r="D161" s="134"/>
      <c r="E161" s="134"/>
      <c r="F161" s="134"/>
      <c r="G161" s="134"/>
      <c r="H161" s="13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row>
    <row r="162" ht="14.25" customHeight="1">
      <c r="A162" s="134"/>
      <c r="B162" s="134"/>
      <c r="C162" s="134"/>
      <c r="D162" s="134"/>
      <c r="E162" s="134"/>
      <c r="F162" s="134"/>
      <c r="G162" s="134"/>
      <c r="H162" s="13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row>
    <row r="163" ht="14.25" customHeight="1">
      <c r="A163" s="134"/>
      <c r="B163" s="134"/>
      <c r="C163" s="134"/>
      <c r="D163" s="134"/>
      <c r="E163" s="134"/>
      <c r="F163" s="134"/>
      <c r="G163" s="134"/>
      <c r="H163" s="13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row>
    <row r="164" ht="14.25" customHeight="1">
      <c r="A164" s="134"/>
      <c r="B164" s="134"/>
      <c r="C164" s="134"/>
      <c r="D164" s="134"/>
      <c r="E164" s="134"/>
      <c r="F164" s="134"/>
      <c r="G164" s="134"/>
      <c r="H164" s="13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row>
    <row r="165" ht="14.25" customHeight="1">
      <c r="A165" s="134"/>
      <c r="B165" s="134"/>
      <c r="C165" s="134"/>
      <c r="D165" s="134"/>
      <c r="E165" s="134"/>
      <c r="F165" s="134"/>
      <c r="G165" s="134"/>
      <c r="H165" s="13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row>
    <row r="166" ht="14.25" customHeight="1">
      <c r="A166" s="134"/>
      <c r="B166" s="134"/>
      <c r="C166" s="134"/>
      <c r="D166" s="134"/>
      <c r="E166" s="134"/>
      <c r="F166" s="134"/>
      <c r="G166" s="134"/>
      <c r="H166" s="13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row>
    <row r="167" ht="14.25" customHeight="1">
      <c r="A167" s="134"/>
      <c r="B167" s="134"/>
      <c r="C167" s="134"/>
      <c r="D167" s="134"/>
      <c r="E167" s="134"/>
      <c r="F167" s="134"/>
      <c r="G167" s="134"/>
      <c r="H167" s="134"/>
      <c r="I167" s="134"/>
      <c r="J167" s="134"/>
      <c r="K167" s="134"/>
      <c r="L167" s="134"/>
      <c r="M167" s="134"/>
      <c r="N167" s="134"/>
      <c r="O167" s="134"/>
      <c r="P167" s="134"/>
      <c r="Q167" s="134"/>
      <c r="R167" s="134"/>
      <c r="S167" s="134"/>
      <c r="T167" s="134"/>
      <c r="U167" s="134"/>
      <c r="V167" s="134"/>
      <c r="W167" s="134"/>
      <c r="X167" s="134"/>
      <c r="Y167" s="134"/>
      <c r="Z167" s="134"/>
      <c r="AA167" s="134"/>
      <c r="AB167" s="134"/>
      <c r="AC167" s="134"/>
      <c r="AD167" s="134"/>
      <c r="AE167" s="134"/>
      <c r="AF167" s="134"/>
      <c r="AG167" s="134"/>
      <c r="AH167" s="134"/>
      <c r="AI167" s="134"/>
      <c r="AJ167" s="134"/>
      <c r="AK167" s="134"/>
      <c r="AL167" s="134"/>
      <c r="AM167" s="134"/>
      <c r="AN167" s="134"/>
      <c r="AO167" s="134"/>
    </row>
    <row r="168" ht="14.25" customHeight="1">
      <c r="A168" s="134"/>
      <c r="B168" s="134"/>
      <c r="C168" s="134"/>
      <c r="D168" s="134"/>
      <c r="E168" s="134"/>
      <c r="F168" s="134"/>
      <c r="G168" s="134"/>
      <c r="H168" s="134"/>
      <c r="I168" s="134"/>
      <c r="J168" s="134"/>
      <c r="K168" s="134"/>
      <c r="L168" s="134"/>
      <c r="M168" s="134"/>
      <c r="N168" s="134"/>
      <c r="O168" s="134"/>
      <c r="P168" s="134"/>
      <c r="Q168" s="134"/>
      <c r="R168" s="134"/>
      <c r="S168" s="134"/>
      <c r="T168" s="134"/>
      <c r="U168" s="134"/>
      <c r="V168" s="134"/>
      <c r="W168" s="134"/>
      <c r="X168" s="134"/>
      <c r="Y168" s="134"/>
      <c r="Z168" s="134"/>
      <c r="AA168" s="134"/>
      <c r="AB168" s="134"/>
      <c r="AC168" s="134"/>
      <c r="AD168" s="134"/>
      <c r="AE168" s="134"/>
      <c r="AF168" s="134"/>
      <c r="AG168" s="134"/>
      <c r="AH168" s="134"/>
      <c r="AI168" s="134"/>
      <c r="AJ168" s="134"/>
      <c r="AK168" s="134"/>
      <c r="AL168" s="134"/>
      <c r="AM168" s="134"/>
      <c r="AN168" s="134"/>
      <c r="AO168" s="134"/>
    </row>
    <row r="169" ht="14.25" customHeight="1">
      <c r="A169" s="134"/>
      <c r="B169" s="134"/>
      <c r="C169" s="134"/>
      <c r="D169" s="134"/>
      <c r="E169" s="134"/>
      <c r="F169" s="134"/>
      <c r="G169" s="134"/>
      <c r="H169" s="134"/>
      <c r="I169" s="134"/>
      <c r="J169" s="134"/>
      <c r="K169" s="134"/>
      <c r="L169" s="134"/>
      <c r="M169" s="134"/>
      <c r="N169" s="134"/>
      <c r="O169" s="134"/>
      <c r="P169" s="134"/>
      <c r="Q169" s="134"/>
      <c r="R169" s="134"/>
      <c r="S169" s="134"/>
      <c r="T169" s="134"/>
      <c r="U169" s="134"/>
      <c r="V169" s="134"/>
      <c r="W169" s="134"/>
      <c r="X169" s="134"/>
      <c r="Y169" s="134"/>
      <c r="Z169" s="134"/>
      <c r="AA169" s="134"/>
      <c r="AB169" s="134"/>
      <c r="AC169" s="134"/>
      <c r="AD169" s="134"/>
      <c r="AE169" s="134"/>
      <c r="AF169" s="134"/>
      <c r="AG169" s="134"/>
      <c r="AH169" s="134"/>
      <c r="AI169" s="134"/>
      <c r="AJ169" s="134"/>
      <c r="AK169" s="134"/>
      <c r="AL169" s="134"/>
      <c r="AM169" s="134"/>
      <c r="AN169" s="134"/>
      <c r="AO169" s="134"/>
    </row>
    <row r="170" ht="14.25" customHeight="1">
      <c r="A170" s="134"/>
      <c r="B170" s="134"/>
      <c r="C170" s="134"/>
      <c r="D170" s="134"/>
      <c r="E170" s="134"/>
      <c r="F170" s="134"/>
      <c r="G170" s="134"/>
      <c r="H170" s="134"/>
      <c r="I170" s="134"/>
      <c r="J170" s="134"/>
      <c r="K170" s="134"/>
      <c r="L170" s="134"/>
      <c r="M170" s="134"/>
      <c r="N170" s="134"/>
      <c r="O170" s="134"/>
      <c r="P170" s="134"/>
      <c r="Q170" s="134"/>
      <c r="R170" s="134"/>
      <c r="S170" s="134"/>
      <c r="T170" s="134"/>
      <c r="U170" s="134"/>
      <c r="V170" s="134"/>
      <c r="W170" s="134"/>
      <c r="X170" s="134"/>
      <c r="Y170" s="134"/>
      <c r="Z170" s="134"/>
      <c r="AA170" s="134"/>
      <c r="AB170" s="134"/>
      <c r="AC170" s="134"/>
      <c r="AD170" s="134"/>
      <c r="AE170" s="134"/>
      <c r="AF170" s="134"/>
      <c r="AG170" s="134"/>
      <c r="AH170" s="134"/>
      <c r="AI170" s="134"/>
      <c r="AJ170" s="134"/>
      <c r="AK170" s="134"/>
      <c r="AL170" s="134"/>
      <c r="AM170" s="134"/>
      <c r="AN170" s="134"/>
      <c r="AO170" s="134"/>
    </row>
    <row r="171" ht="14.25" customHeight="1">
      <c r="A171" s="134"/>
      <c r="B171" s="134"/>
      <c r="C171" s="134"/>
      <c r="D171" s="134"/>
      <c r="E171" s="134"/>
      <c r="F171" s="134"/>
      <c r="G171" s="134"/>
      <c r="H171" s="134"/>
      <c r="I171" s="134"/>
      <c r="J171" s="134"/>
      <c r="K171" s="134"/>
      <c r="L171" s="134"/>
      <c r="M171" s="134"/>
      <c r="N171" s="134"/>
      <c r="O171" s="134"/>
      <c r="P171" s="134"/>
      <c r="Q171" s="134"/>
      <c r="R171" s="134"/>
      <c r="S171" s="134"/>
      <c r="T171" s="134"/>
      <c r="U171" s="134"/>
      <c r="V171" s="134"/>
      <c r="W171" s="134"/>
      <c r="X171" s="134"/>
      <c r="Y171" s="134"/>
      <c r="Z171" s="134"/>
      <c r="AA171" s="134"/>
      <c r="AB171" s="134"/>
      <c r="AC171" s="134"/>
      <c r="AD171" s="134"/>
      <c r="AE171" s="134"/>
      <c r="AF171" s="134"/>
      <c r="AG171" s="134"/>
      <c r="AH171" s="134"/>
      <c r="AI171" s="134"/>
      <c r="AJ171" s="134"/>
      <c r="AK171" s="134"/>
      <c r="AL171" s="134"/>
      <c r="AM171" s="134"/>
      <c r="AN171" s="134"/>
      <c r="AO171" s="134"/>
    </row>
    <row r="172" ht="14.25" customHeight="1">
      <c r="A172" s="134"/>
      <c r="B172" s="134"/>
      <c r="C172" s="134"/>
      <c r="D172" s="134"/>
      <c r="E172" s="134"/>
      <c r="F172" s="134"/>
      <c r="G172" s="134"/>
      <c r="H172" s="134"/>
      <c r="I172" s="134"/>
      <c r="J172" s="134"/>
      <c r="K172" s="134"/>
      <c r="L172" s="134"/>
      <c r="M172" s="134"/>
      <c r="N172" s="134"/>
      <c r="O172" s="134"/>
      <c r="P172" s="134"/>
      <c r="Q172" s="134"/>
      <c r="R172" s="134"/>
      <c r="S172" s="134"/>
      <c r="T172" s="134"/>
      <c r="U172" s="134"/>
      <c r="V172" s="134"/>
      <c r="W172" s="134"/>
      <c r="X172" s="134"/>
      <c r="Y172" s="134"/>
      <c r="Z172" s="134"/>
      <c r="AA172" s="134"/>
      <c r="AB172" s="134"/>
      <c r="AC172" s="134"/>
      <c r="AD172" s="134"/>
      <c r="AE172" s="134"/>
      <c r="AF172" s="134"/>
      <c r="AG172" s="134"/>
      <c r="AH172" s="134"/>
      <c r="AI172" s="134"/>
      <c r="AJ172" s="134"/>
      <c r="AK172" s="134"/>
      <c r="AL172" s="134"/>
      <c r="AM172" s="134"/>
      <c r="AN172" s="134"/>
      <c r="AO172" s="134"/>
    </row>
    <row r="173" ht="14.25" customHeight="1">
      <c r="A173" s="134"/>
      <c r="B173" s="134"/>
      <c r="C173" s="134"/>
      <c r="D173" s="134"/>
      <c r="E173" s="134"/>
      <c r="F173" s="134"/>
      <c r="G173" s="134"/>
      <c r="H173" s="134"/>
      <c r="I173" s="134"/>
      <c r="J173" s="134"/>
      <c r="K173" s="134"/>
      <c r="L173" s="134"/>
      <c r="M173" s="134"/>
      <c r="N173" s="134"/>
      <c r="O173" s="134"/>
      <c r="P173" s="134"/>
      <c r="Q173" s="134"/>
      <c r="R173" s="134"/>
      <c r="S173" s="134"/>
      <c r="T173" s="134"/>
      <c r="U173" s="134"/>
      <c r="V173" s="134"/>
      <c r="W173" s="134"/>
      <c r="X173" s="134"/>
      <c r="Y173" s="134"/>
      <c r="Z173" s="134"/>
      <c r="AA173" s="134"/>
      <c r="AB173" s="134"/>
      <c r="AC173" s="134"/>
      <c r="AD173" s="134"/>
      <c r="AE173" s="134"/>
      <c r="AF173" s="134"/>
      <c r="AG173" s="134"/>
      <c r="AH173" s="134"/>
      <c r="AI173" s="134"/>
      <c r="AJ173" s="134"/>
      <c r="AK173" s="134"/>
      <c r="AL173" s="134"/>
      <c r="AM173" s="134"/>
      <c r="AN173" s="134"/>
      <c r="AO173" s="134"/>
    </row>
    <row r="174" ht="14.25" customHeight="1">
      <c r="A174" s="134"/>
      <c r="B174" s="134"/>
      <c r="C174" s="134"/>
      <c r="D174" s="134"/>
      <c r="E174" s="134"/>
      <c r="F174" s="134"/>
      <c r="G174" s="134"/>
      <c r="H174" s="134"/>
      <c r="I174" s="134"/>
      <c r="J174" s="134"/>
      <c r="K174" s="134"/>
      <c r="L174" s="134"/>
      <c r="M174" s="134"/>
      <c r="N174" s="134"/>
      <c r="O174" s="134"/>
      <c r="P174" s="134"/>
      <c r="Q174" s="134"/>
      <c r="R174" s="134"/>
      <c r="S174" s="134"/>
      <c r="T174" s="134"/>
      <c r="U174" s="134"/>
      <c r="V174" s="134"/>
      <c r="W174" s="134"/>
      <c r="X174" s="134"/>
      <c r="Y174" s="134"/>
      <c r="Z174" s="134"/>
      <c r="AA174" s="134"/>
      <c r="AB174" s="134"/>
      <c r="AC174" s="134"/>
      <c r="AD174" s="134"/>
      <c r="AE174" s="134"/>
      <c r="AF174" s="134"/>
      <c r="AG174" s="134"/>
      <c r="AH174" s="134"/>
      <c r="AI174" s="134"/>
      <c r="AJ174" s="134"/>
      <c r="AK174" s="134"/>
      <c r="AL174" s="134"/>
      <c r="AM174" s="134"/>
      <c r="AN174" s="134"/>
      <c r="AO174" s="134"/>
    </row>
    <row r="175" ht="14.25" customHeight="1">
      <c r="A175" s="134"/>
      <c r="B175" s="134"/>
      <c r="C175" s="134"/>
      <c r="D175" s="134"/>
      <c r="E175" s="134"/>
      <c r="F175" s="134"/>
      <c r="G175" s="134"/>
      <c r="H175" s="134"/>
      <c r="I175" s="134"/>
      <c r="J175" s="134"/>
      <c r="K175" s="134"/>
      <c r="L175" s="134"/>
      <c r="M175" s="134"/>
      <c r="N175" s="134"/>
      <c r="O175" s="134"/>
      <c r="P175" s="134"/>
      <c r="Q175" s="134"/>
      <c r="R175" s="134"/>
      <c r="S175" s="134"/>
      <c r="T175" s="134"/>
      <c r="U175" s="134"/>
      <c r="V175" s="134"/>
      <c r="W175" s="134"/>
      <c r="X175" s="134"/>
      <c r="Y175" s="134"/>
      <c r="Z175" s="134"/>
      <c r="AA175" s="134"/>
      <c r="AB175" s="134"/>
      <c r="AC175" s="134"/>
      <c r="AD175" s="134"/>
      <c r="AE175" s="134"/>
      <c r="AF175" s="134"/>
      <c r="AG175" s="134"/>
      <c r="AH175" s="134"/>
      <c r="AI175" s="134"/>
      <c r="AJ175" s="134"/>
      <c r="AK175" s="134"/>
      <c r="AL175" s="134"/>
      <c r="AM175" s="134"/>
      <c r="AN175" s="134"/>
      <c r="AO175" s="134"/>
    </row>
    <row r="176" ht="14.25" customHeight="1">
      <c r="A176" s="134"/>
      <c r="B176" s="134"/>
      <c r="C176" s="134"/>
      <c r="D176" s="134"/>
      <c r="E176" s="134"/>
      <c r="F176" s="134"/>
      <c r="G176" s="134"/>
      <c r="H176" s="134"/>
      <c r="I176" s="134"/>
      <c r="J176" s="134"/>
      <c r="K176" s="134"/>
      <c r="L176" s="134"/>
      <c r="M176" s="134"/>
      <c r="N176" s="134"/>
      <c r="O176" s="134"/>
      <c r="P176" s="134"/>
      <c r="Q176" s="134"/>
      <c r="R176" s="134"/>
      <c r="S176" s="134"/>
      <c r="T176" s="134"/>
      <c r="U176" s="134"/>
      <c r="V176" s="134"/>
      <c r="W176" s="134"/>
      <c r="X176" s="134"/>
      <c r="Y176" s="134"/>
      <c r="Z176" s="134"/>
      <c r="AA176" s="134"/>
      <c r="AB176" s="134"/>
      <c r="AC176" s="134"/>
      <c r="AD176" s="134"/>
      <c r="AE176" s="134"/>
      <c r="AF176" s="134"/>
      <c r="AG176" s="134"/>
      <c r="AH176" s="134"/>
      <c r="AI176" s="134"/>
      <c r="AJ176" s="134"/>
      <c r="AK176" s="134"/>
      <c r="AL176" s="134"/>
      <c r="AM176" s="134"/>
      <c r="AN176" s="134"/>
      <c r="AO176" s="134"/>
    </row>
    <row r="177" ht="14.25" customHeight="1">
      <c r="A177" s="134"/>
      <c r="B177" s="134"/>
      <c r="C177" s="134"/>
      <c r="D177" s="134"/>
      <c r="E177" s="134"/>
      <c r="F177" s="134"/>
      <c r="G177" s="134"/>
      <c r="H177" s="134"/>
      <c r="I177" s="134"/>
      <c r="J177" s="134"/>
      <c r="K177" s="134"/>
      <c r="L177" s="134"/>
      <c r="M177" s="134"/>
      <c r="N177" s="134"/>
      <c r="O177" s="134"/>
      <c r="P177" s="134"/>
      <c r="Q177" s="134"/>
      <c r="R177" s="134"/>
      <c r="S177" s="134"/>
      <c r="T177" s="134"/>
      <c r="U177" s="134"/>
      <c r="V177" s="134"/>
      <c r="W177" s="134"/>
      <c r="X177" s="134"/>
      <c r="Y177" s="134"/>
      <c r="Z177" s="134"/>
      <c r="AA177" s="134"/>
      <c r="AB177" s="134"/>
      <c r="AC177" s="134"/>
      <c r="AD177" s="134"/>
      <c r="AE177" s="134"/>
      <c r="AF177" s="134"/>
      <c r="AG177" s="134"/>
      <c r="AH177" s="134"/>
      <c r="AI177" s="134"/>
      <c r="AJ177" s="134"/>
      <c r="AK177" s="134"/>
      <c r="AL177" s="134"/>
      <c r="AM177" s="134"/>
      <c r="AN177" s="134"/>
      <c r="AO177" s="134"/>
    </row>
    <row r="178" ht="14.25" customHeight="1">
      <c r="A178" s="134"/>
      <c r="B178" s="134"/>
      <c r="C178" s="134"/>
      <c r="D178" s="134"/>
      <c r="E178" s="134"/>
      <c r="F178" s="134"/>
      <c r="G178" s="134"/>
      <c r="H178" s="134"/>
      <c r="I178" s="134"/>
      <c r="J178" s="134"/>
      <c r="K178" s="134"/>
      <c r="L178" s="134"/>
      <c r="M178" s="134"/>
      <c r="N178" s="134"/>
      <c r="O178" s="134"/>
      <c r="P178" s="134"/>
      <c r="Q178" s="134"/>
      <c r="R178" s="134"/>
      <c r="S178" s="134"/>
      <c r="T178" s="134"/>
      <c r="U178" s="134"/>
      <c r="V178" s="134"/>
      <c r="W178" s="134"/>
      <c r="X178" s="134"/>
      <c r="Y178" s="134"/>
      <c r="Z178" s="134"/>
      <c r="AA178" s="134"/>
      <c r="AB178" s="134"/>
      <c r="AC178" s="134"/>
      <c r="AD178" s="134"/>
      <c r="AE178" s="134"/>
      <c r="AF178" s="134"/>
      <c r="AG178" s="134"/>
      <c r="AH178" s="134"/>
      <c r="AI178" s="134"/>
      <c r="AJ178" s="134"/>
      <c r="AK178" s="134"/>
      <c r="AL178" s="134"/>
      <c r="AM178" s="134"/>
      <c r="AN178" s="134"/>
      <c r="AO178" s="134"/>
    </row>
    <row r="179" ht="14.25" customHeight="1">
      <c r="A179" s="134"/>
      <c r="B179" s="134"/>
      <c r="C179" s="134"/>
      <c r="D179" s="134"/>
      <c r="E179" s="134"/>
      <c r="F179" s="134"/>
      <c r="G179" s="134"/>
      <c r="H179" s="134"/>
      <c r="I179" s="134"/>
      <c r="J179" s="134"/>
      <c r="K179" s="134"/>
      <c r="L179" s="134"/>
      <c r="M179" s="134"/>
      <c r="N179" s="134"/>
      <c r="O179" s="134"/>
      <c r="P179" s="134"/>
      <c r="Q179" s="134"/>
      <c r="R179" s="134"/>
      <c r="S179" s="134"/>
      <c r="T179" s="134"/>
      <c r="U179" s="134"/>
      <c r="V179" s="134"/>
      <c r="W179" s="134"/>
      <c r="X179" s="134"/>
      <c r="Y179" s="134"/>
      <c r="Z179" s="134"/>
      <c r="AA179" s="134"/>
      <c r="AB179" s="134"/>
      <c r="AC179" s="134"/>
      <c r="AD179" s="134"/>
      <c r="AE179" s="134"/>
      <c r="AF179" s="134"/>
      <c r="AG179" s="134"/>
      <c r="AH179" s="134"/>
      <c r="AI179" s="134"/>
      <c r="AJ179" s="134"/>
      <c r="AK179" s="134"/>
      <c r="AL179" s="134"/>
      <c r="AM179" s="134"/>
      <c r="AN179" s="134"/>
      <c r="AO179" s="134"/>
    </row>
    <row r="180" ht="14.25" customHeight="1">
      <c r="A180" s="134"/>
      <c r="B180" s="134"/>
      <c r="C180" s="134"/>
      <c r="D180" s="134"/>
      <c r="E180" s="134"/>
      <c r="F180" s="134"/>
      <c r="G180" s="134"/>
      <c r="H180" s="134"/>
      <c r="I180" s="134"/>
      <c r="J180" s="134"/>
      <c r="K180" s="134"/>
      <c r="L180" s="134"/>
      <c r="M180" s="134"/>
      <c r="N180" s="134"/>
      <c r="O180" s="134"/>
      <c r="P180" s="134"/>
      <c r="Q180" s="134"/>
      <c r="R180" s="134"/>
      <c r="S180" s="134"/>
      <c r="T180" s="134"/>
      <c r="U180" s="134"/>
      <c r="V180" s="134"/>
      <c r="W180" s="134"/>
      <c r="X180" s="134"/>
      <c r="Y180" s="134"/>
      <c r="Z180" s="134"/>
      <c r="AA180" s="134"/>
      <c r="AB180" s="134"/>
      <c r="AC180" s="134"/>
      <c r="AD180" s="134"/>
      <c r="AE180" s="134"/>
      <c r="AF180" s="134"/>
      <c r="AG180" s="134"/>
      <c r="AH180" s="134"/>
      <c r="AI180" s="134"/>
      <c r="AJ180" s="134"/>
      <c r="AK180" s="134"/>
      <c r="AL180" s="134"/>
      <c r="AM180" s="134"/>
      <c r="AN180" s="134"/>
      <c r="AO180" s="134"/>
    </row>
    <row r="181" ht="14.25" customHeight="1">
      <c r="A181" s="134"/>
      <c r="B181" s="134"/>
      <c r="C181" s="134"/>
      <c r="D181" s="134"/>
      <c r="E181" s="134"/>
      <c r="F181" s="134"/>
      <c r="G181" s="134"/>
      <c r="H181" s="134"/>
      <c r="I181" s="134"/>
      <c r="J181" s="134"/>
      <c r="K181" s="134"/>
      <c r="L181" s="134"/>
      <c r="M181" s="134"/>
      <c r="N181" s="134"/>
      <c r="O181" s="134"/>
      <c r="P181" s="134"/>
      <c r="Q181" s="134"/>
      <c r="R181" s="134"/>
      <c r="S181" s="134"/>
      <c r="T181" s="134"/>
      <c r="U181" s="134"/>
      <c r="V181" s="134"/>
      <c r="W181" s="134"/>
      <c r="X181" s="134"/>
      <c r="Y181" s="134"/>
      <c r="Z181" s="134"/>
      <c r="AA181" s="134"/>
      <c r="AB181" s="134"/>
      <c r="AC181" s="134"/>
      <c r="AD181" s="134"/>
      <c r="AE181" s="134"/>
      <c r="AF181" s="134"/>
      <c r="AG181" s="134"/>
      <c r="AH181" s="134"/>
      <c r="AI181" s="134"/>
      <c r="AJ181" s="134"/>
      <c r="AK181" s="134"/>
      <c r="AL181" s="134"/>
      <c r="AM181" s="134"/>
      <c r="AN181" s="134"/>
      <c r="AO181" s="134"/>
    </row>
    <row r="182" ht="14.25" customHeight="1">
      <c r="A182" s="134"/>
      <c r="B182" s="134"/>
      <c r="C182" s="134"/>
      <c r="D182" s="134"/>
      <c r="E182" s="134"/>
      <c r="F182" s="134"/>
      <c r="G182" s="134"/>
      <c r="H182" s="134"/>
      <c r="I182" s="134"/>
      <c r="J182" s="134"/>
      <c r="K182" s="134"/>
      <c r="L182" s="134"/>
      <c r="M182" s="134"/>
      <c r="N182" s="134"/>
      <c r="O182" s="134"/>
      <c r="P182" s="134"/>
      <c r="Q182" s="134"/>
      <c r="R182" s="134"/>
      <c r="S182" s="134"/>
      <c r="T182" s="134"/>
      <c r="U182" s="134"/>
      <c r="V182" s="134"/>
      <c r="W182" s="134"/>
      <c r="X182" s="134"/>
      <c r="Y182" s="134"/>
      <c r="Z182" s="134"/>
      <c r="AA182" s="134"/>
      <c r="AB182" s="134"/>
      <c r="AC182" s="134"/>
      <c r="AD182" s="134"/>
      <c r="AE182" s="134"/>
      <c r="AF182" s="134"/>
      <c r="AG182" s="134"/>
      <c r="AH182" s="134"/>
      <c r="AI182" s="134"/>
      <c r="AJ182" s="134"/>
      <c r="AK182" s="134"/>
      <c r="AL182" s="134"/>
      <c r="AM182" s="134"/>
      <c r="AN182" s="134"/>
      <c r="AO182" s="134"/>
    </row>
    <row r="183" ht="14.25" customHeight="1">
      <c r="A183" s="134"/>
      <c r="B183" s="134"/>
      <c r="C183" s="134"/>
      <c r="D183" s="134"/>
      <c r="E183" s="134"/>
      <c r="F183" s="134"/>
      <c r="G183" s="134"/>
      <c r="H183" s="134"/>
      <c r="I183" s="134"/>
      <c r="J183" s="134"/>
      <c r="K183" s="134"/>
      <c r="L183" s="134"/>
      <c r="M183" s="134"/>
      <c r="N183" s="134"/>
      <c r="O183" s="134"/>
      <c r="P183" s="134"/>
      <c r="Q183" s="134"/>
      <c r="R183" s="134"/>
      <c r="S183" s="134"/>
      <c r="T183" s="134"/>
      <c r="U183" s="134"/>
      <c r="V183" s="134"/>
      <c r="W183" s="134"/>
      <c r="X183" s="134"/>
      <c r="Y183" s="134"/>
      <c r="Z183" s="134"/>
      <c r="AA183" s="134"/>
      <c r="AB183" s="134"/>
      <c r="AC183" s="134"/>
      <c r="AD183" s="134"/>
      <c r="AE183" s="134"/>
      <c r="AF183" s="134"/>
      <c r="AG183" s="134"/>
      <c r="AH183" s="134"/>
      <c r="AI183" s="134"/>
      <c r="AJ183" s="134"/>
      <c r="AK183" s="134"/>
      <c r="AL183" s="134"/>
      <c r="AM183" s="134"/>
      <c r="AN183" s="134"/>
      <c r="AO183" s="134"/>
    </row>
    <row r="184" ht="14.25" customHeight="1">
      <c r="A184" s="134"/>
      <c r="B184" s="134"/>
      <c r="C184" s="134"/>
      <c r="D184" s="134"/>
      <c r="E184" s="134"/>
      <c r="F184" s="134"/>
      <c r="G184" s="134"/>
      <c r="H184" s="134"/>
      <c r="I184" s="134"/>
      <c r="J184" s="134"/>
      <c r="K184" s="134"/>
      <c r="L184" s="134"/>
      <c r="M184" s="134"/>
      <c r="N184" s="134"/>
      <c r="O184" s="134"/>
      <c r="P184" s="134"/>
      <c r="Q184" s="134"/>
      <c r="R184" s="134"/>
      <c r="S184" s="134"/>
      <c r="T184" s="134"/>
      <c r="U184" s="134"/>
      <c r="V184" s="134"/>
      <c r="W184" s="134"/>
      <c r="X184" s="134"/>
      <c r="Y184" s="134"/>
      <c r="Z184" s="134"/>
      <c r="AA184" s="134"/>
      <c r="AB184" s="134"/>
      <c r="AC184" s="134"/>
      <c r="AD184" s="134"/>
      <c r="AE184" s="134"/>
      <c r="AF184" s="134"/>
      <c r="AG184" s="134"/>
      <c r="AH184" s="134"/>
      <c r="AI184" s="134"/>
      <c r="AJ184" s="134"/>
      <c r="AK184" s="134"/>
      <c r="AL184" s="134"/>
      <c r="AM184" s="134"/>
      <c r="AN184" s="134"/>
      <c r="AO184" s="134"/>
    </row>
    <row r="185" ht="14.25" customHeight="1">
      <c r="A185" s="134"/>
      <c r="B185" s="134"/>
      <c r="C185" s="134"/>
      <c r="D185" s="134"/>
      <c r="E185" s="134"/>
      <c r="F185" s="134"/>
      <c r="G185" s="134"/>
      <c r="H185" s="134"/>
      <c r="I185" s="134"/>
      <c r="J185" s="134"/>
      <c r="K185" s="134"/>
      <c r="L185" s="134"/>
      <c r="M185" s="134"/>
      <c r="N185" s="134"/>
      <c r="O185" s="134"/>
      <c r="P185" s="134"/>
      <c r="Q185" s="134"/>
      <c r="R185" s="134"/>
      <c r="S185" s="134"/>
      <c r="T185" s="134"/>
      <c r="U185" s="134"/>
      <c r="V185" s="134"/>
      <c r="W185" s="134"/>
      <c r="X185" s="134"/>
      <c r="Y185" s="134"/>
      <c r="Z185" s="134"/>
      <c r="AA185" s="134"/>
      <c r="AB185" s="134"/>
      <c r="AC185" s="134"/>
      <c r="AD185" s="134"/>
      <c r="AE185" s="134"/>
      <c r="AF185" s="134"/>
      <c r="AG185" s="134"/>
      <c r="AH185" s="134"/>
      <c r="AI185" s="134"/>
      <c r="AJ185" s="134"/>
      <c r="AK185" s="134"/>
      <c r="AL185" s="134"/>
      <c r="AM185" s="134"/>
      <c r="AN185" s="134"/>
      <c r="AO185" s="134"/>
    </row>
    <row r="186" ht="14.25" customHeight="1">
      <c r="A186" s="134"/>
      <c r="B186" s="134"/>
      <c r="C186" s="134"/>
      <c r="D186" s="134"/>
      <c r="E186" s="134"/>
      <c r="F186" s="134"/>
      <c r="G186" s="134"/>
      <c r="H186" s="134"/>
      <c r="I186" s="134"/>
      <c r="J186" s="134"/>
      <c r="K186" s="134"/>
      <c r="L186" s="134"/>
      <c r="M186" s="134"/>
      <c r="N186" s="134"/>
      <c r="O186" s="134"/>
      <c r="P186" s="134"/>
      <c r="Q186" s="134"/>
      <c r="R186" s="134"/>
      <c r="S186" s="134"/>
      <c r="T186" s="134"/>
      <c r="U186" s="134"/>
      <c r="V186" s="134"/>
      <c r="W186" s="134"/>
      <c r="X186" s="134"/>
      <c r="Y186" s="134"/>
      <c r="Z186" s="134"/>
      <c r="AA186" s="134"/>
      <c r="AB186" s="134"/>
      <c r="AC186" s="134"/>
      <c r="AD186" s="134"/>
      <c r="AE186" s="134"/>
      <c r="AF186" s="134"/>
      <c r="AG186" s="134"/>
      <c r="AH186" s="134"/>
      <c r="AI186" s="134"/>
      <c r="AJ186" s="134"/>
      <c r="AK186" s="134"/>
      <c r="AL186" s="134"/>
      <c r="AM186" s="134"/>
      <c r="AN186" s="134"/>
      <c r="AO186" s="134"/>
    </row>
    <row r="187" ht="14.25" customHeight="1">
      <c r="A187" s="134"/>
      <c r="B187" s="134"/>
      <c r="C187" s="134"/>
      <c r="D187" s="134"/>
      <c r="E187" s="134"/>
      <c r="F187" s="134"/>
      <c r="G187" s="134"/>
      <c r="H187" s="134"/>
      <c r="I187" s="134"/>
      <c r="J187" s="134"/>
      <c r="K187" s="134"/>
      <c r="L187" s="134"/>
      <c r="M187" s="134"/>
      <c r="N187" s="134"/>
      <c r="O187" s="134"/>
      <c r="P187" s="134"/>
      <c r="Q187" s="134"/>
      <c r="R187" s="134"/>
      <c r="S187" s="134"/>
      <c r="T187" s="134"/>
      <c r="U187" s="134"/>
      <c r="V187" s="134"/>
      <c r="W187" s="134"/>
      <c r="X187" s="134"/>
      <c r="Y187" s="134"/>
      <c r="Z187" s="134"/>
      <c r="AA187" s="134"/>
      <c r="AB187" s="134"/>
      <c r="AC187" s="134"/>
      <c r="AD187" s="134"/>
      <c r="AE187" s="134"/>
      <c r="AF187" s="134"/>
      <c r="AG187" s="134"/>
      <c r="AH187" s="134"/>
      <c r="AI187" s="134"/>
      <c r="AJ187" s="134"/>
      <c r="AK187" s="134"/>
      <c r="AL187" s="134"/>
      <c r="AM187" s="134"/>
      <c r="AN187" s="134"/>
      <c r="AO187" s="134"/>
    </row>
    <row r="188" ht="14.25" customHeight="1">
      <c r="A188" s="134"/>
      <c r="B188" s="134"/>
      <c r="C188" s="134"/>
      <c r="D188" s="134"/>
      <c r="E188" s="134"/>
      <c r="F188" s="134"/>
      <c r="G188" s="134"/>
      <c r="H188" s="134"/>
      <c r="I188" s="134"/>
      <c r="J188" s="134"/>
      <c r="K188" s="134"/>
      <c r="L188" s="134"/>
      <c r="M188" s="134"/>
      <c r="N188" s="134"/>
      <c r="O188" s="134"/>
      <c r="P188" s="134"/>
      <c r="Q188" s="134"/>
      <c r="R188" s="134"/>
      <c r="S188" s="134"/>
      <c r="T188" s="134"/>
      <c r="U188" s="134"/>
      <c r="V188" s="134"/>
      <c r="W188" s="134"/>
      <c r="X188" s="134"/>
      <c r="Y188" s="134"/>
      <c r="Z188" s="134"/>
      <c r="AA188" s="134"/>
      <c r="AB188" s="134"/>
      <c r="AC188" s="134"/>
      <c r="AD188" s="134"/>
      <c r="AE188" s="134"/>
      <c r="AF188" s="134"/>
      <c r="AG188" s="134"/>
      <c r="AH188" s="134"/>
      <c r="AI188" s="134"/>
      <c r="AJ188" s="134"/>
      <c r="AK188" s="134"/>
      <c r="AL188" s="134"/>
      <c r="AM188" s="134"/>
      <c r="AN188" s="134"/>
      <c r="AO188" s="134"/>
    </row>
    <row r="189" ht="14.25" customHeight="1">
      <c r="A189" s="134"/>
      <c r="B189" s="134"/>
      <c r="C189" s="134"/>
      <c r="D189" s="134"/>
      <c r="E189" s="134"/>
      <c r="F189" s="134"/>
      <c r="G189" s="134"/>
      <c r="H189" s="134"/>
      <c r="I189" s="134"/>
      <c r="J189" s="134"/>
      <c r="K189" s="134"/>
      <c r="L189" s="134"/>
      <c r="M189" s="134"/>
      <c r="N189" s="134"/>
      <c r="O189" s="134"/>
      <c r="P189" s="134"/>
      <c r="Q189" s="134"/>
      <c r="R189" s="134"/>
      <c r="S189" s="134"/>
      <c r="T189" s="134"/>
      <c r="U189" s="134"/>
      <c r="V189" s="134"/>
      <c r="W189" s="134"/>
      <c r="X189" s="134"/>
      <c r="Y189" s="134"/>
      <c r="Z189" s="134"/>
      <c r="AA189" s="134"/>
      <c r="AB189" s="134"/>
      <c r="AC189" s="134"/>
      <c r="AD189" s="134"/>
      <c r="AE189" s="134"/>
      <c r="AF189" s="134"/>
      <c r="AG189" s="134"/>
      <c r="AH189" s="134"/>
      <c r="AI189" s="134"/>
      <c r="AJ189" s="134"/>
      <c r="AK189" s="134"/>
      <c r="AL189" s="134"/>
      <c r="AM189" s="134"/>
      <c r="AN189" s="134"/>
      <c r="AO189" s="134"/>
    </row>
    <row r="190" ht="14.25" customHeight="1">
      <c r="A190" s="134"/>
      <c r="B190" s="134"/>
      <c r="C190" s="134"/>
      <c r="D190" s="134"/>
      <c r="E190" s="134"/>
      <c r="F190" s="134"/>
      <c r="G190" s="134"/>
      <c r="H190" s="134"/>
      <c r="I190" s="134"/>
      <c r="J190" s="134"/>
      <c r="K190" s="134"/>
      <c r="L190" s="134"/>
      <c r="M190" s="134"/>
      <c r="N190" s="134"/>
      <c r="O190" s="134"/>
      <c r="P190" s="134"/>
      <c r="Q190" s="134"/>
      <c r="R190" s="134"/>
      <c r="S190" s="134"/>
      <c r="T190" s="134"/>
      <c r="U190" s="134"/>
      <c r="V190" s="134"/>
      <c r="W190" s="134"/>
      <c r="X190" s="134"/>
      <c r="Y190" s="134"/>
      <c r="Z190" s="134"/>
      <c r="AA190" s="134"/>
      <c r="AB190" s="134"/>
      <c r="AC190" s="134"/>
      <c r="AD190" s="134"/>
      <c r="AE190" s="134"/>
      <c r="AF190" s="134"/>
      <c r="AG190" s="134"/>
      <c r="AH190" s="134"/>
      <c r="AI190" s="134"/>
      <c r="AJ190" s="134"/>
      <c r="AK190" s="134"/>
      <c r="AL190" s="134"/>
      <c r="AM190" s="134"/>
      <c r="AN190" s="134"/>
      <c r="AO190" s="134"/>
    </row>
    <row r="191" ht="14.25" customHeight="1">
      <c r="A191" s="134"/>
      <c r="B191" s="134"/>
      <c r="C191" s="134"/>
      <c r="D191" s="134"/>
      <c r="E191" s="134"/>
      <c r="F191" s="134"/>
      <c r="G191" s="134"/>
      <c r="H191" s="134"/>
      <c r="I191" s="134"/>
      <c r="J191" s="134"/>
      <c r="K191" s="134"/>
      <c r="L191" s="134"/>
      <c r="M191" s="134"/>
      <c r="N191" s="134"/>
      <c r="O191" s="134"/>
      <c r="P191" s="134"/>
      <c r="Q191" s="134"/>
      <c r="R191" s="134"/>
      <c r="S191" s="134"/>
      <c r="T191" s="134"/>
      <c r="U191" s="134"/>
      <c r="V191" s="134"/>
      <c r="W191" s="134"/>
      <c r="X191" s="134"/>
      <c r="Y191" s="134"/>
      <c r="Z191" s="134"/>
      <c r="AA191" s="134"/>
      <c r="AB191" s="134"/>
      <c r="AC191" s="134"/>
      <c r="AD191" s="134"/>
      <c r="AE191" s="134"/>
      <c r="AF191" s="134"/>
      <c r="AG191" s="134"/>
      <c r="AH191" s="134"/>
      <c r="AI191" s="134"/>
      <c r="AJ191" s="134"/>
      <c r="AK191" s="134"/>
      <c r="AL191" s="134"/>
      <c r="AM191" s="134"/>
      <c r="AN191" s="134"/>
      <c r="AO191" s="134"/>
    </row>
    <row r="192" ht="14.25" customHeight="1">
      <c r="A192" s="134"/>
      <c r="B192" s="134"/>
      <c r="C192" s="134"/>
      <c r="D192" s="134"/>
      <c r="E192" s="134"/>
      <c r="F192" s="134"/>
      <c r="G192" s="134"/>
      <c r="H192" s="134"/>
      <c r="I192" s="134"/>
      <c r="J192" s="134"/>
      <c r="K192" s="134"/>
      <c r="L192" s="134"/>
      <c r="M192" s="134"/>
      <c r="N192" s="134"/>
      <c r="O192" s="134"/>
      <c r="P192" s="134"/>
      <c r="Q192" s="134"/>
      <c r="R192" s="134"/>
      <c r="S192" s="134"/>
      <c r="T192" s="134"/>
      <c r="U192" s="134"/>
      <c r="V192" s="134"/>
      <c r="W192" s="134"/>
      <c r="X192" s="134"/>
      <c r="Y192" s="134"/>
      <c r="Z192" s="134"/>
      <c r="AA192" s="134"/>
      <c r="AB192" s="134"/>
      <c r="AC192" s="134"/>
      <c r="AD192" s="134"/>
      <c r="AE192" s="134"/>
      <c r="AF192" s="134"/>
      <c r="AG192" s="134"/>
      <c r="AH192" s="134"/>
      <c r="AI192" s="134"/>
      <c r="AJ192" s="134"/>
      <c r="AK192" s="134"/>
      <c r="AL192" s="134"/>
      <c r="AM192" s="134"/>
      <c r="AN192" s="134"/>
      <c r="AO192" s="134"/>
    </row>
    <row r="193" ht="14.25" customHeight="1">
      <c r="A193" s="134"/>
      <c r="B193" s="134"/>
      <c r="C193" s="134"/>
      <c r="D193" s="134"/>
      <c r="E193" s="134"/>
      <c r="F193" s="134"/>
      <c r="G193" s="134"/>
      <c r="H193" s="134"/>
      <c r="I193" s="134"/>
      <c r="J193" s="134"/>
      <c r="K193" s="134"/>
      <c r="L193" s="134"/>
      <c r="M193" s="134"/>
      <c r="N193" s="134"/>
      <c r="O193" s="134"/>
      <c r="P193" s="134"/>
      <c r="Q193" s="134"/>
      <c r="R193" s="134"/>
      <c r="S193" s="134"/>
      <c r="T193" s="134"/>
      <c r="U193" s="134"/>
      <c r="V193" s="134"/>
      <c r="W193" s="134"/>
      <c r="X193" s="134"/>
      <c r="Y193" s="134"/>
      <c r="Z193" s="134"/>
      <c r="AA193" s="134"/>
      <c r="AB193" s="134"/>
      <c r="AC193" s="134"/>
      <c r="AD193" s="134"/>
      <c r="AE193" s="134"/>
      <c r="AF193" s="134"/>
      <c r="AG193" s="134"/>
      <c r="AH193" s="134"/>
      <c r="AI193" s="134"/>
      <c r="AJ193" s="134"/>
      <c r="AK193" s="134"/>
      <c r="AL193" s="134"/>
      <c r="AM193" s="134"/>
      <c r="AN193" s="134"/>
      <c r="AO193" s="134"/>
    </row>
    <row r="194" ht="14.25" customHeight="1">
      <c r="A194" s="134"/>
      <c r="B194" s="134"/>
      <c r="C194" s="134"/>
      <c r="D194" s="134"/>
      <c r="E194" s="134"/>
      <c r="F194" s="134"/>
      <c r="G194" s="134"/>
      <c r="H194" s="134"/>
      <c r="I194" s="134"/>
      <c r="J194" s="134"/>
      <c r="K194" s="134"/>
      <c r="L194" s="134"/>
      <c r="M194" s="134"/>
      <c r="N194" s="134"/>
      <c r="O194" s="134"/>
      <c r="P194" s="134"/>
      <c r="Q194" s="134"/>
      <c r="R194" s="134"/>
      <c r="S194" s="134"/>
      <c r="T194" s="134"/>
      <c r="U194" s="134"/>
      <c r="V194" s="134"/>
      <c r="W194" s="134"/>
      <c r="X194" s="134"/>
      <c r="Y194" s="134"/>
      <c r="Z194" s="134"/>
      <c r="AA194" s="134"/>
      <c r="AB194" s="134"/>
      <c r="AC194" s="134"/>
      <c r="AD194" s="134"/>
      <c r="AE194" s="134"/>
      <c r="AF194" s="134"/>
      <c r="AG194" s="134"/>
      <c r="AH194" s="134"/>
      <c r="AI194" s="134"/>
      <c r="AJ194" s="134"/>
      <c r="AK194" s="134"/>
      <c r="AL194" s="134"/>
      <c r="AM194" s="134"/>
      <c r="AN194" s="134"/>
      <c r="AO194" s="134"/>
    </row>
    <row r="195" ht="14.25" customHeight="1">
      <c r="A195" s="134"/>
      <c r="B195" s="134"/>
      <c r="C195" s="134"/>
      <c r="D195" s="134"/>
      <c r="E195" s="134"/>
      <c r="F195" s="134"/>
      <c r="G195" s="134"/>
      <c r="H195" s="134"/>
      <c r="I195" s="134"/>
      <c r="J195" s="134"/>
      <c r="K195" s="134"/>
      <c r="L195" s="134"/>
      <c r="M195" s="134"/>
      <c r="N195" s="134"/>
      <c r="O195" s="134"/>
      <c r="P195" s="134"/>
      <c r="Q195" s="134"/>
      <c r="R195" s="134"/>
      <c r="S195" s="134"/>
      <c r="T195" s="134"/>
      <c r="U195" s="134"/>
      <c r="V195" s="134"/>
      <c r="W195" s="134"/>
      <c r="X195" s="134"/>
      <c r="Y195" s="134"/>
      <c r="Z195" s="134"/>
      <c r="AA195" s="134"/>
      <c r="AB195" s="134"/>
      <c r="AC195" s="134"/>
      <c r="AD195" s="134"/>
      <c r="AE195" s="134"/>
      <c r="AF195" s="134"/>
      <c r="AG195" s="134"/>
      <c r="AH195" s="134"/>
      <c r="AI195" s="134"/>
      <c r="AJ195" s="134"/>
      <c r="AK195" s="134"/>
      <c r="AL195" s="134"/>
      <c r="AM195" s="134"/>
      <c r="AN195" s="134"/>
      <c r="AO195" s="134"/>
    </row>
    <row r="196" ht="14.25" customHeight="1">
      <c r="A196" s="134"/>
      <c r="B196" s="134"/>
      <c r="C196" s="134"/>
      <c r="D196" s="134"/>
      <c r="E196" s="134"/>
      <c r="F196" s="134"/>
      <c r="G196" s="134"/>
      <c r="H196" s="134"/>
      <c r="I196" s="134"/>
      <c r="J196" s="134"/>
      <c r="K196" s="134"/>
      <c r="L196" s="134"/>
      <c r="M196" s="134"/>
      <c r="N196" s="134"/>
      <c r="O196" s="134"/>
      <c r="P196" s="134"/>
      <c r="Q196" s="134"/>
      <c r="R196" s="134"/>
      <c r="S196" s="134"/>
      <c r="T196" s="134"/>
      <c r="U196" s="134"/>
      <c r="V196" s="134"/>
      <c r="W196" s="134"/>
      <c r="X196" s="134"/>
      <c r="Y196" s="134"/>
      <c r="Z196" s="134"/>
      <c r="AA196" s="134"/>
      <c r="AB196" s="134"/>
      <c r="AC196" s="134"/>
      <c r="AD196" s="134"/>
      <c r="AE196" s="134"/>
      <c r="AF196" s="134"/>
      <c r="AG196" s="134"/>
      <c r="AH196" s="134"/>
      <c r="AI196" s="134"/>
      <c r="AJ196" s="134"/>
      <c r="AK196" s="134"/>
      <c r="AL196" s="134"/>
      <c r="AM196" s="134"/>
      <c r="AN196" s="134"/>
      <c r="AO196" s="134"/>
    </row>
    <row r="197" ht="14.25" customHeight="1">
      <c r="A197" s="134"/>
      <c r="B197" s="134"/>
      <c r="C197" s="134"/>
      <c r="D197" s="134"/>
      <c r="E197" s="134"/>
      <c r="F197" s="134"/>
      <c r="G197" s="134"/>
      <c r="H197" s="134"/>
      <c r="I197" s="134"/>
      <c r="J197" s="134"/>
      <c r="K197" s="134"/>
      <c r="L197" s="134"/>
      <c r="M197" s="134"/>
      <c r="N197" s="134"/>
      <c r="O197" s="134"/>
      <c r="P197" s="134"/>
      <c r="Q197" s="134"/>
      <c r="R197" s="134"/>
      <c r="S197" s="134"/>
      <c r="T197" s="134"/>
      <c r="U197" s="134"/>
      <c r="V197" s="134"/>
      <c r="W197" s="134"/>
      <c r="X197" s="134"/>
      <c r="Y197" s="134"/>
      <c r="Z197" s="134"/>
      <c r="AA197" s="134"/>
      <c r="AB197" s="134"/>
      <c r="AC197" s="134"/>
      <c r="AD197" s="134"/>
      <c r="AE197" s="134"/>
      <c r="AF197" s="134"/>
      <c r="AG197" s="134"/>
      <c r="AH197" s="134"/>
      <c r="AI197" s="134"/>
      <c r="AJ197" s="134"/>
      <c r="AK197" s="134"/>
      <c r="AL197" s="134"/>
      <c r="AM197" s="134"/>
      <c r="AN197" s="134"/>
      <c r="AO197" s="134"/>
    </row>
    <row r="198" ht="14.25" customHeight="1">
      <c r="A198" s="134"/>
      <c r="B198" s="134"/>
      <c r="C198" s="134"/>
      <c r="D198" s="134"/>
      <c r="E198" s="134"/>
      <c r="F198" s="134"/>
      <c r="G198" s="134"/>
      <c r="H198" s="134"/>
      <c r="I198" s="134"/>
      <c r="J198" s="134"/>
      <c r="K198" s="134"/>
      <c r="L198" s="134"/>
      <c r="M198" s="134"/>
      <c r="N198" s="134"/>
      <c r="O198" s="134"/>
      <c r="P198" s="134"/>
      <c r="Q198" s="134"/>
      <c r="R198" s="134"/>
      <c r="S198" s="134"/>
      <c r="T198" s="134"/>
      <c r="U198" s="134"/>
      <c r="V198" s="134"/>
      <c r="W198" s="134"/>
      <c r="X198" s="134"/>
      <c r="Y198" s="134"/>
      <c r="Z198" s="134"/>
      <c r="AA198" s="134"/>
      <c r="AB198" s="134"/>
      <c r="AC198" s="134"/>
      <c r="AD198" s="134"/>
      <c r="AE198" s="134"/>
      <c r="AF198" s="134"/>
      <c r="AG198" s="134"/>
      <c r="AH198" s="134"/>
      <c r="AI198" s="134"/>
      <c r="AJ198" s="134"/>
      <c r="AK198" s="134"/>
      <c r="AL198" s="134"/>
      <c r="AM198" s="134"/>
      <c r="AN198" s="134"/>
      <c r="AO198" s="134"/>
    </row>
    <row r="199" ht="14.25" customHeight="1">
      <c r="A199" s="134"/>
      <c r="B199" s="134"/>
      <c r="C199" s="134"/>
      <c r="D199" s="134"/>
      <c r="E199" s="134"/>
      <c r="F199" s="134"/>
      <c r="G199" s="134"/>
      <c r="H199" s="134"/>
      <c r="I199" s="134"/>
      <c r="J199" s="134"/>
      <c r="K199" s="134"/>
      <c r="L199" s="134"/>
      <c r="M199" s="134"/>
      <c r="N199" s="134"/>
      <c r="O199" s="134"/>
      <c r="P199" s="134"/>
      <c r="Q199" s="134"/>
      <c r="R199" s="134"/>
      <c r="S199" s="134"/>
      <c r="T199" s="134"/>
      <c r="U199" s="134"/>
      <c r="V199" s="134"/>
      <c r="W199" s="134"/>
      <c r="X199" s="134"/>
      <c r="Y199" s="134"/>
      <c r="Z199" s="134"/>
      <c r="AA199" s="134"/>
      <c r="AB199" s="134"/>
      <c r="AC199" s="134"/>
      <c r="AD199" s="134"/>
      <c r="AE199" s="134"/>
      <c r="AF199" s="134"/>
      <c r="AG199" s="134"/>
      <c r="AH199" s="134"/>
      <c r="AI199" s="134"/>
      <c r="AJ199" s="134"/>
      <c r="AK199" s="134"/>
      <c r="AL199" s="134"/>
      <c r="AM199" s="134"/>
      <c r="AN199" s="134"/>
      <c r="AO199" s="134"/>
    </row>
    <row r="200" ht="14.25" customHeight="1">
      <c r="A200" s="134"/>
      <c r="B200" s="134"/>
      <c r="C200" s="134"/>
      <c r="D200" s="134"/>
      <c r="E200" s="134"/>
      <c r="F200" s="134"/>
      <c r="G200" s="134"/>
      <c r="H200" s="134"/>
      <c r="I200" s="134"/>
      <c r="J200" s="134"/>
      <c r="K200" s="134"/>
      <c r="L200" s="134"/>
      <c r="M200" s="134"/>
      <c r="N200" s="134"/>
      <c r="O200" s="134"/>
      <c r="P200" s="134"/>
      <c r="Q200" s="134"/>
      <c r="R200" s="134"/>
      <c r="S200" s="134"/>
      <c r="T200" s="134"/>
      <c r="U200" s="134"/>
      <c r="V200" s="134"/>
      <c r="W200" s="134"/>
      <c r="X200" s="134"/>
      <c r="Y200" s="134"/>
      <c r="Z200" s="134"/>
      <c r="AA200" s="134"/>
      <c r="AB200" s="134"/>
      <c r="AC200" s="134"/>
      <c r="AD200" s="134"/>
      <c r="AE200" s="134"/>
      <c r="AF200" s="134"/>
      <c r="AG200" s="134"/>
      <c r="AH200" s="134"/>
      <c r="AI200" s="134"/>
      <c r="AJ200" s="134"/>
      <c r="AK200" s="134"/>
      <c r="AL200" s="134"/>
      <c r="AM200" s="134"/>
      <c r="AN200" s="134"/>
      <c r="AO200" s="134"/>
    </row>
    <row r="201" ht="14.25" customHeight="1">
      <c r="A201" s="134"/>
      <c r="B201" s="134"/>
      <c r="C201" s="134"/>
      <c r="D201" s="134"/>
      <c r="E201" s="134"/>
      <c r="F201" s="134"/>
      <c r="G201" s="134"/>
      <c r="H201" s="134"/>
      <c r="I201" s="134"/>
      <c r="J201" s="134"/>
      <c r="K201" s="134"/>
      <c r="L201" s="134"/>
      <c r="M201" s="134"/>
      <c r="N201" s="134"/>
      <c r="O201" s="134"/>
      <c r="P201" s="134"/>
      <c r="Q201" s="134"/>
      <c r="R201" s="134"/>
      <c r="S201" s="134"/>
      <c r="T201" s="134"/>
      <c r="U201" s="134"/>
      <c r="V201" s="134"/>
      <c r="W201" s="134"/>
      <c r="X201" s="134"/>
      <c r="Y201" s="134"/>
      <c r="Z201" s="134"/>
      <c r="AA201" s="134"/>
      <c r="AB201" s="134"/>
      <c r="AC201" s="134"/>
      <c r="AD201" s="134"/>
      <c r="AE201" s="134"/>
      <c r="AF201" s="134"/>
      <c r="AG201" s="134"/>
      <c r="AH201" s="134"/>
      <c r="AI201" s="134"/>
      <c r="AJ201" s="134"/>
      <c r="AK201" s="134"/>
      <c r="AL201" s="134"/>
      <c r="AM201" s="134"/>
      <c r="AN201" s="134"/>
      <c r="AO201" s="134"/>
    </row>
    <row r="202" ht="14.25" customHeight="1">
      <c r="A202" s="134"/>
      <c r="B202" s="134"/>
      <c r="C202" s="134"/>
      <c r="D202" s="134"/>
      <c r="E202" s="134"/>
      <c r="F202" s="134"/>
      <c r="G202" s="134"/>
      <c r="H202" s="134"/>
      <c r="I202" s="134"/>
      <c r="J202" s="134"/>
      <c r="K202" s="134"/>
      <c r="L202" s="134"/>
      <c r="M202" s="134"/>
      <c r="N202" s="134"/>
      <c r="O202" s="134"/>
      <c r="P202" s="134"/>
      <c r="Q202" s="134"/>
      <c r="R202" s="134"/>
      <c r="S202" s="134"/>
      <c r="T202" s="134"/>
      <c r="U202" s="134"/>
      <c r="V202" s="134"/>
      <c r="W202" s="134"/>
      <c r="X202" s="134"/>
      <c r="Y202" s="134"/>
      <c r="Z202" s="134"/>
      <c r="AA202" s="134"/>
      <c r="AB202" s="134"/>
      <c r="AC202" s="134"/>
      <c r="AD202" s="134"/>
      <c r="AE202" s="134"/>
      <c r="AF202" s="134"/>
      <c r="AG202" s="134"/>
      <c r="AH202" s="134"/>
      <c r="AI202" s="134"/>
      <c r="AJ202" s="134"/>
      <c r="AK202" s="134"/>
      <c r="AL202" s="134"/>
      <c r="AM202" s="134"/>
      <c r="AN202" s="134"/>
      <c r="AO202" s="134"/>
    </row>
    <row r="203" ht="14.25" customHeight="1">
      <c r="A203" s="134"/>
      <c r="B203" s="134"/>
      <c r="C203" s="134"/>
      <c r="D203" s="134"/>
      <c r="E203" s="134"/>
      <c r="F203" s="134"/>
      <c r="G203" s="134"/>
      <c r="H203" s="134"/>
      <c r="I203" s="134"/>
      <c r="J203" s="134"/>
      <c r="K203" s="134"/>
      <c r="L203" s="134"/>
      <c r="M203" s="134"/>
      <c r="N203" s="134"/>
      <c r="O203" s="134"/>
      <c r="P203" s="134"/>
      <c r="Q203" s="134"/>
      <c r="R203" s="134"/>
      <c r="S203" s="134"/>
      <c r="T203" s="134"/>
      <c r="U203" s="134"/>
      <c r="V203" s="134"/>
      <c r="W203" s="134"/>
      <c r="X203" s="134"/>
      <c r="Y203" s="134"/>
      <c r="Z203" s="134"/>
      <c r="AA203" s="134"/>
      <c r="AB203" s="134"/>
      <c r="AC203" s="134"/>
      <c r="AD203" s="134"/>
      <c r="AE203" s="134"/>
      <c r="AF203" s="134"/>
      <c r="AG203" s="134"/>
      <c r="AH203" s="134"/>
      <c r="AI203" s="134"/>
      <c r="AJ203" s="134"/>
      <c r="AK203" s="134"/>
      <c r="AL203" s="134"/>
      <c r="AM203" s="134"/>
      <c r="AN203" s="134"/>
      <c r="AO203" s="134"/>
    </row>
    <row r="204" ht="14.25" customHeight="1">
      <c r="A204" s="134"/>
      <c r="B204" s="134"/>
      <c r="C204" s="134"/>
      <c r="D204" s="134"/>
      <c r="E204" s="134"/>
      <c r="F204" s="134"/>
      <c r="G204" s="134"/>
      <c r="H204" s="134"/>
      <c r="I204" s="134"/>
      <c r="J204" s="134"/>
      <c r="K204" s="134"/>
      <c r="L204" s="134"/>
      <c r="M204" s="134"/>
      <c r="N204" s="134"/>
      <c r="O204" s="134"/>
      <c r="P204" s="134"/>
      <c r="Q204" s="134"/>
      <c r="R204" s="134"/>
      <c r="S204" s="134"/>
      <c r="T204" s="134"/>
      <c r="U204" s="134"/>
      <c r="V204" s="134"/>
      <c r="W204" s="134"/>
      <c r="X204" s="134"/>
      <c r="Y204" s="134"/>
      <c r="Z204" s="134"/>
      <c r="AA204" s="134"/>
      <c r="AB204" s="134"/>
      <c r="AC204" s="134"/>
      <c r="AD204" s="134"/>
      <c r="AE204" s="134"/>
      <c r="AF204" s="134"/>
      <c r="AG204" s="134"/>
      <c r="AH204" s="134"/>
      <c r="AI204" s="134"/>
      <c r="AJ204" s="134"/>
      <c r="AK204" s="134"/>
      <c r="AL204" s="134"/>
      <c r="AM204" s="134"/>
      <c r="AN204" s="134"/>
      <c r="AO204" s="134"/>
    </row>
    <row r="205" ht="14.25" customHeight="1">
      <c r="A205" s="134"/>
      <c r="B205" s="134"/>
      <c r="C205" s="134"/>
      <c r="D205" s="134"/>
      <c r="E205" s="134"/>
      <c r="F205" s="134"/>
      <c r="G205" s="134"/>
      <c r="H205" s="134"/>
      <c r="I205" s="134"/>
      <c r="J205" s="134"/>
      <c r="K205" s="134"/>
      <c r="L205" s="134"/>
      <c r="M205" s="134"/>
      <c r="N205" s="134"/>
      <c r="O205" s="134"/>
      <c r="P205" s="134"/>
      <c r="Q205" s="134"/>
      <c r="R205" s="134"/>
      <c r="S205" s="134"/>
      <c r="T205" s="134"/>
      <c r="U205" s="134"/>
      <c r="V205" s="134"/>
      <c r="W205" s="134"/>
      <c r="X205" s="134"/>
      <c r="Y205" s="134"/>
      <c r="Z205" s="134"/>
      <c r="AA205" s="134"/>
      <c r="AB205" s="134"/>
      <c r="AC205" s="134"/>
      <c r="AD205" s="134"/>
      <c r="AE205" s="134"/>
      <c r="AF205" s="134"/>
      <c r="AG205" s="134"/>
      <c r="AH205" s="134"/>
      <c r="AI205" s="134"/>
      <c r="AJ205" s="134"/>
      <c r="AK205" s="134"/>
      <c r="AL205" s="134"/>
      <c r="AM205" s="134"/>
      <c r="AN205" s="134"/>
      <c r="AO205" s="134"/>
    </row>
    <row r="206" ht="14.25" customHeight="1">
      <c r="A206" s="134"/>
      <c r="B206" s="134"/>
      <c r="C206" s="134"/>
      <c r="D206" s="134"/>
      <c r="E206" s="134"/>
      <c r="F206" s="134"/>
      <c r="G206" s="134"/>
      <c r="H206" s="134"/>
      <c r="I206" s="134"/>
      <c r="J206" s="134"/>
      <c r="K206" s="134"/>
      <c r="L206" s="134"/>
      <c r="M206" s="134"/>
      <c r="N206" s="134"/>
      <c r="O206" s="134"/>
      <c r="P206" s="134"/>
      <c r="Q206" s="134"/>
      <c r="R206" s="134"/>
      <c r="S206" s="134"/>
      <c r="T206" s="134"/>
      <c r="U206" s="134"/>
      <c r="V206" s="134"/>
      <c r="W206" s="134"/>
      <c r="X206" s="134"/>
      <c r="Y206" s="134"/>
      <c r="Z206" s="134"/>
      <c r="AA206" s="134"/>
      <c r="AB206" s="134"/>
      <c r="AC206" s="134"/>
      <c r="AD206" s="134"/>
      <c r="AE206" s="134"/>
      <c r="AF206" s="134"/>
      <c r="AG206" s="134"/>
      <c r="AH206" s="134"/>
      <c r="AI206" s="134"/>
      <c r="AJ206" s="134"/>
      <c r="AK206" s="134"/>
      <c r="AL206" s="134"/>
      <c r="AM206" s="134"/>
      <c r="AN206" s="134"/>
      <c r="AO206" s="134"/>
    </row>
    <row r="207" ht="14.25" customHeight="1">
      <c r="A207" s="134"/>
      <c r="B207" s="134"/>
      <c r="C207" s="134"/>
      <c r="D207" s="134"/>
      <c r="E207" s="134"/>
      <c r="F207" s="134"/>
      <c r="G207" s="134"/>
      <c r="H207" s="134"/>
      <c r="I207" s="134"/>
      <c r="J207" s="134"/>
      <c r="K207" s="134"/>
      <c r="L207" s="134"/>
      <c r="M207" s="134"/>
      <c r="N207" s="134"/>
      <c r="O207" s="134"/>
      <c r="P207" s="134"/>
      <c r="Q207" s="134"/>
      <c r="R207" s="134"/>
      <c r="S207" s="134"/>
      <c r="T207" s="134"/>
      <c r="U207" s="134"/>
      <c r="V207" s="134"/>
      <c r="W207" s="134"/>
      <c r="X207" s="134"/>
      <c r="Y207" s="134"/>
      <c r="Z207" s="134"/>
      <c r="AA207" s="134"/>
      <c r="AB207" s="134"/>
      <c r="AC207" s="134"/>
      <c r="AD207" s="134"/>
      <c r="AE207" s="134"/>
      <c r="AF207" s="134"/>
      <c r="AG207" s="134"/>
      <c r="AH207" s="134"/>
      <c r="AI207" s="134"/>
      <c r="AJ207" s="134"/>
      <c r="AK207" s="134"/>
      <c r="AL207" s="134"/>
      <c r="AM207" s="134"/>
      <c r="AN207" s="134"/>
      <c r="AO207" s="134"/>
    </row>
    <row r="208" ht="14.25" customHeight="1">
      <c r="A208" s="134"/>
      <c r="B208" s="134"/>
      <c r="C208" s="134"/>
      <c r="D208" s="134"/>
      <c r="E208" s="134"/>
      <c r="F208" s="134"/>
      <c r="G208" s="134"/>
      <c r="H208" s="134"/>
      <c r="I208" s="134"/>
      <c r="J208" s="134"/>
      <c r="K208" s="134"/>
      <c r="L208" s="134"/>
      <c r="M208" s="134"/>
      <c r="N208" s="134"/>
      <c r="O208" s="134"/>
      <c r="P208" s="134"/>
      <c r="Q208" s="134"/>
      <c r="R208" s="134"/>
      <c r="S208" s="134"/>
      <c r="T208" s="134"/>
      <c r="U208" s="134"/>
      <c r="V208" s="134"/>
      <c r="W208" s="134"/>
      <c r="X208" s="134"/>
      <c r="Y208" s="134"/>
      <c r="Z208" s="134"/>
      <c r="AA208" s="134"/>
      <c r="AB208" s="134"/>
      <c r="AC208" s="134"/>
      <c r="AD208" s="134"/>
      <c r="AE208" s="134"/>
      <c r="AF208" s="134"/>
      <c r="AG208" s="134"/>
      <c r="AH208" s="134"/>
      <c r="AI208" s="134"/>
      <c r="AJ208" s="134"/>
      <c r="AK208" s="134"/>
      <c r="AL208" s="134"/>
      <c r="AM208" s="134"/>
      <c r="AN208" s="134"/>
      <c r="AO208" s="134"/>
    </row>
    <row r="209" ht="14.25" customHeight="1">
      <c r="A209" s="134"/>
      <c r="B209" s="134"/>
      <c r="C209" s="134"/>
      <c r="D209" s="134"/>
      <c r="E209" s="134"/>
      <c r="F209" s="134"/>
      <c r="G209" s="134"/>
      <c r="H209" s="134"/>
      <c r="I209" s="134"/>
      <c r="J209" s="134"/>
      <c r="K209" s="134"/>
      <c r="L209" s="134"/>
      <c r="M209" s="134"/>
      <c r="N209" s="134"/>
      <c r="O209" s="134"/>
      <c r="P209" s="134"/>
      <c r="Q209" s="134"/>
      <c r="R209" s="134"/>
      <c r="S209" s="134"/>
      <c r="T209" s="134"/>
      <c r="U209" s="134"/>
      <c r="V209" s="134"/>
      <c r="W209" s="134"/>
      <c r="X209" s="134"/>
      <c r="Y209" s="134"/>
      <c r="Z209" s="134"/>
      <c r="AA209" s="134"/>
      <c r="AB209" s="134"/>
      <c r="AC209" s="134"/>
      <c r="AD209" s="134"/>
      <c r="AE209" s="134"/>
      <c r="AF209" s="134"/>
      <c r="AG209" s="134"/>
      <c r="AH209" s="134"/>
      <c r="AI209" s="134"/>
      <c r="AJ209" s="134"/>
      <c r="AK209" s="134"/>
      <c r="AL209" s="134"/>
      <c r="AM209" s="134"/>
      <c r="AN209" s="134"/>
      <c r="AO209" s="134"/>
    </row>
    <row r="210" ht="14.25" customHeight="1">
      <c r="A210" s="134"/>
      <c r="B210" s="134"/>
      <c r="C210" s="134"/>
      <c r="D210" s="134"/>
      <c r="E210" s="134"/>
      <c r="F210" s="134"/>
      <c r="G210" s="134"/>
      <c r="H210" s="134"/>
      <c r="I210" s="134"/>
      <c r="J210" s="134"/>
      <c r="K210" s="134"/>
      <c r="L210" s="134"/>
      <c r="M210" s="134"/>
      <c r="N210" s="134"/>
      <c r="O210" s="134"/>
      <c r="P210" s="134"/>
      <c r="Q210" s="134"/>
      <c r="R210" s="134"/>
      <c r="S210" s="134"/>
      <c r="T210" s="134"/>
      <c r="U210" s="134"/>
      <c r="V210" s="134"/>
      <c r="W210" s="134"/>
      <c r="X210" s="134"/>
      <c r="Y210" s="134"/>
      <c r="Z210" s="134"/>
      <c r="AA210" s="134"/>
      <c r="AB210" s="134"/>
      <c r="AC210" s="134"/>
      <c r="AD210" s="134"/>
      <c r="AE210" s="134"/>
      <c r="AF210" s="134"/>
      <c r="AG210" s="134"/>
      <c r="AH210" s="134"/>
      <c r="AI210" s="134"/>
      <c r="AJ210" s="134"/>
      <c r="AK210" s="134"/>
      <c r="AL210" s="134"/>
      <c r="AM210" s="134"/>
      <c r="AN210" s="134"/>
      <c r="AO210" s="134"/>
    </row>
    <row r="211" ht="14.25" customHeight="1">
      <c r="A211" s="134"/>
      <c r="B211" s="134"/>
      <c r="C211" s="134"/>
      <c r="D211" s="134"/>
      <c r="E211" s="134"/>
      <c r="F211" s="134"/>
      <c r="G211" s="134"/>
      <c r="H211" s="134"/>
      <c r="I211" s="134"/>
      <c r="J211" s="134"/>
      <c r="K211" s="134"/>
      <c r="L211" s="134"/>
      <c r="M211" s="134"/>
      <c r="N211" s="134"/>
      <c r="O211" s="134"/>
      <c r="P211" s="134"/>
      <c r="Q211" s="134"/>
      <c r="R211" s="134"/>
      <c r="S211" s="134"/>
      <c r="T211" s="134"/>
      <c r="U211" s="134"/>
      <c r="V211" s="134"/>
      <c r="W211" s="134"/>
      <c r="X211" s="134"/>
      <c r="Y211" s="134"/>
      <c r="Z211" s="134"/>
      <c r="AA211" s="134"/>
      <c r="AB211" s="134"/>
      <c r="AC211" s="134"/>
      <c r="AD211" s="134"/>
      <c r="AE211" s="134"/>
      <c r="AF211" s="134"/>
      <c r="AG211" s="134"/>
      <c r="AH211" s="134"/>
      <c r="AI211" s="134"/>
      <c r="AJ211" s="134"/>
      <c r="AK211" s="134"/>
      <c r="AL211" s="134"/>
      <c r="AM211" s="134"/>
      <c r="AN211" s="134"/>
      <c r="AO211" s="134"/>
    </row>
    <row r="212" ht="14.25" customHeight="1">
      <c r="A212" s="134"/>
      <c r="B212" s="134"/>
      <c r="C212" s="134"/>
      <c r="D212" s="134"/>
      <c r="E212" s="134"/>
      <c r="F212" s="134"/>
      <c r="G212" s="134"/>
      <c r="H212" s="134"/>
      <c r="I212" s="134"/>
      <c r="J212" s="134"/>
      <c r="K212" s="134"/>
      <c r="L212" s="134"/>
      <c r="M212" s="134"/>
      <c r="N212" s="134"/>
      <c r="O212" s="134"/>
      <c r="P212" s="134"/>
      <c r="Q212" s="134"/>
      <c r="R212" s="134"/>
      <c r="S212" s="134"/>
      <c r="T212" s="134"/>
      <c r="U212" s="134"/>
      <c r="V212" s="134"/>
      <c r="W212" s="134"/>
      <c r="X212" s="134"/>
      <c r="Y212" s="134"/>
      <c r="Z212" s="134"/>
      <c r="AA212" s="134"/>
      <c r="AB212" s="134"/>
      <c r="AC212" s="134"/>
      <c r="AD212" s="134"/>
      <c r="AE212" s="134"/>
      <c r="AF212" s="134"/>
      <c r="AG212" s="134"/>
      <c r="AH212" s="134"/>
      <c r="AI212" s="134"/>
      <c r="AJ212" s="134"/>
      <c r="AK212" s="134"/>
      <c r="AL212" s="134"/>
      <c r="AM212" s="134"/>
      <c r="AN212" s="134"/>
      <c r="AO212" s="134"/>
    </row>
    <row r="213" ht="14.25" customHeight="1">
      <c r="A213" s="134"/>
      <c r="B213" s="134"/>
      <c r="C213" s="134"/>
      <c r="D213" s="134"/>
      <c r="E213" s="134"/>
      <c r="F213" s="134"/>
      <c r="G213" s="134"/>
      <c r="H213" s="134"/>
      <c r="I213" s="134"/>
      <c r="J213" s="134"/>
      <c r="K213" s="134"/>
      <c r="L213" s="134"/>
      <c r="M213" s="134"/>
      <c r="N213" s="134"/>
      <c r="O213" s="134"/>
      <c r="P213" s="134"/>
      <c r="Q213" s="134"/>
      <c r="R213" s="134"/>
      <c r="S213" s="134"/>
      <c r="T213" s="134"/>
      <c r="U213" s="134"/>
      <c r="V213" s="134"/>
      <c r="W213" s="134"/>
      <c r="X213" s="134"/>
      <c r="Y213" s="134"/>
      <c r="Z213" s="134"/>
      <c r="AA213" s="134"/>
      <c r="AB213" s="134"/>
      <c r="AC213" s="134"/>
      <c r="AD213" s="134"/>
      <c r="AE213" s="134"/>
      <c r="AF213" s="134"/>
      <c r="AG213" s="134"/>
      <c r="AH213" s="134"/>
      <c r="AI213" s="134"/>
      <c r="AJ213" s="134"/>
      <c r="AK213" s="134"/>
      <c r="AL213" s="134"/>
      <c r="AM213" s="134"/>
      <c r="AN213" s="134"/>
      <c r="AO213" s="134"/>
    </row>
    <row r="214" ht="14.25" customHeight="1">
      <c r="A214" s="134"/>
      <c r="B214" s="134"/>
      <c r="C214" s="134"/>
      <c r="D214" s="134"/>
      <c r="E214" s="134"/>
      <c r="F214" s="134"/>
      <c r="G214" s="134"/>
      <c r="H214" s="134"/>
      <c r="I214" s="134"/>
      <c r="J214" s="134"/>
      <c r="K214" s="134"/>
      <c r="L214" s="134"/>
      <c r="M214" s="134"/>
      <c r="N214" s="134"/>
      <c r="O214" s="134"/>
      <c r="P214" s="134"/>
      <c r="Q214" s="134"/>
      <c r="R214" s="134"/>
      <c r="S214" s="134"/>
      <c r="T214" s="134"/>
      <c r="U214" s="134"/>
      <c r="V214" s="134"/>
      <c r="W214" s="134"/>
      <c r="X214" s="134"/>
      <c r="Y214" s="134"/>
      <c r="Z214" s="134"/>
      <c r="AA214" s="134"/>
      <c r="AB214" s="134"/>
      <c r="AC214" s="134"/>
      <c r="AD214" s="134"/>
      <c r="AE214" s="134"/>
      <c r="AF214" s="134"/>
      <c r="AG214" s="134"/>
      <c r="AH214" s="134"/>
      <c r="AI214" s="134"/>
      <c r="AJ214" s="134"/>
      <c r="AK214" s="134"/>
      <c r="AL214" s="134"/>
      <c r="AM214" s="134"/>
      <c r="AN214" s="134"/>
      <c r="AO214" s="134"/>
    </row>
    <row r="215" ht="14.25" customHeight="1">
      <c r="A215" s="134"/>
      <c r="B215" s="134"/>
      <c r="C215" s="134"/>
      <c r="D215" s="134"/>
      <c r="E215" s="134"/>
      <c r="F215" s="134"/>
      <c r="G215" s="134"/>
      <c r="H215" s="134"/>
      <c r="I215" s="134"/>
      <c r="J215" s="134"/>
      <c r="K215" s="134"/>
      <c r="L215" s="134"/>
      <c r="M215" s="134"/>
      <c r="N215" s="134"/>
      <c r="O215" s="134"/>
      <c r="P215" s="134"/>
      <c r="Q215" s="134"/>
      <c r="R215" s="134"/>
      <c r="S215" s="134"/>
      <c r="T215" s="134"/>
      <c r="U215" s="134"/>
      <c r="V215" s="134"/>
      <c r="W215" s="134"/>
      <c r="X215" s="134"/>
      <c r="Y215" s="134"/>
      <c r="Z215" s="134"/>
      <c r="AA215" s="134"/>
      <c r="AB215" s="134"/>
      <c r="AC215" s="134"/>
      <c r="AD215" s="134"/>
      <c r="AE215" s="134"/>
      <c r="AF215" s="134"/>
      <c r="AG215" s="134"/>
      <c r="AH215" s="134"/>
      <c r="AI215" s="134"/>
      <c r="AJ215" s="134"/>
      <c r="AK215" s="134"/>
      <c r="AL215" s="134"/>
      <c r="AM215" s="134"/>
      <c r="AN215" s="134"/>
      <c r="AO215" s="134"/>
    </row>
    <row r="216" ht="14.25" customHeight="1">
      <c r="A216" s="134"/>
      <c r="B216" s="134"/>
      <c r="C216" s="134"/>
      <c r="D216" s="134"/>
      <c r="E216" s="134"/>
      <c r="F216" s="134"/>
      <c r="G216" s="134"/>
      <c r="H216" s="134"/>
      <c r="I216" s="134"/>
      <c r="J216" s="134"/>
      <c r="K216" s="134"/>
      <c r="L216" s="134"/>
      <c r="M216" s="134"/>
      <c r="N216" s="134"/>
      <c r="O216" s="134"/>
      <c r="P216" s="134"/>
      <c r="Q216" s="134"/>
      <c r="R216" s="134"/>
      <c r="S216" s="134"/>
      <c r="T216" s="134"/>
      <c r="U216" s="134"/>
      <c r="V216" s="134"/>
      <c r="W216" s="134"/>
      <c r="X216" s="134"/>
      <c r="Y216" s="134"/>
      <c r="Z216" s="134"/>
      <c r="AA216" s="134"/>
      <c r="AB216" s="134"/>
      <c r="AC216" s="134"/>
      <c r="AD216" s="134"/>
      <c r="AE216" s="134"/>
      <c r="AF216" s="134"/>
      <c r="AG216" s="134"/>
      <c r="AH216" s="134"/>
      <c r="AI216" s="134"/>
      <c r="AJ216" s="134"/>
      <c r="AK216" s="134"/>
      <c r="AL216" s="134"/>
      <c r="AM216" s="134"/>
      <c r="AN216" s="134"/>
      <c r="AO216" s="134"/>
    </row>
    <row r="217" ht="14.25" customHeight="1">
      <c r="A217" s="134"/>
      <c r="B217" s="134"/>
      <c r="C217" s="134"/>
      <c r="D217" s="134"/>
      <c r="E217" s="134"/>
      <c r="F217" s="134"/>
      <c r="G217" s="134"/>
      <c r="H217" s="134"/>
      <c r="I217" s="134"/>
      <c r="J217" s="134"/>
      <c r="K217" s="134"/>
      <c r="L217" s="134"/>
      <c r="M217" s="134"/>
      <c r="N217" s="134"/>
      <c r="O217" s="134"/>
      <c r="P217" s="134"/>
      <c r="Q217" s="134"/>
      <c r="R217" s="134"/>
      <c r="S217" s="134"/>
      <c r="T217" s="134"/>
      <c r="U217" s="134"/>
      <c r="V217" s="134"/>
      <c r="W217" s="134"/>
      <c r="X217" s="134"/>
      <c r="Y217" s="134"/>
      <c r="Z217" s="134"/>
      <c r="AA217" s="134"/>
      <c r="AB217" s="134"/>
      <c r="AC217" s="134"/>
      <c r="AD217" s="134"/>
      <c r="AE217" s="134"/>
      <c r="AF217" s="134"/>
      <c r="AG217" s="134"/>
      <c r="AH217" s="134"/>
      <c r="AI217" s="134"/>
      <c r="AJ217" s="134"/>
      <c r="AK217" s="134"/>
      <c r="AL217" s="134"/>
      <c r="AM217" s="134"/>
      <c r="AN217" s="134"/>
      <c r="AO217" s="134"/>
    </row>
    <row r="218" ht="14.25" customHeight="1">
      <c r="A218" s="134"/>
      <c r="B218" s="134"/>
      <c r="C218" s="134"/>
      <c r="D218" s="134"/>
      <c r="E218" s="134"/>
      <c r="F218" s="134"/>
      <c r="G218" s="134"/>
      <c r="H218" s="134"/>
      <c r="I218" s="134"/>
      <c r="J218" s="134"/>
      <c r="K218" s="134"/>
      <c r="L218" s="134"/>
      <c r="M218" s="134"/>
      <c r="N218" s="134"/>
      <c r="O218" s="134"/>
      <c r="P218" s="134"/>
      <c r="Q218" s="134"/>
      <c r="R218" s="134"/>
      <c r="S218" s="134"/>
      <c r="T218" s="134"/>
      <c r="U218" s="134"/>
      <c r="V218" s="134"/>
      <c r="W218" s="134"/>
      <c r="X218" s="134"/>
      <c r="Y218" s="134"/>
      <c r="Z218" s="134"/>
      <c r="AA218" s="134"/>
      <c r="AB218" s="134"/>
      <c r="AC218" s="134"/>
      <c r="AD218" s="134"/>
      <c r="AE218" s="134"/>
      <c r="AF218" s="134"/>
      <c r="AG218" s="134"/>
      <c r="AH218" s="134"/>
      <c r="AI218" s="134"/>
      <c r="AJ218" s="134"/>
      <c r="AK218" s="134"/>
      <c r="AL218" s="134"/>
      <c r="AM218" s="134"/>
      <c r="AN218" s="134"/>
      <c r="AO218" s="134"/>
    </row>
    <row r="219" ht="14.25" customHeight="1">
      <c r="A219" s="134"/>
      <c r="B219" s="134"/>
      <c r="C219" s="134"/>
      <c r="D219" s="134"/>
      <c r="E219" s="134"/>
      <c r="F219" s="134"/>
      <c r="G219" s="134"/>
      <c r="H219" s="134"/>
      <c r="I219" s="134"/>
      <c r="J219" s="134"/>
      <c r="K219" s="134"/>
      <c r="L219" s="134"/>
      <c r="M219" s="134"/>
      <c r="N219" s="134"/>
      <c r="O219" s="134"/>
      <c r="P219" s="134"/>
      <c r="Q219" s="134"/>
      <c r="R219" s="134"/>
      <c r="S219" s="134"/>
      <c r="T219" s="134"/>
      <c r="U219" s="134"/>
      <c r="V219" s="134"/>
      <c r="W219" s="134"/>
      <c r="X219" s="134"/>
      <c r="Y219" s="134"/>
      <c r="Z219" s="134"/>
      <c r="AA219" s="134"/>
      <c r="AB219" s="134"/>
      <c r="AC219" s="134"/>
      <c r="AD219" s="134"/>
      <c r="AE219" s="134"/>
      <c r="AF219" s="134"/>
      <c r="AG219" s="134"/>
      <c r="AH219" s="134"/>
      <c r="AI219" s="134"/>
      <c r="AJ219" s="134"/>
      <c r="AK219" s="134"/>
      <c r="AL219" s="134"/>
      <c r="AM219" s="134"/>
      <c r="AN219" s="134"/>
      <c r="AO219" s="134"/>
    </row>
    <row r="220" ht="14.25" customHeight="1">
      <c r="A220" s="134"/>
      <c r="B220" s="134"/>
      <c r="C220" s="134"/>
      <c r="D220" s="134"/>
      <c r="E220" s="134"/>
      <c r="F220" s="134"/>
      <c r="G220" s="134"/>
      <c r="H220" s="134"/>
      <c r="I220" s="134"/>
      <c r="J220" s="134"/>
      <c r="K220" s="134"/>
      <c r="L220" s="134"/>
      <c r="M220" s="134"/>
      <c r="N220" s="134"/>
      <c r="O220" s="134"/>
      <c r="P220" s="134"/>
      <c r="Q220" s="134"/>
      <c r="R220" s="134"/>
      <c r="S220" s="134"/>
      <c r="T220" s="134"/>
      <c r="U220" s="134"/>
      <c r="V220" s="134"/>
      <c r="W220" s="134"/>
      <c r="X220" s="134"/>
      <c r="Y220" s="134"/>
      <c r="Z220" s="134"/>
      <c r="AA220" s="134"/>
      <c r="AB220" s="134"/>
      <c r="AC220" s="134"/>
      <c r="AD220" s="134"/>
      <c r="AE220" s="134"/>
      <c r="AF220" s="134"/>
      <c r="AG220" s="134"/>
      <c r="AH220" s="134"/>
      <c r="AI220" s="134"/>
      <c r="AJ220" s="134"/>
      <c r="AK220" s="134"/>
      <c r="AL220" s="134"/>
      <c r="AM220" s="134"/>
      <c r="AN220" s="134"/>
      <c r="AO220" s="134"/>
    </row>
    <row r="221" ht="14.25" customHeight="1">
      <c r="A221" s="134"/>
      <c r="B221" s="134"/>
      <c r="C221" s="134"/>
      <c r="D221" s="134"/>
      <c r="E221" s="134"/>
      <c r="F221" s="134"/>
      <c r="G221" s="134"/>
      <c r="H221" s="134"/>
      <c r="I221" s="134"/>
      <c r="J221" s="134"/>
      <c r="K221" s="134"/>
      <c r="L221" s="134"/>
      <c r="M221" s="134"/>
      <c r="N221" s="134"/>
      <c r="O221" s="134"/>
      <c r="P221" s="134"/>
      <c r="Q221" s="134"/>
      <c r="R221" s="134"/>
      <c r="S221" s="134"/>
      <c r="T221" s="134"/>
      <c r="U221" s="134"/>
      <c r="V221" s="134"/>
      <c r="W221" s="134"/>
      <c r="X221" s="134"/>
      <c r="Y221" s="134"/>
      <c r="Z221" s="134"/>
      <c r="AA221" s="134"/>
      <c r="AB221" s="134"/>
      <c r="AC221" s="134"/>
      <c r="AD221" s="134"/>
      <c r="AE221" s="134"/>
      <c r="AF221" s="134"/>
      <c r="AG221" s="134"/>
      <c r="AH221" s="134"/>
      <c r="AI221" s="134"/>
      <c r="AJ221" s="134"/>
      <c r="AK221" s="134"/>
      <c r="AL221" s="134"/>
      <c r="AM221" s="134"/>
      <c r="AN221" s="134"/>
      <c r="AO221" s="134"/>
    </row>
    <row r="222" ht="14.25" customHeight="1">
      <c r="A222" s="134"/>
      <c r="B222" s="134"/>
      <c r="C222" s="134"/>
      <c r="D222" s="134"/>
      <c r="E222" s="134"/>
      <c r="F222" s="134"/>
      <c r="G222" s="134"/>
      <c r="H222" s="134"/>
      <c r="I222" s="134"/>
      <c r="J222" s="134"/>
      <c r="K222" s="134"/>
      <c r="L222" s="134"/>
      <c r="M222" s="134"/>
      <c r="N222" s="134"/>
      <c r="O222" s="134"/>
      <c r="P222" s="134"/>
      <c r="Q222" s="134"/>
      <c r="R222" s="134"/>
      <c r="S222" s="134"/>
      <c r="T222" s="134"/>
      <c r="U222" s="134"/>
      <c r="V222" s="134"/>
      <c r="W222" s="134"/>
      <c r="X222" s="134"/>
      <c r="Y222" s="134"/>
      <c r="Z222" s="134"/>
      <c r="AA222" s="134"/>
      <c r="AB222" s="134"/>
      <c r="AC222" s="134"/>
      <c r="AD222" s="134"/>
      <c r="AE222" s="134"/>
      <c r="AF222" s="134"/>
      <c r="AG222" s="134"/>
      <c r="AH222" s="134"/>
      <c r="AI222" s="134"/>
      <c r="AJ222" s="134"/>
      <c r="AK222" s="134"/>
      <c r="AL222" s="134"/>
      <c r="AM222" s="134"/>
      <c r="AN222" s="134"/>
      <c r="AO222" s="134"/>
    </row>
    <row r="223" ht="14.25" customHeight="1">
      <c r="A223" s="134"/>
      <c r="B223" s="134"/>
      <c r="C223" s="134"/>
      <c r="D223" s="134"/>
      <c r="E223" s="134"/>
      <c r="F223" s="134"/>
      <c r="G223" s="134"/>
      <c r="H223" s="134"/>
      <c r="I223" s="134"/>
      <c r="J223" s="134"/>
      <c r="K223" s="134"/>
      <c r="L223" s="134"/>
      <c r="M223" s="134"/>
      <c r="N223" s="134"/>
      <c r="O223" s="134"/>
      <c r="P223" s="134"/>
      <c r="Q223" s="134"/>
      <c r="R223" s="134"/>
      <c r="S223" s="134"/>
      <c r="T223" s="134"/>
      <c r="U223" s="134"/>
      <c r="V223" s="134"/>
      <c r="W223" s="134"/>
      <c r="X223" s="134"/>
      <c r="Y223" s="134"/>
      <c r="Z223" s="134"/>
      <c r="AA223" s="134"/>
      <c r="AB223" s="134"/>
      <c r="AC223" s="134"/>
      <c r="AD223" s="134"/>
      <c r="AE223" s="134"/>
      <c r="AF223" s="134"/>
      <c r="AG223" s="134"/>
      <c r="AH223" s="134"/>
      <c r="AI223" s="134"/>
      <c r="AJ223" s="134"/>
      <c r="AK223" s="134"/>
      <c r="AL223" s="134"/>
      <c r="AM223" s="134"/>
      <c r="AN223" s="134"/>
      <c r="AO223" s="134"/>
    </row>
    <row r="224" ht="14.25" customHeight="1">
      <c r="A224" s="134"/>
      <c r="B224" s="134"/>
      <c r="C224" s="134"/>
      <c r="D224" s="134"/>
      <c r="E224" s="134"/>
      <c r="F224" s="134"/>
      <c r="G224" s="134"/>
      <c r="H224" s="134"/>
      <c r="I224" s="134"/>
      <c r="J224" s="134"/>
      <c r="K224" s="134"/>
      <c r="L224" s="134"/>
      <c r="M224" s="134"/>
      <c r="N224" s="134"/>
      <c r="O224" s="134"/>
      <c r="P224" s="134"/>
      <c r="Q224" s="134"/>
      <c r="R224" s="134"/>
      <c r="S224" s="134"/>
      <c r="T224" s="134"/>
      <c r="U224" s="134"/>
      <c r="V224" s="134"/>
      <c r="W224" s="134"/>
      <c r="X224" s="134"/>
      <c r="Y224" s="134"/>
      <c r="Z224" s="134"/>
      <c r="AA224" s="134"/>
      <c r="AB224" s="134"/>
      <c r="AC224" s="134"/>
      <c r="AD224" s="134"/>
      <c r="AE224" s="134"/>
      <c r="AF224" s="134"/>
      <c r="AG224" s="134"/>
      <c r="AH224" s="134"/>
      <c r="AI224" s="134"/>
      <c r="AJ224" s="134"/>
      <c r="AK224" s="134"/>
      <c r="AL224" s="134"/>
      <c r="AM224" s="134"/>
      <c r="AN224" s="134"/>
      <c r="AO224" s="134"/>
    </row>
    <row r="225" ht="14.25" customHeight="1">
      <c r="A225" s="134"/>
      <c r="B225" s="134"/>
      <c r="C225" s="134"/>
      <c r="D225" s="134"/>
      <c r="E225" s="134"/>
      <c r="F225" s="134"/>
      <c r="G225" s="134"/>
      <c r="H225" s="134"/>
      <c r="I225" s="134"/>
      <c r="J225" s="134"/>
      <c r="K225" s="134"/>
      <c r="L225" s="134"/>
      <c r="M225" s="134"/>
      <c r="N225" s="134"/>
      <c r="O225" s="134"/>
      <c r="P225" s="134"/>
      <c r="Q225" s="134"/>
      <c r="R225" s="134"/>
      <c r="S225" s="134"/>
      <c r="T225" s="134"/>
      <c r="U225" s="134"/>
      <c r="V225" s="134"/>
      <c r="W225" s="134"/>
      <c r="X225" s="134"/>
      <c r="Y225" s="134"/>
      <c r="Z225" s="134"/>
      <c r="AA225" s="134"/>
      <c r="AB225" s="134"/>
      <c r="AC225" s="134"/>
      <c r="AD225" s="134"/>
      <c r="AE225" s="134"/>
      <c r="AF225" s="134"/>
      <c r="AG225" s="134"/>
      <c r="AH225" s="134"/>
      <c r="AI225" s="134"/>
      <c r="AJ225" s="134"/>
      <c r="AK225" s="134"/>
      <c r="AL225" s="134"/>
      <c r="AM225" s="134"/>
      <c r="AN225" s="134"/>
      <c r="AO225" s="134"/>
    </row>
    <row r="226" ht="14.25" customHeight="1">
      <c r="A226" s="134"/>
      <c r="B226" s="134"/>
      <c r="C226" s="134"/>
      <c r="D226" s="134"/>
      <c r="E226" s="134"/>
      <c r="F226" s="134"/>
      <c r="G226" s="134"/>
      <c r="H226" s="134"/>
      <c r="I226" s="134"/>
      <c r="J226" s="134"/>
      <c r="K226" s="134"/>
      <c r="L226" s="134"/>
      <c r="M226" s="134"/>
      <c r="N226" s="134"/>
      <c r="O226" s="134"/>
      <c r="P226" s="134"/>
      <c r="Q226" s="134"/>
      <c r="R226" s="134"/>
      <c r="S226" s="134"/>
      <c r="T226" s="134"/>
      <c r="U226" s="134"/>
      <c r="V226" s="134"/>
      <c r="W226" s="134"/>
      <c r="X226" s="134"/>
      <c r="Y226" s="134"/>
      <c r="Z226" s="134"/>
      <c r="AA226" s="134"/>
      <c r="AB226" s="134"/>
      <c r="AC226" s="134"/>
      <c r="AD226" s="134"/>
      <c r="AE226" s="134"/>
      <c r="AF226" s="134"/>
      <c r="AG226" s="134"/>
      <c r="AH226" s="134"/>
      <c r="AI226" s="134"/>
      <c r="AJ226" s="134"/>
      <c r="AK226" s="134"/>
      <c r="AL226" s="134"/>
      <c r="AM226" s="134"/>
      <c r="AN226" s="134"/>
      <c r="AO226" s="134"/>
    </row>
    <row r="227" ht="14.25" customHeight="1">
      <c r="A227" s="134"/>
      <c r="B227" s="134"/>
      <c r="C227" s="134"/>
      <c r="D227" s="134"/>
      <c r="E227" s="134"/>
      <c r="F227" s="134"/>
      <c r="G227" s="134"/>
      <c r="H227" s="134"/>
      <c r="I227" s="134"/>
      <c r="J227" s="134"/>
      <c r="K227" s="134"/>
      <c r="L227" s="134"/>
      <c r="M227" s="134"/>
      <c r="N227" s="134"/>
      <c r="O227" s="134"/>
      <c r="P227" s="134"/>
      <c r="Q227" s="134"/>
      <c r="R227" s="134"/>
      <c r="S227" s="134"/>
      <c r="T227" s="134"/>
      <c r="U227" s="134"/>
      <c r="V227" s="134"/>
      <c r="W227" s="134"/>
      <c r="X227" s="134"/>
      <c r="Y227" s="134"/>
      <c r="Z227" s="134"/>
      <c r="AA227" s="134"/>
      <c r="AB227" s="134"/>
      <c r="AC227" s="134"/>
      <c r="AD227" s="134"/>
      <c r="AE227" s="134"/>
      <c r="AF227" s="134"/>
      <c r="AG227" s="134"/>
      <c r="AH227" s="134"/>
      <c r="AI227" s="134"/>
      <c r="AJ227" s="134"/>
      <c r="AK227" s="134"/>
      <c r="AL227" s="134"/>
      <c r="AM227" s="134"/>
      <c r="AN227" s="134"/>
      <c r="AO227" s="134"/>
    </row>
    <row r="228" ht="14.25" customHeight="1">
      <c r="A228" s="134"/>
      <c r="B228" s="134"/>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c r="Y228" s="134"/>
      <c r="Z228" s="134"/>
      <c r="AA228" s="134"/>
      <c r="AB228" s="134"/>
      <c r="AC228" s="134"/>
      <c r="AD228" s="134"/>
      <c r="AE228" s="134"/>
      <c r="AF228" s="134"/>
      <c r="AG228" s="134"/>
      <c r="AH228" s="134"/>
      <c r="AI228" s="134"/>
      <c r="AJ228" s="134"/>
      <c r="AK228" s="134"/>
      <c r="AL228" s="134"/>
      <c r="AM228" s="134"/>
      <c r="AN228" s="134"/>
      <c r="AO228" s="134"/>
    </row>
    <row r="229" ht="14.25" customHeight="1">
      <c r="A229" s="134"/>
      <c r="B229" s="134"/>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c r="Y229" s="134"/>
      <c r="Z229" s="134"/>
      <c r="AA229" s="134"/>
      <c r="AB229" s="134"/>
      <c r="AC229" s="134"/>
      <c r="AD229" s="134"/>
      <c r="AE229" s="134"/>
      <c r="AF229" s="134"/>
      <c r="AG229" s="134"/>
      <c r="AH229" s="134"/>
      <c r="AI229" s="134"/>
      <c r="AJ229" s="134"/>
      <c r="AK229" s="134"/>
      <c r="AL229" s="134"/>
      <c r="AM229" s="134"/>
      <c r="AN229" s="134"/>
      <c r="AO229" s="134"/>
    </row>
    <row r="230" ht="14.25" customHeight="1">
      <c r="A230" s="134"/>
      <c r="B230" s="134"/>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c r="Y230" s="134"/>
      <c r="Z230" s="134"/>
      <c r="AA230" s="134"/>
      <c r="AB230" s="134"/>
      <c r="AC230" s="134"/>
      <c r="AD230" s="134"/>
      <c r="AE230" s="134"/>
      <c r="AF230" s="134"/>
      <c r="AG230" s="134"/>
      <c r="AH230" s="134"/>
      <c r="AI230" s="134"/>
      <c r="AJ230" s="134"/>
      <c r="AK230" s="134"/>
      <c r="AL230" s="134"/>
      <c r="AM230" s="134"/>
      <c r="AN230" s="134"/>
      <c r="AO230" s="134"/>
    </row>
    <row r="231" ht="14.25" customHeight="1">
      <c r="A231" s="134"/>
      <c r="B231" s="134"/>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c r="Y231" s="134"/>
      <c r="Z231" s="134"/>
      <c r="AA231" s="134"/>
      <c r="AB231" s="134"/>
      <c r="AC231" s="134"/>
      <c r="AD231" s="134"/>
      <c r="AE231" s="134"/>
      <c r="AF231" s="134"/>
      <c r="AG231" s="134"/>
      <c r="AH231" s="134"/>
      <c r="AI231" s="134"/>
      <c r="AJ231" s="134"/>
      <c r="AK231" s="134"/>
      <c r="AL231" s="134"/>
      <c r="AM231" s="134"/>
      <c r="AN231" s="134"/>
      <c r="AO231" s="134"/>
    </row>
    <row r="232" ht="14.25" customHeight="1">
      <c r="A232" s="134"/>
      <c r="B232" s="134"/>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c r="Y232" s="134"/>
      <c r="Z232" s="134"/>
      <c r="AA232" s="134"/>
      <c r="AB232" s="134"/>
      <c r="AC232" s="134"/>
      <c r="AD232" s="134"/>
      <c r="AE232" s="134"/>
      <c r="AF232" s="134"/>
      <c r="AG232" s="134"/>
      <c r="AH232" s="134"/>
      <c r="AI232" s="134"/>
      <c r="AJ232" s="134"/>
      <c r="AK232" s="134"/>
      <c r="AL232" s="134"/>
      <c r="AM232" s="134"/>
      <c r="AN232" s="134"/>
      <c r="AO232" s="134"/>
    </row>
    <row r="233" ht="14.25" customHeight="1">
      <c r="A233" s="134"/>
      <c r="B233" s="134"/>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c r="Y233" s="134"/>
      <c r="Z233" s="134"/>
      <c r="AA233" s="134"/>
      <c r="AB233" s="134"/>
      <c r="AC233" s="134"/>
      <c r="AD233" s="134"/>
      <c r="AE233" s="134"/>
      <c r="AF233" s="134"/>
      <c r="AG233" s="134"/>
      <c r="AH233" s="134"/>
      <c r="AI233" s="134"/>
      <c r="AJ233" s="134"/>
      <c r="AK233" s="134"/>
      <c r="AL233" s="134"/>
      <c r="AM233" s="134"/>
      <c r="AN233" s="134"/>
      <c r="AO233" s="134"/>
    </row>
    <row r="234" ht="14.25" customHeight="1">
      <c r="A234" s="134"/>
      <c r="B234" s="134"/>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c r="Y234" s="134"/>
      <c r="Z234" s="134"/>
      <c r="AA234" s="134"/>
      <c r="AB234" s="134"/>
      <c r="AC234" s="134"/>
      <c r="AD234" s="134"/>
      <c r="AE234" s="134"/>
      <c r="AF234" s="134"/>
      <c r="AG234" s="134"/>
      <c r="AH234" s="134"/>
      <c r="AI234" s="134"/>
      <c r="AJ234" s="134"/>
      <c r="AK234" s="134"/>
      <c r="AL234" s="134"/>
      <c r="AM234" s="134"/>
      <c r="AN234" s="134"/>
      <c r="AO234" s="134"/>
    </row>
    <row r="235" ht="14.25" customHeight="1">
      <c r="A235" s="134"/>
      <c r="B235" s="134"/>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c r="Y235" s="134"/>
      <c r="Z235" s="134"/>
      <c r="AA235" s="134"/>
      <c r="AB235" s="134"/>
      <c r="AC235" s="134"/>
      <c r="AD235" s="134"/>
      <c r="AE235" s="134"/>
      <c r="AF235" s="134"/>
      <c r="AG235" s="134"/>
      <c r="AH235" s="134"/>
      <c r="AI235" s="134"/>
      <c r="AJ235" s="134"/>
      <c r="AK235" s="134"/>
      <c r="AL235" s="134"/>
      <c r="AM235" s="134"/>
      <c r="AN235" s="134"/>
      <c r="AO235" s="134"/>
    </row>
    <row r="236" ht="14.25" customHeight="1">
      <c r="A236" s="134"/>
      <c r="B236" s="134"/>
      <c r="C236" s="134"/>
      <c r="D236" s="134"/>
      <c r="E236" s="134"/>
      <c r="F236" s="134"/>
      <c r="G236" s="134"/>
      <c r="H236" s="134"/>
      <c r="I236" s="134"/>
      <c r="J236" s="134"/>
      <c r="K236" s="134"/>
      <c r="L236" s="134"/>
      <c r="M236" s="134"/>
      <c r="N236" s="134"/>
      <c r="O236" s="134"/>
      <c r="P236" s="134"/>
      <c r="Q236" s="134"/>
      <c r="R236" s="134"/>
      <c r="S236" s="134"/>
      <c r="T236" s="134"/>
      <c r="U236" s="134"/>
      <c r="V236" s="134"/>
      <c r="W236" s="134"/>
      <c r="X236" s="134"/>
      <c r="Y236" s="134"/>
      <c r="Z236" s="134"/>
      <c r="AA236" s="134"/>
      <c r="AB236" s="134"/>
      <c r="AC236" s="134"/>
      <c r="AD236" s="134"/>
      <c r="AE236" s="134"/>
      <c r="AF236" s="134"/>
      <c r="AG236" s="134"/>
      <c r="AH236" s="134"/>
      <c r="AI236" s="134"/>
      <c r="AJ236" s="134"/>
      <c r="AK236" s="134"/>
      <c r="AL236" s="134"/>
      <c r="AM236" s="134"/>
      <c r="AN236" s="134"/>
      <c r="AO236" s="134"/>
    </row>
    <row r="237" ht="14.25" customHeight="1">
      <c r="A237" s="134"/>
      <c r="B237" s="134"/>
      <c r="C237" s="134"/>
      <c r="D237" s="134"/>
      <c r="E237" s="134"/>
      <c r="F237" s="134"/>
      <c r="G237" s="134"/>
      <c r="H237" s="134"/>
      <c r="I237" s="134"/>
      <c r="J237" s="134"/>
      <c r="K237" s="134"/>
      <c r="L237" s="134"/>
      <c r="M237" s="134"/>
      <c r="N237" s="134"/>
      <c r="O237" s="134"/>
      <c r="P237" s="134"/>
      <c r="Q237" s="134"/>
      <c r="R237" s="134"/>
      <c r="S237" s="134"/>
      <c r="T237" s="134"/>
      <c r="U237" s="134"/>
      <c r="V237" s="134"/>
      <c r="W237" s="134"/>
      <c r="X237" s="134"/>
      <c r="Y237" s="134"/>
      <c r="Z237" s="134"/>
      <c r="AA237" s="134"/>
      <c r="AB237" s="134"/>
      <c r="AC237" s="134"/>
      <c r="AD237" s="134"/>
      <c r="AE237" s="134"/>
      <c r="AF237" s="134"/>
      <c r="AG237" s="134"/>
      <c r="AH237" s="134"/>
      <c r="AI237" s="134"/>
      <c r="AJ237" s="134"/>
      <c r="AK237" s="134"/>
      <c r="AL237" s="134"/>
      <c r="AM237" s="134"/>
      <c r="AN237" s="134"/>
      <c r="AO237" s="134"/>
    </row>
    <row r="238" ht="14.25" customHeight="1">
      <c r="A238" s="134"/>
      <c r="B238" s="134"/>
      <c r="C238" s="134"/>
      <c r="D238" s="134"/>
      <c r="E238" s="134"/>
      <c r="F238" s="134"/>
      <c r="G238" s="134"/>
      <c r="H238" s="134"/>
      <c r="I238" s="134"/>
      <c r="J238" s="134"/>
      <c r="K238" s="134"/>
      <c r="L238" s="134"/>
      <c r="M238" s="134"/>
      <c r="N238" s="134"/>
      <c r="O238" s="134"/>
      <c r="P238" s="134"/>
      <c r="Q238" s="134"/>
      <c r="R238" s="134"/>
      <c r="S238" s="134"/>
      <c r="T238" s="134"/>
      <c r="U238" s="134"/>
      <c r="V238" s="134"/>
      <c r="W238" s="134"/>
      <c r="X238" s="134"/>
      <c r="Y238" s="134"/>
      <c r="Z238" s="134"/>
      <c r="AA238" s="134"/>
      <c r="AB238" s="134"/>
      <c r="AC238" s="134"/>
      <c r="AD238" s="134"/>
      <c r="AE238" s="134"/>
      <c r="AF238" s="134"/>
      <c r="AG238" s="134"/>
      <c r="AH238" s="134"/>
      <c r="AI238" s="134"/>
      <c r="AJ238" s="134"/>
      <c r="AK238" s="134"/>
      <c r="AL238" s="134"/>
      <c r="AM238" s="134"/>
      <c r="AN238" s="134"/>
      <c r="AO238" s="134"/>
    </row>
    <row r="239" ht="14.25" customHeight="1">
      <c r="A239" s="134"/>
      <c r="B239" s="134"/>
      <c r="C239" s="134"/>
      <c r="D239" s="134"/>
      <c r="E239" s="134"/>
      <c r="F239" s="134"/>
      <c r="G239" s="134"/>
      <c r="H239" s="134"/>
      <c r="I239" s="134"/>
      <c r="J239" s="134"/>
      <c r="K239" s="134"/>
      <c r="L239" s="134"/>
      <c r="M239" s="134"/>
      <c r="N239" s="134"/>
      <c r="O239" s="134"/>
      <c r="P239" s="134"/>
      <c r="Q239" s="134"/>
      <c r="R239" s="134"/>
      <c r="S239" s="134"/>
      <c r="T239" s="134"/>
      <c r="U239" s="134"/>
      <c r="V239" s="134"/>
      <c r="W239" s="134"/>
      <c r="X239" s="134"/>
      <c r="Y239" s="134"/>
      <c r="Z239" s="134"/>
      <c r="AA239" s="134"/>
      <c r="AB239" s="134"/>
      <c r="AC239" s="134"/>
      <c r="AD239" s="134"/>
      <c r="AE239" s="134"/>
      <c r="AF239" s="134"/>
      <c r="AG239" s="134"/>
      <c r="AH239" s="134"/>
      <c r="AI239" s="134"/>
      <c r="AJ239" s="134"/>
      <c r="AK239" s="134"/>
      <c r="AL239" s="134"/>
      <c r="AM239" s="134"/>
      <c r="AN239" s="134"/>
      <c r="AO239" s="134"/>
    </row>
    <row r="240" ht="14.25" customHeight="1">
      <c r="A240" s="134"/>
      <c r="B240" s="134"/>
      <c r="C240" s="134"/>
      <c r="D240" s="134"/>
      <c r="E240" s="134"/>
      <c r="F240" s="134"/>
      <c r="G240" s="134"/>
      <c r="H240" s="134"/>
      <c r="I240" s="134"/>
      <c r="J240" s="134"/>
      <c r="K240" s="134"/>
      <c r="L240" s="134"/>
      <c r="M240" s="134"/>
      <c r="N240" s="134"/>
      <c r="O240" s="134"/>
      <c r="P240" s="134"/>
      <c r="Q240" s="134"/>
      <c r="R240" s="134"/>
      <c r="S240" s="134"/>
      <c r="T240" s="134"/>
      <c r="U240" s="134"/>
      <c r="V240" s="134"/>
      <c r="W240" s="134"/>
      <c r="X240" s="134"/>
      <c r="Y240" s="134"/>
      <c r="Z240" s="134"/>
      <c r="AA240" s="134"/>
      <c r="AB240" s="134"/>
      <c r="AC240" s="134"/>
      <c r="AD240" s="134"/>
      <c r="AE240" s="134"/>
      <c r="AF240" s="134"/>
      <c r="AG240" s="134"/>
      <c r="AH240" s="134"/>
      <c r="AI240" s="134"/>
      <c r="AJ240" s="134"/>
      <c r="AK240" s="134"/>
      <c r="AL240" s="134"/>
      <c r="AM240" s="134"/>
      <c r="AN240" s="134"/>
      <c r="AO240" s="134"/>
    </row>
    <row r="241" ht="14.25" customHeight="1">
      <c r="A241" s="134"/>
      <c r="B241" s="134"/>
      <c r="C241" s="134"/>
      <c r="D241" s="134"/>
      <c r="E241" s="134"/>
      <c r="F241" s="134"/>
      <c r="G241" s="134"/>
      <c r="H241" s="134"/>
      <c r="I241" s="134"/>
      <c r="J241" s="134"/>
      <c r="K241" s="134"/>
      <c r="L241" s="134"/>
      <c r="M241" s="134"/>
      <c r="N241" s="134"/>
      <c r="O241" s="134"/>
      <c r="P241" s="134"/>
      <c r="Q241" s="134"/>
      <c r="R241" s="134"/>
      <c r="S241" s="134"/>
      <c r="T241" s="134"/>
      <c r="U241" s="134"/>
      <c r="V241" s="134"/>
      <c r="W241" s="134"/>
      <c r="X241" s="134"/>
      <c r="Y241" s="134"/>
      <c r="Z241" s="134"/>
      <c r="AA241" s="134"/>
      <c r="AB241" s="134"/>
      <c r="AC241" s="134"/>
      <c r="AD241" s="134"/>
      <c r="AE241" s="134"/>
      <c r="AF241" s="134"/>
      <c r="AG241" s="134"/>
      <c r="AH241" s="134"/>
      <c r="AI241" s="134"/>
      <c r="AJ241" s="134"/>
      <c r="AK241" s="134"/>
      <c r="AL241" s="134"/>
      <c r="AM241" s="134"/>
      <c r="AN241" s="134"/>
      <c r="AO241" s="134"/>
    </row>
    <row r="242" ht="14.25" customHeight="1">
      <c r="A242" s="134"/>
      <c r="B242" s="134"/>
      <c r="C242" s="134"/>
      <c r="D242" s="134"/>
      <c r="E242" s="134"/>
      <c r="F242" s="134"/>
      <c r="G242" s="134"/>
      <c r="H242" s="134"/>
      <c r="I242" s="134"/>
      <c r="J242" s="134"/>
      <c r="K242" s="134"/>
      <c r="L242" s="134"/>
      <c r="M242" s="134"/>
      <c r="N242" s="134"/>
      <c r="O242" s="134"/>
      <c r="P242" s="134"/>
      <c r="Q242" s="134"/>
      <c r="R242" s="134"/>
      <c r="S242" s="134"/>
      <c r="T242" s="134"/>
      <c r="U242" s="134"/>
      <c r="V242" s="134"/>
      <c r="W242" s="134"/>
      <c r="X242" s="134"/>
      <c r="Y242" s="134"/>
      <c r="Z242" s="134"/>
      <c r="AA242" s="134"/>
      <c r="AB242" s="134"/>
      <c r="AC242" s="134"/>
      <c r="AD242" s="134"/>
      <c r="AE242" s="134"/>
      <c r="AF242" s="134"/>
      <c r="AG242" s="134"/>
      <c r="AH242" s="134"/>
      <c r="AI242" s="134"/>
      <c r="AJ242" s="134"/>
      <c r="AK242" s="134"/>
      <c r="AL242" s="134"/>
      <c r="AM242" s="134"/>
      <c r="AN242" s="134"/>
      <c r="AO242" s="134"/>
    </row>
    <row r="243" ht="14.25" customHeight="1">
      <c r="A243" s="134"/>
      <c r="B243" s="134"/>
      <c r="C243" s="134"/>
      <c r="D243" s="134"/>
      <c r="E243" s="134"/>
      <c r="F243" s="134"/>
      <c r="G243" s="134"/>
      <c r="H243" s="134"/>
      <c r="I243" s="134"/>
      <c r="J243" s="134"/>
      <c r="K243" s="134"/>
      <c r="L243" s="134"/>
      <c r="M243" s="134"/>
      <c r="N243" s="134"/>
      <c r="O243" s="134"/>
      <c r="P243" s="134"/>
      <c r="Q243" s="134"/>
      <c r="R243" s="134"/>
      <c r="S243" s="134"/>
      <c r="T243" s="134"/>
      <c r="U243" s="134"/>
      <c r="V243" s="134"/>
      <c r="W243" s="134"/>
      <c r="X243" s="134"/>
      <c r="Y243" s="134"/>
      <c r="Z243" s="134"/>
      <c r="AA243" s="134"/>
      <c r="AB243" s="134"/>
      <c r="AC243" s="134"/>
      <c r="AD243" s="134"/>
      <c r="AE243" s="134"/>
      <c r="AF243" s="134"/>
      <c r="AG243" s="134"/>
      <c r="AH243" s="134"/>
      <c r="AI243" s="134"/>
      <c r="AJ243" s="134"/>
      <c r="AK243" s="134"/>
      <c r="AL243" s="134"/>
      <c r="AM243" s="134"/>
      <c r="AN243" s="134"/>
      <c r="AO243" s="134"/>
    </row>
    <row r="244" ht="14.25" customHeight="1">
      <c r="A244" s="134"/>
      <c r="B244" s="134"/>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c r="Y244" s="134"/>
      <c r="Z244" s="134"/>
      <c r="AA244" s="134"/>
      <c r="AB244" s="134"/>
      <c r="AC244" s="134"/>
      <c r="AD244" s="134"/>
      <c r="AE244" s="134"/>
      <c r="AF244" s="134"/>
      <c r="AG244" s="134"/>
      <c r="AH244" s="134"/>
      <c r="AI244" s="134"/>
      <c r="AJ244" s="134"/>
      <c r="AK244" s="134"/>
      <c r="AL244" s="134"/>
      <c r="AM244" s="134"/>
      <c r="AN244" s="134"/>
      <c r="AO244" s="134"/>
    </row>
    <row r="245" ht="14.25" customHeight="1">
      <c r="A245" s="134"/>
      <c r="B245" s="134"/>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c r="Y245" s="134"/>
      <c r="Z245" s="134"/>
      <c r="AA245" s="134"/>
      <c r="AB245" s="134"/>
      <c r="AC245" s="134"/>
      <c r="AD245" s="134"/>
      <c r="AE245" s="134"/>
      <c r="AF245" s="134"/>
      <c r="AG245" s="134"/>
      <c r="AH245" s="134"/>
      <c r="AI245" s="134"/>
      <c r="AJ245" s="134"/>
      <c r="AK245" s="134"/>
      <c r="AL245" s="134"/>
      <c r="AM245" s="134"/>
      <c r="AN245" s="134"/>
      <c r="AO245" s="134"/>
    </row>
    <row r="246" ht="14.25" customHeight="1">
      <c r="A246" s="134"/>
      <c r="B246" s="134"/>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c r="Y246" s="134"/>
      <c r="Z246" s="134"/>
      <c r="AA246" s="134"/>
      <c r="AB246" s="134"/>
      <c r="AC246" s="134"/>
      <c r="AD246" s="134"/>
      <c r="AE246" s="134"/>
      <c r="AF246" s="134"/>
      <c r="AG246" s="134"/>
      <c r="AH246" s="134"/>
      <c r="AI246" s="134"/>
      <c r="AJ246" s="134"/>
      <c r="AK246" s="134"/>
      <c r="AL246" s="134"/>
      <c r="AM246" s="134"/>
      <c r="AN246" s="134"/>
      <c r="AO246" s="134"/>
    </row>
    <row r="247" ht="14.25" customHeight="1">
      <c r="A247" s="134"/>
      <c r="B247" s="134"/>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c r="Y247" s="134"/>
      <c r="Z247" s="134"/>
      <c r="AA247" s="134"/>
      <c r="AB247" s="134"/>
      <c r="AC247" s="134"/>
      <c r="AD247" s="134"/>
      <c r="AE247" s="134"/>
      <c r="AF247" s="134"/>
      <c r="AG247" s="134"/>
      <c r="AH247" s="134"/>
      <c r="AI247" s="134"/>
      <c r="AJ247" s="134"/>
      <c r="AK247" s="134"/>
      <c r="AL247" s="134"/>
      <c r="AM247" s="134"/>
      <c r="AN247" s="134"/>
      <c r="AO247" s="134"/>
    </row>
    <row r="248" ht="14.25" customHeight="1">
      <c r="A248" s="134"/>
      <c r="B248" s="134"/>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c r="Y248" s="134"/>
      <c r="Z248" s="134"/>
      <c r="AA248" s="134"/>
      <c r="AB248" s="134"/>
      <c r="AC248" s="134"/>
      <c r="AD248" s="134"/>
      <c r="AE248" s="134"/>
      <c r="AF248" s="134"/>
      <c r="AG248" s="134"/>
      <c r="AH248" s="134"/>
      <c r="AI248" s="134"/>
      <c r="AJ248" s="134"/>
      <c r="AK248" s="134"/>
      <c r="AL248" s="134"/>
      <c r="AM248" s="134"/>
      <c r="AN248" s="134"/>
      <c r="AO248" s="134"/>
    </row>
    <row r="249" ht="14.25" customHeight="1">
      <c r="A249" s="134"/>
      <c r="B249" s="134"/>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c r="Y249" s="134"/>
      <c r="Z249" s="134"/>
      <c r="AA249" s="134"/>
      <c r="AB249" s="134"/>
      <c r="AC249" s="134"/>
      <c r="AD249" s="134"/>
      <c r="AE249" s="134"/>
      <c r="AF249" s="134"/>
      <c r="AG249" s="134"/>
      <c r="AH249" s="134"/>
      <c r="AI249" s="134"/>
      <c r="AJ249" s="134"/>
      <c r="AK249" s="134"/>
      <c r="AL249" s="134"/>
      <c r="AM249" s="134"/>
      <c r="AN249" s="134"/>
      <c r="AO249" s="134"/>
    </row>
    <row r="250" ht="14.25" customHeight="1">
      <c r="A250" s="134"/>
      <c r="B250" s="134"/>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c r="Y250" s="134"/>
      <c r="Z250" s="134"/>
      <c r="AA250" s="134"/>
      <c r="AB250" s="134"/>
      <c r="AC250" s="134"/>
      <c r="AD250" s="134"/>
      <c r="AE250" s="134"/>
      <c r="AF250" s="134"/>
      <c r="AG250" s="134"/>
      <c r="AH250" s="134"/>
      <c r="AI250" s="134"/>
      <c r="AJ250" s="134"/>
      <c r="AK250" s="134"/>
      <c r="AL250" s="134"/>
      <c r="AM250" s="134"/>
      <c r="AN250" s="134"/>
      <c r="AO250" s="134"/>
    </row>
    <row r="251" ht="14.25" customHeight="1">
      <c r="A251" s="134"/>
      <c r="B251" s="134"/>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c r="Y251" s="134"/>
      <c r="Z251" s="134"/>
      <c r="AA251" s="134"/>
      <c r="AB251" s="134"/>
      <c r="AC251" s="134"/>
      <c r="AD251" s="134"/>
      <c r="AE251" s="134"/>
      <c r="AF251" s="134"/>
      <c r="AG251" s="134"/>
      <c r="AH251" s="134"/>
      <c r="AI251" s="134"/>
      <c r="AJ251" s="134"/>
      <c r="AK251" s="134"/>
      <c r="AL251" s="134"/>
      <c r="AM251" s="134"/>
      <c r="AN251" s="134"/>
      <c r="AO251" s="134"/>
    </row>
    <row r="252" ht="14.25" customHeight="1">
      <c r="A252" s="134"/>
      <c r="B252" s="134"/>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c r="Y252" s="134"/>
      <c r="Z252" s="134"/>
      <c r="AA252" s="134"/>
      <c r="AB252" s="134"/>
      <c r="AC252" s="134"/>
      <c r="AD252" s="134"/>
      <c r="AE252" s="134"/>
      <c r="AF252" s="134"/>
      <c r="AG252" s="134"/>
      <c r="AH252" s="134"/>
      <c r="AI252" s="134"/>
      <c r="AJ252" s="134"/>
      <c r="AK252" s="134"/>
      <c r="AL252" s="134"/>
      <c r="AM252" s="134"/>
      <c r="AN252" s="134"/>
      <c r="AO252" s="134"/>
    </row>
    <row r="253" ht="14.25" customHeight="1">
      <c r="A253" s="134"/>
      <c r="B253" s="134"/>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c r="Y253" s="134"/>
      <c r="Z253" s="134"/>
      <c r="AA253" s="134"/>
      <c r="AB253" s="134"/>
      <c r="AC253" s="134"/>
      <c r="AD253" s="134"/>
      <c r="AE253" s="134"/>
      <c r="AF253" s="134"/>
      <c r="AG253" s="134"/>
      <c r="AH253" s="134"/>
      <c r="AI253" s="134"/>
      <c r="AJ253" s="134"/>
      <c r="AK253" s="134"/>
      <c r="AL253" s="134"/>
      <c r="AM253" s="134"/>
      <c r="AN253" s="134"/>
      <c r="AO253" s="134"/>
    </row>
    <row r="254" ht="14.25" customHeight="1">
      <c r="A254" s="134"/>
      <c r="B254" s="134"/>
      <c r="C254" s="134"/>
      <c r="D254" s="134"/>
      <c r="E254" s="134"/>
      <c r="F254" s="134"/>
      <c r="G254" s="134"/>
      <c r="H254" s="134"/>
      <c r="I254" s="134"/>
      <c r="J254" s="134"/>
      <c r="K254" s="134"/>
      <c r="L254" s="134"/>
      <c r="M254" s="134"/>
      <c r="N254" s="134"/>
      <c r="O254" s="134"/>
      <c r="P254" s="134"/>
      <c r="Q254" s="134"/>
      <c r="R254" s="134"/>
      <c r="S254" s="134"/>
      <c r="T254" s="134"/>
      <c r="U254" s="134"/>
      <c r="V254" s="134"/>
      <c r="W254" s="134"/>
      <c r="X254" s="134"/>
      <c r="Y254" s="134"/>
      <c r="Z254" s="134"/>
      <c r="AA254" s="134"/>
      <c r="AB254" s="134"/>
      <c r="AC254" s="134"/>
      <c r="AD254" s="134"/>
      <c r="AE254" s="134"/>
      <c r="AF254" s="134"/>
      <c r="AG254" s="134"/>
      <c r="AH254" s="134"/>
      <c r="AI254" s="134"/>
      <c r="AJ254" s="134"/>
      <c r="AK254" s="134"/>
      <c r="AL254" s="134"/>
      <c r="AM254" s="134"/>
      <c r="AN254" s="134"/>
      <c r="AO254" s="134"/>
    </row>
    <row r="255" ht="14.25" customHeight="1">
      <c r="A255" s="134"/>
      <c r="B255" s="134"/>
      <c r="C255" s="134"/>
      <c r="D255" s="134"/>
      <c r="E255" s="134"/>
      <c r="F255" s="134"/>
      <c r="G255" s="134"/>
      <c r="H255" s="134"/>
      <c r="I255" s="134"/>
      <c r="J255" s="134"/>
      <c r="K255" s="134"/>
      <c r="L255" s="134"/>
      <c r="M255" s="134"/>
      <c r="N255" s="134"/>
      <c r="O255" s="134"/>
      <c r="P255" s="134"/>
      <c r="Q255" s="134"/>
      <c r="R255" s="134"/>
      <c r="S255" s="134"/>
      <c r="T255" s="134"/>
      <c r="U255" s="134"/>
      <c r="V255" s="134"/>
      <c r="W255" s="134"/>
      <c r="X255" s="134"/>
      <c r="Y255" s="134"/>
      <c r="Z255" s="134"/>
      <c r="AA255" s="134"/>
      <c r="AB255" s="134"/>
      <c r="AC255" s="134"/>
      <c r="AD255" s="134"/>
      <c r="AE255" s="134"/>
      <c r="AF255" s="134"/>
      <c r="AG255" s="134"/>
      <c r="AH255" s="134"/>
      <c r="AI255" s="134"/>
      <c r="AJ255" s="134"/>
      <c r="AK255" s="134"/>
      <c r="AL255" s="134"/>
      <c r="AM255" s="134"/>
      <c r="AN255" s="134"/>
      <c r="AO255" s="134"/>
    </row>
    <row r="256" ht="14.25" customHeight="1">
      <c r="A256" s="134"/>
      <c r="B256" s="134"/>
      <c r="C256" s="134"/>
      <c r="D256" s="134"/>
      <c r="E256" s="134"/>
      <c r="F256" s="134"/>
      <c r="G256" s="134"/>
      <c r="H256" s="134"/>
      <c r="I256" s="134"/>
      <c r="J256" s="134"/>
      <c r="K256" s="134"/>
      <c r="L256" s="134"/>
      <c r="M256" s="134"/>
      <c r="N256" s="134"/>
      <c r="O256" s="134"/>
      <c r="P256" s="134"/>
      <c r="Q256" s="134"/>
      <c r="R256" s="134"/>
      <c r="S256" s="134"/>
      <c r="T256" s="134"/>
      <c r="U256" s="134"/>
      <c r="V256" s="134"/>
      <c r="W256" s="134"/>
      <c r="X256" s="134"/>
      <c r="Y256" s="134"/>
      <c r="Z256" s="134"/>
      <c r="AA256" s="134"/>
      <c r="AB256" s="134"/>
      <c r="AC256" s="134"/>
      <c r="AD256" s="134"/>
      <c r="AE256" s="134"/>
      <c r="AF256" s="134"/>
      <c r="AG256" s="134"/>
      <c r="AH256" s="134"/>
      <c r="AI256" s="134"/>
      <c r="AJ256" s="134"/>
      <c r="AK256" s="134"/>
      <c r="AL256" s="134"/>
      <c r="AM256" s="134"/>
      <c r="AN256" s="134"/>
      <c r="AO256" s="134"/>
    </row>
    <row r="257" ht="14.25" customHeight="1">
      <c r="A257" s="134"/>
      <c r="B257" s="134"/>
      <c r="C257" s="134"/>
      <c r="D257" s="134"/>
      <c r="E257" s="134"/>
      <c r="F257" s="134"/>
      <c r="G257" s="134"/>
      <c r="H257" s="134"/>
      <c r="I257" s="134"/>
      <c r="J257" s="134"/>
      <c r="K257" s="134"/>
      <c r="L257" s="134"/>
      <c r="M257" s="134"/>
      <c r="N257" s="134"/>
      <c r="O257" s="134"/>
      <c r="P257" s="134"/>
      <c r="Q257" s="134"/>
      <c r="R257" s="134"/>
      <c r="S257" s="134"/>
      <c r="T257" s="134"/>
      <c r="U257" s="134"/>
      <c r="V257" s="134"/>
      <c r="W257" s="134"/>
      <c r="X257" s="134"/>
      <c r="Y257" s="134"/>
      <c r="Z257" s="134"/>
      <c r="AA257" s="134"/>
      <c r="AB257" s="134"/>
      <c r="AC257" s="134"/>
      <c r="AD257" s="134"/>
      <c r="AE257" s="134"/>
      <c r="AF257" s="134"/>
      <c r="AG257" s="134"/>
      <c r="AH257" s="134"/>
      <c r="AI257" s="134"/>
      <c r="AJ257" s="134"/>
      <c r="AK257" s="134"/>
      <c r="AL257" s="134"/>
      <c r="AM257" s="134"/>
      <c r="AN257" s="134"/>
      <c r="AO257" s="134"/>
    </row>
    <row r="258" ht="14.25" customHeight="1">
      <c r="A258" s="134"/>
      <c r="B258" s="134"/>
      <c r="C258" s="134"/>
      <c r="D258" s="134"/>
      <c r="E258" s="134"/>
      <c r="F258" s="134"/>
      <c r="G258" s="134"/>
      <c r="H258" s="134"/>
      <c r="I258" s="134"/>
      <c r="J258" s="134"/>
      <c r="K258" s="134"/>
      <c r="L258" s="134"/>
      <c r="M258" s="134"/>
      <c r="N258" s="134"/>
      <c r="O258" s="134"/>
      <c r="P258" s="134"/>
      <c r="Q258" s="134"/>
      <c r="R258" s="134"/>
      <c r="S258" s="134"/>
      <c r="T258" s="134"/>
      <c r="U258" s="134"/>
      <c r="V258" s="134"/>
      <c r="W258" s="134"/>
      <c r="X258" s="134"/>
      <c r="Y258" s="134"/>
      <c r="Z258" s="134"/>
      <c r="AA258" s="134"/>
      <c r="AB258" s="134"/>
      <c r="AC258" s="134"/>
      <c r="AD258" s="134"/>
      <c r="AE258" s="134"/>
      <c r="AF258" s="134"/>
      <c r="AG258" s="134"/>
      <c r="AH258" s="134"/>
      <c r="AI258" s="134"/>
      <c r="AJ258" s="134"/>
      <c r="AK258" s="134"/>
      <c r="AL258" s="134"/>
      <c r="AM258" s="134"/>
      <c r="AN258" s="134"/>
      <c r="AO258" s="134"/>
    </row>
    <row r="259" ht="14.25" customHeight="1">
      <c r="A259" s="134"/>
      <c r="B259" s="134"/>
      <c r="C259" s="134"/>
      <c r="D259" s="134"/>
      <c r="E259" s="134"/>
      <c r="F259" s="134"/>
      <c r="G259" s="134"/>
      <c r="H259" s="134"/>
      <c r="I259" s="134"/>
      <c r="J259" s="134"/>
      <c r="K259" s="134"/>
      <c r="L259" s="134"/>
      <c r="M259" s="134"/>
      <c r="N259" s="134"/>
      <c r="O259" s="134"/>
      <c r="P259" s="134"/>
      <c r="Q259" s="134"/>
      <c r="R259" s="134"/>
      <c r="S259" s="134"/>
      <c r="T259" s="134"/>
      <c r="U259" s="134"/>
      <c r="V259" s="134"/>
      <c r="W259" s="134"/>
      <c r="X259" s="134"/>
      <c r="Y259" s="134"/>
      <c r="Z259" s="134"/>
      <c r="AA259" s="134"/>
      <c r="AB259" s="134"/>
      <c r="AC259" s="134"/>
      <c r="AD259" s="134"/>
      <c r="AE259" s="134"/>
      <c r="AF259" s="134"/>
      <c r="AG259" s="134"/>
      <c r="AH259" s="134"/>
      <c r="AI259" s="134"/>
      <c r="AJ259" s="134"/>
      <c r="AK259" s="134"/>
      <c r="AL259" s="134"/>
      <c r="AM259" s="134"/>
      <c r="AN259" s="134"/>
      <c r="AO259" s="134"/>
    </row>
    <row r="260" ht="14.25" customHeight="1">
      <c r="A260" s="134"/>
      <c r="B260" s="134"/>
      <c r="C260" s="134"/>
      <c r="D260" s="134"/>
      <c r="E260" s="134"/>
      <c r="F260" s="134"/>
      <c r="G260" s="134"/>
      <c r="H260" s="134"/>
      <c r="I260" s="134"/>
      <c r="J260" s="134"/>
      <c r="K260" s="134"/>
      <c r="L260" s="134"/>
      <c r="M260" s="134"/>
      <c r="N260" s="134"/>
      <c r="O260" s="134"/>
      <c r="P260" s="134"/>
      <c r="Q260" s="134"/>
      <c r="R260" s="134"/>
      <c r="S260" s="134"/>
      <c r="T260" s="134"/>
      <c r="U260" s="134"/>
      <c r="V260" s="134"/>
      <c r="W260" s="134"/>
      <c r="X260" s="134"/>
      <c r="Y260" s="134"/>
      <c r="Z260" s="134"/>
      <c r="AA260" s="134"/>
      <c r="AB260" s="134"/>
      <c r="AC260" s="134"/>
      <c r="AD260" s="134"/>
      <c r="AE260" s="134"/>
      <c r="AF260" s="134"/>
      <c r="AG260" s="134"/>
      <c r="AH260" s="134"/>
      <c r="AI260" s="134"/>
      <c r="AJ260" s="134"/>
      <c r="AK260" s="134"/>
      <c r="AL260" s="134"/>
      <c r="AM260" s="134"/>
      <c r="AN260" s="134"/>
      <c r="AO260" s="134"/>
    </row>
    <row r="261" ht="14.25" customHeight="1">
      <c r="A261" s="134"/>
      <c r="B261" s="134"/>
      <c r="C261" s="134"/>
      <c r="D261" s="134"/>
      <c r="E261" s="134"/>
      <c r="F261" s="134"/>
      <c r="G261" s="134"/>
      <c r="H261" s="134"/>
      <c r="I261" s="134"/>
      <c r="J261" s="134"/>
      <c r="K261" s="134"/>
      <c r="L261" s="134"/>
      <c r="M261" s="134"/>
      <c r="N261" s="134"/>
      <c r="O261" s="134"/>
      <c r="P261" s="134"/>
      <c r="Q261" s="134"/>
      <c r="R261" s="134"/>
      <c r="S261" s="134"/>
      <c r="T261" s="134"/>
      <c r="U261" s="134"/>
      <c r="V261" s="134"/>
      <c r="W261" s="134"/>
      <c r="X261" s="134"/>
      <c r="Y261" s="134"/>
      <c r="Z261" s="134"/>
      <c r="AA261" s="134"/>
      <c r="AB261" s="134"/>
      <c r="AC261" s="134"/>
      <c r="AD261" s="134"/>
      <c r="AE261" s="134"/>
      <c r="AF261" s="134"/>
      <c r="AG261" s="134"/>
      <c r="AH261" s="134"/>
      <c r="AI261" s="134"/>
      <c r="AJ261" s="134"/>
      <c r="AK261" s="134"/>
      <c r="AL261" s="134"/>
      <c r="AM261" s="134"/>
      <c r="AN261" s="134"/>
      <c r="AO261" s="134"/>
    </row>
    <row r="262" ht="14.25" customHeight="1">
      <c r="A262" s="134"/>
      <c r="B262" s="134"/>
      <c r="C262" s="134"/>
      <c r="D262" s="134"/>
      <c r="E262" s="134"/>
      <c r="F262" s="134"/>
      <c r="G262" s="134"/>
      <c r="H262" s="134"/>
      <c r="I262" s="134"/>
      <c r="J262" s="134"/>
      <c r="K262" s="134"/>
      <c r="L262" s="134"/>
      <c r="M262" s="134"/>
      <c r="N262" s="134"/>
      <c r="O262" s="134"/>
      <c r="P262" s="134"/>
      <c r="Q262" s="134"/>
      <c r="R262" s="134"/>
      <c r="S262" s="134"/>
      <c r="T262" s="134"/>
      <c r="U262" s="134"/>
      <c r="V262" s="134"/>
      <c r="W262" s="134"/>
      <c r="X262" s="134"/>
      <c r="Y262" s="134"/>
      <c r="Z262" s="134"/>
      <c r="AA262" s="134"/>
      <c r="AB262" s="134"/>
      <c r="AC262" s="134"/>
      <c r="AD262" s="134"/>
      <c r="AE262" s="134"/>
      <c r="AF262" s="134"/>
      <c r="AG262" s="134"/>
      <c r="AH262" s="134"/>
      <c r="AI262" s="134"/>
      <c r="AJ262" s="134"/>
      <c r="AK262" s="134"/>
      <c r="AL262" s="134"/>
      <c r="AM262" s="134"/>
      <c r="AN262" s="134"/>
      <c r="AO262" s="134"/>
    </row>
    <row r="263" ht="14.25" customHeight="1">
      <c r="A263" s="134"/>
      <c r="B263" s="134"/>
      <c r="C263" s="134"/>
      <c r="D263" s="134"/>
      <c r="E263" s="134"/>
      <c r="F263" s="134"/>
      <c r="G263" s="134"/>
      <c r="H263" s="134"/>
      <c r="I263" s="134"/>
      <c r="J263" s="134"/>
      <c r="K263" s="134"/>
      <c r="L263" s="134"/>
      <c r="M263" s="134"/>
      <c r="N263" s="134"/>
      <c r="O263" s="134"/>
      <c r="P263" s="134"/>
      <c r="Q263" s="134"/>
      <c r="R263" s="134"/>
      <c r="S263" s="134"/>
      <c r="T263" s="134"/>
      <c r="U263" s="134"/>
      <c r="V263" s="134"/>
      <c r="W263" s="134"/>
      <c r="X263" s="134"/>
      <c r="Y263" s="134"/>
      <c r="Z263" s="134"/>
      <c r="AA263" s="134"/>
      <c r="AB263" s="134"/>
      <c r="AC263" s="134"/>
      <c r="AD263" s="134"/>
      <c r="AE263" s="134"/>
      <c r="AF263" s="134"/>
      <c r="AG263" s="134"/>
      <c r="AH263" s="134"/>
      <c r="AI263" s="134"/>
      <c r="AJ263" s="134"/>
      <c r="AK263" s="134"/>
      <c r="AL263" s="134"/>
      <c r="AM263" s="134"/>
      <c r="AN263" s="134"/>
      <c r="AO263" s="134"/>
    </row>
    <row r="264" ht="14.25" customHeight="1">
      <c r="A264" s="134"/>
      <c r="B264" s="134"/>
      <c r="C264" s="134"/>
      <c r="D264" s="134"/>
      <c r="E264" s="134"/>
      <c r="F264" s="134"/>
      <c r="G264" s="134"/>
      <c r="H264" s="134"/>
      <c r="I264" s="134"/>
      <c r="J264" s="134"/>
      <c r="K264" s="134"/>
      <c r="L264" s="134"/>
      <c r="M264" s="134"/>
      <c r="N264" s="134"/>
      <c r="O264" s="134"/>
      <c r="P264" s="134"/>
      <c r="Q264" s="134"/>
      <c r="R264" s="134"/>
      <c r="S264" s="134"/>
      <c r="T264" s="134"/>
      <c r="U264" s="134"/>
      <c r="V264" s="134"/>
      <c r="W264" s="134"/>
      <c r="X264" s="134"/>
      <c r="Y264" s="134"/>
      <c r="Z264" s="134"/>
      <c r="AA264" s="134"/>
      <c r="AB264" s="134"/>
      <c r="AC264" s="134"/>
      <c r="AD264" s="134"/>
      <c r="AE264" s="134"/>
      <c r="AF264" s="134"/>
      <c r="AG264" s="134"/>
      <c r="AH264" s="134"/>
      <c r="AI264" s="134"/>
      <c r="AJ264" s="134"/>
      <c r="AK264" s="134"/>
      <c r="AL264" s="134"/>
      <c r="AM264" s="134"/>
      <c r="AN264" s="134"/>
      <c r="AO264" s="134"/>
    </row>
    <row r="265" ht="14.25" customHeight="1">
      <c r="A265" s="134"/>
      <c r="B265" s="134"/>
      <c r="C265" s="134"/>
      <c r="D265" s="134"/>
      <c r="E265" s="134"/>
      <c r="F265" s="134"/>
      <c r="G265" s="134"/>
      <c r="H265" s="134"/>
      <c r="I265" s="134"/>
      <c r="J265" s="134"/>
      <c r="K265" s="134"/>
      <c r="L265" s="134"/>
      <c r="M265" s="134"/>
      <c r="N265" s="134"/>
      <c r="O265" s="134"/>
      <c r="P265" s="134"/>
      <c r="Q265" s="134"/>
      <c r="R265" s="134"/>
      <c r="S265" s="134"/>
      <c r="T265" s="134"/>
      <c r="U265" s="134"/>
      <c r="V265" s="134"/>
      <c r="W265" s="134"/>
      <c r="X265" s="134"/>
      <c r="Y265" s="134"/>
      <c r="Z265" s="134"/>
      <c r="AA265" s="134"/>
      <c r="AB265" s="134"/>
      <c r="AC265" s="134"/>
      <c r="AD265" s="134"/>
      <c r="AE265" s="134"/>
      <c r="AF265" s="134"/>
      <c r="AG265" s="134"/>
      <c r="AH265" s="134"/>
      <c r="AI265" s="134"/>
      <c r="AJ265" s="134"/>
      <c r="AK265" s="134"/>
      <c r="AL265" s="134"/>
      <c r="AM265" s="134"/>
      <c r="AN265" s="134"/>
      <c r="AO265" s="134"/>
    </row>
    <row r="266" ht="14.25" customHeight="1">
      <c r="A266" s="134"/>
      <c r="B266" s="134"/>
      <c r="C266" s="134"/>
      <c r="D266" s="134"/>
      <c r="E266" s="134"/>
      <c r="F266" s="134"/>
      <c r="G266" s="134"/>
      <c r="H266" s="134"/>
      <c r="I266" s="134"/>
      <c r="J266" s="134"/>
      <c r="K266" s="134"/>
      <c r="L266" s="134"/>
      <c r="M266" s="134"/>
      <c r="N266" s="134"/>
      <c r="O266" s="134"/>
      <c r="P266" s="134"/>
      <c r="Q266" s="134"/>
      <c r="R266" s="134"/>
      <c r="S266" s="134"/>
      <c r="T266" s="134"/>
      <c r="U266" s="134"/>
      <c r="V266" s="134"/>
      <c r="W266" s="134"/>
      <c r="X266" s="134"/>
      <c r="Y266" s="134"/>
      <c r="Z266" s="134"/>
      <c r="AA266" s="134"/>
      <c r="AB266" s="134"/>
      <c r="AC266" s="134"/>
      <c r="AD266" s="134"/>
      <c r="AE266" s="134"/>
      <c r="AF266" s="134"/>
      <c r="AG266" s="134"/>
      <c r="AH266" s="134"/>
      <c r="AI266" s="134"/>
      <c r="AJ266" s="134"/>
      <c r="AK266" s="134"/>
      <c r="AL266" s="134"/>
      <c r="AM266" s="134"/>
      <c r="AN266" s="134"/>
      <c r="AO266" s="134"/>
    </row>
    <row r="267" ht="14.25" customHeight="1">
      <c r="A267" s="134"/>
      <c r="B267" s="134"/>
      <c r="C267" s="134"/>
      <c r="D267" s="134"/>
      <c r="E267" s="134"/>
      <c r="F267" s="134"/>
      <c r="G267" s="134"/>
      <c r="H267" s="134"/>
      <c r="I267" s="134"/>
      <c r="J267" s="134"/>
      <c r="K267" s="134"/>
      <c r="L267" s="134"/>
      <c r="M267" s="134"/>
      <c r="N267" s="134"/>
      <c r="O267" s="134"/>
      <c r="P267" s="134"/>
      <c r="Q267" s="134"/>
      <c r="R267" s="134"/>
      <c r="S267" s="134"/>
      <c r="T267" s="134"/>
      <c r="U267" s="134"/>
      <c r="V267" s="134"/>
      <c r="W267" s="134"/>
      <c r="X267" s="134"/>
      <c r="Y267" s="134"/>
      <c r="Z267" s="134"/>
      <c r="AA267" s="134"/>
      <c r="AB267" s="134"/>
      <c r="AC267" s="134"/>
      <c r="AD267" s="134"/>
      <c r="AE267" s="134"/>
      <c r="AF267" s="134"/>
      <c r="AG267" s="134"/>
      <c r="AH267" s="134"/>
      <c r="AI267" s="134"/>
      <c r="AJ267" s="134"/>
      <c r="AK267" s="134"/>
      <c r="AL267" s="134"/>
      <c r="AM267" s="134"/>
      <c r="AN267" s="134"/>
      <c r="AO267" s="134"/>
    </row>
    <row r="268" ht="14.25" customHeight="1">
      <c r="A268" s="134"/>
      <c r="B268" s="134"/>
      <c r="C268" s="134"/>
      <c r="D268" s="134"/>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c r="AF268" s="134"/>
      <c r="AG268" s="134"/>
      <c r="AH268" s="134"/>
      <c r="AI268" s="134"/>
      <c r="AJ268" s="134"/>
      <c r="AK268" s="134"/>
      <c r="AL268" s="134"/>
      <c r="AM268" s="134"/>
      <c r="AN268" s="134"/>
      <c r="AO268" s="134"/>
    </row>
    <row r="269" ht="14.25" customHeight="1">
      <c r="A269" s="134"/>
      <c r="B269" s="134"/>
      <c r="C269" s="134"/>
      <c r="D269" s="134"/>
      <c r="E269" s="134"/>
      <c r="F269" s="134"/>
      <c r="G269" s="134"/>
      <c r="H269" s="134"/>
      <c r="I269" s="134"/>
      <c r="J269" s="134"/>
      <c r="K269" s="134"/>
      <c r="L269" s="134"/>
      <c r="M269" s="134"/>
      <c r="N269" s="134"/>
      <c r="O269" s="134"/>
      <c r="P269" s="134"/>
      <c r="Q269" s="134"/>
      <c r="R269" s="134"/>
      <c r="S269" s="134"/>
      <c r="T269" s="134"/>
      <c r="U269" s="134"/>
      <c r="V269" s="134"/>
      <c r="W269" s="134"/>
      <c r="X269" s="134"/>
      <c r="Y269" s="134"/>
      <c r="Z269" s="134"/>
      <c r="AA269" s="134"/>
      <c r="AB269" s="134"/>
      <c r="AC269" s="134"/>
      <c r="AD269" s="134"/>
      <c r="AE269" s="134"/>
      <c r="AF269" s="134"/>
      <c r="AG269" s="134"/>
      <c r="AH269" s="134"/>
      <c r="AI269" s="134"/>
      <c r="AJ269" s="134"/>
      <c r="AK269" s="134"/>
      <c r="AL269" s="134"/>
      <c r="AM269" s="134"/>
      <c r="AN269" s="134"/>
      <c r="AO269" s="134"/>
    </row>
    <row r="270" ht="14.25" customHeight="1">
      <c r="A270" s="134"/>
      <c r="B270" s="134"/>
      <c r="C270" s="134"/>
      <c r="D270" s="134"/>
      <c r="E270" s="134"/>
      <c r="F270" s="134"/>
      <c r="G270" s="134"/>
      <c r="H270" s="134"/>
      <c r="I270" s="134"/>
      <c r="J270" s="134"/>
      <c r="K270" s="134"/>
      <c r="L270" s="134"/>
      <c r="M270" s="134"/>
      <c r="N270" s="134"/>
      <c r="O270" s="134"/>
      <c r="P270" s="134"/>
      <c r="Q270" s="134"/>
      <c r="R270" s="134"/>
      <c r="S270" s="134"/>
      <c r="T270" s="134"/>
      <c r="U270" s="134"/>
      <c r="V270" s="134"/>
      <c r="W270" s="134"/>
      <c r="X270" s="134"/>
      <c r="Y270" s="134"/>
      <c r="Z270" s="134"/>
      <c r="AA270" s="134"/>
      <c r="AB270" s="134"/>
      <c r="AC270" s="134"/>
      <c r="AD270" s="134"/>
      <c r="AE270" s="134"/>
      <c r="AF270" s="134"/>
      <c r="AG270" s="134"/>
      <c r="AH270" s="134"/>
      <c r="AI270" s="134"/>
      <c r="AJ270" s="134"/>
      <c r="AK270" s="134"/>
      <c r="AL270" s="134"/>
      <c r="AM270" s="134"/>
      <c r="AN270" s="134"/>
      <c r="AO270" s="134"/>
    </row>
    <row r="271" ht="14.25" customHeight="1">
      <c r="A271" s="134"/>
      <c r="B271" s="134"/>
      <c r="C271" s="134"/>
      <c r="D271" s="134"/>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c r="AF271" s="134"/>
      <c r="AG271" s="134"/>
      <c r="AH271" s="134"/>
      <c r="AI271" s="134"/>
      <c r="AJ271" s="134"/>
      <c r="AK271" s="134"/>
      <c r="AL271" s="134"/>
      <c r="AM271" s="134"/>
      <c r="AN271" s="134"/>
      <c r="AO271" s="134"/>
    </row>
    <row r="272" ht="14.25" customHeight="1">
      <c r="A272" s="134"/>
      <c r="B272" s="134"/>
      <c r="C272" s="134"/>
      <c r="D272" s="134"/>
      <c r="E272" s="134"/>
      <c r="F272" s="134"/>
      <c r="G272" s="134"/>
      <c r="H272" s="134"/>
      <c r="I272" s="134"/>
      <c r="J272" s="134"/>
      <c r="K272" s="134"/>
      <c r="L272" s="134"/>
      <c r="M272" s="134"/>
      <c r="N272" s="134"/>
      <c r="O272" s="134"/>
      <c r="P272" s="134"/>
      <c r="Q272" s="134"/>
      <c r="R272" s="134"/>
      <c r="S272" s="134"/>
      <c r="T272" s="134"/>
      <c r="U272" s="134"/>
      <c r="V272" s="134"/>
      <c r="W272" s="134"/>
      <c r="X272" s="134"/>
      <c r="Y272" s="134"/>
      <c r="Z272" s="134"/>
      <c r="AA272" s="134"/>
      <c r="AB272" s="134"/>
      <c r="AC272" s="134"/>
      <c r="AD272" s="134"/>
      <c r="AE272" s="134"/>
      <c r="AF272" s="134"/>
      <c r="AG272" s="134"/>
      <c r="AH272" s="134"/>
      <c r="AI272" s="134"/>
      <c r="AJ272" s="134"/>
      <c r="AK272" s="134"/>
      <c r="AL272" s="134"/>
      <c r="AM272" s="134"/>
      <c r="AN272" s="134"/>
      <c r="AO272" s="134"/>
    </row>
    <row r="273" ht="14.25" customHeight="1">
      <c r="A273" s="134"/>
      <c r="B273" s="134"/>
      <c r="C273" s="134"/>
      <c r="D273" s="134"/>
      <c r="E273" s="134"/>
      <c r="F273" s="134"/>
      <c r="G273" s="134"/>
      <c r="H273" s="134"/>
      <c r="I273" s="134"/>
      <c r="J273" s="134"/>
      <c r="K273" s="134"/>
      <c r="L273" s="134"/>
      <c r="M273" s="134"/>
      <c r="N273" s="134"/>
      <c r="O273" s="134"/>
      <c r="P273" s="134"/>
      <c r="Q273" s="134"/>
      <c r="R273" s="134"/>
      <c r="S273" s="134"/>
      <c r="T273" s="134"/>
      <c r="U273" s="134"/>
      <c r="V273" s="134"/>
      <c r="W273" s="134"/>
      <c r="X273" s="134"/>
      <c r="Y273" s="134"/>
      <c r="Z273" s="134"/>
      <c r="AA273" s="134"/>
      <c r="AB273" s="134"/>
      <c r="AC273" s="134"/>
      <c r="AD273" s="134"/>
      <c r="AE273" s="134"/>
      <c r="AF273" s="134"/>
      <c r="AG273" s="134"/>
      <c r="AH273" s="134"/>
      <c r="AI273" s="134"/>
      <c r="AJ273" s="134"/>
      <c r="AK273" s="134"/>
      <c r="AL273" s="134"/>
      <c r="AM273" s="134"/>
      <c r="AN273" s="134"/>
      <c r="AO273" s="134"/>
    </row>
    <row r="274" ht="14.25" customHeight="1">
      <c r="A274" s="134"/>
      <c r="B274" s="134"/>
      <c r="C274" s="134"/>
      <c r="D274" s="134"/>
      <c r="E274" s="134"/>
      <c r="F274" s="134"/>
      <c r="G274" s="134"/>
      <c r="H274" s="134"/>
      <c r="I274" s="134"/>
      <c r="J274" s="134"/>
      <c r="K274" s="134"/>
      <c r="L274" s="134"/>
      <c r="M274" s="134"/>
      <c r="N274" s="134"/>
      <c r="O274" s="134"/>
      <c r="P274" s="134"/>
      <c r="Q274" s="134"/>
      <c r="R274" s="134"/>
      <c r="S274" s="134"/>
      <c r="T274" s="134"/>
      <c r="U274" s="134"/>
      <c r="V274" s="134"/>
      <c r="W274" s="134"/>
      <c r="X274" s="134"/>
      <c r="Y274" s="134"/>
      <c r="Z274" s="134"/>
      <c r="AA274" s="134"/>
      <c r="AB274" s="134"/>
      <c r="AC274" s="134"/>
      <c r="AD274" s="134"/>
      <c r="AE274" s="134"/>
      <c r="AF274" s="134"/>
      <c r="AG274" s="134"/>
      <c r="AH274" s="134"/>
      <c r="AI274" s="134"/>
      <c r="AJ274" s="134"/>
      <c r="AK274" s="134"/>
      <c r="AL274" s="134"/>
      <c r="AM274" s="134"/>
      <c r="AN274" s="134"/>
      <c r="AO274" s="134"/>
    </row>
    <row r="275" ht="14.25" customHeight="1">
      <c r="A275" s="134"/>
      <c r="B275" s="168"/>
      <c r="C275" s="168"/>
      <c r="D275" s="168"/>
      <c r="E275" s="168"/>
      <c r="F275" s="168"/>
      <c r="G275" s="134"/>
      <c r="H275" s="134"/>
      <c r="I275" s="134"/>
      <c r="J275" s="134"/>
      <c r="K275" s="134"/>
      <c r="L275" s="134"/>
      <c r="M275" s="134"/>
      <c r="N275" s="134"/>
      <c r="O275" s="134"/>
      <c r="P275" s="134"/>
      <c r="Q275" s="134"/>
      <c r="R275" s="134"/>
      <c r="S275" s="134"/>
      <c r="T275" s="134"/>
      <c r="U275" s="134"/>
      <c r="V275" s="134"/>
      <c r="W275" s="134"/>
      <c r="X275" s="134"/>
      <c r="Y275" s="134"/>
      <c r="Z275" s="134"/>
      <c r="AA275" s="134"/>
      <c r="AB275" s="134"/>
      <c r="AC275" s="134"/>
      <c r="AD275" s="134"/>
      <c r="AE275" s="134"/>
      <c r="AF275" s="134"/>
      <c r="AG275" s="134"/>
      <c r="AH275" s="134"/>
      <c r="AI275" s="134"/>
      <c r="AJ275" s="134"/>
      <c r="AK275" s="134"/>
      <c r="AL275" s="134"/>
      <c r="AM275" s="134"/>
      <c r="AN275" s="134"/>
      <c r="AO275" s="134"/>
    </row>
    <row r="276" ht="14.25" customHeight="1">
      <c r="A276" s="168"/>
      <c r="B276" s="168"/>
      <c r="C276" s="168"/>
      <c r="D276" s="168"/>
      <c r="E276" s="168"/>
      <c r="F276" s="168"/>
      <c r="G276" s="134"/>
      <c r="H276" s="134"/>
      <c r="I276" s="134"/>
      <c r="J276" s="134"/>
      <c r="K276" s="134"/>
      <c r="L276" s="134"/>
      <c r="M276" s="134"/>
      <c r="N276" s="134"/>
      <c r="O276" s="134"/>
      <c r="P276" s="134"/>
      <c r="Q276" s="134"/>
      <c r="R276" s="134"/>
      <c r="S276" s="134"/>
      <c r="T276" s="134"/>
      <c r="U276" s="134"/>
      <c r="V276" s="134"/>
      <c r="W276" s="134"/>
      <c r="X276" s="134"/>
      <c r="Y276" s="134"/>
      <c r="Z276" s="134"/>
      <c r="AA276" s="134"/>
      <c r="AB276" s="134"/>
      <c r="AC276" s="134"/>
      <c r="AD276" s="134"/>
      <c r="AE276" s="134"/>
      <c r="AF276" s="134"/>
      <c r="AG276" s="134"/>
      <c r="AH276" s="134"/>
      <c r="AI276" s="134"/>
      <c r="AJ276" s="134"/>
      <c r="AK276" s="134"/>
      <c r="AL276" s="134"/>
      <c r="AM276" s="134"/>
      <c r="AN276" s="134"/>
      <c r="AO276" s="134"/>
    </row>
    <row r="277" ht="14.25" customHeight="1">
      <c r="A277" s="168"/>
      <c r="B277" s="168"/>
      <c r="C277" s="168"/>
      <c r="D277" s="168"/>
      <c r="E277" s="168"/>
      <c r="F277" s="168"/>
      <c r="G277" s="134"/>
      <c r="H277" s="134"/>
      <c r="I277" s="134"/>
      <c r="J277" s="134"/>
      <c r="K277" s="134"/>
      <c r="L277" s="134"/>
      <c r="M277" s="134"/>
      <c r="N277" s="134"/>
      <c r="O277" s="134"/>
      <c r="P277" s="134"/>
      <c r="Q277" s="134"/>
      <c r="R277" s="134"/>
      <c r="S277" s="134"/>
      <c r="T277" s="134"/>
      <c r="U277" s="134"/>
      <c r="V277" s="134"/>
      <c r="W277" s="134"/>
      <c r="X277" s="134"/>
      <c r="Y277" s="134"/>
      <c r="Z277" s="134"/>
      <c r="AA277" s="134"/>
      <c r="AB277" s="134"/>
      <c r="AC277" s="134"/>
      <c r="AD277" s="134"/>
      <c r="AE277" s="134"/>
      <c r="AF277" s="134"/>
      <c r="AG277" s="134"/>
      <c r="AH277" s="134"/>
      <c r="AI277" s="134"/>
      <c r="AJ277" s="134"/>
      <c r="AK277" s="134"/>
      <c r="AL277" s="134"/>
      <c r="AM277" s="134"/>
      <c r="AN277" s="134"/>
      <c r="AO277" s="134"/>
    </row>
    <row r="278" ht="14.25" customHeight="1">
      <c r="A278" s="168"/>
      <c r="B278" s="168"/>
      <c r="C278" s="168"/>
      <c r="D278" s="168"/>
      <c r="E278" s="168"/>
      <c r="F278" s="168"/>
      <c r="G278" s="134"/>
      <c r="H278" s="134"/>
      <c r="I278" s="134"/>
      <c r="J278" s="134"/>
      <c r="K278" s="134"/>
      <c r="L278" s="134"/>
      <c r="M278" s="134"/>
      <c r="N278" s="134"/>
      <c r="O278" s="134"/>
      <c r="P278" s="134"/>
      <c r="Q278" s="134"/>
      <c r="R278" s="134"/>
      <c r="S278" s="134"/>
      <c r="T278" s="134"/>
      <c r="U278" s="134"/>
      <c r="V278" s="134"/>
      <c r="W278" s="134"/>
      <c r="X278" s="134"/>
      <c r="Y278" s="134"/>
      <c r="Z278" s="134"/>
      <c r="AA278" s="134"/>
      <c r="AB278" s="134"/>
      <c r="AC278" s="134"/>
      <c r="AD278" s="134"/>
      <c r="AE278" s="134"/>
      <c r="AF278" s="134"/>
      <c r="AG278" s="134"/>
      <c r="AH278" s="134"/>
      <c r="AI278" s="134"/>
      <c r="AJ278" s="134"/>
      <c r="AK278" s="134"/>
      <c r="AL278" s="134"/>
      <c r="AM278" s="134"/>
      <c r="AN278" s="134"/>
      <c r="AO278" s="134"/>
    </row>
    <row r="279" ht="14.25" customHeight="1">
      <c r="A279" s="168"/>
      <c r="B279" s="168"/>
      <c r="C279" s="168"/>
      <c r="D279" s="168"/>
      <c r="E279" s="168"/>
      <c r="F279" s="168"/>
      <c r="G279" s="134"/>
      <c r="H279" s="134"/>
      <c r="I279" s="134"/>
      <c r="J279" s="134"/>
      <c r="K279" s="134"/>
      <c r="L279" s="134"/>
      <c r="M279" s="134"/>
      <c r="N279" s="134"/>
      <c r="O279" s="134"/>
      <c r="P279" s="134"/>
      <c r="Q279" s="134"/>
      <c r="R279" s="134"/>
      <c r="S279" s="134"/>
      <c r="T279" s="134"/>
      <c r="U279" s="134"/>
      <c r="V279" s="134"/>
      <c r="W279" s="134"/>
      <c r="X279" s="134"/>
      <c r="Y279" s="134"/>
      <c r="Z279" s="134"/>
      <c r="AA279" s="134"/>
      <c r="AB279" s="134"/>
      <c r="AC279" s="134"/>
      <c r="AD279" s="134"/>
      <c r="AE279" s="134"/>
      <c r="AF279" s="134"/>
      <c r="AG279" s="134"/>
      <c r="AH279" s="134"/>
      <c r="AI279" s="134"/>
      <c r="AJ279" s="134"/>
      <c r="AK279" s="134"/>
      <c r="AL279" s="134"/>
      <c r="AM279" s="134"/>
      <c r="AN279" s="134"/>
      <c r="AO279" s="134"/>
    </row>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decimal" operator="equal" allowBlank="1" showInputMessage="1" showErrorMessage="1" prompt="Fund Allocation Incorrect - Sum should be 100%" sqref="S12">
      <formula1>1.0</formula1>
    </dataValidation>
  </dataValidation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 customWidth="1" min="11" max="11" width="20.13"/>
    <col customWidth="1" min="13" max="13" width="16.88"/>
  </cols>
  <sheetData>
    <row r="1">
      <c r="A1" s="12"/>
      <c r="B1" s="36"/>
      <c r="C1" s="169"/>
      <c r="D1" s="36"/>
      <c r="E1" s="36"/>
      <c r="F1" s="170"/>
      <c r="G1" s="12"/>
      <c r="H1" s="36"/>
      <c r="I1" s="36"/>
      <c r="J1" s="170"/>
      <c r="K1" s="170"/>
      <c r="L1" s="12"/>
      <c r="M1" s="36"/>
      <c r="N1" s="12"/>
      <c r="O1" s="12"/>
      <c r="P1" s="12"/>
      <c r="Q1" s="12"/>
      <c r="R1" s="12"/>
      <c r="S1" s="12"/>
      <c r="T1" s="36"/>
    </row>
    <row r="2">
      <c r="A2" s="36"/>
      <c r="B2" s="36"/>
      <c r="C2" s="36"/>
      <c r="D2" s="36"/>
      <c r="E2" s="36"/>
      <c r="F2" s="36"/>
      <c r="G2" s="36"/>
      <c r="H2" s="36"/>
      <c r="I2" s="36"/>
      <c r="J2" s="36"/>
      <c r="K2" s="36"/>
      <c r="L2" s="12"/>
      <c r="M2" s="36"/>
      <c r="N2" s="12"/>
      <c r="O2" s="12"/>
      <c r="P2" s="12"/>
      <c r="Q2" s="12"/>
      <c r="R2" s="12"/>
      <c r="S2" s="12"/>
      <c r="T2" s="36"/>
    </row>
    <row r="3">
      <c r="A3" s="36"/>
      <c r="B3" s="36"/>
      <c r="C3" s="36"/>
      <c r="D3" s="36"/>
      <c r="E3" s="36"/>
      <c r="F3" s="36"/>
      <c r="G3" s="36"/>
      <c r="H3" s="36"/>
      <c r="I3" s="36"/>
      <c r="J3" s="36"/>
      <c r="K3" s="36"/>
      <c r="L3" s="12"/>
      <c r="M3" s="36"/>
      <c r="N3" s="12"/>
      <c r="O3" s="12"/>
      <c r="P3" s="12"/>
      <c r="Q3" s="12"/>
      <c r="R3" s="12"/>
      <c r="S3" s="12"/>
      <c r="T3" s="36"/>
    </row>
    <row r="4">
      <c r="A4" s="171" t="s">
        <v>251</v>
      </c>
      <c r="B4" s="171" t="s">
        <v>215</v>
      </c>
      <c r="C4" s="171" t="s">
        <v>252</v>
      </c>
      <c r="D4" s="171" t="s">
        <v>225</v>
      </c>
      <c r="E4" s="171" t="s">
        <v>253</v>
      </c>
      <c r="F4" s="171" t="s">
        <v>216</v>
      </c>
      <c r="G4" s="171" t="s">
        <v>254</v>
      </c>
      <c r="H4" s="171" t="s">
        <v>255</v>
      </c>
      <c r="I4" s="171" t="s">
        <v>256</v>
      </c>
      <c r="J4" s="171" t="s">
        <v>257</v>
      </c>
      <c r="K4" s="171" t="s">
        <v>258</v>
      </c>
      <c r="L4" s="171" t="s">
        <v>259</v>
      </c>
      <c r="M4" s="171" t="s">
        <v>260</v>
      </c>
      <c r="N4" s="171" t="s">
        <v>261</v>
      </c>
      <c r="O4" s="171" t="s">
        <v>262</v>
      </c>
      <c r="P4" s="171" t="s">
        <v>239</v>
      </c>
      <c r="Q4" s="171" t="s">
        <v>263</v>
      </c>
      <c r="R4" s="112" t="s">
        <v>221</v>
      </c>
      <c r="S4" s="112" t="s">
        <v>264</v>
      </c>
      <c r="T4" s="172">
        <f>(IRR(T7:T246)+1)^12-1</f>
        <v>0.0521542034</v>
      </c>
      <c r="U4" s="171" t="s">
        <v>265</v>
      </c>
      <c r="V4" s="171" t="s">
        <v>266</v>
      </c>
      <c r="W4" s="172">
        <f>(IRR(W7:W246)+1)^12-1</f>
        <v>0.05980209822</v>
      </c>
      <c r="X4" s="112" t="s">
        <v>267</v>
      </c>
      <c r="Y4" s="112" t="s">
        <v>268</v>
      </c>
      <c r="Z4" s="112" t="s">
        <v>269</v>
      </c>
    </row>
    <row r="5">
      <c r="A5" s="171"/>
      <c r="B5" s="171"/>
      <c r="C5" s="171"/>
      <c r="D5" s="171"/>
      <c r="E5" s="171"/>
      <c r="F5" s="171"/>
      <c r="G5" s="171"/>
      <c r="H5" s="171"/>
      <c r="I5" s="171"/>
      <c r="J5" s="171"/>
      <c r="K5" s="171"/>
      <c r="L5" s="171"/>
      <c r="M5" s="171"/>
      <c r="N5" s="171"/>
      <c r="O5" s="171"/>
      <c r="P5" s="171"/>
      <c r="Q5" s="171"/>
      <c r="R5" s="112"/>
      <c r="S5" s="112"/>
      <c r="T5" s="171"/>
      <c r="U5" s="171"/>
      <c r="V5" s="112"/>
      <c r="W5" s="112"/>
      <c r="X5" s="112"/>
      <c r="Y5" s="171"/>
      <c r="Z5" s="171"/>
    </row>
    <row r="6">
      <c r="A6" s="171">
        <f>'Pre-Calculation'!D12</f>
        <v>60</v>
      </c>
      <c r="B6" s="171"/>
      <c r="C6" s="171"/>
      <c r="D6" s="171"/>
      <c r="E6" s="171"/>
      <c r="F6" s="171"/>
      <c r="G6" s="173"/>
      <c r="H6" s="173"/>
      <c r="I6" s="173"/>
      <c r="J6" s="171"/>
      <c r="K6" s="171"/>
      <c r="L6" s="171"/>
      <c r="M6" s="171"/>
      <c r="N6" s="174">
        <f>SV+Revival!C14-SUM(Revival!D14:E14)*(1+Tax)-PW</f>
        <v>750000</v>
      </c>
      <c r="O6" s="171"/>
      <c r="P6" s="171"/>
      <c r="Q6" s="175">
        <f>Revival!C8+Revival!C14</f>
        <v>600000</v>
      </c>
      <c r="R6" s="118"/>
      <c r="S6" s="175">
        <f>SV</f>
        <v>650000</v>
      </c>
      <c r="T6" s="175"/>
      <c r="U6" s="171"/>
      <c r="V6" s="119">
        <f>N6</f>
        <v>750000</v>
      </c>
      <c r="W6" s="118"/>
      <c r="X6" s="112"/>
      <c r="Y6" s="171"/>
      <c r="Z6" s="171"/>
    </row>
    <row r="7">
      <c r="A7" s="171">
        <f t="shared" ref="A7:A246" si="1">A6+1</f>
        <v>61</v>
      </c>
      <c r="B7" s="171">
        <f t="shared" ref="B7:B246" si="2">_xlfn.CEILING.MATH(A7/12)</f>
        <v>6</v>
      </c>
      <c r="C7" s="176">
        <f>EDATE(RCD,A6)</f>
        <v>44377</v>
      </c>
      <c r="D7" s="171">
        <f>Age_At_Entry+'Cashflows_8%'!B7-1</f>
        <v>40</v>
      </c>
      <c r="E7" s="175">
        <f>IF(AND(C7&lt;=Last_Prem,MOD(A6,Mode)=0,C7&gt;INPUT!$C$13,A7&lt;=Revival!$C$11),Mod_Prem,0)</f>
        <v>0</v>
      </c>
      <c r="F7" s="177">
        <f>E7*VLOOKUP(B7,'Pre-Calculation'!$H$1:$I$31,2,FALSE)</f>
        <v>0</v>
      </c>
      <c r="G7" s="177">
        <f>IF(B7&lt;PT+1,VLOOKUP(B7,'Pre-Calculation'!$H$1:$L$32,3,FALSE)+VLOOKUP(B7,'Pre-Calculation'!$H$1:$L$32,4,FALSE)*'Pre-Calculation'!$D$7,0)</f>
        <v>830</v>
      </c>
      <c r="H7" s="175">
        <f>(E7-(F7+G7)*(1+Tax)+N6)</f>
        <v>749020.6</v>
      </c>
      <c r="I7" s="175">
        <f>IF(B7&lt;PT+1,VLOOKUP(D7,'Pre-Calculation'!$N$3:$P$79,IF(INPUT!$C$4="M",2,3),FALSE)*(J7/1000)*(1/12),0)</f>
        <v>37.69919738</v>
      </c>
      <c r="J7" s="175">
        <f t="shared" ref="J7:J246" si="3">MAX(0,(K7-H7))</f>
        <v>250979.4</v>
      </c>
      <c r="K7" s="175">
        <f>(IF('Pre-Calculation'!$D$17="Type 4 a",MAX(SA,H7,1.05*Q7),IF('Pre-Calculation'!$D$17="Type 4 c",H7,IF('Pre-Calculation'!$D$17="Type 4 d",SA+H7,IF('Pre-Calculation'!$D$17="Type 4 e",MAX(SA,H7),IF('Pre-Calculation'!$D$17="Type 4 f",SA,IF('Pre-Calculation'!$D$17="Type 4 g",1000+H7,IF('Pre-Calculation'!$D$17="Type 4 h",SA+X7,IF('Pre-Calculation'!$D$17="Type 4 i",MAX(H7,Q7),IF('Pre-Calculation'!$D$17="Type 4 k",MAX(H7,1.01*Q7),IF('Pre-Calculation'!$D$17="Type 4 m",MAX(105%*Q7,SA+H7),IF('Pre-Calculation'!$D$17="Type 4 o",MAX(SA,105%*Q7)+X7+Z7,IF('Pre-Calculation'!$D$17="Type 5",0)))))))))))))*IF(AND(A7&lt;Revival!$C$4,'Cashflows_8%'!C7&gt;=Revival!$D$12),PUP,1)</f>
        <v>1000000</v>
      </c>
      <c r="L7" s="175">
        <f>H7-I7*(1+Tax)</f>
        <v>748976.1149</v>
      </c>
      <c r="M7" s="175">
        <f>L7*(1+GROWTH_RATE_H)*(1-FMC*(1+Tax))</f>
        <v>752794.9311</v>
      </c>
      <c r="N7" s="175">
        <f>M7+IF(MOD(A7,B7)=0,VLOOKUP(B7,'Pre-Calculation'!$H$1:$L$31,5,FALSE),0)*IF('Pre-Calculation'!$D$16="% OF FV",M7,IF(OR('Pre-Calculation'!$D$16="% OF AFV(24M)",'Pre-Calculation'!$D$16="% OF AFV(8Q)"),AVERAGE( $M$7:$M7),IF('Pre-Calculation'!$D$16="% OF AFV(12M)",AVERAGE($M$7:M7),IF('Pre-Calculation'!$D$16="% OF AFV(36M)",AVERAGE($M$7:M7)))))</f>
        <v>752794.9311</v>
      </c>
      <c r="O7" s="175">
        <f t="shared" ref="O7:O246" si="4">N7</f>
        <v>752794.9311</v>
      </c>
      <c r="P7" s="175">
        <f>IF('Pre-Calculation'!$D$17="Type 4 a",MAX(SA,N7,1.05*Q7),IF('Pre-Calculation'!$D$17="Type 4 c",N7,IF('Pre-Calculation'!$D$17="Type 4 d",SA+N7,IF('Pre-Calculation'!$D$17="Type 4 e",MAX(SA,N7),IF('Pre-Calculation'!$D$17="Type 4 f",SA,IF('Pre-Calculation'!$D$17="Type 4 g",1000+N7,IF('Pre-Calculation'!$D$17="Type 4 h",SA+X7,IF('Pre-Calculation'!$D$17="Type 4 i",MAX(N7,Q7),IF('Pre-Calculation'!$D$17="Type 4 k",MAX(N7,1.01*Q7),IF('Pre-Calculation'!$D$17="Type 4 m",MAX(105%*Q7,SA+N7),IF('Pre-Calculation'!$D$17="Type 4 o",MAX(SA,105%*Q7)+X7+Z7,IF('Pre-Calculation'!$D$17="Type 5",0))))))))))))</f>
        <v>1000000</v>
      </c>
      <c r="Q7" s="175">
        <f t="shared" ref="Q7:Q246" si="5">Q6+E7</f>
        <v>600000</v>
      </c>
      <c r="R7" s="119">
        <f>L7*(1+GROWTH_RATE)*FMC</f>
        <v>847.5582643</v>
      </c>
      <c r="S7" s="178">
        <f>S6*(1+'Pre-Calculation'!$E$27)</f>
        <v>651866.0842</v>
      </c>
      <c r="T7" s="174">
        <f>-E7+IF(A6=INPUT!$C$11*12,N7,0)-N6</f>
        <v>-750000</v>
      </c>
      <c r="U7" s="175">
        <f t="shared" ref="U7:U246" si="6">V6+E7</f>
        <v>750000</v>
      </c>
      <c r="V7" s="175">
        <f>U7*(1+GROWTH_RATE_H)*(1-'Pre-Calculation'!$E$31)</f>
        <v>753568.4934</v>
      </c>
      <c r="W7" s="174">
        <f>-E7+IF(A6=INPUT!$C$11*12,V7,0)-N6</f>
        <v>-750000</v>
      </c>
      <c r="X7" s="179">
        <f t="array" ref="X7">NPV('Pre-Calculation'!$E$20,$E8:E$246)</f>
        <v>338721.1256</v>
      </c>
      <c r="Y7" s="171">
        <f>10%*SA</f>
        <v>100000</v>
      </c>
      <c r="Z7" s="179">
        <f t="array" ref="Z7">NPV('Pre-Calculation'!$E$20,Y8:Y17)</f>
        <v>969592.8037</v>
      </c>
    </row>
    <row r="8">
      <c r="A8" s="171">
        <f t="shared" si="1"/>
        <v>62</v>
      </c>
      <c r="B8" s="171">
        <f t="shared" si="2"/>
        <v>6</v>
      </c>
      <c r="C8" s="176">
        <f>EDATE(RCD,A7)</f>
        <v>44407</v>
      </c>
      <c r="D8" s="171">
        <f>Age_At_Entry+'Cashflows_8%'!B8-1</f>
        <v>40</v>
      </c>
      <c r="E8" s="175">
        <f>IF(AND(C8&lt;=Last_Prem,MOD(A7,Mode)=0,C8&gt;INPUT!$C$13,A8&lt;=Revival!$C$11),Mod_Prem,0)</f>
        <v>0</v>
      </c>
      <c r="F8" s="177">
        <f>E8*VLOOKUP(B8,'Pre-Calculation'!$H$1:$I$31,2,FALSE)</f>
        <v>0</v>
      </c>
      <c r="G8" s="177">
        <f>IF(B8&lt;PT+1,VLOOKUP(B8,'Pre-Calculation'!$H$1:$L$32,3,FALSE)+VLOOKUP(B8,'Pre-Calculation'!$H$1:$L$32,4,FALSE)*'Pre-Calculation'!$D$7,0)</f>
        <v>830</v>
      </c>
      <c r="H8" s="175">
        <f>(E8-(F8+G8)*(1+Tax)+N7)</f>
        <v>751815.5311</v>
      </c>
      <c r="I8" s="175">
        <f>IF(B8&lt;PT+1,VLOOKUP(D8,'Pre-Calculation'!$N$3:$P$79,IF(INPUT!$C$4="M",2,3),FALSE)*(J8/1000)*(1/12),0)</f>
        <v>37.27937544</v>
      </c>
      <c r="J8" s="175">
        <f t="shared" si="3"/>
        <v>248184.4689</v>
      </c>
      <c r="K8" s="175">
        <f>(IF('Pre-Calculation'!$D$17="Type 4 a",MAX(SA,H8,1.05*Q8),IF('Pre-Calculation'!$D$17="Type 4 c",H8,IF('Pre-Calculation'!$D$17="Type 4 d",SA+H8,IF('Pre-Calculation'!$D$17="Type 4 e",MAX(SA,H8),IF('Pre-Calculation'!$D$17="Type 4 f",SA,IF('Pre-Calculation'!$D$17="Type 4 g",1000+H8,IF('Pre-Calculation'!$D$17="Type 4 h",SA+X8,IF('Pre-Calculation'!$D$17="Type 4 i",MAX(H8,Q8),IF('Pre-Calculation'!$D$17="Type 4 k",MAX(H8,1.01*Q8),IF('Pre-Calculation'!$D$17="Type 4 m",MAX(105%*Q8,SA+H8),IF('Pre-Calculation'!$D$17="Type 4 o",MAX(SA,105%*Q8)+X8+Z8,IF('Pre-Calculation'!$D$17="Type 5",0)))))))))))))*IF(AND(A8&lt;Revival!$C$4,'Cashflows_8%'!C8&gt;=Revival!$D$12),PUP,1)</f>
        <v>1000000</v>
      </c>
      <c r="L8" s="175">
        <f>H8-I8*(1+Tax)</f>
        <v>751771.5414</v>
      </c>
      <c r="M8" s="175">
        <f>L8*(1+GROWTH_RATE_H)*(1-FMC*(1+Tax))</f>
        <v>755604.6106</v>
      </c>
      <c r="N8" s="175">
        <f>M8+IF(MOD(A8,B8)=0,VLOOKUP(B8,'Pre-Calculation'!$H$1:$L$31,5,FALSE),0)*IF('Pre-Calculation'!$D$16="% OF FV",M8,IF(OR('Pre-Calculation'!$D$16="% OF AFV(24M)",'Pre-Calculation'!$D$16="% OF AFV(8Q)"),AVERAGE( $M$7:$M8),IF('Pre-Calculation'!$D$16="% OF AFV(12M)",AVERAGE($M$7:M8),IF('Pre-Calculation'!$D$16="% OF AFV(36M)",AVERAGE($M$7:M8)))))</f>
        <v>755604.6106</v>
      </c>
      <c r="O8" s="175">
        <f t="shared" si="4"/>
        <v>755604.6106</v>
      </c>
      <c r="P8" s="175">
        <f>IF('Pre-Calculation'!$D$17="Type 4 a",MAX(SA,N8,1.05*Q8),IF('Pre-Calculation'!$D$17="Type 4 c",N8,IF('Pre-Calculation'!$D$17="Type 4 d",SA+N8,IF('Pre-Calculation'!$D$17="Type 4 e",MAX(SA,N8),IF('Pre-Calculation'!$D$17="Type 4 f",SA,IF('Pre-Calculation'!$D$17="Type 4 g",1000+N8,IF('Pre-Calculation'!$D$17="Type 4 h",SA+X8,IF('Pre-Calculation'!$D$17="Type 4 i",MAX(N8,Q8),IF('Pre-Calculation'!$D$17="Type 4 k",MAX(N8,1.01*Q8),IF('Pre-Calculation'!$D$17="Type 4 m",MAX(105%*Q8,SA+N8),IF('Pre-Calculation'!$D$17="Type 4 o",MAX(SA,105%*Q8)+X8+Z8,IF('Pre-Calculation'!$D$17="Type 5",0))))))))))))</f>
        <v>1000000</v>
      </c>
      <c r="Q8" s="175">
        <f t="shared" si="5"/>
        <v>600000</v>
      </c>
      <c r="R8" s="119">
        <f>L8*(1+GROWTH_RATE)*FMC</f>
        <v>850.7216319</v>
      </c>
      <c r="S8" s="178">
        <f>S7*(1+'Pre-Calculation'!$E$27)</f>
        <v>653737.5257</v>
      </c>
      <c r="T8" s="175">
        <f>-E8+IF(A7=INPUT!$C$11*12,N8,0)</f>
        <v>0</v>
      </c>
      <c r="U8" s="175">
        <f t="shared" si="6"/>
        <v>753568.4934</v>
      </c>
      <c r="V8" s="175">
        <f>U8*(1+GROWTH_RATE_H)*(1-'Pre-Calculation'!$E$31)</f>
        <v>757153.9657</v>
      </c>
      <c r="W8" s="175">
        <f>-E8+IF(A7=INPUT!$C$11*12,V8,0)</f>
        <v>0</v>
      </c>
      <c r="X8" s="179">
        <f t="array" ref="X8">NPV('Pre-Calculation'!$E$20,$E9:E$246)</f>
        <v>340636.3041</v>
      </c>
      <c r="Y8" s="171">
        <f>10%*SA</f>
        <v>100000</v>
      </c>
      <c r="Z8" s="179">
        <f t="array" ref="Z8">NPV('Pre-Calculation'!$E$20,Y9:Y18)</f>
        <v>969592.8037</v>
      </c>
    </row>
    <row r="9">
      <c r="A9" s="171">
        <f t="shared" si="1"/>
        <v>63</v>
      </c>
      <c r="B9" s="171">
        <f t="shared" si="2"/>
        <v>6</v>
      </c>
      <c r="C9" s="176">
        <f>EDATE(RCD,A8)</f>
        <v>44438</v>
      </c>
      <c r="D9" s="171">
        <f>Age_At_Entry+'Cashflows_8%'!B9-1</f>
        <v>40</v>
      </c>
      <c r="E9" s="175">
        <f>IF(AND(C9&lt;=Last_Prem,MOD(A8,Mode)=0,C9&gt;INPUT!$C$13,A9&lt;=Revival!$C$11),Mod_Prem,0)</f>
        <v>0</v>
      </c>
      <c r="F9" s="177">
        <f>E9*VLOOKUP(B9,'Pre-Calculation'!$H$1:$I$31,2,FALSE)</f>
        <v>0</v>
      </c>
      <c r="G9" s="177">
        <f>IF(B9&lt;PT+1,VLOOKUP(B9,'Pre-Calculation'!$H$1:$L$32,3,FALSE)+VLOOKUP(B9,'Pre-Calculation'!$H$1:$L$32,4,FALSE)*'Pre-Calculation'!$D$7,0)</f>
        <v>830</v>
      </c>
      <c r="H9" s="175">
        <f>(E9-(F9+G9)*(1+Tax)+N8)</f>
        <v>754625.2106</v>
      </c>
      <c r="I9" s="175">
        <f>IF(B9&lt;PT+1,VLOOKUP(D9,'Pre-Calculation'!$N$3:$P$79,IF(INPUT!$C$4="M",2,3),FALSE)*(J9/1000)*(1/12),0)</f>
        <v>36.85733816</v>
      </c>
      <c r="J9" s="175">
        <f t="shared" si="3"/>
        <v>245374.7894</v>
      </c>
      <c r="K9" s="175">
        <f>(IF('Pre-Calculation'!$D$17="Type 4 a",MAX(SA,H9,1.05*Q9),IF('Pre-Calculation'!$D$17="Type 4 c",H9,IF('Pre-Calculation'!$D$17="Type 4 d",SA+H9,IF('Pre-Calculation'!$D$17="Type 4 e",MAX(SA,H9),IF('Pre-Calculation'!$D$17="Type 4 f",SA,IF('Pre-Calculation'!$D$17="Type 4 g",1000+H9,IF('Pre-Calculation'!$D$17="Type 4 h",SA+X9,IF('Pre-Calculation'!$D$17="Type 4 i",MAX(H9,Q9),IF('Pre-Calculation'!$D$17="Type 4 k",MAX(H9,1.01*Q9),IF('Pre-Calculation'!$D$17="Type 4 m",MAX(105%*Q9,SA+H9),IF('Pre-Calculation'!$D$17="Type 4 o",MAX(SA,105%*Q9)+X9+Z9,IF('Pre-Calculation'!$D$17="Type 5",0)))))))))))))*IF(AND(A9&lt;Revival!$C$4,'Cashflows_8%'!C9&gt;=Revival!$D$12),PUP,1)</f>
        <v>1000000</v>
      </c>
      <c r="L9" s="175">
        <f>H9-I9*(1+Tax)</f>
        <v>754581.719</v>
      </c>
      <c r="M9" s="175">
        <f>L9*(1+GROWTH_RATE_H)*(1-FMC*(1+Tax))</f>
        <v>758429.1165</v>
      </c>
      <c r="N9" s="175">
        <f>M9+IF(MOD(A9,B9)=0,VLOOKUP(B9,'Pre-Calculation'!$H$1:$L$31,5,FALSE),0)*IF('Pre-Calculation'!$D$16="% OF FV",M9,IF(OR('Pre-Calculation'!$D$16="% OF AFV(24M)",'Pre-Calculation'!$D$16="% OF AFV(8Q)"),AVERAGE( $M$7:$M9),IF('Pre-Calculation'!$D$16="% OF AFV(12M)",AVERAGE($M$7:M9),IF('Pre-Calculation'!$D$16="% OF AFV(36M)",AVERAGE($M$7:M9)))))</f>
        <v>758429.1165</v>
      </c>
      <c r="O9" s="175">
        <f t="shared" si="4"/>
        <v>758429.1165</v>
      </c>
      <c r="P9" s="175">
        <f>IF('Pre-Calculation'!$D$17="Type 4 a",MAX(SA,N9,1.05*Q9),IF('Pre-Calculation'!$D$17="Type 4 c",N9,IF('Pre-Calculation'!$D$17="Type 4 d",SA+N9,IF('Pre-Calculation'!$D$17="Type 4 e",MAX(SA,N9),IF('Pre-Calculation'!$D$17="Type 4 f",SA,IF('Pre-Calculation'!$D$17="Type 4 g",1000+N9,IF('Pre-Calculation'!$D$17="Type 4 h",SA+X9,IF('Pre-Calculation'!$D$17="Type 4 i",MAX(N9,Q9),IF('Pre-Calculation'!$D$17="Type 4 k",MAX(N9,1.01*Q9),IF('Pre-Calculation'!$D$17="Type 4 m",MAX(105%*Q9,SA+N9),IF('Pre-Calculation'!$D$17="Type 4 o",MAX(SA,105%*Q9)+X9+Z9,IF('Pre-Calculation'!$D$17="Type 5",0))))))))))))</f>
        <v>1000000</v>
      </c>
      <c r="Q9" s="175">
        <f t="shared" si="5"/>
        <v>600000</v>
      </c>
      <c r="R9" s="119">
        <f>L9*(1+GROWTH_RATE)*FMC</f>
        <v>853.9016922</v>
      </c>
      <c r="S9" s="178">
        <f>S8*(1+'Pre-Calculation'!$E$27)</f>
        <v>655614.3399</v>
      </c>
      <c r="T9" s="175">
        <f>-E9+IF(A8=INPUT!$C$11*12,N9,0)</f>
        <v>0</v>
      </c>
      <c r="U9" s="175">
        <f t="shared" si="6"/>
        <v>757153.9657</v>
      </c>
      <c r="V9" s="175">
        <f>U9*(1+GROWTH_RATE_H)*(1-'Pre-Calculation'!$E$31)</f>
        <v>760756.4976</v>
      </c>
      <c r="W9" s="175">
        <f>-E9+IF(A8=INPUT!$C$11*12,V9,0)</f>
        <v>0</v>
      </c>
      <c r="X9" s="179">
        <f t="array" ref="X9">NPV('Pre-Calculation'!$E$20,$E10:E$246)</f>
        <v>342562.3113</v>
      </c>
      <c r="Y9" s="171">
        <f>10%*SA</f>
        <v>100000</v>
      </c>
      <c r="Z9" s="179">
        <f t="array" ref="Z9">NPV('Pre-Calculation'!$E$20,Y10:Y19)</f>
        <v>969592.8037</v>
      </c>
    </row>
    <row r="10">
      <c r="A10" s="171">
        <f t="shared" si="1"/>
        <v>64</v>
      </c>
      <c r="B10" s="171">
        <f t="shared" si="2"/>
        <v>6</v>
      </c>
      <c r="C10" s="176">
        <f>EDATE(RCD,A9)</f>
        <v>44469</v>
      </c>
      <c r="D10" s="171">
        <f>Age_At_Entry+'Cashflows_8%'!B10-1</f>
        <v>40</v>
      </c>
      <c r="E10" s="175">
        <f>IF(AND(C10&lt;=Last_Prem,MOD(A9,Mode)=0,C10&gt;INPUT!$C$13,A10&lt;=Revival!$C$11),Mod_Prem,0)</f>
        <v>0</v>
      </c>
      <c r="F10" s="177">
        <f>E10*VLOOKUP(B10,'Pre-Calculation'!$H$1:$I$31,2,FALSE)</f>
        <v>0</v>
      </c>
      <c r="G10" s="177">
        <f>IF(B10&lt;PT+1,VLOOKUP(B10,'Pre-Calculation'!$H$1:$L$32,3,FALSE)+VLOOKUP(B10,'Pre-Calculation'!$H$1:$L$32,4,FALSE)*'Pre-Calculation'!$D$7,0)</f>
        <v>830</v>
      </c>
      <c r="H10" s="175">
        <f>(E10-(F10+G10)*(1+Tax)+N9)</f>
        <v>757449.7165</v>
      </c>
      <c r="I10" s="175">
        <f>IF(B10&lt;PT+1,VLOOKUP(D10,'Pre-Calculation'!$N$3:$P$79,IF(INPUT!$C$4="M",2,3),FALSE)*(J10/1000)*(1/12),0)</f>
        <v>36.43307384</v>
      </c>
      <c r="J10" s="175">
        <f t="shared" si="3"/>
        <v>242550.2835</v>
      </c>
      <c r="K10" s="175">
        <f>(IF('Pre-Calculation'!$D$17="Type 4 a",MAX(SA,H10,1.05*Q10),IF('Pre-Calculation'!$D$17="Type 4 c",H10,IF('Pre-Calculation'!$D$17="Type 4 d",SA+H10,IF('Pre-Calculation'!$D$17="Type 4 e",MAX(SA,H10),IF('Pre-Calculation'!$D$17="Type 4 f",SA,IF('Pre-Calculation'!$D$17="Type 4 g",1000+H10,IF('Pre-Calculation'!$D$17="Type 4 h",SA+X10,IF('Pre-Calculation'!$D$17="Type 4 i",MAX(H10,Q10),IF('Pre-Calculation'!$D$17="Type 4 k",MAX(H10,1.01*Q10),IF('Pre-Calculation'!$D$17="Type 4 m",MAX(105%*Q10,SA+H10),IF('Pre-Calculation'!$D$17="Type 4 o",MAX(SA,105%*Q10)+X10+Z10,IF('Pre-Calculation'!$D$17="Type 5",0)))))))))))))*IF(AND(A10&lt;Revival!$C$4,'Cashflows_8%'!C10&gt;=Revival!$D$12),PUP,1)</f>
        <v>1000000</v>
      </c>
      <c r="L10" s="175">
        <f>H10-I10*(1+Tax)</f>
        <v>757406.7254</v>
      </c>
      <c r="M10" s="175">
        <f>L10*(1+GROWTH_RATE_H)*(1-FMC*(1+Tax))</f>
        <v>761268.5268</v>
      </c>
      <c r="N10" s="175">
        <f>M10+IF(MOD(A10,B10)=0,VLOOKUP(B10,'Pre-Calculation'!$H$1:$L$31,5,FALSE),0)*IF('Pre-Calculation'!$D$16="% OF FV",M10,IF(OR('Pre-Calculation'!$D$16="% OF AFV(24M)",'Pre-Calculation'!$D$16="% OF AFV(8Q)"),AVERAGE( $M$7:$M10),IF('Pre-Calculation'!$D$16="% OF AFV(12M)",AVERAGE($M$7:M10),IF('Pre-Calculation'!$D$16="% OF AFV(36M)",AVERAGE($M$7:M10)))))</f>
        <v>761268.5268</v>
      </c>
      <c r="O10" s="175">
        <f t="shared" si="4"/>
        <v>761268.5268</v>
      </c>
      <c r="P10" s="175">
        <f>IF('Pre-Calculation'!$D$17="Type 4 a",MAX(SA,N10,1.05*Q10),IF('Pre-Calculation'!$D$17="Type 4 c",N10,IF('Pre-Calculation'!$D$17="Type 4 d",SA+N10,IF('Pre-Calculation'!$D$17="Type 4 e",MAX(SA,N10),IF('Pre-Calculation'!$D$17="Type 4 f",SA,IF('Pre-Calculation'!$D$17="Type 4 g",1000+N10,IF('Pre-Calculation'!$D$17="Type 4 h",SA+X10,IF('Pre-Calculation'!$D$17="Type 4 i",MAX(N10,Q10),IF('Pre-Calculation'!$D$17="Type 4 k",MAX(N10,1.01*Q10),IF('Pre-Calculation'!$D$17="Type 4 m",MAX(105%*Q10,SA+N10),IF('Pre-Calculation'!$D$17="Type 4 o",MAX(SA,105%*Q10)+X10+Z10,IF('Pre-Calculation'!$D$17="Type 5",0))))))))))))</f>
        <v>1000000</v>
      </c>
      <c r="Q10" s="175">
        <f t="shared" si="5"/>
        <v>600000</v>
      </c>
      <c r="R10" s="119">
        <f>L10*(1+GROWTH_RATE)*FMC</f>
        <v>857.0985332</v>
      </c>
      <c r="S10" s="178">
        <f>S9*(1+'Pre-Calculation'!$E$27)</f>
        <v>657496.5423</v>
      </c>
      <c r="T10" s="175">
        <f>-E10+IF(A9=INPUT!$C$11*12,N10,0)</f>
        <v>0</v>
      </c>
      <c r="U10" s="175">
        <f t="shared" si="6"/>
        <v>760756.4976</v>
      </c>
      <c r="V10" s="175">
        <f>U10*(1+GROWTH_RATE_H)*(1-'Pre-Calculation'!$E$31)</f>
        <v>764376.1704</v>
      </c>
      <c r="W10" s="175">
        <f>-E10+IF(A9=INPUT!$C$11*12,V10,0)</f>
        <v>0</v>
      </c>
      <c r="X10" s="179">
        <f t="array" ref="X10">NPV('Pre-Calculation'!$E$20,$E11:E$246)</f>
        <v>344499.2084</v>
      </c>
      <c r="Y10" s="171">
        <f>10%*SA</f>
        <v>100000</v>
      </c>
      <c r="Z10" s="179">
        <f t="array" ref="Z10">NPV('Pre-Calculation'!$E$20,Y11:Y20)</f>
        <v>969592.8037</v>
      </c>
    </row>
    <row r="11">
      <c r="A11" s="171">
        <f t="shared" si="1"/>
        <v>65</v>
      </c>
      <c r="B11" s="171">
        <f t="shared" si="2"/>
        <v>6</v>
      </c>
      <c r="C11" s="176">
        <f>EDATE(RCD,A10)</f>
        <v>44499</v>
      </c>
      <c r="D11" s="171">
        <f>Age_At_Entry+'Cashflows_8%'!B11-1</f>
        <v>40</v>
      </c>
      <c r="E11" s="175">
        <f>IF(AND(C11&lt;=Last_Prem,MOD(A10,Mode)=0,C11&gt;INPUT!$C$13,A11&lt;=Revival!$C$11),Mod_Prem,0)</f>
        <v>0</v>
      </c>
      <c r="F11" s="177">
        <f>E11*VLOOKUP(B11,'Pre-Calculation'!$H$1:$I$31,2,FALSE)</f>
        <v>0</v>
      </c>
      <c r="G11" s="177">
        <f>IF(B11&lt;PT+1,VLOOKUP(B11,'Pre-Calculation'!$H$1:$L$32,3,FALSE)+VLOOKUP(B11,'Pre-Calculation'!$H$1:$L$32,4,FALSE)*'Pre-Calculation'!$D$7,0)</f>
        <v>830</v>
      </c>
      <c r="H11" s="175">
        <f>(E11-(F11+G11)*(1+Tax)+N10)</f>
        <v>760289.1268</v>
      </c>
      <c r="I11" s="175">
        <f>IF(B11&lt;PT+1,VLOOKUP(D11,'Pre-Calculation'!$N$3:$P$79,IF(INPUT!$C$4="M",2,3),FALSE)*(J11/1000)*(1/12),0)</f>
        <v>36.00657074</v>
      </c>
      <c r="J11" s="175">
        <f t="shared" si="3"/>
        <v>239710.8732</v>
      </c>
      <c r="K11" s="175">
        <f>(IF('Pre-Calculation'!$D$17="Type 4 a",MAX(SA,H11,1.05*Q11),IF('Pre-Calculation'!$D$17="Type 4 c",H11,IF('Pre-Calculation'!$D$17="Type 4 d",SA+H11,IF('Pre-Calculation'!$D$17="Type 4 e",MAX(SA,H11),IF('Pre-Calculation'!$D$17="Type 4 f",SA,IF('Pre-Calculation'!$D$17="Type 4 g",1000+H11,IF('Pre-Calculation'!$D$17="Type 4 h",SA+X11,IF('Pre-Calculation'!$D$17="Type 4 i",MAX(H11,Q11),IF('Pre-Calculation'!$D$17="Type 4 k",MAX(H11,1.01*Q11),IF('Pre-Calculation'!$D$17="Type 4 m",MAX(105%*Q11,SA+H11),IF('Pre-Calculation'!$D$17="Type 4 o",MAX(SA,105%*Q11)+X11+Z11,IF('Pre-Calculation'!$D$17="Type 5",0)))))))))))))*IF(AND(A11&lt;Revival!$C$4,'Cashflows_8%'!C11&gt;=Revival!$D$12),PUP,1)</f>
        <v>1000000</v>
      </c>
      <c r="L11" s="175">
        <f>H11-I11*(1+Tax)</f>
        <v>760246.6391</v>
      </c>
      <c r="M11" s="175">
        <f>L11*(1+GROWTH_RATE_H)*(1-FMC*(1+Tax))</f>
        <v>764122.9204</v>
      </c>
      <c r="N11" s="175">
        <f>M11+IF(MOD(A11,B11)=0,VLOOKUP(B11,'Pre-Calculation'!$H$1:$L$31,5,FALSE),0)*IF('Pre-Calculation'!$D$16="% OF FV",M11,IF(OR('Pre-Calculation'!$D$16="% OF AFV(24M)",'Pre-Calculation'!$D$16="% OF AFV(8Q)"),AVERAGE( $M$7:$M11),IF('Pre-Calculation'!$D$16="% OF AFV(12M)",AVERAGE($M$7:M11),IF('Pre-Calculation'!$D$16="% OF AFV(36M)",AVERAGE($M$7:M11)))))</f>
        <v>764122.9204</v>
      </c>
      <c r="O11" s="175">
        <f t="shared" si="4"/>
        <v>764122.9204</v>
      </c>
      <c r="P11" s="175">
        <f>IF('Pre-Calculation'!$D$17="Type 4 a",MAX(SA,N11,1.05*Q11),IF('Pre-Calculation'!$D$17="Type 4 c",N11,IF('Pre-Calculation'!$D$17="Type 4 d",SA+N11,IF('Pre-Calculation'!$D$17="Type 4 e",MAX(SA,N11),IF('Pre-Calculation'!$D$17="Type 4 f",SA,IF('Pre-Calculation'!$D$17="Type 4 g",1000+N11,IF('Pre-Calculation'!$D$17="Type 4 h",SA+X11,IF('Pre-Calculation'!$D$17="Type 4 i",MAX(N11,Q11),IF('Pre-Calculation'!$D$17="Type 4 k",MAX(N11,1.01*Q11),IF('Pre-Calculation'!$D$17="Type 4 m",MAX(105%*Q11,SA+N11),IF('Pre-Calculation'!$D$17="Type 4 o",MAX(SA,105%*Q11)+X11+Z11,IF('Pre-Calculation'!$D$17="Type 5",0))))))))))))</f>
        <v>1000000</v>
      </c>
      <c r="Q11" s="175">
        <f t="shared" si="5"/>
        <v>600000</v>
      </c>
      <c r="R11" s="119">
        <f>L11*(1+GROWTH_RATE)*FMC</f>
        <v>860.3122436</v>
      </c>
      <c r="S11" s="178">
        <f>S10*(1+'Pre-Calculation'!$E$27)</f>
        <v>659384.1482</v>
      </c>
      <c r="T11" s="175">
        <f>-E11+IF(A10=INPUT!$C$11*12,N11,0)</f>
        <v>0</v>
      </c>
      <c r="U11" s="175">
        <f t="shared" si="6"/>
        <v>764376.1704</v>
      </c>
      <c r="V11" s="175">
        <f>U11*(1+GROWTH_RATE_H)*(1-'Pre-Calculation'!$E$31)</f>
        <v>768013.0655</v>
      </c>
      <c r="W11" s="175">
        <f>-E11+IF(A10=INPUT!$C$11*12,V11,0)</f>
        <v>0</v>
      </c>
      <c r="X11" s="179">
        <f t="array" ref="X11">NPV('Pre-Calculation'!$E$20,$E12:E$246)</f>
        <v>346447.057</v>
      </c>
      <c r="Y11" s="171">
        <f>10%*SA</f>
        <v>100000</v>
      </c>
      <c r="Z11" s="179">
        <f t="array" ref="Z11">NPV('Pre-Calculation'!$E$20,Y12:Y21)</f>
        <v>969592.8037</v>
      </c>
    </row>
    <row r="12">
      <c r="A12" s="171">
        <f t="shared" si="1"/>
        <v>66</v>
      </c>
      <c r="B12" s="171">
        <f t="shared" si="2"/>
        <v>6</v>
      </c>
      <c r="C12" s="176">
        <f>EDATE(RCD,A11)</f>
        <v>44530</v>
      </c>
      <c r="D12" s="171">
        <f>Age_At_Entry+'Cashflows_8%'!B12-1</f>
        <v>40</v>
      </c>
      <c r="E12" s="175">
        <f>IF(AND(C12&lt;=Last_Prem,MOD(A11,Mode)=0,C12&gt;INPUT!$C$13,A12&lt;=Revival!$C$11),Mod_Prem,0)</f>
        <v>0</v>
      </c>
      <c r="F12" s="177">
        <f>E12*VLOOKUP(B12,'Pre-Calculation'!$H$1:$I$31,2,FALSE)</f>
        <v>0</v>
      </c>
      <c r="G12" s="177">
        <f>IF(B12&lt;PT+1,VLOOKUP(B12,'Pre-Calculation'!$H$1:$L$32,3,FALSE)+VLOOKUP(B12,'Pre-Calculation'!$H$1:$L$32,4,FALSE)*'Pre-Calculation'!$D$7,0)</f>
        <v>830</v>
      </c>
      <c r="H12" s="175">
        <f>(E12-(F12+G12)*(1+Tax)+N11)</f>
        <v>763143.5204</v>
      </c>
      <c r="I12" s="175">
        <f>IF(B12&lt;PT+1,VLOOKUP(D12,'Pre-Calculation'!$N$3:$P$79,IF(INPUT!$C$4="M",2,3),FALSE)*(J12/1000)*(1/12),0)</f>
        <v>35.57781704</v>
      </c>
      <c r="J12" s="175">
        <f t="shared" si="3"/>
        <v>236856.4796</v>
      </c>
      <c r="K12" s="175">
        <f>(IF('Pre-Calculation'!$D$17="Type 4 a",MAX(SA,H12,1.05*Q12),IF('Pre-Calculation'!$D$17="Type 4 c",H12,IF('Pre-Calculation'!$D$17="Type 4 d",SA+H12,IF('Pre-Calculation'!$D$17="Type 4 e",MAX(SA,H12),IF('Pre-Calculation'!$D$17="Type 4 f",SA,IF('Pre-Calculation'!$D$17="Type 4 g",1000+H12,IF('Pre-Calculation'!$D$17="Type 4 h",SA+X12,IF('Pre-Calculation'!$D$17="Type 4 i",MAX(H12,Q12),IF('Pre-Calculation'!$D$17="Type 4 k",MAX(H12,1.01*Q12),IF('Pre-Calculation'!$D$17="Type 4 m",MAX(105%*Q12,SA+H12),IF('Pre-Calculation'!$D$17="Type 4 o",MAX(SA,105%*Q12)+X12+Z12,IF('Pre-Calculation'!$D$17="Type 5",0)))))))))))))*IF(AND(A12&lt;Revival!$C$4,'Cashflows_8%'!C12&gt;=Revival!$D$12),PUP,1)</f>
        <v>1000000</v>
      </c>
      <c r="L12" s="175">
        <f>H12-I12*(1+Tax)</f>
        <v>763101.5386</v>
      </c>
      <c r="M12" s="175">
        <f>L12*(1+GROWTH_RATE_H)*(1-FMC*(1+Tax))</f>
        <v>766992.3762</v>
      </c>
      <c r="N12" s="175">
        <f>M12+IF(MOD(A12,B12)=0,VLOOKUP(B12,'Pre-Calculation'!$H$1:$L$31,5,FALSE),0)*IF('Pre-Calculation'!$D$16="% OF FV",M12,IF(OR('Pre-Calculation'!$D$16="% OF AFV(24M)",'Pre-Calculation'!$D$16="% OF AFV(8Q)"),AVERAGE( $M$7:$M12),IF('Pre-Calculation'!$D$16="% OF AFV(12M)",AVERAGE($M$7:M12),IF('Pre-Calculation'!$D$16="% OF AFV(36M)",AVERAGE($M$7:M12)))))</f>
        <v>766992.3762</v>
      </c>
      <c r="O12" s="175">
        <f t="shared" si="4"/>
        <v>766992.3762</v>
      </c>
      <c r="P12" s="175">
        <f>IF('Pre-Calculation'!$D$17="Type 4 a",MAX(SA,N12,1.05*Q12),IF('Pre-Calculation'!$D$17="Type 4 c",N12,IF('Pre-Calculation'!$D$17="Type 4 d",SA+N12,IF('Pre-Calculation'!$D$17="Type 4 e",MAX(SA,N12),IF('Pre-Calculation'!$D$17="Type 4 f",SA,IF('Pre-Calculation'!$D$17="Type 4 g",1000+N12,IF('Pre-Calculation'!$D$17="Type 4 h",SA+X12,IF('Pre-Calculation'!$D$17="Type 4 i",MAX(N12,Q12),IF('Pre-Calculation'!$D$17="Type 4 k",MAX(N12,1.01*Q12),IF('Pre-Calculation'!$D$17="Type 4 m",MAX(105%*Q12,SA+N12),IF('Pre-Calculation'!$D$17="Type 4 o",MAX(SA,105%*Q12)+X12+Z12,IF('Pre-Calculation'!$D$17="Type 5",0))))))))))))</f>
        <v>1000000</v>
      </c>
      <c r="Q12" s="175">
        <f t="shared" si="5"/>
        <v>600000</v>
      </c>
      <c r="R12" s="119">
        <f>L12*(1+GROWTH_RATE)*FMC</f>
        <v>863.5429122</v>
      </c>
      <c r="S12" s="178">
        <f>S11*(1+'Pre-Calculation'!$E$27)</f>
        <v>661277.1734</v>
      </c>
      <c r="T12" s="175">
        <f>-E12+IF(A11=INPUT!$C$11*12,N12,0)</f>
        <v>0</v>
      </c>
      <c r="U12" s="175">
        <f t="shared" si="6"/>
        <v>768013.0655</v>
      </c>
      <c r="V12" s="175">
        <f>U12*(1+GROWTH_RATE_H)*(1-'Pre-Calculation'!$E$31)</f>
        <v>771667.2649</v>
      </c>
      <c r="W12" s="175">
        <f>-E12+IF(A11=INPUT!$C$11*12,V12,0)</f>
        <v>0</v>
      </c>
      <c r="X12" s="179">
        <f t="array" ref="X12">NPV('Pre-Calculation'!$E$20,$E13:E$246)</f>
        <v>348405.9191</v>
      </c>
      <c r="Y12" s="171">
        <f>10%*SA</f>
        <v>100000</v>
      </c>
      <c r="Z12" s="179">
        <f t="array" ref="Z12">NPV('Pre-Calculation'!$E$20,Y13:Y22)</f>
        <v>969592.8037</v>
      </c>
    </row>
    <row r="13">
      <c r="A13" s="171">
        <f t="shared" si="1"/>
        <v>67</v>
      </c>
      <c r="B13" s="171">
        <f t="shared" si="2"/>
        <v>6</v>
      </c>
      <c r="C13" s="176">
        <f>EDATE(RCD,A12)</f>
        <v>44560</v>
      </c>
      <c r="D13" s="171">
        <f>Age_At_Entry+'Cashflows_8%'!B13-1</f>
        <v>40</v>
      </c>
      <c r="E13" s="175">
        <f>IF(AND(C13&lt;=Last_Prem,MOD(A12,Mode)=0,C13&gt;INPUT!$C$13,A13&lt;=Revival!$C$11),Mod_Prem,0)</f>
        <v>0</v>
      </c>
      <c r="F13" s="177">
        <f>E13*VLOOKUP(B13,'Pre-Calculation'!$H$1:$I$31,2,FALSE)</f>
        <v>0</v>
      </c>
      <c r="G13" s="177">
        <f>IF(B13&lt;PT+1,VLOOKUP(B13,'Pre-Calculation'!$H$1:$L$32,3,FALSE)+VLOOKUP(B13,'Pre-Calculation'!$H$1:$L$32,4,FALSE)*'Pre-Calculation'!$D$7,0)</f>
        <v>830</v>
      </c>
      <c r="H13" s="175">
        <f>(E13-(F13+G13)*(1+Tax)+N12)</f>
        <v>766012.9762</v>
      </c>
      <c r="I13" s="175">
        <f>IF(B13&lt;PT+1,VLOOKUP(D13,'Pre-Calculation'!$N$3:$P$79,IF(INPUT!$C$4="M",2,3),FALSE)*(J13/1000)*(1/12),0)</f>
        <v>35.14680086</v>
      </c>
      <c r="J13" s="175">
        <f t="shared" si="3"/>
        <v>233987.0238</v>
      </c>
      <c r="K13" s="175">
        <f>(IF('Pre-Calculation'!$D$17="Type 4 a",MAX(SA,H13,1.05*Q13),IF('Pre-Calculation'!$D$17="Type 4 c",H13,IF('Pre-Calculation'!$D$17="Type 4 d",SA+H13,IF('Pre-Calculation'!$D$17="Type 4 e",MAX(SA,H13),IF('Pre-Calculation'!$D$17="Type 4 f",SA,IF('Pre-Calculation'!$D$17="Type 4 g",1000+H13,IF('Pre-Calculation'!$D$17="Type 4 h",SA+X13,IF('Pre-Calculation'!$D$17="Type 4 i",MAX(H13,Q13),IF('Pre-Calculation'!$D$17="Type 4 k",MAX(H13,1.01*Q13),IF('Pre-Calculation'!$D$17="Type 4 m",MAX(105%*Q13,SA+H13),IF('Pre-Calculation'!$D$17="Type 4 o",MAX(SA,105%*Q13)+X13+Z13,IF('Pre-Calculation'!$D$17="Type 5",0)))))))))))))*IF(AND(A13&lt;Revival!$C$4,'Cashflows_8%'!C13&gt;=Revival!$D$12),PUP,1)</f>
        <v>1000000</v>
      </c>
      <c r="L13" s="175">
        <f>H13-I13*(1+Tax)</f>
        <v>765971.503</v>
      </c>
      <c r="M13" s="175">
        <f>L13*(1+GROWTH_RATE_H)*(1-FMC*(1+Tax))</f>
        <v>769876.9738</v>
      </c>
      <c r="N13" s="175">
        <f>M13+IF(MOD(A13,B13)=0,VLOOKUP(B13,'Pre-Calculation'!$H$1:$L$31,5,FALSE),0)*IF('Pre-Calculation'!$D$16="% OF FV",M13,IF(OR('Pre-Calculation'!$D$16="% OF AFV(24M)",'Pre-Calculation'!$D$16="% OF AFV(8Q)"),AVERAGE( $M$7:$M13),IF('Pre-Calculation'!$D$16="% OF AFV(12M)",AVERAGE($M$7:M13),IF('Pre-Calculation'!$D$16="% OF AFV(36M)",AVERAGE($M$7:M13)))))</f>
        <v>769876.9738</v>
      </c>
      <c r="O13" s="175">
        <f t="shared" si="4"/>
        <v>769876.9738</v>
      </c>
      <c r="P13" s="175">
        <f>IF('Pre-Calculation'!$D$17="Type 4 a",MAX(SA,N13,1.05*Q13),IF('Pre-Calculation'!$D$17="Type 4 c",N13,IF('Pre-Calculation'!$D$17="Type 4 d",SA+N13,IF('Pre-Calculation'!$D$17="Type 4 e",MAX(SA,N13),IF('Pre-Calculation'!$D$17="Type 4 f",SA,IF('Pre-Calculation'!$D$17="Type 4 g",1000+N13,IF('Pre-Calculation'!$D$17="Type 4 h",SA+X13,IF('Pre-Calculation'!$D$17="Type 4 i",MAX(N13,Q13),IF('Pre-Calculation'!$D$17="Type 4 k",MAX(N13,1.01*Q13),IF('Pre-Calculation'!$D$17="Type 4 m",MAX(105%*Q13,SA+N13),IF('Pre-Calculation'!$D$17="Type 4 o",MAX(SA,105%*Q13)+X13+Z13,IF('Pre-Calculation'!$D$17="Type 5",0))))))))))))</f>
        <v>1000000</v>
      </c>
      <c r="Q13" s="175">
        <f t="shared" si="5"/>
        <v>600000</v>
      </c>
      <c r="R13" s="119">
        <f>L13*(1+GROWTH_RATE)*FMC</f>
        <v>866.7906287</v>
      </c>
      <c r="S13" s="178">
        <f>S12*(1+'Pre-Calculation'!$E$27)</f>
        <v>663175.6331</v>
      </c>
      <c r="T13" s="175">
        <f>-E13+IF(A12=INPUT!$C$11*12,N13,0)</f>
        <v>0</v>
      </c>
      <c r="U13" s="175">
        <f t="shared" si="6"/>
        <v>771667.2649</v>
      </c>
      <c r="V13" s="175">
        <f>U13*(1+GROWTH_RATE_H)*(1-'Pre-Calculation'!$E$31)</f>
        <v>775338.851</v>
      </c>
      <c r="W13" s="175">
        <f>-E13+IF(A12=INPUT!$C$11*12,V13,0)</f>
        <v>0</v>
      </c>
      <c r="X13" s="179">
        <f t="array" ref="X13">NPV('Pre-Calculation'!$E$20,$E14:E$246)</f>
        <v>350375.8568</v>
      </c>
      <c r="Y13" s="171">
        <f>10%*SA</f>
        <v>100000</v>
      </c>
      <c r="Z13" s="179">
        <f t="array" ref="Z13">NPV('Pre-Calculation'!$E$20,Y14:Y23)</f>
        <v>969592.8037</v>
      </c>
    </row>
    <row r="14">
      <c r="A14" s="171">
        <f t="shared" si="1"/>
        <v>68</v>
      </c>
      <c r="B14" s="171">
        <f t="shared" si="2"/>
        <v>6</v>
      </c>
      <c r="C14" s="176">
        <f>EDATE(RCD,A13)</f>
        <v>44591</v>
      </c>
      <c r="D14" s="171">
        <f>Age_At_Entry+'Cashflows_8%'!B14-1</f>
        <v>40</v>
      </c>
      <c r="E14" s="175">
        <f>IF(AND(C14&lt;=Last_Prem,MOD(A13,Mode)=0,C14&gt;INPUT!$C$13,A14&lt;=Revival!$C$11),Mod_Prem,0)</f>
        <v>0</v>
      </c>
      <c r="F14" s="177">
        <f>E14*VLOOKUP(B14,'Pre-Calculation'!$H$1:$I$31,2,FALSE)</f>
        <v>0</v>
      </c>
      <c r="G14" s="177">
        <f>IF(B14&lt;PT+1,VLOOKUP(B14,'Pre-Calculation'!$H$1:$L$32,3,FALSE)+VLOOKUP(B14,'Pre-Calculation'!$H$1:$L$32,4,FALSE)*'Pre-Calculation'!$D$7,0)</f>
        <v>830</v>
      </c>
      <c r="H14" s="175">
        <f>(E14-(F14+G14)*(1+Tax)+N13)</f>
        <v>768897.5738</v>
      </c>
      <c r="I14" s="175">
        <f>IF(B14&lt;PT+1,VLOOKUP(D14,'Pre-Calculation'!$N$3:$P$79,IF(INPUT!$C$4="M",2,3),FALSE)*(J14/1000)*(1/12),0)</f>
        <v>34.71351027</v>
      </c>
      <c r="J14" s="175">
        <f t="shared" si="3"/>
        <v>231102.4262</v>
      </c>
      <c r="K14" s="175">
        <f>(IF('Pre-Calculation'!$D$17="Type 4 a",MAX(SA,H14,1.05*Q14),IF('Pre-Calculation'!$D$17="Type 4 c",H14,IF('Pre-Calculation'!$D$17="Type 4 d",SA+H14,IF('Pre-Calculation'!$D$17="Type 4 e",MAX(SA,H14),IF('Pre-Calculation'!$D$17="Type 4 f",SA,IF('Pre-Calculation'!$D$17="Type 4 g",1000+H14,IF('Pre-Calculation'!$D$17="Type 4 h",SA+X14,IF('Pre-Calculation'!$D$17="Type 4 i",MAX(H14,Q14),IF('Pre-Calculation'!$D$17="Type 4 k",MAX(H14,1.01*Q14),IF('Pre-Calculation'!$D$17="Type 4 m",MAX(105%*Q14,SA+H14),IF('Pre-Calculation'!$D$17="Type 4 o",MAX(SA,105%*Q14)+X14+Z14,IF('Pre-Calculation'!$D$17="Type 5",0)))))))))))))*IF(AND(A14&lt;Revival!$C$4,'Cashflows_8%'!C14&gt;=Revival!$D$12),PUP,1)</f>
        <v>1000000</v>
      </c>
      <c r="L14" s="175">
        <f>H14-I14*(1+Tax)</f>
        <v>768856.6118</v>
      </c>
      <c r="M14" s="175">
        <f>L14*(1+GROWTH_RATE_H)*(1-FMC*(1+Tax))</f>
        <v>772776.7929</v>
      </c>
      <c r="N14" s="175">
        <f>M14+IF(MOD(A14,B14)=0,VLOOKUP(B14,'Pre-Calculation'!$H$1:$L$31,5,FALSE),0)*IF('Pre-Calculation'!$D$16="% OF FV",M14,IF(OR('Pre-Calculation'!$D$16="% OF AFV(24M)",'Pre-Calculation'!$D$16="% OF AFV(8Q)"),AVERAGE( $M$7:$M14),IF('Pre-Calculation'!$D$16="% OF AFV(12M)",AVERAGE($M$7:M14),IF('Pre-Calculation'!$D$16="% OF AFV(36M)",AVERAGE($M$7:M14)))))</f>
        <v>772776.7929</v>
      </c>
      <c r="O14" s="175">
        <f t="shared" si="4"/>
        <v>772776.7929</v>
      </c>
      <c r="P14" s="175">
        <f>IF('Pre-Calculation'!$D$17="Type 4 a",MAX(SA,N14,1.05*Q14),IF('Pre-Calculation'!$D$17="Type 4 c",N14,IF('Pre-Calculation'!$D$17="Type 4 d",SA+N14,IF('Pre-Calculation'!$D$17="Type 4 e",MAX(SA,N14),IF('Pre-Calculation'!$D$17="Type 4 f",SA,IF('Pre-Calculation'!$D$17="Type 4 g",1000+N14,IF('Pre-Calculation'!$D$17="Type 4 h",SA+X14,IF('Pre-Calculation'!$D$17="Type 4 i",MAX(N14,Q14),IF('Pre-Calculation'!$D$17="Type 4 k",MAX(N14,1.01*Q14),IF('Pre-Calculation'!$D$17="Type 4 m",MAX(105%*Q14,SA+N14),IF('Pre-Calculation'!$D$17="Type 4 o",MAX(SA,105%*Q14)+X14+Z14,IF('Pre-Calculation'!$D$17="Type 5",0))))))))))))</f>
        <v>1000000</v>
      </c>
      <c r="Q14" s="175">
        <f t="shared" si="5"/>
        <v>600000</v>
      </c>
      <c r="R14" s="119">
        <f>L14*(1+GROWTH_RATE)*FMC</f>
        <v>870.0554829</v>
      </c>
      <c r="S14" s="178">
        <f>S13*(1+'Pre-Calculation'!$E$27)</f>
        <v>665079.5432</v>
      </c>
      <c r="T14" s="175">
        <f>-E14+IF(A13=INPUT!$C$11*12,N14,0)</f>
        <v>0</v>
      </c>
      <c r="U14" s="175">
        <f t="shared" si="6"/>
        <v>775338.851</v>
      </c>
      <c r="V14" s="175">
        <f>U14*(1+GROWTH_RATE_H)*(1-'Pre-Calculation'!$E$31)</f>
        <v>779027.9064</v>
      </c>
      <c r="W14" s="175">
        <f>-E14+IF(A13=INPUT!$C$11*12,V14,0)</f>
        <v>0</v>
      </c>
      <c r="X14" s="179">
        <f t="array" ref="X14">NPV('Pre-Calculation'!$E$20,$E15:E$246)</f>
        <v>352356.9328</v>
      </c>
      <c r="Y14" s="171">
        <f>10%*SA</f>
        <v>100000</v>
      </c>
      <c r="Z14" s="179">
        <f t="array" ref="Z14">NPV('Pre-Calculation'!$E$20,Y15:Y24)</f>
        <v>969592.8037</v>
      </c>
    </row>
    <row r="15">
      <c r="A15" s="171">
        <f t="shared" si="1"/>
        <v>69</v>
      </c>
      <c r="B15" s="171">
        <f t="shared" si="2"/>
        <v>6</v>
      </c>
      <c r="C15" s="176">
        <f>EDATE(RCD,A14)</f>
        <v>44620</v>
      </c>
      <c r="D15" s="171">
        <f>Age_At_Entry+'Cashflows_8%'!B15-1</f>
        <v>40</v>
      </c>
      <c r="E15" s="175">
        <f>IF(AND(C15&lt;=Last_Prem,MOD(A14,Mode)=0,C15&gt;INPUT!$C$13,A15&lt;=Revival!$C$11),Mod_Prem,0)</f>
        <v>0</v>
      </c>
      <c r="F15" s="177">
        <f>E15*VLOOKUP(B15,'Pre-Calculation'!$H$1:$I$31,2,FALSE)</f>
        <v>0</v>
      </c>
      <c r="G15" s="177">
        <f>IF(B15&lt;PT+1,VLOOKUP(B15,'Pre-Calculation'!$H$1:$L$32,3,FALSE)+VLOOKUP(B15,'Pre-Calculation'!$H$1:$L$32,4,FALSE)*'Pre-Calculation'!$D$7,0)</f>
        <v>830</v>
      </c>
      <c r="H15" s="175">
        <f>(E15-(F15+G15)*(1+Tax)+N14)</f>
        <v>771797.3929</v>
      </c>
      <c r="I15" s="175">
        <f>IF(B15&lt;PT+1,VLOOKUP(D15,'Pre-Calculation'!$N$3:$P$79,IF(INPUT!$C$4="M",2,3),FALSE)*(J15/1000)*(1/12),0)</f>
        <v>34.27793327</v>
      </c>
      <c r="J15" s="175">
        <f t="shared" si="3"/>
        <v>228202.6071</v>
      </c>
      <c r="K15" s="175">
        <f>(IF('Pre-Calculation'!$D$17="Type 4 a",MAX(SA,H15,1.05*Q15),IF('Pre-Calculation'!$D$17="Type 4 c",H15,IF('Pre-Calculation'!$D$17="Type 4 d",SA+H15,IF('Pre-Calculation'!$D$17="Type 4 e",MAX(SA,H15),IF('Pre-Calculation'!$D$17="Type 4 f",SA,IF('Pre-Calculation'!$D$17="Type 4 g",1000+H15,IF('Pre-Calculation'!$D$17="Type 4 h",SA+X15,IF('Pre-Calculation'!$D$17="Type 4 i",MAX(H15,Q15),IF('Pre-Calculation'!$D$17="Type 4 k",MAX(H15,1.01*Q15),IF('Pre-Calculation'!$D$17="Type 4 m",MAX(105%*Q15,SA+H15),IF('Pre-Calculation'!$D$17="Type 4 o",MAX(SA,105%*Q15)+X15+Z15,IF('Pre-Calculation'!$D$17="Type 5",0)))))))))))))*IF(AND(A15&lt;Revival!$C$4,'Cashflows_8%'!C15&gt;=Revival!$D$12),PUP,1)</f>
        <v>1000000</v>
      </c>
      <c r="L15" s="175">
        <f>H15-I15*(1+Tax)</f>
        <v>771756.945</v>
      </c>
      <c r="M15" s="175">
        <f>L15*(1+GROWTH_RATE_H)*(1-FMC*(1+Tax))</f>
        <v>775691.9141</v>
      </c>
      <c r="N15" s="175">
        <f>M15+IF(MOD(A15,B15)=0,VLOOKUP(B15,'Pre-Calculation'!$H$1:$L$31,5,FALSE),0)*IF('Pre-Calculation'!$D$16="% OF FV",M15,IF(OR('Pre-Calculation'!$D$16="% OF AFV(24M)",'Pre-Calculation'!$D$16="% OF AFV(8Q)"),AVERAGE( $M$7:$M15),IF('Pre-Calculation'!$D$16="% OF AFV(12M)",AVERAGE($M$7:M15),IF('Pre-Calculation'!$D$16="% OF AFV(36M)",AVERAGE($M$7:M15)))))</f>
        <v>775691.9141</v>
      </c>
      <c r="O15" s="175">
        <f t="shared" si="4"/>
        <v>775691.9141</v>
      </c>
      <c r="P15" s="175">
        <f>IF('Pre-Calculation'!$D$17="Type 4 a",MAX(SA,N15,1.05*Q15),IF('Pre-Calculation'!$D$17="Type 4 c",N15,IF('Pre-Calculation'!$D$17="Type 4 d",SA+N15,IF('Pre-Calculation'!$D$17="Type 4 e",MAX(SA,N15),IF('Pre-Calculation'!$D$17="Type 4 f",SA,IF('Pre-Calculation'!$D$17="Type 4 g",1000+N15,IF('Pre-Calculation'!$D$17="Type 4 h",SA+X15,IF('Pre-Calculation'!$D$17="Type 4 i",MAX(N15,Q15),IF('Pre-Calculation'!$D$17="Type 4 k",MAX(N15,1.01*Q15),IF('Pre-Calculation'!$D$17="Type 4 m",MAX(105%*Q15,SA+N15),IF('Pre-Calculation'!$D$17="Type 4 o",MAX(SA,105%*Q15)+X15+Z15,IF('Pre-Calculation'!$D$17="Type 5",0))))))))))))</f>
        <v>1000000</v>
      </c>
      <c r="Q15" s="175">
        <f t="shared" si="5"/>
        <v>600000</v>
      </c>
      <c r="R15" s="119">
        <f>L15*(1+GROWTH_RATE)*FMC</f>
        <v>873.3375653</v>
      </c>
      <c r="S15" s="178">
        <f>S14*(1+'Pre-Calculation'!$E$27)</f>
        <v>666988.9192</v>
      </c>
      <c r="T15" s="175">
        <f>-E15+IF(A14=INPUT!$C$11*12,N15,0)</f>
        <v>0</v>
      </c>
      <c r="U15" s="175">
        <f t="shared" si="6"/>
        <v>779027.9064</v>
      </c>
      <c r="V15" s="175">
        <f>U15*(1+GROWTH_RATE_H)*(1-'Pre-Calculation'!$E$31)</f>
        <v>782734.5144</v>
      </c>
      <c r="W15" s="175">
        <f>-E15+IF(A14=INPUT!$C$11*12,V15,0)</f>
        <v>0</v>
      </c>
      <c r="X15" s="179">
        <f t="array" ref="X15">NPV('Pre-Calculation'!$E$20,$E16:E$246)</f>
        <v>354349.2102</v>
      </c>
      <c r="Y15" s="171">
        <f>10%*SA</f>
        <v>100000</v>
      </c>
      <c r="Z15" s="179">
        <f t="array" ref="Z15">NPV('Pre-Calculation'!$E$20,Y16:Y25)</f>
        <v>969592.8037</v>
      </c>
    </row>
    <row r="16">
      <c r="A16" s="171">
        <f t="shared" si="1"/>
        <v>70</v>
      </c>
      <c r="B16" s="171">
        <f t="shared" si="2"/>
        <v>6</v>
      </c>
      <c r="C16" s="176">
        <f>EDATE(RCD,A15)</f>
        <v>44650</v>
      </c>
      <c r="D16" s="171">
        <f>Age_At_Entry+'Cashflows_8%'!B16-1</f>
        <v>40</v>
      </c>
      <c r="E16" s="175">
        <f>IF(AND(C16&lt;=Last_Prem,MOD(A15,Mode)=0,C16&gt;INPUT!$C$13,A16&lt;=Revival!$C$11),Mod_Prem,0)</f>
        <v>0</v>
      </c>
      <c r="F16" s="177">
        <f>E16*VLOOKUP(B16,'Pre-Calculation'!$H$1:$I$31,2,FALSE)</f>
        <v>0</v>
      </c>
      <c r="G16" s="177">
        <f>IF(B16&lt;PT+1,VLOOKUP(B16,'Pre-Calculation'!$H$1:$L$32,3,FALSE)+VLOOKUP(B16,'Pre-Calculation'!$H$1:$L$32,4,FALSE)*'Pre-Calculation'!$D$7,0)</f>
        <v>830</v>
      </c>
      <c r="H16" s="175">
        <f>(E16-(F16+G16)*(1+Tax)+N15)</f>
        <v>774712.5141</v>
      </c>
      <c r="I16" s="175">
        <f>IF(B16&lt;PT+1,VLOOKUP(D16,'Pre-Calculation'!$N$3:$P$79,IF(INPUT!$C$4="M",2,3),FALSE)*(J16/1000)*(1/12),0)</f>
        <v>33.84005778</v>
      </c>
      <c r="J16" s="175">
        <f t="shared" si="3"/>
        <v>225287.4859</v>
      </c>
      <c r="K16" s="175">
        <f>(IF('Pre-Calculation'!$D$17="Type 4 a",MAX(SA,H16,1.05*Q16),IF('Pre-Calculation'!$D$17="Type 4 c",H16,IF('Pre-Calculation'!$D$17="Type 4 d",SA+H16,IF('Pre-Calculation'!$D$17="Type 4 e",MAX(SA,H16),IF('Pre-Calculation'!$D$17="Type 4 f",SA,IF('Pre-Calculation'!$D$17="Type 4 g",1000+H16,IF('Pre-Calculation'!$D$17="Type 4 h",SA+X16,IF('Pre-Calculation'!$D$17="Type 4 i",MAX(H16,Q16),IF('Pre-Calculation'!$D$17="Type 4 k",MAX(H16,1.01*Q16),IF('Pre-Calculation'!$D$17="Type 4 m",MAX(105%*Q16,SA+H16),IF('Pre-Calculation'!$D$17="Type 4 o",MAX(SA,105%*Q16)+X16+Z16,IF('Pre-Calculation'!$D$17="Type 5",0)))))))))))))*IF(AND(A16&lt;Revival!$C$4,'Cashflows_8%'!C16&gt;=Revival!$D$12),PUP,1)</f>
        <v>1000000</v>
      </c>
      <c r="L16" s="175">
        <f>H16-I16*(1+Tax)</f>
        <v>774672.5828</v>
      </c>
      <c r="M16" s="175">
        <f>L16*(1+GROWTH_RATE_H)*(1-FMC*(1+Tax))</f>
        <v>778622.4179</v>
      </c>
      <c r="N16" s="175">
        <f>M16+IF(MOD(A16,B16)=0,VLOOKUP(B16,'Pre-Calculation'!$H$1:$L$31,5,FALSE),0)*IF('Pre-Calculation'!$D$16="% OF FV",M16,IF(OR('Pre-Calculation'!$D$16="% OF AFV(24M)",'Pre-Calculation'!$D$16="% OF AFV(8Q)"),AVERAGE( $M$7:$M16),IF('Pre-Calculation'!$D$16="% OF AFV(12M)",AVERAGE($M$7:M16),IF('Pre-Calculation'!$D$16="% OF AFV(36M)",AVERAGE($M$7:M16)))))</f>
        <v>778622.4179</v>
      </c>
      <c r="O16" s="175">
        <f t="shared" si="4"/>
        <v>778622.4179</v>
      </c>
      <c r="P16" s="175">
        <f>IF('Pre-Calculation'!$D$17="Type 4 a",MAX(SA,N16,1.05*Q16),IF('Pre-Calculation'!$D$17="Type 4 c",N16,IF('Pre-Calculation'!$D$17="Type 4 d",SA+N16,IF('Pre-Calculation'!$D$17="Type 4 e",MAX(SA,N16),IF('Pre-Calculation'!$D$17="Type 4 f",SA,IF('Pre-Calculation'!$D$17="Type 4 g",1000+N16,IF('Pre-Calculation'!$D$17="Type 4 h",SA+X16,IF('Pre-Calculation'!$D$17="Type 4 i",MAX(N16,Q16),IF('Pre-Calculation'!$D$17="Type 4 k",MAX(N16,1.01*Q16),IF('Pre-Calculation'!$D$17="Type 4 m",MAX(105%*Q16,SA+N16),IF('Pre-Calculation'!$D$17="Type 4 o",MAX(SA,105%*Q16)+X16+Z16,IF('Pre-Calculation'!$D$17="Type 5",0))))))))))))</f>
        <v>1000000</v>
      </c>
      <c r="Q16" s="175">
        <f t="shared" si="5"/>
        <v>600000</v>
      </c>
      <c r="R16" s="119">
        <f>L16*(1+GROWTH_RATE)*FMC</f>
        <v>876.6369669</v>
      </c>
      <c r="S16" s="178">
        <f>S15*(1+'Pre-Calculation'!$E$27)</f>
        <v>668903.7769</v>
      </c>
      <c r="T16" s="175">
        <f>-E16+IF(A15=INPUT!$C$11*12,N16,0)</f>
        <v>0</v>
      </c>
      <c r="U16" s="175">
        <f t="shared" si="6"/>
        <v>782734.5144</v>
      </c>
      <c r="V16" s="175">
        <f>U16*(1+GROWTH_RATE_H)*(1-'Pre-Calculation'!$E$31)</f>
        <v>786458.7583</v>
      </c>
      <c r="W16" s="175">
        <f>-E16+IF(A15=INPUT!$C$11*12,V16,0)</f>
        <v>0</v>
      </c>
      <c r="X16" s="179">
        <f t="array" ref="X16">NPV('Pre-Calculation'!$E$20,$E17:E$246)</f>
        <v>356352.7521</v>
      </c>
      <c r="Y16" s="171">
        <f>10%*SA</f>
        <v>100000</v>
      </c>
      <c r="Z16" s="179">
        <f t="array" ref="Z16">NPV('Pre-Calculation'!$E$20,Y17:Y26)</f>
        <v>969592.8037</v>
      </c>
    </row>
    <row r="17">
      <c r="A17" s="171">
        <f t="shared" si="1"/>
        <v>71</v>
      </c>
      <c r="B17" s="171">
        <f t="shared" si="2"/>
        <v>6</v>
      </c>
      <c r="C17" s="176">
        <f>EDATE(RCD,A16)</f>
        <v>44681</v>
      </c>
      <c r="D17" s="171">
        <f>Age_At_Entry+'Cashflows_8%'!B17-1</f>
        <v>40</v>
      </c>
      <c r="E17" s="175">
        <f>IF(AND(C17&lt;=Last_Prem,MOD(A16,Mode)=0,C17&gt;INPUT!$C$13,A17&lt;=Revival!$C$11),Mod_Prem,0)</f>
        <v>0</v>
      </c>
      <c r="F17" s="177">
        <f>E17*VLOOKUP(B17,'Pre-Calculation'!$H$1:$I$31,2,FALSE)</f>
        <v>0</v>
      </c>
      <c r="G17" s="177">
        <f>IF(B17&lt;PT+1,VLOOKUP(B17,'Pre-Calculation'!$H$1:$L$32,3,FALSE)+VLOOKUP(B17,'Pre-Calculation'!$H$1:$L$32,4,FALSE)*'Pre-Calculation'!$D$7,0)</f>
        <v>830</v>
      </c>
      <c r="H17" s="175">
        <f>(E17-(F17+G17)*(1+Tax)+N16)</f>
        <v>777643.0179</v>
      </c>
      <c r="I17" s="175">
        <f>IF(B17&lt;PT+1,VLOOKUP(D17,'Pre-Calculation'!$N$3:$P$79,IF(INPUT!$C$4="M",2,3),FALSE)*(J17/1000)*(1/12),0)</f>
        <v>33.39987168</v>
      </c>
      <c r="J17" s="175">
        <f t="shared" si="3"/>
        <v>222356.9821</v>
      </c>
      <c r="K17" s="175">
        <f>(IF('Pre-Calculation'!$D$17="Type 4 a",MAX(SA,H17,1.05*Q17),IF('Pre-Calculation'!$D$17="Type 4 c",H17,IF('Pre-Calculation'!$D$17="Type 4 d",SA+H17,IF('Pre-Calculation'!$D$17="Type 4 e",MAX(SA,H17),IF('Pre-Calculation'!$D$17="Type 4 f",SA,IF('Pre-Calculation'!$D$17="Type 4 g",1000+H17,IF('Pre-Calculation'!$D$17="Type 4 h",SA+X17,IF('Pre-Calculation'!$D$17="Type 4 i",MAX(H17,Q17),IF('Pre-Calculation'!$D$17="Type 4 k",MAX(H17,1.01*Q17),IF('Pre-Calculation'!$D$17="Type 4 m",MAX(105%*Q17,SA+H17),IF('Pre-Calculation'!$D$17="Type 4 o",MAX(SA,105%*Q17)+X17+Z17,IF('Pre-Calculation'!$D$17="Type 5",0)))))))))))))*IF(AND(A17&lt;Revival!$C$4,'Cashflows_8%'!C17&gt;=Revival!$D$12),PUP,1)</f>
        <v>1000000</v>
      </c>
      <c r="L17" s="175">
        <f>H17-I17*(1+Tax)</f>
        <v>777603.6061</v>
      </c>
      <c r="M17" s="175">
        <f>L17*(1+GROWTH_RATE_H)*(1-FMC*(1+Tax))</f>
        <v>781568.3856</v>
      </c>
      <c r="N17" s="175">
        <f>M17+IF(MOD(A17,B17)=0,VLOOKUP(B17,'Pre-Calculation'!$H$1:$L$31,5,FALSE),0)*IF('Pre-Calculation'!$D$16="% OF FV",M17,IF(OR('Pre-Calculation'!$D$16="% OF AFV(24M)",'Pre-Calculation'!$D$16="% OF AFV(8Q)"),AVERAGE( $M$7:$M17),IF('Pre-Calculation'!$D$16="% OF AFV(12M)",AVERAGE($M$7:M17),IF('Pre-Calculation'!$D$16="% OF AFV(36M)",AVERAGE($M$7:M17)))))</f>
        <v>781568.3856</v>
      </c>
      <c r="O17" s="175">
        <f t="shared" si="4"/>
        <v>781568.3856</v>
      </c>
      <c r="P17" s="175">
        <f>IF('Pre-Calculation'!$D$17="Type 4 a",MAX(SA,N17,1.05*Q17),IF('Pre-Calculation'!$D$17="Type 4 c",N17,IF('Pre-Calculation'!$D$17="Type 4 d",SA+N17,IF('Pre-Calculation'!$D$17="Type 4 e",MAX(SA,N17),IF('Pre-Calculation'!$D$17="Type 4 f",SA,IF('Pre-Calculation'!$D$17="Type 4 g",1000+N17,IF('Pre-Calculation'!$D$17="Type 4 h",SA+X17,IF('Pre-Calculation'!$D$17="Type 4 i",MAX(N17,Q17),IF('Pre-Calculation'!$D$17="Type 4 k",MAX(N17,1.01*Q17),IF('Pre-Calculation'!$D$17="Type 4 m",MAX(105%*Q17,SA+N17),IF('Pre-Calculation'!$D$17="Type 4 o",MAX(SA,105%*Q17)+X17+Z17,IF('Pre-Calculation'!$D$17="Type 5",0))))))))))))</f>
        <v>1000000</v>
      </c>
      <c r="Q17" s="175">
        <f t="shared" si="5"/>
        <v>600000</v>
      </c>
      <c r="R17" s="119">
        <f>L17*(1+GROWTH_RATE)*FMC</f>
        <v>879.9537789</v>
      </c>
      <c r="S17" s="178">
        <f>S16*(1+'Pre-Calculation'!$E$27)</f>
        <v>670824.1319</v>
      </c>
      <c r="T17" s="175">
        <f>-E17+IF(A16=INPUT!$C$11*12,N17,0)</f>
        <v>0</v>
      </c>
      <c r="U17" s="175">
        <f t="shared" si="6"/>
        <v>786458.7583</v>
      </c>
      <c r="V17" s="175">
        <f>U17*(1+GROWTH_RATE_H)*(1-'Pre-Calculation'!$E$31)</f>
        <v>790200.7222</v>
      </c>
      <c r="W17" s="175">
        <f>-E17+IF(A16=INPUT!$C$11*12,V17,0)</f>
        <v>0</v>
      </c>
      <c r="X17" s="179">
        <f t="array" ref="X17">NPV('Pre-Calculation'!$E$20,$E18:E$246)</f>
        <v>358367.6224</v>
      </c>
      <c r="Y17" s="171">
        <f>10%*SA</f>
        <v>100000</v>
      </c>
      <c r="Z17" s="179">
        <f t="array" ref="Z17">NPV('Pre-Calculation'!$E$20,Y18:Y27)</f>
        <v>969592.8037</v>
      </c>
    </row>
    <row r="18">
      <c r="A18" s="171">
        <f t="shared" si="1"/>
        <v>72</v>
      </c>
      <c r="B18" s="171">
        <f t="shared" si="2"/>
        <v>6</v>
      </c>
      <c r="C18" s="176">
        <f>EDATE(RCD,A17)</f>
        <v>44711</v>
      </c>
      <c r="D18" s="171">
        <f>Age_At_Entry+'Cashflows_8%'!B18-1</f>
        <v>40</v>
      </c>
      <c r="E18" s="175">
        <f>IF(AND(C18&lt;=Last_Prem,MOD(A17,Mode)=0,C18&gt;INPUT!$C$13,A18&lt;=Revival!$C$11),Mod_Prem,0)</f>
        <v>0</v>
      </c>
      <c r="F18" s="177">
        <f>E18*VLOOKUP(B18,'Pre-Calculation'!$H$1:$I$31,2,FALSE)</f>
        <v>0</v>
      </c>
      <c r="G18" s="177">
        <f>IF(B18&lt;PT+1,VLOOKUP(B18,'Pre-Calculation'!$H$1:$L$32,3,FALSE)+VLOOKUP(B18,'Pre-Calculation'!$H$1:$L$32,4,FALSE)*'Pre-Calculation'!$D$7,0)</f>
        <v>830</v>
      </c>
      <c r="H18" s="175">
        <f>(E18-(F18+G18)*(1+Tax)+N17)</f>
        <v>780588.9856</v>
      </c>
      <c r="I18" s="175">
        <f>IF(B18&lt;PT+1,VLOOKUP(D18,'Pre-Calculation'!$N$3:$P$79,IF(INPUT!$C$4="M",2,3),FALSE)*(J18/1000)*(1/12),0)</f>
        <v>32.95736278</v>
      </c>
      <c r="J18" s="175">
        <f t="shared" si="3"/>
        <v>219411.0144</v>
      </c>
      <c r="K18" s="175">
        <f>(IF('Pre-Calculation'!$D$17="Type 4 a",MAX(SA,H18,1.05*Q18),IF('Pre-Calculation'!$D$17="Type 4 c",H18,IF('Pre-Calculation'!$D$17="Type 4 d",SA+H18,IF('Pre-Calculation'!$D$17="Type 4 e",MAX(SA,H18),IF('Pre-Calculation'!$D$17="Type 4 f",SA,IF('Pre-Calculation'!$D$17="Type 4 g",1000+H18,IF('Pre-Calculation'!$D$17="Type 4 h",SA+X18,IF('Pre-Calculation'!$D$17="Type 4 i",MAX(H18,Q18),IF('Pre-Calculation'!$D$17="Type 4 k",MAX(H18,1.01*Q18),IF('Pre-Calculation'!$D$17="Type 4 m",MAX(105%*Q18,SA+H18),IF('Pre-Calculation'!$D$17="Type 4 o",MAX(SA,105%*Q18)+X18+Z18,IF('Pre-Calculation'!$D$17="Type 5",0)))))))))))))*IF(AND(A18&lt;Revival!$C$4,'Cashflows_8%'!C18&gt;=Revival!$D$12),PUP,1)</f>
        <v>1000000</v>
      </c>
      <c r="L18" s="175">
        <f>H18-I18*(1+Tax)</f>
        <v>780550.0959</v>
      </c>
      <c r="M18" s="175">
        <f>L18*(1+GROWTH_RATE_H)*(1-FMC*(1+Tax))</f>
        <v>784529.8988</v>
      </c>
      <c r="N18" s="175">
        <f>M18+IF(MOD(A18,B18)=0,VLOOKUP(B18,'Pre-Calculation'!$H$1:$L$31,5,FALSE),0)*IF('Pre-Calculation'!$D$16="% OF FV",M18,IF(OR('Pre-Calculation'!$D$16="% OF AFV(24M)",'Pre-Calculation'!$D$16="% OF AFV(8Q)"),AVERAGE( $M$7:$M18),IF('Pre-Calculation'!$D$16="% OF AFV(12M)",AVERAGE($M7:M18),IF('Pre-Calculation'!$D$16="% OF AFV(36M)",AVERAGE($M$7:M18)))))</f>
        <v>784529.8988</v>
      </c>
      <c r="O18" s="175">
        <f t="shared" si="4"/>
        <v>784529.8988</v>
      </c>
      <c r="P18" s="175">
        <f>IF('Pre-Calculation'!$D$17="Type 4 a",MAX(SA,N18,1.05*Q18),IF('Pre-Calculation'!$D$17="Type 4 c",N18,IF('Pre-Calculation'!$D$17="Type 4 d",SA+N18,IF('Pre-Calculation'!$D$17="Type 4 e",MAX(SA,N18),IF('Pre-Calculation'!$D$17="Type 4 f",SA,IF('Pre-Calculation'!$D$17="Type 4 g",1000+N18,IF('Pre-Calculation'!$D$17="Type 4 h",SA+X18,IF('Pre-Calculation'!$D$17="Type 4 i",MAX(N18,Q18),IF('Pre-Calculation'!$D$17="Type 4 k",MAX(N18,1.01*Q18),IF('Pre-Calculation'!$D$17="Type 4 m",MAX(105%*Q18,SA+N18),IF('Pre-Calculation'!$D$17="Type 4 o",MAX(SA,105%*Q18)+X18+Z18,IF('Pre-Calculation'!$D$17="Type 5",0))))))))))))</f>
        <v>1000000</v>
      </c>
      <c r="Q18" s="175">
        <f t="shared" si="5"/>
        <v>600000</v>
      </c>
      <c r="R18" s="119">
        <f>L18*(1+GROWTH_RATE)*FMC</f>
        <v>883.2880933</v>
      </c>
      <c r="S18" s="178">
        <f>S17*(1+'Pre-Calculation'!$E$27)</f>
        <v>672750</v>
      </c>
      <c r="T18" s="175">
        <f>-E18+IF(A17=INPUT!$C$11*12,N18,0)</f>
        <v>0</v>
      </c>
      <c r="U18" s="175">
        <f t="shared" si="6"/>
        <v>790200.7222</v>
      </c>
      <c r="V18" s="175">
        <f>U18*(1+GROWTH_RATE_H)*(1-'Pre-Calculation'!$E$31)</f>
        <v>793960.4903</v>
      </c>
      <c r="W18" s="175">
        <f>-E18+IF(A17=INPUT!$C$11*12,V18,0)</f>
        <v>0</v>
      </c>
      <c r="X18" s="179">
        <f t="array" ref="X18">NPV('Pre-Calculation'!$E$20,$E19:E$246)</f>
        <v>360393.885</v>
      </c>
      <c r="Y18" s="171">
        <f>10%*SA</f>
        <v>100000</v>
      </c>
      <c r="Z18" s="179">
        <f t="array" ref="Z18">NPV('Pre-Calculation'!$E$20,Y19:Y28)</f>
        <v>969592.8037</v>
      </c>
    </row>
    <row r="19">
      <c r="A19" s="171">
        <f t="shared" si="1"/>
        <v>73</v>
      </c>
      <c r="B19" s="171">
        <f t="shared" si="2"/>
        <v>7</v>
      </c>
      <c r="C19" s="176">
        <f>EDATE(RCD,A18)</f>
        <v>44742</v>
      </c>
      <c r="D19" s="171">
        <f>Age_At_Entry+'Cashflows_8%'!B19-1</f>
        <v>41</v>
      </c>
      <c r="E19" s="175">
        <f>IF(AND(C19&lt;=Last_Prem,MOD(A18,Mode)=0,C19&gt;INPUT!$C$13,A19&lt;=Revival!$C$11),Mod_Prem,0)</f>
        <v>100000</v>
      </c>
      <c r="F19" s="177">
        <f>E19*VLOOKUP(B19,'Pre-Calculation'!$H$1:$I$31,2,FALSE)</f>
        <v>0</v>
      </c>
      <c r="G19" s="177">
        <f>IF(B19&lt;PT+1,VLOOKUP(B19,'Pre-Calculation'!$H$1:$L$32,3,FALSE)+VLOOKUP(B19,'Pre-Calculation'!$H$1:$L$32,4,FALSE)*'Pre-Calculation'!$D$7,0)</f>
        <v>830</v>
      </c>
      <c r="H19" s="175">
        <f>(E19-(F19+G19)*(1+Tax)+N18)</f>
        <v>883550.4988</v>
      </c>
      <c r="I19" s="175">
        <f>IF(B19&lt;PT+1,VLOOKUP(D19,'Pre-Calculation'!$N$3:$P$79,IF(INPUT!$C$4="M",2,3),FALSE)*(J19/1000)*(1/12),0)</f>
        <v>19.01038107</v>
      </c>
      <c r="J19" s="175">
        <f t="shared" si="3"/>
        <v>116449.5012</v>
      </c>
      <c r="K19" s="175">
        <f>(IF('Pre-Calculation'!$D$17="Type 4 a",MAX(SA,H19,1.05*Q19),IF('Pre-Calculation'!$D$17="Type 4 c",H19,IF('Pre-Calculation'!$D$17="Type 4 d",SA+H19,IF('Pre-Calculation'!$D$17="Type 4 e",MAX(SA,H19),IF('Pre-Calculation'!$D$17="Type 4 f",SA,IF('Pre-Calculation'!$D$17="Type 4 g",1000+H19,IF('Pre-Calculation'!$D$17="Type 4 h",SA+X19,IF('Pre-Calculation'!$D$17="Type 4 i",MAX(H19,Q19),IF('Pre-Calculation'!$D$17="Type 4 k",MAX(H19,1.01*Q19),IF('Pre-Calculation'!$D$17="Type 4 m",MAX(105%*Q19,SA+H19),IF('Pre-Calculation'!$D$17="Type 4 o",MAX(SA,105%*Q19)+X19+Z19,IF('Pre-Calculation'!$D$17="Type 5",0)))))))))))))*IF(AND(A19&lt;Revival!$C$4,'Cashflows_8%'!C19&gt;=Revival!$D$12),PUP,1)</f>
        <v>1000000</v>
      </c>
      <c r="L19" s="175">
        <f>H19-I19*(1+Tax)</f>
        <v>883528.0666</v>
      </c>
      <c r="M19" s="175">
        <f>L19*(1+GROWTH_RATE_H)*(1-FMC*(1+Tax))</f>
        <v>888032.9248</v>
      </c>
      <c r="N19" s="175">
        <f>M19+IF(MOD(A19,B19)=0,VLOOKUP(B19,'Pre-Calculation'!$H$1:$L$31,5,FALSE),0)*IF('Pre-Calculation'!$D$16="% OF FV",M19,IF(OR('Pre-Calculation'!$D$16="% OF AFV(24M)",'Pre-Calculation'!$D$16="% OF AFV(8Q)"),AVERAGE( $M$7:$M19),IF('Pre-Calculation'!$D$16="% OF AFV(12M)",AVERAGE($M8:M19),IF('Pre-Calculation'!$D$16="% OF AFV(36M)",AVERAGE($M$7:M19)))))</f>
        <v>888032.9248</v>
      </c>
      <c r="O19" s="175">
        <f t="shared" si="4"/>
        <v>888032.9248</v>
      </c>
      <c r="P19" s="175">
        <f>IF('Pre-Calculation'!$D$17="Type 4 a",MAX(SA,N19,1.05*Q19),IF('Pre-Calculation'!$D$17="Type 4 c",N19,IF('Pre-Calculation'!$D$17="Type 4 d",SA+N19,IF('Pre-Calculation'!$D$17="Type 4 e",MAX(SA,N19),IF('Pre-Calculation'!$D$17="Type 4 f",SA,IF('Pre-Calculation'!$D$17="Type 4 g",1000+N19,IF('Pre-Calculation'!$D$17="Type 4 h",SA+X19,IF('Pre-Calculation'!$D$17="Type 4 i",MAX(N19,Q19),IF('Pre-Calculation'!$D$17="Type 4 k",MAX(N19,1.01*Q19),IF('Pre-Calculation'!$D$17="Type 4 m",MAX(105%*Q19,SA+N19),IF('Pre-Calculation'!$D$17="Type 4 o",MAX(SA,105%*Q19)+X19+Z19,IF('Pre-Calculation'!$D$17="Type 5",0))))))))))))</f>
        <v>1000000</v>
      </c>
      <c r="Q19" s="175">
        <f t="shared" si="5"/>
        <v>700000</v>
      </c>
      <c r="R19" s="119">
        <f>L19*(1+GROWTH_RATE)*FMC</f>
        <v>999.8202874</v>
      </c>
      <c r="S19" s="178">
        <f>S18*(1+'Pre-Calculation'!$E$27)</f>
        <v>674681.3971</v>
      </c>
      <c r="T19" s="175">
        <f>-E19+IF(A18=INPUT!$C$11*12,N19,0)</f>
        <v>-100000</v>
      </c>
      <c r="U19" s="175">
        <f t="shared" si="6"/>
        <v>893960.4903</v>
      </c>
      <c r="V19" s="175">
        <f>U19*(1+GROWTH_RATE_H)*(1-'Pre-Calculation'!$E$31)</f>
        <v>898213.9465</v>
      </c>
      <c r="W19" s="175">
        <f>-E19+IF(A18=INPUT!$C$11*12,V19,0)</f>
        <v>-100000</v>
      </c>
      <c r="X19" s="179">
        <f t="array" ref="X19">NPV('Pre-Calculation'!$E$20,$E20:E$246)</f>
        <v>262431.6044</v>
      </c>
      <c r="Y19" s="171">
        <f>10%*SA</f>
        <v>100000</v>
      </c>
      <c r="Z19" s="179">
        <f t="array" ref="Z19">NPV('Pre-Calculation'!$E$20,Y20:Y29)</f>
        <v>969592.8037</v>
      </c>
    </row>
    <row r="20">
      <c r="A20" s="171">
        <f t="shared" si="1"/>
        <v>74</v>
      </c>
      <c r="B20" s="171">
        <f t="shared" si="2"/>
        <v>7</v>
      </c>
      <c r="C20" s="176">
        <f>EDATE(RCD,A19)</f>
        <v>44772</v>
      </c>
      <c r="D20" s="171">
        <f>Age_At_Entry+'Cashflows_8%'!B20-1</f>
        <v>41</v>
      </c>
      <c r="E20" s="175">
        <f>IF(AND(C20&lt;=Last_Prem,MOD(A19,Mode)=0,C20&gt;INPUT!$C$13,A20&lt;=Revival!$C$11),Mod_Prem,0)</f>
        <v>0</v>
      </c>
      <c r="F20" s="177">
        <f>E20*VLOOKUP(B20,'Pre-Calculation'!$H$1:$I$31,2,FALSE)</f>
        <v>0</v>
      </c>
      <c r="G20" s="177">
        <f>IF(B20&lt;PT+1,VLOOKUP(B20,'Pre-Calculation'!$H$1:$L$32,3,FALSE)+VLOOKUP(B20,'Pre-Calculation'!$H$1:$L$32,4,FALSE)*'Pre-Calculation'!$D$7,0)</f>
        <v>830</v>
      </c>
      <c r="H20" s="175">
        <f>(E20-(F20+G20)*(1+Tax)+N19)</f>
        <v>887053.5248</v>
      </c>
      <c r="I20" s="175">
        <f>IF(B20&lt;PT+1,VLOOKUP(D20,'Pre-Calculation'!$N$3:$P$79,IF(INPUT!$C$4="M",2,3),FALSE)*(J20/1000)*(1/12),0)</f>
        <v>18.43851208</v>
      </c>
      <c r="J20" s="175">
        <f t="shared" si="3"/>
        <v>112946.4752</v>
      </c>
      <c r="K20" s="175">
        <f>(IF('Pre-Calculation'!$D$17="Type 4 a",MAX(SA,H20,1.05*Q20),IF('Pre-Calculation'!$D$17="Type 4 c",H20,IF('Pre-Calculation'!$D$17="Type 4 d",SA+H20,IF('Pre-Calculation'!$D$17="Type 4 e",MAX(SA,H20),IF('Pre-Calculation'!$D$17="Type 4 f",SA,IF('Pre-Calculation'!$D$17="Type 4 g",1000+H20,IF('Pre-Calculation'!$D$17="Type 4 h",SA+X20,IF('Pre-Calculation'!$D$17="Type 4 i",MAX(H20,Q20),IF('Pre-Calculation'!$D$17="Type 4 k",MAX(H20,1.01*Q20),IF('Pre-Calculation'!$D$17="Type 4 m",MAX(105%*Q20,SA+H20),IF('Pre-Calculation'!$D$17="Type 4 o",MAX(SA,105%*Q20)+X20+Z20,IF('Pre-Calculation'!$D$17="Type 5",0)))))))))))))*IF(AND(A20&lt;Revival!$C$4,'Cashflows_8%'!C20&gt;=Revival!$D$12),PUP,1)</f>
        <v>1000000</v>
      </c>
      <c r="L20" s="175">
        <f>H20-I20*(1+Tax)</f>
        <v>887031.7674</v>
      </c>
      <c r="M20" s="175">
        <f>L20*(1+GROWTH_RATE_H)*(1-FMC*(1+Tax))</f>
        <v>891554.49</v>
      </c>
      <c r="N20" s="175">
        <f>M20+IF(MOD(A20,B20)=0,VLOOKUP(B20,'Pre-Calculation'!$H$1:$L$31,5,FALSE),0)*IF('Pre-Calculation'!$D$16="% OF FV",M20,IF(OR('Pre-Calculation'!$D$16="% OF AFV(24M)",'Pre-Calculation'!$D$16="% OF AFV(8Q)"),AVERAGE( $M$7:$M20),IF('Pre-Calculation'!$D$16="% OF AFV(12M)",AVERAGE($M9:M20),IF('Pre-Calculation'!$D$16="% OF AFV(36M)",AVERAGE($M$7:M20)))))</f>
        <v>891554.49</v>
      </c>
      <c r="O20" s="175">
        <f t="shared" si="4"/>
        <v>891554.49</v>
      </c>
      <c r="P20" s="175">
        <f>IF('Pre-Calculation'!$D$17="Type 4 a",MAX(SA,N20,1.05*Q20),IF('Pre-Calculation'!$D$17="Type 4 c",N20,IF('Pre-Calculation'!$D$17="Type 4 d",SA+N20,IF('Pre-Calculation'!$D$17="Type 4 e",MAX(SA,N20),IF('Pre-Calculation'!$D$17="Type 4 f",SA,IF('Pre-Calculation'!$D$17="Type 4 g",1000+N20,IF('Pre-Calculation'!$D$17="Type 4 h",SA+X20,IF('Pre-Calculation'!$D$17="Type 4 i",MAX(N20,Q20),IF('Pre-Calculation'!$D$17="Type 4 k",MAX(N20,1.01*Q20),IF('Pre-Calculation'!$D$17="Type 4 m",MAX(105%*Q20,SA+N20),IF('Pre-Calculation'!$D$17="Type 4 o",MAX(SA,105%*Q20)+X20+Z20,IF('Pre-Calculation'!$D$17="Type 5",0))))))))))))</f>
        <v>1000000</v>
      </c>
      <c r="Q20" s="175">
        <f t="shared" si="5"/>
        <v>700000</v>
      </c>
      <c r="R20" s="119">
        <f>L20*(1+GROWTH_RATE)*FMC</f>
        <v>1003.785154</v>
      </c>
      <c r="S20" s="178">
        <f>S19*(1+'Pre-Calculation'!$E$27)</f>
        <v>676618.3391</v>
      </c>
      <c r="T20" s="175">
        <f>-E20+IF(A19=INPUT!$C$11*12,N20,0)</f>
        <v>0</v>
      </c>
      <c r="U20" s="175">
        <f t="shared" si="6"/>
        <v>898213.9465</v>
      </c>
      <c r="V20" s="175">
        <f>U20*(1+GROWTH_RATE_H)*(1-'Pre-Calculation'!$E$31)</f>
        <v>902487.6406</v>
      </c>
      <c r="W20" s="175">
        <f>-E20+IF(A19=INPUT!$C$11*12,V20,0)</f>
        <v>0</v>
      </c>
      <c r="X20" s="179">
        <f t="array" ref="X20">NPV('Pre-Calculation'!$E$20,$E21:E$246)</f>
        <v>263915.4309</v>
      </c>
      <c r="Y20" s="171">
        <f>10%*SA</f>
        <v>100000</v>
      </c>
      <c r="Z20" s="179">
        <f t="array" ref="Z20">NPV('Pre-Calculation'!$E$20,Y21:Y30)</f>
        <v>969592.8037</v>
      </c>
    </row>
    <row r="21" ht="15.75" customHeight="1">
      <c r="A21" s="171">
        <f t="shared" si="1"/>
        <v>75</v>
      </c>
      <c r="B21" s="171">
        <f t="shared" si="2"/>
        <v>7</v>
      </c>
      <c r="C21" s="176">
        <f>EDATE(RCD,A20)</f>
        <v>44803</v>
      </c>
      <c r="D21" s="171">
        <f>Age_At_Entry+'Cashflows_8%'!B21-1</f>
        <v>41</v>
      </c>
      <c r="E21" s="175">
        <f>IF(AND(C21&lt;=Last_Prem,MOD(A20,Mode)=0,C21&gt;INPUT!$C$13,A21&lt;=Revival!$C$11),Mod_Prem,0)</f>
        <v>0</v>
      </c>
      <c r="F21" s="177">
        <f>E21*VLOOKUP(B21,'Pre-Calculation'!$H$1:$I$31,2,FALSE)</f>
        <v>0</v>
      </c>
      <c r="G21" s="177">
        <f>IF(B21&lt;PT+1,VLOOKUP(B21,'Pre-Calculation'!$H$1:$L$32,3,FALSE)+VLOOKUP(B21,'Pre-Calculation'!$H$1:$L$32,4,FALSE)*'Pre-Calculation'!$D$7,0)</f>
        <v>830</v>
      </c>
      <c r="H21" s="175">
        <f>(E21-(F21+G21)*(1+Tax)+N20)</f>
        <v>890575.09</v>
      </c>
      <c r="I21" s="175">
        <f>IF(B21&lt;PT+1,VLOOKUP(D21,'Pre-Calculation'!$N$3:$P$79,IF(INPUT!$C$4="M",2,3),FALSE)*(J21/1000)*(1/12),0)</f>
        <v>17.86361656</v>
      </c>
      <c r="J21" s="175">
        <f t="shared" si="3"/>
        <v>109424.91</v>
      </c>
      <c r="K21" s="175">
        <f>(IF('Pre-Calculation'!$D$17="Type 4 a",MAX(SA,H21,1.05*Q21),IF('Pre-Calculation'!$D$17="Type 4 c",H21,IF('Pre-Calculation'!$D$17="Type 4 d",SA+H21,IF('Pre-Calculation'!$D$17="Type 4 e",MAX(SA,H21),IF('Pre-Calculation'!$D$17="Type 4 f",SA,IF('Pre-Calculation'!$D$17="Type 4 g",1000+H21,IF('Pre-Calculation'!$D$17="Type 4 h",SA+X21,IF('Pre-Calculation'!$D$17="Type 4 i",MAX(H21,Q21),IF('Pre-Calculation'!$D$17="Type 4 k",MAX(H21,1.01*Q21),IF('Pre-Calculation'!$D$17="Type 4 m",MAX(105%*Q21,SA+H21),IF('Pre-Calculation'!$D$17="Type 4 o",MAX(SA,105%*Q21)+X21+Z21,IF('Pre-Calculation'!$D$17="Type 5",0)))))))))))))*IF(AND(A21&lt;Revival!$C$4,'Cashflows_8%'!C21&gt;=Revival!$D$12),PUP,1)</f>
        <v>1000000</v>
      </c>
      <c r="L21" s="175">
        <f>H21-I21*(1+Tax)</f>
        <v>890554.0109</v>
      </c>
      <c r="M21" s="175">
        <f>L21*(1+GROWTH_RATE_H)*(1-FMC*(1+Tax))</f>
        <v>895094.6924</v>
      </c>
      <c r="N21" s="175">
        <f>M21+IF(MOD(A21,B21)=0,VLOOKUP(B21,'Pre-Calculation'!$H$1:$L$31,5,FALSE),0)*IF('Pre-Calculation'!$D$16="% OF FV",M21,IF(OR('Pre-Calculation'!$D$16="% OF AFV(24M)",'Pre-Calculation'!$D$16="% OF AFV(8Q)"),AVERAGE( $M$7:$M21),IF('Pre-Calculation'!$D$16="% OF AFV(12M)",AVERAGE($M10:M21),IF('Pre-Calculation'!$D$16="% OF AFV(36M)",AVERAGE($M$7:M21)))))</f>
        <v>895094.6924</v>
      </c>
      <c r="O21" s="175">
        <f t="shared" si="4"/>
        <v>895094.6924</v>
      </c>
      <c r="P21" s="175">
        <f>IF('Pre-Calculation'!$D$17="Type 4 a",MAX(SA,N21,1.05*Q21),IF('Pre-Calculation'!$D$17="Type 4 c",N21,IF('Pre-Calculation'!$D$17="Type 4 d",SA+N21,IF('Pre-Calculation'!$D$17="Type 4 e",MAX(SA,N21),IF('Pre-Calculation'!$D$17="Type 4 f",SA,IF('Pre-Calculation'!$D$17="Type 4 g",1000+N21,IF('Pre-Calculation'!$D$17="Type 4 h",SA+X21,IF('Pre-Calculation'!$D$17="Type 4 i",MAX(N21,Q21),IF('Pre-Calculation'!$D$17="Type 4 k",MAX(N21,1.01*Q21),IF('Pre-Calculation'!$D$17="Type 4 m",MAX(105%*Q21,SA+N21),IF('Pre-Calculation'!$D$17="Type 4 o",MAX(SA,105%*Q21)+X21+Z21,IF('Pre-Calculation'!$D$17="Type 5",0))))))))))))</f>
        <v>1000000</v>
      </c>
      <c r="Q21" s="175">
        <f t="shared" si="5"/>
        <v>700000</v>
      </c>
      <c r="R21" s="119">
        <f>L21*(1+GROWTH_RATE)*FMC</f>
        <v>1007.771004</v>
      </c>
      <c r="S21" s="178">
        <f>S20*(1+'Pre-Calculation'!$E$27)</f>
        <v>678560.8418</v>
      </c>
      <c r="T21" s="175">
        <f>-E21+IF(A20=INPUT!$C$11*12,N21,0)</f>
        <v>0</v>
      </c>
      <c r="U21" s="175">
        <f t="shared" si="6"/>
        <v>902487.6406</v>
      </c>
      <c r="V21" s="175">
        <f>U21*(1+GROWTH_RATE_H)*(1-'Pre-Calculation'!$E$31)</f>
        <v>906781.6688</v>
      </c>
      <c r="W21" s="175">
        <f>-E21+IF(A20=INPUT!$C$11*12,V21,0)</f>
        <v>0</v>
      </c>
      <c r="X21" s="179">
        <f t="array" ref="X21">NPV('Pre-Calculation'!$E$20,$E22:E$246)</f>
        <v>265407.6471</v>
      </c>
      <c r="Y21" s="171">
        <f>10%*SA</f>
        <v>100000</v>
      </c>
      <c r="Z21" s="179">
        <f t="array" ref="Z21">NPV('Pre-Calculation'!$E$20,Y22:Y31)</f>
        <v>969592.8037</v>
      </c>
    </row>
    <row r="22" ht="15.75" customHeight="1">
      <c r="A22" s="171">
        <f t="shared" si="1"/>
        <v>76</v>
      </c>
      <c r="B22" s="171">
        <f t="shared" si="2"/>
        <v>7</v>
      </c>
      <c r="C22" s="176">
        <f>EDATE(RCD,A21)</f>
        <v>44834</v>
      </c>
      <c r="D22" s="171">
        <f>Age_At_Entry+'Cashflows_8%'!B22-1</f>
        <v>41</v>
      </c>
      <c r="E22" s="175">
        <f>IF(AND(C22&lt;=Last_Prem,MOD(A21,Mode)=0,C22&gt;INPUT!$C$13,A22&lt;=Revival!$C$11),Mod_Prem,0)</f>
        <v>0</v>
      </c>
      <c r="F22" s="177">
        <f>E22*VLOOKUP(B22,'Pre-Calculation'!$H$1:$I$31,2,FALSE)</f>
        <v>0</v>
      </c>
      <c r="G22" s="177">
        <f>IF(B22&lt;PT+1,VLOOKUP(B22,'Pre-Calculation'!$H$1:$L$32,3,FALSE)+VLOOKUP(B22,'Pre-Calculation'!$H$1:$L$32,4,FALSE)*'Pre-Calculation'!$D$7,0)</f>
        <v>830</v>
      </c>
      <c r="H22" s="175">
        <f>(E22-(F22+G22)*(1+Tax)+N21)</f>
        <v>894115.2924</v>
      </c>
      <c r="I22" s="175">
        <f>IF(B22&lt;PT+1,VLOOKUP(D22,'Pre-Calculation'!$N$3:$P$79,IF(INPUT!$C$4="M",2,3),FALSE)*(J22/1000)*(1/12),0)</f>
        <v>17.28567851</v>
      </c>
      <c r="J22" s="175">
        <f t="shared" si="3"/>
        <v>105884.7076</v>
      </c>
      <c r="K22" s="175">
        <f>(IF('Pre-Calculation'!$D$17="Type 4 a",MAX(SA,H22,1.05*Q22),IF('Pre-Calculation'!$D$17="Type 4 c",H22,IF('Pre-Calculation'!$D$17="Type 4 d",SA+H22,IF('Pre-Calculation'!$D$17="Type 4 e",MAX(SA,H22),IF('Pre-Calculation'!$D$17="Type 4 f",SA,IF('Pre-Calculation'!$D$17="Type 4 g",1000+H22,IF('Pre-Calculation'!$D$17="Type 4 h",SA+X22,IF('Pre-Calculation'!$D$17="Type 4 i",MAX(H22,Q22),IF('Pre-Calculation'!$D$17="Type 4 k",MAX(H22,1.01*Q22),IF('Pre-Calculation'!$D$17="Type 4 m",MAX(105%*Q22,SA+H22),IF('Pre-Calculation'!$D$17="Type 4 o",MAX(SA,105%*Q22)+X22+Z22,IF('Pre-Calculation'!$D$17="Type 5",0)))))))))))))*IF(AND(A22&lt;Revival!$C$4,'Cashflows_8%'!C22&gt;=Revival!$D$12),PUP,1)</f>
        <v>1000000</v>
      </c>
      <c r="L22" s="175">
        <f>H22-I22*(1+Tax)</f>
        <v>894094.8953</v>
      </c>
      <c r="M22" s="175">
        <f>L22*(1+GROWTH_RATE_H)*(1-FMC*(1+Tax))</f>
        <v>898653.6308</v>
      </c>
      <c r="N22" s="175">
        <f>M22+IF(MOD(A22,B22)=0,VLOOKUP(B22,'Pre-Calculation'!$H$1:$L$31,5,FALSE),0)*IF('Pre-Calculation'!$D$16="% OF FV",M22,IF(OR('Pre-Calculation'!$D$16="% OF AFV(24M)",'Pre-Calculation'!$D$16="% OF AFV(8Q)"),AVERAGE( $M$7:$M22),IF('Pre-Calculation'!$D$16="% OF AFV(12M)",AVERAGE($M11:M22),IF('Pre-Calculation'!$D$16="% OF AFV(36M)",AVERAGE($M$7:M22)))))</f>
        <v>898653.6308</v>
      </c>
      <c r="O22" s="175">
        <f t="shared" si="4"/>
        <v>898653.6308</v>
      </c>
      <c r="P22" s="175">
        <f>IF('Pre-Calculation'!$D$17="Type 4 a",MAX(SA,N22,1.05*Q22),IF('Pre-Calculation'!$D$17="Type 4 c",N22,IF('Pre-Calculation'!$D$17="Type 4 d",SA+N22,IF('Pre-Calculation'!$D$17="Type 4 e",MAX(SA,N22),IF('Pre-Calculation'!$D$17="Type 4 f",SA,IF('Pre-Calculation'!$D$17="Type 4 g",1000+N22,IF('Pre-Calculation'!$D$17="Type 4 h",SA+X22,IF('Pre-Calculation'!$D$17="Type 4 i",MAX(N22,Q22),IF('Pre-Calculation'!$D$17="Type 4 k",MAX(N22,1.01*Q22),IF('Pre-Calculation'!$D$17="Type 4 m",MAX(105%*Q22,SA+N22),IF('Pre-Calculation'!$D$17="Type 4 o",MAX(SA,105%*Q22)+X22+Z22,IF('Pre-Calculation'!$D$17="Type 5",0))))))))))))</f>
        <v>1000000</v>
      </c>
      <c r="Q22" s="175">
        <f t="shared" si="5"/>
        <v>700000</v>
      </c>
      <c r="R22" s="119">
        <f>L22*(1+GROWTH_RATE)*FMC</f>
        <v>1011.777949</v>
      </c>
      <c r="S22" s="178">
        <f>S21*(1+'Pre-Calculation'!$E$27)</f>
        <v>680508.9212</v>
      </c>
      <c r="T22" s="175">
        <f>-E22+IF(A21=INPUT!$C$11*12,N22,0)</f>
        <v>0</v>
      </c>
      <c r="U22" s="175">
        <f t="shared" si="6"/>
        <v>906781.6688</v>
      </c>
      <c r="V22" s="175">
        <f>U22*(1+GROWTH_RATE_H)*(1-'Pre-Calculation'!$E$31)</f>
        <v>911096.1281</v>
      </c>
      <c r="W22" s="175">
        <f>-E22+IF(A21=INPUT!$C$11*12,V22,0)</f>
        <v>0</v>
      </c>
      <c r="X22" s="179">
        <f t="array" ref="X22">NPV('Pre-Calculation'!$E$20,$E23:E$246)</f>
        <v>266908.3005</v>
      </c>
      <c r="Y22" s="171">
        <f>10%*SA</f>
        <v>100000</v>
      </c>
      <c r="Z22" s="179">
        <f t="array" ref="Z22">NPV('Pre-Calculation'!$E$20,Y23:Y32)</f>
        <v>969592.8037</v>
      </c>
    </row>
    <row r="23" ht="15.75" customHeight="1">
      <c r="A23" s="171">
        <f t="shared" si="1"/>
        <v>77</v>
      </c>
      <c r="B23" s="171">
        <f t="shared" si="2"/>
        <v>7</v>
      </c>
      <c r="C23" s="176">
        <f>EDATE(RCD,A22)</f>
        <v>44864</v>
      </c>
      <c r="D23" s="171">
        <f>Age_At_Entry+'Cashflows_8%'!B23-1</f>
        <v>41</v>
      </c>
      <c r="E23" s="175">
        <f>IF(AND(C23&lt;=Last_Prem,MOD(A22,Mode)=0,C23&gt;INPUT!$C$13,A23&lt;=Revival!$C$11),Mod_Prem,0)</f>
        <v>0</v>
      </c>
      <c r="F23" s="177">
        <f>E23*VLOOKUP(B23,'Pre-Calculation'!$H$1:$I$31,2,FALSE)</f>
        <v>0</v>
      </c>
      <c r="G23" s="177">
        <f>IF(B23&lt;PT+1,VLOOKUP(B23,'Pre-Calculation'!$H$1:$L$32,3,FALSE)+VLOOKUP(B23,'Pre-Calculation'!$H$1:$L$32,4,FALSE)*'Pre-Calculation'!$D$7,0)</f>
        <v>830</v>
      </c>
      <c r="H23" s="175">
        <f>(E23-(F23+G23)*(1+Tax)+N22)</f>
        <v>897674.2308</v>
      </c>
      <c r="I23" s="175">
        <f>IF(B23&lt;PT+1,VLOOKUP(D23,'Pre-Calculation'!$N$3:$P$79,IF(INPUT!$C$4="M",2,3),FALSE)*(J23/1000)*(1/12),0)</f>
        <v>16.70468182</v>
      </c>
      <c r="J23" s="175">
        <f t="shared" si="3"/>
        <v>102325.7692</v>
      </c>
      <c r="K23" s="175">
        <f>(IF('Pre-Calculation'!$D$17="Type 4 a",MAX(SA,H23,1.05*Q23),IF('Pre-Calculation'!$D$17="Type 4 c",H23,IF('Pre-Calculation'!$D$17="Type 4 d",SA+H23,IF('Pre-Calculation'!$D$17="Type 4 e",MAX(SA,H23),IF('Pre-Calculation'!$D$17="Type 4 f",SA,IF('Pre-Calculation'!$D$17="Type 4 g",1000+H23,IF('Pre-Calculation'!$D$17="Type 4 h",SA+X23,IF('Pre-Calculation'!$D$17="Type 4 i",MAX(H23,Q23),IF('Pre-Calculation'!$D$17="Type 4 k",MAX(H23,1.01*Q23),IF('Pre-Calculation'!$D$17="Type 4 m",MAX(105%*Q23,SA+H23),IF('Pre-Calculation'!$D$17="Type 4 o",MAX(SA,105%*Q23)+X23+Z23,IF('Pre-Calculation'!$D$17="Type 5",0)))))))))))))*IF(AND(A23&lt;Revival!$C$4,'Cashflows_8%'!C23&gt;=Revival!$D$12),PUP,1)</f>
        <v>1000000</v>
      </c>
      <c r="L23" s="175">
        <f>H23-I23*(1+Tax)</f>
        <v>897654.5193</v>
      </c>
      <c r="M23" s="175">
        <f>L23*(1+GROWTH_RATE_H)*(1-FMC*(1+Tax))</f>
        <v>902231.4043</v>
      </c>
      <c r="N23" s="175">
        <f>M23+IF(MOD(A23,B23)=0,VLOOKUP(B23,'Pre-Calculation'!$H$1:$L$31,5,FALSE),0)*IF('Pre-Calculation'!$D$16="% OF FV",M23,IF(OR('Pre-Calculation'!$D$16="% OF AFV(24M)",'Pre-Calculation'!$D$16="% OF AFV(8Q)"),AVERAGE( $M$7:$M23),IF('Pre-Calculation'!$D$16="% OF AFV(12M)",AVERAGE($M12:M23),IF('Pre-Calculation'!$D$16="% OF AFV(36M)",AVERAGE($M$7:M23)))))</f>
        <v>902231.4043</v>
      </c>
      <c r="O23" s="175">
        <f t="shared" si="4"/>
        <v>902231.4043</v>
      </c>
      <c r="P23" s="175">
        <f>IF('Pre-Calculation'!$D$17="Type 4 a",MAX(SA,N23,1.05*Q23),IF('Pre-Calculation'!$D$17="Type 4 c",N23,IF('Pre-Calculation'!$D$17="Type 4 d",SA+N23,IF('Pre-Calculation'!$D$17="Type 4 e",MAX(SA,N23),IF('Pre-Calculation'!$D$17="Type 4 f",SA,IF('Pre-Calculation'!$D$17="Type 4 g",1000+N23,IF('Pre-Calculation'!$D$17="Type 4 h",SA+X23,IF('Pre-Calculation'!$D$17="Type 4 i",MAX(N23,Q23),IF('Pre-Calculation'!$D$17="Type 4 k",MAX(N23,1.01*Q23),IF('Pre-Calculation'!$D$17="Type 4 m",MAX(105%*Q23,SA+N23),IF('Pre-Calculation'!$D$17="Type 4 o",MAX(SA,105%*Q23)+X23+Z23,IF('Pre-Calculation'!$D$17="Type 5",0))))))))))))</f>
        <v>1000000</v>
      </c>
      <c r="Q23" s="175">
        <f t="shared" si="5"/>
        <v>700000</v>
      </c>
      <c r="R23" s="119">
        <f>L23*(1+GROWTH_RATE)*FMC</f>
        <v>1015.8061</v>
      </c>
      <c r="S23" s="178">
        <f>S22*(1+'Pre-Calculation'!$E$27)</f>
        <v>682462.5934</v>
      </c>
      <c r="T23" s="175">
        <f>-E23+IF(A22=INPUT!$C$11*12,N23,0)</f>
        <v>0</v>
      </c>
      <c r="U23" s="175">
        <f t="shared" si="6"/>
        <v>911096.1281</v>
      </c>
      <c r="V23" s="175">
        <f>U23*(1+GROWTH_RATE_H)*(1-'Pre-Calculation'!$E$31)</f>
        <v>915431.1155</v>
      </c>
      <c r="W23" s="175">
        <f>-E23+IF(A22=INPUT!$C$11*12,V23,0)</f>
        <v>0</v>
      </c>
      <c r="X23" s="179">
        <f t="array" ref="X23">NPV('Pre-Calculation'!$E$20,$E24:E$246)</f>
        <v>268417.4389</v>
      </c>
      <c r="Y23" s="171">
        <f>10%*SA</f>
        <v>100000</v>
      </c>
      <c r="Z23" s="179">
        <f t="array" ref="Z23">NPV('Pre-Calculation'!$E$20,Y24:Y33)</f>
        <v>969592.8037</v>
      </c>
    </row>
    <row r="24" ht="15.75" customHeight="1">
      <c r="A24" s="171">
        <f t="shared" si="1"/>
        <v>78</v>
      </c>
      <c r="B24" s="171">
        <f t="shared" si="2"/>
        <v>7</v>
      </c>
      <c r="C24" s="176">
        <f>EDATE(RCD,A23)</f>
        <v>44895</v>
      </c>
      <c r="D24" s="171">
        <f>Age_At_Entry+'Cashflows_8%'!B24-1</f>
        <v>41</v>
      </c>
      <c r="E24" s="175">
        <f>IF(AND(C24&lt;=Last_Prem,MOD(A23,Mode)=0,C24&gt;INPUT!$C$13,A24&lt;=Revival!$C$11),Mod_Prem,0)</f>
        <v>0</v>
      </c>
      <c r="F24" s="177">
        <f>E24*VLOOKUP(B24,'Pre-Calculation'!$H$1:$I$31,2,FALSE)</f>
        <v>0</v>
      </c>
      <c r="G24" s="177">
        <f>IF(B24&lt;PT+1,VLOOKUP(B24,'Pre-Calculation'!$H$1:$L$32,3,FALSE)+VLOOKUP(B24,'Pre-Calculation'!$H$1:$L$32,4,FALSE)*'Pre-Calculation'!$D$7,0)</f>
        <v>830</v>
      </c>
      <c r="H24" s="175">
        <f>(E24-(F24+G24)*(1+Tax)+N23)</f>
        <v>901252.0043</v>
      </c>
      <c r="I24" s="175">
        <f>IF(B24&lt;PT+1,VLOOKUP(D24,'Pre-Calculation'!$N$3:$P$79,IF(INPUT!$C$4="M",2,3),FALSE)*(J24/1000)*(1/12),0)</f>
        <v>16.12061029</v>
      </c>
      <c r="J24" s="175">
        <f t="shared" si="3"/>
        <v>98747.99568</v>
      </c>
      <c r="K24" s="175">
        <f>(IF('Pre-Calculation'!$D$17="Type 4 a",MAX(SA,H24,1.05*Q24),IF('Pre-Calculation'!$D$17="Type 4 c",H24,IF('Pre-Calculation'!$D$17="Type 4 d",SA+H24,IF('Pre-Calculation'!$D$17="Type 4 e",MAX(SA,H24),IF('Pre-Calculation'!$D$17="Type 4 f",SA,IF('Pre-Calculation'!$D$17="Type 4 g",1000+H24,IF('Pre-Calculation'!$D$17="Type 4 h",SA+X24,IF('Pre-Calculation'!$D$17="Type 4 i",MAX(H24,Q24),IF('Pre-Calculation'!$D$17="Type 4 k",MAX(H24,1.01*Q24),IF('Pre-Calculation'!$D$17="Type 4 m",MAX(105%*Q24,SA+H24),IF('Pre-Calculation'!$D$17="Type 4 o",MAX(SA,105%*Q24)+X24+Z24,IF('Pre-Calculation'!$D$17="Type 5",0)))))))))))))*IF(AND(A24&lt;Revival!$C$4,'Cashflows_8%'!C24&gt;=Revival!$D$12),PUP,1)</f>
        <v>1000000</v>
      </c>
      <c r="L24" s="175">
        <f>H24-I24*(1+Tax)</f>
        <v>901232.982</v>
      </c>
      <c r="M24" s="175">
        <f>L24*(1+GROWTH_RATE_H)*(1-FMC*(1+Tax))</f>
        <v>905828.1126</v>
      </c>
      <c r="N24" s="175">
        <f>M24+IF(MOD(A24,B24)=0,VLOOKUP(B24,'Pre-Calculation'!$H$1:$L$31,5,FALSE),0)*IF('Pre-Calculation'!$D$16="% OF FV",M24,IF(OR('Pre-Calculation'!$D$16="% OF AFV(24M)",'Pre-Calculation'!$D$16="% OF AFV(8Q)"),AVERAGE( $M$7:$M24),IF('Pre-Calculation'!$D$16="% OF AFV(12M)",AVERAGE($M13:M24),IF('Pre-Calculation'!$D$16="% OF AFV(36M)",AVERAGE($M$7:M24)))))</f>
        <v>905828.1126</v>
      </c>
      <c r="O24" s="175">
        <f t="shared" si="4"/>
        <v>905828.1126</v>
      </c>
      <c r="P24" s="175">
        <f>IF('Pre-Calculation'!$D$17="Type 4 a",MAX(SA,N24,1.05*Q24),IF('Pre-Calculation'!$D$17="Type 4 c",N24,IF('Pre-Calculation'!$D$17="Type 4 d",SA+N24,IF('Pre-Calculation'!$D$17="Type 4 e",MAX(SA,N24),IF('Pre-Calculation'!$D$17="Type 4 f",SA,IF('Pre-Calculation'!$D$17="Type 4 g",1000+N24,IF('Pre-Calculation'!$D$17="Type 4 h",SA+X24,IF('Pre-Calculation'!$D$17="Type 4 i",MAX(N24,Q24),IF('Pre-Calculation'!$D$17="Type 4 k",MAX(N24,1.01*Q24),IF('Pre-Calculation'!$D$17="Type 4 m",MAX(105%*Q24,SA+N24),IF('Pre-Calculation'!$D$17="Type 4 o",MAX(SA,105%*Q24)+X24+Z24,IF('Pre-Calculation'!$D$17="Type 5",0))))))))))))</f>
        <v>1000000</v>
      </c>
      <c r="Q24" s="175">
        <f t="shared" si="5"/>
        <v>700000</v>
      </c>
      <c r="R24" s="119">
        <f>L24*(1+GROWTH_RATE)*FMC</f>
        <v>1019.855569</v>
      </c>
      <c r="S24" s="178">
        <f>S23*(1+'Pre-Calculation'!$E$27)</f>
        <v>684421.8744</v>
      </c>
      <c r="T24" s="175">
        <f>-E24+IF(A23=INPUT!$C$11*12,N24,0)</f>
        <v>0</v>
      </c>
      <c r="U24" s="175">
        <f t="shared" si="6"/>
        <v>915431.1155</v>
      </c>
      <c r="V24" s="175">
        <f>U24*(1+GROWTH_RATE_H)*(1-'Pre-Calculation'!$E$31)</f>
        <v>919786.7287</v>
      </c>
      <c r="W24" s="175">
        <f>-E24+IF(A23=INPUT!$C$11*12,V24,0)</f>
        <v>0</v>
      </c>
      <c r="X24" s="179">
        <f t="array" ref="X24">NPV('Pre-Calculation'!$E$20,$E25:E$246)</f>
        <v>269935.1101</v>
      </c>
      <c r="Y24" s="171">
        <f>10%*SA</f>
        <v>100000</v>
      </c>
      <c r="Z24" s="179">
        <f t="array" ref="Z24">NPV('Pre-Calculation'!$E$20,Y25:Y34)</f>
        <v>969592.8037</v>
      </c>
    </row>
    <row r="25" ht="15.75" customHeight="1">
      <c r="A25" s="171">
        <f t="shared" si="1"/>
        <v>79</v>
      </c>
      <c r="B25" s="171">
        <f t="shared" si="2"/>
        <v>7</v>
      </c>
      <c r="C25" s="176">
        <f>EDATE(RCD,A24)</f>
        <v>44925</v>
      </c>
      <c r="D25" s="171">
        <f>Age_At_Entry+'Cashflows_8%'!B25-1</f>
        <v>41</v>
      </c>
      <c r="E25" s="175">
        <f>IF(AND(C25&lt;=Last_Prem,MOD(A24,Mode)=0,C25&gt;INPUT!$C$13,A25&lt;=Revival!$C$11),Mod_Prem,0)</f>
        <v>0</v>
      </c>
      <c r="F25" s="177">
        <f>E25*VLOOKUP(B25,'Pre-Calculation'!$H$1:$I$31,2,FALSE)</f>
        <v>0</v>
      </c>
      <c r="G25" s="177">
        <f>IF(B25&lt;PT+1,VLOOKUP(B25,'Pre-Calculation'!$H$1:$L$32,3,FALSE)+VLOOKUP(B25,'Pre-Calculation'!$H$1:$L$32,4,FALSE)*'Pre-Calculation'!$D$7,0)</f>
        <v>830</v>
      </c>
      <c r="H25" s="175">
        <f>(E25-(F25+G25)*(1+Tax)+N24)</f>
        <v>904848.7126</v>
      </c>
      <c r="I25" s="175">
        <f>IF(B25&lt;PT+1,VLOOKUP(D25,'Pre-Calculation'!$N$3:$P$79,IF(INPUT!$C$4="M",2,3),FALSE)*(J25/1000)*(1/12),0)</f>
        <v>15.53344767</v>
      </c>
      <c r="J25" s="175">
        <f t="shared" si="3"/>
        <v>95151.28743</v>
      </c>
      <c r="K25" s="175">
        <f>(IF('Pre-Calculation'!$D$17="Type 4 a",MAX(SA,H25,1.05*Q25),IF('Pre-Calculation'!$D$17="Type 4 c",H25,IF('Pre-Calculation'!$D$17="Type 4 d",SA+H25,IF('Pre-Calculation'!$D$17="Type 4 e",MAX(SA,H25),IF('Pre-Calculation'!$D$17="Type 4 f",SA,IF('Pre-Calculation'!$D$17="Type 4 g",1000+H25,IF('Pre-Calculation'!$D$17="Type 4 h",SA+X25,IF('Pre-Calculation'!$D$17="Type 4 i",MAX(H25,Q25),IF('Pre-Calculation'!$D$17="Type 4 k",MAX(H25,1.01*Q25),IF('Pre-Calculation'!$D$17="Type 4 m",MAX(105%*Q25,SA+H25),IF('Pre-Calculation'!$D$17="Type 4 o",MAX(SA,105%*Q25)+X25+Z25,IF('Pre-Calculation'!$D$17="Type 5",0)))))))))))))*IF(AND(A25&lt;Revival!$C$4,'Cashflows_8%'!C25&gt;=Revival!$D$12),PUP,1)</f>
        <v>1000000</v>
      </c>
      <c r="L25" s="175">
        <f>H25-I25*(1+Tax)</f>
        <v>904830.3831</v>
      </c>
      <c r="M25" s="175">
        <f>L25*(1+GROWTH_RATE_H)*(1-FMC*(1+Tax))</f>
        <v>909443.8558</v>
      </c>
      <c r="N25" s="175">
        <f>M25+IF(MOD(A25,B25)=0,VLOOKUP(B25,'Pre-Calculation'!$H$1:$L$31,5,FALSE),0)*IF('Pre-Calculation'!$D$16="% OF FV",M25,IF(OR('Pre-Calculation'!$D$16="% OF AFV(24M)",'Pre-Calculation'!$D$16="% OF AFV(8Q)"),AVERAGE( $M$7:$M25),IF('Pre-Calculation'!$D$16="% OF AFV(12M)",AVERAGE($M14:M25),IF('Pre-Calculation'!$D$16="% OF AFV(36M)",AVERAGE($M$7:M25)))))</f>
        <v>909443.8558</v>
      </c>
      <c r="O25" s="175">
        <f t="shared" si="4"/>
        <v>909443.8558</v>
      </c>
      <c r="P25" s="175">
        <f>IF('Pre-Calculation'!$D$17="Type 4 a",MAX(SA,N25,1.05*Q25),IF('Pre-Calculation'!$D$17="Type 4 c",N25,IF('Pre-Calculation'!$D$17="Type 4 d",SA+N25,IF('Pre-Calculation'!$D$17="Type 4 e",MAX(SA,N25),IF('Pre-Calculation'!$D$17="Type 4 f",SA,IF('Pre-Calculation'!$D$17="Type 4 g",1000+N25,IF('Pre-Calculation'!$D$17="Type 4 h",SA+X25,IF('Pre-Calculation'!$D$17="Type 4 i",MAX(N25,Q25),IF('Pre-Calculation'!$D$17="Type 4 k",MAX(N25,1.01*Q25),IF('Pre-Calculation'!$D$17="Type 4 m",MAX(105%*Q25,SA+N25),IF('Pre-Calculation'!$D$17="Type 4 o",MAX(SA,105%*Q25)+X25+Z25,IF('Pre-Calculation'!$D$17="Type 5",0))))))))))))</f>
        <v>1000000</v>
      </c>
      <c r="Q25" s="175">
        <f t="shared" si="5"/>
        <v>700000</v>
      </c>
      <c r="R25" s="119">
        <f>L25*(1+GROWTH_RATE)*FMC</f>
        <v>1023.926469</v>
      </c>
      <c r="S25" s="178">
        <f>S24*(1+'Pre-Calculation'!$E$27)</f>
        <v>686386.7803</v>
      </c>
      <c r="T25" s="175">
        <f>-E25+IF(A24=INPUT!$C$11*12,N25,0)</f>
        <v>0</v>
      </c>
      <c r="U25" s="175">
        <f t="shared" si="6"/>
        <v>919786.7287</v>
      </c>
      <c r="V25" s="175">
        <f>U25*(1+GROWTH_RATE_H)*(1-'Pre-Calculation'!$E$31)</f>
        <v>924163.0659</v>
      </c>
      <c r="W25" s="175">
        <f>-E25+IF(A24=INPUT!$C$11*12,V25,0)</f>
        <v>0</v>
      </c>
      <c r="X25" s="179">
        <f t="array" ref="X25">NPV('Pre-Calculation'!$E$20,$E26:E$246)</f>
        <v>271461.3624</v>
      </c>
      <c r="Y25" s="171">
        <f>10%*SA</f>
        <v>100000</v>
      </c>
      <c r="Z25" s="179">
        <f t="array" ref="Z25">NPV('Pre-Calculation'!$E$20,Y26:Y35)</f>
        <v>969592.8037</v>
      </c>
    </row>
    <row r="26" ht="15.75" customHeight="1">
      <c r="A26" s="171">
        <f t="shared" si="1"/>
        <v>80</v>
      </c>
      <c r="B26" s="171">
        <f t="shared" si="2"/>
        <v>7</v>
      </c>
      <c r="C26" s="176">
        <f>EDATE(RCD,A25)</f>
        <v>44956</v>
      </c>
      <c r="D26" s="171">
        <f>Age_At_Entry+'Cashflows_8%'!B26-1</f>
        <v>41</v>
      </c>
      <c r="E26" s="175">
        <f>IF(AND(C26&lt;=Last_Prem,MOD(A25,Mode)=0,C26&gt;INPUT!$C$13,A26&lt;=Revival!$C$11),Mod_Prem,0)</f>
        <v>0</v>
      </c>
      <c r="F26" s="177">
        <f>E26*VLOOKUP(B26,'Pre-Calculation'!$H$1:$I$31,2,FALSE)</f>
        <v>0</v>
      </c>
      <c r="G26" s="177">
        <f>IF(B26&lt;PT+1,VLOOKUP(B26,'Pre-Calculation'!$H$1:$L$32,3,FALSE)+VLOOKUP(B26,'Pre-Calculation'!$H$1:$L$32,4,FALSE)*'Pre-Calculation'!$D$7,0)</f>
        <v>830</v>
      </c>
      <c r="H26" s="175">
        <f>(E26-(F26+G26)*(1+Tax)+N25)</f>
        <v>908464.4558</v>
      </c>
      <c r="I26" s="175">
        <f>IF(B26&lt;PT+1,VLOOKUP(D26,'Pre-Calculation'!$N$3:$P$79,IF(INPUT!$C$4="M",2,3),FALSE)*(J26/1000)*(1/12),0)</f>
        <v>14.94317759</v>
      </c>
      <c r="J26" s="175">
        <f t="shared" si="3"/>
        <v>91535.5442</v>
      </c>
      <c r="K26" s="175">
        <f>(IF('Pre-Calculation'!$D$17="Type 4 a",MAX(SA,H26,1.05*Q26),IF('Pre-Calculation'!$D$17="Type 4 c",H26,IF('Pre-Calculation'!$D$17="Type 4 d",SA+H26,IF('Pre-Calculation'!$D$17="Type 4 e",MAX(SA,H26),IF('Pre-Calculation'!$D$17="Type 4 f",SA,IF('Pre-Calculation'!$D$17="Type 4 g",1000+H26,IF('Pre-Calculation'!$D$17="Type 4 h",SA+X26,IF('Pre-Calculation'!$D$17="Type 4 i",MAX(H26,Q26),IF('Pre-Calculation'!$D$17="Type 4 k",MAX(H26,1.01*Q26),IF('Pre-Calculation'!$D$17="Type 4 m",MAX(105%*Q26,SA+H26),IF('Pre-Calculation'!$D$17="Type 4 o",MAX(SA,105%*Q26)+X26+Z26,IF('Pre-Calculation'!$D$17="Type 5",0)))))))))))))*IF(AND(A26&lt;Revival!$C$4,'Cashflows_8%'!C26&gt;=Revival!$D$12),PUP,1)</f>
        <v>1000000</v>
      </c>
      <c r="L26" s="175">
        <f>H26-I26*(1+Tax)</f>
        <v>908446.8228</v>
      </c>
      <c r="M26" s="175">
        <f>L26*(1+GROWTH_RATE_H)*(1-FMC*(1+Tax))</f>
        <v>913078.7347</v>
      </c>
      <c r="N26" s="175">
        <f>M26+IF(MOD(A26,B26)=0,VLOOKUP(B26,'Pre-Calculation'!$H$1:$L$31,5,FALSE),0)*IF('Pre-Calculation'!$D$16="% OF FV",M26,IF(OR('Pre-Calculation'!$D$16="% OF AFV(24M)",'Pre-Calculation'!$D$16="% OF AFV(8Q)"),AVERAGE( $M$7:$M26),IF('Pre-Calculation'!$D$16="% OF AFV(12M)",AVERAGE($M15:M26),IF('Pre-Calculation'!$D$16="% OF AFV(36M)",AVERAGE($M$7:M26)))))</f>
        <v>913078.7347</v>
      </c>
      <c r="O26" s="175">
        <f t="shared" si="4"/>
        <v>913078.7347</v>
      </c>
      <c r="P26" s="175">
        <f>IF('Pre-Calculation'!$D$17="Type 4 a",MAX(SA,N26,1.05*Q26),IF('Pre-Calculation'!$D$17="Type 4 c",N26,IF('Pre-Calculation'!$D$17="Type 4 d",SA+N26,IF('Pre-Calculation'!$D$17="Type 4 e",MAX(SA,N26),IF('Pre-Calculation'!$D$17="Type 4 f",SA,IF('Pre-Calculation'!$D$17="Type 4 g",1000+N26,IF('Pre-Calculation'!$D$17="Type 4 h",SA+X26,IF('Pre-Calculation'!$D$17="Type 4 i",MAX(N26,Q26),IF('Pre-Calculation'!$D$17="Type 4 k",MAX(N26,1.01*Q26),IF('Pre-Calculation'!$D$17="Type 4 m",MAX(105%*Q26,SA+N26),IF('Pre-Calculation'!$D$17="Type 4 o",MAX(SA,105%*Q26)+X26+Z26,IF('Pre-Calculation'!$D$17="Type 5",0))))))))))))</f>
        <v>1000000</v>
      </c>
      <c r="Q26" s="175">
        <f t="shared" si="5"/>
        <v>700000</v>
      </c>
      <c r="R26" s="119">
        <f>L26*(1+GROWTH_RATE)*FMC</f>
        <v>1028.018914</v>
      </c>
      <c r="S26" s="178">
        <f>S25*(1+'Pre-Calculation'!$E$27)</f>
        <v>688357.3272</v>
      </c>
      <c r="T26" s="175">
        <f>-E26+IF(A25=INPUT!$C$11*12,N26,0)</f>
        <v>0</v>
      </c>
      <c r="U26" s="175">
        <f t="shared" si="6"/>
        <v>924163.0659</v>
      </c>
      <c r="V26" s="175">
        <f>U26*(1+GROWTH_RATE_H)*(1-'Pre-Calculation'!$E$31)</f>
        <v>928560.2256</v>
      </c>
      <c r="W26" s="175">
        <f>-E26+IF(A25=INPUT!$C$11*12,V26,0)</f>
        <v>0</v>
      </c>
      <c r="X26" s="179">
        <f t="array" ref="X26">NPV('Pre-Calculation'!$E$20,$E27:E$246)</f>
        <v>272996.2445</v>
      </c>
      <c r="Y26" s="171">
        <f>10%*SA</f>
        <v>100000</v>
      </c>
      <c r="Z26" s="179">
        <f t="array" ref="Z26">NPV('Pre-Calculation'!$E$20,Y27:Y36)</f>
        <v>969592.8037</v>
      </c>
    </row>
    <row r="27" ht="15.75" customHeight="1">
      <c r="A27" s="171">
        <f t="shared" si="1"/>
        <v>81</v>
      </c>
      <c r="B27" s="171">
        <f t="shared" si="2"/>
        <v>7</v>
      </c>
      <c r="C27" s="176">
        <f>EDATE(RCD,A26)</f>
        <v>44985</v>
      </c>
      <c r="D27" s="171">
        <f>Age_At_Entry+'Cashflows_8%'!B27-1</f>
        <v>41</v>
      </c>
      <c r="E27" s="175">
        <f>IF(AND(C27&lt;=Last_Prem,MOD(A26,Mode)=0,C27&gt;INPUT!$C$13,A27&lt;=Revival!$C$11),Mod_Prem,0)</f>
        <v>0</v>
      </c>
      <c r="F27" s="177">
        <f>E27*VLOOKUP(B27,'Pre-Calculation'!$H$1:$I$31,2,FALSE)</f>
        <v>0</v>
      </c>
      <c r="G27" s="177">
        <f>IF(B27&lt;PT+1,VLOOKUP(B27,'Pre-Calculation'!$H$1:$L$32,3,FALSE)+VLOOKUP(B27,'Pre-Calculation'!$H$1:$L$32,4,FALSE)*'Pre-Calculation'!$D$7,0)</f>
        <v>830</v>
      </c>
      <c r="H27" s="175">
        <f>(E27-(F27+G27)*(1+Tax)+N26)</f>
        <v>912099.3347</v>
      </c>
      <c r="I27" s="175">
        <f>IF(B27&lt;PT+1,VLOOKUP(D27,'Pre-Calculation'!$N$3:$P$79,IF(INPUT!$C$4="M",2,3),FALSE)*(J27/1000)*(1/12),0)</f>
        <v>14.3497836</v>
      </c>
      <c r="J27" s="175">
        <f t="shared" si="3"/>
        <v>87900.66526</v>
      </c>
      <c r="K27" s="175">
        <f>(IF('Pre-Calculation'!$D$17="Type 4 a",MAX(SA,H27,1.05*Q27),IF('Pre-Calculation'!$D$17="Type 4 c",H27,IF('Pre-Calculation'!$D$17="Type 4 d",SA+H27,IF('Pre-Calculation'!$D$17="Type 4 e",MAX(SA,H27),IF('Pre-Calculation'!$D$17="Type 4 f",SA,IF('Pre-Calculation'!$D$17="Type 4 g",1000+H27,IF('Pre-Calculation'!$D$17="Type 4 h",SA+X27,IF('Pre-Calculation'!$D$17="Type 4 i",MAX(H27,Q27),IF('Pre-Calculation'!$D$17="Type 4 k",MAX(H27,1.01*Q27),IF('Pre-Calculation'!$D$17="Type 4 m",MAX(105%*Q27,SA+H27),IF('Pre-Calculation'!$D$17="Type 4 o",MAX(SA,105%*Q27)+X27+Z27,IF('Pre-Calculation'!$D$17="Type 5",0)))))))))))))*IF(AND(A27&lt;Revival!$C$4,'Cashflows_8%'!C27&gt;=Revival!$D$12),PUP,1)</f>
        <v>1000000</v>
      </c>
      <c r="L27" s="175">
        <f>H27-I27*(1+Tax)</f>
        <v>912082.402</v>
      </c>
      <c r="M27" s="175">
        <f>L27*(1+GROWTH_RATE_H)*(1-FMC*(1+Tax))</f>
        <v>916732.8507</v>
      </c>
      <c r="N27" s="175">
        <f>M27+IF(MOD(A27,B27)=0,VLOOKUP(B27,'Pre-Calculation'!$H$1:$L$31,5,FALSE),0)*IF('Pre-Calculation'!$D$16="% OF FV",M27,IF(OR('Pre-Calculation'!$D$16="% OF AFV(24M)",'Pre-Calculation'!$D$16="% OF AFV(8Q)"),AVERAGE( $M$7:$M27),IF('Pre-Calculation'!$D$16="% OF AFV(12M)",AVERAGE($M16:M27),IF('Pre-Calculation'!$D$16="% OF AFV(36M)",AVERAGE($M$7:M27)))))</f>
        <v>916732.8507</v>
      </c>
      <c r="O27" s="175">
        <f t="shared" si="4"/>
        <v>916732.8507</v>
      </c>
      <c r="P27" s="175">
        <f>IF('Pre-Calculation'!$D$17="Type 4 a",MAX(SA,N27,1.05*Q27),IF('Pre-Calculation'!$D$17="Type 4 c",N27,IF('Pre-Calculation'!$D$17="Type 4 d",SA+N27,IF('Pre-Calculation'!$D$17="Type 4 e",MAX(SA,N27),IF('Pre-Calculation'!$D$17="Type 4 f",SA,IF('Pre-Calculation'!$D$17="Type 4 g",1000+N27,IF('Pre-Calculation'!$D$17="Type 4 h",SA+X27,IF('Pre-Calculation'!$D$17="Type 4 i",MAX(N27,Q27),IF('Pre-Calculation'!$D$17="Type 4 k",MAX(N27,1.01*Q27),IF('Pre-Calculation'!$D$17="Type 4 m",MAX(105%*Q27,SA+N27),IF('Pre-Calculation'!$D$17="Type 4 o",MAX(SA,105%*Q27)+X27+Z27,IF('Pre-Calculation'!$D$17="Type 5",0))))))))))))</f>
        <v>1000000</v>
      </c>
      <c r="Q27" s="175">
        <f t="shared" si="5"/>
        <v>700000</v>
      </c>
      <c r="R27" s="119">
        <f>L27*(1+GROWTH_RATE)*FMC</f>
        <v>1032.133017</v>
      </c>
      <c r="S27" s="178">
        <f>S26*(1+'Pre-Calculation'!$E$27)</f>
        <v>690333.5314</v>
      </c>
      <c r="T27" s="175">
        <f>-E27+IF(A26=INPUT!$C$11*12,N27,0)</f>
        <v>0</v>
      </c>
      <c r="U27" s="175">
        <f t="shared" si="6"/>
        <v>928560.2256</v>
      </c>
      <c r="V27" s="175">
        <f>U27*(1+GROWTH_RATE_H)*(1-'Pre-Calculation'!$E$31)</f>
        <v>932978.307</v>
      </c>
      <c r="W27" s="175">
        <f>-E27+IF(A26=INPUT!$C$11*12,V27,0)</f>
        <v>0</v>
      </c>
      <c r="X27" s="179">
        <f t="array" ref="X27">NPV('Pre-Calculation'!$E$20,$E28:E$246)</f>
        <v>274539.8049</v>
      </c>
      <c r="Y27" s="171">
        <f>10%*SA</f>
        <v>100000</v>
      </c>
      <c r="Z27" s="179">
        <f t="array" ref="Z27">NPV('Pre-Calculation'!$E$20,Y28:Y37)</f>
        <v>969592.8037</v>
      </c>
    </row>
    <row r="28" ht="15.75" customHeight="1">
      <c r="A28" s="171">
        <f t="shared" si="1"/>
        <v>82</v>
      </c>
      <c r="B28" s="171">
        <f t="shared" si="2"/>
        <v>7</v>
      </c>
      <c r="C28" s="176">
        <f>EDATE(RCD,A27)</f>
        <v>45015</v>
      </c>
      <c r="D28" s="171">
        <f>Age_At_Entry+'Cashflows_8%'!B28-1</f>
        <v>41</v>
      </c>
      <c r="E28" s="175">
        <f>IF(AND(C28&lt;=Last_Prem,MOD(A27,Mode)=0,C28&gt;INPUT!$C$13,A28&lt;=Revival!$C$11),Mod_Prem,0)</f>
        <v>0</v>
      </c>
      <c r="F28" s="177">
        <f>E28*VLOOKUP(B28,'Pre-Calculation'!$H$1:$I$31,2,FALSE)</f>
        <v>0</v>
      </c>
      <c r="G28" s="177">
        <f>IF(B28&lt;PT+1,VLOOKUP(B28,'Pre-Calculation'!$H$1:$L$32,3,FALSE)+VLOOKUP(B28,'Pre-Calculation'!$H$1:$L$32,4,FALSE)*'Pre-Calculation'!$D$7,0)</f>
        <v>830</v>
      </c>
      <c r="H28" s="175">
        <f>(E28-(F28+G28)*(1+Tax)+N27)</f>
        <v>915753.4507</v>
      </c>
      <c r="I28" s="175">
        <f>IF(B28&lt;PT+1,VLOOKUP(D28,'Pre-Calculation'!$N$3:$P$79,IF(INPUT!$C$4="M",2,3),FALSE)*(J28/1000)*(1/12),0)</f>
        <v>13.75324918</v>
      </c>
      <c r="J28" s="175">
        <f t="shared" si="3"/>
        <v>84246.54933</v>
      </c>
      <c r="K28" s="175">
        <f>(IF('Pre-Calculation'!$D$17="Type 4 a",MAX(SA,H28,1.05*Q28),IF('Pre-Calculation'!$D$17="Type 4 c",H28,IF('Pre-Calculation'!$D$17="Type 4 d",SA+H28,IF('Pre-Calculation'!$D$17="Type 4 e",MAX(SA,H28),IF('Pre-Calculation'!$D$17="Type 4 f",SA,IF('Pre-Calculation'!$D$17="Type 4 g",1000+H28,IF('Pre-Calculation'!$D$17="Type 4 h",SA+X28,IF('Pre-Calculation'!$D$17="Type 4 i",MAX(H28,Q28),IF('Pre-Calculation'!$D$17="Type 4 k",MAX(H28,1.01*Q28),IF('Pre-Calculation'!$D$17="Type 4 m",MAX(105%*Q28,SA+H28),IF('Pre-Calculation'!$D$17="Type 4 o",MAX(SA,105%*Q28)+X28+Z28,IF('Pre-Calculation'!$D$17="Type 5",0)))))))))))))*IF(AND(A28&lt;Revival!$C$4,'Cashflows_8%'!C28&gt;=Revival!$D$12),PUP,1)</f>
        <v>1000000</v>
      </c>
      <c r="L28" s="175">
        <f>H28-I28*(1+Tax)</f>
        <v>915737.2218</v>
      </c>
      <c r="M28" s="175">
        <f>L28*(1+GROWTH_RATE_H)*(1-FMC*(1+Tax))</f>
        <v>920406.3054</v>
      </c>
      <c r="N28" s="175">
        <f>M28+IF(MOD(A28,B28)=0,VLOOKUP(B28,'Pre-Calculation'!$H$1:$L$31,5,FALSE),0)*IF('Pre-Calculation'!$D$16="% OF FV",M28,IF(OR('Pre-Calculation'!$D$16="% OF AFV(24M)",'Pre-Calculation'!$D$16="% OF AFV(8Q)"),AVERAGE( $M$7:$M28),IF('Pre-Calculation'!$D$16="% OF AFV(12M)",AVERAGE($M17:M28),IF('Pre-Calculation'!$D$16="% OF AFV(36M)",AVERAGE($M$7:M28)))))</f>
        <v>920406.3054</v>
      </c>
      <c r="O28" s="175">
        <f t="shared" si="4"/>
        <v>920406.3054</v>
      </c>
      <c r="P28" s="175">
        <f>IF('Pre-Calculation'!$D$17="Type 4 a",MAX(SA,N28,1.05*Q28),IF('Pre-Calculation'!$D$17="Type 4 c",N28,IF('Pre-Calculation'!$D$17="Type 4 d",SA+N28,IF('Pre-Calculation'!$D$17="Type 4 e",MAX(SA,N28),IF('Pre-Calculation'!$D$17="Type 4 f",SA,IF('Pre-Calculation'!$D$17="Type 4 g",1000+N28,IF('Pre-Calculation'!$D$17="Type 4 h",SA+X28,IF('Pre-Calculation'!$D$17="Type 4 i",MAX(N28,Q28),IF('Pre-Calculation'!$D$17="Type 4 k",MAX(N28,1.01*Q28),IF('Pre-Calculation'!$D$17="Type 4 m",MAX(105%*Q28,SA+N28),IF('Pre-Calculation'!$D$17="Type 4 o",MAX(SA,105%*Q28)+X28+Z28,IF('Pre-Calculation'!$D$17="Type 5",0))))))))))))</f>
        <v>1000000</v>
      </c>
      <c r="Q28" s="175">
        <f t="shared" si="5"/>
        <v>700000</v>
      </c>
      <c r="R28" s="119">
        <f>L28*(1+GROWTH_RATE)*FMC</f>
        <v>1036.268894</v>
      </c>
      <c r="S28" s="178">
        <f>S27*(1+'Pre-Calculation'!$E$27)</f>
        <v>692315.4091</v>
      </c>
      <c r="T28" s="175">
        <f>-E28+IF(A27=INPUT!$C$11*12,N28,0)</f>
        <v>0</v>
      </c>
      <c r="U28" s="175">
        <f t="shared" si="6"/>
        <v>932978.307</v>
      </c>
      <c r="V28" s="175">
        <f>U28*(1+GROWTH_RATE_H)*(1-'Pre-Calculation'!$E$31)</f>
        <v>937417.4096</v>
      </c>
      <c r="W28" s="175">
        <f>-E28+IF(A27=INPUT!$C$11*12,V28,0)</f>
        <v>0</v>
      </c>
      <c r="X28" s="179">
        <f t="array" ref="X28">NPV('Pre-Calculation'!$E$20,$E29:E$246)</f>
        <v>276092.0929</v>
      </c>
      <c r="Y28" s="171">
        <f>10%*SA</f>
        <v>100000</v>
      </c>
      <c r="Z28" s="179">
        <f t="array" ref="Z28">NPV('Pre-Calculation'!$E$20,Y29:Y38)</f>
        <v>969592.8037</v>
      </c>
    </row>
    <row r="29" ht="15.75" customHeight="1">
      <c r="A29" s="171">
        <f t="shared" si="1"/>
        <v>83</v>
      </c>
      <c r="B29" s="171">
        <f t="shared" si="2"/>
        <v>7</v>
      </c>
      <c r="C29" s="176">
        <f>EDATE(RCD,A28)</f>
        <v>45046</v>
      </c>
      <c r="D29" s="171">
        <f>Age_At_Entry+'Cashflows_8%'!B29-1</f>
        <v>41</v>
      </c>
      <c r="E29" s="175">
        <f>IF(AND(C29&lt;=Last_Prem,MOD(A28,Mode)=0,C29&gt;INPUT!$C$13,A29&lt;=Revival!$C$11),Mod_Prem,0)</f>
        <v>0</v>
      </c>
      <c r="F29" s="177">
        <f>E29*VLOOKUP(B29,'Pre-Calculation'!$H$1:$I$31,2,FALSE)</f>
        <v>0</v>
      </c>
      <c r="G29" s="177">
        <f>IF(B29&lt;PT+1,VLOOKUP(B29,'Pre-Calculation'!$H$1:$L$32,3,FALSE)+VLOOKUP(B29,'Pre-Calculation'!$H$1:$L$32,4,FALSE)*'Pre-Calculation'!$D$7,0)</f>
        <v>830</v>
      </c>
      <c r="H29" s="175">
        <f>(E29-(F29+G29)*(1+Tax)+N28)</f>
        <v>919426.9054</v>
      </c>
      <c r="I29" s="175">
        <f>IF(B29&lt;PT+1,VLOOKUP(D29,'Pre-Calculation'!$N$3:$P$79,IF(INPUT!$C$4="M",2,3),FALSE)*(J29/1000)*(1/12),0)</f>
        <v>13.15355769</v>
      </c>
      <c r="J29" s="175">
        <f t="shared" si="3"/>
        <v>80573.0946</v>
      </c>
      <c r="K29" s="175">
        <f>(IF('Pre-Calculation'!$D$17="Type 4 a",MAX(SA,H29,1.05*Q29),IF('Pre-Calculation'!$D$17="Type 4 c",H29,IF('Pre-Calculation'!$D$17="Type 4 d",SA+H29,IF('Pre-Calculation'!$D$17="Type 4 e",MAX(SA,H29),IF('Pre-Calculation'!$D$17="Type 4 f",SA,IF('Pre-Calculation'!$D$17="Type 4 g",1000+H29,IF('Pre-Calculation'!$D$17="Type 4 h",SA+X29,IF('Pre-Calculation'!$D$17="Type 4 i",MAX(H29,Q29),IF('Pre-Calculation'!$D$17="Type 4 k",MAX(H29,1.01*Q29),IF('Pre-Calculation'!$D$17="Type 4 m",MAX(105%*Q29,SA+H29),IF('Pre-Calculation'!$D$17="Type 4 o",MAX(SA,105%*Q29)+X29+Z29,IF('Pre-Calculation'!$D$17="Type 5",0)))))))))))))*IF(AND(A29&lt;Revival!$C$4,'Cashflows_8%'!C29&gt;=Revival!$D$12),PUP,1)</f>
        <v>1000000</v>
      </c>
      <c r="L29" s="175">
        <f>H29-I29*(1+Tax)</f>
        <v>919411.3842</v>
      </c>
      <c r="M29" s="175">
        <f>L29*(1+GROWTH_RATE_H)*(1-FMC*(1+Tax))</f>
        <v>924099.2013</v>
      </c>
      <c r="N29" s="175">
        <f>M29+IF(MOD(A29,B29)=0,VLOOKUP(B29,'Pre-Calculation'!$H$1:$L$31,5,FALSE),0)*IF('Pre-Calculation'!$D$16="% OF FV",M29,IF(OR('Pre-Calculation'!$D$16="% OF AFV(24M)",'Pre-Calculation'!$D$16="% OF AFV(8Q)"),AVERAGE( $M$7:$M29),IF('Pre-Calculation'!$D$16="% OF AFV(12M)",AVERAGE($M18:M29),IF('Pre-Calculation'!$D$16="% OF AFV(36M)",AVERAGE($M$7:M29)))))</f>
        <v>924099.2013</v>
      </c>
      <c r="O29" s="175">
        <f t="shared" si="4"/>
        <v>924099.2013</v>
      </c>
      <c r="P29" s="175">
        <f>IF('Pre-Calculation'!$D$17="Type 4 a",MAX(SA,N29,1.05*Q29),IF('Pre-Calculation'!$D$17="Type 4 c",N29,IF('Pre-Calculation'!$D$17="Type 4 d",SA+N29,IF('Pre-Calculation'!$D$17="Type 4 e",MAX(SA,N29),IF('Pre-Calculation'!$D$17="Type 4 f",SA,IF('Pre-Calculation'!$D$17="Type 4 g",1000+N29,IF('Pre-Calculation'!$D$17="Type 4 h",SA+X29,IF('Pre-Calculation'!$D$17="Type 4 i",MAX(N29,Q29),IF('Pre-Calculation'!$D$17="Type 4 k",MAX(N29,1.01*Q29),IF('Pre-Calculation'!$D$17="Type 4 m",MAX(105%*Q29,SA+N29),IF('Pre-Calculation'!$D$17="Type 4 o",MAX(SA,105%*Q29)+X29+Z29,IF('Pre-Calculation'!$D$17="Type 5",0))))))))))))</f>
        <v>1000000</v>
      </c>
      <c r="Q29" s="175">
        <f t="shared" si="5"/>
        <v>700000</v>
      </c>
      <c r="R29" s="119">
        <f>L29*(1+GROWTH_RATE)*FMC</f>
        <v>1040.426659</v>
      </c>
      <c r="S29" s="178">
        <f>S28*(1+'Pre-Calculation'!$E$27)</f>
        <v>694302.9765</v>
      </c>
      <c r="T29" s="175">
        <f>-E29+IF(A28=INPUT!$C$11*12,N29,0)</f>
        <v>0</v>
      </c>
      <c r="U29" s="175">
        <f t="shared" si="6"/>
        <v>937417.4096</v>
      </c>
      <c r="V29" s="175">
        <f>U29*(1+GROWTH_RATE_H)*(1-'Pre-Calculation'!$E$31)</f>
        <v>941877.6334</v>
      </c>
      <c r="W29" s="175">
        <f>-E29+IF(A28=INPUT!$C$11*12,V29,0)</f>
        <v>0</v>
      </c>
      <c r="X29" s="179">
        <f t="array" ref="X29">NPV('Pre-Calculation'!$E$20,$E30:E$246)</f>
        <v>277653.1577</v>
      </c>
      <c r="Y29" s="171">
        <f>10%*SA</f>
        <v>100000</v>
      </c>
      <c r="Z29" s="179">
        <f t="array" ref="Z29">NPV('Pre-Calculation'!$E$20,Y30:Y39)</f>
        <v>969592.8037</v>
      </c>
    </row>
    <row r="30" ht="15.75" customHeight="1">
      <c r="A30" s="171">
        <f t="shared" si="1"/>
        <v>84</v>
      </c>
      <c r="B30" s="171">
        <f t="shared" si="2"/>
        <v>7</v>
      </c>
      <c r="C30" s="176">
        <f>EDATE(RCD,A29)</f>
        <v>45076</v>
      </c>
      <c r="D30" s="171">
        <f>Age_At_Entry+'Cashflows_8%'!B30-1</f>
        <v>41</v>
      </c>
      <c r="E30" s="175">
        <f>IF(AND(C30&lt;=Last_Prem,MOD(A29,Mode)=0,C30&gt;INPUT!$C$13,A30&lt;=Revival!$C$11),Mod_Prem,0)</f>
        <v>0</v>
      </c>
      <c r="F30" s="177">
        <f>E30*VLOOKUP(B30,'Pre-Calculation'!$H$1:$I$31,2,FALSE)</f>
        <v>0</v>
      </c>
      <c r="G30" s="177">
        <f>IF(B30&lt;PT+1,VLOOKUP(B30,'Pre-Calculation'!$H$1:$L$32,3,FALSE)+VLOOKUP(B30,'Pre-Calculation'!$H$1:$L$32,4,FALSE)*'Pre-Calculation'!$D$7,0)</f>
        <v>830</v>
      </c>
      <c r="H30" s="175">
        <f>(E30-(F30+G30)*(1+Tax)+N29)</f>
        <v>923119.8013</v>
      </c>
      <c r="I30" s="175">
        <f>IF(B30&lt;PT+1,VLOOKUP(D30,'Pre-Calculation'!$N$3:$P$79,IF(INPUT!$C$4="M",2,3),FALSE)*(J30/1000)*(1/12),0)</f>
        <v>12.55069244</v>
      </c>
      <c r="J30" s="175">
        <f t="shared" si="3"/>
        <v>76880.19872</v>
      </c>
      <c r="K30" s="175">
        <f>(IF('Pre-Calculation'!$D$17="Type 4 a",MAX(SA,H30,1.05*Q30),IF('Pre-Calculation'!$D$17="Type 4 c",H30,IF('Pre-Calculation'!$D$17="Type 4 d",SA+H30,IF('Pre-Calculation'!$D$17="Type 4 e",MAX(SA,H30),IF('Pre-Calculation'!$D$17="Type 4 f",SA,IF('Pre-Calculation'!$D$17="Type 4 g",1000+H30,IF('Pre-Calculation'!$D$17="Type 4 h",SA+X30,IF('Pre-Calculation'!$D$17="Type 4 i",MAX(H30,Q30),IF('Pre-Calculation'!$D$17="Type 4 k",MAX(H30,1.01*Q30),IF('Pre-Calculation'!$D$17="Type 4 m",MAX(105%*Q30,SA+H30),IF('Pre-Calculation'!$D$17="Type 4 o",MAX(SA,105%*Q30)+X30+Z30,IF('Pre-Calculation'!$D$17="Type 5",0)))))))))))))*IF(AND(A30&lt;Revival!$C$4,'Cashflows_8%'!C30&gt;=Revival!$D$12),PUP,1)</f>
        <v>1000000</v>
      </c>
      <c r="L30" s="175">
        <f>H30-I30*(1+Tax)</f>
        <v>923104.9915</v>
      </c>
      <c r="M30" s="175">
        <f>L30*(1+GROWTH_RATE_H)*(1-FMC*(1+Tax))</f>
        <v>927811.6412</v>
      </c>
      <c r="N30" s="175">
        <f>M30+IF(MOD(A30,B30)=0,VLOOKUP(B30,'Pre-Calculation'!$H$1:$L$31,5,FALSE),0)*IF('Pre-Calculation'!$D$16="% OF FV",M30,IF(OR('Pre-Calculation'!$D$16="% OF AFV(24M)",'Pre-Calculation'!$D$16="% OF AFV(8Q)"),AVERAGE( $M7:$M30),IF('Pre-Calculation'!$D$16="% OF AFV(12M)",AVERAGE($M19:M30),IF('Pre-Calculation'!$D$16="% OF AFV(36M)",AVERAGE($M$7:M30)))))</f>
        <v>927811.6412</v>
      </c>
      <c r="O30" s="175">
        <f t="shared" si="4"/>
        <v>927811.6412</v>
      </c>
      <c r="P30" s="175">
        <f>IF('Pre-Calculation'!$D$17="Type 4 a",MAX(SA,N30,1.05*Q30),IF('Pre-Calculation'!$D$17="Type 4 c",N30,IF('Pre-Calculation'!$D$17="Type 4 d",SA+N30,IF('Pre-Calculation'!$D$17="Type 4 e",MAX(SA,N30),IF('Pre-Calculation'!$D$17="Type 4 f",SA,IF('Pre-Calculation'!$D$17="Type 4 g",1000+N30,IF('Pre-Calculation'!$D$17="Type 4 h",SA+X30,IF('Pre-Calculation'!$D$17="Type 4 i",MAX(N30,Q30),IF('Pre-Calculation'!$D$17="Type 4 k",MAX(N30,1.01*Q30),IF('Pre-Calculation'!$D$17="Type 4 m",MAX(105%*Q30,SA+N30),IF('Pre-Calculation'!$D$17="Type 4 o",MAX(SA,105%*Q30)+X30+Z30,IF('Pre-Calculation'!$D$17="Type 5",0))))))))))))</f>
        <v>1000000</v>
      </c>
      <c r="Q30" s="175">
        <f t="shared" si="5"/>
        <v>700000</v>
      </c>
      <c r="R30" s="119">
        <f>L30*(1+GROWTH_RATE)*FMC</f>
        <v>1044.606428</v>
      </c>
      <c r="S30" s="178">
        <f>S29*(1+'Pre-Calculation'!$E$27)</f>
        <v>696296.25</v>
      </c>
      <c r="T30" s="175">
        <f>-E30+IF(A29=INPUT!$C$11*12,N30,0)</f>
        <v>0</v>
      </c>
      <c r="U30" s="175">
        <f t="shared" si="6"/>
        <v>941877.6334</v>
      </c>
      <c r="V30" s="175">
        <f>U30*(1+GROWTH_RATE_H)*(1-'Pre-Calculation'!$E$31)</f>
        <v>946359.079</v>
      </c>
      <c r="W30" s="175">
        <f>-E30+IF(A29=INPUT!$C$11*12,V30,0)</f>
        <v>0</v>
      </c>
      <c r="X30" s="179">
        <f t="array" ref="X30">NPV('Pre-Calculation'!$E$20,$E31:E$246)</f>
        <v>279223.049</v>
      </c>
      <c r="Y30" s="171">
        <f>10%*SA</f>
        <v>100000</v>
      </c>
      <c r="Z30" s="179">
        <f t="array" ref="Z30">NPV('Pre-Calculation'!$E$20,Y31:Y40)</f>
        <v>969592.8037</v>
      </c>
    </row>
    <row r="31" ht="15.75" customHeight="1">
      <c r="A31" s="171">
        <f t="shared" si="1"/>
        <v>85</v>
      </c>
      <c r="B31" s="171">
        <f t="shared" si="2"/>
        <v>8</v>
      </c>
      <c r="C31" s="176">
        <f>EDATE(RCD,A30)</f>
        <v>45107</v>
      </c>
      <c r="D31" s="171">
        <f>Age_At_Entry+'Cashflows_8%'!B31-1</f>
        <v>42</v>
      </c>
      <c r="E31" s="175">
        <f>IF(AND(C31&lt;=Last_Prem,MOD(A30,Mode)=0,C31&gt;INPUT!$C$13,A31&lt;=Revival!$C$11),Mod_Prem,0)</f>
        <v>100000</v>
      </c>
      <c r="F31" s="177">
        <f>E31*VLOOKUP(B31,'Pre-Calculation'!$H$1:$I$31,2,FALSE)</f>
        <v>0</v>
      </c>
      <c r="G31" s="177">
        <f>IF(B31&lt;PT+1,VLOOKUP(B31,'Pre-Calculation'!$H$1:$L$32,3,FALSE)+VLOOKUP(B31,'Pre-Calculation'!$H$1:$L$32,4,FALSE)*'Pre-Calculation'!$D$7,0)</f>
        <v>830</v>
      </c>
      <c r="H31" s="175">
        <f>(E31-(F31+G31)*(1+Tax)+N30)</f>
        <v>1026832.241</v>
      </c>
      <c r="I31" s="175">
        <f>IF(B31&lt;PT+1,VLOOKUP(D31,'Pre-Calculation'!$N$3:$P$79,IF(INPUT!$C$4="M",2,3),FALSE)*(J31/1000)*(1/12),0)</f>
        <v>0</v>
      </c>
      <c r="J31" s="175">
        <f t="shared" si="3"/>
        <v>0</v>
      </c>
      <c r="K31" s="175">
        <f>(IF('Pre-Calculation'!$D$17="Type 4 a",MAX(SA,H31,1.05*Q31),IF('Pre-Calculation'!$D$17="Type 4 c",H31,IF('Pre-Calculation'!$D$17="Type 4 d",SA+H31,IF('Pre-Calculation'!$D$17="Type 4 e",MAX(SA,H31),IF('Pre-Calculation'!$D$17="Type 4 f",SA,IF('Pre-Calculation'!$D$17="Type 4 g",1000+H31,IF('Pre-Calculation'!$D$17="Type 4 h",SA+X31,IF('Pre-Calculation'!$D$17="Type 4 i",MAX(H31,Q31),IF('Pre-Calculation'!$D$17="Type 4 k",MAX(H31,1.01*Q31),IF('Pre-Calculation'!$D$17="Type 4 m",MAX(105%*Q31,SA+H31),IF('Pre-Calculation'!$D$17="Type 4 o",MAX(SA,105%*Q31)+X31+Z31,IF('Pre-Calculation'!$D$17="Type 5",0)))))))))))))*IF(AND(A31&lt;Revival!$C$4,'Cashflows_8%'!C31&gt;=Revival!$D$12),PUP,1)</f>
        <v>1026832.241</v>
      </c>
      <c r="L31" s="175">
        <f>H31-I31*(1+Tax)</f>
        <v>1026832.241</v>
      </c>
      <c r="M31" s="175">
        <f>L31*(1+GROWTH_RATE_H)*(1-FMC*(1+Tax))</f>
        <v>1032067.767</v>
      </c>
      <c r="N31" s="175">
        <f>M31+IF(MOD(A31,B31)=0,VLOOKUP(B31,'Pre-Calculation'!$H$1:$L$31,5,FALSE),0)*IF('Pre-Calculation'!$D$16="% OF FV",M31,IF(OR('Pre-Calculation'!$D$16="% OF AFV(24M)",'Pre-Calculation'!$D$16="% OF AFV(8Q)"),AVERAGE( $M8:$M31),IF('Pre-Calculation'!$D$16="% OF AFV(12M)",AVERAGE($M20:M31),IF('Pre-Calculation'!$D$16="% OF AFV(36M)",AVERAGE($M$7:M31)))))</f>
        <v>1032067.767</v>
      </c>
      <c r="O31" s="175">
        <f t="shared" si="4"/>
        <v>1032067.767</v>
      </c>
      <c r="P31" s="175">
        <f>IF('Pre-Calculation'!$D$17="Type 4 a",MAX(SA,N31,1.05*Q31),IF('Pre-Calculation'!$D$17="Type 4 c",N31,IF('Pre-Calculation'!$D$17="Type 4 d",SA+N31,IF('Pre-Calculation'!$D$17="Type 4 e",MAX(SA,N31),IF('Pre-Calculation'!$D$17="Type 4 f",SA,IF('Pre-Calculation'!$D$17="Type 4 g",1000+N31,IF('Pre-Calculation'!$D$17="Type 4 h",SA+X31,IF('Pre-Calculation'!$D$17="Type 4 i",MAX(N31,Q31),IF('Pre-Calculation'!$D$17="Type 4 k",MAX(N31,1.01*Q31),IF('Pre-Calculation'!$D$17="Type 4 m",MAX(105%*Q31,SA+N31),IF('Pre-Calculation'!$D$17="Type 4 o",MAX(SA,105%*Q31)+X31+Z31,IF('Pre-Calculation'!$D$17="Type 5",0))))))))))))</f>
        <v>1032067.767</v>
      </c>
      <c r="Q31" s="175">
        <f t="shared" si="5"/>
        <v>800000</v>
      </c>
      <c r="R31" s="119">
        <f>L31*(1+GROWTH_RATE)*FMC</f>
        <v>1161.986524</v>
      </c>
      <c r="S31" s="178">
        <f>S30*(1+'Pre-Calculation'!$E$27)</f>
        <v>698295.246</v>
      </c>
      <c r="T31" s="175">
        <f>-E31+IF(A30=INPUT!$C$11*12,N31,0)</f>
        <v>-100000</v>
      </c>
      <c r="U31" s="175">
        <f t="shared" si="6"/>
        <v>1046359.079</v>
      </c>
      <c r="V31" s="175">
        <f>U31*(1+GROWTH_RATE_H)*(1-'Pre-Calculation'!$E$31)</f>
        <v>1051337.646</v>
      </c>
      <c r="W31" s="175">
        <f>-E31+IF(A30=INPUT!$C$11*12,V31,0)</f>
        <v>-100000</v>
      </c>
      <c r="X31" s="179">
        <f t="array" ref="X31">NPV('Pre-Calculation'!$E$20,$E32:E$246)</f>
        <v>180801.8168</v>
      </c>
      <c r="Y31" s="171">
        <f>10%*SA</f>
        <v>100000</v>
      </c>
      <c r="Z31" s="179">
        <f t="array" ref="Z31">NPV('Pre-Calculation'!$E$20,Y32:Y41)</f>
        <v>969592.8037</v>
      </c>
    </row>
    <row r="32" ht="15.75" customHeight="1">
      <c r="A32" s="171">
        <f t="shared" si="1"/>
        <v>86</v>
      </c>
      <c r="B32" s="171">
        <f t="shared" si="2"/>
        <v>8</v>
      </c>
      <c r="C32" s="176">
        <f>EDATE(RCD,A31)</f>
        <v>45137</v>
      </c>
      <c r="D32" s="171">
        <f>Age_At_Entry+'Cashflows_8%'!B32-1</f>
        <v>42</v>
      </c>
      <c r="E32" s="175">
        <f>IF(AND(C32&lt;=Last_Prem,MOD(A31,Mode)=0,C32&gt;INPUT!$C$13,A32&lt;=Revival!$C$11),Mod_Prem,0)</f>
        <v>0</v>
      </c>
      <c r="F32" s="177">
        <f>E32*VLOOKUP(B32,'Pre-Calculation'!$H$1:$I$31,2,FALSE)</f>
        <v>0</v>
      </c>
      <c r="G32" s="177">
        <f>IF(B32&lt;PT+1,VLOOKUP(B32,'Pre-Calculation'!$H$1:$L$32,3,FALSE)+VLOOKUP(B32,'Pre-Calculation'!$H$1:$L$32,4,FALSE)*'Pre-Calculation'!$D$7,0)</f>
        <v>830</v>
      </c>
      <c r="H32" s="175">
        <f>(E32-(F32+G32)*(1+Tax)+N31)</f>
        <v>1031088.367</v>
      </c>
      <c r="I32" s="175">
        <f>IF(B32&lt;PT+1,VLOOKUP(D32,'Pre-Calculation'!$N$3:$P$79,IF(INPUT!$C$4="M",2,3),FALSE)*(J32/1000)*(1/12),0)</f>
        <v>0</v>
      </c>
      <c r="J32" s="175">
        <f t="shared" si="3"/>
        <v>0</v>
      </c>
      <c r="K32" s="175">
        <f>(IF('Pre-Calculation'!$D$17="Type 4 a",MAX(SA,H32,1.05*Q32),IF('Pre-Calculation'!$D$17="Type 4 c",H32,IF('Pre-Calculation'!$D$17="Type 4 d",SA+H32,IF('Pre-Calculation'!$D$17="Type 4 e",MAX(SA,H32),IF('Pre-Calculation'!$D$17="Type 4 f",SA,IF('Pre-Calculation'!$D$17="Type 4 g",1000+H32,IF('Pre-Calculation'!$D$17="Type 4 h",SA+X32,IF('Pre-Calculation'!$D$17="Type 4 i",MAX(H32,Q32),IF('Pre-Calculation'!$D$17="Type 4 k",MAX(H32,1.01*Q32),IF('Pre-Calculation'!$D$17="Type 4 m",MAX(105%*Q32,SA+H32),IF('Pre-Calculation'!$D$17="Type 4 o",MAX(SA,105%*Q32)+X32+Z32,IF('Pre-Calculation'!$D$17="Type 5",0)))))))))))))*IF(AND(A32&lt;Revival!$C$4,'Cashflows_8%'!C32&gt;=Revival!$D$12),PUP,1)</f>
        <v>1031088.367</v>
      </c>
      <c r="L32" s="175">
        <f>H32-I32*(1+Tax)</f>
        <v>1031088.367</v>
      </c>
      <c r="M32" s="175">
        <f>L32*(1+GROWTH_RATE_H)*(1-FMC*(1+Tax))</f>
        <v>1036345.593</v>
      </c>
      <c r="N32" s="175">
        <f>M32+IF(MOD(A32,B32)=0,VLOOKUP(B32,'Pre-Calculation'!$H$1:$L$31,5,FALSE),0)*IF('Pre-Calculation'!$D$16="% OF FV",M32,IF(OR('Pre-Calculation'!$D$16="% OF AFV(24M)",'Pre-Calculation'!$D$16="% OF AFV(8Q)"),AVERAGE( $M9:$M32),IF('Pre-Calculation'!$D$16="% OF AFV(12M)",AVERAGE($M21:M32),IF('Pre-Calculation'!$D$16="% OF AFV(36M)",AVERAGE($M$7:M32)))))</f>
        <v>1036345.593</v>
      </c>
      <c r="O32" s="175">
        <f t="shared" si="4"/>
        <v>1036345.593</v>
      </c>
      <c r="P32" s="175">
        <f>IF('Pre-Calculation'!$D$17="Type 4 a",MAX(SA,N32,1.05*Q32),IF('Pre-Calculation'!$D$17="Type 4 c",N32,IF('Pre-Calculation'!$D$17="Type 4 d",SA+N32,IF('Pre-Calculation'!$D$17="Type 4 e",MAX(SA,N32),IF('Pre-Calculation'!$D$17="Type 4 f",SA,IF('Pre-Calculation'!$D$17="Type 4 g",1000+N32,IF('Pre-Calculation'!$D$17="Type 4 h",SA+X32,IF('Pre-Calculation'!$D$17="Type 4 i",MAX(N32,Q32),IF('Pre-Calculation'!$D$17="Type 4 k",MAX(N32,1.01*Q32),IF('Pre-Calculation'!$D$17="Type 4 m",MAX(105%*Q32,SA+N32),IF('Pre-Calculation'!$D$17="Type 4 o",MAX(SA,105%*Q32)+X32+Z32,IF('Pre-Calculation'!$D$17="Type 5",0))))))))))))</f>
        <v>1036345.593</v>
      </c>
      <c r="Q32" s="175">
        <f t="shared" si="5"/>
        <v>800000</v>
      </c>
      <c r="R32" s="119">
        <f>L32*(1+GROWTH_RATE)*FMC</f>
        <v>1166.802851</v>
      </c>
      <c r="S32" s="178">
        <f>S31*(1+'Pre-Calculation'!$E$27)</f>
        <v>700299.9809</v>
      </c>
      <c r="T32" s="175">
        <f>-E32+IF(A31=INPUT!$C$11*12,N32,0)</f>
        <v>0</v>
      </c>
      <c r="U32" s="175">
        <f t="shared" si="6"/>
        <v>1051337.646</v>
      </c>
      <c r="V32" s="175">
        <f>U32*(1+GROWTH_RATE_H)*(1-'Pre-Calculation'!$E$31)</f>
        <v>1056339.902</v>
      </c>
      <c r="W32" s="175">
        <f>-E32+IF(A31=INPUT!$C$11*12,V32,0)</f>
        <v>0</v>
      </c>
      <c r="X32" s="179">
        <f t="array" ref="X32">NPV('Pre-Calculation'!$E$20,$E33:E$246)</f>
        <v>181824.0965</v>
      </c>
      <c r="Y32" s="171">
        <f>10%*SA</f>
        <v>100000</v>
      </c>
      <c r="Z32" s="179">
        <f t="array" ref="Z32">NPV('Pre-Calculation'!$E$20,Y33:Y42)</f>
        <v>969592.8037</v>
      </c>
    </row>
    <row r="33" ht="15.75" customHeight="1">
      <c r="A33" s="171">
        <f t="shared" si="1"/>
        <v>87</v>
      </c>
      <c r="B33" s="171">
        <f t="shared" si="2"/>
        <v>8</v>
      </c>
      <c r="C33" s="176">
        <f>EDATE(RCD,A32)</f>
        <v>45168</v>
      </c>
      <c r="D33" s="171">
        <f>Age_At_Entry+'Cashflows_8%'!B33-1</f>
        <v>42</v>
      </c>
      <c r="E33" s="175">
        <f>IF(AND(C33&lt;=Last_Prem,MOD(A32,Mode)=0,C33&gt;INPUT!$C$13,A33&lt;=Revival!$C$11),Mod_Prem,0)</f>
        <v>0</v>
      </c>
      <c r="F33" s="177">
        <f>E33*VLOOKUP(B33,'Pre-Calculation'!$H$1:$I$31,2,FALSE)</f>
        <v>0</v>
      </c>
      <c r="G33" s="177">
        <f>IF(B33&lt;PT+1,VLOOKUP(B33,'Pre-Calculation'!$H$1:$L$32,3,FALSE)+VLOOKUP(B33,'Pre-Calculation'!$H$1:$L$32,4,FALSE)*'Pre-Calculation'!$D$7,0)</f>
        <v>830</v>
      </c>
      <c r="H33" s="175">
        <f>(E33-(F33+G33)*(1+Tax)+N32)</f>
        <v>1035366.193</v>
      </c>
      <c r="I33" s="175">
        <f>IF(B33&lt;PT+1,VLOOKUP(D33,'Pre-Calculation'!$N$3:$P$79,IF(INPUT!$C$4="M",2,3),FALSE)*(J33/1000)*(1/12),0)</f>
        <v>0</v>
      </c>
      <c r="J33" s="175">
        <f t="shared" si="3"/>
        <v>0</v>
      </c>
      <c r="K33" s="175">
        <f>(IF('Pre-Calculation'!$D$17="Type 4 a",MAX(SA,H33,1.05*Q33),IF('Pre-Calculation'!$D$17="Type 4 c",H33,IF('Pre-Calculation'!$D$17="Type 4 d",SA+H33,IF('Pre-Calculation'!$D$17="Type 4 e",MAX(SA,H33),IF('Pre-Calculation'!$D$17="Type 4 f",SA,IF('Pre-Calculation'!$D$17="Type 4 g",1000+H33,IF('Pre-Calculation'!$D$17="Type 4 h",SA+X33,IF('Pre-Calculation'!$D$17="Type 4 i",MAX(H33,Q33),IF('Pre-Calculation'!$D$17="Type 4 k",MAX(H33,1.01*Q33),IF('Pre-Calculation'!$D$17="Type 4 m",MAX(105%*Q33,SA+H33),IF('Pre-Calculation'!$D$17="Type 4 o",MAX(SA,105%*Q33)+X33+Z33,IF('Pre-Calculation'!$D$17="Type 5",0)))))))))))))*IF(AND(A33&lt;Revival!$C$4,'Cashflows_8%'!C33&gt;=Revival!$D$12),PUP,1)</f>
        <v>1035366.193</v>
      </c>
      <c r="L33" s="175">
        <f>H33-I33*(1+Tax)</f>
        <v>1035366.193</v>
      </c>
      <c r="M33" s="175">
        <f>L33*(1+GROWTH_RATE_H)*(1-FMC*(1+Tax))</f>
        <v>1040645.231</v>
      </c>
      <c r="N33" s="175">
        <f>M33+IF(MOD(A33,B33)=0,VLOOKUP(B33,'Pre-Calculation'!$H$1:$L$31,5,FALSE),0)*IF('Pre-Calculation'!$D$16="% OF FV",M33,IF(OR('Pre-Calculation'!$D$16="% OF AFV(24M)",'Pre-Calculation'!$D$16="% OF AFV(8Q)"),AVERAGE( $M10:$M33),IF('Pre-Calculation'!$D$16="% OF AFV(12M)",AVERAGE($M22:M33),IF('Pre-Calculation'!$D$16="% OF AFV(36M)",AVERAGE($M$7:M33)))))</f>
        <v>1040645.231</v>
      </c>
      <c r="O33" s="175">
        <f t="shared" si="4"/>
        <v>1040645.231</v>
      </c>
      <c r="P33" s="175">
        <f>IF('Pre-Calculation'!$D$17="Type 4 a",MAX(SA,N33,1.05*Q33),IF('Pre-Calculation'!$D$17="Type 4 c",N33,IF('Pre-Calculation'!$D$17="Type 4 d",SA+N33,IF('Pre-Calculation'!$D$17="Type 4 e",MAX(SA,N33),IF('Pre-Calculation'!$D$17="Type 4 f",SA,IF('Pre-Calculation'!$D$17="Type 4 g",1000+N33,IF('Pre-Calculation'!$D$17="Type 4 h",SA+X33,IF('Pre-Calculation'!$D$17="Type 4 i",MAX(N33,Q33),IF('Pre-Calculation'!$D$17="Type 4 k",MAX(N33,1.01*Q33),IF('Pre-Calculation'!$D$17="Type 4 m",MAX(105%*Q33,SA+N33),IF('Pre-Calculation'!$D$17="Type 4 o",MAX(SA,105%*Q33)+X33+Z33,IF('Pre-Calculation'!$D$17="Type 5",0))))))))))))</f>
        <v>1040645.231</v>
      </c>
      <c r="Q33" s="175">
        <f t="shared" si="5"/>
        <v>800000</v>
      </c>
      <c r="R33" s="119">
        <f>L33*(1+GROWTH_RATE)*FMC</f>
        <v>1171.643736</v>
      </c>
      <c r="S33" s="178">
        <f>S32*(1+'Pre-Calculation'!$E$27)</f>
        <v>702310.4713</v>
      </c>
      <c r="T33" s="175">
        <f>-E33+IF(A32=INPUT!$C$11*12,N33,0)</f>
        <v>0</v>
      </c>
      <c r="U33" s="175">
        <f t="shared" si="6"/>
        <v>1056339.902</v>
      </c>
      <c r="V33" s="175">
        <f>U33*(1+GROWTH_RATE_H)*(1-'Pre-Calculation'!$E$31)</f>
        <v>1061365.958</v>
      </c>
      <c r="W33" s="175">
        <f>-E33+IF(A32=INPUT!$C$11*12,V33,0)</f>
        <v>0</v>
      </c>
      <c r="X33" s="179">
        <f t="array" ref="X33">NPV('Pre-Calculation'!$E$20,$E34:E$246)</f>
        <v>182852.1564</v>
      </c>
      <c r="Y33" s="171">
        <f>10%*SA</f>
        <v>100000</v>
      </c>
      <c r="Z33" s="179">
        <f t="array" ref="Z33">NPV('Pre-Calculation'!$E$20,Y34:Y43)</f>
        <v>969592.8037</v>
      </c>
    </row>
    <row r="34" ht="15.75" customHeight="1">
      <c r="A34" s="171">
        <f t="shared" si="1"/>
        <v>88</v>
      </c>
      <c r="B34" s="171">
        <f t="shared" si="2"/>
        <v>8</v>
      </c>
      <c r="C34" s="176">
        <f>EDATE(RCD,A33)</f>
        <v>45199</v>
      </c>
      <c r="D34" s="171">
        <f>Age_At_Entry+'Cashflows_8%'!B34-1</f>
        <v>42</v>
      </c>
      <c r="E34" s="175">
        <f>IF(AND(C34&lt;=Last_Prem,MOD(A33,Mode)=0,C34&gt;INPUT!$C$13,A34&lt;=Revival!$C$11),Mod_Prem,0)</f>
        <v>0</v>
      </c>
      <c r="F34" s="177">
        <f>E34*VLOOKUP(B34,'Pre-Calculation'!$H$1:$I$31,2,FALSE)</f>
        <v>0</v>
      </c>
      <c r="G34" s="177">
        <f>IF(B34&lt;PT+1,VLOOKUP(B34,'Pre-Calculation'!$H$1:$L$32,3,FALSE)+VLOOKUP(B34,'Pre-Calculation'!$H$1:$L$32,4,FALSE)*'Pre-Calculation'!$D$7,0)</f>
        <v>830</v>
      </c>
      <c r="H34" s="175">
        <f>(E34-(F34+G34)*(1+Tax)+N33)</f>
        <v>1039665.831</v>
      </c>
      <c r="I34" s="175">
        <f>IF(B34&lt;PT+1,VLOOKUP(D34,'Pre-Calculation'!$N$3:$P$79,IF(INPUT!$C$4="M",2,3),FALSE)*(J34/1000)*(1/12),0)</f>
        <v>0</v>
      </c>
      <c r="J34" s="175">
        <f t="shared" si="3"/>
        <v>0</v>
      </c>
      <c r="K34" s="175">
        <f>(IF('Pre-Calculation'!$D$17="Type 4 a",MAX(SA,H34,1.05*Q34),IF('Pre-Calculation'!$D$17="Type 4 c",H34,IF('Pre-Calculation'!$D$17="Type 4 d",SA+H34,IF('Pre-Calculation'!$D$17="Type 4 e",MAX(SA,H34),IF('Pre-Calculation'!$D$17="Type 4 f",SA,IF('Pre-Calculation'!$D$17="Type 4 g",1000+H34,IF('Pre-Calculation'!$D$17="Type 4 h",SA+X34,IF('Pre-Calculation'!$D$17="Type 4 i",MAX(H34,Q34),IF('Pre-Calculation'!$D$17="Type 4 k",MAX(H34,1.01*Q34),IF('Pre-Calculation'!$D$17="Type 4 m",MAX(105%*Q34,SA+H34),IF('Pre-Calculation'!$D$17="Type 4 o",MAX(SA,105%*Q34)+X34+Z34,IF('Pre-Calculation'!$D$17="Type 5",0)))))))))))))*IF(AND(A34&lt;Revival!$C$4,'Cashflows_8%'!C34&gt;=Revival!$D$12),PUP,1)</f>
        <v>1039665.831</v>
      </c>
      <c r="L34" s="175">
        <f>H34-I34*(1+Tax)</f>
        <v>1039665.831</v>
      </c>
      <c r="M34" s="175">
        <f>L34*(1+GROWTH_RATE_H)*(1-FMC*(1+Tax))</f>
        <v>1044966.791</v>
      </c>
      <c r="N34" s="175">
        <f>M34+IF(MOD(A34,B34)=0,VLOOKUP(B34,'Pre-Calculation'!$H$1:$L$31,5,FALSE),0)*IF('Pre-Calculation'!$D$16="% OF FV",M34,IF(OR('Pre-Calculation'!$D$16="% OF AFV(24M)",'Pre-Calculation'!$D$16="% OF AFV(8Q)"),AVERAGE( $M11:$M34),IF('Pre-Calculation'!$D$16="% OF AFV(12M)",AVERAGE($M23:M34),IF('Pre-Calculation'!$D$16="% OF AFV(36M)",AVERAGE($M$7:M34)))))</f>
        <v>1044966.791</v>
      </c>
      <c r="O34" s="175">
        <f t="shared" si="4"/>
        <v>1044966.791</v>
      </c>
      <c r="P34" s="175">
        <f>IF('Pre-Calculation'!$D$17="Type 4 a",MAX(SA,N34,1.05*Q34),IF('Pre-Calculation'!$D$17="Type 4 c",N34,IF('Pre-Calculation'!$D$17="Type 4 d",SA+N34,IF('Pre-Calculation'!$D$17="Type 4 e",MAX(SA,N34),IF('Pre-Calculation'!$D$17="Type 4 f",SA,IF('Pre-Calculation'!$D$17="Type 4 g",1000+N34,IF('Pre-Calculation'!$D$17="Type 4 h",SA+X34,IF('Pre-Calculation'!$D$17="Type 4 i",MAX(N34,Q34),IF('Pre-Calculation'!$D$17="Type 4 k",MAX(N34,1.01*Q34),IF('Pre-Calculation'!$D$17="Type 4 m",MAX(105%*Q34,SA+N34),IF('Pre-Calculation'!$D$17="Type 4 o",MAX(SA,105%*Q34)+X34+Z34,IF('Pre-Calculation'!$D$17="Type 5",0))))))))))))</f>
        <v>1044966.791</v>
      </c>
      <c r="Q34" s="175">
        <f t="shared" si="5"/>
        <v>800000</v>
      </c>
      <c r="R34" s="119">
        <f>L34*(1+GROWTH_RATE)*FMC</f>
        <v>1176.509303</v>
      </c>
      <c r="S34" s="178">
        <f>S33*(1+'Pre-Calculation'!$E$27)</f>
        <v>704326.7335</v>
      </c>
      <c r="T34" s="175">
        <f>-E34+IF(A33=INPUT!$C$11*12,N34,0)</f>
        <v>0</v>
      </c>
      <c r="U34" s="175">
        <f t="shared" si="6"/>
        <v>1061365.958</v>
      </c>
      <c r="V34" s="175">
        <f>U34*(1+GROWTH_RATE_H)*(1-'Pre-Calculation'!$E$31)</f>
        <v>1066415.927</v>
      </c>
      <c r="W34" s="175">
        <f>-E34+IF(A33=INPUT!$C$11*12,V34,0)</f>
        <v>0</v>
      </c>
      <c r="X34" s="179">
        <f t="array" ref="X34">NPV('Pre-Calculation'!$E$20,$E35:E$246)</f>
        <v>183886.0291</v>
      </c>
      <c r="Y34" s="171">
        <f>10%*SA</f>
        <v>100000</v>
      </c>
      <c r="Z34" s="179">
        <f t="array" ref="Z34">NPV('Pre-Calculation'!$E$20,Y35:Y44)</f>
        <v>969592.8037</v>
      </c>
    </row>
    <row r="35" ht="15.75" customHeight="1">
      <c r="A35" s="171">
        <f t="shared" si="1"/>
        <v>89</v>
      </c>
      <c r="B35" s="171">
        <f t="shared" si="2"/>
        <v>8</v>
      </c>
      <c r="C35" s="176">
        <f>EDATE(RCD,A34)</f>
        <v>45229</v>
      </c>
      <c r="D35" s="171">
        <f>Age_At_Entry+'Cashflows_8%'!B35-1</f>
        <v>42</v>
      </c>
      <c r="E35" s="175">
        <f>IF(AND(C35&lt;=Last_Prem,MOD(A34,Mode)=0,C35&gt;INPUT!$C$13,A35&lt;=Revival!$C$11),Mod_Prem,0)</f>
        <v>0</v>
      </c>
      <c r="F35" s="177">
        <f>E35*VLOOKUP(B35,'Pre-Calculation'!$H$1:$I$31,2,FALSE)</f>
        <v>0</v>
      </c>
      <c r="G35" s="177">
        <f>IF(B35&lt;PT+1,VLOOKUP(B35,'Pre-Calculation'!$H$1:$L$32,3,FALSE)+VLOOKUP(B35,'Pre-Calculation'!$H$1:$L$32,4,FALSE)*'Pre-Calculation'!$D$7,0)</f>
        <v>830</v>
      </c>
      <c r="H35" s="175">
        <f>(E35-(F35+G35)*(1+Tax)+N34)</f>
        <v>1043987.391</v>
      </c>
      <c r="I35" s="175">
        <f>IF(B35&lt;PT+1,VLOOKUP(D35,'Pre-Calculation'!$N$3:$P$79,IF(INPUT!$C$4="M",2,3),FALSE)*(J35/1000)*(1/12),0)</f>
        <v>0</v>
      </c>
      <c r="J35" s="175">
        <f t="shared" si="3"/>
        <v>0</v>
      </c>
      <c r="K35" s="175">
        <f>(IF('Pre-Calculation'!$D$17="Type 4 a",MAX(SA,H35,1.05*Q35),IF('Pre-Calculation'!$D$17="Type 4 c",H35,IF('Pre-Calculation'!$D$17="Type 4 d",SA+H35,IF('Pre-Calculation'!$D$17="Type 4 e",MAX(SA,H35),IF('Pre-Calculation'!$D$17="Type 4 f",SA,IF('Pre-Calculation'!$D$17="Type 4 g",1000+H35,IF('Pre-Calculation'!$D$17="Type 4 h",SA+X35,IF('Pre-Calculation'!$D$17="Type 4 i",MAX(H35,Q35),IF('Pre-Calculation'!$D$17="Type 4 k",MAX(H35,1.01*Q35),IF('Pre-Calculation'!$D$17="Type 4 m",MAX(105%*Q35,SA+H35),IF('Pre-Calculation'!$D$17="Type 4 o",MAX(SA,105%*Q35)+X35+Z35,IF('Pre-Calculation'!$D$17="Type 5",0)))))))))))))*IF(AND(A35&lt;Revival!$C$4,'Cashflows_8%'!C35&gt;=Revival!$D$12),PUP,1)</f>
        <v>1043987.391</v>
      </c>
      <c r="L35" s="175">
        <f>H35-I35*(1+Tax)</f>
        <v>1043987.391</v>
      </c>
      <c r="M35" s="175">
        <f>L35*(1+GROWTH_RATE_H)*(1-FMC*(1+Tax))</f>
        <v>1049310.385</v>
      </c>
      <c r="N35" s="175">
        <f>M35+IF(MOD(A35,B35)=0,VLOOKUP(B35,'Pre-Calculation'!$H$1:$L$31,5,FALSE),0)*IF('Pre-Calculation'!$D$16="% OF FV",M35,IF(OR('Pre-Calculation'!$D$16="% OF AFV(24M)",'Pre-Calculation'!$D$16="% OF AFV(8Q)"),AVERAGE( $M12:$M35),IF('Pre-Calculation'!$D$16="% OF AFV(12M)",AVERAGE($M24:M35),IF('Pre-Calculation'!$D$16="% OF AFV(36M)",AVERAGE($M$7:M35)))))</f>
        <v>1049310.385</v>
      </c>
      <c r="O35" s="175">
        <f t="shared" si="4"/>
        <v>1049310.385</v>
      </c>
      <c r="P35" s="175">
        <f>IF('Pre-Calculation'!$D$17="Type 4 a",MAX(SA,N35,1.05*Q35),IF('Pre-Calculation'!$D$17="Type 4 c",N35,IF('Pre-Calculation'!$D$17="Type 4 d",SA+N35,IF('Pre-Calculation'!$D$17="Type 4 e",MAX(SA,N35),IF('Pre-Calculation'!$D$17="Type 4 f",SA,IF('Pre-Calculation'!$D$17="Type 4 g",1000+N35,IF('Pre-Calculation'!$D$17="Type 4 h",SA+X35,IF('Pre-Calculation'!$D$17="Type 4 i",MAX(N35,Q35),IF('Pre-Calculation'!$D$17="Type 4 k",MAX(N35,1.01*Q35),IF('Pre-Calculation'!$D$17="Type 4 m",MAX(105%*Q35,SA+N35),IF('Pre-Calculation'!$D$17="Type 4 o",MAX(SA,105%*Q35)+X35+Z35,IF('Pre-Calculation'!$D$17="Type 5",0))))))))))))</f>
        <v>1049310.385</v>
      </c>
      <c r="Q35" s="175">
        <f t="shared" si="5"/>
        <v>800000</v>
      </c>
      <c r="R35" s="119">
        <f>L35*(1+GROWTH_RATE)*FMC</f>
        <v>1181.399678</v>
      </c>
      <c r="S35" s="178">
        <f>S34*(1+'Pre-Calculation'!$E$27)</f>
        <v>706348.7842</v>
      </c>
      <c r="T35" s="175">
        <f>-E35+IF(A34=INPUT!$C$11*12,N35,0)</f>
        <v>0</v>
      </c>
      <c r="U35" s="175">
        <f t="shared" si="6"/>
        <v>1066415.927</v>
      </c>
      <c r="V35" s="175">
        <f>U35*(1+GROWTH_RATE_H)*(1-'Pre-Calculation'!$E$31)</f>
        <v>1071489.925</v>
      </c>
      <c r="W35" s="175">
        <f>-E35+IF(A34=INPUT!$C$11*12,V35,0)</f>
        <v>0</v>
      </c>
      <c r="X35" s="179">
        <f t="array" ref="X35">NPV('Pre-Calculation'!$E$20,$E36:E$246)</f>
        <v>184925.7474</v>
      </c>
      <c r="Y35" s="171">
        <f>10%*SA</f>
        <v>100000</v>
      </c>
      <c r="Z35" s="179">
        <f t="array" ref="Z35">NPV('Pre-Calculation'!$E$20,Y36:Y45)</f>
        <v>969592.8037</v>
      </c>
    </row>
    <row r="36" ht="15.75" customHeight="1">
      <c r="A36" s="171">
        <f t="shared" si="1"/>
        <v>90</v>
      </c>
      <c r="B36" s="171">
        <f t="shared" si="2"/>
        <v>8</v>
      </c>
      <c r="C36" s="176">
        <f>EDATE(RCD,A35)</f>
        <v>45260</v>
      </c>
      <c r="D36" s="171">
        <f>Age_At_Entry+'Cashflows_8%'!B36-1</f>
        <v>42</v>
      </c>
      <c r="E36" s="175">
        <f>IF(AND(C36&lt;=Last_Prem,MOD(A35,Mode)=0,C36&gt;INPUT!$C$13,A36&lt;=Revival!$C$11),Mod_Prem,0)</f>
        <v>0</v>
      </c>
      <c r="F36" s="177">
        <f>E36*VLOOKUP(B36,'Pre-Calculation'!$H$1:$I$31,2,FALSE)</f>
        <v>0</v>
      </c>
      <c r="G36" s="177">
        <f>IF(B36&lt;PT+1,VLOOKUP(B36,'Pre-Calculation'!$H$1:$L$32,3,FALSE)+VLOOKUP(B36,'Pre-Calculation'!$H$1:$L$32,4,FALSE)*'Pre-Calculation'!$D$7,0)</f>
        <v>830</v>
      </c>
      <c r="H36" s="175">
        <f>(E36-(F36+G36)*(1+Tax)+N35)</f>
        <v>1048330.985</v>
      </c>
      <c r="I36" s="175">
        <f>IF(B36&lt;PT+1,VLOOKUP(D36,'Pre-Calculation'!$N$3:$P$79,IF(INPUT!$C$4="M",2,3),FALSE)*(J36/1000)*(1/12),0)</f>
        <v>0</v>
      </c>
      <c r="J36" s="175">
        <f t="shared" si="3"/>
        <v>0</v>
      </c>
      <c r="K36" s="175">
        <f>(IF('Pre-Calculation'!$D$17="Type 4 a",MAX(SA,H36,1.05*Q36),IF('Pre-Calculation'!$D$17="Type 4 c",H36,IF('Pre-Calculation'!$D$17="Type 4 d",SA+H36,IF('Pre-Calculation'!$D$17="Type 4 e",MAX(SA,H36),IF('Pre-Calculation'!$D$17="Type 4 f",SA,IF('Pre-Calculation'!$D$17="Type 4 g",1000+H36,IF('Pre-Calculation'!$D$17="Type 4 h",SA+X36,IF('Pre-Calculation'!$D$17="Type 4 i",MAX(H36,Q36),IF('Pre-Calculation'!$D$17="Type 4 k",MAX(H36,1.01*Q36),IF('Pre-Calculation'!$D$17="Type 4 m",MAX(105%*Q36,SA+H36),IF('Pre-Calculation'!$D$17="Type 4 o",MAX(SA,105%*Q36)+X36+Z36,IF('Pre-Calculation'!$D$17="Type 5",0)))))))))))))*IF(AND(A36&lt;Revival!$C$4,'Cashflows_8%'!C36&gt;=Revival!$D$12),PUP,1)</f>
        <v>1048330.985</v>
      </c>
      <c r="L36" s="175">
        <f>H36-I36*(1+Tax)</f>
        <v>1048330.985</v>
      </c>
      <c r="M36" s="175">
        <f>L36*(1+GROWTH_RATE_H)*(1-FMC*(1+Tax))</f>
        <v>1053676.127</v>
      </c>
      <c r="N36" s="175">
        <f>M36+IF(MOD(A36,B36)=0,VLOOKUP(B36,'Pre-Calculation'!$H$1:$L$31,5,FALSE),0)*IF('Pre-Calculation'!$D$16="% OF FV",M36,IF(OR('Pre-Calculation'!$D$16="% OF AFV(24M)",'Pre-Calculation'!$D$16="% OF AFV(8Q)"),AVERAGE( $M13:$M36),IF('Pre-Calculation'!$D$16="% OF AFV(12M)",AVERAGE($M25:M36),IF('Pre-Calculation'!$D$16="% OF AFV(36M)",AVERAGE($M$7:M36)))))</f>
        <v>1053676.127</v>
      </c>
      <c r="O36" s="175">
        <f t="shared" si="4"/>
        <v>1053676.127</v>
      </c>
      <c r="P36" s="175">
        <f>IF('Pre-Calculation'!$D$17="Type 4 a",MAX(SA,N36,1.05*Q36),IF('Pre-Calculation'!$D$17="Type 4 c",N36,IF('Pre-Calculation'!$D$17="Type 4 d",SA+N36,IF('Pre-Calculation'!$D$17="Type 4 e",MAX(SA,N36),IF('Pre-Calculation'!$D$17="Type 4 f",SA,IF('Pre-Calculation'!$D$17="Type 4 g",1000+N36,IF('Pre-Calculation'!$D$17="Type 4 h",SA+X36,IF('Pre-Calculation'!$D$17="Type 4 i",MAX(N36,Q36),IF('Pre-Calculation'!$D$17="Type 4 k",MAX(N36,1.01*Q36),IF('Pre-Calculation'!$D$17="Type 4 m",MAX(105%*Q36,SA+N36),IF('Pre-Calculation'!$D$17="Type 4 o",MAX(SA,105%*Q36)+X36+Z36,IF('Pre-Calculation'!$D$17="Type 5",0))))))))))))</f>
        <v>1053676.127</v>
      </c>
      <c r="Q36" s="175">
        <f t="shared" si="5"/>
        <v>800000</v>
      </c>
      <c r="R36" s="119">
        <f>L36*(1+GROWTH_RATE)*FMC</f>
        <v>1186.314987</v>
      </c>
      <c r="S36" s="178">
        <f>S35*(1+'Pre-Calculation'!$E$27)</f>
        <v>708376.64</v>
      </c>
      <c r="T36" s="175">
        <f>-E36+IF(A35=INPUT!$C$11*12,N36,0)</f>
        <v>0</v>
      </c>
      <c r="U36" s="175">
        <f t="shared" si="6"/>
        <v>1071489.925</v>
      </c>
      <c r="V36" s="175">
        <f>U36*(1+GROWTH_RATE_H)*(1-'Pre-Calculation'!$E$31)</f>
        <v>1076588.065</v>
      </c>
      <c r="W36" s="175">
        <f>-E36+IF(A35=INPUT!$C$11*12,V36,0)</f>
        <v>0</v>
      </c>
      <c r="X36" s="179">
        <f t="array" ref="X36">NPV('Pre-Calculation'!$E$20,$E37:E$246)</f>
        <v>185971.3445</v>
      </c>
      <c r="Y36" s="171">
        <f>10%*SA</f>
        <v>100000</v>
      </c>
      <c r="Z36" s="179">
        <f t="array" ref="Z36">NPV('Pre-Calculation'!$E$20,Y37:Y46)</f>
        <v>969592.8037</v>
      </c>
    </row>
    <row r="37" ht="15.75" customHeight="1">
      <c r="A37" s="171">
        <f t="shared" si="1"/>
        <v>91</v>
      </c>
      <c r="B37" s="171">
        <f t="shared" si="2"/>
        <v>8</v>
      </c>
      <c r="C37" s="176">
        <f>EDATE(RCD,A36)</f>
        <v>45290</v>
      </c>
      <c r="D37" s="171">
        <f>Age_At_Entry+'Cashflows_8%'!B37-1</f>
        <v>42</v>
      </c>
      <c r="E37" s="175">
        <f>IF(AND(C37&lt;=Last_Prem,MOD(A36,Mode)=0,C37&gt;INPUT!$C$13,A37&lt;=Revival!$C$11),Mod_Prem,0)</f>
        <v>0</v>
      </c>
      <c r="F37" s="177">
        <f>E37*VLOOKUP(B37,'Pre-Calculation'!$H$1:$I$31,2,FALSE)</f>
        <v>0</v>
      </c>
      <c r="G37" s="177">
        <f>IF(B37&lt;PT+1,VLOOKUP(B37,'Pre-Calculation'!$H$1:$L$32,3,FALSE)+VLOOKUP(B37,'Pre-Calculation'!$H$1:$L$32,4,FALSE)*'Pre-Calculation'!$D$7,0)</f>
        <v>830</v>
      </c>
      <c r="H37" s="175">
        <f>(E37-(F37+G37)*(1+Tax)+N36)</f>
        <v>1052696.727</v>
      </c>
      <c r="I37" s="175">
        <f>IF(B37&lt;PT+1,VLOOKUP(D37,'Pre-Calculation'!$N$3:$P$79,IF(INPUT!$C$4="M",2,3),FALSE)*(J37/1000)*(1/12),0)</f>
        <v>0</v>
      </c>
      <c r="J37" s="175">
        <f t="shared" si="3"/>
        <v>0</v>
      </c>
      <c r="K37" s="175">
        <f>(IF('Pre-Calculation'!$D$17="Type 4 a",MAX(SA,H37,1.05*Q37),IF('Pre-Calculation'!$D$17="Type 4 c",H37,IF('Pre-Calculation'!$D$17="Type 4 d",SA+H37,IF('Pre-Calculation'!$D$17="Type 4 e",MAX(SA,H37),IF('Pre-Calculation'!$D$17="Type 4 f",SA,IF('Pre-Calculation'!$D$17="Type 4 g",1000+H37,IF('Pre-Calculation'!$D$17="Type 4 h",SA+X37,IF('Pre-Calculation'!$D$17="Type 4 i",MAX(H37,Q37),IF('Pre-Calculation'!$D$17="Type 4 k",MAX(H37,1.01*Q37),IF('Pre-Calculation'!$D$17="Type 4 m",MAX(105%*Q37,SA+H37),IF('Pre-Calculation'!$D$17="Type 4 o",MAX(SA,105%*Q37)+X37+Z37,IF('Pre-Calculation'!$D$17="Type 5",0)))))))))))))*IF(AND(A37&lt;Revival!$C$4,'Cashflows_8%'!C37&gt;=Revival!$D$12),PUP,1)</f>
        <v>1052696.727</v>
      </c>
      <c r="L37" s="175">
        <f>H37-I37*(1+Tax)</f>
        <v>1052696.727</v>
      </c>
      <c r="M37" s="175">
        <f>L37*(1+GROWTH_RATE_H)*(1-FMC*(1+Tax))</f>
        <v>1058064.128</v>
      </c>
      <c r="N37" s="175">
        <f>M37+IF(MOD(A37,B37)=0,VLOOKUP(B37,'Pre-Calculation'!$H$1:$L$31,5,FALSE),0)*IF('Pre-Calculation'!$D$16="% OF FV",M37,IF(OR('Pre-Calculation'!$D$16="% OF AFV(24M)",'Pre-Calculation'!$D$16="% OF AFV(8Q)"),AVERAGE( $M14:$M37),IF('Pre-Calculation'!$D$16="% OF AFV(12M)",AVERAGE($M26:M37),IF('Pre-Calculation'!$D$16="% OF AFV(36M)",AVERAGE($M$7:M37)))))</f>
        <v>1058064.128</v>
      </c>
      <c r="O37" s="175">
        <f t="shared" si="4"/>
        <v>1058064.128</v>
      </c>
      <c r="P37" s="175">
        <f>IF('Pre-Calculation'!$D$17="Type 4 a",MAX(SA,N37,1.05*Q37),IF('Pre-Calculation'!$D$17="Type 4 c",N37,IF('Pre-Calculation'!$D$17="Type 4 d",SA+N37,IF('Pre-Calculation'!$D$17="Type 4 e",MAX(SA,N37),IF('Pre-Calculation'!$D$17="Type 4 f",SA,IF('Pre-Calculation'!$D$17="Type 4 g",1000+N37,IF('Pre-Calculation'!$D$17="Type 4 h",SA+X37,IF('Pre-Calculation'!$D$17="Type 4 i",MAX(N37,Q37),IF('Pre-Calculation'!$D$17="Type 4 k",MAX(N37,1.01*Q37),IF('Pre-Calculation'!$D$17="Type 4 m",MAX(105%*Q37,SA+N37),IF('Pre-Calculation'!$D$17="Type 4 o",MAX(SA,105%*Q37)+X37+Z37,IF('Pre-Calculation'!$D$17="Type 5",0))))))))))))</f>
        <v>1058064.128</v>
      </c>
      <c r="Q37" s="175">
        <f t="shared" si="5"/>
        <v>800000</v>
      </c>
      <c r="R37" s="119">
        <f>L37*(1+GROWTH_RATE)*FMC</f>
        <v>1191.255359</v>
      </c>
      <c r="S37" s="178">
        <f>S36*(1+'Pre-Calculation'!$E$27)</f>
        <v>710410.3176</v>
      </c>
      <c r="T37" s="175">
        <f>-E37+IF(A36=INPUT!$C$11*12,N37,0)</f>
        <v>0</v>
      </c>
      <c r="U37" s="175">
        <f t="shared" si="6"/>
        <v>1076588.065</v>
      </c>
      <c r="V37" s="175">
        <f>U37*(1+GROWTH_RATE_H)*(1-'Pre-Calculation'!$E$31)</f>
        <v>1081710.461</v>
      </c>
      <c r="W37" s="175">
        <f>-E37+IF(A36=INPUT!$C$11*12,V37,0)</f>
        <v>0</v>
      </c>
      <c r="X37" s="179">
        <f t="array" ref="X37">NPV('Pre-Calculation'!$E$20,$E38:E$246)</f>
        <v>187022.8535</v>
      </c>
      <c r="Y37" s="171">
        <f>10%*SA</f>
        <v>100000</v>
      </c>
      <c r="Z37" s="179">
        <f t="array" ref="Z37">NPV('Pre-Calculation'!$E$20,Y38:Y47)</f>
        <v>969592.8037</v>
      </c>
    </row>
    <row r="38" ht="15.75" customHeight="1">
      <c r="A38" s="171">
        <f t="shared" si="1"/>
        <v>92</v>
      </c>
      <c r="B38" s="171">
        <f t="shared" si="2"/>
        <v>8</v>
      </c>
      <c r="C38" s="176">
        <f>EDATE(RCD,A37)</f>
        <v>45321</v>
      </c>
      <c r="D38" s="171">
        <f>Age_At_Entry+'Cashflows_8%'!B38-1</f>
        <v>42</v>
      </c>
      <c r="E38" s="175">
        <f>IF(AND(C38&lt;=Last_Prem,MOD(A37,Mode)=0,C38&gt;INPUT!$C$13,A38&lt;=Revival!$C$11),Mod_Prem,0)</f>
        <v>0</v>
      </c>
      <c r="F38" s="177">
        <f>E38*VLOOKUP(B38,'Pre-Calculation'!$H$1:$I$31,2,FALSE)</f>
        <v>0</v>
      </c>
      <c r="G38" s="177">
        <f>IF(B38&lt;PT+1,VLOOKUP(B38,'Pre-Calculation'!$H$1:$L$32,3,FALSE)+VLOOKUP(B38,'Pre-Calculation'!$H$1:$L$32,4,FALSE)*'Pre-Calculation'!$D$7,0)</f>
        <v>830</v>
      </c>
      <c r="H38" s="175">
        <f>(E38-(F38+G38)*(1+Tax)+N37)</f>
        <v>1057084.728</v>
      </c>
      <c r="I38" s="175">
        <f>IF(B38&lt;PT+1,VLOOKUP(D38,'Pre-Calculation'!$N$3:$P$79,IF(INPUT!$C$4="M",2,3),FALSE)*(J38/1000)*(1/12),0)</f>
        <v>0</v>
      </c>
      <c r="J38" s="175">
        <f t="shared" si="3"/>
        <v>0</v>
      </c>
      <c r="K38" s="175">
        <f>(IF('Pre-Calculation'!$D$17="Type 4 a",MAX(SA,H38,1.05*Q38),IF('Pre-Calculation'!$D$17="Type 4 c",H38,IF('Pre-Calculation'!$D$17="Type 4 d",SA+H38,IF('Pre-Calculation'!$D$17="Type 4 e",MAX(SA,H38),IF('Pre-Calculation'!$D$17="Type 4 f",SA,IF('Pre-Calculation'!$D$17="Type 4 g",1000+H38,IF('Pre-Calculation'!$D$17="Type 4 h",SA+X38,IF('Pre-Calculation'!$D$17="Type 4 i",MAX(H38,Q38),IF('Pre-Calculation'!$D$17="Type 4 k",MAX(H38,1.01*Q38),IF('Pre-Calculation'!$D$17="Type 4 m",MAX(105%*Q38,SA+H38),IF('Pre-Calculation'!$D$17="Type 4 o",MAX(SA,105%*Q38)+X38+Z38,IF('Pre-Calculation'!$D$17="Type 5",0)))))))))))))*IF(AND(A38&lt;Revival!$C$4,'Cashflows_8%'!C38&gt;=Revival!$D$12),PUP,1)</f>
        <v>1057084.728</v>
      </c>
      <c r="L38" s="175">
        <f>H38-I38*(1+Tax)</f>
        <v>1057084.728</v>
      </c>
      <c r="M38" s="175">
        <f>L38*(1+GROWTH_RATE_H)*(1-FMC*(1+Tax))</f>
        <v>1062474.502</v>
      </c>
      <c r="N38" s="175">
        <f>M38+IF(MOD(A38,B38)=0,VLOOKUP(B38,'Pre-Calculation'!$H$1:$L$31,5,FALSE),0)*IF('Pre-Calculation'!$D$16="% OF FV",M38,IF(OR('Pre-Calculation'!$D$16="% OF AFV(24M)",'Pre-Calculation'!$D$16="% OF AFV(8Q)"),AVERAGE( $M15:$M38),IF('Pre-Calculation'!$D$16="% OF AFV(12M)",AVERAGE($M27:M38),IF('Pre-Calculation'!$D$16="% OF AFV(36M)",AVERAGE($M$7:M38)))))</f>
        <v>1062474.502</v>
      </c>
      <c r="O38" s="175">
        <f t="shared" si="4"/>
        <v>1062474.502</v>
      </c>
      <c r="P38" s="175">
        <f>IF('Pre-Calculation'!$D$17="Type 4 a",MAX(SA,N38,1.05*Q38),IF('Pre-Calculation'!$D$17="Type 4 c",N38,IF('Pre-Calculation'!$D$17="Type 4 d",SA+N38,IF('Pre-Calculation'!$D$17="Type 4 e",MAX(SA,N38),IF('Pre-Calculation'!$D$17="Type 4 f",SA,IF('Pre-Calculation'!$D$17="Type 4 g",1000+N38,IF('Pre-Calculation'!$D$17="Type 4 h",SA+X38,IF('Pre-Calculation'!$D$17="Type 4 i",MAX(N38,Q38),IF('Pre-Calculation'!$D$17="Type 4 k",MAX(N38,1.01*Q38),IF('Pre-Calculation'!$D$17="Type 4 m",MAX(105%*Q38,SA+N38),IF('Pre-Calculation'!$D$17="Type 4 o",MAX(SA,105%*Q38)+X38+Z38,IF('Pre-Calculation'!$D$17="Type 5",0))))))))))))</f>
        <v>1062474.502</v>
      </c>
      <c r="Q38" s="175">
        <f t="shared" si="5"/>
        <v>800000</v>
      </c>
      <c r="R38" s="119">
        <f>L38*(1+GROWTH_RATE)*FMC</f>
        <v>1196.22092</v>
      </c>
      <c r="S38" s="178">
        <f>S37*(1+'Pre-Calculation'!$E$27)</f>
        <v>712449.8337</v>
      </c>
      <c r="T38" s="175">
        <f>-E38+IF(A37=INPUT!$C$11*12,N38,0)</f>
        <v>0</v>
      </c>
      <c r="U38" s="175">
        <f t="shared" si="6"/>
        <v>1081710.461</v>
      </c>
      <c r="V38" s="175">
        <f>U38*(1+GROWTH_RATE_H)*(1-'Pre-Calculation'!$E$31)</f>
        <v>1086857.23</v>
      </c>
      <c r="W38" s="175">
        <f>-E38+IF(A37=INPUT!$C$11*12,V38,0)</f>
        <v>0</v>
      </c>
      <c r="X38" s="179">
        <f t="array" ref="X38">NPV('Pre-Calculation'!$E$20,$E39:E$246)</f>
        <v>188080.3079</v>
      </c>
      <c r="Y38" s="171">
        <f>10%*SA</f>
        <v>100000</v>
      </c>
      <c r="Z38" s="179">
        <f t="array" ref="Z38">NPV('Pre-Calculation'!$E$20,Y39:Y48)</f>
        <v>969592.8037</v>
      </c>
    </row>
    <row r="39" ht="15.75" customHeight="1">
      <c r="A39" s="171">
        <f t="shared" si="1"/>
        <v>93</v>
      </c>
      <c r="B39" s="171">
        <f t="shared" si="2"/>
        <v>8</v>
      </c>
      <c r="C39" s="176">
        <f>EDATE(RCD,A38)</f>
        <v>45351</v>
      </c>
      <c r="D39" s="171">
        <f>Age_At_Entry+'Cashflows_8%'!B39-1</f>
        <v>42</v>
      </c>
      <c r="E39" s="175">
        <f>IF(AND(C39&lt;=Last_Prem,MOD(A38,Mode)=0,C39&gt;INPUT!$C$13,A39&lt;=Revival!$C$11),Mod_Prem,0)</f>
        <v>0</v>
      </c>
      <c r="F39" s="177">
        <f>E39*VLOOKUP(B39,'Pre-Calculation'!$H$1:$I$31,2,FALSE)</f>
        <v>0</v>
      </c>
      <c r="G39" s="177">
        <f>IF(B39&lt;PT+1,VLOOKUP(B39,'Pre-Calculation'!$H$1:$L$32,3,FALSE)+VLOOKUP(B39,'Pre-Calculation'!$H$1:$L$32,4,FALSE)*'Pre-Calculation'!$D$7,0)</f>
        <v>830</v>
      </c>
      <c r="H39" s="175">
        <f>(E39-(F39+G39)*(1+Tax)+N38)</f>
        <v>1061495.102</v>
      </c>
      <c r="I39" s="175">
        <f>IF(B39&lt;PT+1,VLOOKUP(D39,'Pre-Calculation'!$N$3:$P$79,IF(INPUT!$C$4="M",2,3),FALSE)*(J39/1000)*(1/12),0)</f>
        <v>0</v>
      </c>
      <c r="J39" s="175">
        <f t="shared" si="3"/>
        <v>0</v>
      </c>
      <c r="K39" s="175">
        <f>(IF('Pre-Calculation'!$D$17="Type 4 a",MAX(SA,H39,1.05*Q39),IF('Pre-Calculation'!$D$17="Type 4 c",H39,IF('Pre-Calculation'!$D$17="Type 4 d",SA+H39,IF('Pre-Calculation'!$D$17="Type 4 e",MAX(SA,H39),IF('Pre-Calculation'!$D$17="Type 4 f",SA,IF('Pre-Calculation'!$D$17="Type 4 g",1000+H39,IF('Pre-Calculation'!$D$17="Type 4 h",SA+X39,IF('Pre-Calculation'!$D$17="Type 4 i",MAX(H39,Q39),IF('Pre-Calculation'!$D$17="Type 4 k",MAX(H39,1.01*Q39),IF('Pre-Calculation'!$D$17="Type 4 m",MAX(105%*Q39,SA+H39),IF('Pre-Calculation'!$D$17="Type 4 o",MAX(SA,105%*Q39)+X39+Z39,IF('Pre-Calculation'!$D$17="Type 5",0)))))))))))))*IF(AND(A39&lt;Revival!$C$4,'Cashflows_8%'!C39&gt;=Revival!$D$12),PUP,1)</f>
        <v>1061495.102</v>
      </c>
      <c r="L39" s="175">
        <f>H39-I39*(1+Tax)</f>
        <v>1061495.102</v>
      </c>
      <c r="M39" s="175">
        <f>L39*(1+GROWTH_RATE_H)*(1-FMC*(1+Tax))</f>
        <v>1066907.364</v>
      </c>
      <c r="N39" s="175">
        <f>M39+IF(MOD(A39,B39)=0,VLOOKUP(B39,'Pre-Calculation'!$H$1:$L$31,5,FALSE),0)*IF('Pre-Calculation'!$D$16="% OF FV",M39,IF(OR('Pre-Calculation'!$D$16="% OF AFV(24M)",'Pre-Calculation'!$D$16="% OF AFV(8Q)"),AVERAGE( $M16:$M39),IF('Pre-Calculation'!$D$16="% OF AFV(12M)",AVERAGE($M28:M39),IF('Pre-Calculation'!$D$16="% OF AFV(36M)",AVERAGE($M$7:M39)))))</f>
        <v>1066907.364</v>
      </c>
      <c r="O39" s="175">
        <f t="shared" si="4"/>
        <v>1066907.364</v>
      </c>
      <c r="P39" s="175">
        <f>IF('Pre-Calculation'!$D$17="Type 4 a",MAX(SA,N39,1.05*Q39),IF('Pre-Calculation'!$D$17="Type 4 c",N39,IF('Pre-Calculation'!$D$17="Type 4 d",SA+N39,IF('Pre-Calculation'!$D$17="Type 4 e",MAX(SA,N39),IF('Pre-Calculation'!$D$17="Type 4 f",SA,IF('Pre-Calculation'!$D$17="Type 4 g",1000+N39,IF('Pre-Calculation'!$D$17="Type 4 h",SA+X39,IF('Pre-Calculation'!$D$17="Type 4 i",MAX(N39,Q39),IF('Pre-Calculation'!$D$17="Type 4 k",MAX(N39,1.01*Q39),IF('Pre-Calculation'!$D$17="Type 4 m",MAX(105%*Q39,SA+N39),IF('Pre-Calculation'!$D$17="Type 4 o",MAX(SA,105%*Q39)+X39+Z39,IF('Pre-Calculation'!$D$17="Type 5",0))))))))))))</f>
        <v>1066907.364</v>
      </c>
      <c r="Q39" s="175">
        <f t="shared" si="5"/>
        <v>800000</v>
      </c>
      <c r="R39" s="119">
        <f>L39*(1+GROWTH_RATE)*FMC</f>
        <v>1201.211799</v>
      </c>
      <c r="S39" s="178">
        <f>S38*(1+'Pre-Calculation'!$E$27)</f>
        <v>714495.205</v>
      </c>
      <c r="T39" s="175">
        <f>-E39+IF(A38=INPUT!$C$11*12,N39,0)</f>
        <v>0</v>
      </c>
      <c r="U39" s="175">
        <f t="shared" si="6"/>
        <v>1086857.23</v>
      </c>
      <c r="V39" s="175">
        <f>U39*(1+GROWTH_RATE_H)*(1-'Pre-Calculation'!$E$31)</f>
        <v>1092028.487</v>
      </c>
      <c r="W39" s="175">
        <f>-E39+IF(A38=INPUT!$C$11*12,V39,0)</f>
        <v>0</v>
      </c>
      <c r="X39" s="179">
        <f t="array" ref="X39">NPV('Pre-Calculation'!$E$20,$E40:E$246)</f>
        <v>189143.7413</v>
      </c>
      <c r="Y39" s="171">
        <f>10%*SA</f>
        <v>100000</v>
      </c>
      <c r="Z39" s="179">
        <f t="array" ref="Z39">NPV('Pre-Calculation'!$E$20,Y40:Y49)</f>
        <v>969592.8037</v>
      </c>
    </row>
    <row r="40" ht="15.75" customHeight="1">
      <c r="A40" s="171">
        <f t="shared" si="1"/>
        <v>94</v>
      </c>
      <c r="B40" s="171">
        <f t="shared" si="2"/>
        <v>8</v>
      </c>
      <c r="C40" s="176">
        <f>EDATE(RCD,A39)</f>
        <v>45381</v>
      </c>
      <c r="D40" s="171">
        <f>Age_At_Entry+'Cashflows_8%'!B40-1</f>
        <v>42</v>
      </c>
      <c r="E40" s="175">
        <f>IF(AND(C40&lt;=Last_Prem,MOD(A39,Mode)=0,C40&gt;INPUT!$C$13,A40&lt;=Revival!$C$11),Mod_Prem,0)</f>
        <v>0</v>
      </c>
      <c r="F40" s="177">
        <f>E40*VLOOKUP(B40,'Pre-Calculation'!$H$1:$I$31,2,FALSE)</f>
        <v>0</v>
      </c>
      <c r="G40" s="177">
        <f>IF(B40&lt;PT+1,VLOOKUP(B40,'Pre-Calculation'!$H$1:$L$32,3,FALSE)+VLOOKUP(B40,'Pre-Calculation'!$H$1:$L$32,4,FALSE)*'Pre-Calculation'!$D$7,0)</f>
        <v>830</v>
      </c>
      <c r="H40" s="175">
        <f>(E40-(F40+G40)*(1+Tax)+N39)</f>
        <v>1065927.964</v>
      </c>
      <c r="I40" s="175">
        <f>IF(B40&lt;PT+1,VLOOKUP(D40,'Pre-Calculation'!$N$3:$P$79,IF(INPUT!$C$4="M",2,3),FALSE)*(J40/1000)*(1/12),0)</f>
        <v>0</v>
      </c>
      <c r="J40" s="175">
        <f t="shared" si="3"/>
        <v>0</v>
      </c>
      <c r="K40" s="175">
        <f>(IF('Pre-Calculation'!$D$17="Type 4 a",MAX(SA,H40,1.05*Q40),IF('Pre-Calculation'!$D$17="Type 4 c",H40,IF('Pre-Calculation'!$D$17="Type 4 d",SA+H40,IF('Pre-Calculation'!$D$17="Type 4 e",MAX(SA,H40),IF('Pre-Calculation'!$D$17="Type 4 f",SA,IF('Pre-Calculation'!$D$17="Type 4 g",1000+H40,IF('Pre-Calculation'!$D$17="Type 4 h",SA+X40,IF('Pre-Calculation'!$D$17="Type 4 i",MAX(H40,Q40),IF('Pre-Calculation'!$D$17="Type 4 k",MAX(H40,1.01*Q40),IF('Pre-Calculation'!$D$17="Type 4 m",MAX(105%*Q40,SA+H40),IF('Pre-Calculation'!$D$17="Type 4 o",MAX(SA,105%*Q40)+X40+Z40,IF('Pre-Calculation'!$D$17="Type 5",0)))))))))))))*IF(AND(A40&lt;Revival!$C$4,'Cashflows_8%'!C40&gt;=Revival!$D$12),PUP,1)</f>
        <v>1065927.964</v>
      </c>
      <c r="L40" s="175">
        <f>H40-I40*(1+Tax)</f>
        <v>1065927.964</v>
      </c>
      <c r="M40" s="175">
        <f>L40*(1+GROWTH_RATE_H)*(1-FMC*(1+Tax))</f>
        <v>1071362.827</v>
      </c>
      <c r="N40" s="175">
        <f>M40+IF(MOD(A40,B40)=0,VLOOKUP(B40,'Pre-Calculation'!$H$1:$L$31,5,FALSE),0)*IF('Pre-Calculation'!$D$16="% OF FV",M40,IF(OR('Pre-Calculation'!$D$16="% OF AFV(24M)",'Pre-Calculation'!$D$16="% OF AFV(8Q)"),AVERAGE( $M17:$M40),IF('Pre-Calculation'!$D$16="% OF AFV(12M)",AVERAGE($M29:M40),IF('Pre-Calculation'!$D$16="% OF AFV(36M)",AVERAGE($M$7:M40)))))</f>
        <v>1071362.827</v>
      </c>
      <c r="O40" s="175">
        <f t="shared" si="4"/>
        <v>1071362.827</v>
      </c>
      <c r="P40" s="175">
        <f>IF('Pre-Calculation'!$D$17="Type 4 a",MAX(SA,N40,1.05*Q40),IF('Pre-Calculation'!$D$17="Type 4 c",N40,IF('Pre-Calculation'!$D$17="Type 4 d",SA+N40,IF('Pre-Calculation'!$D$17="Type 4 e",MAX(SA,N40),IF('Pre-Calculation'!$D$17="Type 4 f",SA,IF('Pre-Calculation'!$D$17="Type 4 g",1000+N40,IF('Pre-Calculation'!$D$17="Type 4 h",SA+X40,IF('Pre-Calculation'!$D$17="Type 4 i",MAX(N40,Q40),IF('Pre-Calculation'!$D$17="Type 4 k",MAX(N40,1.01*Q40),IF('Pre-Calculation'!$D$17="Type 4 m",MAX(105%*Q40,SA+N40),IF('Pre-Calculation'!$D$17="Type 4 o",MAX(SA,105%*Q40)+X40+Z40,IF('Pre-Calculation'!$D$17="Type 5",0))))))))))))</f>
        <v>1071362.827</v>
      </c>
      <c r="Q40" s="175">
        <f t="shared" si="5"/>
        <v>800000</v>
      </c>
      <c r="R40" s="119">
        <f>L40*(1+GROWTH_RATE)*FMC</f>
        <v>1206.228125</v>
      </c>
      <c r="S40" s="178">
        <f>S39*(1+'Pre-Calculation'!$E$27)</f>
        <v>716546.4484</v>
      </c>
      <c r="T40" s="175">
        <f>-E40+IF(A39=INPUT!$C$11*12,N40,0)</f>
        <v>0</v>
      </c>
      <c r="U40" s="175">
        <f t="shared" si="6"/>
        <v>1092028.487</v>
      </c>
      <c r="V40" s="175">
        <f>U40*(1+GROWTH_RATE_H)*(1-'Pre-Calculation'!$E$31)</f>
        <v>1097224.349</v>
      </c>
      <c r="W40" s="175">
        <f>-E40+IF(A39=INPUT!$C$11*12,V40,0)</f>
        <v>0</v>
      </c>
      <c r="X40" s="179">
        <f t="array" ref="X40">NPV('Pre-Calculation'!$E$20,$E41:E$246)</f>
        <v>190213.1875</v>
      </c>
      <c r="Y40" s="171">
        <f>10%*SA</f>
        <v>100000</v>
      </c>
      <c r="Z40" s="179">
        <f t="array" ref="Z40">NPV('Pre-Calculation'!$E$20,Y41:Y50)</f>
        <v>969592.8037</v>
      </c>
    </row>
    <row r="41" ht="15.75" customHeight="1">
      <c r="A41" s="171">
        <f t="shared" si="1"/>
        <v>95</v>
      </c>
      <c r="B41" s="171">
        <f t="shared" si="2"/>
        <v>8</v>
      </c>
      <c r="C41" s="176">
        <f>EDATE(RCD,A40)</f>
        <v>45412</v>
      </c>
      <c r="D41" s="171">
        <f>Age_At_Entry+'Cashflows_8%'!B41-1</f>
        <v>42</v>
      </c>
      <c r="E41" s="175">
        <f>IF(AND(C41&lt;=Last_Prem,MOD(A40,Mode)=0,C41&gt;INPUT!$C$13,A41&lt;=Revival!$C$11),Mod_Prem,0)</f>
        <v>0</v>
      </c>
      <c r="F41" s="177">
        <f>E41*VLOOKUP(B41,'Pre-Calculation'!$H$1:$I$31,2,FALSE)</f>
        <v>0</v>
      </c>
      <c r="G41" s="177">
        <f>IF(B41&lt;PT+1,VLOOKUP(B41,'Pre-Calculation'!$H$1:$L$32,3,FALSE)+VLOOKUP(B41,'Pre-Calculation'!$H$1:$L$32,4,FALSE)*'Pre-Calculation'!$D$7,0)</f>
        <v>830</v>
      </c>
      <c r="H41" s="175">
        <f>(E41-(F41+G41)*(1+Tax)+N40)</f>
        <v>1070383.427</v>
      </c>
      <c r="I41" s="175">
        <f>IF(B41&lt;PT+1,VLOOKUP(D41,'Pre-Calculation'!$N$3:$P$79,IF(INPUT!$C$4="M",2,3),FALSE)*(J41/1000)*(1/12),0)</f>
        <v>0</v>
      </c>
      <c r="J41" s="175">
        <f t="shared" si="3"/>
        <v>0</v>
      </c>
      <c r="K41" s="175">
        <f>(IF('Pre-Calculation'!$D$17="Type 4 a",MAX(SA,H41,1.05*Q41),IF('Pre-Calculation'!$D$17="Type 4 c",H41,IF('Pre-Calculation'!$D$17="Type 4 d",SA+H41,IF('Pre-Calculation'!$D$17="Type 4 e",MAX(SA,H41),IF('Pre-Calculation'!$D$17="Type 4 f",SA,IF('Pre-Calculation'!$D$17="Type 4 g",1000+H41,IF('Pre-Calculation'!$D$17="Type 4 h",SA+X41,IF('Pre-Calculation'!$D$17="Type 4 i",MAX(H41,Q41),IF('Pre-Calculation'!$D$17="Type 4 k",MAX(H41,1.01*Q41),IF('Pre-Calculation'!$D$17="Type 4 m",MAX(105%*Q41,SA+H41),IF('Pre-Calculation'!$D$17="Type 4 o",MAX(SA,105%*Q41)+X41+Z41,IF('Pre-Calculation'!$D$17="Type 5",0)))))))))))))*IF(AND(A41&lt;Revival!$C$4,'Cashflows_8%'!C41&gt;=Revival!$D$12),PUP,1)</f>
        <v>1070383.427</v>
      </c>
      <c r="L41" s="175">
        <f>H41-I41*(1+Tax)</f>
        <v>1070383.427</v>
      </c>
      <c r="M41" s="175">
        <f>L41*(1+GROWTH_RATE_H)*(1-FMC*(1+Tax))</f>
        <v>1075841.008</v>
      </c>
      <c r="N41" s="175">
        <f>M41+IF(MOD(A41,B41)=0,VLOOKUP(B41,'Pre-Calculation'!$H$1:$L$31,5,FALSE),0)*IF('Pre-Calculation'!$D$16="% OF FV",M41,IF(OR('Pre-Calculation'!$D$16="% OF AFV(24M)",'Pre-Calculation'!$D$16="% OF AFV(8Q)"),AVERAGE( $M18:$M41),IF('Pre-Calculation'!$D$16="% OF AFV(12M)",AVERAGE($M30:M41),IF('Pre-Calculation'!$D$16="% OF AFV(36M)",AVERAGE($M$7:M41)))))</f>
        <v>1075841.008</v>
      </c>
      <c r="O41" s="175">
        <f t="shared" si="4"/>
        <v>1075841.008</v>
      </c>
      <c r="P41" s="175">
        <f>IF('Pre-Calculation'!$D$17="Type 4 a",MAX(SA,N41,1.05*Q41),IF('Pre-Calculation'!$D$17="Type 4 c",N41,IF('Pre-Calculation'!$D$17="Type 4 d",SA+N41,IF('Pre-Calculation'!$D$17="Type 4 e",MAX(SA,N41),IF('Pre-Calculation'!$D$17="Type 4 f",SA,IF('Pre-Calculation'!$D$17="Type 4 g",1000+N41,IF('Pre-Calculation'!$D$17="Type 4 h",SA+X41,IF('Pre-Calculation'!$D$17="Type 4 i",MAX(N41,Q41),IF('Pre-Calculation'!$D$17="Type 4 k",MAX(N41,1.01*Q41),IF('Pre-Calculation'!$D$17="Type 4 m",MAX(105%*Q41,SA+N41),IF('Pre-Calculation'!$D$17="Type 4 o",MAX(SA,105%*Q41)+X41+Z41,IF('Pre-Calculation'!$D$17="Type 5",0))))))))))))</f>
        <v>1075841.008</v>
      </c>
      <c r="Q41" s="175">
        <f t="shared" si="5"/>
        <v>800000</v>
      </c>
      <c r="R41" s="119">
        <f>L41*(1+GROWTH_RATE)*FMC</f>
        <v>1211.270028</v>
      </c>
      <c r="S41" s="178">
        <f>S40*(1+'Pre-Calculation'!$E$27)</f>
        <v>718603.5807</v>
      </c>
      <c r="T41" s="175">
        <f>-E41+IF(A40=INPUT!$C$11*12,N41,0)</f>
        <v>0</v>
      </c>
      <c r="U41" s="175">
        <f t="shared" si="6"/>
        <v>1097224.349</v>
      </c>
      <c r="V41" s="175">
        <f>U41*(1+GROWTH_RATE_H)*(1-'Pre-Calculation'!$E$31)</f>
        <v>1102444.933</v>
      </c>
      <c r="W41" s="175">
        <f>-E41+IF(A40=INPUT!$C$11*12,V41,0)</f>
        <v>0</v>
      </c>
      <c r="X41" s="179">
        <f t="array" ref="X41">NPV('Pre-Calculation'!$E$20,$E42:E$246)</f>
        <v>191288.6805</v>
      </c>
      <c r="Y41" s="171">
        <f>10%*SA</f>
        <v>100000</v>
      </c>
      <c r="Z41" s="179">
        <f t="array" ref="Z41">NPV('Pre-Calculation'!$E$20,Y42:Y51)</f>
        <v>969592.8037</v>
      </c>
    </row>
    <row r="42" ht="15.75" customHeight="1">
      <c r="A42" s="171">
        <f t="shared" si="1"/>
        <v>96</v>
      </c>
      <c r="B42" s="171">
        <f t="shared" si="2"/>
        <v>8</v>
      </c>
      <c r="C42" s="176">
        <f>EDATE(RCD,A41)</f>
        <v>45442</v>
      </c>
      <c r="D42" s="171">
        <f>Age_At_Entry+'Cashflows_8%'!B42-1</f>
        <v>42</v>
      </c>
      <c r="E42" s="175">
        <f>IF(AND(C42&lt;=Last_Prem,MOD(A41,Mode)=0,C42&gt;INPUT!$C$13,A42&lt;=Revival!$C$11),Mod_Prem,0)</f>
        <v>0</v>
      </c>
      <c r="F42" s="177">
        <f>E42*VLOOKUP(B42,'Pre-Calculation'!$H$1:$I$31,2,FALSE)</f>
        <v>0</v>
      </c>
      <c r="G42" s="177">
        <f>IF(B42&lt;PT+1,VLOOKUP(B42,'Pre-Calculation'!$H$1:$L$32,3,FALSE)+VLOOKUP(B42,'Pre-Calculation'!$H$1:$L$32,4,FALSE)*'Pre-Calculation'!$D$7,0)</f>
        <v>830</v>
      </c>
      <c r="H42" s="175">
        <f>(E42-(F42+G42)*(1+Tax)+N41)</f>
        <v>1074861.608</v>
      </c>
      <c r="I42" s="175">
        <f>IF(B42&lt;PT+1,VLOOKUP(D42,'Pre-Calculation'!$N$3:$P$79,IF(INPUT!$C$4="M",2,3),FALSE)*(J42/1000)*(1/12),0)</f>
        <v>0</v>
      </c>
      <c r="J42" s="175">
        <f t="shared" si="3"/>
        <v>0</v>
      </c>
      <c r="K42" s="175">
        <f>(IF('Pre-Calculation'!$D$17="Type 4 a",MAX(SA,H42,1.05*Q42),IF('Pre-Calculation'!$D$17="Type 4 c",H42,IF('Pre-Calculation'!$D$17="Type 4 d",SA+H42,IF('Pre-Calculation'!$D$17="Type 4 e",MAX(SA,H42),IF('Pre-Calculation'!$D$17="Type 4 f",SA,IF('Pre-Calculation'!$D$17="Type 4 g",1000+H42,IF('Pre-Calculation'!$D$17="Type 4 h",SA+X42,IF('Pre-Calculation'!$D$17="Type 4 i",MAX(H42,Q42),IF('Pre-Calculation'!$D$17="Type 4 k",MAX(H42,1.01*Q42),IF('Pre-Calculation'!$D$17="Type 4 m",MAX(105%*Q42,SA+H42),IF('Pre-Calculation'!$D$17="Type 4 o",MAX(SA,105%*Q42)+X42+Z42,IF('Pre-Calculation'!$D$17="Type 5",0)))))))))))))*IF(AND(A42&lt;Revival!$C$4,'Cashflows_8%'!C42&gt;=Revival!$D$12),PUP,1)</f>
        <v>1074861.608</v>
      </c>
      <c r="L42" s="175">
        <f>H42-I42*(1+Tax)</f>
        <v>1074861.608</v>
      </c>
      <c r="M42" s="175">
        <f>L42*(1+GROWTH_RATE_H)*(1-FMC*(1+Tax))</f>
        <v>1080342.021</v>
      </c>
      <c r="N42" s="175">
        <f>M42+IF(MOD(A42,B42)=0,VLOOKUP(B42,'Pre-Calculation'!$H$1:$L$31,5,FALSE),0)*IF('Pre-Calculation'!$D$16="% OF FV",M42,IF(OR('Pre-Calculation'!$D$16="% OF AFV(24M)",'Pre-Calculation'!$D$16="% OF AFV(8Q)"),AVERAGE( $M19:$M42),IF('Pre-Calculation'!$D$16="% OF AFV(12M)",AVERAGE($M31:M42),IF('Pre-Calculation'!$D$16="% OF AFV(36M)",AVERAGE($M7:M42)))))</f>
        <v>1080342.021</v>
      </c>
      <c r="O42" s="175">
        <f t="shared" si="4"/>
        <v>1080342.021</v>
      </c>
      <c r="P42" s="175">
        <f>IF('Pre-Calculation'!$D$17="Type 4 a",MAX(SA,N42,1.05*Q42),IF('Pre-Calculation'!$D$17="Type 4 c",N42,IF('Pre-Calculation'!$D$17="Type 4 d",SA+N42,IF('Pre-Calculation'!$D$17="Type 4 e",MAX(SA,N42),IF('Pre-Calculation'!$D$17="Type 4 f",SA,IF('Pre-Calculation'!$D$17="Type 4 g",1000+N42,IF('Pre-Calculation'!$D$17="Type 4 h",SA+X42,IF('Pre-Calculation'!$D$17="Type 4 i",MAX(N42,Q42),IF('Pre-Calculation'!$D$17="Type 4 k",MAX(N42,1.01*Q42),IF('Pre-Calculation'!$D$17="Type 4 m",MAX(105%*Q42,SA+N42),IF('Pre-Calculation'!$D$17="Type 4 o",MAX(SA,105%*Q42)+X42+Z42,IF('Pre-Calculation'!$D$17="Type 5",0))))))))))))</f>
        <v>1080342.021</v>
      </c>
      <c r="Q42" s="175">
        <f t="shared" si="5"/>
        <v>800000</v>
      </c>
      <c r="R42" s="119">
        <f>L42*(1+GROWTH_RATE)*FMC</f>
        <v>1216.337638</v>
      </c>
      <c r="S42" s="178">
        <f>S41*(1+'Pre-Calculation'!$E$27)</f>
        <v>720666.6188</v>
      </c>
      <c r="T42" s="175">
        <f>-E42+IF(A41=INPUT!$C$11*12,N42,0)</f>
        <v>0</v>
      </c>
      <c r="U42" s="175">
        <f t="shared" si="6"/>
        <v>1102444.933</v>
      </c>
      <c r="V42" s="175">
        <f>U42*(1+GROWTH_RATE_H)*(1-'Pre-Calculation'!$E$31)</f>
        <v>1107690.356</v>
      </c>
      <c r="W42" s="175">
        <f>-E42+IF(A41=INPUT!$C$11*12,V42,0)</f>
        <v>0</v>
      </c>
      <c r="X42" s="179">
        <f t="array" ref="X42">NPV('Pre-Calculation'!$E$20,$E43:E$246)</f>
        <v>192370.2545</v>
      </c>
      <c r="Y42" s="171">
        <f>10%*SA</f>
        <v>100000</v>
      </c>
      <c r="Z42" s="179">
        <f t="array" ref="Z42">NPV('Pre-Calculation'!$E$20,Y43:Y52)</f>
        <v>969592.8037</v>
      </c>
    </row>
    <row r="43" ht="15.75" customHeight="1">
      <c r="A43" s="171">
        <f t="shared" si="1"/>
        <v>97</v>
      </c>
      <c r="B43" s="171">
        <f t="shared" si="2"/>
        <v>9</v>
      </c>
      <c r="C43" s="176">
        <f>EDATE(RCD,A42)</f>
        <v>45473</v>
      </c>
      <c r="D43" s="171">
        <f>Age_At_Entry+'Cashflows_8%'!B43-1</f>
        <v>43</v>
      </c>
      <c r="E43" s="175">
        <f>IF(AND(C43&lt;=Last_Prem,MOD(A42,Mode)=0,C43&gt;INPUT!$C$13,A43&lt;=Revival!$C$11),Mod_Prem,0)</f>
        <v>100000</v>
      </c>
      <c r="F43" s="177">
        <f>E43*VLOOKUP(B43,'Pre-Calculation'!$H$1:$I$31,2,FALSE)</f>
        <v>0</v>
      </c>
      <c r="G43" s="177">
        <f>IF(B43&lt;PT+1,VLOOKUP(B43,'Pre-Calculation'!$H$1:$L$32,3,FALSE)+VLOOKUP(B43,'Pre-Calculation'!$H$1:$L$32,4,FALSE)*'Pre-Calculation'!$D$7,0)</f>
        <v>830</v>
      </c>
      <c r="H43" s="175">
        <f>(E43-(F43+G43)*(1+Tax)+N42)</f>
        <v>1179362.621</v>
      </c>
      <c r="I43" s="175">
        <f>IF(B43&lt;PT+1,VLOOKUP(D43,'Pre-Calculation'!$N$3:$P$79,IF(INPUT!$C$4="M",2,3),FALSE)*(J43/1000)*(1/12),0)</f>
        <v>0</v>
      </c>
      <c r="J43" s="175">
        <f t="shared" si="3"/>
        <v>0</v>
      </c>
      <c r="K43" s="175">
        <f>(IF('Pre-Calculation'!$D$17="Type 4 a",MAX(SA,H43,1.05*Q43),IF('Pre-Calculation'!$D$17="Type 4 c",H43,IF('Pre-Calculation'!$D$17="Type 4 d",SA+H43,IF('Pre-Calculation'!$D$17="Type 4 e",MAX(SA,H43),IF('Pre-Calculation'!$D$17="Type 4 f",SA,IF('Pre-Calculation'!$D$17="Type 4 g",1000+H43,IF('Pre-Calculation'!$D$17="Type 4 h",SA+X43,IF('Pre-Calculation'!$D$17="Type 4 i",MAX(H43,Q43),IF('Pre-Calculation'!$D$17="Type 4 k",MAX(H43,1.01*Q43),IF('Pre-Calculation'!$D$17="Type 4 m",MAX(105%*Q43,SA+H43),IF('Pre-Calculation'!$D$17="Type 4 o",MAX(SA,105%*Q43)+X43+Z43,IF('Pre-Calculation'!$D$17="Type 5",0)))))))))))))*IF(AND(A43&lt;Revival!$C$4,'Cashflows_8%'!C43&gt;=Revival!$D$12),PUP,1)</f>
        <v>1179362.621</v>
      </c>
      <c r="L43" s="175">
        <f>H43-I43*(1+Tax)</f>
        <v>1179362.621</v>
      </c>
      <c r="M43" s="175">
        <f>L43*(1+GROWTH_RATE_H)*(1-FMC*(1+Tax))</f>
        <v>1185375.856</v>
      </c>
      <c r="N43" s="175">
        <f>M43+IF(MOD(A43,B43)=0,VLOOKUP(B43,'Pre-Calculation'!$H$1:$L$31,5,FALSE),0)*IF('Pre-Calculation'!$D$16="% OF FV",M43,IF(OR('Pre-Calculation'!$D$16="% OF AFV(24M)",'Pre-Calculation'!$D$16="% OF AFV(8Q)"),AVERAGE( $M20:$M43),IF('Pre-Calculation'!$D$16="% OF AFV(12M)",AVERAGE($M32:M43),IF('Pre-Calculation'!$D$16="% OF AFV(36M)",AVERAGE($M8:M43)))))</f>
        <v>1185375.856</v>
      </c>
      <c r="O43" s="175">
        <f t="shared" si="4"/>
        <v>1185375.856</v>
      </c>
      <c r="P43" s="175">
        <f>IF('Pre-Calculation'!$D$17="Type 4 a",MAX(SA,N43,1.05*Q43),IF('Pre-Calculation'!$D$17="Type 4 c",N43,IF('Pre-Calculation'!$D$17="Type 4 d",SA+N43,IF('Pre-Calculation'!$D$17="Type 4 e",MAX(SA,N43),IF('Pre-Calculation'!$D$17="Type 4 f",SA,IF('Pre-Calculation'!$D$17="Type 4 g",1000+N43,IF('Pre-Calculation'!$D$17="Type 4 h",SA+X43,IF('Pre-Calculation'!$D$17="Type 4 i",MAX(N43,Q43),IF('Pre-Calculation'!$D$17="Type 4 k",MAX(N43,1.01*Q43),IF('Pre-Calculation'!$D$17="Type 4 m",MAX(105%*Q43,SA+N43),IF('Pre-Calculation'!$D$17="Type 4 o",MAX(SA,105%*Q43)+X43+Z43,IF('Pre-Calculation'!$D$17="Type 5",0))))))))))))</f>
        <v>1185375.856</v>
      </c>
      <c r="Q43" s="175">
        <f t="shared" si="5"/>
        <v>900000</v>
      </c>
      <c r="R43" s="119">
        <f>L43*(1+GROWTH_RATE)*FMC</f>
        <v>1334.593342</v>
      </c>
      <c r="S43" s="178">
        <f>S42*(1+'Pre-Calculation'!$E$27)</f>
        <v>722735.5796</v>
      </c>
      <c r="T43" s="175">
        <f>-E43+IF(A42=INPUT!$C$11*12,N43,0)</f>
        <v>-100000</v>
      </c>
      <c r="U43" s="175">
        <f t="shared" si="6"/>
        <v>1207690.356</v>
      </c>
      <c r="V43" s="175">
        <f>U43*(1+GROWTH_RATE_H)*(1-'Pre-Calculation'!$E$31)</f>
        <v>1213436.537</v>
      </c>
      <c r="W43" s="175">
        <f>-E43+IF(A42=INPUT!$C$11*12,V43,0)</f>
        <v>-100000</v>
      </c>
      <c r="X43" s="179">
        <f t="array" ref="X43">NPV('Pre-Calculation'!$E$20,$E44:E$246)</f>
        <v>93457.94393</v>
      </c>
      <c r="Y43" s="171">
        <f>10%*SA</f>
        <v>100000</v>
      </c>
      <c r="Z43" s="179">
        <f t="array" ref="Z43">NPV('Pre-Calculation'!$E$20,Y44:Y53)</f>
        <v>969592.8037</v>
      </c>
    </row>
    <row r="44" ht="15.75" customHeight="1">
      <c r="A44" s="171">
        <f t="shared" si="1"/>
        <v>98</v>
      </c>
      <c r="B44" s="171">
        <f t="shared" si="2"/>
        <v>9</v>
      </c>
      <c r="C44" s="176">
        <f>EDATE(RCD,A43)</f>
        <v>45503</v>
      </c>
      <c r="D44" s="171">
        <f>Age_At_Entry+'Cashflows_8%'!B44-1</f>
        <v>43</v>
      </c>
      <c r="E44" s="175">
        <f>IF(AND(C44&lt;=Last_Prem,MOD(A43,Mode)=0,C44&gt;INPUT!$C$13,A44&lt;=Revival!$C$11),Mod_Prem,0)</f>
        <v>0</v>
      </c>
      <c r="F44" s="177">
        <f>E44*VLOOKUP(B44,'Pre-Calculation'!$H$1:$I$31,2,FALSE)</f>
        <v>0</v>
      </c>
      <c r="G44" s="177">
        <f>IF(B44&lt;PT+1,VLOOKUP(B44,'Pre-Calculation'!$H$1:$L$32,3,FALSE)+VLOOKUP(B44,'Pre-Calculation'!$H$1:$L$32,4,FALSE)*'Pre-Calculation'!$D$7,0)</f>
        <v>830</v>
      </c>
      <c r="H44" s="175">
        <f>(E44-(F44+G44)*(1+Tax)+N43)</f>
        <v>1184396.456</v>
      </c>
      <c r="I44" s="175">
        <f>IF(B44&lt;PT+1,VLOOKUP(D44,'Pre-Calculation'!$N$3:$P$79,IF(INPUT!$C$4="M",2,3),FALSE)*(J44/1000)*(1/12),0)</f>
        <v>0</v>
      </c>
      <c r="J44" s="175">
        <f t="shared" si="3"/>
        <v>0</v>
      </c>
      <c r="K44" s="175">
        <f>(IF('Pre-Calculation'!$D$17="Type 4 a",MAX(SA,H44,1.05*Q44),IF('Pre-Calculation'!$D$17="Type 4 c",H44,IF('Pre-Calculation'!$D$17="Type 4 d",SA+H44,IF('Pre-Calculation'!$D$17="Type 4 e",MAX(SA,H44),IF('Pre-Calculation'!$D$17="Type 4 f",SA,IF('Pre-Calculation'!$D$17="Type 4 g",1000+H44,IF('Pre-Calculation'!$D$17="Type 4 h",SA+X44,IF('Pre-Calculation'!$D$17="Type 4 i",MAX(H44,Q44),IF('Pre-Calculation'!$D$17="Type 4 k",MAX(H44,1.01*Q44),IF('Pre-Calculation'!$D$17="Type 4 m",MAX(105%*Q44,SA+H44),IF('Pre-Calculation'!$D$17="Type 4 o",MAX(SA,105%*Q44)+X44+Z44,IF('Pre-Calculation'!$D$17="Type 5",0)))))))))))))*IF(AND(A44&lt;Revival!$C$4,'Cashflows_8%'!C44&gt;=Revival!$D$12),PUP,1)</f>
        <v>1184396.456</v>
      </c>
      <c r="L44" s="175">
        <f>H44-I44*(1+Tax)</f>
        <v>1184396.456</v>
      </c>
      <c r="M44" s="175">
        <f>L44*(1+GROWTH_RATE_H)*(1-FMC*(1+Tax))</f>
        <v>1190435.356</v>
      </c>
      <c r="N44" s="175">
        <f>M44+IF(MOD(A44,B44)=0,VLOOKUP(B44,'Pre-Calculation'!$H$1:$L$31,5,FALSE),0)*IF('Pre-Calculation'!$D$16="% OF FV",M44,IF(OR('Pre-Calculation'!$D$16="% OF AFV(24M)",'Pre-Calculation'!$D$16="% OF AFV(8Q)"),AVERAGE( $M21:$M44),IF('Pre-Calculation'!$D$16="% OF AFV(12M)",AVERAGE($M33:M44),IF('Pre-Calculation'!$D$16="% OF AFV(36M)",AVERAGE($M9:M44)))))</f>
        <v>1190435.356</v>
      </c>
      <c r="O44" s="175">
        <f t="shared" si="4"/>
        <v>1190435.356</v>
      </c>
      <c r="P44" s="175">
        <f>IF('Pre-Calculation'!$D$17="Type 4 a",MAX(SA,N44,1.05*Q44),IF('Pre-Calculation'!$D$17="Type 4 c",N44,IF('Pre-Calculation'!$D$17="Type 4 d",SA+N44,IF('Pre-Calculation'!$D$17="Type 4 e",MAX(SA,N44),IF('Pre-Calculation'!$D$17="Type 4 f",SA,IF('Pre-Calculation'!$D$17="Type 4 g",1000+N44,IF('Pre-Calculation'!$D$17="Type 4 h",SA+X44,IF('Pre-Calculation'!$D$17="Type 4 i",MAX(N44,Q44),IF('Pre-Calculation'!$D$17="Type 4 k",MAX(N44,1.01*Q44),IF('Pre-Calculation'!$D$17="Type 4 m",MAX(105%*Q44,SA+N44),IF('Pre-Calculation'!$D$17="Type 4 o",MAX(SA,105%*Q44)+X44+Z44,IF('Pre-Calculation'!$D$17="Type 5",0))))))))))))</f>
        <v>1190435.356</v>
      </c>
      <c r="Q44" s="175">
        <f t="shared" si="5"/>
        <v>900000</v>
      </c>
      <c r="R44" s="119">
        <f>L44*(1+GROWTH_RATE)*FMC</f>
        <v>1340.289743</v>
      </c>
      <c r="S44" s="178">
        <f>S43*(1+'Pre-Calculation'!$E$27)</f>
        <v>724810.4803</v>
      </c>
      <c r="T44" s="175">
        <f>-E44+IF(A43=INPUT!$C$11*12,N44,0)</f>
        <v>0</v>
      </c>
      <c r="U44" s="175">
        <f t="shared" si="6"/>
        <v>1213436.537</v>
      </c>
      <c r="V44" s="175">
        <f>U44*(1+GROWTH_RATE_H)*(1-'Pre-Calculation'!$E$31)</f>
        <v>1219210.057</v>
      </c>
      <c r="W44" s="175">
        <f>-E44+IF(A43=INPUT!$C$11*12,V44,0)</f>
        <v>0</v>
      </c>
      <c r="X44" s="179">
        <f t="array" ref="X44">NPV('Pre-Calculation'!$E$20,$E45:E$246)</f>
        <v>93986.36873</v>
      </c>
      <c r="Y44" s="171">
        <f>10%*SA</f>
        <v>100000</v>
      </c>
      <c r="Z44" s="179">
        <f t="array" ref="Z44">NPV('Pre-Calculation'!$E$20,Y45:Y54)</f>
        <v>969592.8037</v>
      </c>
    </row>
    <row r="45" ht="15.75" customHeight="1">
      <c r="A45" s="171">
        <f t="shared" si="1"/>
        <v>99</v>
      </c>
      <c r="B45" s="171">
        <f t="shared" si="2"/>
        <v>9</v>
      </c>
      <c r="C45" s="176">
        <f>EDATE(RCD,A44)</f>
        <v>45534</v>
      </c>
      <c r="D45" s="171">
        <f>Age_At_Entry+'Cashflows_8%'!B45-1</f>
        <v>43</v>
      </c>
      <c r="E45" s="175">
        <f>IF(AND(C45&lt;=Last_Prem,MOD(A44,Mode)=0,C45&gt;INPUT!$C$13,A45&lt;=Revival!$C$11),Mod_Prem,0)</f>
        <v>0</v>
      </c>
      <c r="F45" s="177">
        <f>E45*VLOOKUP(B45,'Pre-Calculation'!$H$1:$I$31,2,FALSE)</f>
        <v>0</v>
      </c>
      <c r="G45" s="177">
        <f>IF(B45&lt;PT+1,VLOOKUP(B45,'Pre-Calculation'!$H$1:$L$32,3,FALSE)+VLOOKUP(B45,'Pre-Calculation'!$H$1:$L$32,4,FALSE)*'Pre-Calculation'!$D$7,0)</f>
        <v>830</v>
      </c>
      <c r="H45" s="175">
        <f>(E45-(F45+G45)*(1+Tax)+N44)</f>
        <v>1189455.956</v>
      </c>
      <c r="I45" s="175">
        <f>IF(B45&lt;PT+1,VLOOKUP(D45,'Pre-Calculation'!$N$3:$P$79,IF(INPUT!$C$4="M",2,3),FALSE)*(J45/1000)*(1/12),0)</f>
        <v>0</v>
      </c>
      <c r="J45" s="175">
        <f t="shared" si="3"/>
        <v>0</v>
      </c>
      <c r="K45" s="175">
        <f>(IF('Pre-Calculation'!$D$17="Type 4 a",MAX(SA,H45,1.05*Q45),IF('Pre-Calculation'!$D$17="Type 4 c",H45,IF('Pre-Calculation'!$D$17="Type 4 d",SA+H45,IF('Pre-Calculation'!$D$17="Type 4 e",MAX(SA,H45),IF('Pre-Calculation'!$D$17="Type 4 f",SA,IF('Pre-Calculation'!$D$17="Type 4 g",1000+H45,IF('Pre-Calculation'!$D$17="Type 4 h",SA+X45,IF('Pre-Calculation'!$D$17="Type 4 i",MAX(H45,Q45),IF('Pre-Calculation'!$D$17="Type 4 k",MAX(H45,1.01*Q45),IF('Pre-Calculation'!$D$17="Type 4 m",MAX(105%*Q45,SA+H45),IF('Pre-Calculation'!$D$17="Type 4 o",MAX(SA,105%*Q45)+X45+Z45,IF('Pre-Calculation'!$D$17="Type 5",0)))))))))))))*IF(AND(A45&lt;Revival!$C$4,'Cashflows_8%'!C45&gt;=Revival!$D$12),PUP,1)</f>
        <v>1189455.956</v>
      </c>
      <c r="L45" s="175">
        <f>H45-I45*(1+Tax)</f>
        <v>1189455.956</v>
      </c>
      <c r="M45" s="175">
        <f>L45*(1+GROWTH_RATE_H)*(1-FMC*(1+Tax))</f>
        <v>1195520.654</v>
      </c>
      <c r="N45" s="175">
        <f>M45+IF(MOD(A45,B45)=0,VLOOKUP(B45,'Pre-Calculation'!$H$1:$L$31,5,FALSE),0)*IF('Pre-Calculation'!$D$16="% OF FV",M45,IF(OR('Pre-Calculation'!$D$16="% OF AFV(24M)",'Pre-Calculation'!$D$16="% OF AFV(8Q)"),AVERAGE( $M22:$M45),IF('Pre-Calculation'!$D$16="% OF AFV(12M)",AVERAGE($M34:M45),IF('Pre-Calculation'!$D$16="% OF AFV(36M)",AVERAGE($M10:M45)))))</f>
        <v>1195520.654</v>
      </c>
      <c r="O45" s="175">
        <f t="shared" si="4"/>
        <v>1195520.654</v>
      </c>
      <c r="P45" s="175">
        <f>IF('Pre-Calculation'!$D$17="Type 4 a",MAX(SA,N45,1.05*Q45),IF('Pre-Calculation'!$D$17="Type 4 c",N45,IF('Pre-Calculation'!$D$17="Type 4 d",SA+N45,IF('Pre-Calculation'!$D$17="Type 4 e",MAX(SA,N45),IF('Pre-Calculation'!$D$17="Type 4 f",SA,IF('Pre-Calculation'!$D$17="Type 4 g",1000+N45,IF('Pre-Calculation'!$D$17="Type 4 h",SA+X45,IF('Pre-Calculation'!$D$17="Type 4 i",MAX(N45,Q45),IF('Pre-Calculation'!$D$17="Type 4 k",MAX(N45,1.01*Q45),IF('Pre-Calculation'!$D$17="Type 4 m",MAX(105%*Q45,SA+N45),IF('Pre-Calculation'!$D$17="Type 4 o",MAX(SA,105%*Q45)+X45+Z45,IF('Pre-Calculation'!$D$17="Type 5",0))))))))))))</f>
        <v>1195520.654</v>
      </c>
      <c r="Q45" s="175">
        <f t="shared" si="5"/>
        <v>900000</v>
      </c>
      <c r="R45" s="119">
        <f>L45*(1+GROWTH_RATE)*FMC</f>
        <v>1346.015188</v>
      </c>
      <c r="S45" s="178">
        <f>S44*(1+'Pre-Calculation'!$E$27)</f>
        <v>726891.3378</v>
      </c>
      <c r="T45" s="175">
        <f>-E45+IF(A44=INPUT!$C$11*12,N45,0)</f>
        <v>0</v>
      </c>
      <c r="U45" s="175">
        <f t="shared" si="6"/>
        <v>1219210.057</v>
      </c>
      <c r="V45" s="175">
        <f>U45*(1+GROWTH_RATE_H)*(1-'Pre-Calculation'!$E$31)</f>
        <v>1225011.048</v>
      </c>
      <c r="W45" s="175">
        <f>-E45+IF(A44=INPUT!$C$11*12,V45,0)</f>
        <v>0</v>
      </c>
      <c r="X45" s="179">
        <f t="array" ref="X45">NPV('Pre-Calculation'!$E$20,$E46:E$246)</f>
        <v>94517.78132</v>
      </c>
      <c r="Y45" s="171">
        <f>10%*SA</f>
        <v>100000</v>
      </c>
      <c r="Z45" s="179">
        <f t="array" ref="Z45">NPV('Pre-Calculation'!$E$20,Y46:Y55)</f>
        <v>969592.8037</v>
      </c>
    </row>
    <row r="46" ht="15.75" customHeight="1">
      <c r="A46" s="171">
        <f t="shared" si="1"/>
        <v>100</v>
      </c>
      <c r="B46" s="171">
        <f t="shared" si="2"/>
        <v>9</v>
      </c>
      <c r="C46" s="176">
        <f>EDATE(RCD,A45)</f>
        <v>45565</v>
      </c>
      <c r="D46" s="171">
        <f>Age_At_Entry+'Cashflows_8%'!B46-1</f>
        <v>43</v>
      </c>
      <c r="E46" s="175">
        <f>IF(AND(C46&lt;=Last_Prem,MOD(A45,Mode)=0,C46&gt;INPUT!$C$13,A46&lt;=Revival!$C$11),Mod_Prem,0)</f>
        <v>0</v>
      </c>
      <c r="F46" s="177">
        <f>E46*VLOOKUP(B46,'Pre-Calculation'!$H$1:$I$31,2,FALSE)</f>
        <v>0</v>
      </c>
      <c r="G46" s="177">
        <f>IF(B46&lt;PT+1,VLOOKUP(B46,'Pre-Calculation'!$H$1:$L$32,3,FALSE)+VLOOKUP(B46,'Pre-Calculation'!$H$1:$L$32,4,FALSE)*'Pre-Calculation'!$D$7,0)</f>
        <v>830</v>
      </c>
      <c r="H46" s="175">
        <f>(E46-(F46+G46)*(1+Tax)+N45)</f>
        <v>1194541.254</v>
      </c>
      <c r="I46" s="175">
        <f>IF(B46&lt;PT+1,VLOOKUP(D46,'Pre-Calculation'!$N$3:$P$79,IF(INPUT!$C$4="M",2,3),FALSE)*(J46/1000)*(1/12),0)</f>
        <v>0</v>
      </c>
      <c r="J46" s="175">
        <f t="shared" si="3"/>
        <v>0</v>
      </c>
      <c r="K46" s="175">
        <f>(IF('Pre-Calculation'!$D$17="Type 4 a",MAX(SA,H46,1.05*Q46),IF('Pre-Calculation'!$D$17="Type 4 c",H46,IF('Pre-Calculation'!$D$17="Type 4 d",SA+H46,IF('Pre-Calculation'!$D$17="Type 4 e",MAX(SA,H46),IF('Pre-Calculation'!$D$17="Type 4 f",SA,IF('Pre-Calculation'!$D$17="Type 4 g",1000+H46,IF('Pre-Calculation'!$D$17="Type 4 h",SA+X46,IF('Pre-Calculation'!$D$17="Type 4 i",MAX(H46,Q46),IF('Pre-Calculation'!$D$17="Type 4 k",MAX(H46,1.01*Q46),IF('Pre-Calculation'!$D$17="Type 4 m",MAX(105%*Q46,SA+H46),IF('Pre-Calculation'!$D$17="Type 4 o",MAX(SA,105%*Q46)+X46+Z46,IF('Pre-Calculation'!$D$17="Type 5",0)))))))))))))*IF(AND(A46&lt;Revival!$C$4,'Cashflows_8%'!C46&gt;=Revival!$D$12),PUP,1)</f>
        <v>1194541.254</v>
      </c>
      <c r="L46" s="175">
        <f>H46-I46*(1+Tax)</f>
        <v>1194541.254</v>
      </c>
      <c r="M46" s="175">
        <f>L46*(1+GROWTH_RATE_H)*(1-FMC*(1+Tax))</f>
        <v>1200631.88</v>
      </c>
      <c r="N46" s="175">
        <f>M46+IF(MOD(A46,B46)=0,VLOOKUP(B46,'Pre-Calculation'!$H$1:$L$31,5,FALSE),0)*IF('Pre-Calculation'!$D$16="% OF FV",M46,IF(OR('Pre-Calculation'!$D$16="% OF AFV(24M)",'Pre-Calculation'!$D$16="% OF AFV(8Q)"),AVERAGE( $M23:$M46),IF('Pre-Calculation'!$D$16="% OF AFV(12M)",AVERAGE($M35:M46),IF('Pre-Calculation'!$D$16="% OF AFV(36M)",AVERAGE($M11:M46)))))</f>
        <v>1200631.88</v>
      </c>
      <c r="O46" s="175">
        <f t="shared" si="4"/>
        <v>1200631.88</v>
      </c>
      <c r="P46" s="175">
        <f>IF('Pre-Calculation'!$D$17="Type 4 a",MAX(SA,N46,1.05*Q46),IF('Pre-Calculation'!$D$17="Type 4 c",N46,IF('Pre-Calculation'!$D$17="Type 4 d",SA+N46,IF('Pre-Calculation'!$D$17="Type 4 e",MAX(SA,N46),IF('Pre-Calculation'!$D$17="Type 4 f",SA,IF('Pre-Calculation'!$D$17="Type 4 g",1000+N46,IF('Pre-Calculation'!$D$17="Type 4 h",SA+X46,IF('Pre-Calculation'!$D$17="Type 4 i",MAX(N46,Q46),IF('Pre-Calculation'!$D$17="Type 4 k",MAX(N46,1.01*Q46),IF('Pre-Calculation'!$D$17="Type 4 m",MAX(105%*Q46,SA+N46),IF('Pre-Calculation'!$D$17="Type 4 o",MAX(SA,105%*Q46)+X46+Z46,IF('Pre-Calculation'!$D$17="Type 5",0))))))))))))</f>
        <v>1200631.88</v>
      </c>
      <c r="Q46" s="175">
        <f t="shared" si="5"/>
        <v>900000</v>
      </c>
      <c r="R46" s="119">
        <f>L46*(1+GROWTH_RATE)*FMC</f>
        <v>1351.769825</v>
      </c>
      <c r="S46" s="178">
        <f>S45*(1+'Pre-Calculation'!$E$27)</f>
        <v>728978.1692</v>
      </c>
      <c r="T46" s="175">
        <f>-E46+IF(A45=INPUT!$C$11*12,N46,0)</f>
        <v>0</v>
      </c>
      <c r="U46" s="175">
        <f t="shared" si="6"/>
        <v>1225011.048</v>
      </c>
      <c r="V46" s="175">
        <f>U46*(1+GROWTH_RATE_H)*(1-'Pre-Calculation'!$E$31)</f>
        <v>1230839.64</v>
      </c>
      <c r="W46" s="175">
        <f>-E46+IF(A45=INPUT!$C$11*12,V46,0)</f>
        <v>0</v>
      </c>
      <c r="X46" s="179">
        <f t="array" ref="X46">NPV('Pre-Calculation'!$E$20,$E47:E$246)</f>
        <v>95052.1986</v>
      </c>
      <c r="Y46" s="171">
        <f>10%*SA</f>
        <v>100000</v>
      </c>
      <c r="Z46" s="179">
        <f t="array" ref="Z46">NPV('Pre-Calculation'!$E$20,Y47:Y56)</f>
        <v>969592.8037</v>
      </c>
    </row>
    <row r="47" ht="15.75" customHeight="1">
      <c r="A47" s="171">
        <f t="shared" si="1"/>
        <v>101</v>
      </c>
      <c r="B47" s="171">
        <f t="shared" si="2"/>
        <v>9</v>
      </c>
      <c r="C47" s="176">
        <f>EDATE(RCD,A46)</f>
        <v>45595</v>
      </c>
      <c r="D47" s="171">
        <f>Age_At_Entry+'Cashflows_8%'!B47-1</f>
        <v>43</v>
      </c>
      <c r="E47" s="175">
        <f>IF(AND(C47&lt;=Last_Prem,MOD(A46,Mode)=0,C47&gt;INPUT!$C$13,A47&lt;=Revival!$C$11),Mod_Prem,0)</f>
        <v>0</v>
      </c>
      <c r="F47" s="177">
        <f>E47*VLOOKUP(B47,'Pre-Calculation'!$H$1:$I$31,2,FALSE)</f>
        <v>0</v>
      </c>
      <c r="G47" s="177">
        <f>IF(B47&lt;PT+1,VLOOKUP(B47,'Pre-Calculation'!$H$1:$L$32,3,FALSE)+VLOOKUP(B47,'Pre-Calculation'!$H$1:$L$32,4,FALSE)*'Pre-Calculation'!$D$7,0)</f>
        <v>830</v>
      </c>
      <c r="H47" s="175">
        <f>(E47-(F47+G47)*(1+Tax)+N46)</f>
        <v>1199652.48</v>
      </c>
      <c r="I47" s="175">
        <f>IF(B47&lt;PT+1,VLOOKUP(D47,'Pre-Calculation'!$N$3:$P$79,IF(INPUT!$C$4="M",2,3),FALSE)*(J47/1000)*(1/12),0)</f>
        <v>0</v>
      </c>
      <c r="J47" s="175">
        <f t="shared" si="3"/>
        <v>0</v>
      </c>
      <c r="K47" s="175">
        <f>(IF('Pre-Calculation'!$D$17="Type 4 a",MAX(SA,H47,1.05*Q47),IF('Pre-Calculation'!$D$17="Type 4 c",H47,IF('Pre-Calculation'!$D$17="Type 4 d",SA+H47,IF('Pre-Calculation'!$D$17="Type 4 e",MAX(SA,H47),IF('Pre-Calculation'!$D$17="Type 4 f",SA,IF('Pre-Calculation'!$D$17="Type 4 g",1000+H47,IF('Pre-Calculation'!$D$17="Type 4 h",SA+X47,IF('Pre-Calculation'!$D$17="Type 4 i",MAX(H47,Q47),IF('Pre-Calculation'!$D$17="Type 4 k",MAX(H47,1.01*Q47),IF('Pre-Calculation'!$D$17="Type 4 m",MAX(105%*Q47,SA+H47),IF('Pre-Calculation'!$D$17="Type 4 o",MAX(SA,105%*Q47)+X47+Z47,IF('Pre-Calculation'!$D$17="Type 5",0)))))))))))))*IF(AND(A47&lt;Revival!$C$4,'Cashflows_8%'!C47&gt;=Revival!$D$12),PUP,1)</f>
        <v>1199652.48</v>
      </c>
      <c r="L47" s="175">
        <f>H47-I47*(1+Tax)</f>
        <v>1199652.48</v>
      </c>
      <c r="M47" s="175">
        <f>L47*(1+GROWTH_RATE_H)*(1-FMC*(1+Tax))</f>
        <v>1205769.167</v>
      </c>
      <c r="N47" s="175">
        <f>M47+IF(MOD(A47,B47)=0,VLOOKUP(B47,'Pre-Calculation'!$H$1:$L$31,5,FALSE),0)*IF('Pre-Calculation'!$D$16="% OF FV",M47,IF(OR('Pre-Calculation'!$D$16="% OF AFV(24M)",'Pre-Calculation'!$D$16="% OF AFV(8Q)"),AVERAGE( $M24:$M47),IF('Pre-Calculation'!$D$16="% OF AFV(12M)",AVERAGE($M36:M47),IF('Pre-Calculation'!$D$16="% OF AFV(36M)",AVERAGE($M12:M47)))))</f>
        <v>1205769.167</v>
      </c>
      <c r="O47" s="175">
        <f t="shared" si="4"/>
        <v>1205769.167</v>
      </c>
      <c r="P47" s="175">
        <f>IF('Pre-Calculation'!$D$17="Type 4 a",MAX(SA,N47,1.05*Q47),IF('Pre-Calculation'!$D$17="Type 4 c",N47,IF('Pre-Calculation'!$D$17="Type 4 d",SA+N47,IF('Pre-Calculation'!$D$17="Type 4 e",MAX(SA,N47),IF('Pre-Calculation'!$D$17="Type 4 f",SA,IF('Pre-Calculation'!$D$17="Type 4 g",1000+N47,IF('Pre-Calculation'!$D$17="Type 4 h",SA+X47,IF('Pre-Calculation'!$D$17="Type 4 i",MAX(N47,Q47),IF('Pre-Calculation'!$D$17="Type 4 k",MAX(N47,1.01*Q47),IF('Pre-Calculation'!$D$17="Type 4 m",MAX(105%*Q47,SA+N47),IF('Pre-Calculation'!$D$17="Type 4 o",MAX(SA,105%*Q47)+X47+Z47,IF('Pre-Calculation'!$D$17="Type 5",0))))))))))))</f>
        <v>1205769.167</v>
      </c>
      <c r="Q47" s="175">
        <f t="shared" si="5"/>
        <v>900000</v>
      </c>
      <c r="R47" s="119">
        <f>L47*(1+GROWTH_RATE)*FMC</f>
        <v>1357.553804</v>
      </c>
      <c r="S47" s="178">
        <f>S46*(1+'Pre-Calculation'!$E$27)</f>
        <v>731070.9917</v>
      </c>
      <c r="T47" s="175">
        <f>-E47+IF(A46=INPUT!$C$11*12,N47,0)</f>
        <v>0</v>
      </c>
      <c r="U47" s="175">
        <f t="shared" si="6"/>
        <v>1230839.64</v>
      </c>
      <c r="V47" s="175">
        <f>U47*(1+GROWTH_RATE_H)*(1-'Pre-Calculation'!$E$31)</f>
        <v>1236695.964</v>
      </c>
      <c r="W47" s="175">
        <f>-E47+IF(A46=INPUT!$C$11*12,V47,0)</f>
        <v>0</v>
      </c>
      <c r="X47" s="179">
        <f t="array" ref="X47">NPV('Pre-Calculation'!$E$20,$E48:E$246)</f>
        <v>95589.63755</v>
      </c>
      <c r="Y47" s="171">
        <f>10%*SA</f>
        <v>100000</v>
      </c>
      <c r="Z47" s="179">
        <f t="array" ref="Z47">NPV('Pre-Calculation'!$E$20,Y48:Y57)</f>
        <v>969592.8037</v>
      </c>
    </row>
    <row r="48" ht="15.75" customHeight="1">
      <c r="A48" s="171">
        <f t="shared" si="1"/>
        <v>102</v>
      </c>
      <c r="B48" s="171">
        <f t="shared" si="2"/>
        <v>9</v>
      </c>
      <c r="C48" s="176">
        <f>EDATE(RCD,A47)</f>
        <v>45626</v>
      </c>
      <c r="D48" s="171">
        <f>Age_At_Entry+'Cashflows_8%'!B48-1</f>
        <v>43</v>
      </c>
      <c r="E48" s="175">
        <f>IF(AND(C48&lt;=Last_Prem,MOD(A47,Mode)=0,C48&gt;INPUT!$C$13,A48&lt;=Revival!$C$11),Mod_Prem,0)</f>
        <v>0</v>
      </c>
      <c r="F48" s="177">
        <f>E48*VLOOKUP(B48,'Pre-Calculation'!$H$1:$I$31,2,FALSE)</f>
        <v>0</v>
      </c>
      <c r="G48" s="177">
        <f>IF(B48&lt;PT+1,VLOOKUP(B48,'Pre-Calculation'!$H$1:$L$32,3,FALSE)+VLOOKUP(B48,'Pre-Calculation'!$H$1:$L$32,4,FALSE)*'Pre-Calculation'!$D$7,0)</f>
        <v>830</v>
      </c>
      <c r="H48" s="175">
        <f>(E48-(F48+G48)*(1+Tax)+N47)</f>
        <v>1204789.767</v>
      </c>
      <c r="I48" s="175">
        <f>IF(B48&lt;PT+1,VLOOKUP(D48,'Pre-Calculation'!$N$3:$P$79,IF(INPUT!$C$4="M",2,3),FALSE)*(J48/1000)*(1/12),0)</f>
        <v>0</v>
      </c>
      <c r="J48" s="175">
        <f t="shared" si="3"/>
        <v>0</v>
      </c>
      <c r="K48" s="175">
        <f>(IF('Pre-Calculation'!$D$17="Type 4 a",MAX(SA,H48,1.05*Q48),IF('Pre-Calculation'!$D$17="Type 4 c",H48,IF('Pre-Calculation'!$D$17="Type 4 d",SA+H48,IF('Pre-Calculation'!$D$17="Type 4 e",MAX(SA,H48),IF('Pre-Calculation'!$D$17="Type 4 f",SA,IF('Pre-Calculation'!$D$17="Type 4 g",1000+H48,IF('Pre-Calculation'!$D$17="Type 4 h",SA+X48,IF('Pre-Calculation'!$D$17="Type 4 i",MAX(H48,Q48),IF('Pre-Calculation'!$D$17="Type 4 k",MAX(H48,1.01*Q48),IF('Pre-Calculation'!$D$17="Type 4 m",MAX(105%*Q48,SA+H48),IF('Pre-Calculation'!$D$17="Type 4 o",MAX(SA,105%*Q48)+X48+Z48,IF('Pre-Calculation'!$D$17="Type 5",0)))))))))))))*IF(AND(A48&lt;Revival!$C$4,'Cashflows_8%'!C48&gt;=Revival!$D$12),PUP,1)</f>
        <v>1204789.767</v>
      </c>
      <c r="L48" s="175">
        <f>H48-I48*(1+Tax)</f>
        <v>1204789.767</v>
      </c>
      <c r="M48" s="175">
        <f>L48*(1+GROWTH_RATE_H)*(1-FMC*(1+Tax))</f>
        <v>1210932.647</v>
      </c>
      <c r="N48" s="175">
        <f>M48+IF(MOD(A48,B48)=0,VLOOKUP(B48,'Pre-Calculation'!$H$1:$L$31,5,FALSE),0)*IF('Pre-Calculation'!$D$16="% OF FV",M48,IF(OR('Pre-Calculation'!$D$16="% OF AFV(24M)",'Pre-Calculation'!$D$16="% OF AFV(8Q)"),AVERAGE( $M25:$M48),IF('Pre-Calculation'!$D$16="% OF AFV(12M)",AVERAGE($M37:M48),IF('Pre-Calculation'!$D$16="% OF AFV(36M)",AVERAGE($M13:M48)))))</f>
        <v>1210932.647</v>
      </c>
      <c r="O48" s="175">
        <f t="shared" si="4"/>
        <v>1210932.647</v>
      </c>
      <c r="P48" s="175">
        <f>IF('Pre-Calculation'!$D$17="Type 4 a",MAX(SA,N48,1.05*Q48),IF('Pre-Calculation'!$D$17="Type 4 c",N48,IF('Pre-Calculation'!$D$17="Type 4 d",SA+N48,IF('Pre-Calculation'!$D$17="Type 4 e",MAX(SA,N48),IF('Pre-Calculation'!$D$17="Type 4 f",SA,IF('Pre-Calculation'!$D$17="Type 4 g",1000+N48,IF('Pre-Calculation'!$D$17="Type 4 h",SA+X48,IF('Pre-Calculation'!$D$17="Type 4 i",MAX(N48,Q48),IF('Pre-Calculation'!$D$17="Type 4 k",MAX(N48,1.01*Q48),IF('Pre-Calculation'!$D$17="Type 4 m",MAX(105%*Q48,SA+N48),IF('Pre-Calculation'!$D$17="Type 4 o",MAX(SA,105%*Q48)+X48+Z48,IF('Pre-Calculation'!$D$17="Type 5",0))))))))))))</f>
        <v>1210932.647</v>
      </c>
      <c r="Q48" s="175">
        <f t="shared" si="5"/>
        <v>900000</v>
      </c>
      <c r="R48" s="119">
        <f>L48*(1+GROWTH_RATE)*FMC</f>
        <v>1363.367273</v>
      </c>
      <c r="S48" s="178">
        <f>S47*(1+'Pre-Calculation'!$E$27)</f>
        <v>733169.8224</v>
      </c>
      <c r="T48" s="175">
        <f>-E48+IF(A47=INPUT!$C$11*12,N48,0)</f>
        <v>0</v>
      </c>
      <c r="U48" s="175">
        <f t="shared" si="6"/>
        <v>1236695.964</v>
      </c>
      <c r="V48" s="175">
        <f>U48*(1+GROWTH_RATE_H)*(1-'Pre-Calculation'!$E$31)</f>
        <v>1242580.152</v>
      </c>
      <c r="W48" s="175">
        <f>-E48+IF(A47=INPUT!$C$11*12,V48,0)</f>
        <v>0</v>
      </c>
      <c r="X48" s="179">
        <f t="array" ref="X48">NPV('Pre-Calculation'!$E$20,$E49:E$246)</f>
        <v>96130.11526</v>
      </c>
      <c r="Y48" s="171">
        <f>10%*SA</f>
        <v>100000</v>
      </c>
      <c r="Z48" s="179">
        <f t="array" ref="Z48">NPV('Pre-Calculation'!$E$20,Y49:Y58)</f>
        <v>969592.8037</v>
      </c>
    </row>
    <row r="49" ht="15.75" customHeight="1">
      <c r="A49" s="171">
        <f t="shared" si="1"/>
        <v>103</v>
      </c>
      <c r="B49" s="171">
        <f t="shared" si="2"/>
        <v>9</v>
      </c>
      <c r="C49" s="176">
        <f>EDATE(RCD,A48)</f>
        <v>45656</v>
      </c>
      <c r="D49" s="171">
        <f>Age_At_Entry+'Cashflows_8%'!B49-1</f>
        <v>43</v>
      </c>
      <c r="E49" s="175">
        <f>IF(AND(C49&lt;=Last_Prem,MOD(A48,Mode)=0,C49&gt;INPUT!$C$13,A49&lt;=Revival!$C$11),Mod_Prem,0)</f>
        <v>0</v>
      </c>
      <c r="F49" s="177">
        <f>E49*VLOOKUP(B49,'Pre-Calculation'!$H$1:$I$31,2,FALSE)</f>
        <v>0</v>
      </c>
      <c r="G49" s="177">
        <f>IF(B49&lt;PT+1,VLOOKUP(B49,'Pre-Calculation'!$H$1:$L$32,3,FALSE)+VLOOKUP(B49,'Pre-Calculation'!$H$1:$L$32,4,FALSE)*'Pre-Calculation'!$D$7,0)</f>
        <v>830</v>
      </c>
      <c r="H49" s="175">
        <f>(E49-(F49+G49)*(1+Tax)+N48)</f>
        <v>1209953.247</v>
      </c>
      <c r="I49" s="175">
        <f>IF(B49&lt;PT+1,VLOOKUP(D49,'Pre-Calculation'!$N$3:$P$79,IF(INPUT!$C$4="M",2,3),FALSE)*(J49/1000)*(1/12),0)</f>
        <v>0</v>
      </c>
      <c r="J49" s="175">
        <f t="shared" si="3"/>
        <v>0</v>
      </c>
      <c r="K49" s="175">
        <f>(IF('Pre-Calculation'!$D$17="Type 4 a",MAX(SA,H49,1.05*Q49),IF('Pre-Calculation'!$D$17="Type 4 c",H49,IF('Pre-Calculation'!$D$17="Type 4 d",SA+H49,IF('Pre-Calculation'!$D$17="Type 4 e",MAX(SA,H49),IF('Pre-Calculation'!$D$17="Type 4 f",SA,IF('Pre-Calculation'!$D$17="Type 4 g",1000+H49,IF('Pre-Calculation'!$D$17="Type 4 h",SA+X49,IF('Pre-Calculation'!$D$17="Type 4 i",MAX(H49,Q49),IF('Pre-Calculation'!$D$17="Type 4 k",MAX(H49,1.01*Q49),IF('Pre-Calculation'!$D$17="Type 4 m",MAX(105%*Q49,SA+H49),IF('Pre-Calculation'!$D$17="Type 4 o",MAX(SA,105%*Q49)+X49+Z49,IF('Pre-Calculation'!$D$17="Type 5",0)))))))))))))*IF(AND(A49&lt;Revival!$C$4,'Cashflows_8%'!C49&gt;=Revival!$D$12),PUP,1)</f>
        <v>1209953.247</v>
      </c>
      <c r="L49" s="175">
        <f>H49-I49*(1+Tax)</f>
        <v>1209953.247</v>
      </c>
      <c r="M49" s="175">
        <f>L49*(1+GROWTH_RATE_H)*(1-FMC*(1+Tax))</f>
        <v>1216122.454</v>
      </c>
      <c r="N49" s="175">
        <f>M49+IF(MOD(A49,B49)=0,VLOOKUP(B49,'Pre-Calculation'!$H$1:$L$31,5,FALSE),0)*IF('Pre-Calculation'!$D$16="% OF FV",M49,IF(OR('Pre-Calculation'!$D$16="% OF AFV(24M)",'Pre-Calculation'!$D$16="% OF AFV(8Q)"),AVERAGE( $M26:$M49),IF('Pre-Calculation'!$D$16="% OF AFV(12M)",AVERAGE($M38:M49),IF('Pre-Calculation'!$D$16="% OF AFV(36M)",AVERAGE($M14:M49)))))</f>
        <v>1216122.454</v>
      </c>
      <c r="O49" s="175">
        <f t="shared" si="4"/>
        <v>1216122.454</v>
      </c>
      <c r="P49" s="175">
        <f>IF('Pre-Calculation'!$D$17="Type 4 a",MAX(SA,N49,1.05*Q49),IF('Pre-Calculation'!$D$17="Type 4 c",N49,IF('Pre-Calculation'!$D$17="Type 4 d",SA+N49,IF('Pre-Calculation'!$D$17="Type 4 e",MAX(SA,N49),IF('Pre-Calculation'!$D$17="Type 4 f",SA,IF('Pre-Calculation'!$D$17="Type 4 g",1000+N49,IF('Pre-Calculation'!$D$17="Type 4 h",SA+X49,IF('Pre-Calculation'!$D$17="Type 4 i",MAX(N49,Q49),IF('Pre-Calculation'!$D$17="Type 4 k",MAX(N49,1.01*Q49),IF('Pre-Calculation'!$D$17="Type 4 m",MAX(105%*Q49,SA+N49),IF('Pre-Calculation'!$D$17="Type 4 o",MAX(SA,105%*Q49)+X49+Z49,IF('Pre-Calculation'!$D$17="Type 5",0))))))))))))</f>
        <v>1216122.454</v>
      </c>
      <c r="Q49" s="175">
        <f t="shared" si="5"/>
        <v>900000</v>
      </c>
      <c r="R49" s="119">
        <f>L49*(1+GROWTH_RATE)*FMC</f>
        <v>1369.210384</v>
      </c>
      <c r="S49" s="178">
        <f>S48*(1+'Pre-Calculation'!$E$27)</f>
        <v>735274.6787</v>
      </c>
      <c r="T49" s="175">
        <f>-E49+IF(A48=INPUT!$C$11*12,N49,0)</f>
        <v>0</v>
      </c>
      <c r="U49" s="175">
        <f t="shared" si="6"/>
        <v>1242580.152</v>
      </c>
      <c r="V49" s="175">
        <f>U49*(1+GROWTH_RATE_H)*(1-'Pre-Calculation'!$E$31)</f>
        <v>1248492.338</v>
      </c>
      <c r="W49" s="175">
        <f>-E49+IF(A48=INPUT!$C$11*12,V49,0)</f>
        <v>0</v>
      </c>
      <c r="X49" s="179">
        <f t="array" ref="X49">NPV('Pre-Calculation'!$E$20,$E50:E$246)</f>
        <v>96673.6489</v>
      </c>
      <c r="Y49" s="171">
        <f>10%*SA</f>
        <v>100000</v>
      </c>
      <c r="Z49" s="179">
        <f t="array" ref="Z49">NPV('Pre-Calculation'!$E$20,Y50:Y59)</f>
        <v>969592.8037</v>
      </c>
    </row>
    <row r="50" ht="15.75" customHeight="1">
      <c r="A50" s="171">
        <f t="shared" si="1"/>
        <v>104</v>
      </c>
      <c r="B50" s="171">
        <f t="shared" si="2"/>
        <v>9</v>
      </c>
      <c r="C50" s="176">
        <f>EDATE(RCD,A49)</f>
        <v>45687</v>
      </c>
      <c r="D50" s="171">
        <f>Age_At_Entry+'Cashflows_8%'!B50-1</f>
        <v>43</v>
      </c>
      <c r="E50" s="175">
        <f>IF(AND(C50&lt;=Last_Prem,MOD(A49,Mode)=0,C50&gt;INPUT!$C$13,A50&lt;=Revival!$C$11),Mod_Prem,0)</f>
        <v>0</v>
      </c>
      <c r="F50" s="177">
        <f>E50*VLOOKUP(B50,'Pre-Calculation'!$H$1:$I$31,2,FALSE)</f>
        <v>0</v>
      </c>
      <c r="G50" s="177">
        <f>IF(B50&lt;PT+1,VLOOKUP(B50,'Pre-Calculation'!$H$1:$L$32,3,FALSE)+VLOOKUP(B50,'Pre-Calculation'!$H$1:$L$32,4,FALSE)*'Pre-Calculation'!$D$7,0)</f>
        <v>830</v>
      </c>
      <c r="H50" s="175">
        <f>(E50-(F50+G50)*(1+Tax)+N49)</f>
        <v>1215143.054</v>
      </c>
      <c r="I50" s="175">
        <f>IF(B50&lt;PT+1,VLOOKUP(D50,'Pre-Calculation'!$N$3:$P$79,IF(INPUT!$C$4="M",2,3),FALSE)*(J50/1000)*(1/12),0)</f>
        <v>0</v>
      </c>
      <c r="J50" s="175">
        <f t="shared" si="3"/>
        <v>0</v>
      </c>
      <c r="K50" s="175">
        <f>(IF('Pre-Calculation'!$D$17="Type 4 a",MAX(SA,H50,1.05*Q50),IF('Pre-Calculation'!$D$17="Type 4 c",H50,IF('Pre-Calculation'!$D$17="Type 4 d",SA+H50,IF('Pre-Calculation'!$D$17="Type 4 e",MAX(SA,H50),IF('Pre-Calculation'!$D$17="Type 4 f",SA,IF('Pre-Calculation'!$D$17="Type 4 g",1000+H50,IF('Pre-Calculation'!$D$17="Type 4 h",SA+X50,IF('Pre-Calculation'!$D$17="Type 4 i",MAX(H50,Q50),IF('Pre-Calculation'!$D$17="Type 4 k",MAX(H50,1.01*Q50),IF('Pre-Calculation'!$D$17="Type 4 m",MAX(105%*Q50,SA+H50),IF('Pre-Calculation'!$D$17="Type 4 o",MAX(SA,105%*Q50)+X50+Z50,IF('Pre-Calculation'!$D$17="Type 5",0)))))))))))))*IF(AND(A50&lt;Revival!$C$4,'Cashflows_8%'!C50&gt;=Revival!$D$12),PUP,1)</f>
        <v>1215143.054</v>
      </c>
      <c r="L50" s="175">
        <f>H50-I50*(1+Tax)</f>
        <v>1215143.054</v>
      </c>
      <c r="M50" s="175">
        <f>L50*(1+GROWTH_RATE_H)*(1-FMC*(1+Tax))</f>
        <v>1221338.723</v>
      </c>
      <c r="N50" s="175">
        <f>M50+IF(MOD(A50,B50)=0,VLOOKUP(B50,'Pre-Calculation'!$H$1:$L$31,5,FALSE),0)*IF('Pre-Calculation'!$D$16="% OF FV",M50,IF(OR('Pre-Calculation'!$D$16="% OF AFV(24M)",'Pre-Calculation'!$D$16="% OF AFV(8Q)"),AVERAGE( $M27:$M50),IF('Pre-Calculation'!$D$16="% OF AFV(12M)",AVERAGE($M39:M50),IF('Pre-Calculation'!$D$16="% OF AFV(36M)",AVERAGE($M15:M50)))))</f>
        <v>1221338.723</v>
      </c>
      <c r="O50" s="175">
        <f t="shared" si="4"/>
        <v>1221338.723</v>
      </c>
      <c r="P50" s="175">
        <f>IF('Pre-Calculation'!$D$17="Type 4 a",MAX(SA,N50,1.05*Q50),IF('Pre-Calculation'!$D$17="Type 4 c",N50,IF('Pre-Calculation'!$D$17="Type 4 d",SA+N50,IF('Pre-Calculation'!$D$17="Type 4 e",MAX(SA,N50),IF('Pre-Calculation'!$D$17="Type 4 f",SA,IF('Pre-Calculation'!$D$17="Type 4 g",1000+N50,IF('Pre-Calculation'!$D$17="Type 4 h",SA+X50,IF('Pre-Calculation'!$D$17="Type 4 i",MAX(N50,Q50),IF('Pre-Calculation'!$D$17="Type 4 k",MAX(N50,1.01*Q50),IF('Pre-Calculation'!$D$17="Type 4 m",MAX(105%*Q50,SA+N50),IF('Pre-Calculation'!$D$17="Type 4 o",MAX(SA,105%*Q50)+X50+Z50,IF('Pre-Calculation'!$D$17="Type 5",0))))))))))))</f>
        <v>1221338.723</v>
      </c>
      <c r="Q50" s="175">
        <f t="shared" si="5"/>
        <v>900000</v>
      </c>
      <c r="R50" s="119">
        <f>L50*(1+GROWTH_RATE)*FMC</f>
        <v>1375.083287</v>
      </c>
      <c r="S50" s="178">
        <f>S49*(1+'Pre-Calculation'!$E$27)</f>
        <v>737385.5779</v>
      </c>
      <c r="T50" s="175">
        <f>-E50+IF(A49=INPUT!$C$11*12,N50,0)</f>
        <v>0</v>
      </c>
      <c r="U50" s="175">
        <f t="shared" si="6"/>
        <v>1248492.338</v>
      </c>
      <c r="V50" s="175">
        <f>U50*(1+GROWTH_RATE_H)*(1-'Pre-Calculation'!$E$31)</f>
        <v>1254432.653</v>
      </c>
      <c r="W50" s="175">
        <f>-E50+IF(A49=INPUT!$C$11*12,V50,0)</f>
        <v>0</v>
      </c>
      <c r="X50" s="179">
        <f t="array" ref="X50">NPV('Pre-Calculation'!$E$20,$E51:E$246)</f>
        <v>97220.25577</v>
      </c>
      <c r="Y50" s="171">
        <f>10%*SA</f>
        <v>100000</v>
      </c>
      <c r="Z50" s="179">
        <f t="array" ref="Z50">NPV('Pre-Calculation'!$E$20,Y51:Y60)</f>
        <v>969592.8037</v>
      </c>
    </row>
    <row r="51" ht="15.75" customHeight="1">
      <c r="A51" s="171">
        <f t="shared" si="1"/>
        <v>105</v>
      </c>
      <c r="B51" s="171">
        <f t="shared" si="2"/>
        <v>9</v>
      </c>
      <c r="C51" s="176">
        <f>EDATE(RCD,A50)</f>
        <v>45716</v>
      </c>
      <c r="D51" s="171">
        <f>Age_At_Entry+'Cashflows_8%'!B51-1</f>
        <v>43</v>
      </c>
      <c r="E51" s="175">
        <f>IF(AND(C51&lt;=Last_Prem,MOD(A50,Mode)=0,C51&gt;INPUT!$C$13,A51&lt;=Revival!$C$11),Mod_Prem,0)</f>
        <v>0</v>
      </c>
      <c r="F51" s="177">
        <f>E51*VLOOKUP(B51,'Pre-Calculation'!$H$1:$I$31,2,FALSE)</f>
        <v>0</v>
      </c>
      <c r="G51" s="177">
        <f>IF(B51&lt;PT+1,VLOOKUP(B51,'Pre-Calculation'!$H$1:$L$32,3,FALSE)+VLOOKUP(B51,'Pre-Calculation'!$H$1:$L$32,4,FALSE)*'Pre-Calculation'!$D$7,0)</f>
        <v>830</v>
      </c>
      <c r="H51" s="175">
        <f>(E51-(F51+G51)*(1+Tax)+N50)</f>
        <v>1220359.323</v>
      </c>
      <c r="I51" s="175">
        <f>IF(B51&lt;PT+1,VLOOKUP(D51,'Pre-Calculation'!$N$3:$P$79,IF(INPUT!$C$4="M",2,3),FALSE)*(J51/1000)*(1/12),0)</f>
        <v>0</v>
      </c>
      <c r="J51" s="175">
        <f t="shared" si="3"/>
        <v>0</v>
      </c>
      <c r="K51" s="175">
        <f>(IF('Pre-Calculation'!$D$17="Type 4 a",MAX(SA,H51,1.05*Q51),IF('Pre-Calculation'!$D$17="Type 4 c",H51,IF('Pre-Calculation'!$D$17="Type 4 d",SA+H51,IF('Pre-Calculation'!$D$17="Type 4 e",MAX(SA,H51),IF('Pre-Calculation'!$D$17="Type 4 f",SA,IF('Pre-Calculation'!$D$17="Type 4 g",1000+H51,IF('Pre-Calculation'!$D$17="Type 4 h",SA+X51,IF('Pre-Calculation'!$D$17="Type 4 i",MAX(H51,Q51),IF('Pre-Calculation'!$D$17="Type 4 k",MAX(H51,1.01*Q51),IF('Pre-Calculation'!$D$17="Type 4 m",MAX(105%*Q51,SA+H51),IF('Pre-Calculation'!$D$17="Type 4 o",MAX(SA,105%*Q51)+X51+Z51,IF('Pre-Calculation'!$D$17="Type 5",0)))))))))))))*IF(AND(A51&lt;Revival!$C$4,'Cashflows_8%'!C51&gt;=Revival!$D$12),PUP,1)</f>
        <v>1220359.323</v>
      </c>
      <c r="L51" s="175">
        <f>H51-I51*(1+Tax)</f>
        <v>1220359.323</v>
      </c>
      <c r="M51" s="175">
        <f>L51*(1+GROWTH_RATE_H)*(1-FMC*(1+Tax))</f>
        <v>1226581.588</v>
      </c>
      <c r="N51" s="175">
        <f>M51+IF(MOD(A51,B51)=0,VLOOKUP(B51,'Pre-Calculation'!$H$1:$L$31,5,FALSE),0)*IF('Pre-Calculation'!$D$16="% OF FV",M51,IF(OR('Pre-Calculation'!$D$16="% OF AFV(24M)",'Pre-Calculation'!$D$16="% OF AFV(8Q)"),AVERAGE( $M28:$M51),IF('Pre-Calculation'!$D$16="% OF AFV(12M)",AVERAGE($M40:M51),IF('Pre-Calculation'!$D$16="% OF AFV(36M)",AVERAGE($M16:M51)))))</f>
        <v>1226581.588</v>
      </c>
      <c r="O51" s="175">
        <f t="shared" si="4"/>
        <v>1226581.588</v>
      </c>
      <c r="P51" s="175">
        <f>IF('Pre-Calculation'!$D$17="Type 4 a",MAX(SA,N51,1.05*Q51),IF('Pre-Calculation'!$D$17="Type 4 c",N51,IF('Pre-Calculation'!$D$17="Type 4 d",SA+N51,IF('Pre-Calculation'!$D$17="Type 4 e",MAX(SA,N51),IF('Pre-Calculation'!$D$17="Type 4 f",SA,IF('Pre-Calculation'!$D$17="Type 4 g",1000+N51,IF('Pre-Calculation'!$D$17="Type 4 h",SA+X51,IF('Pre-Calculation'!$D$17="Type 4 i",MAX(N51,Q51),IF('Pre-Calculation'!$D$17="Type 4 k",MAX(N51,1.01*Q51),IF('Pre-Calculation'!$D$17="Type 4 m",MAX(105%*Q51,SA+N51),IF('Pre-Calculation'!$D$17="Type 4 o",MAX(SA,105%*Q51)+X51+Z51,IF('Pre-Calculation'!$D$17="Type 5",0))))))))))))</f>
        <v>1226581.588</v>
      </c>
      <c r="Q51" s="175">
        <f t="shared" si="5"/>
        <v>900000</v>
      </c>
      <c r="R51" s="119">
        <f>L51*(1+GROWTH_RATE)*FMC</f>
        <v>1380.986134</v>
      </c>
      <c r="S51" s="178">
        <f>S50*(1+'Pre-Calculation'!$E$27)</f>
        <v>739502.5372</v>
      </c>
      <c r="T51" s="175">
        <f>-E51+IF(A50=INPUT!$C$11*12,N51,0)</f>
        <v>0</v>
      </c>
      <c r="U51" s="175">
        <f t="shared" si="6"/>
        <v>1254432.653</v>
      </c>
      <c r="V51" s="175">
        <f>U51*(1+GROWTH_RATE_H)*(1-'Pre-Calculation'!$E$31)</f>
        <v>1260401.233</v>
      </c>
      <c r="W51" s="175">
        <f>-E51+IF(A50=INPUT!$C$11*12,V51,0)</f>
        <v>0</v>
      </c>
      <c r="X51" s="179">
        <f t="array" ref="X51">NPV('Pre-Calculation'!$E$20,$E52:E$246)</f>
        <v>97769.95323</v>
      </c>
      <c r="Y51" s="171">
        <f>10%*SA</f>
        <v>100000</v>
      </c>
      <c r="Z51" s="179">
        <f t="array" ref="Z51">NPV('Pre-Calculation'!$E$20,Y52:Y61)</f>
        <v>969592.8037</v>
      </c>
    </row>
    <row r="52" ht="15.75" customHeight="1">
      <c r="A52" s="171">
        <f t="shared" si="1"/>
        <v>106</v>
      </c>
      <c r="B52" s="171">
        <f t="shared" si="2"/>
        <v>9</v>
      </c>
      <c r="C52" s="176">
        <f>EDATE(RCD,A51)</f>
        <v>45746</v>
      </c>
      <c r="D52" s="171">
        <f>Age_At_Entry+'Cashflows_8%'!B52-1</f>
        <v>43</v>
      </c>
      <c r="E52" s="175">
        <f>IF(AND(C52&lt;=Last_Prem,MOD(A51,Mode)=0,C52&gt;INPUT!$C$13,A52&lt;=Revival!$C$11),Mod_Prem,0)</f>
        <v>0</v>
      </c>
      <c r="F52" s="177">
        <f>E52*VLOOKUP(B52,'Pre-Calculation'!$H$1:$I$31,2,FALSE)</f>
        <v>0</v>
      </c>
      <c r="G52" s="177">
        <f>IF(B52&lt;PT+1,VLOOKUP(B52,'Pre-Calculation'!$H$1:$L$32,3,FALSE)+VLOOKUP(B52,'Pre-Calculation'!$H$1:$L$32,4,FALSE)*'Pre-Calculation'!$D$7,0)</f>
        <v>830</v>
      </c>
      <c r="H52" s="175">
        <f>(E52-(F52+G52)*(1+Tax)+N51)</f>
        <v>1225602.188</v>
      </c>
      <c r="I52" s="175">
        <f>IF(B52&lt;PT+1,VLOOKUP(D52,'Pre-Calculation'!$N$3:$P$79,IF(INPUT!$C$4="M",2,3),FALSE)*(J52/1000)*(1/12),0)</f>
        <v>0</v>
      </c>
      <c r="J52" s="175">
        <f t="shared" si="3"/>
        <v>0</v>
      </c>
      <c r="K52" s="175">
        <f>(IF('Pre-Calculation'!$D$17="Type 4 a",MAX(SA,H52,1.05*Q52),IF('Pre-Calculation'!$D$17="Type 4 c",H52,IF('Pre-Calculation'!$D$17="Type 4 d",SA+H52,IF('Pre-Calculation'!$D$17="Type 4 e",MAX(SA,H52),IF('Pre-Calculation'!$D$17="Type 4 f",SA,IF('Pre-Calculation'!$D$17="Type 4 g",1000+H52,IF('Pre-Calculation'!$D$17="Type 4 h",SA+X52,IF('Pre-Calculation'!$D$17="Type 4 i",MAX(H52,Q52),IF('Pre-Calculation'!$D$17="Type 4 k",MAX(H52,1.01*Q52),IF('Pre-Calculation'!$D$17="Type 4 m",MAX(105%*Q52,SA+H52),IF('Pre-Calculation'!$D$17="Type 4 o",MAX(SA,105%*Q52)+X52+Z52,IF('Pre-Calculation'!$D$17="Type 5",0)))))))))))))*IF(AND(A52&lt;Revival!$C$4,'Cashflows_8%'!C52&gt;=Revival!$D$12),PUP,1)</f>
        <v>1225602.188</v>
      </c>
      <c r="L52" s="175">
        <f>H52-I52*(1+Tax)</f>
        <v>1225602.188</v>
      </c>
      <c r="M52" s="175">
        <f>L52*(1+GROWTH_RATE_H)*(1-FMC*(1+Tax))</f>
        <v>1231851.185</v>
      </c>
      <c r="N52" s="175">
        <f>M52+IF(MOD(A52,B52)=0,VLOOKUP(B52,'Pre-Calculation'!$H$1:$L$31,5,FALSE),0)*IF('Pre-Calculation'!$D$16="% OF FV",M52,IF(OR('Pre-Calculation'!$D$16="% OF AFV(24M)",'Pre-Calculation'!$D$16="% OF AFV(8Q)"),AVERAGE( $M29:$M52),IF('Pre-Calculation'!$D$16="% OF AFV(12M)",AVERAGE($M41:M52),IF('Pre-Calculation'!$D$16="% OF AFV(36M)",AVERAGE($M17:M52)))))</f>
        <v>1231851.185</v>
      </c>
      <c r="O52" s="175">
        <f t="shared" si="4"/>
        <v>1231851.185</v>
      </c>
      <c r="P52" s="175">
        <f>IF('Pre-Calculation'!$D$17="Type 4 a",MAX(SA,N52,1.05*Q52),IF('Pre-Calculation'!$D$17="Type 4 c",N52,IF('Pre-Calculation'!$D$17="Type 4 d",SA+N52,IF('Pre-Calculation'!$D$17="Type 4 e",MAX(SA,N52),IF('Pre-Calculation'!$D$17="Type 4 f",SA,IF('Pre-Calculation'!$D$17="Type 4 g",1000+N52,IF('Pre-Calculation'!$D$17="Type 4 h",SA+X52,IF('Pre-Calculation'!$D$17="Type 4 i",MAX(N52,Q52),IF('Pre-Calculation'!$D$17="Type 4 k",MAX(N52,1.01*Q52),IF('Pre-Calculation'!$D$17="Type 4 m",MAX(105%*Q52,SA+N52),IF('Pre-Calculation'!$D$17="Type 4 o",MAX(SA,105%*Q52)+X52+Z52,IF('Pre-Calculation'!$D$17="Type 5",0))))))))))))</f>
        <v>1231851.185</v>
      </c>
      <c r="Q52" s="175">
        <f t="shared" si="5"/>
        <v>900000</v>
      </c>
      <c r="R52" s="119">
        <f>L52*(1+GROWTH_RATE)*FMC</f>
        <v>1386.919078</v>
      </c>
      <c r="S52" s="178">
        <f>S51*(1+'Pre-Calculation'!$E$27)</f>
        <v>741625.5741</v>
      </c>
      <c r="T52" s="175">
        <f>-E52+IF(A51=INPUT!$C$11*12,N52,0)</f>
        <v>0</v>
      </c>
      <c r="U52" s="175">
        <f t="shared" si="6"/>
        <v>1260401.233</v>
      </c>
      <c r="V52" s="175">
        <f>U52*(1+GROWTH_RATE_H)*(1-'Pre-Calculation'!$E$31)</f>
        <v>1266398.211</v>
      </c>
      <c r="W52" s="175">
        <f>-E52+IF(A51=INPUT!$C$11*12,V52,0)</f>
        <v>0</v>
      </c>
      <c r="X52" s="179">
        <f t="array" ref="X52">NPV('Pre-Calculation'!$E$20,$E53:E$246)</f>
        <v>98322.75876</v>
      </c>
      <c r="Y52" s="171">
        <f>10%*SA</f>
        <v>100000</v>
      </c>
      <c r="Z52" s="179">
        <f t="array" ref="Z52">NPV('Pre-Calculation'!$E$20,Y53:Y62)</f>
        <v>969592.8037</v>
      </c>
    </row>
    <row r="53" ht="15.75" customHeight="1">
      <c r="A53" s="171">
        <f t="shared" si="1"/>
        <v>107</v>
      </c>
      <c r="B53" s="171">
        <f t="shared" si="2"/>
        <v>9</v>
      </c>
      <c r="C53" s="176">
        <f>EDATE(RCD,A52)</f>
        <v>45777</v>
      </c>
      <c r="D53" s="171">
        <f>Age_At_Entry+'Cashflows_8%'!B53-1</f>
        <v>43</v>
      </c>
      <c r="E53" s="175">
        <f>IF(AND(C53&lt;=Last_Prem,MOD(A52,Mode)=0,C53&gt;INPUT!$C$13,A53&lt;=Revival!$C$11),Mod_Prem,0)</f>
        <v>0</v>
      </c>
      <c r="F53" s="177">
        <f>E53*VLOOKUP(B53,'Pre-Calculation'!$H$1:$I$31,2,FALSE)</f>
        <v>0</v>
      </c>
      <c r="G53" s="177">
        <f>IF(B53&lt;PT+1,VLOOKUP(B53,'Pre-Calculation'!$H$1:$L$32,3,FALSE)+VLOOKUP(B53,'Pre-Calculation'!$H$1:$L$32,4,FALSE)*'Pre-Calculation'!$D$7,0)</f>
        <v>830</v>
      </c>
      <c r="H53" s="175">
        <f>(E53-(F53+G53)*(1+Tax)+N52)</f>
        <v>1230871.785</v>
      </c>
      <c r="I53" s="175">
        <f>IF(B53&lt;PT+1,VLOOKUP(D53,'Pre-Calculation'!$N$3:$P$79,IF(INPUT!$C$4="M",2,3),FALSE)*(J53/1000)*(1/12),0)</f>
        <v>0</v>
      </c>
      <c r="J53" s="175">
        <f t="shared" si="3"/>
        <v>0</v>
      </c>
      <c r="K53" s="175">
        <f>(IF('Pre-Calculation'!$D$17="Type 4 a",MAX(SA,H53,1.05*Q53),IF('Pre-Calculation'!$D$17="Type 4 c",H53,IF('Pre-Calculation'!$D$17="Type 4 d",SA+H53,IF('Pre-Calculation'!$D$17="Type 4 e",MAX(SA,H53),IF('Pre-Calculation'!$D$17="Type 4 f",SA,IF('Pre-Calculation'!$D$17="Type 4 g",1000+H53,IF('Pre-Calculation'!$D$17="Type 4 h",SA+X53,IF('Pre-Calculation'!$D$17="Type 4 i",MAX(H53,Q53),IF('Pre-Calculation'!$D$17="Type 4 k",MAX(H53,1.01*Q53),IF('Pre-Calculation'!$D$17="Type 4 m",MAX(105%*Q53,SA+H53),IF('Pre-Calculation'!$D$17="Type 4 o",MAX(SA,105%*Q53)+X53+Z53,IF('Pre-Calculation'!$D$17="Type 5",0)))))))))))))*IF(AND(A53&lt;Revival!$C$4,'Cashflows_8%'!C53&gt;=Revival!$D$12),PUP,1)</f>
        <v>1230871.785</v>
      </c>
      <c r="L53" s="175">
        <f>H53-I53*(1+Tax)</f>
        <v>1230871.785</v>
      </c>
      <c r="M53" s="175">
        <f>L53*(1+GROWTH_RATE_H)*(1-FMC*(1+Tax))</f>
        <v>1237147.65</v>
      </c>
      <c r="N53" s="175">
        <f>M53+IF(MOD(A53,B53)=0,VLOOKUP(B53,'Pre-Calculation'!$H$1:$L$31,5,FALSE),0)*IF('Pre-Calculation'!$D$16="% OF FV",M53,IF(OR('Pre-Calculation'!$D$16="% OF AFV(24M)",'Pre-Calculation'!$D$16="% OF AFV(8Q)"),AVERAGE( $M30:$M53),IF('Pre-Calculation'!$D$16="% OF AFV(12M)",AVERAGE($M42:M53),IF('Pre-Calculation'!$D$16="% OF AFV(36M)",AVERAGE($M18:M53)))))</f>
        <v>1237147.65</v>
      </c>
      <c r="O53" s="175">
        <f t="shared" si="4"/>
        <v>1237147.65</v>
      </c>
      <c r="P53" s="175">
        <f>IF('Pre-Calculation'!$D$17="Type 4 a",MAX(SA,N53,1.05*Q53),IF('Pre-Calculation'!$D$17="Type 4 c",N53,IF('Pre-Calculation'!$D$17="Type 4 d",SA+N53,IF('Pre-Calculation'!$D$17="Type 4 e",MAX(SA,N53),IF('Pre-Calculation'!$D$17="Type 4 f",SA,IF('Pre-Calculation'!$D$17="Type 4 g",1000+N53,IF('Pre-Calculation'!$D$17="Type 4 h",SA+X53,IF('Pre-Calculation'!$D$17="Type 4 i",MAX(N53,Q53),IF('Pre-Calculation'!$D$17="Type 4 k",MAX(N53,1.01*Q53),IF('Pre-Calculation'!$D$17="Type 4 m",MAX(105%*Q53,SA+N53),IF('Pre-Calculation'!$D$17="Type 4 o",MAX(SA,105%*Q53)+X53+Z53,IF('Pre-Calculation'!$D$17="Type 5",0))))))))))))</f>
        <v>1237147.65</v>
      </c>
      <c r="Q53" s="175">
        <f t="shared" si="5"/>
        <v>900000</v>
      </c>
      <c r="R53" s="119">
        <f>L53*(1+GROWTH_RATE)*FMC</f>
        <v>1392.882273</v>
      </c>
      <c r="S53" s="178">
        <f>S52*(1+'Pre-Calculation'!$E$27)</f>
        <v>743754.706</v>
      </c>
      <c r="T53" s="175">
        <f>-E53+IF(A52=INPUT!$C$11*12,N53,0)</f>
        <v>0</v>
      </c>
      <c r="U53" s="175">
        <f t="shared" si="6"/>
        <v>1266398.211</v>
      </c>
      <c r="V53" s="175">
        <f>U53*(1+GROWTH_RATE_H)*(1-'Pre-Calculation'!$E$31)</f>
        <v>1272423.723</v>
      </c>
      <c r="W53" s="175">
        <f>-E53+IF(A52=INPUT!$C$11*12,V53,0)</f>
        <v>0</v>
      </c>
      <c r="X53" s="179">
        <f t="array" ref="X53">NPV('Pre-Calculation'!$E$20,$E54:E$246)</f>
        <v>98878.68993</v>
      </c>
      <c r="Y53" s="171">
        <f>10%*SA</f>
        <v>100000</v>
      </c>
      <c r="Z53" s="179">
        <f t="array" ref="Z53">NPV('Pre-Calculation'!$E$20,Y54:Y63)</f>
        <v>969592.8037</v>
      </c>
    </row>
    <row r="54" ht="15.75" customHeight="1">
      <c r="A54" s="171">
        <f t="shared" si="1"/>
        <v>108</v>
      </c>
      <c r="B54" s="171">
        <f t="shared" si="2"/>
        <v>9</v>
      </c>
      <c r="C54" s="176">
        <f>EDATE(RCD,A53)</f>
        <v>45807</v>
      </c>
      <c r="D54" s="171">
        <f>Age_At_Entry+'Cashflows_8%'!B54-1</f>
        <v>43</v>
      </c>
      <c r="E54" s="175">
        <f>IF(AND(C54&lt;=Last_Prem,MOD(A53,Mode)=0,C54&gt;INPUT!$C$13,A54&lt;=Revival!$C$11),Mod_Prem,0)</f>
        <v>0</v>
      </c>
      <c r="F54" s="177">
        <f>E54*VLOOKUP(B54,'Pre-Calculation'!$H$1:$I$31,2,FALSE)</f>
        <v>0</v>
      </c>
      <c r="G54" s="177">
        <f>IF(B54&lt;PT+1,VLOOKUP(B54,'Pre-Calculation'!$H$1:$L$32,3,FALSE)+VLOOKUP(B54,'Pre-Calculation'!$H$1:$L$32,4,FALSE)*'Pre-Calculation'!$D$7,0)</f>
        <v>830</v>
      </c>
      <c r="H54" s="175">
        <f>(E54-(F54+G54)*(1+Tax)+N53)</f>
        <v>1236168.25</v>
      </c>
      <c r="I54" s="175">
        <f>IF(B54&lt;PT+1,VLOOKUP(D54,'Pre-Calculation'!$N$3:$P$79,IF(INPUT!$C$4="M",2,3),FALSE)*(J54/1000)*(1/12),0)</f>
        <v>0</v>
      </c>
      <c r="J54" s="175">
        <f t="shared" si="3"/>
        <v>0</v>
      </c>
      <c r="K54" s="175">
        <f>(IF('Pre-Calculation'!$D$17="Type 4 a",MAX(SA,H54,1.05*Q54),IF('Pre-Calculation'!$D$17="Type 4 c",H54,IF('Pre-Calculation'!$D$17="Type 4 d",SA+H54,IF('Pre-Calculation'!$D$17="Type 4 e",MAX(SA,H54),IF('Pre-Calculation'!$D$17="Type 4 f",SA,IF('Pre-Calculation'!$D$17="Type 4 g",1000+H54,IF('Pre-Calculation'!$D$17="Type 4 h",SA+X54,IF('Pre-Calculation'!$D$17="Type 4 i",MAX(H54,Q54),IF('Pre-Calculation'!$D$17="Type 4 k",MAX(H54,1.01*Q54),IF('Pre-Calculation'!$D$17="Type 4 m",MAX(105%*Q54,SA+H54),IF('Pre-Calculation'!$D$17="Type 4 o",MAX(SA,105%*Q54)+X54+Z54,IF('Pre-Calculation'!$D$17="Type 5",0)))))))))))))*IF(AND(A54&lt;Revival!$C$4,'Cashflows_8%'!C54&gt;=Revival!$D$12),PUP,1)</f>
        <v>1236168.25</v>
      </c>
      <c r="L54" s="175">
        <f>H54-I54*(1+Tax)</f>
        <v>1236168.25</v>
      </c>
      <c r="M54" s="175">
        <f>L54*(1+GROWTH_RATE_H)*(1-FMC*(1+Tax))</f>
        <v>1242471.12</v>
      </c>
      <c r="N54" s="175">
        <f>M54+IF(MOD(A54,B54)=0,VLOOKUP(B54,'Pre-Calculation'!$H$1:$L$31,5,FALSE),0)*IF('Pre-Calculation'!$D$16="% OF FV",M54,IF(OR('Pre-Calculation'!$D$16="% OF AFV(24M)",'Pre-Calculation'!$D$16="% OF AFV(8Q)"),AVERAGE( $M31:$M54),IF('Pre-Calculation'!$D$16="% OF AFV(12M)",AVERAGE($M43:M54),IF('Pre-Calculation'!$D$16="% OF AFV(36M)",AVERAGE($M19:M54)))))</f>
        <v>1242471.12</v>
      </c>
      <c r="O54" s="175">
        <f t="shared" si="4"/>
        <v>1242471.12</v>
      </c>
      <c r="P54" s="175">
        <f>IF('Pre-Calculation'!$D$17="Type 4 a",MAX(SA,N54,1.05*Q54),IF('Pre-Calculation'!$D$17="Type 4 c",N54,IF('Pre-Calculation'!$D$17="Type 4 d",SA+N54,IF('Pre-Calculation'!$D$17="Type 4 e",MAX(SA,N54),IF('Pre-Calculation'!$D$17="Type 4 f",SA,IF('Pre-Calculation'!$D$17="Type 4 g",1000+N54,IF('Pre-Calculation'!$D$17="Type 4 h",SA+X54,IF('Pre-Calculation'!$D$17="Type 4 i",MAX(N54,Q54),IF('Pre-Calculation'!$D$17="Type 4 k",MAX(N54,1.01*Q54),IF('Pre-Calculation'!$D$17="Type 4 m",MAX(105%*Q54,SA+N54),IF('Pre-Calculation'!$D$17="Type 4 o",MAX(SA,105%*Q54)+X54+Z54,IF('Pre-Calculation'!$D$17="Type 5",0))))))))))))</f>
        <v>1242471.12</v>
      </c>
      <c r="Q54" s="175">
        <f t="shared" si="5"/>
        <v>900000</v>
      </c>
      <c r="R54" s="119">
        <f>L54*(1+GROWTH_RATE)*FMC</f>
        <v>1398.875872</v>
      </c>
      <c r="S54" s="178">
        <f>S53*(1+'Pre-Calculation'!$E$27)</f>
        <v>745889.9504</v>
      </c>
      <c r="T54" s="175">
        <f>-E54+IF(A53=INPUT!$C$11*12,N54,0)</f>
        <v>0</v>
      </c>
      <c r="U54" s="175">
        <f t="shared" si="6"/>
        <v>1272423.723</v>
      </c>
      <c r="V54" s="175">
        <f>U54*(1+GROWTH_RATE_H)*(1-'Pre-Calculation'!$E$31)</f>
        <v>1278477.903</v>
      </c>
      <c r="W54" s="175">
        <f>-E54+IF(A53=INPUT!$C$11*12,V54,0)</f>
        <v>0</v>
      </c>
      <c r="X54" s="179">
        <f t="array" ref="X54">NPV('Pre-Calculation'!$E$20,$E55:E$246)</f>
        <v>99437.76442</v>
      </c>
      <c r="Y54" s="171">
        <f>10%*SA</f>
        <v>100000</v>
      </c>
      <c r="Z54" s="179">
        <f t="array" ref="Z54">NPV('Pre-Calculation'!$E$20,Y55:Y64)</f>
        <v>969592.8037</v>
      </c>
    </row>
    <row r="55" ht="15.75" customHeight="1">
      <c r="A55" s="171">
        <f t="shared" si="1"/>
        <v>109</v>
      </c>
      <c r="B55" s="171">
        <f t="shared" si="2"/>
        <v>10</v>
      </c>
      <c r="C55" s="176">
        <f>EDATE(RCD,A54)</f>
        <v>45838</v>
      </c>
      <c r="D55" s="171">
        <f>Age_At_Entry+'Cashflows_8%'!B55-1</f>
        <v>44</v>
      </c>
      <c r="E55" s="175">
        <f>IF(AND(C55&lt;=Last_Prem,MOD(A54,Mode)=0,C55&gt;INPUT!$C$13,A55&lt;=Revival!$C$11),Mod_Prem,0)</f>
        <v>100000</v>
      </c>
      <c r="F55" s="177">
        <f>E55*VLOOKUP(B55,'Pre-Calculation'!$H$1:$I$31,2,FALSE)</f>
        <v>0</v>
      </c>
      <c r="G55" s="177">
        <f>IF(B55&lt;PT+1,VLOOKUP(B55,'Pre-Calculation'!$H$1:$L$32,3,FALSE)+VLOOKUP(B55,'Pre-Calculation'!$H$1:$L$32,4,FALSE)*'Pre-Calculation'!$D$7,0)</f>
        <v>830</v>
      </c>
      <c r="H55" s="175">
        <f>(E55-(F55+G55)*(1+Tax)+N54)</f>
        <v>1341491.72</v>
      </c>
      <c r="I55" s="175">
        <f>IF(B55&lt;PT+1,VLOOKUP(D55,'Pre-Calculation'!$N$3:$P$79,IF(INPUT!$C$4="M",2,3),FALSE)*(J55/1000)*(1/12),0)</f>
        <v>0</v>
      </c>
      <c r="J55" s="175">
        <f t="shared" si="3"/>
        <v>0</v>
      </c>
      <c r="K55" s="175">
        <f>(IF('Pre-Calculation'!$D$17="Type 4 a",MAX(SA,H55,1.05*Q55),IF('Pre-Calculation'!$D$17="Type 4 c",H55,IF('Pre-Calculation'!$D$17="Type 4 d",SA+H55,IF('Pre-Calculation'!$D$17="Type 4 e",MAX(SA,H55),IF('Pre-Calculation'!$D$17="Type 4 f",SA,IF('Pre-Calculation'!$D$17="Type 4 g",1000+H55,IF('Pre-Calculation'!$D$17="Type 4 h",SA+X55,IF('Pre-Calculation'!$D$17="Type 4 i",MAX(H55,Q55),IF('Pre-Calculation'!$D$17="Type 4 k",MAX(H55,1.01*Q55),IF('Pre-Calculation'!$D$17="Type 4 m",MAX(105%*Q55,SA+H55),IF('Pre-Calculation'!$D$17="Type 4 o",MAX(SA,105%*Q55)+X55+Z55,IF('Pre-Calculation'!$D$17="Type 5",0)))))))))))))*IF(AND(A55&lt;Revival!$C$4,'Cashflows_8%'!C55&gt;=Revival!$D$12),PUP,1)</f>
        <v>1341491.72</v>
      </c>
      <c r="L55" s="175">
        <f>H55-I55*(1+Tax)</f>
        <v>1341491.72</v>
      </c>
      <c r="M55" s="175">
        <f>L55*(1+GROWTH_RATE_H)*(1-FMC*(1+Tax))</f>
        <v>1348331.605</v>
      </c>
      <c r="N55" s="175">
        <f>M55+IF(MOD(A55,B55)=0,VLOOKUP(B55,'Pre-Calculation'!$H$1:$L$31,5,FALSE),0)*IF('Pre-Calculation'!$D$16="% OF FV",M55,IF(OR('Pre-Calculation'!$D$16="% OF AFV(24M)",'Pre-Calculation'!$D$16="% OF AFV(8Q)"),AVERAGE( $M32:$M55),IF('Pre-Calculation'!$D$16="% OF AFV(12M)",AVERAGE($M44:M55),IF('Pre-Calculation'!$D$16="% OF AFV(36M)",AVERAGE($M20:M55)))))</f>
        <v>1348331.605</v>
      </c>
      <c r="O55" s="175">
        <f t="shared" si="4"/>
        <v>1348331.605</v>
      </c>
      <c r="P55" s="175">
        <f>IF('Pre-Calculation'!$D$17="Type 4 a",MAX(SA,N55,1.05*Q55),IF('Pre-Calculation'!$D$17="Type 4 c",N55,IF('Pre-Calculation'!$D$17="Type 4 d",SA+N55,IF('Pre-Calculation'!$D$17="Type 4 e",MAX(SA,N55),IF('Pre-Calculation'!$D$17="Type 4 f",SA,IF('Pre-Calculation'!$D$17="Type 4 g",1000+N55,IF('Pre-Calculation'!$D$17="Type 4 h",SA+X55,IF('Pre-Calculation'!$D$17="Type 4 i",MAX(N55,Q55),IF('Pre-Calculation'!$D$17="Type 4 k",MAX(N55,1.01*Q55),IF('Pre-Calculation'!$D$17="Type 4 m",MAX(105%*Q55,SA+N55),IF('Pre-Calculation'!$D$17="Type 4 o",MAX(SA,105%*Q55)+X55+Z55,IF('Pre-Calculation'!$D$17="Type 5",0))))))))))))</f>
        <v>1348331.605</v>
      </c>
      <c r="Q55" s="175">
        <f t="shared" si="5"/>
        <v>1000000</v>
      </c>
      <c r="R55" s="119">
        <f>L55*(1+GROWTH_RATE)*FMC</f>
        <v>1518.062287</v>
      </c>
      <c r="S55" s="178">
        <f>S54*(1+'Pre-Calculation'!$E$27)</f>
        <v>748031.3249</v>
      </c>
      <c r="T55" s="175">
        <f>-E55+IF(A54=INPUT!$C$11*12,N55,0)</f>
        <v>-100000</v>
      </c>
      <c r="U55" s="175">
        <f t="shared" si="6"/>
        <v>1378477.903</v>
      </c>
      <c r="V55" s="175">
        <f>U55*(1+GROWTH_RATE_H)*(1-'Pre-Calculation'!$E$31)</f>
        <v>1385036.689</v>
      </c>
      <c r="W55" s="175">
        <f>-E55+IF(A54=INPUT!$C$11*12,V55,0)</f>
        <v>-100000</v>
      </c>
      <c r="X55" s="179">
        <f t="array" ref="X55">NPV('Pre-Calculation'!$E$20,$E56:E$246)</f>
        <v>0</v>
      </c>
      <c r="Y55" s="171">
        <f>10%*SA</f>
        <v>100000</v>
      </c>
      <c r="Z55" s="179">
        <f t="array" ref="Z55">NPV('Pre-Calculation'!$E$20,Y56:Y65)</f>
        <v>969592.8037</v>
      </c>
    </row>
    <row r="56" ht="15.75" customHeight="1">
      <c r="A56" s="171">
        <f t="shared" si="1"/>
        <v>110</v>
      </c>
      <c r="B56" s="171">
        <f t="shared" si="2"/>
        <v>10</v>
      </c>
      <c r="C56" s="176">
        <f>EDATE(RCD,A55)</f>
        <v>45868</v>
      </c>
      <c r="D56" s="171">
        <f>Age_At_Entry+'Cashflows_8%'!B56-1</f>
        <v>44</v>
      </c>
      <c r="E56" s="175">
        <f>IF(AND(C56&lt;=Last_Prem,MOD(A55,Mode)=0,C56&gt;INPUT!$C$13,A56&lt;=Revival!$C$11),Mod_Prem,0)</f>
        <v>0</v>
      </c>
      <c r="F56" s="177">
        <f>E56*VLOOKUP(B56,'Pre-Calculation'!$H$1:$I$31,2,FALSE)</f>
        <v>0</v>
      </c>
      <c r="G56" s="177">
        <f>IF(B56&lt;PT+1,VLOOKUP(B56,'Pre-Calculation'!$H$1:$L$32,3,FALSE)+VLOOKUP(B56,'Pre-Calculation'!$H$1:$L$32,4,FALSE)*'Pre-Calculation'!$D$7,0)</f>
        <v>830</v>
      </c>
      <c r="H56" s="175">
        <f>(E56-(F56+G56)*(1+Tax)+N55)</f>
        <v>1347352.205</v>
      </c>
      <c r="I56" s="175">
        <f>IF(B56&lt;PT+1,VLOOKUP(D56,'Pre-Calculation'!$N$3:$P$79,IF(INPUT!$C$4="M",2,3),FALSE)*(J56/1000)*(1/12),0)</f>
        <v>0</v>
      </c>
      <c r="J56" s="175">
        <f t="shared" si="3"/>
        <v>0</v>
      </c>
      <c r="K56" s="175">
        <f>(IF('Pre-Calculation'!$D$17="Type 4 a",MAX(SA,H56,1.05*Q56),IF('Pre-Calculation'!$D$17="Type 4 c",H56,IF('Pre-Calculation'!$D$17="Type 4 d",SA+H56,IF('Pre-Calculation'!$D$17="Type 4 e",MAX(SA,H56),IF('Pre-Calculation'!$D$17="Type 4 f",SA,IF('Pre-Calculation'!$D$17="Type 4 g",1000+H56,IF('Pre-Calculation'!$D$17="Type 4 h",SA+X56,IF('Pre-Calculation'!$D$17="Type 4 i",MAX(H56,Q56),IF('Pre-Calculation'!$D$17="Type 4 k",MAX(H56,1.01*Q56),IF('Pre-Calculation'!$D$17="Type 4 m",MAX(105%*Q56,SA+H56),IF('Pre-Calculation'!$D$17="Type 4 o",MAX(SA,105%*Q56)+X56+Z56,IF('Pre-Calculation'!$D$17="Type 5",0)))))))))))))*IF(AND(A56&lt;Revival!$C$4,'Cashflows_8%'!C56&gt;=Revival!$D$12),PUP,1)</f>
        <v>1347352.205</v>
      </c>
      <c r="L56" s="175">
        <f>H56-I56*(1+Tax)</f>
        <v>1347352.205</v>
      </c>
      <c r="M56" s="175">
        <f>L56*(1+GROWTH_RATE_H)*(1-FMC*(1+Tax))</f>
        <v>1354221.97</v>
      </c>
      <c r="N56" s="175">
        <f>M56+IF(MOD(A56,B56)=0,VLOOKUP(B56,'Pre-Calculation'!$H$1:$L$31,5,FALSE),0)*IF('Pre-Calculation'!$D$16="% OF FV",M56,IF(OR('Pre-Calculation'!$D$16="% OF AFV(24M)",'Pre-Calculation'!$D$16="% OF AFV(8Q)"),AVERAGE( $M33:$M56),IF('Pre-Calculation'!$D$16="% OF AFV(12M)",AVERAGE($M45:M56),IF('Pre-Calculation'!$D$16="% OF AFV(36M)",AVERAGE($M21:M56)))))</f>
        <v>1354221.97</v>
      </c>
      <c r="O56" s="175">
        <f t="shared" si="4"/>
        <v>1354221.97</v>
      </c>
      <c r="P56" s="175">
        <f>IF('Pre-Calculation'!$D$17="Type 4 a",MAX(SA,N56,1.05*Q56),IF('Pre-Calculation'!$D$17="Type 4 c",N56,IF('Pre-Calculation'!$D$17="Type 4 d",SA+N56,IF('Pre-Calculation'!$D$17="Type 4 e",MAX(SA,N56),IF('Pre-Calculation'!$D$17="Type 4 f",SA,IF('Pre-Calculation'!$D$17="Type 4 g",1000+N56,IF('Pre-Calculation'!$D$17="Type 4 h",SA+X56,IF('Pre-Calculation'!$D$17="Type 4 i",MAX(N56,Q56),IF('Pre-Calculation'!$D$17="Type 4 k",MAX(N56,1.01*Q56),IF('Pre-Calculation'!$D$17="Type 4 m",MAX(105%*Q56,SA+N56),IF('Pre-Calculation'!$D$17="Type 4 o",MAX(SA,105%*Q56)+X56+Z56,IF('Pre-Calculation'!$D$17="Type 5",0))))))))))))</f>
        <v>1354221.97</v>
      </c>
      <c r="Q56" s="175">
        <f t="shared" si="5"/>
        <v>1000000</v>
      </c>
      <c r="R56" s="119">
        <f>L56*(1+GROWTH_RATE)*FMC</f>
        <v>1524.694143</v>
      </c>
      <c r="S56" s="178">
        <f>S55*(1+'Pre-Calculation'!$E$27)</f>
        <v>750178.8471</v>
      </c>
      <c r="T56" s="175">
        <f>-E56+IF(A55=INPUT!$C$11*12,N56,0)</f>
        <v>0</v>
      </c>
      <c r="U56" s="175">
        <f t="shared" si="6"/>
        <v>1385036.689</v>
      </c>
      <c r="V56" s="175">
        <f>U56*(1+GROWTH_RATE_H)*(1-'Pre-Calculation'!$E$31)</f>
        <v>1391626.682</v>
      </c>
      <c r="W56" s="175">
        <f>-E56+IF(A55=INPUT!$C$11*12,V56,0)</f>
        <v>0</v>
      </c>
      <c r="X56" s="179">
        <f t="array" ref="X56">NPV('Pre-Calculation'!$E$20,$E57:E$246)</f>
        <v>0</v>
      </c>
      <c r="Y56" s="171">
        <f>10%*SA</f>
        <v>100000</v>
      </c>
      <c r="Z56" s="179">
        <f t="array" ref="Z56">NPV('Pre-Calculation'!$E$20,Y57:Y66)</f>
        <v>969592.8037</v>
      </c>
    </row>
    <row r="57" ht="15.75" customHeight="1">
      <c r="A57" s="171">
        <f t="shared" si="1"/>
        <v>111</v>
      </c>
      <c r="B57" s="171">
        <f t="shared" si="2"/>
        <v>10</v>
      </c>
      <c r="C57" s="176">
        <f>EDATE(RCD,A56)</f>
        <v>45899</v>
      </c>
      <c r="D57" s="171">
        <f>Age_At_Entry+'Cashflows_8%'!B57-1</f>
        <v>44</v>
      </c>
      <c r="E57" s="175">
        <f>IF(AND(C57&lt;=Last_Prem,MOD(A56,Mode)=0,C57&gt;INPUT!$C$13,A57&lt;=Revival!$C$11),Mod_Prem,0)</f>
        <v>0</v>
      </c>
      <c r="F57" s="177">
        <f>E57*VLOOKUP(B57,'Pre-Calculation'!$H$1:$I$31,2,FALSE)</f>
        <v>0</v>
      </c>
      <c r="G57" s="177">
        <f>IF(B57&lt;PT+1,VLOOKUP(B57,'Pre-Calculation'!$H$1:$L$32,3,FALSE)+VLOOKUP(B57,'Pre-Calculation'!$H$1:$L$32,4,FALSE)*'Pre-Calculation'!$D$7,0)</f>
        <v>830</v>
      </c>
      <c r="H57" s="175">
        <f>(E57-(F57+G57)*(1+Tax)+N56)</f>
        <v>1353242.57</v>
      </c>
      <c r="I57" s="175">
        <f>IF(B57&lt;PT+1,VLOOKUP(D57,'Pre-Calculation'!$N$3:$P$79,IF(INPUT!$C$4="M",2,3),FALSE)*(J57/1000)*(1/12),0)</f>
        <v>0</v>
      </c>
      <c r="J57" s="175">
        <f t="shared" si="3"/>
        <v>0</v>
      </c>
      <c r="K57" s="175">
        <f>(IF('Pre-Calculation'!$D$17="Type 4 a",MAX(SA,H57,1.05*Q57),IF('Pre-Calculation'!$D$17="Type 4 c",H57,IF('Pre-Calculation'!$D$17="Type 4 d",SA+H57,IF('Pre-Calculation'!$D$17="Type 4 e",MAX(SA,H57),IF('Pre-Calculation'!$D$17="Type 4 f",SA,IF('Pre-Calculation'!$D$17="Type 4 g",1000+H57,IF('Pre-Calculation'!$D$17="Type 4 h",SA+X57,IF('Pre-Calculation'!$D$17="Type 4 i",MAX(H57,Q57),IF('Pre-Calculation'!$D$17="Type 4 k",MAX(H57,1.01*Q57),IF('Pre-Calculation'!$D$17="Type 4 m",MAX(105%*Q57,SA+H57),IF('Pre-Calculation'!$D$17="Type 4 o",MAX(SA,105%*Q57)+X57+Z57,IF('Pre-Calculation'!$D$17="Type 5",0)))))))))))))*IF(AND(A57&lt;Revival!$C$4,'Cashflows_8%'!C57&gt;=Revival!$D$12),PUP,1)</f>
        <v>1353242.57</v>
      </c>
      <c r="L57" s="175">
        <f>H57-I57*(1+Tax)</f>
        <v>1353242.57</v>
      </c>
      <c r="M57" s="175">
        <f>L57*(1+GROWTH_RATE_H)*(1-FMC*(1+Tax))</f>
        <v>1360142.369</v>
      </c>
      <c r="N57" s="175">
        <f>M57+IF(MOD(A57,B57)=0,VLOOKUP(B57,'Pre-Calculation'!$H$1:$L$31,5,FALSE),0)*IF('Pre-Calculation'!$D$16="% OF FV",M57,IF(OR('Pre-Calculation'!$D$16="% OF AFV(24M)",'Pre-Calculation'!$D$16="% OF AFV(8Q)"),AVERAGE( $M34:$M57),IF('Pre-Calculation'!$D$16="% OF AFV(12M)",AVERAGE($M46:M57),IF('Pre-Calculation'!$D$16="% OF AFV(36M)",AVERAGE($M22:M57)))))</f>
        <v>1360142.369</v>
      </c>
      <c r="O57" s="175">
        <f t="shared" si="4"/>
        <v>1360142.369</v>
      </c>
      <c r="P57" s="175">
        <f>IF('Pre-Calculation'!$D$17="Type 4 a",MAX(SA,N57,1.05*Q57),IF('Pre-Calculation'!$D$17="Type 4 c",N57,IF('Pre-Calculation'!$D$17="Type 4 d",SA+N57,IF('Pre-Calculation'!$D$17="Type 4 e",MAX(SA,N57),IF('Pre-Calculation'!$D$17="Type 4 f",SA,IF('Pre-Calculation'!$D$17="Type 4 g",1000+N57,IF('Pre-Calculation'!$D$17="Type 4 h",SA+X57,IF('Pre-Calculation'!$D$17="Type 4 i",MAX(N57,Q57),IF('Pre-Calculation'!$D$17="Type 4 k",MAX(N57,1.01*Q57),IF('Pre-Calculation'!$D$17="Type 4 m",MAX(105%*Q57,SA+N57),IF('Pre-Calculation'!$D$17="Type 4 o",MAX(SA,105%*Q57)+X57+Z57,IF('Pre-Calculation'!$D$17="Type 5",0))))))))))))</f>
        <v>1360142.369</v>
      </c>
      <c r="Q57" s="175">
        <f t="shared" si="5"/>
        <v>1000000</v>
      </c>
      <c r="R57" s="119">
        <f>L57*(1+GROWTH_RATE)*FMC</f>
        <v>1531.359814</v>
      </c>
      <c r="S57" s="178">
        <f>S56*(1+'Pre-Calculation'!$E$27)</f>
        <v>752332.5346</v>
      </c>
      <c r="T57" s="175">
        <f>-E57+IF(A56=INPUT!$C$11*12,N57,0)</f>
        <v>0</v>
      </c>
      <c r="U57" s="175">
        <f t="shared" si="6"/>
        <v>1391626.682</v>
      </c>
      <c r="V57" s="175">
        <f>U57*(1+GROWTH_RATE_H)*(1-'Pre-Calculation'!$E$31)</f>
        <v>1398248.029</v>
      </c>
      <c r="W57" s="175">
        <f>-E57+IF(A56=INPUT!$C$11*12,V57,0)</f>
        <v>0</v>
      </c>
      <c r="X57" s="179">
        <f t="array" ref="X57">NPV('Pre-Calculation'!$E$20,$E58:E$246)</f>
        <v>0</v>
      </c>
      <c r="Y57" s="171">
        <f>10%*SA</f>
        <v>100000</v>
      </c>
      <c r="Z57" s="179">
        <f t="array" ref="Z57">NPV('Pre-Calculation'!$E$20,Y58:Y67)</f>
        <v>969592.8037</v>
      </c>
    </row>
    <row r="58" ht="15.75" customHeight="1">
      <c r="A58" s="171">
        <f t="shared" si="1"/>
        <v>112</v>
      </c>
      <c r="B58" s="171">
        <f t="shared" si="2"/>
        <v>10</v>
      </c>
      <c r="C58" s="176">
        <f>EDATE(RCD,A57)</f>
        <v>45930</v>
      </c>
      <c r="D58" s="171">
        <f>Age_At_Entry+'Cashflows_8%'!B58-1</f>
        <v>44</v>
      </c>
      <c r="E58" s="175">
        <f>IF(AND(C58&lt;=Last_Prem,MOD(A57,Mode)=0,C58&gt;INPUT!$C$13,A58&lt;=Revival!$C$11),Mod_Prem,0)</f>
        <v>0</v>
      </c>
      <c r="F58" s="177">
        <f>E58*VLOOKUP(B58,'Pre-Calculation'!$H$1:$I$31,2,FALSE)</f>
        <v>0</v>
      </c>
      <c r="G58" s="177">
        <f>IF(B58&lt;PT+1,VLOOKUP(B58,'Pre-Calculation'!$H$1:$L$32,3,FALSE)+VLOOKUP(B58,'Pre-Calculation'!$H$1:$L$32,4,FALSE)*'Pre-Calculation'!$D$7,0)</f>
        <v>830</v>
      </c>
      <c r="H58" s="175">
        <f>(E58-(F58+G58)*(1+Tax)+N57)</f>
        <v>1359162.969</v>
      </c>
      <c r="I58" s="175">
        <f>IF(B58&lt;PT+1,VLOOKUP(D58,'Pre-Calculation'!$N$3:$P$79,IF(INPUT!$C$4="M",2,3),FALSE)*(J58/1000)*(1/12),0)</f>
        <v>0</v>
      </c>
      <c r="J58" s="175">
        <f t="shared" si="3"/>
        <v>0</v>
      </c>
      <c r="K58" s="175">
        <f>(IF('Pre-Calculation'!$D$17="Type 4 a",MAX(SA,H58,1.05*Q58),IF('Pre-Calculation'!$D$17="Type 4 c",H58,IF('Pre-Calculation'!$D$17="Type 4 d",SA+H58,IF('Pre-Calculation'!$D$17="Type 4 e",MAX(SA,H58),IF('Pre-Calculation'!$D$17="Type 4 f",SA,IF('Pre-Calculation'!$D$17="Type 4 g",1000+H58,IF('Pre-Calculation'!$D$17="Type 4 h",SA+X58,IF('Pre-Calculation'!$D$17="Type 4 i",MAX(H58,Q58),IF('Pre-Calculation'!$D$17="Type 4 k",MAX(H58,1.01*Q58),IF('Pre-Calculation'!$D$17="Type 4 m",MAX(105%*Q58,SA+H58),IF('Pre-Calculation'!$D$17="Type 4 o",MAX(SA,105%*Q58)+X58+Z58,IF('Pre-Calculation'!$D$17="Type 5",0)))))))))))))*IF(AND(A58&lt;Revival!$C$4,'Cashflows_8%'!C58&gt;=Revival!$D$12),PUP,1)</f>
        <v>1359162.969</v>
      </c>
      <c r="L58" s="175">
        <f>H58-I58*(1+Tax)</f>
        <v>1359162.969</v>
      </c>
      <c r="M58" s="175">
        <f>L58*(1+GROWTH_RATE_H)*(1-FMC*(1+Tax))</f>
        <v>1366092.954</v>
      </c>
      <c r="N58" s="175">
        <f>M58+IF(MOD(A58,B58)=0,VLOOKUP(B58,'Pre-Calculation'!$H$1:$L$31,5,FALSE),0)*IF('Pre-Calculation'!$D$16="% OF FV",M58,IF(OR('Pre-Calculation'!$D$16="% OF AFV(24M)",'Pre-Calculation'!$D$16="% OF AFV(8Q)"),AVERAGE( $M35:$M58),IF('Pre-Calculation'!$D$16="% OF AFV(12M)",AVERAGE($M47:M58),IF('Pre-Calculation'!$D$16="% OF AFV(36M)",AVERAGE($M23:M58)))))</f>
        <v>1366092.954</v>
      </c>
      <c r="O58" s="175">
        <f t="shared" si="4"/>
        <v>1366092.954</v>
      </c>
      <c r="P58" s="175">
        <f>IF('Pre-Calculation'!$D$17="Type 4 a",MAX(SA,N58,1.05*Q58),IF('Pre-Calculation'!$D$17="Type 4 c",N58,IF('Pre-Calculation'!$D$17="Type 4 d",SA+N58,IF('Pre-Calculation'!$D$17="Type 4 e",MAX(SA,N58),IF('Pre-Calculation'!$D$17="Type 4 f",SA,IF('Pre-Calculation'!$D$17="Type 4 g",1000+N58,IF('Pre-Calculation'!$D$17="Type 4 h",SA+X58,IF('Pre-Calculation'!$D$17="Type 4 i",MAX(N58,Q58),IF('Pre-Calculation'!$D$17="Type 4 k",MAX(N58,1.01*Q58),IF('Pre-Calculation'!$D$17="Type 4 m",MAX(105%*Q58,SA+N58),IF('Pre-Calculation'!$D$17="Type 4 o",MAX(SA,105%*Q58)+X58+Z58,IF('Pre-Calculation'!$D$17="Type 5",0))))))))))))</f>
        <v>1366092.954</v>
      </c>
      <c r="Q58" s="175">
        <f t="shared" si="5"/>
        <v>1000000</v>
      </c>
      <c r="R58" s="119">
        <f>L58*(1+GROWTH_RATE)*FMC</f>
        <v>1538.059471</v>
      </c>
      <c r="S58" s="178">
        <f>S57*(1+'Pre-Calculation'!$E$27)</f>
        <v>754492.4051</v>
      </c>
      <c r="T58" s="175">
        <f>-E58+IF(A57=INPUT!$C$11*12,N58,0)</f>
        <v>0</v>
      </c>
      <c r="U58" s="175">
        <f t="shared" si="6"/>
        <v>1398248.029</v>
      </c>
      <c r="V58" s="175">
        <f>U58*(1+GROWTH_RATE_H)*(1-'Pre-Calculation'!$E$31)</f>
        <v>1404900.881</v>
      </c>
      <c r="W58" s="175">
        <f>-E58+IF(A57=INPUT!$C$11*12,V58,0)</f>
        <v>0</v>
      </c>
      <c r="X58" s="179">
        <f t="array" ref="X58">NPV('Pre-Calculation'!$E$20,$E59:E$246)</f>
        <v>0</v>
      </c>
      <c r="Y58" s="171">
        <f>10%*SA</f>
        <v>100000</v>
      </c>
      <c r="Z58" s="179">
        <f t="array" ref="Z58">NPV('Pre-Calculation'!$E$20,Y59:Y68)</f>
        <v>969592.8037</v>
      </c>
    </row>
    <row r="59" ht="15.75" customHeight="1">
      <c r="A59" s="171">
        <f t="shared" si="1"/>
        <v>113</v>
      </c>
      <c r="B59" s="171">
        <f t="shared" si="2"/>
        <v>10</v>
      </c>
      <c r="C59" s="176">
        <f>EDATE(RCD,A58)</f>
        <v>45960</v>
      </c>
      <c r="D59" s="171">
        <f>Age_At_Entry+'Cashflows_8%'!B59-1</f>
        <v>44</v>
      </c>
      <c r="E59" s="175">
        <f>IF(AND(C59&lt;=Last_Prem,MOD(A58,Mode)=0,C59&gt;INPUT!$C$13,A59&lt;=Revival!$C$11),Mod_Prem,0)</f>
        <v>0</v>
      </c>
      <c r="F59" s="177">
        <f>E59*VLOOKUP(B59,'Pre-Calculation'!$H$1:$I$31,2,FALSE)</f>
        <v>0</v>
      </c>
      <c r="G59" s="177">
        <f>IF(B59&lt;PT+1,VLOOKUP(B59,'Pre-Calculation'!$H$1:$L$32,3,FALSE)+VLOOKUP(B59,'Pre-Calculation'!$H$1:$L$32,4,FALSE)*'Pre-Calculation'!$D$7,0)</f>
        <v>830</v>
      </c>
      <c r="H59" s="175">
        <f>(E59-(F59+G59)*(1+Tax)+N58)</f>
        <v>1365113.554</v>
      </c>
      <c r="I59" s="175">
        <f>IF(B59&lt;PT+1,VLOOKUP(D59,'Pre-Calculation'!$N$3:$P$79,IF(INPUT!$C$4="M",2,3),FALSE)*(J59/1000)*(1/12),0)</f>
        <v>0</v>
      </c>
      <c r="J59" s="175">
        <f t="shared" si="3"/>
        <v>0</v>
      </c>
      <c r="K59" s="175">
        <f>(IF('Pre-Calculation'!$D$17="Type 4 a",MAX(SA,H59,1.05*Q59),IF('Pre-Calculation'!$D$17="Type 4 c",H59,IF('Pre-Calculation'!$D$17="Type 4 d",SA+H59,IF('Pre-Calculation'!$D$17="Type 4 e",MAX(SA,H59),IF('Pre-Calculation'!$D$17="Type 4 f",SA,IF('Pre-Calculation'!$D$17="Type 4 g",1000+H59,IF('Pre-Calculation'!$D$17="Type 4 h",SA+X59,IF('Pre-Calculation'!$D$17="Type 4 i",MAX(H59,Q59),IF('Pre-Calculation'!$D$17="Type 4 k",MAX(H59,1.01*Q59),IF('Pre-Calculation'!$D$17="Type 4 m",MAX(105%*Q59,SA+H59),IF('Pre-Calculation'!$D$17="Type 4 o",MAX(SA,105%*Q59)+X59+Z59,IF('Pre-Calculation'!$D$17="Type 5",0)))))))))))))*IF(AND(A59&lt;Revival!$C$4,'Cashflows_8%'!C59&gt;=Revival!$D$12),PUP,1)</f>
        <v>1365113.554</v>
      </c>
      <c r="L59" s="175">
        <f>H59-I59*(1+Tax)</f>
        <v>1365113.554</v>
      </c>
      <c r="M59" s="175">
        <f>L59*(1+GROWTH_RATE_H)*(1-FMC*(1+Tax))</f>
        <v>1372073.88</v>
      </c>
      <c r="N59" s="175">
        <f>M59+IF(MOD(A59,B59)=0,VLOOKUP(B59,'Pre-Calculation'!$H$1:$L$31,5,FALSE),0)*IF('Pre-Calculation'!$D$16="% OF FV",M59,IF(OR('Pre-Calculation'!$D$16="% OF AFV(24M)",'Pre-Calculation'!$D$16="% OF AFV(8Q)"),AVERAGE( $M36:$M59),IF('Pre-Calculation'!$D$16="% OF AFV(12M)",AVERAGE($M48:M59),IF('Pre-Calculation'!$D$16="% OF AFV(36M)",AVERAGE($M24:M59)))))</f>
        <v>1372073.88</v>
      </c>
      <c r="O59" s="175">
        <f t="shared" si="4"/>
        <v>1372073.88</v>
      </c>
      <c r="P59" s="175">
        <f>IF('Pre-Calculation'!$D$17="Type 4 a",MAX(SA,N59,1.05*Q59),IF('Pre-Calculation'!$D$17="Type 4 c",N59,IF('Pre-Calculation'!$D$17="Type 4 d",SA+N59,IF('Pre-Calculation'!$D$17="Type 4 e",MAX(SA,N59),IF('Pre-Calculation'!$D$17="Type 4 f",SA,IF('Pre-Calculation'!$D$17="Type 4 g",1000+N59,IF('Pre-Calculation'!$D$17="Type 4 h",SA+X59,IF('Pre-Calculation'!$D$17="Type 4 i",MAX(N59,Q59),IF('Pre-Calculation'!$D$17="Type 4 k",MAX(N59,1.01*Q59),IF('Pre-Calculation'!$D$17="Type 4 m",MAX(105%*Q59,SA+N59),IF('Pre-Calculation'!$D$17="Type 4 o",MAX(SA,105%*Q59)+X59+Z59,IF('Pre-Calculation'!$D$17="Type 5",0))))))))))))</f>
        <v>1372073.88</v>
      </c>
      <c r="Q59" s="175">
        <f t="shared" si="5"/>
        <v>1000000</v>
      </c>
      <c r="R59" s="119">
        <f>L59*(1+GROWTH_RATE)*FMC</f>
        <v>1544.793287</v>
      </c>
      <c r="S59" s="178">
        <f>S58*(1+'Pre-Calculation'!$E$27)</f>
        <v>756658.4764</v>
      </c>
      <c r="T59" s="175">
        <f>-E59+IF(A58=INPUT!$C$11*12,N59,0)</f>
        <v>0</v>
      </c>
      <c r="U59" s="175">
        <f t="shared" si="6"/>
        <v>1404900.881</v>
      </c>
      <c r="V59" s="175">
        <f>U59*(1+GROWTH_RATE_H)*(1-'Pre-Calculation'!$E$31)</f>
        <v>1411585.387</v>
      </c>
      <c r="W59" s="175">
        <f>-E59+IF(A58=INPUT!$C$11*12,V59,0)</f>
        <v>0</v>
      </c>
      <c r="X59" s="179">
        <f t="array" ref="X59">NPV('Pre-Calculation'!$E$20,$E60:E$246)</f>
        <v>0</v>
      </c>
      <c r="Y59" s="171">
        <f>10%*SA</f>
        <v>100000</v>
      </c>
      <c r="Z59" s="179">
        <f t="array" ref="Z59">NPV('Pre-Calculation'!$E$20,Y60:Y69)</f>
        <v>969592.8037</v>
      </c>
    </row>
    <row r="60" ht="15.75" customHeight="1">
      <c r="A60" s="171">
        <f t="shared" si="1"/>
        <v>114</v>
      </c>
      <c r="B60" s="171">
        <f t="shared" si="2"/>
        <v>10</v>
      </c>
      <c r="C60" s="176">
        <f>EDATE(RCD,A59)</f>
        <v>45991</v>
      </c>
      <c r="D60" s="171">
        <f>Age_At_Entry+'Cashflows_8%'!B60-1</f>
        <v>44</v>
      </c>
      <c r="E60" s="175">
        <f>IF(AND(C60&lt;=Last_Prem,MOD(A59,Mode)=0,C60&gt;INPUT!$C$13,A60&lt;=Revival!$C$11),Mod_Prem,0)</f>
        <v>0</v>
      </c>
      <c r="F60" s="177">
        <f>E60*VLOOKUP(B60,'Pre-Calculation'!$H$1:$I$31,2,FALSE)</f>
        <v>0</v>
      </c>
      <c r="G60" s="177">
        <f>IF(B60&lt;PT+1,VLOOKUP(B60,'Pre-Calculation'!$H$1:$L$32,3,FALSE)+VLOOKUP(B60,'Pre-Calculation'!$H$1:$L$32,4,FALSE)*'Pre-Calculation'!$D$7,0)</f>
        <v>830</v>
      </c>
      <c r="H60" s="175">
        <f>(E60-(F60+G60)*(1+Tax)+N59)</f>
        <v>1371094.48</v>
      </c>
      <c r="I60" s="175">
        <f>IF(B60&lt;PT+1,VLOOKUP(D60,'Pre-Calculation'!$N$3:$P$79,IF(INPUT!$C$4="M",2,3),FALSE)*(J60/1000)*(1/12),0)</f>
        <v>0</v>
      </c>
      <c r="J60" s="175">
        <f t="shared" si="3"/>
        <v>0</v>
      </c>
      <c r="K60" s="175">
        <f>(IF('Pre-Calculation'!$D$17="Type 4 a",MAX(SA,H60,1.05*Q60),IF('Pre-Calculation'!$D$17="Type 4 c",H60,IF('Pre-Calculation'!$D$17="Type 4 d",SA+H60,IF('Pre-Calculation'!$D$17="Type 4 e",MAX(SA,H60),IF('Pre-Calculation'!$D$17="Type 4 f",SA,IF('Pre-Calculation'!$D$17="Type 4 g",1000+H60,IF('Pre-Calculation'!$D$17="Type 4 h",SA+X60,IF('Pre-Calculation'!$D$17="Type 4 i",MAX(H60,Q60),IF('Pre-Calculation'!$D$17="Type 4 k",MAX(H60,1.01*Q60),IF('Pre-Calculation'!$D$17="Type 4 m",MAX(105%*Q60,SA+H60),IF('Pre-Calculation'!$D$17="Type 4 o",MAX(SA,105%*Q60)+X60+Z60,IF('Pre-Calculation'!$D$17="Type 5",0)))))))))))))*IF(AND(A60&lt;Revival!$C$4,'Cashflows_8%'!C60&gt;=Revival!$D$12),PUP,1)</f>
        <v>1371094.48</v>
      </c>
      <c r="L60" s="175">
        <f>H60-I60*(1+Tax)</f>
        <v>1371094.48</v>
      </c>
      <c r="M60" s="175">
        <f>L60*(1+GROWTH_RATE_H)*(1-FMC*(1+Tax))</f>
        <v>1378085.301</v>
      </c>
      <c r="N60" s="175">
        <f>M60+IF(MOD(A60,B60)=0,VLOOKUP(B60,'Pre-Calculation'!$H$1:$L$31,5,FALSE),0)*IF('Pre-Calculation'!$D$16="% OF FV",M60,IF(OR('Pre-Calculation'!$D$16="% OF AFV(24M)",'Pre-Calculation'!$D$16="% OF AFV(8Q)"),AVERAGE( $M37:$M60),IF('Pre-Calculation'!$D$16="% OF AFV(12M)",AVERAGE($M49:M60),IF('Pre-Calculation'!$D$16="% OF AFV(36M)",AVERAGE($M25:M60)))))</f>
        <v>1378085.301</v>
      </c>
      <c r="O60" s="175">
        <f t="shared" si="4"/>
        <v>1378085.301</v>
      </c>
      <c r="P60" s="175">
        <f>IF('Pre-Calculation'!$D$17="Type 4 a",MAX(SA,N60,1.05*Q60),IF('Pre-Calculation'!$D$17="Type 4 c",N60,IF('Pre-Calculation'!$D$17="Type 4 d",SA+N60,IF('Pre-Calculation'!$D$17="Type 4 e",MAX(SA,N60),IF('Pre-Calculation'!$D$17="Type 4 f",SA,IF('Pre-Calculation'!$D$17="Type 4 g",1000+N60,IF('Pre-Calculation'!$D$17="Type 4 h",SA+X60,IF('Pre-Calculation'!$D$17="Type 4 i",MAX(N60,Q60),IF('Pre-Calculation'!$D$17="Type 4 k",MAX(N60,1.01*Q60),IF('Pre-Calculation'!$D$17="Type 4 m",MAX(105%*Q60,SA+N60),IF('Pre-Calculation'!$D$17="Type 4 o",MAX(SA,105%*Q60)+X60+Z60,IF('Pre-Calculation'!$D$17="Type 5",0))))))))))))</f>
        <v>1378085.301</v>
      </c>
      <c r="Q60" s="175">
        <f t="shared" si="5"/>
        <v>1000000</v>
      </c>
      <c r="R60" s="119">
        <f>L60*(1+GROWTH_RATE)*FMC</f>
        <v>1551.561438</v>
      </c>
      <c r="S60" s="178">
        <f>S59*(1+'Pre-Calculation'!$E$27)</f>
        <v>758830.7662</v>
      </c>
      <c r="T60" s="175">
        <f>-E60+IF(A59=INPUT!$C$11*12,N60,0)</f>
        <v>0</v>
      </c>
      <c r="U60" s="175">
        <f t="shared" si="6"/>
        <v>1411585.387</v>
      </c>
      <c r="V60" s="175">
        <f>U60*(1+GROWTH_RATE_H)*(1-'Pre-Calculation'!$E$31)</f>
        <v>1418301.698</v>
      </c>
      <c r="W60" s="175">
        <f>-E60+IF(A59=INPUT!$C$11*12,V60,0)</f>
        <v>0</v>
      </c>
      <c r="X60" s="179">
        <f t="array" ref="X60">NPV('Pre-Calculation'!$E$20,$E61:E$246)</f>
        <v>0</v>
      </c>
      <c r="Y60" s="171">
        <f>10%*SA</f>
        <v>100000</v>
      </c>
      <c r="Z60" s="179">
        <f t="array" ref="Z60">NPV('Pre-Calculation'!$E$20,Y61:Y70)</f>
        <v>969592.8037</v>
      </c>
    </row>
    <row r="61" ht="15.75" customHeight="1">
      <c r="A61" s="171">
        <f t="shared" si="1"/>
        <v>115</v>
      </c>
      <c r="B61" s="171">
        <f t="shared" si="2"/>
        <v>10</v>
      </c>
      <c r="C61" s="176">
        <f>EDATE(RCD,A60)</f>
        <v>46021</v>
      </c>
      <c r="D61" s="171">
        <f>Age_At_Entry+'Cashflows_8%'!B61-1</f>
        <v>44</v>
      </c>
      <c r="E61" s="175">
        <f>IF(AND(C61&lt;=Last_Prem,MOD(A60,Mode)=0,C61&gt;INPUT!$C$13,A61&lt;=Revival!$C$11),Mod_Prem,0)</f>
        <v>0</v>
      </c>
      <c r="F61" s="177">
        <f>E61*VLOOKUP(B61,'Pre-Calculation'!$H$1:$I$31,2,FALSE)</f>
        <v>0</v>
      </c>
      <c r="G61" s="177">
        <f>IF(B61&lt;PT+1,VLOOKUP(B61,'Pre-Calculation'!$H$1:$L$32,3,FALSE)+VLOOKUP(B61,'Pre-Calculation'!$H$1:$L$32,4,FALSE)*'Pre-Calculation'!$D$7,0)</f>
        <v>830</v>
      </c>
      <c r="H61" s="175">
        <f>(E61-(F61+G61)*(1+Tax)+N60)</f>
        <v>1377105.901</v>
      </c>
      <c r="I61" s="175">
        <f>IF(B61&lt;PT+1,VLOOKUP(D61,'Pre-Calculation'!$N$3:$P$79,IF(INPUT!$C$4="M",2,3),FALSE)*(J61/1000)*(1/12),0)</f>
        <v>0</v>
      </c>
      <c r="J61" s="175">
        <f t="shared" si="3"/>
        <v>0</v>
      </c>
      <c r="K61" s="175">
        <f>(IF('Pre-Calculation'!$D$17="Type 4 a",MAX(SA,H61,1.05*Q61),IF('Pre-Calculation'!$D$17="Type 4 c",H61,IF('Pre-Calculation'!$D$17="Type 4 d",SA+H61,IF('Pre-Calculation'!$D$17="Type 4 e",MAX(SA,H61),IF('Pre-Calculation'!$D$17="Type 4 f",SA,IF('Pre-Calculation'!$D$17="Type 4 g",1000+H61,IF('Pre-Calculation'!$D$17="Type 4 h",SA+X61,IF('Pre-Calculation'!$D$17="Type 4 i",MAX(H61,Q61),IF('Pre-Calculation'!$D$17="Type 4 k",MAX(H61,1.01*Q61),IF('Pre-Calculation'!$D$17="Type 4 m",MAX(105%*Q61,SA+H61),IF('Pre-Calculation'!$D$17="Type 4 o",MAX(SA,105%*Q61)+X61+Z61,IF('Pre-Calculation'!$D$17="Type 5",0)))))))))))))*IF(AND(A61&lt;Revival!$C$4,'Cashflows_8%'!C61&gt;=Revival!$D$12),PUP,1)</f>
        <v>1377105.901</v>
      </c>
      <c r="L61" s="175">
        <f>H61-I61*(1+Tax)</f>
        <v>1377105.901</v>
      </c>
      <c r="M61" s="175">
        <f>L61*(1+GROWTH_RATE_H)*(1-FMC*(1+Tax))</f>
        <v>1384127.372</v>
      </c>
      <c r="N61" s="175">
        <f>M61+IF(MOD(A61,B61)=0,VLOOKUP(B61,'Pre-Calculation'!$H$1:$L$31,5,FALSE),0)*IF('Pre-Calculation'!$D$16="% OF FV",M61,IF(OR('Pre-Calculation'!$D$16="% OF AFV(24M)",'Pre-Calculation'!$D$16="% OF AFV(8Q)"),AVERAGE( $M38:$M61),IF('Pre-Calculation'!$D$16="% OF AFV(12M)",AVERAGE($M50:M61),IF('Pre-Calculation'!$D$16="% OF AFV(36M)",AVERAGE($M26:M61)))))</f>
        <v>1384127.372</v>
      </c>
      <c r="O61" s="175">
        <f t="shared" si="4"/>
        <v>1384127.372</v>
      </c>
      <c r="P61" s="175">
        <f>IF('Pre-Calculation'!$D$17="Type 4 a",MAX(SA,N61,1.05*Q61),IF('Pre-Calculation'!$D$17="Type 4 c",N61,IF('Pre-Calculation'!$D$17="Type 4 d",SA+N61,IF('Pre-Calculation'!$D$17="Type 4 e",MAX(SA,N61),IF('Pre-Calculation'!$D$17="Type 4 f",SA,IF('Pre-Calculation'!$D$17="Type 4 g",1000+N61,IF('Pre-Calculation'!$D$17="Type 4 h",SA+X61,IF('Pre-Calculation'!$D$17="Type 4 i",MAX(N61,Q61),IF('Pre-Calculation'!$D$17="Type 4 k",MAX(N61,1.01*Q61),IF('Pre-Calculation'!$D$17="Type 4 m",MAX(105%*Q61,SA+N61),IF('Pre-Calculation'!$D$17="Type 4 o",MAX(SA,105%*Q61)+X61+Z61,IF('Pre-Calculation'!$D$17="Type 5",0))))))))))))</f>
        <v>1384127.372</v>
      </c>
      <c r="Q61" s="175">
        <f t="shared" si="5"/>
        <v>1000000</v>
      </c>
      <c r="R61" s="119">
        <f>L61*(1+GROWTH_RATE)*FMC</f>
        <v>1558.364097</v>
      </c>
      <c r="S61" s="178">
        <f>S60*(1+'Pre-Calculation'!$E$27)</f>
        <v>761009.2925</v>
      </c>
      <c r="T61" s="175">
        <f>-E61+IF(A60=INPUT!$C$11*12,N61,0)</f>
        <v>0</v>
      </c>
      <c r="U61" s="175">
        <f t="shared" si="6"/>
        <v>1418301.698</v>
      </c>
      <c r="V61" s="175">
        <f>U61*(1+GROWTH_RATE_H)*(1-'Pre-Calculation'!$E$31)</f>
        <v>1425049.965</v>
      </c>
      <c r="W61" s="175">
        <f>-E61+IF(A60=INPUT!$C$11*12,V61,0)</f>
        <v>0</v>
      </c>
      <c r="X61" s="179">
        <f t="array" ref="X61">NPV('Pre-Calculation'!$E$20,$E62:E$246)</f>
        <v>0</v>
      </c>
      <c r="Y61" s="171">
        <f>10%*SA</f>
        <v>100000</v>
      </c>
      <c r="Z61" s="179">
        <f t="array" ref="Z61">NPV('Pre-Calculation'!$E$20,Y62:Y71)</f>
        <v>969592.8037</v>
      </c>
    </row>
    <row r="62" ht="15.75" customHeight="1">
      <c r="A62" s="171">
        <f t="shared" si="1"/>
        <v>116</v>
      </c>
      <c r="B62" s="171">
        <f t="shared" si="2"/>
        <v>10</v>
      </c>
      <c r="C62" s="176">
        <f>EDATE(RCD,A61)</f>
        <v>46052</v>
      </c>
      <c r="D62" s="171">
        <f>Age_At_Entry+'Cashflows_8%'!B62-1</f>
        <v>44</v>
      </c>
      <c r="E62" s="175">
        <f>IF(AND(C62&lt;=Last_Prem,MOD(A61,Mode)=0,C62&gt;INPUT!$C$13,A62&lt;=Revival!$C$11),Mod_Prem,0)</f>
        <v>0</v>
      </c>
      <c r="F62" s="177">
        <f>E62*VLOOKUP(B62,'Pre-Calculation'!$H$1:$I$31,2,FALSE)</f>
        <v>0</v>
      </c>
      <c r="G62" s="177">
        <f>IF(B62&lt;PT+1,VLOOKUP(B62,'Pre-Calculation'!$H$1:$L$32,3,FALSE)+VLOOKUP(B62,'Pre-Calculation'!$H$1:$L$32,4,FALSE)*'Pre-Calculation'!$D$7,0)</f>
        <v>830</v>
      </c>
      <c r="H62" s="175">
        <f>(E62-(F62+G62)*(1+Tax)+N61)</f>
        <v>1383147.972</v>
      </c>
      <c r="I62" s="175">
        <f>IF(B62&lt;PT+1,VLOOKUP(D62,'Pre-Calculation'!$N$3:$P$79,IF(INPUT!$C$4="M",2,3),FALSE)*(J62/1000)*(1/12),0)</f>
        <v>0</v>
      </c>
      <c r="J62" s="175">
        <f t="shared" si="3"/>
        <v>0</v>
      </c>
      <c r="K62" s="175">
        <f>(IF('Pre-Calculation'!$D$17="Type 4 a",MAX(SA,H62,1.05*Q62),IF('Pre-Calculation'!$D$17="Type 4 c",H62,IF('Pre-Calculation'!$D$17="Type 4 d",SA+H62,IF('Pre-Calculation'!$D$17="Type 4 e",MAX(SA,H62),IF('Pre-Calculation'!$D$17="Type 4 f",SA,IF('Pre-Calculation'!$D$17="Type 4 g",1000+H62,IF('Pre-Calculation'!$D$17="Type 4 h",SA+X62,IF('Pre-Calculation'!$D$17="Type 4 i",MAX(H62,Q62),IF('Pre-Calculation'!$D$17="Type 4 k",MAX(H62,1.01*Q62),IF('Pre-Calculation'!$D$17="Type 4 m",MAX(105%*Q62,SA+H62),IF('Pre-Calculation'!$D$17="Type 4 o",MAX(SA,105%*Q62)+X62+Z62,IF('Pre-Calculation'!$D$17="Type 5",0)))))))))))))*IF(AND(A62&lt;Revival!$C$4,'Cashflows_8%'!C62&gt;=Revival!$D$12),PUP,1)</f>
        <v>1383147.972</v>
      </c>
      <c r="L62" s="175">
        <f>H62-I62*(1+Tax)</f>
        <v>1383147.972</v>
      </c>
      <c r="M62" s="175">
        <f>L62*(1+GROWTH_RATE_H)*(1-FMC*(1+Tax))</f>
        <v>1390200.25</v>
      </c>
      <c r="N62" s="175">
        <f>M62+IF(MOD(A62,B62)=0,VLOOKUP(B62,'Pre-Calculation'!$H$1:$L$31,5,FALSE),0)*IF('Pre-Calculation'!$D$16="% OF FV",M62,IF(OR('Pre-Calculation'!$D$16="% OF AFV(24M)",'Pre-Calculation'!$D$16="% OF AFV(8Q)"),AVERAGE( $M39:$M62),IF('Pre-Calculation'!$D$16="% OF AFV(12M)",AVERAGE($M51:M62),IF('Pre-Calculation'!$D$16="% OF AFV(36M)",AVERAGE($M27:M62)))))</f>
        <v>1390200.25</v>
      </c>
      <c r="O62" s="175">
        <f t="shared" si="4"/>
        <v>1390200.25</v>
      </c>
      <c r="P62" s="175">
        <f>IF('Pre-Calculation'!$D$17="Type 4 a",MAX(SA,N62,1.05*Q62),IF('Pre-Calculation'!$D$17="Type 4 c",N62,IF('Pre-Calculation'!$D$17="Type 4 d",SA+N62,IF('Pre-Calculation'!$D$17="Type 4 e",MAX(SA,N62),IF('Pre-Calculation'!$D$17="Type 4 f",SA,IF('Pre-Calculation'!$D$17="Type 4 g",1000+N62,IF('Pre-Calculation'!$D$17="Type 4 h",SA+X62,IF('Pre-Calculation'!$D$17="Type 4 i",MAX(N62,Q62),IF('Pre-Calculation'!$D$17="Type 4 k",MAX(N62,1.01*Q62),IF('Pre-Calculation'!$D$17="Type 4 m",MAX(105%*Q62,SA+N62),IF('Pre-Calculation'!$D$17="Type 4 o",MAX(SA,105%*Q62)+X62+Z62,IF('Pre-Calculation'!$D$17="Type 5",0))))))))))))</f>
        <v>1390200.25</v>
      </c>
      <c r="Q62" s="175">
        <f t="shared" si="5"/>
        <v>1000000</v>
      </c>
      <c r="R62" s="119">
        <f>L62*(1+GROWTH_RATE)*FMC</f>
        <v>1565.201441</v>
      </c>
      <c r="S62" s="178">
        <f>S61*(1+'Pre-Calculation'!$E$27)</f>
        <v>763194.0731</v>
      </c>
      <c r="T62" s="175">
        <f>-E62+IF(A61=INPUT!$C$11*12,N62,0)</f>
        <v>0</v>
      </c>
      <c r="U62" s="175">
        <f t="shared" si="6"/>
        <v>1425049.965</v>
      </c>
      <c r="V62" s="175">
        <f>U62*(1+GROWTH_RATE_H)*(1-'Pre-Calculation'!$E$31)</f>
        <v>1431830.34</v>
      </c>
      <c r="W62" s="175">
        <f>-E62+IF(A61=INPUT!$C$11*12,V62,0)</f>
        <v>0</v>
      </c>
      <c r="X62" s="179">
        <f t="array" ref="X62">NPV('Pre-Calculation'!$E$20,$E63:E$246)</f>
        <v>0</v>
      </c>
      <c r="Y62" s="171">
        <f>10%*SA</f>
        <v>100000</v>
      </c>
      <c r="Z62" s="179">
        <f t="array" ref="Z62">NPV('Pre-Calculation'!$E$20,Y63:Y72)</f>
        <v>969592.8037</v>
      </c>
    </row>
    <row r="63" ht="15.75" customHeight="1">
      <c r="A63" s="171">
        <f t="shared" si="1"/>
        <v>117</v>
      </c>
      <c r="B63" s="171">
        <f t="shared" si="2"/>
        <v>10</v>
      </c>
      <c r="C63" s="176">
        <f>EDATE(RCD,A62)</f>
        <v>46081</v>
      </c>
      <c r="D63" s="171">
        <f>Age_At_Entry+'Cashflows_8%'!B63-1</f>
        <v>44</v>
      </c>
      <c r="E63" s="175">
        <f>IF(AND(C63&lt;=Last_Prem,MOD(A62,Mode)=0,C63&gt;INPUT!$C$13,A63&lt;=Revival!$C$11),Mod_Prem,0)</f>
        <v>0</v>
      </c>
      <c r="F63" s="177">
        <f>E63*VLOOKUP(B63,'Pre-Calculation'!$H$1:$I$31,2,FALSE)</f>
        <v>0</v>
      </c>
      <c r="G63" s="177">
        <f>IF(B63&lt;PT+1,VLOOKUP(B63,'Pre-Calculation'!$H$1:$L$32,3,FALSE)+VLOOKUP(B63,'Pre-Calculation'!$H$1:$L$32,4,FALSE)*'Pre-Calculation'!$D$7,0)</f>
        <v>830</v>
      </c>
      <c r="H63" s="175">
        <f>(E63-(F63+G63)*(1+Tax)+N62)</f>
        <v>1389220.85</v>
      </c>
      <c r="I63" s="175">
        <f>IF(B63&lt;PT+1,VLOOKUP(D63,'Pre-Calculation'!$N$3:$P$79,IF(INPUT!$C$4="M",2,3),FALSE)*(J63/1000)*(1/12),0)</f>
        <v>0</v>
      </c>
      <c r="J63" s="175">
        <f t="shared" si="3"/>
        <v>0</v>
      </c>
      <c r="K63" s="175">
        <f>(IF('Pre-Calculation'!$D$17="Type 4 a",MAX(SA,H63,1.05*Q63),IF('Pre-Calculation'!$D$17="Type 4 c",H63,IF('Pre-Calculation'!$D$17="Type 4 d",SA+H63,IF('Pre-Calculation'!$D$17="Type 4 e",MAX(SA,H63),IF('Pre-Calculation'!$D$17="Type 4 f",SA,IF('Pre-Calculation'!$D$17="Type 4 g",1000+H63,IF('Pre-Calculation'!$D$17="Type 4 h",SA+X63,IF('Pre-Calculation'!$D$17="Type 4 i",MAX(H63,Q63),IF('Pre-Calculation'!$D$17="Type 4 k",MAX(H63,1.01*Q63),IF('Pre-Calculation'!$D$17="Type 4 m",MAX(105%*Q63,SA+H63),IF('Pre-Calculation'!$D$17="Type 4 o",MAX(SA,105%*Q63)+X63+Z63,IF('Pre-Calculation'!$D$17="Type 5",0)))))))))))))*IF(AND(A63&lt;Revival!$C$4,'Cashflows_8%'!C63&gt;=Revival!$D$12),PUP,1)</f>
        <v>1389220.85</v>
      </c>
      <c r="L63" s="175">
        <f>H63-I63*(1+Tax)</f>
        <v>1389220.85</v>
      </c>
      <c r="M63" s="175">
        <f>L63*(1+GROWTH_RATE_H)*(1-FMC*(1+Tax))</f>
        <v>1396304.092</v>
      </c>
      <c r="N63" s="175">
        <f>M63+IF(MOD(A63,B63)=0,VLOOKUP(B63,'Pre-Calculation'!$H$1:$L$31,5,FALSE),0)*IF('Pre-Calculation'!$D$16="% OF FV",M63,IF(OR('Pre-Calculation'!$D$16="% OF AFV(24M)",'Pre-Calculation'!$D$16="% OF AFV(8Q)"),AVERAGE( $M40:$M63),IF('Pre-Calculation'!$D$16="% OF AFV(12M)",AVERAGE($M52:M63),IF('Pre-Calculation'!$D$16="% OF AFV(36M)",AVERAGE($M28:M63)))))</f>
        <v>1396304.092</v>
      </c>
      <c r="O63" s="175">
        <f t="shared" si="4"/>
        <v>1396304.092</v>
      </c>
      <c r="P63" s="175">
        <f>IF('Pre-Calculation'!$D$17="Type 4 a",MAX(SA,N63,1.05*Q63),IF('Pre-Calculation'!$D$17="Type 4 c",N63,IF('Pre-Calculation'!$D$17="Type 4 d",SA+N63,IF('Pre-Calculation'!$D$17="Type 4 e",MAX(SA,N63),IF('Pre-Calculation'!$D$17="Type 4 f",SA,IF('Pre-Calculation'!$D$17="Type 4 g",1000+N63,IF('Pre-Calculation'!$D$17="Type 4 h",SA+X63,IF('Pre-Calculation'!$D$17="Type 4 i",MAX(N63,Q63),IF('Pre-Calculation'!$D$17="Type 4 k",MAX(N63,1.01*Q63),IF('Pre-Calculation'!$D$17="Type 4 m",MAX(105%*Q63,SA+N63),IF('Pre-Calculation'!$D$17="Type 4 o",MAX(SA,105%*Q63)+X63+Z63,IF('Pre-Calculation'!$D$17="Type 5",0))))))))))))</f>
        <v>1396304.092</v>
      </c>
      <c r="Q63" s="175">
        <f t="shared" si="5"/>
        <v>1000000</v>
      </c>
      <c r="R63" s="119">
        <f>L63*(1+GROWTH_RATE)*FMC</f>
        <v>1572.073647</v>
      </c>
      <c r="S63" s="178">
        <f>S62*(1+'Pre-Calculation'!$E$27)</f>
        <v>765385.126</v>
      </c>
      <c r="T63" s="175">
        <f>-E63+IF(A62=INPUT!$C$11*12,N63,0)</f>
        <v>0</v>
      </c>
      <c r="U63" s="175">
        <f t="shared" si="6"/>
        <v>1431830.34</v>
      </c>
      <c r="V63" s="175">
        <f>U63*(1+GROWTH_RATE_H)*(1-'Pre-Calculation'!$E$31)</f>
        <v>1438642.976</v>
      </c>
      <c r="W63" s="175">
        <f>-E63+IF(A62=INPUT!$C$11*12,V63,0)</f>
        <v>0</v>
      </c>
      <c r="X63" s="179">
        <f t="array" ref="X63">NPV('Pre-Calculation'!$E$20,$E64:E$246)</f>
        <v>0</v>
      </c>
      <c r="Y63" s="171">
        <f>10%*SA</f>
        <v>100000</v>
      </c>
      <c r="Z63" s="179">
        <f t="array" ref="Z63">NPV('Pre-Calculation'!$E$20,Y64:Y73)</f>
        <v>969592.8037</v>
      </c>
    </row>
    <row r="64" ht="15.75" customHeight="1">
      <c r="A64" s="171">
        <f t="shared" si="1"/>
        <v>118</v>
      </c>
      <c r="B64" s="171">
        <f t="shared" si="2"/>
        <v>10</v>
      </c>
      <c r="C64" s="176">
        <f>EDATE(RCD,A63)</f>
        <v>46111</v>
      </c>
      <c r="D64" s="171">
        <f>Age_At_Entry+'Cashflows_8%'!B64-1</f>
        <v>44</v>
      </c>
      <c r="E64" s="175">
        <f>IF(AND(C64&lt;=Last_Prem,MOD(A63,Mode)=0,C64&gt;INPUT!$C$13,A64&lt;=Revival!$C$11),Mod_Prem,0)</f>
        <v>0</v>
      </c>
      <c r="F64" s="177">
        <f>E64*VLOOKUP(B64,'Pre-Calculation'!$H$1:$I$31,2,FALSE)</f>
        <v>0</v>
      </c>
      <c r="G64" s="177">
        <f>IF(B64&lt;PT+1,VLOOKUP(B64,'Pre-Calculation'!$H$1:$L$32,3,FALSE)+VLOOKUP(B64,'Pre-Calculation'!$H$1:$L$32,4,FALSE)*'Pre-Calculation'!$D$7,0)</f>
        <v>830</v>
      </c>
      <c r="H64" s="175">
        <f>(E64-(F64+G64)*(1+Tax)+N63)</f>
        <v>1395324.692</v>
      </c>
      <c r="I64" s="175">
        <f>IF(B64&lt;PT+1,VLOOKUP(D64,'Pre-Calculation'!$N$3:$P$79,IF(INPUT!$C$4="M",2,3),FALSE)*(J64/1000)*(1/12),0)</f>
        <v>0</v>
      </c>
      <c r="J64" s="175">
        <f t="shared" si="3"/>
        <v>0</v>
      </c>
      <c r="K64" s="175">
        <f>(IF('Pre-Calculation'!$D$17="Type 4 a",MAX(SA,H64,1.05*Q64),IF('Pre-Calculation'!$D$17="Type 4 c",H64,IF('Pre-Calculation'!$D$17="Type 4 d",SA+H64,IF('Pre-Calculation'!$D$17="Type 4 e",MAX(SA,H64),IF('Pre-Calculation'!$D$17="Type 4 f",SA,IF('Pre-Calculation'!$D$17="Type 4 g",1000+H64,IF('Pre-Calculation'!$D$17="Type 4 h",SA+X64,IF('Pre-Calculation'!$D$17="Type 4 i",MAX(H64,Q64),IF('Pre-Calculation'!$D$17="Type 4 k",MAX(H64,1.01*Q64),IF('Pre-Calculation'!$D$17="Type 4 m",MAX(105%*Q64,SA+H64),IF('Pre-Calculation'!$D$17="Type 4 o",MAX(SA,105%*Q64)+X64+Z64,IF('Pre-Calculation'!$D$17="Type 5",0)))))))))))))*IF(AND(A64&lt;Revival!$C$4,'Cashflows_8%'!C64&gt;=Revival!$D$12),PUP,1)</f>
        <v>1395324.692</v>
      </c>
      <c r="L64" s="175">
        <f>H64-I64*(1+Tax)</f>
        <v>1395324.692</v>
      </c>
      <c r="M64" s="175">
        <f>L64*(1+GROWTH_RATE_H)*(1-FMC*(1+Tax))</f>
        <v>1402439.055</v>
      </c>
      <c r="N64" s="175">
        <f>M64+IF(MOD(A64,B64)=0,VLOOKUP(B64,'Pre-Calculation'!$H$1:$L$31,5,FALSE),0)*IF('Pre-Calculation'!$D$16="% OF FV",M64,IF(OR('Pre-Calculation'!$D$16="% OF AFV(24M)",'Pre-Calculation'!$D$16="% OF AFV(8Q)"),AVERAGE( $M41:$M64),IF('Pre-Calculation'!$D$16="% OF AFV(12M)",AVERAGE($M53:M64),IF('Pre-Calculation'!$D$16="% OF AFV(36M)",AVERAGE($M29:M64)))))</f>
        <v>1402439.055</v>
      </c>
      <c r="O64" s="175">
        <f t="shared" si="4"/>
        <v>1402439.055</v>
      </c>
      <c r="P64" s="175">
        <f>IF('Pre-Calculation'!$D$17="Type 4 a",MAX(SA,N64,1.05*Q64),IF('Pre-Calculation'!$D$17="Type 4 c",N64,IF('Pre-Calculation'!$D$17="Type 4 d",SA+N64,IF('Pre-Calculation'!$D$17="Type 4 e",MAX(SA,N64),IF('Pre-Calculation'!$D$17="Type 4 f",SA,IF('Pre-Calculation'!$D$17="Type 4 g",1000+N64,IF('Pre-Calculation'!$D$17="Type 4 h",SA+X64,IF('Pre-Calculation'!$D$17="Type 4 i",MAX(N64,Q64),IF('Pre-Calculation'!$D$17="Type 4 k",MAX(N64,1.01*Q64),IF('Pre-Calculation'!$D$17="Type 4 m",MAX(105%*Q64,SA+N64),IF('Pre-Calculation'!$D$17="Type 4 o",MAX(SA,105%*Q64)+X64+Z64,IF('Pre-Calculation'!$D$17="Type 5",0))))))))))))</f>
        <v>1402439.055</v>
      </c>
      <c r="Q64" s="175">
        <f t="shared" si="5"/>
        <v>1000000</v>
      </c>
      <c r="R64" s="119">
        <f>L64*(1+GROWTH_RATE)*FMC</f>
        <v>1578.980892</v>
      </c>
      <c r="S64" s="178">
        <f>S63*(1+'Pre-Calculation'!$E$27)</f>
        <v>767582.4692</v>
      </c>
      <c r="T64" s="175">
        <f>-E64+IF(A63=INPUT!$C$11*12,N64,0)</f>
        <v>0</v>
      </c>
      <c r="U64" s="175">
        <f t="shared" si="6"/>
        <v>1438642.976</v>
      </c>
      <c r="V64" s="175">
        <f>U64*(1+GROWTH_RATE_H)*(1-'Pre-Calculation'!$E$31)</f>
        <v>1445488.027</v>
      </c>
      <c r="W64" s="175">
        <f>-E64+IF(A63=INPUT!$C$11*12,V64,0)</f>
        <v>0</v>
      </c>
      <c r="X64" s="179">
        <f t="array" ref="X64">NPV('Pre-Calculation'!$E$20,$E65:E$246)</f>
        <v>0</v>
      </c>
      <c r="Y64" s="171">
        <f>10%*SA</f>
        <v>100000</v>
      </c>
      <c r="Z64" s="179">
        <f t="array" ref="Z64">NPV('Pre-Calculation'!$E$20,Y65:Y74)</f>
        <v>969592.8037</v>
      </c>
    </row>
    <row r="65" ht="15.75" customHeight="1">
      <c r="A65" s="171">
        <f t="shared" si="1"/>
        <v>119</v>
      </c>
      <c r="B65" s="171">
        <f t="shared" si="2"/>
        <v>10</v>
      </c>
      <c r="C65" s="176">
        <f>EDATE(RCD,A64)</f>
        <v>46142</v>
      </c>
      <c r="D65" s="171">
        <f>Age_At_Entry+'Cashflows_8%'!B65-1</f>
        <v>44</v>
      </c>
      <c r="E65" s="175">
        <f>IF(AND(C65&lt;=Last_Prem,MOD(A64,Mode)=0,C65&gt;INPUT!$C$13,A65&lt;=Revival!$C$11),Mod_Prem,0)</f>
        <v>0</v>
      </c>
      <c r="F65" s="177">
        <f>E65*VLOOKUP(B65,'Pre-Calculation'!$H$1:$I$31,2,FALSE)</f>
        <v>0</v>
      </c>
      <c r="G65" s="177">
        <f>IF(B65&lt;PT+1,VLOOKUP(B65,'Pre-Calculation'!$H$1:$L$32,3,FALSE)+VLOOKUP(B65,'Pre-Calculation'!$H$1:$L$32,4,FALSE)*'Pre-Calculation'!$D$7,0)</f>
        <v>830</v>
      </c>
      <c r="H65" s="175">
        <f>(E65-(F65+G65)*(1+Tax)+N64)</f>
        <v>1401459.655</v>
      </c>
      <c r="I65" s="175">
        <f>IF(B65&lt;PT+1,VLOOKUP(D65,'Pre-Calculation'!$N$3:$P$79,IF(INPUT!$C$4="M",2,3),FALSE)*(J65/1000)*(1/12),0)</f>
        <v>0</v>
      </c>
      <c r="J65" s="175">
        <f t="shared" si="3"/>
        <v>0</v>
      </c>
      <c r="K65" s="175">
        <f>(IF('Pre-Calculation'!$D$17="Type 4 a",MAX(SA,H65,1.05*Q65),IF('Pre-Calculation'!$D$17="Type 4 c",H65,IF('Pre-Calculation'!$D$17="Type 4 d",SA+H65,IF('Pre-Calculation'!$D$17="Type 4 e",MAX(SA,H65),IF('Pre-Calculation'!$D$17="Type 4 f",SA,IF('Pre-Calculation'!$D$17="Type 4 g",1000+H65,IF('Pre-Calculation'!$D$17="Type 4 h",SA+X65,IF('Pre-Calculation'!$D$17="Type 4 i",MAX(H65,Q65),IF('Pre-Calculation'!$D$17="Type 4 k",MAX(H65,1.01*Q65),IF('Pre-Calculation'!$D$17="Type 4 m",MAX(105%*Q65,SA+H65),IF('Pre-Calculation'!$D$17="Type 4 o",MAX(SA,105%*Q65)+X65+Z65,IF('Pre-Calculation'!$D$17="Type 5",0)))))))))))))*IF(AND(A65&lt;Revival!$C$4,'Cashflows_8%'!C65&gt;=Revival!$D$12),PUP,1)</f>
        <v>1401459.655</v>
      </c>
      <c r="L65" s="175">
        <f>H65-I65*(1+Tax)</f>
        <v>1401459.655</v>
      </c>
      <c r="M65" s="175">
        <f>L65*(1+GROWTH_RATE_H)*(1-FMC*(1+Tax))</f>
        <v>1408605.299</v>
      </c>
      <c r="N65" s="175">
        <f>M65+IF(MOD(A65,B65)=0,VLOOKUP(B65,'Pre-Calculation'!$H$1:$L$31,5,FALSE),0)*IF('Pre-Calculation'!$D$16="% OF FV",M65,IF(OR('Pre-Calculation'!$D$16="% OF AFV(24M)",'Pre-Calculation'!$D$16="% OF AFV(8Q)"),AVERAGE( $M42:$M65),IF('Pre-Calculation'!$D$16="% OF AFV(12M)",AVERAGE($M54:M65),IF('Pre-Calculation'!$D$16="% OF AFV(36M)",AVERAGE($M30:M65)))))</f>
        <v>1408605.299</v>
      </c>
      <c r="O65" s="175">
        <f t="shared" si="4"/>
        <v>1408605.299</v>
      </c>
      <c r="P65" s="175">
        <f>IF('Pre-Calculation'!$D$17="Type 4 a",MAX(SA,N65,1.05*Q65),IF('Pre-Calculation'!$D$17="Type 4 c",N65,IF('Pre-Calculation'!$D$17="Type 4 d",SA+N65,IF('Pre-Calculation'!$D$17="Type 4 e",MAX(SA,N65),IF('Pre-Calculation'!$D$17="Type 4 f",SA,IF('Pre-Calculation'!$D$17="Type 4 g",1000+N65,IF('Pre-Calculation'!$D$17="Type 4 h",SA+X65,IF('Pre-Calculation'!$D$17="Type 4 i",MAX(N65,Q65),IF('Pre-Calculation'!$D$17="Type 4 k",MAX(N65,1.01*Q65),IF('Pre-Calculation'!$D$17="Type 4 m",MAX(105%*Q65,SA+N65),IF('Pre-Calculation'!$D$17="Type 4 o",MAX(SA,105%*Q65)+X65+Z65,IF('Pre-Calculation'!$D$17="Type 5",0))))))))))))</f>
        <v>1408605.299</v>
      </c>
      <c r="Q65" s="175">
        <f t="shared" si="5"/>
        <v>1000000</v>
      </c>
      <c r="R65" s="119">
        <f>L65*(1+GROWTH_RATE)*FMC</f>
        <v>1585.923355</v>
      </c>
      <c r="S65" s="178">
        <f>S64*(1+'Pre-Calculation'!$E$27)</f>
        <v>769786.1207</v>
      </c>
      <c r="T65" s="175">
        <f>-E65+IF(A64=INPUT!$C$11*12,N65,0)</f>
        <v>0</v>
      </c>
      <c r="U65" s="175">
        <f t="shared" si="6"/>
        <v>1445488.027</v>
      </c>
      <c r="V65" s="175">
        <f>U65*(1+GROWTH_RATE_H)*(1-'Pre-Calculation'!$E$31)</f>
        <v>1452365.646</v>
      </c>
      <c r="W65" s="175">
        <f>-E65+IF(A64=INPUT!$C$11*12,V65,0)</f>
        <v>0</v>
      </c>
      <c r="X65" s="179">
        <f t="array" ref="X65">NPV('Pre-Calculation'!$E$20,$E66:E$246)</f>
        <v>0</v>
      </c>
      <c r="Y65" s="171">
        <f>10%*SA</f>
        <v>100000</v>
      </c>
      <c r="Z65" s="179">
        <f t="array" ref="Z65">NPV('Pre-Calculation'!$E$20,Y66:Y75)</f>
        <v>969592.8037</v>
      </c>
    </row>
    <row r="66" ht="15.75" customHeight="1">
      <c r="A66" s="171">
        <f t="shared" si="1"/>
        <v>120</v>
      </c>
      <c r="B66" s="171">
        <f t="shared" si="2"/>
        <v>10</v>
      </c>
      <c r="C66" s="176">
        <f>EDATE(RCD,A65)</f>
        <v>46172</v>
      </c>
      <c r="D66" s="171">
        <f>Age_At_Entry+'Cashflows_8%'!B66-1</f>
        <v>44</v>
      </c>
      <c r="E66" s="175">
        <f>IF(AND(C66&lt;=Last_Prem,MOD(A65,Mode)=0,C66&gt;INPUT!$C$13,A66&lt;=Revival!$C$11),Mod_Prem,0)</f>
        <v>0</v>
      </c>
      <c r="F66" s="177">
        <f>E66*VLOOKUP(B66,'Pre-Calculation'!$H$1:$I$31,2,FALSE)</f>
        <v>0</v>
      </c>
      <c r="G66" s="177">
        <f>IF(B66&lt;PT+1,VLOOKUP(B66,'Pre-Calculation'!$H$1:$L$32,3,FALSE)+VLOOKUP(B66,'Pre-Calculation'!$H$1:$L$32,4,FALSE)*'Pre-Calculation'!$D$7,0)</f>
        <v>830</v>
      </c>
      <c r="H66" s="175">
        <f>(E66-(F66+G66)*(1+Tax)+N65)</f>
        <v>1407625.899</v>
      </c>
      <c r="I66" s="175">
        <f>IF(B66&lt;PT+1,VLOOKUP(D66,'Pre-Calculation'!$N$3:$P$79,IF(INPUT!$C$4="M",2,3),FALSE)*(J66/1000)*(1/12),0)</f>
        <v>0</v>
      </c>
      <c r="J66" s="175">
        <f t="shared" si="3"/>
        <v>0</v>
      </c>
      <c r="K66" s="175">
        <f>(IF('Pre-Calculation'!$D$17="Type 4 a",MAX(SA,H66,1.05*Q66),IF('Pre-Calculation'!$D$17="Type 4 c",H66,IF('Pre-Calculation'!$D$17="Type 4 d",SA+H66,IF('Pre-Calculation'!$D$17="Type 4 e",MAX(SA,H66),IF('Pre-Calculation'!$D$17="Type 4 f",SA,IF('Pre-Calculation'!$D$17="Type 4 g",1000+H66,IF('Pre-Calculation'!$D$17="Type 4 h",SA+X66,IF('Pre-Calculation'!$D$17="Type 4 i",MAX(H66,Q66),IF('Pre-Calculation'!$D$17="Type 4 k",MAX(H66,1.01*Q66),IF('Pre-Calculation'!$D$17="Type 4 m",MAX(105%*Q66,SA+H66),IF('Pre-Calculation'!$D$17="Type 4 o",MAX(SA,105%*Q66)+X66+Z66,IF('Pre-Calculation'!$D$17="Type 5",0)))))))))))))*IF(AND(A66&lt;Revival!$C$4,'Cashflows_8%'!C66&gt;=Revival!$D$12),PUP,1)</f>
        <v>1407625.899</v>
      </c>
      <c r="L66" s="175">
        <f>H66-I66*(1+Tax)</f>
        <v>1407625.899</v>
      </c>
      <c r="M66" s="175">
        <f>L66*(1+GROWTH_RATE_H)*(1-FMC*(1+Tax))</f>
        <v>1414802.983</v>
      </c>
      <c r="N66" s="175">
        <f>M66+IF(MOD(A66,B66)=0,VLOOKUP(B66,'Pre-Calculation'!$H$1:$L$31,5,FALSE),0)*IF('Pre-Calculation'!$D$16="% OF FV",M66,IF(OR('Pre-Calculation'!$D$16="% OF AFV(24M)",'Pre-Calculation'!$D$16="% OF AFV(8Q)"),AVERAGE( $M43:$M66),IF('Pre-Calculation'!$D$16="% OF AFV(12M)",AVERAGE($M55:M66),IF('Pre-Calculation'!$D$16="% OF AFV(36M)",AVERAGE($M31:M66)))))</f>
        <v>1414802.983</v>
      </c>
      <c r="O66" s="175">
        <f t="shared" si="4"/>
        <v>1414802.983</v>
      </c>
      <c r="P66" s="175">
        <f>IF('Pre-Calculation'!$D$17="Type 4 a",MAX(SA,N66,1.05*Q66),IF('Pre-Calculation'!$D$17="Type 4 c",N66,IF('Pre-Calculation'!$D$17="Type 4 d",SA+N66,IF('Pre-Calculation'!$D$17="Type 4 e",MAX(SA,N66),IF('Pre-Calculation'!$D$17="Type 4 f",SA,IF('Pre-Calculation'!$D$17="Type 4 g",1000+N66,IF('Pre-Calculation'!$D$17="Type 4 h",SA+X66,IF('Pre-Calculation'!$D$17="Type 4 i",MAX(N66,Q66),IF('Pre-Calculation'!$D$17="Type 4 k",MAX(N66,1.01*Q66),IF('Pre-Calculation'!$D$17="Type 4 m",MAX(105%*Q66,SA+N66),IF('Pre-Calculation'!$D$17="Type 4 o",MAX(SA,105%*Q66)+X66+Z66,IF('Pre-Calculation'!$D$17="Type 5",0))))))))))))</f>
        <v>1414802.983</v>
      </c>
      <c r="Q66" s="175">
        <f t="shared" si="5"/>
        <v>1000000</v>
      </c>
      <c r="R66" s="119">
        <f>L66*(1+GROWTH_RATE)*FMC</f>
        <v>1592.901216</v>
      </c>
      <c r="S66" s="178">
        <f>S65*(1+'Pre-Calculation'!$E$27)</f>
        <v>771996.0987</v>
      </c>
      <c r="T66" s="175">
        <f>-E66+IF(A65=INPUT!$C$11*12,N66,0)</f>
        <v>0</v>
      </c>
      <c r="U66" s="175">
        <f t="shared" si="6"/>
        <v>1452365.646</v>
      </c>
      <c r="V66" s="175">
        <f>U66*(1+GROWTH_RATE_H)*(1-'Pre-Calculation'!$E$31)</f>
        <v>1459275.989</v>
      </c>
      <c r="W66" s="175">
        <f>-E66+IF(A65=INPUT!$C$11*12,V66,0)</f>
        <v>0</v>
      </c>
      <c r="X66" s="179">
        <f t="array" ref="X66">NPV('Pre-Calculation'!$E$20,$E67:E$246)</f>
        <v>0</v>
      </c>
      <c r="Y66" s="171">
        <f>10%*SA</f>
        <v>100000</v>
      </c>
      <c r="Z66" s="179">
        <f t="array" ref="Z66">NPV('Pre-Calculation'!$E$20,Y67:Y76)</f>
        <v>969592.8037</v>
      </c>
    </row>
    <row r="67" ht="15.75" customHeight="1">
      <c r="A67" s="171">
        <f t="shared" si="1"/>
        <v>121</v>
      </c>
      <c r="B67" s="171">
        <f t="shared" si="2"/>
        <v>11</v>
      </c>
      <c r="C67" s="176">
        <f>EDATE(RCD,A66)</f>
        <v>46203</v>
      </c>
      <c r="D67" s="171">
        <f>Age_At_Entry+'Cashflows_8%'!B67-1</f>
        <v>45</v>
      </c>
      <c r="E67" s="175">
        <f>IF(AND(C67&lt;=Last_Prem,MOD(A66,Mode)=0,C67&gt;INPUT!$C$13,A67&lt;=Revival!$C$11),Mod_Prem,0)</f>
        <v>0</v>
      </c>
      <c r="F67" s="177">
        <f>E67*VLOOKUP(B67,'Pre-Calculation'!$H$1:$I$31,2,FALSE)</f>
        <v>0</v>
      </c>
      <c r="G67" s="177">
        <f>IF(B67&lt;PT+1,VLOOKUP(B67,'Pre-Calculation'!$H$1:$L$32,3,FALSE)+VLOOKUP(B67,'Pre-Calculation'!$H$1:$L$32,4,FALSE)*'Pre-Calculation'!$D$7,0)</f>
        <v>0</v>
      </c>
      <c r="H67" s="175">
        <f>(E67-(F67+G67)*(1+Tax)+N66)</f>
        <v>1414802.983</v>
      </c>
      <c r="I67" s="175">
        <f>IF(B67&lt;PT+1,VLOOKUP(D67,'Pre-Calculation'!$N$3:$P$79,IF(INPUT!$C$4="M",2,3),FALSE)*(J67/1000)*(1/12),0)</f>
        <v>0</v>
      </c>
      <c r="J67" s="175">
        <f t="shared" si="3"/>
        <v>0</v>
      </c>
      <c r="K67" s="175">
        <f>(IF('Pre-Calculation'!$D$17="Type 4 a",MAX(SA,H67,1.05*Q67),IF('Pre-Calculation'!$D$17="Type 4 c",H67,IF('Pre-Calculation'!$D$17="Type 4 d",SA+H67,IF('Pre-Calculation'!$D$17="Type 4 e",MAX(SA,H67),IF('Pre-Calculation'!$D$17="Type 4 f",SA,IF('Pre-Calculation'!$D$17="Type 4 g",1000+H67,IF('Pre-Calculation'!$D$17="Type 4 h",SA+X67,IF('Pre-Calculation'!$D$17="Type 4 i",MAX(H67,Q67),IF('Pre-Calculation'!$D$17="Type 4 k",MAX(H67,1.01*Q67),IF('Pre-Calculation'!$D$17="Type 4 m",MAX(105%*Q67,SA+H67),IF('Pre-Calculation'!$D$17="Type 4 o",MAX(SA,105%*Q67)+X67+Z67,IF('Pre-Calculation'!$D$17="Type 5",0)))))))))))))*IF(AND(A67&lt;Revival!$C$4,'Cashflows_8%'!C67&gt;=Revival!$D$12),PUP,1)</f>
        <v>1414802.983</v>
      </c>
      <c r="L67" s="175">
        <f>H67-I67*(1+Tax)</f>
        <v>1414802.983</v>
      </c>
      <c r="M67" s="175">
        <f>L67*(1+GROWTH_RATE_H)*(1-FMC*(1+Tax))</f>
        <v>1422016.661</v>
      </c>
      <c r="N67" s="175">
        <f>M67+IF(MOD(A67,B67)=0,VLOOKUP(B67,'Pre-Calculation'!$H$1:$L$31,5,FALSE),0)*IF('Pre-Calculation'!$D$16="% OF FV",M67,IF(OR('Pre-Calculation'!$D$16="% OF AFV(24M)",'Pre-Calculation'!$D$16="% OF AFV(8Q)"),AVERAGE( $M44:$M67),IF('Pre-Calculation'!$D$16="% OF AFV(12M)",AVERAGE($M56:M67),IF('Pre-Calculation'!$D$16="% OF AFV(36M)",AVERAGE($M32:M67)))))</f>
        <v>1422016.661</v>
      </c>
      <c r="O67" s="175">
        <f t="shared" si="4"/>
        <v>1422016.661</v>
      </c>
      <c r="P67" s="175">
        <f>IF('Pre-Calculation'!$D$17="Type 4 a",MAX(SA,N67,1.05*Q67),IF('Pre-Calculation'!$D$17="Type 4 c",N67,IF('Pre-Calculation'!$D$17="Type 4 d",SA+N67,IF('Pre-Calculation'!$D$17="Type 4 e",MAX(SA,N67),IF('Pre-Calculation'!$D$17="Type 4 f",SA,IF('Pre-Calculation'!$D$17="Type 4 g",1000+N67,IF('Pre-Calculation'!$D$17="Type 4 h",SA+X67,IF('Pre-Calculation'!$D$17="Type 4 i",MAX(N67,Q67),IF('Pre-Calculation'!$D$17="Type 4 k",MAX(N67,1.01*Q67),IF('Pre-Calculation'!$D$17="Type 4 m",MAX(105%*Q67,SA+N67),IF('Pre-Calculation'!$D$17="Type 4 o",MAX(SA,105%*Q67)+X67+Z67,IF('Pre-Calculation'!$D$17="Type 5",0))))))))))))</f>
        <v>1422016.661</v>
      </c>
      <c r="Q67" s="175">
        <f t="shared" si="5"/>
        <v>1000000</v>
      </c>
      <c r="R67" s="119">
        <f>L67*(1+GROWTH_RATE)*FMC</f>
        <v>1601.022966</v>
      </c>
      <c r="S67" s="178">
        <f>S66*(1+'Pre-Calculation'!$E$27)</f>
        <v>774212.4213</v>
      </c>
      <c r="T67" s="175">
        <f>-E67+IF(A66=INPUT!$C$11*12,N67,0)</f>
        <v>1422016.661</v>
      </c>
      <c r="U67" s="175">
        <f t="shared" si="6"/>
        <v>1459275.989</v>
      </c>
      <c r="V67" s="175">
        <f>U67*(1+GROWTH_RATE_H)*(1-'Pre-Calculation'!$E$31)</f>
        <v>1466219.212</v>
      </c>
      <c r="W67" s="175">
        <f>-E67+IF(A66=INPUT!$C$11*12,V67,0)</f>
        <v>1466219.212</v>
      </c>
      <c r="X67" s="179">
        <f t="array" ref="X67">NPV('Pre-Calculation'!$E$20,$E68:E$246)</f>
        <v>0</v>
      </c>
      <c r="Y67" s="171">
        <f>10%*SA</f>
        <v>100000</v>
      </c>
      <c r="Z67" s="179">
        <f t="array" ref="Z67">NPV('Pre-Calculation'!$E$20,Y68:Y77)</f>
        <v>969592.8037</v>
      </c>
    </row>
    <row r="68" ht="15.75" customHeight="1">
      <c r="A68" s="171">
        <f t="shared" si="1"/>
        <v>122</v>
      </c>
      <c r="B68" s="171">
        <f t="shared" si="2"/>
        <v>11</v>
      </c>
      <c r="C68" s="176">
        <f>EDATE(RCD,A67)</f>
        <v>46233</v>
      </c>
      <c r="D68" s="171">
        <f>Age_At_Entry+'Cashflows_8%'!B68-1</f>
        <v>45</v>
      </c>
      <c r="E68" s="175">
        <f>IF(AND(C68&lt;=Last_Prem,MOD(A67,Mode)=0,C68&gt;INPUT!$C$13,A68&lt;=Revival!$C$11),Mod_Prem,0)</f>
        <v>0</v>
      </c>
      <c r="F68" s="177">
        <f>E68*VLOOKUP(B68,'Pre-Calculation'!$H$1:$I$31,2,FALSE)</f>
        <v>0</v>
      </c>
      <c r="G68" s="177">
        <f>IF(B68&lt;PT+1,VLOOKUP(B68,'Pre-Calculation'!$H$1:$L$32,3,FALSE)+VLOOKUP(B68,'Pre-Calculation'!$H$1:$L$32,4,FALSE)*'Pre-Calculation'!$D$7,0)</f>
        <v>0</v>
      </c>
      <c r="H68" s="175">
        <f>(E68-(F68+G68)*(1+Tax)+N67)</f>
        <v>1422016.661</v>
      </c>
      <c r="I68" s="175">
        <f>IF(B68&lt;PT+1,VLOOKUP(D68,'Pre-Calculation'!$N$3:$P$79,IF(INPUT!$C$4="M",2,3),FALSE)*(J68/1000)*(1/12),0)</f>
        <v>0</v>
      </c>
      <c r="J68" s="175">
        <f t="shared" si="3"/>
        <v>0</v>
      </c>
      <c r="K68" s="175">
        <f>(IF('Pre-Calculation'!$D$17="Type 4 a",MAX(SA,H68,1.05*Q68),IF('Pre-Calculation'!$D$17="Type 4 c",H68,IF('Pre-Calculation'!$D$17="Type 4 d",SA+H68,IF('Pre-Calculation'!$D$17="Type 4 e",MAX(SA,H68),IF('Pre-Calculation'!$D$17="Type 4 f",SA,IF('Pre-Calculation'!$D$17="Type 4 g",1000+H68,IF('Pre-Calculation'!$D$17="Type 4 h",SA+X68,IF('Pre-Calculation'!$D$17="Type 4 i",MAX(H68,Q68),IF('Pre-Calculation'!$D$17="Type 4 k",MAX(H68,1.01*Q68),IF('Pre-Calculation'!$D$17="Type 4 m",MAX(105%*Q68,SA+H68),IF('Pre-Calculation'!$D$17="Type 4 o",MAX(SA,105%*Q68)+X68+Z68,IF('Pre-Calculation'!$D$17="Type 5",0)))))))))))))*IF(AND(A68&lt;Revival!$C$4,'Cashflows_8%'!C68&gt;=Revival!$D$12),PUP,1)</f>
        <v>1422016.661</v>
      </c>
      <c r="L68" s="175">
        <f>H68-I68*(1+Tax)</f>
        <v>1422016.661</v>
      </c>
      <c r="M68" s="175">
        <f>L68*(1+GROWTH_RATE_H)*(1-FMC*(1+Tax))</f>
        <v>1429267.12</v>
      </c>
      <c r="N68" s="175">
        <f>M68+IF(MOD(A68,B68)=0,VLOOKUP(B68,'Pre-Calculation'!$H$1:$L$31,5,FALSE),0)*IF('Pre-Calculation'!$D$16="% OF FV",M68,IF(OR('Pre-Calculation'!$D$16="% OF AFV(24M)",'Pre-Calculation'!$D$16="% OF AFV(8Q)"),AVERAGE( $M45:$M68),IF('Pre-Calculation'!$D$16="% OF AFV(12M)",AVERAGE($M57:M68),IF('Pre-Calculation'!$D$16="% OF AFV(36M)",AVERAGE($M33:M68)))))</f>
        <v>1429267.12</v>
      </c>
      <c r="O68" s="175">
        <f t="shared" si="4"/>
        <v>1429267.12</v>
      </c>
      <c r="P68" s="175">
        <f>IF('Pre-Calculation'!$D$17="Type 4 a",MAX(SA,N68,1.05*Q68),IF('Pre-Calculation'!$D$17="Type 4 c",N68,IF('Pre-Calculation'!$D$17="Type 4 d",SA+N68,IF('Pre-Calculation'!$D$17="Type 4 e",MAX(SA,N68),IF('Pre-Calculation'!$D$17="Type 4 f",SA,IF('Pre-Calculation'!$D$17="Type 4 g",1000+N68,IF('Pre-Calculation'!$D$17="Type 4 h",SA+X68,IF('Pre-Calculation'!$D$17="Type 4 i",MAX(N68,Q68),IF('Pre-Calculation'!$D$17="Type 4 k",MAX(N68,1.01*Q68),IF('Pre-Calculation'!$D$17="Type 4 m",MAX(105%*Q68,SA+N68),IF('Pre-Calculation'!$D$17="Type 4 o",MAX(SA,105%*Q68)+X68+Z68,IF('Pre-Calculation'!$D$17="Type 5",0))))))))))))</f>
        <v>1429267.12</v>
      </c>
      <c r="Q68" s="175">
        <f t="shared" si="5"/>
        <v>1000000</v>
      </c>
      <c r="R68" s="119">
        <f>L68*(1+GROWTH_RATE)*FMC</f>
        <v>1609.186127</v>
      </c>
      <c r="S68" s="178">
        <f>S67*(1+'Pre-Calculation'!$E$27)</f>
        <v>776435.1067</v>
      </c>
      <c r="T68" s="175">
        <f>-E68+IF(A67=INPUT!$C$11*12,N68,0)</f>
        <v>0</v>
      </c>
      <c r="U68" s="175">
        <f t="shared" si="6"/>
        <v>1466219.212</v>
      </c>
      <c r="V68" s="175">
        <f>U68*(1+GROWTH_RATE_H)*(1-'Pre-Calculation'!$E$31)</f>
        <v>1473195.47</v>
      </c>
      <c r="W68" s="175">
        <f>-E68+IF(A67=INPUT!$C$11*12,V68,0)</f>
        <v>0</v>
      </c>
      <c r="X68" s="179">
        <f t="array" ref="X68">NPV('Pre-Calculation'!$E$20,$E69:E$246)</f>
        <v>0</v>
      </c>
      <c r="Y68" s="171">
        <f>10%*SA</f>
        <v>100000</v>
      </c>
      <c r="Z68" s="179">
        <f t="array" ref="Z68">NPV('Pre-Calculation'!$E$20,Y69:Y78)</f>
        <v>969592.8037</v>
      </c>
    </row>
    <row r="69" ht="15.75" customHeight="1">
      <c r="A69" s="171">
        <f t="shared" si="1"/>
        <v>123</v>
      </c>
      <c r="B69" s="171">
        <f t="shared" si="2"/>
        <v>11</v>
      </c>
      <c r="C69" s="176">
        <f>EDATE(RCD,A68)</f>
        <v>46264</v>
      </c>
      <c r="D69" s="171">
        <f>Age_At_Entry+'Cashflows_8%'!B69-1</f>
        <v>45</v>
      </c>
      <c r="E69" s="175">
        <f>IF(AND(C69&lt;=Last_Prem,MOD(A68,Mode)=0,C69&gt;INPUT!$C$13,A69&lt;=Revival!$C$11),Mod_Prem,0)</f>
        <v>0</v>
      </c>
      <c r="F69" s="177">
        <f>E69*VLOOKUP(B69,'Pre-Calculation'!$H$1:$I$31,2,FALSE)</f>
        <v>0</v>
      </c>
      <c r="G69" s="177">
        <f>IF(B69&lt;PT+1,VLOOKUP(B69,'Pre-Calculation'!$H$1:$L$32,3,FALSE)+VLOOKUP(B69,'Pre-Calculation'!$H$1:$L$32,4,FALSE)*'Pre-Calculation'!$D$7,0)</f>
        <v>0</v>
      </c>
      <c r="H69" s="175">
        <f>(E69-(F69+G69)*(1+Tax)+N68)</f>
        <v>1429267.12</v>
      </c>
      <c r="I69" s="175">
        <f>IF(B69&lt;PT+1,VLOOKUP(D69,'Pre-Calculation'!$N$3:$P$79,IF(INPUT!$C$4="M",2,3),FALSE)*(J69/1000)*(1/12),0)</f>
        <v>0</v>
      </c>
      <c r="J69" s="175">
        <f t="shared" si="3"/>
        <v>0</v>
      </c>
      <c r="K69" s="175">
        <f>(IF('Pre-Calculation'!$D$17="Type 4 a",MAX(SA,H69,1.05*Q69),IF('Pre-Calculation'!$D$17="Type 4 c",H69,IF('Pre-Calculation'!$D$17="Type 4 d",SA+H69,IF('Pre-Calculation'!$D$17="Type 4 e",MAX(SA,H69),IF('Pre-Calculation'!$D$17="Type 4 f",SA,IF('Pre-Calculation'!$D$17="Type 4 g",1000+H69,IF('Pre-Calculation'!$D$17="Type 4 h",SA+X69,IF('Pre-Calculation'!$D$17="Type 4 i",MAX(H69,Q69),IF('Pre-Calculation'!$D$17="Type 4 k",MAX(H69,1.01*Q69),IF('Pre-Calculation'!$D$17="Type 4 m",MAX(105%*Q69,SA+H69),IF('Pre-Calculation'!$D$17="Type 4 o",MAX(SA,105%*Q69)+X69+Z69,IF('Pre-Calculation'!$D$17="Type 5",0)))))))))))))*IF(AND(A69&lt;Revival!$C$4,'Cashflows_8%'!C69&gt;=Revival!$D$12),PUP,1)</f>
        <v>1429267.12</v>
      </c>
      <c r="L69" s="175">
        <f>H69-I69*(1+Tax)</f>
        <v>1429267.12</v>
      </c>
      <c r="M69" s="175">
        <f>L69*(1+GROWTH_RATE_H)*(1-FMC*(1+Tax))</f>
        <v>1436554.546</v>
      </c>
      <c r="N69" s="175">
        <f>M69+IF(MOD(A69,B69)=0,VLOOKUP(B69,'Pre-Calculation'!$H$1:$L$31,5,FALSE),0)*IF('Pre-Calculation'!$D$16="% OF FV",M69,IF(OR('Pre-Calculation'!$D$16="% OF AFV(24M)",'Pre-Calculation'!$D$16="% OF AFV(8Q)"),AVERAGE( $M46:$M69),IF('Pre-Calculation'!$D$16="% OF AFV(12M)",AVERAGE($M58:M69),IF('Pre-Calculation'!$D$16="% OF AFV(36M)",AVERAGE($M34:M69)))))</f>
        <v>1436554.546</v>
      </c>
      <c r="O69" s="175">
        <f t="shared" si="4"/>
        <v>1436554.546</v>
      </c>
      <c r="P69" s="175">
        <f>IF('Pre-Calculation'!$D$17="Type 4 a",MAX(SA,N69,1.05*Q69),IF('Pre-Calculation'!$D$17="Type 4 c",N69,IF('Pre-Calculation'!$D$17="Type 4 d",SA+N69,IF('Pre-Calculation'!$D$17="Type 4 e",MAX(SA,N69),IF('Pre-Calculation'!$D$17="Type 4 f",SA,IF('Pre-Calculation'!$D$17="Type 4 g",1000+N69,IF('Pre-Calculation'!$D$17="Type 4 h",SA+X69,IF('Pre-Calculation'!$D$17="Type 4 i",MAX(N69,Q69),IF('Pre-Calculation'!$D$17="Type 4 k",MAX(N69,1.01*Q69),IF('Pre-Calculation'!$D$17="Type 4 m",MAX(105%*Q69,SA+N69),IF('Pre-Calculation'!$D$17="Type 4 o",MAX(SA,105%*Q69)+X69+Z69,IF('Pre-Calculation'!$D$17="Type 5",0))))))))))))</f>
        <v>1436554.546</v>
      </c>
      <c r="Q69" s="175">
        <f t="shared" si="5"/>
        <v>1000000</v>
      </c>
      <c r="R69" s="119">
        <f>L69*(1+GROWTH_RATE)*FMC</f>
        <v>1617.390909</v>
      </c>
      <c r="S69" s="178">
        <f>S68*(1+'Pre-Calculation'!$E$27)</f>
        <v>778664.1733</v>
      </c>
      <c r="T69" s="175">
        <f>-E69+IF(A68=INPUT!$C$11*12,N69,0)</f>
        <v>0</v>
      </c>
      <c r="U69" s="175">
        <f t="shared" si="6"/>
        <v>1473195.47</v>
      </c>
      <c r="V69" s="175">
        <f>U69*(1+GROWTH_RATE_H)*(1-'Pre-Calculation'!$E$31)</f>
        <v>1480204.921</v>
      </c>
      <c r="W69" s="175">
        <f>-E69+IF(A68=INPUT!$C$11*12,V69,0)</f>
        <v>0</v>
      </c>
      <c r="X69" s="179">
        <f t="array" ref="X69">NPV('Pre-Calculation'!$E$20,$E70:E$246)</f>
        <v>0</v>
      </c>
      <c r="Y69" s="171">
        <f>10%*SA</f>
        <v>100000</v>
      </c>
      <c r="Z69" s="179">
        <f t="array" ref="Z69">NPV('Pre-Calculation'!$E$20,Y70:Y79)</f>
        <v>969592.8037</v>
      </c>
    </row>
    <row r="70" ht="15.75" customHeight="1">
      <c r="A70" s="171">
        <f t="shared" si="1"/>
        <v>124</v>
      </c>
      <c r="B70" s="171">
        <f t="shared" si="2"/>
        <v>11</v>
      </c>
      <c r="C70" s="176">
        <f>EDATE(RCD,A69)</f>
        <v>46295</v>
      </c>
      <c r="D70" s="171">
        <f>Age_At_Entry+'Cashflows_8%'!B70-1</f>
        <v>45</v>
      </c>
      <c r="E70" s="175">
        <f>IF(AND(C70&lt;=Last_Prem,MOD(A69,Mode)=0,C70&gt;INPUT!$C$13,A70&lt;=Revival!$C$11),Mod_Prem,0)</f>
        <v>0</v>
      </c>
      <c r="F70" s="177">
        <f>E70*VLOOKUP(B70,'Pre-Calculation'!$H$1:$I$31,2,FALSE)</f>
        <v>0</v>
      </c>
      <c r="G70" s="177">
        <f>IF(B70&lt;PT+1,VLOOKUP(B70,'Pre-Calculation'!$H$1:$L$32,3,FALSE)+VLOOKUP(B70,'Pre-Calculation'!$H$1:$L$32,4,FALSE)*'Pre-Calculation'!$D$7,0)</f>
        <v>0</v>
      </c>
      <c r="H70" s="175">
        <f>(E70-(F70+G70)*(1+Tax)+N69)</f>
        <v>1436554.546</v>
      </c>
      <c r="I70" s="175">
        <f>IF(B70&lt;PT+1,VLOOKUP(D70,'Pre-Calculation'!$N$3:$P$79,IF(INPUT!$C$4="M",2,3),FALSE)*(J70/1000)*(1/12),0)</f>
        <v>0</v>
      </c>
      <c r="J70" s="175">
        <f t="shared" si="3"/>
        <v>0</v>
      </c>
      <c r="K70" s="175">
        <f>(IF('Pre-Calculation'!$D$17="Type 4 a",MAX(SA,H70,1.05*Q70),IF('Pre-Calculation'!$D$17="Type 4 c",H70,IF('Pre-Calculation'!$D$17="Type 4 d",SA+H70,IF('Pre-Calculation'!$D$17="Type 4 e",MAX(SA,H70),IF('Pre-Calculation'!$D$17="Type 4 f",SA,IF('Pre-Calculation'!$D$17="Type 4 g",1000+H70,IF('Pre-Calculation'!$D$17="Type 4 h",SA+X70,IF('Pre-Calculation'!$D$17="Type 4 i",MAX(H70,Q70),IF('Pre-Calculation'!$D$17="Type 4 k",MAX(H70,1.01*Q70),IF('Pre-Calculation'!$D$17="Type 4 m",MAX(105%*Q70,SA+H70),IF('Pre-Calculation'!$D$17="Type 4 o",MAX(SA,105%*Q70)+X70+Z70,IF('Pre-Calculation'!$D$17="Type 5",0)))))))))))))*IF(AND(A70&lt;Revival!$C$4,'Cashflows_8%'!C70&gt;=Revival!$D$12),PUP,1)</f>
        <v>1436554.546</v>
      </c>
      <c r="L70" s="175">
        <f>H70-I70*(1+Tax)</f>
        <v>1436554.546</v>
      </c>
      <c r="M70" s="175">
        <f>L70*(1+GROWTH_RATE_H)*(1-FMC*(1+Tax))</f>
        <v>1443879.129</v>
      </c>
      <c r="N70" s="175">
        <f>M70+IF(MOD(A70,B70)=0,VLOOKUP(B70,'Pre-Calculation'!$H$1:$L$31,5,FALSE),0)*IF('Pre-Calculation'!$D$16="% OF FV",M70,IF(OR('Pre-Calculation'!$D$16="% OF AFV(24M)",'Pre-Calculation'!$D$16="% OF AFV(8Q)"),AVERAGE( $M47:$M70),IF('Pre-Calculation'!$D$16="% OF AFV(12M)",AVERAGE($M59:M70),IF('Pre-Calculation'!$D$16="% OF AFV(36M)",AVERAGE($M35:M70)))))</f>
        <v>1443879.129</v>
      </c>
      <c r="O70" s="175">
        <f t="shared" si="4"/>
        <v>1443879.129</v>
      </c>
      <c r="P70" s="175">
        <f>IF('Pre-Calculation'!$D$17="Type 4 a",MAX(SA,N70,1.05*Q70),IF('Pre-Calculation'!$D$17="Type 4 c",N70,IF('Pre-Calculation'!$D$17="Type 4 d",SA+N70,IF('Pre-Calculation'!$D$17="Type 4 e",MAX(SA,N70),IF('Pre-Calculation'!$D$17="Type 4 f",SA,IF('Pre-Calculation'!$D$17="Type 4 g",1000+N70,IF('Pre-Calculation'!$D$17="Type 4 h",SA+X70,IF('Pre-Calculation'!$D$17="Type 4 i",MAX(N70,Q70),IF('Pre-Calculation'!$D$17="Type 4 k",MAX(N70,1.01*Q70),IF('Pre-Calculation'!$D$17="Type 4 m",MAX(105%*Q70,SA+N70),IF('Pre-Calculation'!$D$17="Type 4 o",MAX(SA,105%*Q70)+X70+Z70,IF('Pre-Calculation'!$D$17="Type 5",0))))))))))))</f>
        <v>1443879.129</v>
      </c>
      <c r="Q70" s="175">
        <f t="shared" si="5"/>
        <v>1000000</v>
      </c>
      <c r="R70" s="119">
        <f>L70*(1+GROWTH_RATE)*FMC</f>
        <v>1625.637525</v>
      </c>
      <c r="S70" s="178">
        <f>S69*(1+'Pre-Calculation'!$E$27)</f>
        <v>780899.6393</v>
      </c>
      <c r="T70" s="175">
        <f>-E70+IF(A69=INPUT!$C$11*12,N70,0)</f>
        <v>0</v>
      </c>
      <c r="U70" s="175">
        <f t="shared" si="6"/>
        <v>1480204.921</v>
      </c>
      <c r="V70" s="175">
        <f>U70*(1+GROWTH_RATE_H)*(1-'Pre-Calculation'!$E$31)</f>
        <v>1487247.723</v>
      </c>
      <c r="W70" s="175">
        <f>-E70+IF(A69=INPUT!$C$11*12,V70,0)</f>
        <v>0</v>
      </c>
      <c r="X70" s="179">
        <f t="array" ref="X70">NPV('Pre-Calculation'!$E$20,$E71:E$246)</f>
        <v>0</v>
      </c>
      <c r="Y70" s="171">
        <f>10%*SA</f>
        <v>100000</v>
      </c>
      <c r="Z70" s="179">
        <f t="array" ref="Z70">NPV('Pre-Calculation'!$E$20,Y71:Y80)</f>
        <v>969592.8037</v>
      </c>
    </row>
    <row r="71" ht="15.75" customHeight="1">
      <c r="A71" s="171">
        <f t="shared" si="1"/>
        <v>125</v>
      </c>
      <c r="B71" s="171">
        <f t="shared" si="2"/>
        <v>11</v>
      </c>
      <c r="C71" s="176">
        <f>EDATE(RCD,A70)</f>
        <v>46325</v>
      </c>
      <c r="D71" s="171">
        <f>Age_At_Entry+'Cashflows_8%'!B71-1</f>
        <v>45</v>
      </c>
      <c r="E71" s="175">
        <f>IF(AND(C71&lt;=Last_Prem,MOD(A70,Mode)=0,C71&gt;INPUT!$C$13,A71&lt;=Revival!$C$11),Mod_Prem,0)</f>
        <v>0</v>
      </c>
      <c r="F71" s="177">
        <f>E71*VLOOKUP(B71,'Pre-Calculation'!$H$1:$I$31,2,FALSE)</f>
        <v>0</v>
      </c>
      <c r="G71" s="177">
        <f>IF(B71&lt;PT+1,VLOOKUP(B71,'Pre-Calculation'!$H$1:$L$32,3,FALSE)+VLOOKUP(B71,'Pre-Calculation'!$H$1:$L$32,4,FALSE)*'Pre-Calculation'!$D$7,0)</f>
        <v>0</v>
      </c>
      <c r="H71" s="175">
        <f>(E71-(F71+G71)*(1+Tax)+N70)</f>
        <v>1443879.129</v>
      </c>
      <c r="I71" s="175">
        <f>IF(B71&lt;PT+1,VLOOKUP(D71,'Pre-Calculation'!$N$3:$P$79,IF(INPUT!$C$4="M",2,3),FALSE)*(J71/1000)*(1/12),0)</f>
        <v>0</v>
      </c>
      <c r="J71" s="175">
        <f t="shared" si="3"/>
        <v>0</v>
      </c>
      <c r="K71" s="175">
        <f>(IF('Pre-Calculation'!$D$17="Type 4 a",MAX(SA,H71,1.05*Q71),IF('Pre-Calculation'!$D$17="Type 4 c",H71,IF('Pre-Calculation'!$D$17="Type 4 d",SA+H71,IF('Pre-Calculation'!$D$17="Type 4 e",MAX(SA,H71),IF('Pre-Calculation'!$D$17="Type 4 f",SA,IF('Pre-Calculation'!$D$17="Type 4 g",1000+H71,IF('Pre-Calculation'!$D$17="Type 4 h",SA+X71,IF('Pre-Calculation'!$D$17="Type 4 i",MAX(H71,Q71),IF('Pre-Calculation'!$D$17="Type 4 k",MAX(H71,1.01*Q71),IF('Pre-Calculation'!$D$17="Type 4 m",MAX(105%*Q71,SA+H71),IF('Pre-Calculation'!$D$17="Type 4 o",MAX(SA,105%*Q71)+X71+Z71,IF('Pre-Calculation'!$D$17="Type 5",0)))))))))))))*IF(AND(A71&lt;Revival!$C$4,'Cashflows_8%'!C71&gt;=Revival!$D$12),PUP,1)</f>
        <v>1443879.129</v>
      </c>
      <c r="L71" s="175">
        <f>H71-I71*(1+Tax)</f>
        <v>1443879.129</v>
      </c>
      <c r="M71" s="175">
        <f>L71*(1+GROWTH_RATE_H)*(1-FMC*(1+Tax))</f>
        <v>1451241.058</v>
      </c>
      <c r="N71" s="175">
        <f>M71+IF(MOD(A71,B71)=0,VLOOKUP(B71,'Pre-Calculation'!$H$1:$L$31,5,FALSE),0)*IF('Pre-Calculation'!$D$16="% OF FV",M71,IF(OR('Pre-Calculation'!$D$16="% OF AFV(24M)",'Pre-Calculation'!$D$16="% OF AFV(8Q)"),AVERAGE( $M48:$M71),IF('Pre-Calculation'!$D$16="% OF AFV(12M)",AVERAGE($M60:M71),IF('Pre-Calculation'!$D$16="% OF AFV(36M)",AVERAGE($M36:M71)))))</f>
        <v>1451241.058</v>
      </c>
      <c r="O71" s="175">
        <f t="shared" si="4"/>
        <v>1451241.058</v>
      </c>
      <c r="P71" s="175">
        <f>IF('Pre-Calculation'!$D$17="Type 4 a",MAX(SA,N71,1.05*Q71),IF('Pre-Calculation'!$D$17="Type 4 c",N71,IF('Pre-Calculation'!$D$17="Type 4 d",SA+N71,IF('Pre-Calculation'!$D$17="Type 4 e",MAX(SA,N71),IF('Pre-Calculation'!$D$17="Type 4 f",SA,IF('Pre-Calculation'!$D$17="Type 4 g",1000+N71,IF('Pre-Calculation'!$D$17="Type 4 h",SA+X71,IF('Pre-Calculation'!$D$17="Type 4 i",MAX(N71,Q71),IF('Pre-Calculation'!$D$17="Type 4 k",MAX(N71,1.01*Q71),IF('Pre-Calculation'!$D$17="Type 4 m",MAX(105%*Q71,SA+N71),IF('Pre-Calculation'!$D$17="Type 4 o",MAX(SA,105%*Q71)+X71+Z71,IF('Pre-Calculation'!$D$17="Type 5",0))))))))))))</f>
        <v>1451241.058</v>
      </c>
      <c r="Q71" s="175">
        <f t="shared" si="5"/>
        <v>1000000</v>
      </c>
      <c r="R71" s="119">
        <f>L71*(1+GROWTH_RATE)*FMC</f>
        <v>1633.926188</v>
      </c>
      <c r="S71" s="178">
        <f>S70*(1+'Pre-Calculation'!$E$27)</f>
        <v>783141.523</v>
      </c>
      <c r="T71" s="175">
        <f>-E71+IF(A70=INPUT!$C$11*12,N71,0)</f>
        <v>0</v>
      </c>
      <c r="U71" s="175">
        <f t="shared" si="6"/>
        <v>1487247.723</v>
      </c>
      <c r="V71" s="175">
        <f>U71*(1+GROWTH_RATE_H)*(1-'Pre-Calculation'!$E$31)</f>
        <v>1494324.035</v>
      </c>
      <c r="W71" s="175">
        <f>-E71+IF(A70=INPUT!$C$11*12,V71,0)</f>
        <v>0</v>
      </c>
      <c r="X71" s="179">
        <f t="array" ref="X71">NPV('Pre-Calculation'!$E$20,$E72:E$246)</f>
        <v>0</v>
      </c>
      <c r="Y71" s="171">
        <f>10%*SA</f>
        <v>100000</v>
      </c>
      <c r="Z71" s="179">
        <f t="array" ref="Z71">NPV('Pre-Calculation'!$E$20,Y72:Y81)</f>
        <v>969592.8037</v>
      </c>
    </row>
    <row r="72" ht="15.75" customHeight="1">
      <c r="A72" s="171">
        <f t="shared" si="1"/>
        <v>126</v>
      </c>
      <c r="B72" s="171">
        <f t="shared" si="2"/>
        <v>11</v>
      </c>
      <c r="C72" s="176">
        <f>EDATE(RCD,A71)</f>
        <v>46356</v>
      </c>
      <c r="D72" s="171">
        <f>Age_At_Entry+'Cashflows_8%'!B72-1</f>
        <v>45</v>
      </c>
      <c r="E72" s="175">
        <f>IF(AND(C72&lt;=Last_Prem,MOD(A71,Mode)=0,C72&gt;INPUT!$C$13,A72&lt;=Revival!$C$11),Mod_Prem,0)</f>
        <v>0</v>
      </c>
      <c r="F72" s="177">
        <f>E72*VLOOKUP(B72,'Pre-Calculation'!$H$1:$I$31,2,FALSE)</f>
        <v>0</v>
      </c>
      <c r="G72" s="177">
        <f>IF(B72&lt;PT+1,VLOOKUP(B72,'Pre-Calculation'!$H$1:$L$32,3,FALSE)+VLOOKUP(B72,'Pre-Calculation'!$H$1:$L$32,4,FALSE)*'Pre-Calculation'!$D$7,0)</f>
        <v>0</v>
      </c>
      <c r="H72" s="175">
        <f>(E72-(F72+G72)*(1+Tax)+N71)</f>
        <v>1451241.058</v>
      </c>
      <c r="I72" s="175">
        <f>IF(B72&lt;PT+1,VLOOKUP(D72,'Pre-Calculation'!$N$3:$P$79,IF(INPUT!$C$4="M",2,3),FALSE)*(J72/1000)*(1/12),0)</f>
        <v>0</v>
      </c>
      <c r="J72" s="175">
        <f t="shared" si="3"/>
        <v>0</v>
      </c>
      <c r="K72" s="175">
        <f>(IF('Pre-Calculation'!$D$17="Type 4 a",MAX(SA,H72,1.05*Q72),IF('Pre-Calculation'!$D$17="Type 4 c",H72,IF('Pre-Calculation'!$D$17="Type 4 d",SA+H72,IF('Pre-Calculation'!$D$17="Type 4 e",MAX(SA,H72),IF('Pre-Calculation'!$D$17="Type 4 f",SA,IF('Pre-Calculation'!$D$17="Type 4 g",1000+H72,IF('Pre-Calculation'!$D$17="Type 4 h",SA+X72,IF('Pre-Calculation'!$D$17="Type 4 i",MAX(H72,Q72),IF('Pre-Calculation'!$D$17="Type 4 k",MAX(H72,1.01*Q72),IF('Pre-Calculation'!$D$17="Type 4 m",MAX(105%*Q72,SA+H72),IF('Pre-Calculation'!$D$17="Type 4 o",MAX(SA,105%*Q72)+X72+Z72,IF('Pre-Calculation'!$D$17="Type 5",0)))))))))))))*IF(AND(A72&lt;Revival!$C$4,'Cashflows_8%'!C72&gt;=Revival!$D$12),PUP,1)</f>
        <v>1451241.058</v>
      </c>
      <c r="L72" s="175">
        <f>H72-I72*(1+Tax)</f>
        <v>1451241.058</v>
      </c>
      <c r="M72" s="175">
        <f>L72*(1+GROWTH_RATE_H)*(1-FMC*(1+Tax))</f>
        <v>1458640.523</v>
      </c>
      <c r="N72" s="175">
        <f>M72+IF(MOD(A72,B72)=0,VLOOKUP(B72,'Pre-Calculation'!$H$1:$L$31,5,FALSE),0)*IF('Pre-Calculation'!$D$16="% OF FV",M72,IF(OR('Pre-Calculation'!$D$16="% OF AFV(24M)",'Pre-Calculation'!$D$16="% OF AFV(8Q)"),AVERAGE( $M49:$M72),IF('Pre-Calculation'!$D$16="% OF AFV(12M)",AVERAGE($M61:M72),IF('Pre-Calculation'!$D$16="% OF AFV(36M)",AVERAGE($M37:M72)))))</f>
        <v>1458640.523</v>
      </c>
      <c r="O72" s="175">
        <f t="shared" si="4"/>
        <v>1458640.523</v>
      </c>
      <c r="P72" s="175">
        <f>IF('Pre-Calculation'!$D$17="Type 4 a",MAX(SA,N72,1.05*Q72),IF('Pre-Calculation'!$D$17="Type 4 c",N72,IF('Pre-Calculation'!$D$17="Type 4 d",SA+N72,IF('Pre-Calculation'!$D$17="Type 4 e",MAX(SA,N72),IF('Pre-Calculation'!$D$17="Type 4 f",SA,IF('Pre-Calculation'!$D$17="Type 4 g",1000+N72,IF('Pre-Calculation'!$D$17="Type 4 h",SA+X72,IF('Pre-Calculation'!$D$17="Type 4 i",MAX(N72,Q72),IF('Pre-Calculation'!$D$17="Type 4 k",MAX(N72,1.01*Q72),IF('Pre-Calculation'!$D$17="Type 4 m",MAX(105%*Q72,SA+N72),IF('Pre-Calculation'!$D$17="Type 4 o",MAX(SA,105%*Q72)+X72+Z72,IF('Pre-Calculation'!$D$17="Type 5",0))))))))))))</f>
        <v>1458640.523</v>
      </c>
      <c r="Q72" s="175">
        <f t="shared" si="5"/>
        <v>1000000</v>
      </c>
      <c r="R72" s="119">
        <f>L72*(1+GROWTH_RATE)*FMC</f>
        <v>1642.257113</v>
      </c>
      <c r="S72" s="178">
        <f>S71*(1+'Pre-Calculation'!$E$27)</f>
        <v>785389.843</v>
      </c>
      <c r="T72" s="175">
        <f>-E72+IF(A71=INPUT!$C$11*12,N72,0)</f>
        <v>0</v>
      </c>
      <c r="U72" s="175">
        <f t="shared" si="6"/>
        <v>1494324.035</v>
      </c>
      <c r="V72" s="175">
        <f>U72*(1+GROWTH_RATE_H)*(1-'Pre-Calculation'!$E$31)</f>
        <v>1501434.015</v>
      </c>
      <c r="W72" s="175">
        <f>-E72+IF(A71=INPUT!$C$11*12,V72,0)</f>
        <v>0</v>
      </c>
      <c r="X72" s="179">
        <f t="array" ref="X72">NPV('Pre-Calculation'!$E$20,$E73:E$246)</f>
        <v>0</v>
      </c>
      <c r="Y72" s="171">
        <f>10%*SA</f>
        <v>100000</v>
      </c>
      <c r="Z72" s="179">
        <f t="array" ref="Z72">NPV('Pre-Calculation'!$E$20,Y73:Y82)</f>
        <v>969592.8037</v>
      </c>
    </row>
    <row r="73" ht="15.75" customHeight="1">
      <c r="A73" s="171">
        <f t="shared" si="1"/>
        <v>127</v>
      </c>
      <c r="B73" s="171">
        <f t="shared" si="2"/>
        <v>11</v>
      </c>
      <c r="C73" s="176">
        <f>EDATE(RCD,A72)</f>
        <v>46386</v>
      </c>
      <c r="D73" s="171">
        <f>Age_At_Entry+'Cashflows_8%'!B73-1</f>
        <v>45</v>
      </c>
      <c r="E73" s="175">
        <f>IF(AND(C73&lt;=Last_Prem,MOD(A72,Mode)=0,C73&gt;INPUT!$C$13,A73&lt;=Revival!$C$11),Mod_Prem,0)</f>
        <v>0</v>
      </c>
      <c r="F73" s="177">
        <f>E73*VLOOKUP(B73,'Pre-Calculation'!$H$1:$I$31,2,FALSE)</f>
        <v>0</v>
      </c>
      <c r="G73" s="177">
        <f>IF(B73&lt;PT+1,VLOOKUP(B73,'Pre-Calculation'!$H$1:$L$32,3,FALSE)+VLOOKUP(B73,'Pre-Calculation'!$H$1:$L$32,4,FALSE)*'Pre-Calculation'!$D$7,0)</f>
        <v>0</v>
      </c>
      <c r="H73" s="175">
        <f>(E73-(F73+G73)*(1+Tax)+N72)</f>
        <v>1458640.523</v>
      </c>
      <c r="I73" s="175">
        <f>IF(B73&lt;PT+1,VLOOKUP(D73,'Pre-Calculation'!$N$3:$P$79,IF(INPUT!$C$4="M",2,3),FALSE)*(J73/1000)*(1/12),0)</f>
        <v>0</v>
      </c>
      <c r="J73" s="175">
        <f t="shared" si="3"/>
        <v>0</v>
      </c>
      <c r="K73" s="175">
        <f>(IF('Pre-Calculation'!$D$17="Type 4 a",MAX(SA,H73,1.05*Q73),IF('Pre-Calculation'!$D$17="Type 4 c",H73,IF('Pre-Calculation'!$D$17="Type 4 d",SA+H73,IF('Pre-Calculation'!$D$17="Type 4 e",MAX(SA,H73),IF('Pre-Calculation'!$D$17="Type 4 f",SA,IF('Pre-Calculation'!$D$17="Type 4 g",1000+H73,IF('Pre-Calculation'!$D$17="Type 4 h",SA+X73,IF('Pre-Calculation'!$D$17="Type 4 i",MAX(H73,Q73),IF('Pre-Calculation'!$D$17="Type 4 k",MAX(H73,1.01*Q73),IF('Pre-Calculation'!$D$17="Type 4 m",MAX(105%*Q73,SA+H73),IF('Pre-Calculation'!$D$17="Type 4 o",MAX(SA,105%*Q73)+X73+Z73,IF('Pre-Calculation'!$D$17="Type 5",0)))))))))))))*IF(AND(A73&lt;Revival!$C$4,'Cashflows_8%'!C73&gt;=Revival!$D$12),PUP,1)</f>
        <v>1458640.523</v>
      </c>
      <c r="L73" s="175">
        <f>H73-I73*(1+Tax)</f>
        <v>1458640.523</v>
      </c>
      <c r="M73" s="175">
        <f>L73*(1+GROWTH_RATE_H)*(1-FMC*(1+Tax))</f>
        <v>1466077.716</v>
      </c>
      <c r="N73" s="175">
        <f>M73+IF(MOD(A73,B73)=0,VLOOKUP(B73,'Pre-Calculation'!$H$1:$L$31,5,FALSE),0)*IF('Pre-Calculation'!$D$16="% OF FV",M73,IF(OR('Pre-Calculation'!$D$16="% OF AFV(24M)",'Pre-Calculation'!$D$16="% OF AFV(8Q)"),AVERAGE( $M50:$M73),IF('Pre-Calculation'!$D$16="% OF AFV(12M)",AVERAGE($M62:M73),IF('Pre-Calculation'!$D$16="% OF AFV(36M)",AVERAGE($M38:M73)))))</f>
        <v>1466077.716</v>
      </c>
      <c r="O73" s="175">
        <f t="shared" si="4"/>
        <v>1466077.716</v>
      </c>
      <c r="P73" s="175">
        <f>IF('Pre-Calculation'!$D$17="Type 4 a",MAX(SA,N73,1.05*Q73),IF('Pre-Calculation'!$D$17="Type 4 c",N73,IF('Pre-Calculation'!$D$17="Type 4 d",SA+N73,IF('Pre-Calculation'!$D$17="Type 4 e",MAX(SA,N73),IF('Pre-Calculation'!$D$17="Type 4 f",SA,IF('Pre-Calculation'!$D$17="Type 4 g",1000+N73,IF('Pre-Calculation'!$D$17="Type 4 h",SA+X73,IF('Pre-Calculation'!$D$17="Type 4 i",MAX(N73,Q73),IF('Pre-Calculation'!$D$17="Type 4 k",MAX(N73,1.01*Q73),IF('Pre-Calculation'!$D$17="Type 4 m",MAX(105%*Q73,SA+N73),IF('Pre-Calculation'!$D$17="Type 4 o",MAX(SA,105%*Q73)+X73+Z73,IF('Pre-Calculation'!$D$17="Type 5",0))))))))))))</f>
        <v>1466077.716</v>
      </c>
      <c r="Q73" s="175">
        <f t="shared" si="5"/>
        <v>1000000</v>
      </c>
      <c r="R73" s="119">
        <f>L73*(1+GROWTH_RATE)*FMC</f>
        <v>1650.630515</v>
      </c>
      <c r="S73" s="178">
        <f>S72*(1+'Pre-Calculation'!$E$27)</f>
        <v>787644.6177</v>
      </c>
      <c r="T73" s="175">
        <f>-E73+IF(A72=INPUT!$C$11*12,N73,0)</f>
        <v>0</v>
      </c>
      <c r="U73" s="175">
        <f t="shared" si="6"/>
        <v>1501434.015</v>
      </c>
      <c r="V73" s="175">
        <f>U73*(1+GROWTH_RATE_H)*(1-'Pre-Calculation'!$E$31)</f>
        <v>1508577.825</v>
      </c>
      <c r="W73" s="175">
        <f>-E73+IF(A72=INPUT!$C$11*12,V73,0)</f>
        <v>0</v>
      </c>
      <c r="X73" s="179">
        <f t="array" ref="X73">NPV('Pre-Calculation'!$E$20,$E74:E$246)</f>
        <v>0</v>
      </c>
      <c r="Y73" s="171">
        <f>10%*SA</f>
        <v>100000</v>
      </c>
      <c r="Z73" s="179">
        <f t="array" ref="Z73">NPV('Pre-Calculation'!$E$20,Y74:Y83)</f>
        <v>969592.8037</v>
      </c>
    </row>
    <row r="74" ht="15.75" customHeight="1">
      <c r="A74" s="171">
        <f t="shared" si="1"/>
        <v>128</v>
      </c>
      <c r="B74" s="171">
        <f t="shared" si="2"/>
        <v>11</v>
      </c>
      <c r="C74" s="176">
        <f>EDATE(RCD,A73)</f>
        <v>46417</v>
      </c>
      <c r="D74" s="171">
        <f>Age_At_Entry+'Cashflows_8%'!B74-1</f>
        <v>45</v>
      </c>
      <c r="E74" s="175">
        <f>IF(AND(C74&lt;=Last_Prem,MOD(A73,Mode)=0,C74&gt;INPUT!$C$13,A74&lt;=Revival!$C$11),Mod_Prem,0)</f>
        <v>0</v>
      </c>
      <c r="F74" s="177">
        <f>E74*VLOOKUP(B74,'Pre-Calculation'!$H$1:$I$31,2,FALSE)</f>
        <v>0</v>
      </c>
      <c r="G74" s="177">
        <f>IF(B74&lt;PT+1,VLOOKUP(B74,'Pre-Calculation'!$H$1:$L$32,3,FALSE)+VLOOKUP(B74,'Pre-Calculation'!$H$1:$L$32,4,FALSE)*'Pre-Calculation'!$D$7,0)</f>
        <v>0</v>
      </c>
      <c r="H74" s="175">
        <f>(E74-(F74+G74)*(1+Tax)+N73)</f>
        <v>1466077.716</v>
      </c>
      <c r="I74" s="175">
        <f>IF(B74&lt;PT+1,VLOOKUP(D74,'Pre-Calculation'!$N$3:$P$79,IF(INPUT!$C$4="M",2,3),FALSE)*(J74/1000)*(1/12),0)</f>
        <v>0</v>
      </c>
      <c r="J74" s="175">
        <f t="shared" si="3"/>
        <v>0</v>
      </c>
      <c r="K74" s="175">
        <f>(IF('Pre-Calculation'!$D$17="Type 4 a",MAX(SA,H74,1.05*Q74),IF('Pre-Calculation'!$D$17="Type 4 c",H74,IF('Pre-Calculation'!$D$17="Type 4 d",SA+H74,IF('Pre-Calculation'!$D$17="Type 4 e",MAX(SA,H74),IF('Pre-Calculation'!$D$17="Type 4 f",SA,IF('Pre-Calculation'!$D$17="Type 4 g",1000+H74,IF('Pre-Calculation'!$D$17="Type 4 h",SA+X74,IF('Pre-Calculation'!$D$17="Type 4 i",MAX(H74,Q74),IF('Pre-Calculation'!$D$17="Type 4 k",MAX(H74,1.01*Q74),IF('Pre-Calculation'!$D$17="Type 4 m",MAX(105%*Q74,SA+H74),IF('Pre-Calculation'!$D$17="Type 4 o",MAX(SA,105%*Q74)+X74+Z74,IF('Pre-Calculation'!$D$17="Type 5",0)))))))))))))*IF(AND(A74&lt;Revival!$C$4,'Cashflows_8%'!C74&gt;=Revival!$D$12),PUP,1)</f>
        <v>1466077.716</v>
      </c>
      <c r="L74" s="175">
        <f>H74-I74*(1+Tax)</f>
        <v>1466077.716</v>
      </c>
      <c r="M74" s="175">
        <f>L74*(1+GROWTH_RATE_H)*(1-FMC*(1+Tax))</f>
        <v>1473552.829</v>
      </c>
      <c r="N74" s="175">
        <f>M74+IF(MOD(A74,B74)=0,VLOOKUP(B74,'Pre-Calculation'!$H$1:$L$31,5,FALSE),0)*IF('Pre-Calculation'!$D$16="% OF FV",M74,IF(OR('Pre-Calculation'!$D$16="% OF AFV(24M)",'Pre-Calculation'!$D$16="% OF AFV(8Q)"),AVERAGE( $M51:$M74),IF('Pre-Calculation'!$D$16="% OF AFV(12M)",AVERAGE($M63:M74),IF('Pre-Calculation'!$D$16="% OF AFV(36M)",AVERAGE($M39:M74)))))</f>
        <v>1473552.829</v>
      </c>
      <c r="O74" s="175">
        <f t="shared" si="4"/>
        <v>1473552.829</v>
      </c>
      <c r="P74" s="175">
        <f>IF('Pre-Calculation'!$D$17="Type 4 a",MAX(SA,N74,1.05*Q74),IF('Pre-Calculation'!$D$17="Type 4 c",N74,IF('Pre-Calculation'!$D$17="Type 4 d",SA+N74,IF('Pre-Calculation'!$D$17="Type 4 e",MAX(SA,N74),IF('Pre-Calculation'!$D$17="Type 4 f",SA,IF('Pre-Calculation'!$D$17="Type 4 g",1000+N74,IF('Pre-Calculation'!$D$17="Type 4 h",SA+X74,IF('Pre-Calculation'!$D$17="Type 4 i",MAX(N74,Q74),IF('Pre-Calculation'!$D$17="Type 4 k",MAX(N74,1.01*Q74),IF('Pre-Calculation'!$D$17="Type 4 m",MAX(105%*Q74,SA+N74),IF('Pre-Calculation'!$D$17="Type 4 o",MAX(SA,105%*Q74)+X74+Z74,IF('Pre-Calculation'!$D$17="Type 5",0))))))))))))</f>
        <v>1473552.829</v>
      </c>
      <c r="Q74" s="175">
        <f t="shared" si="5"/>
        <v>1000000</v>
      </c>
      <c r="R74" s="119">
        <f>L74*(1+GROWTH_RATE)*FMC</f>
        <v>1659.04661</v>
      </c>
      <c r="S74" s="178">
        <f>S73*(1+'Pre-Calculation'!$E$27)</f>
        <v>789905.8656</v>
      </c>
      <c r="T74" s="175">
        <f>-E74+IF(A73=INPUT!$C$11*12,N74,0)</f>
        <v>0</v>
      </c>
      <c r="U74" s="175">
        <f t="shared" si="6"/>
        <v>1508577.825</v>
      </c>
      <c r="V74" s="175">
        <f>U74*(1+GROWTH_RATE_H)*(1-'Pre-Calculation'!$E$31)</f>
        <v>1515755.625</v>
      </c>
      <c r="W74" s="175">
        <f>-E74+IF(A73=INPUT!$C$11*12,V74,0)</f>
        <v>0</v>
      </c>
      <c r="X74" s="179">
        <f t="array" ref="X74">NPV('Pre-Calculation'!$E$20,$E75:E$246)</f>
        <v>0</v>
      </c>
      <c r="Y74" s="171">
        <f>10%*SA</f>
        <v>100000</v>
      </c>
      <c r="Z74" s="179">
        <f t="array" ref="Z74">NPV('Pre-Calculation'!$E$20,Y75:Y84)</f>
        <v>969592.8037</v>
      </c>
    </row>
    <row r="75" ht="15.75" customHeight="1">
      <c r="A75" s="171">
        <f t="shared" si="1"/>
        <v>129</v>
      </c>
      <c r="B75" s="171">
        <f t="shared" si="2"/>
        <v>11</v>
      </c>
      <c r="C75" s="176">
        <f>EDATE(RCD,A74)</f>
        <v>46446</v>
      </c>
      <c r="D75" s="171">
        <f>Age_At_Entry+'Cashflows_8%'!B75-1</f>
        <v>45</v>
      </c>
      <c r="E75" s="175">
        <f>IF(AND(C75&lt;=Last_Prem,MOD(A74,Mode)=0,C75&gt;INPUT!$C$13,A75&lt;=Revival!$C$11),Mod_Prem,0)</f>
        <v>0</v>
      </c>
      <c r="F75" s="177">
        <f>E75*VLOOKUP(B75,'Pre-Calculation'!$H$1:$I$31,2,FALSE)</f>
        <v>0</v>
      </c>
      <c r="G75" s="177">
        <f>IF(B75&lt;PT+1,VLOOKUP(B75,'Pre-Calculation'!$H$1:$L$32,3,FALSE)+VLOOKUP(B75,'Pre-Calculation'!$H$1:$L$32,4,FALSE)*'Pre-Calculation'!$D$7,0)</f>
        <v>0</v>
      </c>
      <c r="H75" s="175">
        <f>(E75-(F75+G75)*(1+Tax)+N74)</f>
        <v>1473552.829</v>
      </c>
      <c r="I75" s="175">
        <f>IF(B75&lt;PT+1,VLOOKUP(D75,'Pre-Calculation'!$N$3:$P$79,IF(INPUT!$C$4="M",2,3),FALSE)*(J75/1000)*(1/12),0)</f>
        <v>0</v>
      </c>
      <c r="J75" s="175">
        <f t="shared" si="3"/>
        <v>0</v>
      </c>
      <c r="K75" s="175">
        <f>(IF('Pre-Calculation'!$D$17="Type 4 a",MAX(SA,H75,1.05*Q75),IF('Pre-Calculation'!$D$17="Type 4 c",H75,IF('Pre-Calculation'!$D$17="Type 4 d",SA+H75,IF('Pre-Calculation'!$D$17="Type 4 e",MAX(SA,H75),IF('Pre-Calculation'!$D$17="Type 4 f",SA,IF('Pre-Calculation'!$D$17="Type 4 g",1000+H75,IF('Pre-Calculation'!$D$17="Type 4 h",SA+X75,IF('Pre-Calculation'!$D$17="Type 4 i",MAX(H75,Q75),IF('Pre-Calculation'!$D$17="Type 4 k",MAX(H75,1.01*Q75),IF('Pre-Calculation'!$D$17="Type 4 m",MAX(105%*Q75,SA+H75),IF('Pre-Calculation'!$D$17="Type 4 o",MAX(SA,105%*Q75)+X75+Z75,IF('Pre-Calculation'!$D$17="Type 5",0)))))))))))))*IF(AND(A75&lt;Revival!$C$4,'Cashflows_8%'!C75&gt;=Revival!$D$12),PUP,1)</f>
        <v>1473552.829</v>
      </c>
      <c r="L75" s="175">
        <f>H75-I75*(1+Tax)</f>
        <v>1473552.829</v>
      </c>
      <c r="M75" s="175">
        <f>L75*(1+GROWTH_RATE_H)*(1-FMC*(1+Tax))</f>
        <v>1481066.056</v>
      </c>
      <c r="N75" s="175">
        <f>M75+IF(MOD(A75,B75)=0,VLOOKUP(B75,'Pre-Calculation'!$H$1:$L$31,5,FALSE),0)*IF('Pre-Calculation'!$D$16="% OF FV",M75,IF(OR('Pre-Calculation'!$D$16="% OF AFV(24M)",'Pre-Calculation'!$D$16="% OF AFV(8Q)"),AVERAGE( $M52:$M75),IF('Pre-Calculation'!$D$16="% OF AFV(12M)",AVERAGE($M64:M75),IF('Pre-Calculation'!$D$16="% OF AFV(36M)",AVERAGE($M40:M75)))))</f>
        <v>1481066.056</v>
      </c>
      <c r="O75" s="175">
        <f t="shared" si="4"/>
        <v>1481066.056</v>
      </c>
      <c r="P75" s="175">
        <f>IF('Pre-Calculation'!$D$17="Type 4 a",MAX(SA,N75,1.05*Q75),IF('Pre-Calculation'!$D$17="Type 4 c",N75,IF('Pre-Calculation'!$D$17="Type 4 d",SA+N75,IF('Pre-Calculation'!$D$17="Type 4 e",MAX(SA,N75),IF('Pre-Calculation'!$D$17="Type 4 f",SA,IF('Pre-Calculation'!$D$17="Type 4 g",1000+N75,IF('Pre-Calculation'!$D$17="Type 4 h",SA+X75,IF('Pre-Calculation'!$D$17="Type 4 i",MAX(N75,Q75),IF('Pre-Calculation'!$D$17="Type 4 k",MAX(N75,1.01*Q75),IF('Pre-Calculation'!$D$17="Type 4 m",MAX(105%*Q75,SA+N75),IF('Pre-Calculation'!$D$17="Type 4 o",MAX(SA,105%*Q75)+X75+Z75,IF('Pre-Calculation'!$D$17="Type 5",0))))))))))))</f>
        <v>1481066.056</v>
      </c>
      <c r="Q75" s="175">
        <f t="shared" si="5"/>
        <v>1000000</v>
      </c>
      <c r="R75" s="119">
        <f>L75*(1+GROWTH_RATE)*FMC</f>
        <v>1667.505617</v>
      </c>
      <c r="S75" s="178">
        <f>S74*(1+'Pre-Calculation'!$E$27)</f>
        <v>792173.6054</v>
      </c>
      <c r="T75" s="175">
        <f>-E75+IF(A74=INPUT!$C$11*12,N75,0)</f>
        <v>0</v>
      </c>
      <c r="U75" s="175">
        <f t="shared" si="6"/>
        <v>1515755.625</v>
      </c>
      <c r="V75" s="175">
        <f>U75*(1+GROWTH_RATE_H)*(1-'Pre-Calculation'!$E$31)</f>
        <v>1522967.577</v>
      </c>
      <c r="W75" s="175">
        <f>-E75+IF(A74=INPUT!$C$11*12,V75,0)</f>
        <v>0</v>
      </c>
      <c r="X75" s="179">
        <f t="array" ref="X75">NPV('Pre-Calculation'!$E$20,$E76:E$246)</f>
        <v>0</v>
      </c>
      <c r="Y75" s="171">
        <f>10%*SA</f>
        <v>100000</v>
      </c>
      <c r="Z75" s="179">
        <f t="array" ref="Z75">NPV('Pre-Calculation'!$E$20,Y76:Y85)</f>
        <v>969592.8037</v>
      </c>
    </row>
    <row r="76" ht="15.75" customHeight="1">
      <c r="A76" s="171">
        <f t="shared" si="1"/>
        <v>130</v>
      </c>
      <c r="B76" s="171">
        <f t="shared" si="2"/>
        <v>11</v>
      </c>
      <c r="C76" s="176">
        <f>EDATE(RCD,A75)</f>
        <v>46476</v>
      </c>
      <c r="D76" s="171">
        <f>Age_At_Entry+'Cashflows_8%'!B76-1</f>
        <v>45</v>
      </c>
      <c r="E76" s="175">
        <f>IF(AND(C76&lt;=Last_Prem,MOD(A75,Mode)=0,C76&gt;INPUT!$C$13,A76&lt;=Revival!$C$11),Mod_Prem,0)</f>
        <v>0</v>
      </c>
      <c r="F76" s="177">
        <f>E76*VLOOKUP(B76,'Pre-Calculation'!$H$1:$I$31,2,FALSE)</f>
        <v>0</v>
      </c>
      <c r="G76" s="177">
        <f>IF(B76&lt;PT+1,VLOOKUP(B76,'Pre-Calculation'!$H$1:$L$32,3,FALSE)+VLOOKUP(B76,'Pre-Calculation'!$H$1:$L$32,4,FALSE)*'Pre-Calculation'!$D$7,0)</f>
        <v>0</v>
      </c>
      <c r="H76" s="175">
        <f>(E76-(F76+G76)*(1+Tax)+N75)</f>
        <v>1481066.056</v>
      </c>
      <c r="I76" s="175">
        <f>IF(B76&lt;PT+1,VLOOKUP(D76,'Pre-Calculation'!$N$3:$P$79,IF(INPUT!$C$4="M",2,3),FALSE)*(J76/1000)*(1/12),0)</f>
        <v>0</v>
      </c>
      <c r="J76" s="175">
        <f t="shared" si="3"/>
        <v>0</v>
      </c>
      <c r="K76" s="175">
        <f>(IF('Pre-Calculation'!$D$17="Type 4 a",MAX(SA,H76,1.05*Q76),IF('Pre-Calculation'!$D$17="Type 4 c",H76,IF('Pre-Calculation'!$D$17="Type 4 d",SA+H76,IF('Pre-Calculation'!$D$17="Type 4 e",MAX(SA,H76),IF('Pre-Calculation'!$D$17="Type 4 f",SA,IF('Pre-Calculation'!$D$17="Type 4 g",1000+H76,IF('Pre-Calculation'!$D$17="Type 4 h",SA+X76,IF('Pre-Calculation'!$D$17="Type 4 i",MAX(H76,Q76),IF('Pre-Calculation'!$D$17="Type 4 k",MAX(H76,1.01*Q76),IF('Pre-Calculation'!$D$17="Type 4 m",MAX(105%*Q76,SA+H76),IF('Pre-Calculation'!$D$17="Type 4 o",MAX(SA,105%*Q76)+X76+Z76,IF('Pre-Calculation'!$D$17="Type 5",0)))))))))))))*IF(AND(A76&lt;Revival!$C$4,'Cashflows_8%'!C76&gt;=Revival!$D$12),PUP,1)</f>
        <v>1481066.056</v>
      </c>
      <c r="L76" s="175">
        <f>H76-I76*(1+Tax)</f>
        <v>1481066.056</v>
      </c>
      <c r="M76" s="175">
        <f>L76*(1+GROWTH_RATE_H)*(1-FMC*(1+Tax))</f>
        <v>1488617.591</v>
      </c>
      <c r="N76" s="175">
        <f>M76+IF(MOD(A76,B76)=0,VLOOKUP(B76,'Pre-Calculation'!$H$1:$L$31,5,FALSE),0)*IF('Pre-Calculation'!$D$16="% OF FV",M76,IF(OR('Pre-Calculation'!$D$16="% OF AFV(24M)",'Pre-Calculation'!$D$16="% OF AFV(8Q)"),AVERAGE( $M53:$M76),IF('Pre-Calculation'!$D$16="% OF AFV(12M)",AVERAGE($M65:M76),IF('Pre-Calculation'!$D$16="% OF AFV(36M)",AVERAGE($M41:M76)))))</f>
        <v>1488617.591</v>
      </c>
      <c r="O76" s="175">
        <f t="shared" si="4"/>
        <v>1488617.591</v>
      </c>
      <c r="P76" s="175">
        <f>IF('Pre-Calculation'!$D$17="Type 4 a",MAX(SA,N76,1.05*Q76),IF('Pre-Calculation'!$D$17="Type 4 c",N76,IF('Pre-Calculation'!$D$17="Type 4 d",SA+N76,IF('Pre-Calculation'!$D$17="Type 4 e",MAX(SA,N76),IF('Pre-Calculation'!$D$17="Type 4 f",SA,IF('Pre-Calculation'!$D$17="Type 4 g",1000+N76,IF('Pre-Calculation'!$D$17="Type 4 h",SA+X76,IF('Pre-Calculation'!$D$17="Type 4 i",MAX(N76,Q76),IF('Pre-Calculation'!$D$17="Type 4 k",MAX(N76,1.01*Q76),IF('Pre-Calculation'!$D$17="Type 4 m",MAX(105%*Q76,SA+N76),IF('Pre-Calculation'!$D$17="Type 4 o",MAX(SA,105%*Q76)+X76+Z76,IF('Pre-Calculation'!$D$17="Type 5",0))))))))))))</f>
        <v>1488617.591</v>
      </c>
      <c r="Q76" s="175">
        <f t="shared" si="5"/>
        <v>1000000</v>
      </c>
      <c r="R76" s="119">
        <f>L76*(1+GROWTH_RATE)*FMC</f>
        <v>1676.007753</v>
      </c>
      <c r="S76" s="178">
        <f>S75*(1+'Pre-Calculation'!$E$27)</f>
        <v>794447.8556</v>
      </c>
      <c r="T76" s="175">
        <f>-E76+IF(A75=INPUT!$C$11*12,N76,0)</f>
        <v>0</v>
      </c>
      <c r="U76" s="175">
        <f t="shared" si="6"/>
        <v>1522967.577</v>
      </c>
      <c r="V76" s="175">
        <f>U76*(1+GROWTH_RATE_H)*(1-'Pre-Calculation'!$E$31)</f>
        <v>1530213.844</v>
      </c>
      <c r="W76" s="175">
        <f>-E76+IF(A75=INPUT!$C$11*12,V76,0)</f>
        <v>0</v>
      </c>
      <c r="X76" s="179">
        <f t="array" ref="X76">NPV('Pre-Calculation'!$E$20,$E77:E$246)</f>
        <v>0</v>
      </c>
      <c r="Y76" s="171">
        <f>10%*SA</f>
        <v>100000</v>
      </c>
      <c r="Z76" s="179">
        <f t="array" ref="Z76">NPV('Pre-Calculation'!$E$20,Y77:Y86)</f>
        <v>969592.8037</v>
      </c>
    </row>
    <row r="77" ht="15.75" customHeight="1">
      <c r="A77" s="171">
        <f t="shared" si="1"/>
        <v>131</v>
      </c>
      <c r="B77" s="171">
        <f t="shared" si="2"/>
        <v>11</v>
      </c>
      <c r="C77" s="176">
        <f>EDATE(RCD,A76)</f>
        <v>46507</v>
      </c>
      <c r="D77" s="171">
        <f>Age_At_Entry+'Cashflows_8%'!B77-1</f>
        <v>45</v>
      </c>
      <c r="E77" s="175">
        <f>IF(AND(C77&lt;=Last_Prem,MOD(A76,Mode)=0,C77&gt;INPUT!$C$13,A77&lt;=Revival!$C$11),Mod_Prem,0)</f>
        <v>0</v>
      </c>
      <c r="F77" s="177">
        <f>E77*VLOOKUP(B77,'Pre-Calculation'!$H$1:$I$31,2,FALSE)</f>
        <v>0</v>
      </c>
      <c r="G77" s="177">
        <f>IF(B77&lt;PT+1,VLOOKUP(B77,'Pre-Calculation'!$H$1:$L$32,3,FALSE)+VLOOKUP(B77,'Pre-Calculation'!$H$1:$L$32,4,FALSE)*'Pre-Calculation'!$D$7,0)</f>
        <v>0</v>
      </c>
      <c r="H77" s="175">
        <f>(E77-(F77+G77)*(1+Tax)+N76)</f>
        <v>1488617.591</v>
      </c>
      <c r="I77" s="175">
        <f>IF(B77&lt;PT+1,VLOOKUP(D77,'Pre-Calculation'!$N$3:$P$79,IF(INPUT!$C$4="M",2,3),FALSE)*(J77/1000)*(1/12),0)</f>
        <v>0</v>
      </c>
      <c r="J77" s="175">
        <f t="shared" si="3"/>
        <v>0</v>
      </c>
      <c r="K77" s="175">
        <f>(IF('Pre-Calculation'!$D$17="Type 4 a",MAX(SA,H77,1.05*Q77),IF('Pre-Calculation'!$D$17="Type 4 c",H77,IF('Pre-Calculation'!$D$17="Type 4 d",SA+H77,IF('Pre-Calculation'!$D$17="Type 4 e",MAX(SA,H77),IF('Pre-Calculation'!$D$17="Type 4 f",SA,IF('Pre-Calculation'!$D$17="Type 4 g",1000+H77,IF('Pre-Calculation'!$D$17="Type 4 h",SA+X77,IF('Pre-Calculation'!$D$17="Type 4 i",MAX(H77,Q77),IF('Pre-Calculation'!$D$17="Type 4 k",MAX(H77,1.01*Q77),IF('Pre-Calculation'!$D$17="Type 4 m",MAX(105%*Q77,SA+H77),IF('Pre-Calculation'!$D$17="Type 4 o",MAX(SA,105%*Q77)+X77+Z77,IF('Pre-Calculation'!$D$17="Type 5",0)))))))))))))*IF(AND(A77&lt;Revival!$C$4,'Cashflows_8%'!C77&gt;=Revival!$D$12),PUP,1)</f>
        <v>1488617.591</v>
      </c>
      <c r="L77" s="175">
        <f>H77-I77*(1+Tax)</f>
        <v>1488617.591</v>
      </c>
      <c r="M77" s="175">
        <f>L77*(1+GROWTH_RATE_H)*(1-FMC*(1+Tax))</f>
        <v>1496207.628</v>
      </c>
      <c r="N77" s="175">
        <f>M77+IF(MOD(A77,B77)=0,VLOOKUP(B77,'Pre-Calculation'!$H$1:$L$31,5,FALSE),0)*IF('Pre-Calculation'!$D$16="% OF FV",M77,IF(OR('Pre-Calculation'!$D$16="% OF AFV(24M)",'Pre-Calculation'!$D$16="% OF AFV(8Q)"),AVERAGE( $M54:$M77),IF('Pre-Calculation'!$D$16="% OF AFV(12M)",AVERAGE($M66:M77),IF('Pre-Calculation'!$D$16="% OF AFV(36M)",AVERAGE($M42:M77)))))</f>
        <v>1496207.628</v>
      </c>
      <c r="O77" s="175">
        <f t="shared" si="4"/>
        <v>1496207.628</v>
      </c>
      <c r="P77" s="175">
        <f>IF('Pre-Calculation'!$D$17="Type 4 a",MAX(SA,N77,1.05*Q77),IF('Pre-Calculation'!$D$17="Type 4 c",N77,IF('Pre-Calculation'!$D$17="Type 4 d",SA+N77,IF('Pre-Calculation'!$D$17="Type 4 e",MAX(SA,N77),IF('Pre-Calculation'!$D$17="Type 4 f",SA,IF('Pre-Calculation'!$D$17="Type 4 g",1000+N77,IF('Pre-Calculation'!$D$17="Type 4 h",SA+X77,IF('Pre-Calculation'!$D$17="Type 4 i",MAX(N77,Q77),IF('Pre-Calculation'!$D$17="Type 4 k",MAX(N77,1.01*Q77),IF('Pre-Calculation'!$D$17="Type 4 m",MAX(105%*Q77,SA+N77),IF('Pre-Calculation'!$D$17="Type 4 o",MAX(SA,105%*Q77)+X77+Z77,IF('Pre-Calculation'!$D$17="Type 5",0))))))))))))</f>
        <v>1496207.628</v>
      </c>
      <c r="Q77" s="175">
        <f t="shared" si="5"/>
        <v>1000000</v>
      </c>
      <c r="R77" s="119">
        <f>L77*(1+GROWTH_RATE)*FMC</f>
        <v>1684.55324</v>
      </c>
      <c r="S77" s="178">
        <f>S76*(1+'Pre-Calculation'!$E$27)</f>
        <v>796728.6349</v>
      </c>
      <c r="T77" s="175">
        <f>-E77+IF(A76=INPUT!$C$11*12,N77,0)</f>
        <v>0</v>
      </c>
      <c r="U77" s="175">
        <f t="shared" si="6"/>
        <v>1530213.844</v>
      </c>
      <c r="V77" s="175">
        <f>U77*(1+GROWTH_RATE_H)*(1-'Pre-Calculation'!$E$31)</f>
        <v>1537494.588</v>
      </c>
      <c r="W77" s="175">
        <f>-E77+IF(A76=INPUT!$C$11*12,V77,0)</f>
        <v>0</v>
      </c>
      <c r="X77" s="179">
        <f t="array" ref="X77">NPV('Pre-Calculation'!$E$20,$E78:E$246)</f>
        <v>0</v>
      </c>
      <c r="Y77" s="171">
        <f>10%*SA</f>
        <v>100000</v>
      </c>
      <c r="Z77" s="179">
        <f t="array" ref="Z77">NPV('Pre-Calculation'!$E$20,Y78:Y87)</f>
        <v>969592.8037</v>
      </c>
    </row>
    <row r="78" ht="15.75" customHeight="1">
      <c r="A78" s="171">
        <f t="shared" si="1"/>
        <v>132</v>
      </c>
      <c r="B78" s="171">
        <f t="shared" si="2"/>
        <v>11</v>
      </c>
      <c r="C78" s="176">
        <f>EDATE(RCD,A77)</f>
        <v>46537</v>
      </c>
      <c r="D78" s="171">
        <f>Age_At_Entry+'Cashflows_8%'!B78-1</f>
        <v>45</v>
      </c>
      <c r="E78" s="175">
        <f>IF(AND(C78&lt;=Last_Prem,MOD(A77,Mode)=0,C78&gt;INPUT!$C$13,A78&lt;=Revival!$C$11),Mod_Prem,0)</f>
        <v>0</v>
      </c>
      <c r="F78" s="177">
        <f>E78*VLOOKUP(B78,'Pre-Calculation'!$H$1:$I$31,2,FALSE)</f>
        <v>0</v>
      </c>
      <c r="G78" s="177">
        <f>IF(B78&lt;PT+1,VLOOKUP(B78,'Pre-Calculation'!$H$1:$L$32,3,FALSE)+VLOOKUP(B78,'Pre-Calculation'!$H$1:$L$32,4,FALSE)*'Pre-Calculation'!$D$7,0)</f>
        <v>0</v>
      </c>
      <c r="H78" s="175">
        <f>(E78-(F78+G78)*(1+Tax)+N77)</f>
        <v>1496207.628</v>
      </c>
      <c r="I78" s="175">
        <f>IF(B78&lt;PT+1,VLOOKUP(D78,'Pre-Calculation'!$N$3:$P$79,IF(INPUT!$C$4="M",2,3),FALSE)*(J78/1000)*(1/12),0)</f>
        <v>0</v>
      </c>
      <c r="J78" s="175">
        <f t="shared" si="3"/>
        <v>0</v>
      </c>
      <c r="K78" s="175">
        <f>(IF('Pre-Calculation'!$D$17="Type 4 a",MAX(SA,H78,1.05*Q78),IF('Pre-Calculation'!$D$17="Type 4 c",H78,IF('Pre-Calculation'!$D$17="Type 4 d",SA+H78,IF('Pre-Calculation'!$D$17="Type 4 e",MAX(SA,H78),IF('Pre-Calculation'!$D$17="Type 4 f",SA,IF('Pre-Calculation'!$D$17="Type 4 g",1000+H78,IF('Pre-Calculation'!$D$17="Type 4 h",SA+X78,IF('Pre-Calculation'!$D$17="Type 4 i",MAX(H78,Q78),IF('Pre-Calculation'!$D$17="Type 4 k",MAX(H78,1.01*Q78),IF('Pre-Calculation'!$D$17="Type 4 m",MAX(105%*Q78,SA+H78),IF('Pre-Calculation'!$D$17="Type 4 o",MAX(SA,105%*Q78)+X78+Z78,IF('Pre-Calculation'!$D$17="Type 5",0)))))))))))))*IF(AND(A78&lt;Revival!$C$4,'Cashflows_8%'!C78&gt;=Revival!$D$12),PUP,1)</f>
        <v>1496207.628</v>
      </c>
      <c r="L78" s="175">
        <f>H78-I78*(1+Tax)</f>
        <v>1496207.628</v>
      </c>
      <c r="M78" s="175">
        <f>L78*(1+GROWTH_RATE_H)*(1-FMC*(1+Tax))</f>
        <v>1503836.365</v>
      </c>
      <c r="N78" s="175">
        <f>M78+IF(MOD(A78,B78)=0,VLOOKUP(B78,'Pre-Calculation'!$H$1:$L$31,5,FALSE),0)*IF('Pre-Calculation'!$D$16="% OF FV",M78,IF(OR('Pre-Calculation'!$D$16="% OF AFV(24M)",'Pre-Calculation'!$D$16="% OF AFV(8Q)"),AVERAGE( $M55:$M78),IF('Pre-Calculation'!$D$16="% OF AFV(12M)",AVERAGE($M67:M78),IF('Pre-Calculation'!$D$16="% OF AFV(36M)",AVERAGE($M43:M78)))))</f>
        <v>1503836.365</v>
      </c>
      <c r="O78" s="175">
        <f t="shared" si="4"/>
        <v>1503836.365</v>
      </c>
      <c r="P78" s="175">
        <f>IF('Pre-Calculation'!$D$17="Type 4 a",MAX(SA,N78,1.05*Q78),IF('Pre-Calculation'!$D$17="Type 4 c",N78,IF('Pre-Calculation'!$D$17="Type 4 d",SA+N78,IF('Pre-Calculation'!$D$17="Type 4 e",MAX(SA,N78),IF('Pre-Calculation'!$D$17="Type 4 f",SA,IF('Pre-Calculation'!$D$17="Type 4 g",1000+N78,IF('Pre-Calculation'!$D$17="Type 4 h",SA+X78,IF('Pre-Calculation'!$D$17="Type 4 i",MAX(N78,Q78),IF('Pre-Calculation'!$D$17="Type 4 k",MAX(N78,1.01*Q78),IF('Pre-Calculation'!$D$17="Type 4 m",MAX(105%*Q78,SA+N78),IF('Pre-Calculation'!$D$17="Type 4 o",MAX(SA,105%*Q78)+X78+Z78,IF('Pre-Calculation'!$D$17="Type 5",0))))))))))))</f>
        <v>1503836.365</v>
      </c>
      <c r="Q78" s="175">
        <f t="shared" si="5"/>
        <v>1000000</v>
      </c>
      <c r="R78" s="119">
        <f>L78*(1+GROWTH_RATE)*FMC</f>
        <v>1693.142298</v>
      </c>
      <c r="S78" s="178">
        <f>S77*(1+'Pre-Calculation'!$E$27)</f>
        <v>799015.9621</v>
      </c>
      <c r="T78" s="175">
        <f>-E78+IF(A77=INPUT!$C$11*12,N78,0)</f>
        <v>0</v>
      </c>
      <c r="U78" s="175">
        <f t="shared" si="6"/>
        <v>1537494.588</v>
      </c>
      <c r="V78" s="175">
        <f>U78*(1+GROWTH_RATE_H)*(1-'Pre-Calculation'!$E$31)</f>
        <v>1544809.973</v>
      </c>
      <c r="W78" s="175">
        <f>-E78+IF(A77=INPUT!$C$11*12,V78,0)</f>
        <v>0</v>
      </c>
      <c r="X78" s="179">
        <f t="array" ref="X78">NPV('Pre-Calculation'!$E$20,$E79:E$246)</f>
        <v>0</v>
      </c>
      <c r="Y78" s="171">
        <f>10%*SA</f>
        <v>100000</v>
      </c>
      <c r="Z78" s="179">
        <f t="array" ref="Z78">NPV('Pre-Calculation'!$E$20,Y79:Y88)</f>
        <v>969592.8037</v>
      </c>
    </row>
    <row r="79" ht="15.75" customHeight="1">
      <c r="A79" s="171">
        <f t="shared" si="1"/>
        <v>133</v>
      </c>
      <c r="B79" s="171">
        <f t="shared" si="2"/>
        <v>12</v>
      </c>
      <c r="C79" s="176">
        <f>EDATE(RCD,A78)</f>
        <v>46568</v>
      </c>
      <c r="D79" s="171">
        <f>Age_At_Entry+'Cashflows_8%'!B79-1</f>
        <v>46</v>
      </c>
      <c r="E79" s="175">
        <f>IF(AND(C79&lt;=Last_Prem,MOD(A78,Mode)=0,C79&gt;INPUT!$C$13,A79&lt;=Revival!$C$11),Mod_Prem,0)</f>
        <v>0</v>
      </c>
      <c r="F79" s="177">
        <f>E79*VLOOKUP(B79,'Pre-Calculation'!$H$1:$I$31,2,FALSE)</f>
        <v>0</v>
      </c>
      <c r="G79" s="177">
        <f>IF(B79&lt;PT+1,VLOOKUP(B79,'Pre-Calculation'!$H$1:$L$32,3,FALSE)+VLOOKUP(B79,'Pre-Calculation'!$H$1:$L$32,4,FALSE)*'Pre-Calculation'!$D$7,0)</f>
        <v>0</v>
      </c>
      <c r="H79" s="175">
        <f>(E79-(F79+G79)*(1+Tax)+N78)</f>
        <v>1503836.365</v>
      </c>
      <c r="I79" s="175">
        <f>IF(B79&lt;PT+1,VLOOKUP(D79,'Pre-Calculation'!$N$3:$P$79,IF(INPUT!$C$4="M",2,3),FALSE)*(J79/1000)*(1/12),0)</f>
        <v>0</v>
      </c>
      <c r="J79" s="175">
        <f t="shared" si="3"/>
        <v>0</v>
      </c>
      <c r="K79" s="175">
        <f>(IF('Pre-Calculation'!$D$17="Type 4 a",MAX(SA,H79,1.05*Q79),IF('Pre-Calculation'!$D$17="Type 4 c",H79,IF('Pre-Calculation'!$D$17="Type 4 d",SA+H79,IF('Pre-Calculation'!$D$17="Type 4 e",MAX(SA,H79),IF('Pre-Calculation'!$D$17="Type 4 f",SA,IF('Pre-Calculation'!$D$17="Type 4 g",1000+H79,IF('Pre-Calculation'!$D$17="Type 4 h",SA+X79,IF('Pre-Calculation'!$D$17="Type 4 i",MAX(H79,Q79),IF('Pre-Calculation'!$D$17="Type 4 k",MAX(H79,1.01*Q79),IF('Pre-Calculation'!$D$17="Type 4 m",MAX(105%*Q79,SA+H79),IF('Pre-Calculation'!$D$17="Type 4 o",MAX(SA,105%*Q79)+X79+Z79,IF('Pre-Calculation'!$D$17="Type 5",0)))))))))))))*IF(AND(A79&lt;Revival!$C$4,'Cashflows_8%'!C79&gt;=Revival!$D$12),PUP,1)</f>
        <v>1503836.365</v>
      </c>
      <c r="L79" s="175">
        <f>H79-I79*(1+Tax)</f>
        <v>1503836.365</v>
      </c>
      <c r="M79" s="175">
        <f>L79*(1+GROWTH_RATE_H)*(1-FMC*(1+Tax))</f>
        <v>1511503.999</v>
      </c>
      <c r="N79" s="175">
        <f>M79+IF(MOD(A79,B79)=0,VLOOKUP(B79,'Pre-Calculation'!$H$1:$L$31,5,FALSE),0)*IF('Pre-Calculation'!$D$16="% OF FV",M79,IF(OR('Pre-Calculation'!$D$16="% OF AFV(24M)",'Pre-Calculation'!$D$16="% OF AFV(8Q)"),AVERAGE( $M56:$M79),IF('Pre-Calculation'!$D$16="% OF AFV(12M)",AVERAGE($M68:M79),IF('Pre-Calculation'!$D$16="% OF AFV(36M)",AVERAGE($M44:M79)))))</f>
        <v>1511503.999</v>
      </c>
      <c r="O79" s="175">
        <f t="shared" si="4"/>
        <v>1511503.999</v>
      </c>
      <c r="P79" s="175">
        <f>IF('Pre-Calculation'!$D$17="Type 4 a",MAX(SA,N79,1.05*Q79),IF('Pre-Calculation'!$D$17="Type 4 c",N79,IF('Pre-Calculation'!$D$17="Type 4 d",SA+N79,IF('Pre-Calculation'!$D$17="Type 4 e",MAX(SA,N79),IF('Pre-Calculation'!$D$17="Type 4 f",SA,IF('Pre-Calculation'!$D$17="Type 4 g",1000+N79,IF('Pre-Calculation'!$D$17="Type 4 h",SA+X79,IF('Pre-Calculation'!$D$17="Type 4 i",MAX(N79,Q79),IF('Pre-Calculation'!$D$17="Type 4 k",MAX(N79,1.01*Q79),IF('Pre-Calculation'!$D$17="Type 4 m",MAX(105%*Q79,SA+N79),IF('Pre-Calculation'!$D$17="Type 4 o",MAX(SA,105%*Q79)+X79+Z79,IF('Pre-Calculation'!$D$17="Type 5",0))))))))))))</f>
        <v>1511503.999</v>
      </c>
      <c r="Q79" s="175">
        <f t="shared" si="5"/>
        <v>1000000</v>
      </c>
      <c r="R79" s="119">
        <f>L79*(1+GROWTH_RATE)*FMC</f>
        <v>1701.775149</v>
      </c>
      <c r="S79" s="178">
        <f>S78*(1+'Pre-Calculation'!$E$27)</f>
        <v>801309.856</v>
      </c>
      <c r="T79" s="175">
        <f>-E79+IF(A78=INPUT!$C$11*12,N79,0)</f>
        <v>0</v>
      </c>
      <c r="U79" s="175">
        <f t="shared" si="6"/>
        <v>1544809.973</v>
      </c>
      <c r="V79" s="175">
        <f>U79*(1+GROWTH_RATE_H)*(1-'Pre-Calculation'!$E$31)</f>
        <v>1552160.166</v>
      </c>
      <c r="W79" s="175">
        <f>-E79+IF(A78=INPUT!$C$11*12,V79,0)</f>
        <v>0</v>
      </c>
      <c r="X79" s="179">
        <f t="array" ref="X79">NPV('Pre-Calculation'!$E$20,$E80:E$246)</f>
        <v>0</v>
      </c>
      <c r="Y79" s="171">
        <f>10%*SA</f>
        <v>100000</v>
      </c>
      <c r="Z79" s="179">
        <f t="array" ref="Z79">NPV('Pre-Calculation'!$E$20,Y80:Y89)</f>
        <v>969592.8037</v>
      </c>
    </row>
    <row r="80" ht="15.75" customHeight="1">
      <c r="A80" s="171">
        <f t="shared" si="1"/>
        <v>134</v>
      </c>
      <c r="B80" s="171">
        <f t="shared" si="2"/>
        <v>12</v>
      </c>
      <c r="C80" s="176">
        <f>EDATE(RCD,A79)</f>
        <v>46598</v>
      </c>
      <c r="D80" s="171">
        <f>Age_At_Entry+'Cashflows_8%'!B80-1</f>
        <v>46</v>
      </c>
      <c r="E80" s="175">
        <f>IF(AND(C80&lt;=Last_Prem,MOD(A79,Mode)=0,C80&gt;INPUT!$C$13,A80&lt;=Revival!$C$11),Mod_Prem,0)</f>
        <v>0</v>
      </c>
      <c r="F80" s="177">
        <f>E80*VLOOKUP(B80,'Pre-Calculation'!$H$1:$I$31,2,FALSE)</f>
        <v>0</v>
      </c>
      <c r="G80" s="177">
        <f>IF(B80&lt;PT+1,VLOOKUP(B80,'Pre-Calculation'!$H$1:$L$32,3,FALSE)+VLOOKUP(B80,'Pre-Calculation'!$H$1:$L$32,4,FALSE)*'Pre-Calculation'!$D$7,0)</f>
        <v>0</v>
      </c>
      <c r="H80" s="175">
        <f>(E80-(F80+G80)*(1+Tax)+N79)</f>
        <v>1511503.999</v>
      </c>
      <c r="I80" s="175">
        <f>IF(B80&lt;PT+1,VLOOKUP(D80,'Pre-Calculation'!$N$3:$P$79,IF(INPUT!$C$4="M",2,3),FALSE)*(J80/1000)*(1/12),0)</f>
        <v>0</v>
      </c>
      <c r="J80" s="175">
        <f t="shared" si="3"/>
        <v>0</v>
      </c>
      <c r="K80" s="175">
        <f>(IF('Pre-Calculation'!$D$17="Type 4 a",MAX(SA,H80,1.05*Q80),IF('Pre-Calculation'!$D$17="Type 4 c",H80,IF('Pre-Calculation'!$D$17="Type 4 d",SA+H80,IF('Pre-Calculation'!$D$17="Type 4 e",MAX(SA,H80),IF('Pre-Calculation'!$D$17="Type 4 f",SA,IF('Pre-Calculation'!$D$17="Type 4 g",1000+H80,IF('Pre-Calculation'!$D$17="Type 4 h",SA+X80,IF('Pre-Calculation'!$D$17="Type 4 i",MAX(H80,Q80),IF('Pre-Calculation'!$D$17="Type 4 k",MAX(H80,1.01*Q80),IF('Pre-Calculation'!$D$17="Type 4 m",MAX(105%*Q80,SA+H80),IF('Pre-Calculation'!$D$17="Type 4 o",MAX(SA,105%*Q80)+X80+Z80,IF('Pre-Calculation'!$D$17="Type 5",0)))))))))))))*IF(AND(A80&lt;Revival!$C$4,'Cashflows_8%'!C80&gt;=Revival!$D$12),PUP,1)</f>
        <v>1511503.999</v>
      </c>
      <c r="L80" s="175">
        <f>H80-I80*(1+Tax)</f>
        <v>1511503.999</v>
      </c>
      <c r="M80" s="175">
        <f>L80*(1+GROWTH_RATE_H)*(1-FMC*(1+Tax))</f>
        <v>1519210.728</v>
      </c>
      <c r="N80" s="175">
        <f>M80+IF(MOD(A80,B80)=0,VLOOKUP(B80,'Pre-Calculation'!$H$1:$L$31,5,FALSE),0)*IF('Pre-Calculation'!$D$16="% OF FV",M80,IF(OR('Pre-Calculation'!$D$16="% OF AFV(24M)",'Pre-Calculation'!$D$16="% OF AFV(8Q)"),AVERAGE( $M57:$M80),IF('Pre-Calculation'!$D$16="% OF AFV(12M)",AVERAGE($M69:M80),IF('Pre-Calculation'!$D$16="% OF AFV(36M)",AVERAGE($M45:M80)))))</f>
        <v>1519210.728</v>
      </c>
      <c r="O80" s="175">
        <f t="shared" si="4"/>
        <v>1519210.728</v>
      </c>
      <c r="P80" s="175">
        <f>IF('Pre-Calculation'!$D$17="Type 4 a",MAX(SA,N80,1.05*Q80),IF('Pre-Calculation'!$D$17="Type 4 c",N80,IF('Pre-Calculation'!$D$17="Type 4 d",SA+N80,IF('Pre-Calculation'!$D$17="Type 4 e",MAX(SA,N80),IF('Pre-Calculation'!$D$17="Type 4 f",SA,IF('Pre-Calculation'!$D$17="Type 4 g",1000+N80,IF('Pre-Calculation'!$D$17="Type 4 h",SA+X80,IF('Pre-Calculation'!$D$17="Type 4 i",MAX(N80,Q80),IF('Pre-Calculation'!$D$17="Type 4 k",MAX(N80,1.01*Q80),IF('Pre-Calculation'!$D$17="Type 4 m",MAX(105%*Q80,SA+N80),IF('Pre-Calculation'!$D$17="Type 4 o",MAX(SA,105%*Q80)+X80+Z80,IF('Pre-Calculation'!$D$17="Type 5",0))))))))))))</f>
        <v>1519210.728</v>
      </c>
      <c r="Q80" s="175">
        <f t="shared" si="5"/>
        <v>1000000</v>
      </c>
      <c r="R80" s="119">
        <f>L80*(1+GROWTH_RATE)*FMC</f>
        <v>1710.452016</v>
      </c>
      <c r="S80" s="178">
        <f>S79*(1+'Pre-Calculation'!$E$27)</f>
        <v>803610.3355</v>
      </c>
      <c r="T80" s="175">
        <f>-E80+IF(A79=INPUT!$C$11*12,N80,0)</f>
        <v>0</v>
      </c>
      <c r="U80" s="175">
        <f t="shared" si="6"/>
        <v>1552160.166</v>
      </c>
      <c r="V80" s="175">
        <f>U80*(1+GROWTH_RATE_H)*(1-'Pre-Calculation'!$E$31)</f>
        <v>1559545.33</v>
      </c>
      <c r="W80" s="175">
        <f>-E80+IF(A79=INPUT!$C$11*12,V80,0)</f>
        <v>0</v>
      </c>
      <c r="X80" s="179">
        <f t="array" ref="X80">NPV('Pre-Calculation'!$E$20,$E81:E$246)</f>
        <v>0</v>
      </c>
      <c r="Y80" s="171">
        <f>10%*SA</f>
        <v>100000</v>
      </c>
      <c r="Z80" s="179">
        <f t="array" ref="Z80">NPV('Pre-Calculation'!$E$20,Y81:Y90)</f>
        <v>969592.8037</v>
      </c>
    </row>
    <row r="81" ht="15.75" customHeight="1">
      <c r="A81" s="171">
        <f t="shared" si="1"/>
        <v>135</v>
      </c>
      <c r="B81" s="171">
        <f t="shared" si="2"/>
        <v>12</v>
      </c>
      <c r="C81" s="176">
        <f>EDATE(RCD,A80)</f>
        <v>46629</v>
      </c>
      <c r="D81" s="171">
        <f>Age_At_Entry+'Cashflows_8%'!B81-1</f>
        <v>46</v>
      </c>
      <c r="E81" s="175">
        <f>IF(AND(C81&lt;=Last_Prem,MOD(A80,Mode)=0,C81&gt;INPUT!$C$13,A81&lt;=Revival!$C$11),Mod_Prem,0)</f>
        <v>0</v>
      </c>
      <c r="F81" s="177">
        <f>E81*VLOOKUP(B81,'Pre-Calculation'!$H$1:$I$31,2,FALSE)</f>
        <v>0</v>
      </c>
      <c r="G81" s="177">
        <f>IF(B81&lt;PT+1,VLOOKUP(B81,'Pre-Calculation'!$H$1:$L$32,3,FALSE)+VLOOKUP(B81,'Pre-Calculation'!$H$1:$L$32,4,FALSE)*'Pre-Calculation'!$D$7,0)</f>
        <v>0</v>
      </c>
      <c r="H81" s="175">
        <f>(E81-(F81+G81)*(1+Tax)+N80)</f>
        <v>1519210.728</v>
      </c>
      <c r="I81" s="175">
        <f>IF(B81&lt;PT+1,VLOOKUP(D81,'Pre-Calculation'!$N$3:$P$79,IF(INPUT!$C$4="M",2,3),FALSE)*(J81/1000)*(1/12),0)</f>
        <v>0</v>
      </c>
      <c r="J81" s="175">
        <f t="shared" si="3"/>
        <v>0</v>
      </c>
      <c r="K81" s="175">
        <f>(IF('Pre-Calculation'!$D$17="Type 4 a",MAX(SA,H81,1.05*Q81),IF('Pre-Calculation'!$D$17="Type 4 c",H81,IF('Pre-Calculation'!$D$17="Type 4 d",SA+H81,IF('Pre-Calculation'!$D$17="Type 4 e",MAX(SA,H81),IF('Pre-Calculation'!$D$17="Type 4 f",SA,IF('Pre-Calculation'!$D$17="Type 4 g",1000+H81,IF('Pre-Calculation'!$D$17="Type 4 h",SA+X81,IF('Pre-Calculation'!$D$17="Type 4 i",MAX(H81,Q81),IF('Pre-Calculation'!$D$17="Type 4 k",MAX(H81,1.01*Q81),IF('Pre-Calculation'!$D$17="Type 4 m",MAX(105%*Q81,SA+H81),IF('Pre-Calculation'!$D$17="Type 4 o",MAX(SA,105%*Q81)+X81+Z81,IF('Pre-Calculation'!$D$17="Type 5",0)))))))))))))*IF(AND(A81&lt;Revival!$C$4,'Cashflows_8%'!C81&gt;=Revival!$D$12),PUP,1)</f>
        <v>1519210.728</v>
      </c>
      <c r="L81" s="175">
        <f>H81-I81*(1+Tax)</f>
        <v>1519210.728</v>
      </c>
      <c r="M81" s="175">
        <f>L81*(1+GROWTH_RATE_H)*(1-FMC*(1+Tax))</f>
        <v>1526956.751</v>
      </c>
      <c r="N81" s="175">
        <f>M81+IF(MOD(A81,B81)=0,VLOOKUP(B81,'Pre-Calculation'!$H$1:$L$31,5,FALSE),0)*IF('Pre-Calculation'!$D$16="% OF FV",M81,IF(OR('Pre-Calculation'!$D$16="% OF AFV(24M)",'Pre-Calculation'!$D$16="% OF AFV(8Q)"),AVERAGE( $M58:$M81),IF('Pre-Calculation'!$D$16="% OF AFV(12M)",AVERAGE($M70:M81),IF('Pre-Calculation'!$D$16="% OF AFV(36M)",AVERAGE($M46:M81)))))</f>
        <v>1526956.751</v>
      </c>
      <c r="O81" s="175">
        <f t="shared" si="4"/>
        <v>1526956.751</v>
      </c>
      <c r="P81" s="175">
        <f>IF('Pre-Calculation'!$D$17="Type 4 a",MAX(SA,N81,1.05*Q81),IF('Pre-Calculation'!$D$17="Type 4 c",N81,IF('Pre-Calculation'!$D$17="Type 4 d",SA+N81,IF('Pre-Calculation'!$D$17="Type 4 e",MAX(SA,N81),IF('Pre-Calculation'!$D$17="Type 4 f",SA,IF('Pre-Calculation'!$D$17="Type 4 g",1000+N81,IF('Pre-Calculation'!$D$17="Type 4 h",SA+X81,IF('Pre-Calculation'!$D$17="Type 4 i",MAX(N81,Q81),IF('Pre-Calculation'!$D$17="Type 4 k",MAX(N81,1.01*Q81),IF('Pre-Calculation'!$D$17="Type 4 m",MAX(105%*Q81,SA+N81),IF('Pre-Calculation'!$D$17="Type 4 o",MAX(SA,105%*Q81)+X81+Z81,IF('Pre-Calculation'!$D$17="Type 5",0))))))))))))</f>
        <v>1526956.751</v>
      </c>
      <c r="Q81" s="175">
        <f t="shared" si="5"/>
        <v>1000000</v>
      </c>
      <c r="R81" s="119">
        <f>L81*(1+GROWTH_RATE)*FMC</f>
        <v>1719.173124</v>
      </c>
      <c r="S81" s="178">
        <f>S80*(1+'Pre-Calculation'!$E$27)</f>
        <v>805917.4193</v>
      </c>
      <c r="T81" s="175">
        <f>-E81+IF(A80=INPUT!$C$11*12,N81,0)</f>
        <v>0</v>
      </c>
      <c r="U81" s="175">
        <f t="shared" si="6"/>
        <v>1559545.33</v>
      </c>
      <c r="V81" s="175">
        <f>U81*(1+GROWTH_RATE_H)*(1-'Pre-Calculation'!$E$31)</f>
        <v>1566965.633</v>
      </c>
      <c r="W81" s="175">
        <f>-E81+IF(A80=INPUT!$C$11*12,V81,0)</f>
        <v>0</v>
      </c>
      <c r="X81" s="179">
        <f t="array" ref="X81">NPV('Pre-Calculation'!$E$20,$E82:E$246)</f>
        <v>0</v>
      </c>
      <c r="Y81" s="171">
        <f>10%*SA</f>
        <v>100000</v>
      </c>
      <c r="Z81" s="179">
        <f t="array" ref="Z81">NPV('Pre-Calculation'!$E$20,Y82:Y91)</f>
        <v>969592.8037</v>
      </c>
    </row>
    <row r="82" ht="15.75" customHeight="1">
      <c r="A82" s="171">
        <f t="shared" si="1"/>
        <v>136</v>
      </c>
      <c r="B82" s="171">
        <f t="shared" si="2"/>
        <v>12</v>
      </c>
      <c r="C82" s="176">
        <f>EDATE(RCD,A81)</f>
        <v>46660</v>
      </c>
      <c r="D82" s="171">
        <f>Age_At_Entry+'Cashflows_8%'!B82-1</f>
        <v>46</v>
      </c>
      <c r="E82" s="175">
        <f>IF(AND(C82&lt;=Last_Prem,MOD(A81,Mode)=0,C82&gt;INPUT!$C$13,A82&lt;=Revival!$C$11),Mod_Prem,0)</f>
        <v>0</v>
      </c>
      <c r="F82" s="177">
        <f>E82*VLOOKUP(B82,'Pre-Calculation'!$H$1:$I$31,2,FALSE)</f>
        <v>0</v>
      </c>
      <c r="G82" s="177">
        <f>IF(B82&lt;PT+1,VLOOKUP(B82,'Pre-Calculation'!$H$1:$L$32,3,FALSE)+VLOOKUP(B82,'Pre-Calculation'!$H$1:$L$32,4,FALSE)*'Pre-Calculation'!$D$7,0)</f>
        <v>0</v>
      </c>
      <c r="H82" s="175">
        <f>(E82-(F82+G82)*(1+Tax)+N81)</f>
        <v>1526956.751</v>
      </c>
      <c r="I82" s="175">
        <f>IF(B82&lt;PT+1,VLOOKUP(D82,'Pre-Calculation'!$N$3:$P$79,IF(INPUT!$C$4="M",2,3),FALSE)*(J82/1000)*(1/12),0)</f>
        <v>0</v>
      </c>
      <c r="J82" s="175">
        <f t="shared" si="3"/>
        <v>0</v>
      </c>
      <c r="K82" s="175">
        <f>(IF('Pre-Calculation'!$D$17="Type 4 a",MAX(SA,H82,1.05*Q82),IF('Pre-Calculation'!$D$17="Type 4 c",H82,IF('Pre-Calculation'!$D$17="Type 4 d",SA+H82,IF('Pre-Calculation'!$D$17="Type 4 e",MAX(SA,H82),IF('Pre-Calculation'!$D$17="Type 4 f",SA,IF('Pre-Calculation'!$D$17="Type 4 g",1000+H82,IF('Pre-Calculation'!$D$17="Type 4 h",SA+X82,IF('Pre-Calculation'!$D$17="Type 4 i",MAX(H82,Q82),IF('Pre-Calculation'!$D$17="Type 4 k",MAX(H82,1.01*Q82),IF('Pre-Calculation'!$D$17="Type 4 m",MAX(105%*Q82,SA+H82),IF('Pre-Calculation'!$D$17="Type 4 o",MAX(SA,105%*Q82)+X82+Z82,IF('Pre-Calculation'!$D$17="Type 5",0)))))))))))))*IF(AND(A82&lt;Revival!$C$4,'Cashflows_8%'!C82&gt;=Revival!$D$12),PUP,1)</f>
        <v>1526956.751</v>
      </c>
      <c r="L82" s="175">
        <f>H82-I82*(1+Tax)</f>
        <v>1526956.751</v>
      </c>
      <c r="M82" s="175">
        <f>L82*(1+GROWTH_RATE_H)*(1-FMC*(1+Tax))</f>
        <v>1534742.269</v>
      </c>
      <c r="N82" s="175">
        <f>M82+IF(MOD(A82,B82)=0,VLOOKUP(B82,'Pre-Calculation'!$H$1:$L$31,5,FALSE),0)*IF('Pre-Calculation'!$D$16="% OF FV",M82,IF(OR('Pre-Calculation'!$D$16="% OF AFV(24M)",'Pre-Calculation'!$D$16="% OF AFV(8Q)"),AVERAGE( $M59:$M82),IF('Pre-Calculation'!$D$16="% OF AFV(12M)",AVERAGE($M71:M82),IF('Pre-Calculation'!$D$16="% OF AFV(36M)",AVERAGE($M47:M82)))))</f>
        <v>1534742.269</v>
      </c>
      <c r="O82" s="175">
        <f t="shared" si="4"/>
        <v>1534742.269</v>
      </c>
      <c r="P82" s="175">
        <f>IF('Pre-Calculation'!$D$17="Type 4 a",MAX(SA,N82,1.05*Q82),IF('Pre-Calculation'!$D$17="Type 4 c",N82,IF('Pre-Calculation'!$D$17="Type 4 d",SA+N82,IF('Pre-Calculation'!$D$17="Type 4 e",MAX(SA,N82),IF('Pre-Calculation'!$D$17="Type 4 f",SA,IF('Pre-Calculation'!$D$17="Type 4 g",1000+N82,IF('Pre-Calculation'!$D$17="Type 4 h",SA+X82,IF('Pre-Calculation'!$D$17="Type 4 i",MAX(N82,Q82),IF('Pre-Calculation'!$D$17="Type 4 k",MAX(N82,1.01*Q82),IF('Pre-Calculation'!$D$17="Type 4 m",MAX(105%*Q82,SA+N82),IF('Pre-Calculation'!$D$17="Type 4 o",MAX(SA,105%*Q82)+X82+Z82,IF('Pre-Calculation'!$D$17="Type 5",0))))))))))))</f>
        <v>1534742.269</v>
      </c>
      <c r="Q82" s="175">
        <f t="shared" si="5"/>
        <v>1000000</v>
      </c>
      <c r="R82" s="119">
        <f>L82*(1+GROWTH_RATE)*FMC</f>
        <v>1727.938699</v>
      </c>
      <c r="S82" s="178">
        <f>S81*(1+'Pre-Calculation'!$E$27)</f>
        <v>808231.1266</v>
      </c>
      <c r="T82" s="175">
        <f>-E82+IF(A81=INPUT!$C$11*12,N82,0)</f>
        <v>0</v>
      </c>
      <c r="U82" s="175">
        <f t="shared" si="6"/>
        <v>1566965.633</v>
      </c>
      <c r="V82" s="175">
        <f>U82*(1+GROWTH_RATE_H)*(1-'Pre-Calculation'!$E$31)</f>
        <v>1574421.242</v>
      </c>
      <c r="W82" s="175">
        <f>-E82+IF(A81=INPUT!$C$11*12,V82,0)</f>
        <v>0</v>
      </c>
      <c r="X82" s="179">
        <f t="array" ref="X82">NPV('Pre-Calculation'!$E$20,$E83:E$246)</f>
        <v>0</v>
      </c>
      <c r="Y82" s="171">
        <f>10%*SA</f>
        <v>100000</v>
      </c>
      <c r="Z82" s="179">
        <f t="array" ref="Z82">NPV('Pre-Calculation'!$E$20,Y83:Y92)</f>
        <v>969592.8037</v>
      </c>
    </row>
    <row r="83" ht="15.75" customHeight="1">
      <c r="A83" s="171">
        <f t="shared" si="1"/>
        <v>137</v>
      </c>
      <c r="B83" s="171">
        <f t="shared" si="2"/>
        <v>12</v>
      </c>
      <c r="C83" s="176">
        <f>EDATE(RCD,A82)</f>
        <v>46690</v>
      </c>
      <c r="D83" s="171">
        <f>Age_At_Entry+'Cashflows_8%'!B83-1</f>
        <v>46</v>
      </c>
      <c r="E83" s="175">
        <f>IF(AND(C83&lt;=Last_Prem,MOD(A82,Mode)=0,C83&gt;INPUT!$C$13,A83&lt;=Revival!$C$11),Mod_Prem,0)</f>
        <v>0</v>
      </c>
      <c r="F83" s="177">
        <f>E83*VLOOKUP(B83,'Pre-Calculation'!$H$1:$I$31,2,FALSE)</f>
        <v>0</v>
      </c>
      <c r="G83" s="177">
        <f>IF(B83&lt;PT+1,VLOOKUP(B83,'Pre-Calculation'!$H$1:$L$32,3,FALSE)+VLOOKUP(B83,'Pre-Calculation'!$H$1:$L$32,4,FALSE)*'Pre-Calculation'!$D$7,0)</f>
        <v>0</v>
      </c>
      <c r="H83" s="175">
        <f>(E83-(F83+G83)*(1+Tax)+N82)</f>
        <v>1534742.269</v>
      </c>
      <c r="I83" s="175">
        <f>IF(B83&lt;PT+1,VLOOKUP(D83,'Pre-Calculation'!$N$3:$P$79,IF(INPUT!$C$4="M",2,3),FALSE)*(J83/1000)*(1/12),0)</f>
        <v>0</v>
      </c>
      <c r="J83" s="175">
        <f t="shared" si="3"/>
        <v>0</v>
      </c>
      <c r="K83" s="175">
        <f>(IF('Pre-Calculation'!$D$17="Type 4 a",MAX(SA,H83,1.05*Q83),IF('Pre-Calculation'!$D$17="Type 4 c",H83,IF('Pre-Calculation'!$D$17="Type 4 d",SA+H83,IF('Pre-Calculation'!$D$17="Type 4 e",MAX(SA,H83),IF('Pre-Calculation'!$D$17="Type 4 f",SA,IF('Pre-Calculation'!$D$17="Type 4 g",1000+H83,IF('Pre-Calculation'!$D$17="Type 4 h",SA+X83,IF('Pre-Calculation'!$D$17="Type 4 i",MAX(H83,Q83),IF('Pre-Calculation'!$D$17="Type 4 k",MAX(H83,1.01*Q83),IF('Pre-Calculation'!$D$17="Type 4 m",MAX(105%*Q83,SA+H83),IF('Pre-Calculation'!$D$17="Type 4 o",MAX(SA,105%*Q83)+X83+Z83,IF('Pre-Calculation'!$D$17="Type 5",0)))))))))))))*IF(AND(A83&lt;Revival!$C$4,'Cashflows_8%'!C83&gt;=Revival!$D$12),PUP,1)</f>
        <v>1534742.269</v>
      </c>
      <c r="L83" s="175">
        <f>H83-I83*(1+Tax)</f>
        <v>1534742.269</v>
      </c>
      <c r="M83" s="175">
        <f>L83*(1+GROWTH_RATE_H)*(1-FMC*(1+Tax))</f>
        <v>1542567.483</v>
      </c>
      <c r="N83" s="175">
        <f>M83+IF(MOD(A83,B83)=0,VLOOKUP(B83,'Pre-Calculation'!$H$1:$L$31,5,FALSE),0)*IF('Pre-Calculation'!$D$16="% OF FV",M83,IF(OR('Pre-Calculation'!$D$16="% OF AFV(24M)",'Pre-Calculation'!$D$16="% OF AFV(8Q)"),AVERAGE( $M60:$M83),IF('Pre-Calculation'!$D$16="% OF AFV(12M)",AVERAGE($M72:M83),IF('Pre-Calculation'!$D$16="% OF AFV(36M)",AVERAGE($M48:M83)))))</f>
        <v>1542567.483</v>
      </c>
      <c r="O83" s="175">
        <f t="shared" si="4"/>
        <v>1542567.483</v>
      </c>
      <c r="P83" s="175">
        <f>IF('Pre-Calculation'!$D$17="Type 4 a",MAX(SA,N83,1.05*Q83),IF('Pre-Calculation'!$D$17="Type 4 c",N83,IF('Pre-Calculation'!$D$17="Type 4 d",SA+N83,IF('Pre-Calculation'!$D$17="Type 4 e",MAX(SA,N83),IF('Pre-Calculation'!$D$17="Type 4 f",SA,IF('Pre-Calculation'!$D$17="Type 4 g",1000+N83,IF('Pre-Calculation'!$D$17="Type 4 h",SA+X83,IF('Pre-Calculation'!$D$17="Type 4 i",MAX(N83,Q83),IF('Pre-Calculation'!$D$17="Type 4 k",MAX(N83,1.01*Q83),IF('Pre-Calculation'!$D$17="Type 4 m",MAX(105%*Q83,SA+N83),IF('Pre-Calculation'!$D$17="Type 4 o",MAX(SA,105%*Q83)+X83+Z83,IF('Pre-Calculation'!$D$17="Type 5",0))))))))))))</f>
        <v>1542567.483</v>
      </c>
      <c r="Q83" s="175">
        <f t="shared" si="5"/>
        <v>1000000</v>
      </c>
      <c r="R83" s="119">
        <f>L83*(1+GROWTH_RATE)*FMC</f>
        <v>1736.748967</v>
      </c>
      <c r="S83" s="178">
        <f>S82*(1+'Pre-Calculation'!$E$27)</f>
        <v>810551.4763</v>
      </c>
      <c r="T83" s="175">
        <f>-E83+IF(A82=INPUT!$C$11*12,N83,0)</f>
        <v>0</v>
      </c>
      <c r="U83" s="175">
        <f t="shared" si="6"/>
        <v>1574421.242</v>
      </c>
      <c r="V83" s="175">
        <f>U83*(1+GROWTH_RATE_H)*(1-'Pre-Calculation'!$E$31)</f>
        <v>1581912.324</v>
      </c>
      <c r="W83" s="175">
        <f>-E83+IF(A82=INPUT!$C$11*12,V83,0)</f>
        <v>0</v>
      </c>
      <c r="X83" s="179">
        <f t="array" ref="X83">NPV('Pre-Calculation'!$E$20,$E84:E$246)</f>
        <v>0</v>
      </c>
      <c r="Y83" s="171">
        <f>10%*SA</f>
        <v>100000</v>
      </c>
      <c r="Z83" s="179">
        <f t="array" ref="Z83">NPV('Pre-Calculation'!$E$20,Y84:Y93)</f>
        <v>969592.8037</v>
      </c>
    </row>
    <row r="84" ht="15.75" customHeight="1">
      <c r="A84" s="171">
        <f t="shared" si="1"/>
        <v>138</v>
      </c>
      <c r="B84" s="171">
        <f t="shared" si="2"/>
        <v>12</v>
      </c>
      <c r="C84" s="176">
        <f>EDATE(RCD,A83)</f>
        <v>46721</v>
      </c>
      <c r="D84" s="171">
        <f>Age_At_Entry+'Cashflows_8%'!B84-1</f>
        <v>46</v>
      </c>
      <c r="E84" s="175">
        <f>IF(AND(C84&lt;=Last_Prem,MOD(A83,Mode)=0,C84&gt;INPUT!$C$13,A84&lt;=Revival!$C$11),Mod_Prem,0)</f>
        <v>0</v>
      </c>
      <c r="F84" s="177">
        <f>E84*VLOOKUP(B84,'Pre-Calculation'!$H$1:$I$31,2,FALSE)</f>
        <v>0</v>
      </c>
      <c r="G84" s="177">
        <f>IF(B84&lt;PT+1,VLOOKUP(B84,'Pre-Calculation'!$H$1:$L$32,3,FALSE)+VLOOKUP(B84,'Pre-Calculation'!$H$1:$L$32,4,FALSE)*'Pre-Calculation'!$D$7,0)</f>
        <v>0</v>
      </c>
      <c r="H84" s="175">
        <f>(E84-(F84+G84)*(1+Tax)+N83)</f>
        <v>1542567.483</v>
      </c>
      <c r="I84" s="175">
        <f>IF(B84&lt;PT+1,VLOOKUP(D84,'Pre-Calculation'!$N$3:$P$79,IF(INPUT!$C$4="M",2,3),FALSE)*(J84/1000)*(1/12),0)</f>
        <v>0</v>
      </c>
      <c r="J84" s="175">
        <f t="shared" si="3"/>
        <v>0</v>
      </c>
      <c r="K84" s="175">
        <f>(IF('Pre-Calculation'!$D$17="Type 4 a",MAX(SA,H84,1.05*Q84),IF('Pre-Calculation'!$D$17="Type 4 c",H84,IF('Pre-Calculation'!$D$17="Type 4 d",SA+H84,IF('Pre-Calculation'!$D$17="Type 4 e",MAX(SA,H84),IF('Pre-Calculation'!$D$17="Type 4 f",SA,IF('Pre-Calculation'!$D$17="Type 4 g",1000+H84,IF('Pre-Calculation'!$D$17="Type 4 h",SA+X84,IF('Pre-Calculation'!$D$17="Type 4 i",MAX(H84,Q84),IF('Pre-Calculation'!$D$17="Type 4 k",MAX(H84,1.01*Q84),IF('Pre-Calculation'!$D$17="Type 4 m",MAX(105%*Q84,SA+H84),IF('Pre-Calculation'!$D$17="Type 4 o",MAX(SA,105%*Q84)+X84+Z84,IF('Pre-Calculation'!$D$17="Type 5",0)))))))))))))*IF(AND(A84&lt;Revival!$C$4,'Cashflows_8%'!C84&gt;=Revival!$D$12),PUP,1)</f>
        <v>1542567.483</v>
      </c>
      <c r="L84" s="175">
        <f>H84-I84*(1+Tax)</f>
        <v>1542567.483</v>
      </c>
      <c r="M84" s="175">
        <f>L84*(1+GROWTH_RATE_H)*(1-FMC*(1+Tax))</f>
        <v>1550432.596</v>
      </c>
      <c r="N84" s="175">
        <f>M84+IF(MOD(A84,B84)=0,VLOOKUP(B84,'Pre-Calculation'!$H$1:$L$31,5,FALSE),0)*IF('Pre-Calculation'!$D$16="% OF FV",M84,IF(OR('Pre-Calculation'!$D$16="% OF AFV(24M)",'Pre-Calculation'!$D$16="% OF AFV(8Q)"),AVERAGE( $M61:$M84),IF('Pre-Calculation'!$D$16="% OF AFV(12M)",AVERAGE($M73:M84),IF('Pre-Calculation'!$D$16="% OF AFV(36M)",AVERAGE($M49:M84)))))</f>
        <v>1550432.596</v>
      </c>
      <c r="O84" s="175">
        <f t="shared" si="4"/>
        <v>1550432.596</v>
      </c>
      <c r="P84" s="175">
        <f>IF('Pre-Calculation'!$D$17="Type 4 a",MAX(SA,N84,1.05*Q84),IF('Pre-Calculation'!$D$17="Type 4 c",N84,IF('Pre-Calculation'!$D$17="Type 4 d",SA+N84,IF('Pre-Calculation'!$D$17="Type 4 e",MAX(SA,N84),IF('Pre-Calculation'!$D$17="Type 4 f",SA,IF('Pre-Calculation'!$D$17="Type 4 g",1000+N84,IF('Pre-Calculation'!$D$17="Type 4 h",SA+X84,IF('Pre-Calculation'!$D$17="Type 4 i",MAX(N84,Q84),IF('Pre-Calculation'!$D$17="Type 4 k",MAX(N84,1.01*Q84),IF('Pre-Calculation'!$D$17="Type 4 m",MAX(105%*Q84,SA+N84),IF('Pre-Calculation'!$D$17="Type 4 o",MAX(SA,105%*Q84)+X84+Z84,IF('Pre-Calculation'!$D$17="Type 5",0))))))))))))</f>
        <v>1550432.596</v>
      </c>
      <c r="Q84" s="175">
        <f t="shared" si="5"/>
        <v>1000000</v>
      </c>
      <c r="R84" s="119">
        <f>L84*(1+GROWTH_RATE)*FMC</f>
        <v>1745.604156</v>
      </c>
      <c r="S84" s="178">
        <f>S83*(1+'Pre-Calculation'!$E$27)</f>
        <v>812878.4875</v>
      </c>
      <c r="T84" s="175">
        <f>-E84+IF(A83=INPUT!$C$11*12,N84,0)</f>
        <v>0</v>
      </c>
      <c r="U84" s="175">
        <f t="shared" si="6"/>
        <v>1581912.324</v>
      </c>
      <c r="V84" s="175">
        <f>U84*(1+GROWTH_RATE_H)*(1-'Pre-Calculation'!$E$31)</f>
        <v>1589439.049</v>
      </c>
      <c r="W84" s="175">
        <f>-E84+IF(A83=INPUT!$C$11*12,V84,0)</f>
        <v>0</v>
      </c>
      <c r="X84" s="179">
        <f t="array" ref="X84">NPV('Pre-Calculation'!$E$20,$E85:E$246)</f>
        <v>0</v>
      </c>
      <c r="Y84" s="171">
        <f>10%*SA</f>
        <v>100000</v>
      </c>
      <c r="Z84" s="179">
        <f t="array" ref="Z84">NPV('Pre-Calculation'!$E$20,Y85:Y94)</f>
        <v>969592.8037</v>
      </c>
    </row>
    <row r="85" ht="15.75" customHeight="1">
      <c r="A85" s="171">
        <f t="shared" si="1"/>
        <v>139</v>
      </c>
      <c r="B85" s="171">
        <f t="shared" si="2"/>
        <v>12</v>
      </c>
      <c r="C85" s="176">
        <f>EDATE(RCD,A84)</f>
        <v>46751</v>
      </c>
      <c r="D85" s="171">
        <f>Age_At_Entry+'Cashflows_8%'!B85-1</f>
        <v>46</v>
      </c>
      <c r="E85" s="175">
        <f>IF(AND(C85&lt;=Last_Prem,MOD(A84,Mode)=0,C85&gt;INPUT!$C$13,A85&lt;=Revival!$C$11),Mod_Prem,0)</f>
        <v>0</v>
      </c>
      <c r="F85" s="177">
        <f>E85*VLOOKUP(B85,'Pre-Calculation'!$H$1:$I$31,2,FALSE)</f>
        <v>0</v>
      </c>
      <c r="G85" s="177">
        <f>IF(B85&lt;PT+1,VLOOKUP(B85,'Pre-Calculation'!$H$1:$L$32,3,FALSE)+VLOOKUP(B85,'Pre-Calculation'!$H$1:$L$32,4,FALSE)*'Pre-Calculation'!$D$7,0)</f>
        <v>0</v>
      </c>
      <c r="H85" s="175">
        <f>(E85-(F85+G85)*(1+Tax)+N84)</f>
        <v>1550432.596</v>
      </c>
      <c r="I85" s="175">
        <f>IF(B85&lt;PT+1,VLOOKUP(D85,'Pre-Calculation'!$N$3:$P$79,IF(INPUT!$C$4="M",2,3),FALSE)*(J85/1000)*(1/12),0)</f>
        <v>0</v>
      </c>
      <c r="J85" s="175">
        <f t="shared" si="3"/>
        <v>0</v>
      </c>
      <c r="K85" s="175">
        <f>(IF('Pre-Calculation'!$D$17="Type 4 a",MAX(SA,H85,1.05*Q85),IF('Pre-Calculation'!$D$17="Type 4 c",H85,IF('Pre-Calculation'!$D$17="Type 4 d",SA+H85,IF('Pre-Calculation'!$D$17="Type 4 e",MAX(SA,H85),IF('Pre-Calculation'!$D$17="Type 4 f",SA,IF('Pre-Calculation'!$D$17="Type 4 g",1000+H85,IF('Pre-Calculation'!$D$17="Type 4 h",SA+X85,IF('Pre-Calculation'!$D$17="Type 4 i",MAX(H85,Q85),IF('Pre-Calculation'!$D$17="Type 4 k",MAX(H85,1.01*Q85),IF('Pre-Calculation'!$D$17="Type 4 m",MAX(105%*Q85,SA+H85),IF('Pre-Calculation'!$D$17="Type 4 o",MAX(SA,105%*Q85)+X85+Z85,IF('Pre-Calculation'!$D$17="Type 5",0)))))))))))))*IF(AND(A85&lt;Revival!$C$4,'Cashflows_8%'!C85&gt;=Revival!$D$12),PUP,1)</f>
        <v>1550432.596</v>
      </c>
      <c r="L85" s="175">
        <f>H85-I85*(1+Tax)</f>
        <v>1550432.596</v>
      </c>
      <c r="M85" s="175">
        <f>L85*(1+GROWTH_RATE_H)*(1-FMC*(1+Tax))</f>
        <v>1558337.811</v>
      </c>
      <c r="N85" s="175">
        <f>M85+IF(MOD(A85,B85)=0,VLOOKUP(B85,'Pre-Calculation'!$H$1:$L$31,5,FALSE),0)*IF('Pre-Calculation'!$D$16="% OF FV",M85,IF(OR('Pre-Calculation'!$D$16="% OF AFV(24M)",'Pre-Calculation'!$D$16="% OF AFV(8Q)"),AVERAGE( $M62:$M85),IF('Pre-Calculation'!$D$16="% OF AFV(12M)",AVERAGE($M74:M85),IF('Pre-Calculation'!$D$16="% OF AFV(36M)",AVERAGE($M50:M85)))))</f>
        <v>1558337.811</v>
      </c>
      <c r="O85" s="175">
        <f t="shared" si="4"/>
        <v>1558337.811</v>
      </c>
      <c r="P85" s="175">
        <f>IF('Pre-Calculation'!$D$17="Type 4 a",MAX(SA,N85,1.05*Q85),IF('Pre-Calculation'!$D$17="Type 4 c",N85,IF('Pre-Calculation'!$D$17="Type 4 d",SA+N85,IF('Pre-Calculation'!$D$17="Type 4 e",MAX(SA,N85),IF('Pre-Calculation'!$D$17="Type 4 f",SA,IF('Pre-Calculation'!$D$17="Type 4 g",1000+N85,IF('Pre-Calculation'!$D$17="Type 4 h",SA+X85,IF('Pre-Calculation'!$D$17="Type 4 i",MAX(N85,Q85),IF('Pre-Calculation'!$D$17="Type 4 k",MAX(N85,1.01*Q85),IF('Pre-Calculation'!$D$17="Type 4 m",MAX(105%*Q85,SA+N85),IF('Pre-Calculation'!$D$17="Type 4 o",MAX(SA,105%*Q85)+X85+Z85,IF('Pre-Calculation'!$D$17="Type 5",0))))))))))))</f>
        <v>1558337.811</v>
      </c>
      <c r="Q85" s="175">
        <f t="shared" si="5"/>
        <v>1000000</v>
      </c>
      <c r="R85" s="119">
        <f>L85*(1+GROWTH_RATE)*FMC</f>
        <v>1754.504495</v>
      </c>
      <c r="S85" s="178">
        <f>S84*(1+'Pre-Calculation'!$E$27)</f>
        <v>815212.1793</v>
      </c>
      <c r="T85" s="175">
        <f>-E85+IF(A84=INPUT!$C$11*12,N85,0)</f>
        <v>0</v>
      </c>
      <c r="U85" s="175">
        <f t="shared" si="6"/>
        <v>1589439.049</v>
      </c>
      <c r="V85" s="175">
        <f>U85*(1+GROWTH_RATE_H)*(1-'Pre-Calculation'!$E$31)</f>
        <v>1597001.586</v>
      </c>
      <c r="W85" s="175">
        <f>-E85+IF(A84=INPUT!$C$11*12,V85,0)</f>
        <v>0</v>
      </c>
      <c r="X85" s="179">
        <f t="array" ref="X85">NPV('Pre-Calculation'!$E$20,$E86:E$246)</f>
        <v>0</v>
      </c>
      <c r="Y85" s="171">
        <f>10%*SA</f>
        <v>100000</v>
      </c>
      <c r="Z85" s="179">
        <f t="array" ref="Z85">NPV('Pre-Calculation'!$E$20,Y86:Y95)</f>
        <v>969592.8037</v>
      </c>
    </row>
    <row r="86" ht="15.75" customHeight="1">
      <c r="A86" s="171">
        <f t="shared" si="1"/>
        <v>140</v>
      </c>
      <c r="B86" s="171">
        <f t="shared" si="2"/>
        <v>12</v>
      </c>
      <c r="C86" s="176">
        <f>EDATE(RCD,A85)</f>
        <v>46782</v>
      </c>
      <c r="D86" s="171">
        <f>Age_At_Entry+'Cashflows_8%'!B86-1</f>
        <v>46</v>
      </c>
      <c r="E86" s="175">
        <f>IF(AND(C86&lt;=Last_Prem,MOD(A85,Mode)=0,C86&gt;INPUT!$C$13,A86&lt;=Revival!$C$11),Mod_Prem,0)</f>
        <v>0</v>
      </c>
      <c r="F86" s="177">
        <f>E86*VLOOKUP(B86,'Pre-Calculation'!$H$1:$I$31,2,FALSE)</f>
        <v>0</v>
      </c>
      <c r="G86" s="177">
        <f>IF(B86&lt;PT+1,VLOOKUP(B86,'Pre-Calculation'!$H$1:$L$32,3,FALSE)+VLOOKUP(B86,'Pre-Calculation'!$H$1:$L$32,4,FALSE)*'Pre-Calculation'!$D$7,0)</f>
        <v>0</v>
      </c>
      <c r="H86" s="175">
        <f>(E86-(F86+G86)*(1+Tax)+N85)</f>
        <v>1558337.811</v>
      </c>
      <c r="I86" s="175">
        <f>IF(B86&lt;PT+1,VLOOKUP(D86,'Pre-Calculation'!$N$3:$P$79,IF(INPUT!$C$4="M",2,3),FALSE)*(J86/1000)*(1/12),0)</f>
        <v>0</v>
      </c>
      <c r="J86" s="175">
        <f t="shared" si="3"/>
        <v>0</v>
      </c>
      <c r="K86" s="175">
        <f>(IF('Pre-Calculation'!$D$17="Type 4 a",MAX(SA,H86,1.05*Q86),IF('Pre-Calculation'!$D$17="Type 4 c",H86,IF('Pre-Calculation'!$D$17="Type 4 d",SA+H86,IF('Pre-Calculation'!$D$17="Type 4 e",MAX(SA,H86),IF('Pre-Calculation'!$D$17="Type 4 f",SA,IF('Pre-Calculation'!$D$17="Type 4 g",1000+H86,IF('Pre-Calculation'!$D$17="Type 4 h",SA+X86,IF('Pre-Calculation'!$D$17="Type 4 i",MAX(H86,Q86),IF('Pre-Calculation'!$D$17="Type 4 k",MAX(H86,1.01*Q86),IF('Pre-Calculation'!$D$17="Type 4 m",MAX(105%*Q86,SA+H86),IF('Pre-Calculation'!$D$17="Type 4 o",MAX(SA,105%*Q86)+X86+Z86,IF('Pre-Calculation'!$D$17="Type 5",0)))))))))))))*IF(AND(A86&lt;Revival!$C$4,'Cashflows_8%'!C86&gt;=Revival!$D$12),PUP,1)</f>
        <v>1558337.811</v>
      </c>
      <c r="L86" s="175">
        <f>H86-I86*(1+Tax)</f>
        <v>1558337.811</v>
      </c>
      <c r="M86" s="175">
        <f>L86*(1+GROWTH_RATE_H)*(1-FMC*(1+Tax))</f>
        <v>1566283.332</v>
      </c>
      <c r="N86" s="175">
        <f>M86+IF(MOD(A86,B86)=0,VLOOKUP(B86,'Pre-Calculation'!$H$1:$L$31,5,FALSE),0)*IF('Pre-Calculation'!$D$16="% OF FV",M86,IF(OR('Pre-Calculation'!$D$16="% OF AFV(24M)",'Pre-Calculation'!$D$16="% OF AFV(8Q)"),AVERAGE( $M63:$M86),IF('Pre-Calculation'!$D$16="% OF AFV(12M)",AVERAGE($M75:M86),IF('Pre-Calculation'!$D$16="% OF AFV(36M)",AVERAGE($M51:M86)))))</f>
        <v>1566283.332</v>
      </c>
      <c r="O86" s="175">
        <f t="shared" si="4"/>
        <v>1566283.332</v>
      </c>
      <c r="P86" s="175">
        <f>IF('Pre-Calculation'!$D$17="Type 4 a",MAX(SA,N86,1.05*Q86),IF('Pre-Calculation'!$D$17="Type 4 c",N86,IF('Pre-Calculation'!$D$17="Type 4 d",SA+N86,IF('Pre-Calculation'!$D$17="Type 4 e",MAX(SA,N86),IF('Pre-Calculation'!$D$17="Type 4 f",SA,IF('Pre-Calculation'!$D$17="Type 4 g",1000+N86,IF('Pre-Calculation'!$D$17="Type 4 h",SA+X86,IF('Pre-Calculation'!$D$17="Type 4 i",MAX(N86,Q86),IF('Pre-Calculation'!$D$17="Type 4 k",MAX(N86,1.01*Q86),IF('Pre-Calculation'!$D$17="Type 4 m",MAX(105%*Q86,SA+N86),IF('Pre-Calculation'!$D$17="Type 4 o",MAX(SA,105%*Q86)+X86+Z86,IF('Pre-Calculation'!$D$17="Type 5",0))))))))))))</f>
        <v>1566283.332</v>
      </c>
      <c r="Q86" s="175">
        <f t="shared" si="5"/>
        <v>1000000</v>
      </c>
      <c r="R86" s="119">
        <f>L86*(1+GROWTH_RATE)*FMC</f>
        <v>1763.450214</v>
      </c>
      <c r="S86" s="178">
        <f>S85*(1+'Pre-Calculation'!$E$27)</f>
        <v>817552.5709</v>
      </c>
      <c r="T86" s="175">
        <f>-E86+IF(A85=INPUT!$C$11*12,N86,0)</f>
        <v>0</v>
      </c>
      <c r="U86" s="175">
        <f t="shared" si="6"/>
        <v>1597001.586</v>
      </c>
      <c r="V86" s="175">
        <f>U86*(1+GROWTH_RATE_H)*(1-'Pre-Calculation'!$E$31)</f>
        <v>1604600.106</v>
      </c>
      <c r="W86" s="175">
        <f>-E86+IF(A85=INPUT!$C$11*12,V86,0)</f>
        <v>0</v>
      </c>
      <c r="X86" s="179">
        <f t="array" ref="X86">NPV('Pre-Calculation'!$E$20,$E87:E$246)</f>
        <v>0</v>
      </c>
      <c r="Y86" s="171">
        <f>10%*SA</f>
        <v>100000</v>
      </c>
      <c r="Z86" s="179">
        <f t="array" ref="Z86">NPV('Pre-Calculation'!$E$20,Y87:Y96)</f>
        <v>969592.8037</v>
      </c>
    </row>
    <row r="87" ht="15.75" customHeight="1">
      <c r="A87" s="171">
        <f t="shared" si="1"/>
        <v>141</v>
      </c>
      <c r="B87" s="171">
        <f t="shared" si="2"/>
        <v>12</v>
      </c>
      <c r="C87" s="176">
        <f>EDATE(RCD,A86)</f>
        <v>46812</v>
      </c>
      <c r="D87" s="171">
        <f>Age_At_Entry+'Cashflows_8%'!B87-1</f>
        <v>46</v>
      </c>
      <c r="E87" s="175">
        <f>IF(AND(C87&lt;=Last_Prem,MOD(A86,Mode)=0,C87&gt;INPUT!$C$13,A87&lt;=Revival!$C$11),Mod_Prem,0)</f>
        <v>0</v>
      </c>
      <c r="F87" s="177">
        <f>E87*VLOOKUP(B87,'Pre-Calculation'!$H$1:$I$31,2,FALSE)</f>
        <v>0</v>
      </c>
      <c r="G87" s="177">
        <f>IF(B87&lt;PT+1,VLOOKUP(B87,'Pre-Calculation'!$H$1:$L$32,3,FALSE)+VLOOKUP(B87,'Pre-Calculation'!$H$1:$L$32,4,FALSE)*'Pre-Calculation'!$D$7,0)</f>
        <v>0</v>
      </c>
      <c r="H87" s="175">
        <f>(E87-(F87+G87)*(1+Tax)+N86)</f>
        <v>1566283.332</v>
      </c>
      <c r="I87" s="175">
        <f>IF(B87&lt;PT+1,VLOOKUP(D87,'Pre-Calculation'!$N$3:$P$79,IF(INPUT!$C$4="M",2,3),FALSE)*(J87/1000)*(1/12),0)</f>
        <v>0</v>
      </c>
      <c r="J87" s="175">
        <f t="shared" si="3"/>
        <v>0</v>
      </c>
      <c r="K87" s="175">
        <f>(IF('Pre-Calculation'!$D$17="Type 4 a",MAX(SA,H87,1.05*Q87),IF('Pre-Calculation'!$D$17="Type 4 c",H87,IF('Pre-Calculation'!$D$17="Type 4 d",SA+H87,IF('Pre-Calculation'!$D$17="Type 4 e",MAX(SA,H87),IF('Pre-Calculation'!$D$17="Type 4 f",SA,IF('Pre-Calculation'!$D$17="Type 4 g",1000+H87,IF('Pre-Calculation'!$D$17="Type 4 h",SA+X87,IF('Pre-Calculation'!$D$17="Type 4 i",MAX(H87,Q87),IF('Pre-Calculation'!$D$17="Type 4 k",MAX(H87,1.01*Q87),IF('Pre-Calculation'!$D$17="Type 4 m",MAX(105%*Q87,SA+H87),IF('Pre-Calculation'!$D$17="Type 4 o",MAX(SA,105%*Q87)+X87+Z87,IF('Pre-Calculation'!$D$17="Type 5",0)))))))))))))*IF(AND(A87&lt;Revival!$C$4,'Cashflows_8%'!C87&gt;=Revival!$D$12),PUP,1)</f>
        <v>1566283.332</v>
      </c>
      <c r="L87" s="175">
        <f>H87-I87*(1+Tax)</f>
        <v>1566283.332</v>
      </c>
      <c r="M87" s="175">
        <f>L87*(1+GROWTH_RATE_H)*(1-FMC*(1+Tax))</f>
        <v>1574269.365</v>
      </c>
      <c r="N87" s="175">
        <f>M87+IF(MOD(A87,B87)=0,VLOOKUP(B87,'Pre-Calculation'!$H$1:$L$31,5,FALSE),0)*IF('Pre-Calculation'!$D$16="% OF FV",M87,IF(OR('Pre-Calculation'!$D$16="% OF AFV(24M)",'Pre-Calculation'!$D$16="% OF AFV(8Q)"),AVERAGE( $M64:$M87),IF('Pre-Calculation'!$D$16="% OF AFV(12M)",AVERAGE($M76:M87),IF('Pre-Calculation'!$D$16="% OF AFV(36M)",AVERAGE($M52:M87)))))</f>
        <v>1574269.365</v>
      </c>
      <c r="O87" s="175">
        <f t="shared" si="4"/>
        <v>1574269.365</v>
      </c>
      <c r="P87" s="175">
        <f>IF('Pre-Calculation'!$D$17="Type 4 a",MAX(SA,N87,1.05*Q87),IF('Pre-Calculation'!$D$17="Type 4 c",N87,IF('Pre-Calculation'!$D$17="Type 4 d",SA+N87,IF('Pre-Calculation'!$D$17="Type 4 e",MAX(SA,N87),IF('Pre-Calculation'!$D$17="Type 4 f",SA,IF('Pre-Calculation'!$D$17="Type 4 g",1000+N87,IF('Pre-Calculation'!$D$17="Type 4 h",SA+X87,IF('Pre-Calculation'!$D$17="Type 4 i",MAX(N87,Q87),IF('Pre-Calculation'!$D$17="Type 4 k",MAX(N87,1.01*Q87),IF('Pre-Calculation'!$D$17="Type 4 m",MAX(105%*Q87,SA+N87),IF('Pre-Calculation'!$D$17="Type 4 o",MAX(SA,105%*Q87)+X87+Z87,IF('Pre-Calculation'!$D$17="Type 5",0))))))))))))</f>
        <v>1574269.365</v>
      </c>
      <c r="Q87" s="175">
        <f t="shared" si="5"/>
        <v>1000000</v>
      </c>
      <c r="R87" s="119">
        <f>L87*(1+GROWTH_RATE)*FMC</f>
        <v>1772.441545</v>
      </c>
      <c r="S87" s="178">
        <f>S86*(1+'Pre-Calculation'!$E$27)</f>
        <v>819899.6816</v>
      </c>
      <c r="T87" s="175">
        <f>-E87+IF(A86=INPUT!$C$11*12,N87,0)</f>
        <v>0</v>
      </c>
      <c r="U87" s="175">
        <f t="shared" si="6"/>
        <v>1604600.106</v>
      </c>
      <c r="V87" s="175">
        <f>U87*(1+GROWTH_RATE_H)*(1-'Pre-Calculation'!$E$31)</f>
        <v>1612234.779</v>
      </c>
      <c r="W87" s="175">
        <f>-E87+IF(A86=INPUT!$C$11*12,V87,0)</f>
        <v>0</v>
      </c>
      <c r="X87" s="179">
        <f t="array" ref="X87">NPV('Pre-Calculation'!$E$20,$E88:E$246)</f>
        <v>0</v>
      </c>
      <c r="Y87" s="171">
        <f>10%*SA</f>
        <v>100000</v>
      </c>
      <c r="Z87" s="179">
        <f t="array" ref="Z87">NPV('Pre-Calculation'!$E$20,Y88:Y97)</f>
        <v>969592.8037</v>
      </c>
    </row>
    <row r="88" ht="15.75" customHeight="1">
      <c r="A88" s="171">
        <f t="shared" si="1"/>
        <v>142</v>
      </c>
      <c r="B88" s="171">
        <f t="shared" si="2"/>
        <v>12</v>
      </c>
      <c r="C88" s="176">
        <f>EDATE(RCD,A87)</f>
        <v>46842</v>
      </c>
      <c r="D88" s="171">
        <f>Age_At_Entry+'Cashflows_8%'!B88-1</f>
        <v>46</v>
      </c>
      <c r="E88" s="175">
        <f>IF(AND(C88&lt;=Last_Prem,MOD(A87,Mode)=0,C88&gt;INPUT!$C$13,A88&lt;=Revival!$C$11),Mod_Prem,0)</f>
        <v>0</v>
      </c>
      <c r="F88" s="177">
        <f>E88*VLOOKUP(B88,'Pre-Calculation'!$H$1:$I$31,2,FALSE)</f>
        <v>0</v>
      </c>
      <c r="G88" s="177">
        <f>IF(B88&lt;PT+1,VLOOKUP(B88,'Pre-Calculation'!$H$1:$L$32,3,FALSE)+VLOOKUP(B88,'Pre-Calculation'!$H$1:$L$32,4,FALSE)*'Pre-Calculation'!$D$7,0)</f>
        <v>0</v>
      </c>
      <c r="H88" s="175">
        <f>(E88-(F88+G88)*(1+Tax)+N87)</f>
        <v>1574269.365</v>
      </c>
      <c r="I88" s="175">
        <f>IF(B88&lt;PT+1,VLOOKUP(D88,'Pre-Calculation'!$N$3:$P$79,IF(INPUT!$C$4="M",2,3),FALSE)*(J88/1000)*(1/12),0)</f>
        <v>0</v>
      </c>
      <c r="J88" s="175">
        <f t="shared" si="3"/>
        <v>0</v>
      </c>
      <c r="K88" s="175">
        <f>(IF('Pre-Calculation'!$D$17="Type 4 a",MAX(SA,H88,1.05*Q88),IF('Pre-Calculation'!$D$17="Type 4 c",H88,IF('Pre-Calculation'!$D$17="Type 4 d",SA+H88,IF('Pre-Calculation'!$D$17="Type 4 e",MAX(SA,H88),IF('Pre-Calculation'!$D$17="Type 4 f",SA,IF('Pre-Calculation'!$D$17="Type 4 g",1000+H88,IF('Pre-Calculation'!$D$17="Type 4 h",SA+X88,IF('Pre-Calculation'!$D$17="Type 4 i",MAX(H88,Q88),IF('Pre-Calculation'!$D$17="Type 4 k",MAX(H88,1.01*Q88),IF('Pre-Calculation'!$D$17="Type 4 m",MAX(105%*Q88,SA+H88),IF('Pre-Calculation'!$D$17="Type 4 o",MAX(SA,105%*Q88)+X88+Z88,IF('Pre-Calculation'!$D$17="Type 5",0)))))))))))))*IF(AND(A88&lt;Revival!$C$4,'Cashflows_8%'!C88&gt;=Revival!$D$12),PUP,1)</f>
        <v>1574269.365</v>
      </c>
      <c r="L88" s="175">
        <f>H88-I88*(1+Tax)</f>
        <v>1574269.365</v>
      </c>
      <c r="M88" s="175">
        <f>L88*(1+GROWTH_RATE_H)*(1-FMC*(1+Tax))</f>
        <v>1582296.117</v>
      </c>
      <c r="N88" s="175">
        <f>M88+IF(MOD(A88,B88)=0,VLOOKUP(B88,'Pre-Calculation'!$H$1:$L$31,5,FALSE),0)*IF('Pre-Calculation'!$D$16="% OF FV",M88,IF(OR('Pre-Calculation'!$D$16="% OF AFV(24M)",'Pre-Calculation'!$D$16="% OF AFV(8Q)"),AVERAGE( $M65:$M88),IF('Pre-Calculation'!$D$16="% OF AFV(12M)",AVERAGE($M77:M88),IF('Pre-Calculation'!$D$16="% OF AFV(36M)",AVERAGE($M53:M88)))))</f>
        <v>1582296.117</v>
      </c>
      <c r="O88" s="175">
        <f t="shared" si="4"/>
        <v>1582296.117</v>
      </c>
      <c r="P88" s="175">
        <f>IF('Pre-Calculation'!$D$17="Type 4 a",MAX(SA,N88,1.05*Q88),IF('Pre-Calculation'!$D$17="Type 4 c",N88,IF('Pre-Calculation'!$D$17="Type 4 d",SA+N88,IF('Pre-Calculation'!$D$17="Type 4 e",MAX(SA,N88),IF('Pre-Calculation'!$D$17="Type 4 f",SA,IF('Pre-Calculation'!$D$17="Type 4 g",1000+N88,IF('Pre-Calculation'!$D$17="Type 4 h",SA+X88,IF('Pre-Calculation'!$D$17="Type 4 i",MAX(N88,Q88),IF('Pre-Calculation'!$D$17="Type 4 k",MAX(N88,1.01*Q88),IF('Pre-Calculation'!$D$17="Type 4 m",MAX(105%*Q88,SA+N88),IF('Pre-Calculation'!$D$17="Type 4 o",MAX(SA,105%*Q88)+X88+Z88,IF('Pre-Calculation'!$D$17="Type 5",0))))))))))))</f>
        <v>1582296.117</v>
      </c>
      <c r="Q88" s="175">
        <f t="shared" si="5"/>
        <v>1000000</v>
      </c>
      <c r="R88" s="119">
        <f>L88*(1+GROWTH_RATE)*FMC</f>
        <v>1781.47872</v>
      </c>
      <c r="S88" s="178">
        <f>S87*(1+'Pre-Calculation'!$E$27)</f>
        <v>822253.5305</v>
      </c>
      <c r="T88" s="175">
        <f>-E88+IF(A87=INPUT!$C$11*12,N88,0)</f>
        <v>0</v>
      </c>
      <c r="U88" s="175">
        <f t="shared" si="6"/>
        <v>1612234.779</v>
      </c>
      <c r="V88" s="175">
        <f>U88*(1+GROWTH_RATE_H)*(1-'Pre-Calculation'!$E$31)</f>
        <v>1619905.778</v>
      </c>
      <c r="W88" s="175">
        <f>-E88+IF(A87=INPUT!$C$11*12,V88,0)</f>
        <v>0</v>
      </c>
      <c r="X88" s="179">
        <f t="array" ref="X88">NPV('Pre-Calculation'!$E$20,$E89:E$246)</f>
        <v>0</v>
      </c>
      <c r="Y88" s="171">
        <f>10%*SA</f>
        <v>100000</v>
      </c>
      <c r="Z88" s="179">
        <f t="array" ref="Z88">NPV('Pre-Calculation'!$E$20,Y89:Y98)</f>
        <v>969592.8037</v>
      </c>
    </row>
    <row r="89" ht="15.75" customHeight="1">
      <c r="A89" s="171">
        <f t="shared" si="1"/>
        <v>143</v>
      </c>
      <c r="B89" s="171">
        <f t="shared" si="2"/>
        <v>12</v>
      </c>
      <c r="C89" s="176">
        <f>EDATE(RCD,A88)</f>
        <v>46873</v>
      </c>
      <c r="D89" s="171">
        <f>Age_At_Entry+'Cashflows_8%'!B89-1</f>
        <v>46</v>
      </c>
      <c r="E89" s="175">
        <f>IF(AND(C89&lt;=Last_Prem,MOD(A88,Mode)=0,C89&gt;INPUT!$C$13,A89&lt;=Revival!$C$11),Mod_Prem,0)</f>
        <v>0</v>
      </c>
      <c r="F89" s="177">
        <f>E89*VLOOKUP(B89,'Pre-Calculation'!$H$1:$I$31,2,FALSE)</f>
        <v>0</v>
      </c>
      <c r="G89" s="177">
        <f>IF(B89&lt;PT+1,VLOOKUP(B89,'Pre-Calculation'!$H$1:$L$32,3,FALSE)+VLOOKUP(B89,'Pre-Calculation'!$H$1:$L$32,4,FALSE)*'Pre-Calculation'!$D$7,0)</f>
        <v>0</v>
      </c>
      <c r="H89" s="175">
        <f>(E89-(F89+G89)*(1+Tax)+N88)</f>
        <v>1582296.117</v>
      </c>
      <c r="I89" s="175">
        <f>IF(B89&lt;PT+1,VLOOKUP(D89,'Pre-Calculation'!$N$3:$P$79,IF(INPUT!$C$4="M",2,3),FALSE)*(J89/1000)*(1/12),0)</f>
        <v>0</v>
      </c>
      <c r="J89" s="175">
        <f t="shared" si="3"/>
        <v>0</v>
      </c>
      <c r="K89" s="175">
        <f>(IF('Pre-Calculation'!$D$17="Type 4 a",MAX(SA,H89,1.05*Q89),IF('Pre-Calculation'!$D$17="Type 4 c",H89,IF('Pre-Calculation'!$D$17="Type 4 d",SA+H89,IF('Pre-Calculation'!$D$17="Type 4 e",MAX(SA,H89),IF('Pre-Calculation'!$D$17="Type 4 f",SA,IF('Pre-Calculation'!$D$17="Type 4 g",1000+H89,IF('Pre-Calculation'!$D$17="Type 4 h",SA+X89,IF('Pre-Calculation'!$D$17="Type 4 i",MAX(H89,Q89),IF('Pre-Calculation'!$D$17="Type 4 k",MAX(H89,1.01*Q89),IF('Pre-Calculation'!$D$17="Type 4 m",MAX(105%*Q89,SA+H89),IF('Pre-Calculation'!$D$17="Type 4 o",MAX(SA,105%*Q89)+X89+Z89,IF('Pre-Calculation'!$D$17="Type 5",0)))))))))))))*IF(AND(A89&lt;Revival!$C$4,'Cashflows_8%'!C89&gt;=Revival!$D$12),PUP,1)</f>
        <v>1582296.117</v>
      </c>
      <c r="L89" s="175">
        <f>H89-I89*(1+Tax)</f>
        <v>1582296.117</v>
      </c>
      <c r="M89" s="175">
        <f>L89*(1+GROWTH_RATE_H)*(1-FMC*(1+Tax))</f>
        <v>1590363.794</v>
      </c>
      <c r="N89" s="175">
        <f>M89+IF(MOD(A89,B89)=0,VLOOKUP(B89,'Pre-Calculation'!$H$1:$L$31,5,FALSE),0)*IF('Pre-Calculation'!$D$16="% OF FV",M89,IF(OR('Pre-Calculation'!$D$16="% OF AFV(24M)",'Pre-Calculation'!$D$16="% OF AFV(8Q)"),AVERAGE( $M66:$M89),IF('Pre-Calculation'!$D$16="% OF AFV(12M)",AVERAGE($M78:M89),IF('Pre-Calculation'!$D$16="% OF AFV(36M)",AVERAGE($M54:M89)))))</f>
        <v>1590363.794</v>
      </c>
      <c r="O89" s="175">
        <f t="shared" si="4"/>
        <v>1590363.794</v>
      </c>
      <c r="P89" s="175">
        <f>IF('Pre-Calculation'!$D$17="Type 4 a",MAX(SA,N89,1.05*Q89),IF('Pre-Calculation'!$D$17="Type 4 c",N89,IF('Pre-Calculation'!$D$17="Type 4 d",SA+N89,IF('Pre-Calculation'!$D$17="Type 4 e",MAX(SA,N89),IF('Pre-Calculation'!$D$17="Type 4 f",SA,IF('Pre-Calculation'!$D$17="Type 4 g",1000+N89,IF('Pre-Calculation'!$D$17="Type 4 h",SA+X89,IF('Pre-Calculation'!$D$17="Type 4 i",MAX(N89,Q89),IF('Pre-Calculation'!$D$17="Type 4 k",MAX(N89,1.01*Q89),IF('Pre-Calculation'!$D$17="Type 4 m",MAX(105%*Q89,SA+N89),IF('Pre-Calculation'!$D$17="Type 4 o",MAX(SA,105%*Q89)+X89+Z89,IF('Pre-Calculation'!$D$17="Type 5",0))))))))))))</f>
        <v>1590363.794</v>
      </c>
      <c r="Q89" s="175">
        <f t="shared" si="5"/>
        <v>1000000</v>
      </c>
      <c r="R89" s="119">
        <f>L89*(1+GROWTH_RATE)*FMC</f>
        <v>1790.561973</v>
      </c>
      <c r="S89" s="178">
        <f>S88*(1+'Pre-Calculation'!$E$27)</f>
        <v>824614.1371</v>
      </c>
      <c r="T89" s="175">
        <f>-E89+IF(A88=INPUT!$C$11*12,N89,0)</f>
        <v>0</v>
      </c>
      <c r="U89" s="175">
        <f t="shared" si="6"/>
        <v>1619905.778</v>
      </c>
      <c r="V89" s="175">
        <f>U89*(1+GROWTH_RATE_H)*(1-'Pre-Calculation'!$E$31)</f>
        <v>1627613.276</v>
      </c>
      <c r="W89" s="175">
        <f>-E89+IF(A88=INPUT!$C$11*12,V89,0)</f>
        <v>0</v>
      </c>
      <c r="X89" s="179">
        <f t="array" ref="X89">NPV('Pre-Calculation'!$E$20,$E90:E$246)</f>
        <v>0</v>
      </c>
      <c r="Y89" s="171">
        <f>10%*SA</f>
        <v>100000</v>
      </c>
      <c r="Z89" s="179">
        <f t="array" ref="Z89">NPV('Pre-Calculation'!$E$20,Y90:Y99)</f>
        <v>969592.8037</v>
      </c>
    </row>
    <row r="90" ht="15.75" customHeight="1">
      <c r="A90" s="171">
        <f t="shared" si="1"/>
        <v>144</v>
      </c>
      <c r="B90" s="171">
        <f t="shared" si="2"/>
        <v>12</v>
      </c>
      <c r="C90" s="176">
        <f>EDATE(RCD,A89)</f>
        <v>46903</v>
      </c>
      <c r="D90" s="171">
        <f>Age_At_Entry+'Cashflows_8%'!B90-1</f>
        <v>46</v>
      </c>
      <c r="E90" s="175">
        <f>IF(AND(C90&lt;=Last_Prem,MOD(A89,Mode)=0,C90&gt;INPUT!$C$13,A90&lt;=Revival!$C$11),Mod_Prem,0)</f>
        <v>0</v>
      </c>
      <c r="F90" s="177">
        <f>E90*VLOOKUP(B90,'Pre-Calculation'!$H$1:$I$31,2,FALSE)</f>
        <v>0</v>
      </c>
      <c r="G90" s="177">
        <f>IF(B90&lt;PT+1,VLOOKUP(B90,'Pre-Calculation'!$H$1:$L$32,3,FALSE)+VLOOKUP(B90,'Pre-Calculation'!$H$1:$L$32,4,FALSE)*'Pre-Calculation'!$D$7,0)</f>
        <v>0</v>
      </c>
      <c r="H90" s="175">
        <f>(E90-(F90+G90)*(1+Tax)+N89)</f>
        <v>1590363.794</v>
      </c>
      <c r="I90" s="175">
        <f>IF(B90&lt;PT+1,VLOOKUP(D90,'Pre-Calculation'!$N$3:$P$79,IF(INPUT!$C$4="M",2,3),FALSE)*(J90/1000)*(1/12),0)</f>
        <v>0</v>
      </c>
      <c r="J90" s="175">
        <f t="shared" si="3"/>
        <v>0</v>
      </c>
      <c r="K90" s="175">
        <f>(IF('Pre-Calculation'!$D$17="Type 4 a",MAX(SA,H90,1.05*Q90),IF('Pre-Calculation'!$D$17="Type 4 c",H90,IF('Pre-Calculation'!$D$17="Type 4 d",SA+H90,IF('Pre-Calculation'!$D$17="Type 4 e",MAX(SA,H90),IF('Pre-Calculation'!$D$17="Type 4 f",SA,IF('Pre-Calculation'!$D$17="Type 4 g",1000+H90,IF('Pre-Calculation'!$D$17="Type 4 h",SA+X90,IF('Pre-Calculation'!$D$17="Type 4 i",MAX(H90,Q90),IF('Pre-Calculation'!$D$17="Type 4 k",MAX(H90,1.01*Q90),IF('Pre-Calculation'!$D$17="Type 4 m",MAX(105%*Q90,SA+H90),IF('Pre-Calculation'!$D$17="Type 4 o",MAX(SA,105%*Q90)+X90+Z90,IF('Pre-Calculation'!$D$17="Type 5",0)))))))))))))*IF(AND(A90&lt;Revival!$C$4,'Cashflows_8%'!C90&gt;=Revival!$D$12),PUP,1)</f>
        <v>1590363.794</v>
      </c>
      <c r="L90" s="175">
        <f>H90-I90*(1+Tax)</f>
        <v>1590363.794</v>
      </c>
      <c r="M90" s="175">
        <f>L90*(1+GROWTH_RATE_H)*(1-FMC*(1+Tax))</f>
        <v>1598472.607</v>
      </c>
      <c r="N90" s="175">
        <f>M90+IF(MOD(A90,B90)=0,VLOOKUP(B90,'Pre-Calculation'!$H$1:$L$31,5,FALSE),0)*IF('Pre-Calculation'!$D$16="% OF FV",M90,IF(OR('Pre-Calculation'!$D$16="% OF AFV(24M)",'Pre-Calculation'!$D$16="% OF AFV(8Q)"),AVERAGE( $M67:$M90),IF('Pre-Calculation'!$D$16="% OF AFV(12M)",AVERAGE($M79:M90),IF('Pre-Calculation'!$D$16="% OF AFV(36M)",AVERAGE($M55:M90)))))</f>
        <v>1598472.607</v>
      </c>
      <c r="O90" s="175">
        <f t="shared" si="4"/>
        <v>1598472.607</v>
      </c>
      <c r="P90" s="175">
        <f>IF('Pre-Calculation'!$D$17="Type 4 a",MAX(SA,N90,1.05*Q90),IF('Pre-Calculation'!$D$17="Type 4 c",N90,IF('Pre-Calculation'!$D$17="Type 4 d",SA+N90,IF('Pre-Calculation'!$D$17="Type 4 e",MAX(SA,N90),IF('Pre-Calculation'!$D$17="Type 4 f",SA,IF('Pre-Calculation'!$D$17="Type 4 g",1000+N90,IF('Pre-Calculation'!$D$17="Type 4 h",SA+X90,IF('Pre-Calculation'!$D$17="Type 4 i",MAX(N90,Q90),IF('Pre-Calculation'!$D$17="Type 4 k",MAX(N90,1.01*Q90),IF('Pre-Calculation'!$D$17="Type 4 m",MAX(105%*Q90,SA+N90),IF('Pre-Calculation'!$D$17="Type 4 o",MAX(SA,105%*Q90)+X90+Z90,IF('Pre-Calculation'!$D$17="Type 5",0))))))))))))</f>
        <v>1598472.607</v>
      </c>
      <c r="Q90" s="175">
        <f t="shared" si="5"/>
        <v>1000000</v>
      </c>
      <c r="R90" s="119">
        <f>L90*(1+GROWTH_RATE)*FMC</f>
        <v>1799.691539</v>
      </c>
      <c r="S90" s="178">
        <f>S89*(1+'Pre-Calculation'!$E$27)</f>
        <v>826981.5208</v>
      </c>
      <c r="T90" s="175">
        <f>-E90+IF(A89=INPUT!$C$11*12,N90,0)</f>
        <v>0</v>
      </c>
      <c r="U90" s="175">
        <f t="shared" si="6"/>
        <v>1627613.276</v>
      </c>
      <c r="V90" s="175">
        <f>U90*(1+GROWTH_RATE_H)*(1-'Pre-Calculation'!$E$31)</f>
        <v>1635357.445</v>
      </c>
      <c r="W90" s="175">
        <f>-E90+IF(A89=INPUT!$C$11*12,V90,0)</f>
        <v>0</v>
      </c>
      <c r="X90" s="179">
        <f t="array" ref="X90">NPV('Pre-Calculation'!$E$20,$E91:E$246)</f>
        <v>0</v>
      </c>
      <c r="Y90" s="171">
        <f>10%*SA</f>
        <v>100000</v>
      </c>
      <c r="Z90" s="179">
        <f t="array" ref="Z90">NPV('Pre-Calculation'!$E$20,Y91:Y100)</f>
        <v>969592.8037</v>
      </c>
    </row>
    <row r="91" ht="15.75" customHeight="1">
      <c r="A91" s="171">
        <f t="shared" si="1"/>
        <v>145</v>
      </c>
      <c r="B91" s="171">
        <f t="shared" si="2"/>
        <v>13</v>
      </c>
      <c r="C91" s="176">
        <f>EDATE(RCD,A90)</f>
        <v>46934</v>
      </c>
      <c r="D91" s="171">
        <f>Age_At_Entry+'Cashflows_8%'!B91-1</f>
        <v>47</v>
      </c>
      <c r="E91" s="175">
        <f>IF(AND(C91&lt;=Last_Prem,MOD(A90,Mode)=0,C91&gt;INPUT!$C$13,A91&lt;=Revival!$C$11),Mod_Prem,0)</f>
        <v>0</v>
      </c>
      <c r="F91" s="177">
        <f>E91*VLOOKUP(B91,'Pre-Calculation'!$H$1:$I$31,2,FALSE)</f>
        <v>0</v>
      </c>
      <c r="G91" s="177">
        <f>IF(B91&lt;PT+1,VLOOKUP(B91,'Pre-Calculation'!$H$1:$L$32,3,FALSE)+VLOOKUP(B91,'Pre-Calculation'!$H$1:$L$32,4,FALSE)*'Pre-Calculation'!$D$7,0)</f>
        <v>0</v>
      </c>
      <c r="H91" s="175">
        <f>(E91-(F91+G91)*(1+Tax)+N90)</f>
        <v>1598472.607</v>
      </c>
      <c r="I91" s="175">
        <f>IF(B91&lt;PT+1,VLOOKUP(D91,'Pre-Calculation'!$N$3:$P$79,IF(INPUT!$C$4="M",2,3),FALSE)*(J91/1000)*(1/12),0)</f>
        <v>0</v>
      </c>
      <c r="J91" s="175">
        <f t="shared" si="3"/>
        <v>0</v>
      </c>
      <c r="K91" s="175">
        <f>(IF('Pre-Calculation'!$D$17="Type 4 a",MAX(SA,H91,1.05*Q91),IF('Pre-Calculation'!$D$17="Type 4 c",H91,IF('Pre-Calculation'!$D$17="Type 4 d",SA+H91,IF('Pre-Calculation'!$D$17="Type 4 e",MAX(SA,H91),IF('Pre-Calculation'!$D$17="Type 4 f",SA,IF('Pre-Calculation'!$D$17="Type 4 g",1000+H91,IF('Pre-Calculation'!$D$17="Type 4 h",SA+X91,IF('Pre-Calculation'!$D$17="Type 4 i",MAX(H91,Q91),IF('Pre-Calculation'!$D$17="Type 4 k",MAX(H91,1.01*Q91),IF('Pre-Calculation'!$D$17="Type 4 m",MAX(105%*Q91,SA+H91),IF('Pre-Calculation'!$D$17="Type 4 o",MAX(SA,105%*Q91)+X91+Z91,IF('Pre-Calculation'!$D$17="Type 5",0)))))))))))))*IF(AND(A91&lt;Revival!$C$4,'Cashflows_8%'!C91&gt;=Revival!$D$12),PUP,1)</f>
        <v>1598472.607</v>
      </c>
      <c r="L91" s="175">
        <f>H91-I91*(1+Tax)</f>
        <v>1598472.607</v>
      </c>
      <c r="M91" s="175">
        <f>L91*(1+GROWTH_RATE_H)*(1-FMC*(1+Tax))</f>
        <v>1606622.764</v>
      </c>
      <c r="N91" s="175">
        <f>M91+IF(MOD(A91,B91)=0,VLOOKUP(B91,'Pre-Calculation'!$H$1:$L$31,5,FALSE),0)*IF('Pre-Calculation'!$D$16="% OF FV",M91,IF(OR('Pre-Calculation'!$D$16="% OF AFV(24M)",'Pre-Calculation'!$D$16="% OF AFV(8Q)"),AVERAGE( $M68:$M91),IF('Pre-Calculation'!$D$16="% OF AFV(12M)",AVERAGE($M80:M91),IF('Pre-Calculation'!$D$16="% OF AFV(36M)",AVERAGE($M56:M91)))))</f>
        <v>1606622.764</v>
      </c>
      <c r="O91" s="175">
        <f t="shared" si="4"/>
        <v>1606622.764</v>
      </c>
      <c r="P91" s="175">
        <f>IF('Pre-Calculation'!$D$17="Type 4 a",MAX(SA,N91,1.05*Q91),IF('Pre-Calculation'!$D$17="Type 4 c",N91,IF('Pre-Calculation'!$D$17="Type 4 d",SA+N91,IF('Pre-Calculation'!$D$17="Type 4 e",MAX(SA,N91),IF('Pre-Calculation'!$D$17="Type 4 f",SA,IF('Pre-Calculation'!$D$17="Type 4 g",1000+N91,IF('Pre-Calculation'!$D$17="Type 4 h",SA+X91,IF('Pre-Calculation'!$D$17="Type 4 i",MAX(N91,Q91),IF('Pre-Calculation'!$D$17="Type 4 k",MAX(N91,1.01*Q91),IF('Pre-Calculation'!$D$17="Type 4 m",MAX(105%*Q91,SA+N91),IF('Pre-Calculation'!$D$17="Type 4 o",MAX(SA,105%*Q91)+X91+Z91,IF('Pre-Calculation'!$D$17="Type 5",0))))))))))))</f>
        <v>1606622.764</v>
      </c>
      <c r="Q91" s="175">
        <f t="shared" si="5"/>
        <v>1000000</v>
      </c>
      <c r="R91" s="119">
        <f>L91*(1+GROWTH_RATE)*FMC</f>
        <v>1808.867654</v>
      </c>
      <c r="S91" s="178">
        <f>S90*(1+'Pre-Calculation'!$E$27)</f>
        <v>829355.701</v>
      </c>
      <c r="T91" s="175">
        <f>-E91+IF(A90=INPUT!$C$11*12,N91,0)</f>
        <v>0</v>
      </c>
      <c r="U91" s="175">
        <f t="shared" si="6"/>
        <v>1635357.445</v>
      </c>
      <c r="V91" s="175">
        <f>U91*(1+GROWTH_RATE_H)*(1-'Pre-Calculation'!$E$31)</f>
        <v>1643138.462</v>
      </c>
      <c r="W91" s="175">
        <f>-E91+IF(A90=INPUT!$C$11*12,V91,0)</f>
        <v>0</v>
      </c>
      <c r="X91" s="179">
        <f t="array" ref="X91">NPV('Pre-Calculation'!$E$20,$E92:E$246)</f>
        <v>0</v>
      </c>
      <c r="Y91" s="171">
        <f>10%*SA</f>
        <v>100000</v>
      </c>
      <c r="Z91" s="179">
        <f t="array" ref="Z91">NPV('Pre-Calculation'!$E$20,Y92:Y101)</f>
        <v>969592.8037</v>
      </c>
    </row>
    <row r="92" ht="15.75" customHeight="1">
      <c r="A92" s="171">
        <f t="shared" si="1"/>
        <v>146</v>
      </c>
      <c r="B92" s="171">
        <f t="shared" si="2"/>
        <v>13</v>
      </c>
      <c r="C92" s="176">
        <f>EDATE(RCD,A91)</f>
        <v>46964</v>
      </c>
      <c r="D92" s="171">
        <f>Age_At_Entry+'Cashflows_8%'!B92-1</f>
        <v>47</v>
      </c>
      <c r="E92" s="175">
        <f>IF(AND(C92&lt;=Last_Prem,MOD(A91,Mode)=0,C92&gt;INPUT!$C$13,A92&lt;=Revival!$C$11),Mod_Prem,0)</f>
        <v>0</v>
      </c>
      <c r="F92" s="177">
        <f>E92*VLOOKUP(B92,'Pre-Calculation'!$H$1:$I$31,2,FALSE)</f>
        <v>0</v>
      </c>
      <c r="G92" s="177">
        <f>IF(B92&lt;PT+1,VLOOKUP(B92,'Pre-Calculation'!$H$1:$L$32,3,FALSE)+VLOOKUP(B92,'Pre-Calculation'!$H$1:$L$32,4,FALSE)*'Pre-Calculation'!$D$7,0)</f>
        <v>0</v>
      </c>
      <c r="H92" s="175">
        <f>(E92-(F92+G92)*(1+Tax)+N91)</f>
        <v>1606622.764</v>
      </c>
      <c r="I92" s="175">
        <f>IF(B92&lt;PT+1,VLOOKUP(D92,'Pre-Calculation'!$N$3:$P$79,IF(INPUT!$C$4="M",2,3),FALSE)*(J92/1000)*(1/12),0)</f>
        <v>0</v>
      </c>
      <c r="J92" s="175">
        <f t="shared" si="3"/>
        <v>0</v>
      </c>
      <c r="K92" s="175">
        <f>(IF('Pre-Calculation'!$D$17="Type 4 a",MAX(SA,H92,1.05*Q92),IF('Pre-Calculation'!$D$17="Type 4 c",H92,IF('Pre-Calculation'!$D$17="Type 4 d",SA+H92,IF('Pre-Calculation'!$D$17="Type 4 e",MAX(SA,H92),IF('Pre-Calculation'!$D$17="Type 4 f",SA,IF('Pre-Calculation'!$D$17="Type 4 g",1000+H92,IF('Pre-Calculation'!$D$17="Type 4 h",SA+X92,IF('Pre-Calculation'!$D$17="Type 4 i",MAX(H92,Q92),IF('Pre-Calculation'!$D$17="Type 4 k",MAX(H92,1.01*Q92),IF('Pre-Calculation'!$D$17="Type 4 m",MAX(105%*Q92,SA+H92),IF('Pre-Calculation'!$D$17="Type 4 o",MAX(SA,105%*Q92)+X92+Z92,IF('Pre-Calculation'!$D$17="Type 5",0)))))))))))))*IF(AND(A92&lt;Revival!$C$4,'Cashflows_8%'!C92&gt;=Revival!$D$12),PUP,1)</f>
        <v>1606622.764</v>
      </c>
      <c r="L92" s="175">
        <f>H92-I92*(1+Tax)</f>
        <v>1606622.764</v>
      </c>
      <c r="M92" s="175">
        <f>L92*(1+GROWTH_RATE_H)*(1-FMC*(1+Tax))</f>
        <v>1614814.476</v>
      </c>
      <c r="N92" s="175">
        <f>M92+IF(MOD(A92,B92)=0,VLOOKUP(B92,'Pre-Calculation'!$H$1:$L$31,5,FALSE),0)*IF('Pre-Calculation'!$D$16="% OF FV",M92,IF(OR('Pre-Calculation'!$D$16="% OF AFV(24M)",'Pre-Calculation'!$D$16="% OF AFV(8Q)"),AVERAGE( $M69:$M92),IF('Pre-Calculation'!$D$16="% OF AFV(12M)",AVERAGE($M81:M92),IF('Pre-Calculation'!$D$16="% OF AFV(36M)",AVERAGE($M57:M92)))))</f>
        <v>1614814.476</v>
      </c>
      <c r="O92" s="175">
        <f t="shared" si="4"/>
        <v>1614814.476</v>
      </c>
      <c r="P92" s="175">
        <f>IF('Pre-Calculation'!$D$17="Type 4 a",MAX(SA,N92,1.05*Q92),IF('Pre-Calculation'!$D$17="Type 4 c",N92,IF('Pre-Calculation'!$D$17="Type 4 d",SA+N92,IF('Pre-Calculation'!$D$17="Type 4 e",MAX(SA,N92),IF('Pre-Calculation'!$D$17="Type 4 f",SA,IF('Pre-Calculation'!$D$17="Type 4 g",1000+N92,IF('Pre-Calculation'!$D$17="Type 4 h",SA+X92,IF('Pre-Calculation'!$D$17="Type 4 i",MAX(N92,Q92),IF('Pre-Calculation'!$D$17="Type 4 k",MAX(N92,1.01*Q92),IF('Pre-Calculation'!$D$17="Type 4 m",MAX(105%*Q92,SA+N92),IF('Pre-Calculation'!$D$17="Type 4 o",MAX(SA,105%*Q92)+X92+Z92,IF('Pre-Calculation'!$D$17="Type 5",0))))))))))))</f>
        <v>1614814.476</v>
      </c>
      <c r="Q92" s="175">
        <f t="shared" si="5"/>
        <v>1000000</v>
      </c>
      <c r="R92" s="119">
        <f>L92*(1+GROWTH_RATE)*FMC</f>
        <v>1818.090556</v>
      </c>
      <c r="S92" s="178">
        <f>S91*(1+'Pre-Calculation'!$E$27)</f>
        <v>831736.6972</v>
      </c>
      <c r="T92" s="175">
        <f>-E92+IF(A91=INPUT!$C$11*12,N92,0)</f>
        <v>0</v>
      </c>
      <c r="U92" s="175">
        <f t="shared" si="6"/>
        <v>1643138.462</v>
      </c>
      <c r="V92" s="175">
        <f>U92*(1+GROWTH_RATE_H)*(1-'Pre-Calculation'!$E$31)</f>
        <v>1650956.5</v>
      </c>
      <c r="W92" s="175">
        <f>-E92+IF(A91=INPUT!$C$11*12,V92,0)</f>
        <v>0</v>
      </c>
      <c r="X92" s="179">
        <f t="array" ref="X92">NPV('Pre-Calculation'!$E$20,$E93:E$246)</f>
        <v>0</v>
      </c>
      <c r="Y92" s="171">
        <f>10%*SA</f>
        <v>100000</v>
      </c>
      <c r="Z92" s="179">
        <f t="array" ref="Z92">NPV('Pre-Calculation'!$E$20,Y93:Y102)</f>
        <v>969592.8037</v>
      </c>
    </row>
    <row r="93" ht="15.75" customHeight="1">
      <c r="A93" s="171">
        <f t="shared" si="1"/>
        <v>147</v>
      </c>
      <c r="B93" s="171">
        <f t="shared" si="2"/>
        <v>13</v>
      </c>
      <c r="C93" s="176">
        <f>EDATE(RCD,A92)</f>
        <v>46995</v>
      </c>
      <c r="D93" s="171">
        <f>Age_At_Entry+'Cashflows_8%'!B93-1</f>
        <v>47</v>
      </c>
      <c r="E93" s="175">
        <f>IF(AND(C93&lt;=Last_Prem,MOD(A92,Mode)=0,C93&gt;INPUT!$C$13,A93&lt;=Revival!$C$11),Mod_Prem,0)</f>
        <v>0</v>
      </c>
      <c r="F93" s="177">
        <f>E93*VLOOKUP(B93,'Pre-Calculation'!$H$1:$I$31,2,FALSE)</f>
        <v>0</v>
      </c>
      <c r="G93" s="177">
        <f>IF(B93&lt;PT+1,VLOOKUP(B93,'Pre-Calculation'!$H$1:$L$32,3,FALSE)+VLOOKUP(B93,'Pre-Calculation'!$H$1:$L$32,4,FALSE)*'Pre-Calculation'!$D$7,0)</f>
        <v>0</v>
      </c>
      <c r="H93" s="175">
        <f>(E93-(F93+G93)*(1+Tax)+N92)</f>
        <v>1614814.476</v>
      </c>
      <c r="I93" s="175">
        <f>IF(B93&lt;PT+1,VLOOKUP(D93,'Pre-Calculation'!$N$3:$P$79,IF(INPUT!$C$4="M",2,3),FALSE)*(J93/1000)*(1/12),0)</f>
        <v>0</v>
      </c>
      <c r="J93" s="175">
        <f t="shared" si="3"/>
        <v>0</v>
      </c>
      <c r="K93" s="175">
        <f>(IF('Pre-Calculation'!$D$17="Type 4 a",MAX(SA,H93,1.05*Q93),IF('Pre-Calculation'!$D$17="Type 4 c",H93,IF('Pre-Calculation'!$D$17="Type 4 d",SA+H93,IF('Pre-Calculation'!$D$17="Type 4 e",MAX(SA,H93),IF('Pre-Calculation'!$D$17="Type 4 f",SA,IF('Pre-Calculation'!$D$17="Type 4 g",1000+H93,IF('Pre-Calculation'!$D$17="Type 4 h",SA+X93,IF('Pre-Calculation'!$D$17="Type 4 i",MAX(H93,Q93),IF('Pre-Calculation'!$D$17="Type 4 k",MAX(H93,1.01*Q93),IF('Pre-Calculation'!$D$17="Type 4 m",MAX(105%*Q93,SA+H93),IF('Pre-Calculation'!$D$17="Type 4 o",MAX(SA,105%*Q93)+X93+Z93,IF('Pre-Calculation'!$D$17="Type 5",0)))))))))))))*IF(AND(A93&lt;Revival!$C$4,'Cashflows_8%'!C93&gt;=Revival!$D$12),PUP,1)</f>
        <v>1614814.476</v>
      </c>
      <c r="L93" s="175">
        <f>H93-I93*(1+Tax)</f>
        <v>1614814.476</v>
      </c>
      <c r="M93" s="175">
        <f>L93*(1+GROWTH_RATE_H)*(1-FMC*(1+Tax))</f>
        <v>1623047.956</v>
      </c>
      <c r="N93" s="175">
        <f>M93+IF(MOD(A93,B93)=0,VLOOKUP(B93,'Pre-Calculation'!$H$1:$L$31,5,FALSE),0)*IF('Pre-Calculation'!$D$16="% OF FV",M93,IF(OR('Pre-Calculation'!$D$16="% OF AFV(24M)",'Pre-Calculation'!$D$16="% OF AFV(8Q)"),AVERAGE( $M70:$M93),IF('Pre-Calculation'!$D$16="% OF AFV(12M)",AVERAGE($M82:M93),IF('Pre-Calculation'!$D$16="% OF AFV(36M)",AVERAGE($M58:M93)))))</f>
        <v>1623047.956</v>
      </c>
      <c r="O93" s="175">
        <f t="shared" si="4"/>
        <v>1623047.956</v>
      </c>
      <c r="P93" s="175">
        <f>IF('Pre-Calculation'!$D$17="Type 4 a",MAX(SA,N93,1.05*Q93),IF('Pre-Calculation'!$D$17="Type 4 c",N93,IF('Pre-Calculation'!$D$17="Type 4 d",SA+N93,IF('Pre-Calculation'!$D$17="Type 4 e",MAX(SA,N93),IF('Pre-Calculation'!$D$17="Type 4 f",SA,IF('Pre-Calculation'!$D$17="Type 4 g",1000+N93,IF('Pre-Calculation'!$D$17="Type 4 h",SA+X93,IF('Pre-Calculation'!$D$17="Type 4 i",MAX(N93,Q93),IF('Pre-Calculation'!$D$17="Type 4 k",MAX(N93,1.01*Q93),IF('Pre-Calculation'!$D$17="Type 4 m",MAX(105%*Q93,SA+N93),IF('Pre-Calculation'!$D$17="Type 4 o",MAX(SA,105%*Q93)+X93+Z93,IF('Pre-Calculation'!$D$17="Type 5",0))))))))))))</f>
        <v>1623047.956</v>
      </c>
      <c r="Q93" s="175">
        <f t="shared" si="5"/>
        <v>1000000</v>
      </c>
      <c r="R93" s="119">
        <f>L93*(1+GROWTH_RATE)*FMC</f>
        <v>1827.360482</v>
      </c>
      <c r="S93" s="178">
        <f>S92*(1+'Pre-Calculation'!$E$27)</f>
        <v>834124.529</v>
      </c>
      <c r="T93" s="175">
        <f>-E93+IF(A92=INPUT!$C$11*12,N93,0)</f>
        <v>0</v>
      </c>
      <c r="U93" s="175">
        <f t="shared" si="6"/>
        <v>1650956.5</v>
      </c>
      <c r="V93" s="175">
        <f>U93*(1+GROWTH_RATE_H)*(1-'Pre-Calculation'!$E$31)</f>
        <v>1658811.737</v>
      </c>
      <c r="W93" s="175">
        <f>-E93+IF(A92=INPUT!$C$11*12,V93,0)</f>
        <v>0</v>
      </c>
      <c r="X93" s="179">
        <f t="array" ref="X93">NPV('Pre-Calculation'!$E$20,$E94:E$246)</f>
        <v>0</v>
      </c>
      <c r="Y93" s="171">
        <f>10%*SA</f>
        <v>100000</v>
      </c>
      <c r="Z93" s="179">
        <f t="array" ref="Z93">NPV('Pre-Calculation'!$E$20,Y94:Y103)</f>
        <v>969592.8037</v>
      </c>
    </row>
    <row r="94" ht="15.75" customHeight="1">
      <c r="A94" s="171">
        <f t="shared" si="1"/>
        <v>148</v>
      </c>
      <c r="B94" s="171">
        <f t="shared" si="2"/>
        <v>13</v>
      </c>
      <c r="C94" s="176">
        <f>EDATE(RCD,A93)</f>
        <v>47026</v>
      </c>
      <c r="D94" s="171">
        <f>Age_At_Entry+'Cashflows_8%'!B94-1</f>
        <v>47</v>
      </c>
      <c r="E94" s="175">
        <f>IF(AND(C94&lt;=Last_Prem,MOD(A93,Mode)=0,C94&gt;INPUT!$C$13,A94&lt;=Revival!$C$11),Mod_Prem,0)</f>
        <v>0</v>
      </c>
      <c r="F94" s="177">
        <f>E94*VLOOKUP(B94,'Pre-Calculation'!$H$1:$I$31,2,FALSE)</f>
        <v>0</v>
      </c>
      <c r="G94" s="177">
        <f>IF(B94&lt;PT+1,VLOOKUP(B94,'Pre-Calculation'!$H$1:$L$32,3,FALSE)+VLOOKUP(B94,'Pre-Calculation'!$H$1:$L$32,4,FALSE)*'Pre-Calculation'!$D$7,0)</f>
        <v>0</v>
      </c>
      <c r="H94" s="175">
        <f>(E94-(F94+G94)*(1+Tax)+N93)</f>
        <v>1623047.956</v>
      </c>
      <c r="I94" s="175">
        <f>IF(B94&lt;PT+1,VLOOKUP(D94,'Pre-Calculation'!$N$3:$P$79,IF(INPUT!$C$4="M",2,3),FALSE)*(J94/1000)*(1/12),0)</f>
        <v>0</v>
      </c>
      <c r="J94" s="175">
        <f t="shared" si="3"/>
        <v>0</v>
      </c>
      <c r="K94" s="175">
        <f>(IF('Pre-Calculation'!$D$17="Type 4 a",MAX(SA,H94,1.05*Q94),IF('Pre-Calculation'!$D$17="Type 4 c",H94,IF('Pre-Calculation'!$D$17="Type 4 d",SA+H94,IF('Pre-Calculation'!$D$17="Type 4 e",MAX(SA,H94),IF('Pre-Calculation'!$D$17="Type 4 f",SA,IF('Pre-Calculation'!$D$17="Type 4 g",1000+H94,IF('Pre-Calculation'!$D$17="Type 4 h",SA+X94,IF('Pre-Calculation'!$D$17="Type 4 i",MAX(H94,Q94),IF('Pre-Calculation'!$D$17="Type 4 k",MAX(H94,1.01*Q94),IF('Pre-Calculation'!$D$17="Type 4 m",MAX(105%*Q94,SA+H94),IF('Pre-Calculation'!$D$17="Type 4 o",MAX(SA,105%*Q94)+X94+Z94,IF('Pre-Calculation'!$D$17="Type 5",0)))))))))))))*IF(AND(A94&lt;Revival!$C$4,'Cashflows_8%'!C94&gt;=Revival!$D$12),PUP,1)</f>
        <v>1623047.956</v>
      </c>
      <c r="L94" s="175">
        <f>H94-I94*(1+Tax)</f>
        <v>1623047.956</v>
      </c>
      <c r="M94" s="175">
        <f>L94*(1+GROWTH_RATE_H)*(1-FMC*(1+Tax))</f>
        <v>1631323.416</v>
      </c>
      <c r="N94" s="175">
        <f>M94+IF(MOD(A94,B94)=0,VLOOKUP(B94,'Pre-Calculation'!$H$1:$L$31,5,FALSE),0)*IF('Pre-Calculation'!$D$16="% OF FV",M94,IF(OR('Pre-Calculation'!$D$16="% OF AFV(24M)",'Pre-Calculation'!$D$16="% OF AFV(8Q)"),AVERAGE( $M71:$M94),IF('Pre-Calculation'!$D$16="% OF AFV(12M)",AVERAGE($M83:M94),IF('Pre-Calculation'!$D$16="% OF AFV(36M)",AVERAGE($M59:M94)))))</f>
        <v>1631323.416</v>
      </c>
      <c r="O94" s="175">
        <f t="shared" si="4"/>
        <v>1631323.416</v>
      </c>
      <c r="P94" s="175">
        <f>IF('Pre-Calculation'!$D$17="Type 4 a",MAX(SA,N94,1.05*Q94),IF('Pre-Calculation'!$D$17="Type 4 c",N94,IF('Pre-Calculation'!$D$17="Type 4 d",SA+N94,IF('Pre-Calculation'!$D$17="Type 4 e",MAX(SA,N94),IF('Pre-Calculation'!$D$17="Type 4 f",SA,IF('Pre-Calculation'!$D$17="Type 4 g",1000+N94,IF('Pre-Calculation'!$D$17="Type 4 h",SA+X94,IF('Pre-Calculation'!$D$17="Type 4 i",MAX(N94,Q94),IF('Pre-Calculation'!$D$17="Type 4 k",MAX(N94,1.01*Q94),IF('Pre-Calculation'!$D$17="Type 4 m",MAX(105%*Q94,SA+N94),IF('Pre-Calculation'!$D$17="Type 4 o",MAX(SA,105%*Q94)+X94+Z94,IF('Pre-Calculation'!$D$17="Type 5",0))))))))))))</f>
        <v>1631323.416</v>
      </c>
      <c r="Q94" s="175">
        <f t="shared" si="5"/>
        <v>1000000</v>
      </c>
      <c r="R94" s="119">
        <f>L94*(1+GROWTH_RATE)*FMC</f>
        <v>1836.677673</v>
      </c>
      <c r="S94" s="178">
        <f>S93*(1+'Pre-Calculation'!$E$27)</f>
        <v>836519.2161</v>
      </c>
      <c r="T94" s="175">
        <f>-E94+IF(A93=INPUT!$C$11*12,N94,0)</f>
        <v>0</v>
      </c>
      <c r="U94" s="175">
        <f t="shared" si="6"/>
        <v>1658811.737</v>
      </c>
      <c r="V94" s="175">
        <f>U94*(1+GROWTH_RATE_H)*(1-'Pre-Calculation'!$E$31)</f>
        <v>1666704.348</v>
      </c>
      <c r="W94" s="175">
        <f>-E94+IF(A93=INPUT!$C$11*12,V94,0)</f>
        <v>0</v>
      </c>
      <c r="X94" s="179">
        <f t="array" ref="X94">NPV('Pre-Calculation'!$E$20,$E95:E$246)</f>
        <v>0</v>
      </c>
      <c r="Y94" s="171">
        <f>10%*SA</f>
        <v>100000</v>
      </c>
      <c r="Z94" s="179">
        <f t="array" ref="Z94">NPV('Pre-Calculation'!$E$20,Y95:Y104)</f>
        <v>969592.8037</v>
      </c>
    </row>
    <row r="95" ht="15.75" customHeight="1">
      <c r="A95" s="171">
        <f t="shared" si="1"/>
        <v>149</v>
      </c>
      <c r="B95" s="171">
        <f t="shared" si="2"/>
        <v>13</v>
      </c>
      <c r="C95" s="176">
        <f>EDATE(RCD,A94)</f>
        <v>47056</v>
      </c>
      <c r="D95" s="171">
        <f>Age_At_Entry+'Cashflows_8%'!B95-1</f>
        <v>47</v>
      </c>
      <c r="E95" s="175">
        <f>IF(AND(C95&lt;=Last_Prem,MOD(A94,Mode)=0,C95&gt;INPUT!$C$13,A95&lt;=Revival!$C$11),Mod_Prem,0)</f>
        <v>0</v>
      </c>
      <c r="F95" s="177">
        <f>E95*VLOOKUP(B95,'Pre-Calculation'!$H$1:$I$31,2,FALSE)</f>
        <v>0</v>
      </c>
      <c r="G95" s="177">
        <f>IF(B95&lt;PT+1,VLOOKUP(B95,'Pre-Calculation'!$H$1:$L$32,3,FALSE)+VLOOKUP(B95,'Pre-Calculation'!$H$1:$L$32,4,FALSE)*'Pre-Calculation'!$D$7,0)</f>
        <v>0</v>
      </c>
      <c r="H95" s="175">
        <f>(E95-(F95+G95)*(1+Tax)+N94)</f>
        <v>1631323.416</v>
      </c>
      <c r="I95" s="175">
        <f>IF(B95&lt;PT+1,VLOOKUP(D95,'Pre-Calculation'!$N$3:$P$79,IF(INPUT!$C$4="M",2,3),FALSE)*(J95/1000)*(1/12),0)</f>
        <v>0</v>
      </c>
      <c r="J95" s="175">
        <f t="shared" si="3"/>
        <v>0</v>
      </c>
      <c r="K95" s="175">
        <f>(IF('Pre-Calculation'!$D$17="Type 4 a",MAX(SA,H95,1.05*Q95),IF('Pre-Calculation'!$D$17="Type 4 c",H95,IF('Pre-Calculation'!$D$17="Type 4 d",SA+H95,IF('Pre-Calculation'!$D$17="Type 4 e",MAX(SA,H95),IF('Pre-Calculation'!$D$17="Type 4 f",SA,IF('Pre-Calculation'!$D$17="Type 4 g",1000+H95,IF('Pre-Calculation'!$D$17="Type 4 h",SA+X95,IF('Pre-Calculation'!$D$17="Type 4 i",MAX(H95,Q95),IF('Pre-Calculation'!$D$17="Type 4 k",MAX(H95,1.01*Q95),IF('Pre-Calculation'!$D$17="Type 4 m",MAX(105%*Q95,SA+H95),IF('Pre-Calculation'!$D$17="Type 4 o",MAX(SA,105%*Q95)+X95+Z95,IF('Pre-Calculation'!$D$17="Type 5",0)))))))))))))*IF(AND(A95&lt;Revival!$C$4,'Cashflows_8%'!C95&gt;=Revival!$D$12),PUP,1)</f>
        <v>1631323.416</v>
      </c>
      <c r="L95" s="175">
        <f>H95-I95*(1+Tax)</f>
        <v>1631323.416</v>
      </c>
      <c r="M95" s="175">
        <f>L95*(1+GROWTH_RATE_H)*(1-FMC*(1+Tax))</f>
        <v>1639641.07</v>
      </c>
      <c r="N95" s="175">
        <f>M95+IF(MOD(A95,B95)=0,VLOOKUP(B95,'Pre-Calculation'!$H$1:$L$31,5,FALSE),0)*IF('Pre-Calculation'!$D$16="% OF FV",M95,IF(OR('Pre-Calculation'!$D$16="% OF AFV(24M)",'Pre-Calculation'!$D$16="% OF AFV(8Q)"),AVERAGE( $M72:$M95),IF('Pre-Calculation'!$D$16="% OF AFV(12M)",AVERAGE($M84:M95),IF('Pre-Calculation'!$D$16="% OF AFV(36M)",AVERAGE($M60:M95)))))</f>
        <v>1639641.07</v>
      </c>
      <c r="O95" s="175">
        <f t="shared" si="4"/>
        <v>1639641.07</v>
      </c>
      <c r="P95" s="175">
        <f>IF('Pre-Calculation'!$D$17="Type 4 a",MAX(SA,N95,1.05*Q95),IF('Pre-Calculation'!$D$17="Type 4 c",N95,IF('Pre-Calculation'!$D$17="Type 4 d",SA+N95,IF('Pre-Calculation'!$D$17="Type 4 e",MAX(SA,N95),IF('Pre-Calculation'!$D$17="Type 4 f",SA,IF('Pre-Calculation'!$D$17="Type 4 g",1000+N95,IF('Pre-Calculation'!$D$17="Type 4 h",SA+X95,IF('Pre-Calculation'!$D$17="Type 4 i",MAX(N95,Q95),IF('Pre-Calculation'!$D$17="Type 4 k",MAX(N95,1.01*Q95),IF('Pre-Calculation'!$D$17="Type 4 m",MAX(105%*Q95,SA+N95),IF('Pre-Calculation'!$D$17="Type 4 o",MAX(SA,105%*Q95)+X95+Z95,IF('Pre-Calculation'!$D$17="Type 5",0))))))))))))</f>
        <v>1639641.07</v>
      </c>
      <c r="Q95" s="175">
        <f t="shared" si="5"/>
        <v>1000000</v>
      </c>
      <c r="R95" s="119">
        <f>L95*(1+GROWTH_RATE)*FMC</f>
        <v>1846.04237</v>
      </c>
      <c r="S95" s="178">
        <f>S94*(1+'Pre-Calculation'!$E$27)</f>
        <v>838920.778</v>
      </c>
      <c r="T95" s="175">
        <f>-E95+IF(A94=INPUT!$C$11*12,N95,0)</f>
        <v>0</v>
      </c>
      <c r="U95" s="175">
        <f t="shared" si="6"/>
        <v>1666704.348</v>
      </c>
      <c r="V95" s="175">
        <f>U95*(1+GROWTH_RATE_H)*(1-'Pre-Calculation'!$E$31)</f>
        <v>1674634.513</v>
      </c>
      <c r="W95" s="175">
        <f>-E95+IF(A94=INPUT!$C$11*12,V95,0)</f>
        <v>0</v>
      </c>
      <c r="X95" s="179">
        <f t="array" ref="X95">NPV('Pre-Calculation'!$E$20,$E96:E$246)</f>
        <v>0</v>
      </c>
      <c r="Y95" s="171">
        <f>10%*SA</f>
        <v>100000</v>
      </c>
      <c r="Z95" s="179">
        <f t="array" ref="Z95">NPV('Pre-Calculation'!$E$20,Y96:Y105)</f>
        <v>969592.8037</v>
      </c>
    </row>
    <row r="96" ht="15.75" customHeight="1">
      <c r="A96" s="171">
        <f t="shared" si="1"/>
        <v>150</v>
      </c>
      <c r="B96" s="171">
        <f t="shared" si="2"/>
        <v>13</v>
      </c>
      <c r="C96" s="176">
        <f>EDATE(RCD,A95)</f>
        <v>47087</v>
      </c>
      <c r="D96" s="171">
        <f>Age_At_Entry+'Cashflows_8%'!B96-1</f>
        <v>47</v>
      </c>
      <c r="E96" s="175">
        <f>IF(AND(C96&lt;=Last_Prem,MOD(A95,Mode)=0,C96&gt;INPUT!$C$13,A96&lt;=Revival!$C$11),Mod_Prem,0)</f>
        <v>0</v>
      </c>
      <c r="F96" s="177">
        <f>E96*VLOOKUP(B96,'Pre-Calculation'!$H$1:$I$31,2,FALSE)</f>
        <v>0</v>
      </c>
      <c r="G96" s="177">
        <f>IF(B96&lt;PT+1,VLOOKUP(B96,'Pre-Calculation'!$H$1:$L$32,3,FALSE)+VLOOKUP(B96,'Pre-Calculation'!$H$1:$L$32,4,FALSE)*'Pre-Calculation'!$D$7,0)</f>
        <v>0</v>
      </c>
      <c r="H96" s="175">
        <f>(E96-(F96+G96)*(1+Tax)+N95)</f>
        <v>1639641.07</v>
      </c>
      <c r="I96" s="175">
        <f>IF(B96&lt;PT+1,VLOOKUP(D96,'Pre-Calculation'!$N$3:$P$79,IF(INPUT!$C$4="M",2,3),FALSE)*(J96/1000)*(1/12),0)</f>
        <v>0</v>
      </c>
      <c r="J96" s="175">
        <f t="shared" si="3"/>
        <v>0</v>
      </c>
      <c r="K96" s="175">
        <f>(IF('Pre-Calculation'!$D$17="Type 4 a",MAX(SA,H96,1.05*Q96),IF('Pre-Calculation'!$D$17="Type 4 c",H96,IF('Pre-Calculation'!$D$17="Type 4 d",SA+H96,IF('Pre-Calculation'!$D$17="Type 4 e",MAX(SA,H96),IF('Pre-Calculation'!$D$17="Type 4 f",SA,IF('Pre-Calculation'!$D$17="Type 4 g",1000+H96,IF('Pre-Calculation'!$D$17="Type 4 h",SA+X96,IF('Pre-Calculation'!$D$17="Type 4 i",MAX(H96,Q96),IF('Pre-Calculation'!$D$17="Type 4 k",MAX(H96,1.01*Q96),IF('Pre-Calculation'!$D$17="Type 4 m",MAX(105%*Q96,SA+H96),IF('Pre-Calculation'!$D$17="Type 4 o",MAX(SA,105%*Q96)+X96+Z96,IF('Pre-Calculation'!$D$17="Type 5",0)))))))))))))*IF(AND(A96&lt;Revival!$C$4,'Cashflows_8%'!C96&gt;=Revival!$D$12),PUP,1)</f>
        <v>1639641.07</v>
      </c>
      <c r="L96" s="175">
        <f>H96-I96*(1+Tax)</f>
        <v>1639641.07</v>
      </c>
      <c r="M96" s="175">
        <f>L96*(1+GROWTH_RATE_H)*(1-FMC*(1+Tax))</f>
        <v>1648001.133</v>
      </c>
      <c r="N96" s="175">
        <f>M96+IF(MOD(A96,B96)=0,VLOOKUP(B96,'Pre-Calculation'!$H$1:$L$31,5,FALSE),0)*IF('Pre-Calculation'!$D$16="% OF FV",M96,IF(OR('Pre-Calculation'!$D$16="% OF AFV(24M)",'Pre-Calculation'!$D$16="% OF AFV(8Q)"),AVERAGE( $M73:$M96),IF('Pre-Calculation'!$D$16="% OF AFV(12M)",AVERAGE($M85:M96),IF('Pre-Calculation'!$D$16="% OF AFV(36M)",AVERAGE($M61:M96)))))</f>
        <v>1648001.133</v>
      </c>
      <c r="O96" s="175">
        <f t="shared" si="4"/>
        <v>1648001.133</v>
      </c>
      <c r="P96" s="175">
        <f>IF('Pre-Calculation'!$D$17="Type 4 a",MAX(SA,N96,1.05*Q96),IF('Pre-Calculation'!$D$17="Type 4 c",N96,IF('Pre-Calculation'!$D$17="Type 4 d",SA+N96,IF('Pre-Calculation'!$D$17="Type 4 e",MAX(SA,N96),IF('Pre-Calculation'!$D$17="Type 4 f",SA,IF('Pre-Calculation'!$D$17="Type 4 g",1000+N96,IF('Pre-Calculation'!$D$17="Type 4 h",SA+X96,IF('Pre-Calculation'!$D$17="Type 4 i",MAX(N96,Q96),IF('Pre-Calculation'!$D$17="Type 4 k",MAX(N96,1.01*Q96),IF('Pre-Calculation'!$D$17="Type 4 m",MAX(105%*Q96,SA+N96),IF('Pre-Calculation'!$D$17="Type 4 o",MAX(SA,105%*Q96)+X96+Z96,IF('Pre-Calculation'!$D$17="Type 5",0))))))))))))</f>
        <v>1648001.133</v>
      </c>
      <c r="Q96" s="175">
        <f t="shared" si="5"/>
        <v>1000000</v>
      </c>
      <c r="R96" s="119">
        <f>L96*(1+GROWTH_RATE)*FMC</f>
        <v>1855.454815</v>
      </c>
      <c r="S96" s="178">
        <f>S95*(1+'Pre-Calculation'!$E$27)</f>
        <v>841329.2346</v>
      </c>
      <c r="T96" s="175">
        <f>-E96+IF(A95=INPUT!$C$11*12,N96,0)</f>
        <v>0</v>
      </c>
      <c r="U96" s="175">
        <f t="shared" si="6"/>
        <v>1674634.513</v>
      </c>
      <c r="V96" s="175">
        <f>U96*(1+GROWTH_RATE_H)*(1-'Pre-Calculation'!$E$31)</f>
        <v>1682602.409</v>
      </c>
      <c r="W96" s="175">
        <f>-E96+IF(A95=INPUT!$C$11*12,V96,0)</f>
        <v>0</v>
      </c>
      <c r="X96" s="179">
        <f t="array" ref="X96">NPV('Pre-Calculation'!$E$20,$E97:E$246)</f>
        <v>0</v>
      </c>
      <c r="Y96" s="171">
        <f>10%*SA</f>
        <v>100000</v>
      </c>
      <c r="Z96" s="179">
        <f t="array" ref="Z96">NPV('Pre-Calculation'!$E$20,Y97:Y106)</f>
        <v>969592.8037</v>
      </c>
    </row>
    <row r="97" ht="15.75" customHeight="1">
      <c r="A97" s="171">
        <f t="shared" si="1"/>
        <v>151</v>
      </c>
      <c r="B97" s="171">
        <f t="shared" si="2"/>
        <v>13</v>
      </c>
      <c r="C97" s="176">
        <f>EDATE(RCD,A96)</f>
        <v>47117</v>
      </c>
      <c r="D97" s="171">
        <f>Age_At_Entry+'Cashflows_8%'!B97-1</f>
        <v>47</v>
      </c>
      <c r="E97" s="175">
        <f>IF(AND(C97&lt;=Last_Prem,MOD(A96,Mode)=0,C97&gt;INPUT!$C$13,A97&lt;=Revival!$C$11),Mod_Prem,0)</f>
        <v>0</v>
      </c>
      <c r="F97" s="177">
        <f>E97*VLOOKUP(B97,'Pre-Calculation'!$H$1:$I$31,2,FALSE)</f>
        <v>0</v>
      </c>
      <c r="G97" s="177">
        <f>IF(B97&lt;PT+1,VLOOKUP(B97,'Pre-Calculation'!$H$1:$L$32,3,FALSE)+VLOOKUP(B97,'Pre-Calculation'!$H$1:$L$32,4,FALSE)*'Pre-Calculation'!$D$7,0)</f>
        <v>0</v>
      </c>
      <c r="H97" s="175">
        <f>(E97-(F97+G97)*(1+Tax)+N96)</f>
        <v>1648001.133</v>
      </c>
      <c r="I97" s="175">
        <f>IF(B97&lt;PT+1,VLOOKUP(D97,'Pre-Calculation'!$N$3:$P$79,IF(INPUT!$C$4="M",2,3),FALSE)*(J97/1000)*(1/12),0)</f>
        <v>0</v>
      </c>
      <c r="J97" s="175">
        <f t="shared" si="3"/>
        <v>0</v>
      </c>
      <c r="K97" s="175">
        <f>(IF('Pre-Calculation'!$D$17="Type 4 a",MAX(SA,H97,1.05*Q97),IF('Pre-Calculation'!$D$17="Type 4 c",H97,IF('Pre-Calculation'!$D$17="Type 4 d",SA+H97,IF('Pre-Calculation'!$D$17="Type 4 e",MAX(SA,H97),IF('Pre-Calculation'!$D$17="Type 4 f",SA,IF('Pre-Calculation'!$D$17="Type 4 g",1000+H97,IF('Pre-Calculation'!$D$17="Type 4 h",SA+X97,IF('Pre-Calculation'!$D$17="Type 4 i",MAX(H97,Q97),IF('Pre-Calculation'!$D$17="Type 4 k",MAX(H97,1.01*Q97),IF('Pre-Calculation'!$D$17="Type 4 m",MAX(105%*Q97,SA+H97),IF('Pre-Calculation'!$D$17="Type 4 o",MAX(SA,105%*Q97)+X97+Z97,IF('Pre-Calculation'!$D$17="Type 5",0)))))))))))))*IF(AND(A97&lt;Revival!$C$4,'Cashflows_8%'!C97&gt;=Revival!$D$12),PUP,1)</f>
        <v>1648001.133</v>
      </c>
      <c r="L97" s="175">
        <f>H97-I97*(1+Tax)</f>
        <v>1648001.133</v>
      </c>
      <c r="M97" s="175">
        <f>L97*(1+GROWTH_RATE_H)*(1-FMC*(1+Tax))</f>
        <v>1656403.822</v>
      </c>
      <c r="N97" s="175">
        <f>M97+IF(MOD(A97,B97)=0,VLOOKUP(B97,'Pre-Calculation'!$H$1:$L$31,5,FALSE),0)*IF('Pre-Calculation'!$D$16="% OF FV",M97,IF(OR('Pre-Calculation'!$D$16="% OF AFV(24M)",'Pre-Calculation'!$D$16="% OF AFV(8Q)"),AVERAGE( $M74:$M97),IF('Pre-Calculation'!$D$16="% OF AFV(12M)",AVERAGE($M86:M97),IF('Pre-Calculation'!$D$16="% OF AFV(36M)",AVERAGE($M62:M97)))))</f>
        <v>1656403.822</v>
      </c>
      <c r="O97" s="175">
        <f t="shared" si="4"/>
        <v>1656403.822</v>
      </c>
      <c r="P97" s="175">
        <f>IF('Pre-Calculation'!$D$17="Type 4 a",MAX(SA,N97,1.05*Q97),IF('Pre-Calculation'!$D$17="Type 4 c",N97,IF('Pre-Calculation'!$D$17="Type 4 d",SA+N97,IF('Pre-Calculation'!$D$17="Type 4 e",MAX(SA,N97),IF('Pre-Calculation'!$D$17="Type 4 f",SA,IF('Pre-Calculation'!$D$17="Type 4 g",1000+N97,IF('Pre-Calculation'!$D$17="Type 4 h",SA+X97,IF('Pre-Calculation'!$D$17="Type 4 i",MAX(N97,Q97),IF('Pre-Calculation'!$D$17="Type 4 k",MAX(N97,1.01*Q97),IF('Pre-Calculation'!$D$17="Type 4 m",MAX(105%*Q97,SA+N97),IF('Pre-Calculation'!$D$17="Type 4 o",MAX(SA,105%*Q97)+X97+Z97,IF('Pre-Calculation'!$D$17="Type 5",0))))))))))))</f>
        <v>1656403.822</v>
      </c>
      <c r="Q97" s="175">
        <f t="shared" si="5"/>
        <v>1000000</v>
      </c>
      <c r="R97" s="119">
        <f>L97*(1+GROWTH_RATE)*FMC</f>
        <v>1864.915251</v>
      </c>
      <c r="S97" s="178">
        <f>S96*(1+'Pre-Calculation'!$E$27)</f>
        <v>843744.6056</v>
      </c>
      <c r="T97" s="175">
        <f>-E97+IF(A96=INPUT!$C$11*12,N97,0)</f>
        <v>0</v>
      </c>
      <c r="U97" s="175">
        <f t="shared" si="6"/>
        <v>1682602.409</v>
      </c>
      <c r="V97" s="175">
        <f>U97*(1+GROWTH_RATE_H)*(1-'Pre-Calculation'!$E$31)</f>
        <v>1690608.217</v>
      </c>
      <c r="W97" s="175">
        <f>-E97+IF(A96=INPUT!$C$11*12,V97,0)</f>
        <v>0</v>
      </c>
      <c r="X97" s="179">
        <f t="array" ref="X97">NPV('Pre-Calculation'!$E$20,$E98:E$246)</f>
        <v>0</v>
      </c>
      <c r="Y97" s="171">
        <f>10%*SA</f>
        <v>100000</v>
      </c>
      <c r="Z97" s="179">
        <f t="array" ref="Z97">NPV('Pre-Calculation'!$E$20,Y98:Y107)</f>
        <v>969592.8037</v>
      </c>
    </row>
    <row r="98" ht="15.75" customHeight="1">
      <c r="A98" s="171">
        <f t="shared" si="1"/>
        <v>152</v>
      </c>
      <c r="B98" s="171">
        <f t="shared" si="2"/>
        <v>13</v>
      </c>
      <c r="C98" s="176">
        <f>EDATE(RCD,A97)</f>
        <v>47148</v>
      </c>
      <c r="D98" s="171">
        <f>Age_At_Entry+'Cashflows_8%'!B98-1</f>
        <v>47</v>
      </c>
      <c r="E98" s="175">
        <f>IF(AND(C98&lt;=Last_Prem,MOD(A97,Mode)=0,C98&gt;INPUT!$C$13,A98&lt;=Revival!$C$11),Mod_Prem,0)</f>
        <v>0</v>
      </c>
      <c r="F98" s="177">
        <f>E98*VLOOKUP(B98,'Pre-Calculation'!$H$1:$I$31,2,FALSE)</f>
        <v>0</v>
      </c>
      <c r="G98" s="177">
        <f>IF(B98&lt;PT+1,VLOOKUP(B98,'Pre-Calculation'!$H$1:$L$32,3,FALSE)+VLOOKUP(B98,'Pre-Calculation'!$H$1:$L$32,4,FALSE)*'Pre-Calculation'!$D$7,0)</f>
        <v>0</v>
      </c>
      <c r="H98" s="175">
        <f>(E98-(F98+G98)*(1+Tax)+N97)</f>
        <v>1656403.822</v>
      </c>
      <c r="I98" s="175">
        <f>IF(B98&lt;PT+1,VLOOKUP(D98,'Pre-Calculation'!$N$3:$P$79,IF(INPUT!$C$4="M",2,3),FALSE)*(J98/1000)*(1/12),0)</f>
        <v>0</v>
      </c>
      <c r="J98" s="175">
        <f t="shared" si="3"/>
        <v>0</v>
      </c>
      <c r="K98" s="175">
        <f>(IF('Pre-Calculation'!$D$17="Type 4 a",MAX(SA,H98,1.05*Q98),IF('Pre-Calculation'!$D$17="Type 4 c",H98,IF('Pre-Calculation'!$D$17="Type 4 d",SA+H98,IF('Pre-Calculation'!$D$17="Type 4 e",MAX(SA,H98),IF('Pre-Calculation'!$D$17="Type 4 f",SA,IF('Pre-Calculation'!$D$17="Type 4 g",1000+H98,IF('Pre-Calculation'!$D$17="Type 4 h",SA+X98,IF('Pre-Calculation'!$D$17="Type 4 i",MAX(H98,Q98),IF('Pre-Calculation'!$D$17="Type 4 k",MAX(H98,1.01*Q98),IF('Pre-Calculation'!$D$17="Type 4 m",MAX(105%*Q98,SA+H98),IF('Pre-Calculation'!$D$17="Type 4 o",MAX(SA,105%*Q98)+X98+Z98,IF('Pre-Calculation'!$D$17="Type 5",0)))))))))))))*IF(AND(A98&lt;Revival!$C$4,'Cashflows_8%'!C98&gt;=Revival!$D$12),PUP,1)</f>
        <v>1656403.822</v>
      </c>
      <c r="L98" s="175">
        <f>H98-I98*(1+Tax)</f>
        <v>1656403.822</v>
      </c>
      <c r="M98" s="175">
        <f>L98*(1+GROWTH_RATE_H)*(1-FMC*(1+Tax))</f>
        <v>1664849.354</v>
      </c>
      <c r="N98" s="175">
        <f>M98+IF(MOD(A98,B98)=0,VLOOKUP(B98,'Pre-Calculation'!$H$1:$L$31,5,FALSE),0)*IF('Pre-Calculation'!$D$16="% OF FV",M98,IF(OR('Pre-Calculation'!$D$16="% OF AFV(24M)",'Pre-Calculation'!$D$16="% OF AFV(8Q)"),AVERAGE( $M75:$M98),IF('Pre-Calculation'!$D$16="% OF AFV(12M)",AVERAGE($M87:M98),IF('Pre-Calculation'!$D$16="% OF AFV(36M)",AVERAGE($M63:M98)))))</f>
        <v>1664849.354</v>
      </c>
      <c r="O98" s="175">
        <f t="shared" si="4"/>
        <v>1664849.354</v>
      </c>
      <c r="P98" s="175">
        <f>IF('Pre-Calculation'!$D$17="Type 4 a",MAX(SA,N98,1.05*Q98),IF('Pre-Calculation'!$D$17="Type 4 c",N98,IF('Pre-Calculation'!$D$17="Type 4 d",SA+N98,IF('Pre-Calculation'!$D$17="Type 4 e",MAX(SA,N98),IF('Pre-Calculation'!$D$17="Type 4 f",SA,IF('Pre-Calculation'!$D$17="Type 4 g",1000+N98,IF('Pre-Calculation'!$D$17="Type 4 h",SA+X98,IF('Pre-Calculation'!$D$17="Type 4 i",MAX(N98,Q98),IF('Pre-Calculation'!$D$17="Type 4 k",MAX(N98,1.01*Q98),IF('Pre-Calculation'!$D$17="Type 4 m",MAX(105%*Q98,SA+N98),IF('Pre-Calculation'!$D$17="Type 4 o",MAX(SA,105%*Q98)+X98+Z98,IF('Pre-Calculation'!$D$17="Type 5",0))))))))))))</f>
        <v>1664849.354</v>
      </c>
      <c r="Q98" s="175">
        <f t="shared" si="5"/>
        <v>1000000</v>
      </c>
      <c r="R98" s="119">
        <f>L98*(1+GROWTH_RATE)*FMC</f>
        <v>1874.423924</v>
      </c>
      <c r="S98" s="178">
        <f>S97*(1+'Pre-Calculation'!$E$27)</f>
        <v>846166.9109</v>
      </c>
      <c r="T98" s="175">
        <f>-E98+IF(A97=INPUT!$C$11*12,N98,0)</f>
        <v>0</v>
      </c>
      <c r="U98" s="175">
        <f t="shared" si="6"/>
        <v>1690608.217</v>
      </c>
      <c r="V98" s="175">
        <f>U98*(1+GROWTH_RATE_H)*(1-'Pre-Calculation'!$E$31)</f>
        <v>1698652.116</v>
      </c>
      <c r="W98" s="175">
        <f>-E98+IF(A97=INPUT!$C$11*12,V98,0)</f>
        <v>0</v>
      </c>
      <c r="X98" s="179">
        <f t="array" ref="X98">NPV('Pre-Calculation'!$E$20,$E99:E$246)</f>
        <v>0</v>
      </c>
      <c r="Y98" s="171">
        <f>10%*SA</f>
        <v>100000</v>
      </c>
      <c r="Z98" s="179">
        <f t="array" ref="Z98">NPV('Pre-Calculation'!$E$20,Y99:Y108)</f>
        <v>969592.8037</v>
      </c>
    </row>
    <row r="99" ht="15.75" customHeight="1">
      <c r="A99" s="171">
        <f t="shared" si="1"/>
        <v>153</v>
      </c>
      <c r="B99" s="171">
        <f t="shared" si="2"/>
        <v>13</v>
      </c>
      <c r="C99" s="176">
        <f>EDATE(RCD,A98)</f>
        <v>47177</v>
      </c>
      <c r="D99" s="171">
        <f>Age_At_Entry+'Cashflows_8%'!B99-1</f>
        <v>47</v>
      </c>
      <c r="E99" s="175">
        <f>IF(AND(C99&lt;=Last_Prem,MOD(A98,Mode)=0,C99&gt;INPUT!$C$13,A99&lt;=Revival!$C$11),Mod_Prem,0)</f>
        <v>0</v>
      </c>
      <c r="F99" s="177">
        <f>E99*VLOOKUP(B99,'Pre-Calculation'!$H$1:$I$31,2,FALSE)</f>
        <v>0</v>
      </c>
      <c r="G99" s="177">
        <f>IF(B99&lt;PT+1,VLOOKUP(B99,'Pre-Calculation'!$H$1:$L$32,3,FALSE)+VLOOKUP(B99,'Pre-Calculation'!$H$1:$L$32,4,FALSE)*'Pre-Calculation'!$D$7,0)</f>
        <v>0</v>
      </c>
      <c r="H99" s="175">
        <f>(E99-(F99+G99)*(1+Tax)+N98)</f>
        <v>1664849.354</v>
      </c>
      <c r="I99" s="175">
        <f>IF(B99&lt;PT+1,VLOOKUP(D99,'Pre-Calculation'!$N$3:$P$79,IF(INPUT!$C$4="M",2,3),FALSE)*(J99/1000)*(1/12),0)</f>
        <v>0</v>
      </c>
      <c r="J99" s="175">
        <f t="shared" si="3"/>
        <v>0</v>
      </c>
      <c r="K99" s="175">
        <f>(IF('Pre-Calculation'!$D$17="Type 4 a",MAX(SA,H99,1.05*Q99),IF('Pre-Calculation'!$D$17="Type 4 c",H99,IF('Pre-Calculation'!$D$17="Type 4 d",SA+H99,IF('Pre-Calculation'!$D$17="Type 4 e",MAX(SA,H99),IF('Pre-Calculation'!$D$17="Type 4 f",SA,IF('Pre-Calculation'!$D$17="Type 4 g",1000+H99,IF('Pre-Calculation'!$D$17="Type 4 h",SA+X99,IF('Pre-Calculation'!$D$17="Type 4 i",MAX(H99,Q99),IF('Pre-Calculation'!$D$17="Type 4 k",MAX(H99,1.01*Q99),IF('Pre-Calculation'!$D$17="Type 4 m",MAX(105%*Q99,SA+H99),IF('Pre-Calculation'!$D$17="Type 4 o",MAX(SA,105%*Q99)+X99+Z99,IF('Pre-Calculation'!$D$17="Type 5",0)))))))))))))*IF(AND(A99&lt;Revival!$C$4,'Cashflows_8%'!C99&gt;=Revival!$D$12),PUP,1)</f>
        <v>1664849.354</v>
      </c>
      <c r="L99" s="175">
        <f>H99-I99*(1+Tax)</f>
        <v>1664849.354</v>
      </c>
      <c r="M99" s="175">
        <f>L99*(1+GROWTH_RATE_H)*(1-FMC*(1+Tax))</f>
        <v>1673337.947</v>
      </c>
      <c r="N99" s="175">
        <f>M99+IF(MOD(A99,B99)=0,VLOOKUP(B99,'Pre-Calculation'!$H$1:$L$31,5,FALSE),0)*IF('Pre-Calculation'!$D$16="% OF FV",M99,IF(OR('Pre-Calculation'!$D$16="% OF AFV(24M)",'Pre-Calculation'!$D$16="% OF AFV(8Q)"),AVERAGE( $M76:$M99),IF('Pre-Calculation'!$D$16="% OF AFV(12M)",AVERAGE($M88:M99),IF('Pre-Calculation'!$D$16="% OF AFV(36M)",AVERAGE($M64:M99)))))</f>
        <v>1673337.947</v>
      </c>
      <c r="O99" s="175">
        <f t="shared" si="4"/>
        <v>1673337.947</v>
      </c>
      <c r="P99" s="175">
        <f>IF('Pre-Calculation'!$D$17="Type 4 a",MAX(SA,N99,1.05*Q99),IF('Pre-Calculation'!$D$17="Type 4 c",N99,IF('Pre-Calculation'!$D$17="Type 4 d",SA+N99,IF('Pre-Calculation'!$D$17="Type 4 e",MAX(SA,N99),IF('Pre-Calculation'!$D$17="Type 4 f",SA,IF('Pre-Calculation'!$D$17="Type 4 g",1000+N99,IF('Pre-Calculation'!$D$17="Type 4 h",SA+X99,IF('Pre-Calculation'!$D$17="Type 4 i",MAX(N99,Q99),IF('Pre-Calculation'!$D$17="Type 4 k",MAX(N99,1.01*Q99),IF('Pre-Calculation'!$D$17="Type 4 m",MAX(105%*Q99,SA+N99),IF('Pre-Calculation'!$D$17="Type 4 o",MAX(SA,105%*Q99)+X99+Z99,IF('Pre-Calculation'!$D$17="Type 5",0))))))))))))</f>
        <v>1673337.947</v>
      </c>
      <c r="Q99" s="175">
        <f t="shared" si="5"/>
        <v>1000000</v>
      </c>
      <c r="R99" s="119">
        <f>L99*(1+GROWTH_RATE)*FMC</f>
        <v>1883.981078</v>
      </c>
      <c r="S99" s="178">
        <f>S98*(1+'Pre-Calculation'!$E$27)</f>
        <v>848596.1704</v>
      </c>
      <c r="T99" s="175">
        <f>-E99+IF(A98=INPUT!$C$11*12,N99,0)</f>
        <v>0</v>
      </c>
      <c r="U99" s="175">
        <f t="shared" si="6"/>
        <v>1698652.116</v>
      </c>
      <c r="V99" s="175">
        <f>U99*(1+GROWTH_RATE_H)*(1-'Pre-Calculation'!$E$31)</f>
        <v>1706734.288</v>
      </c>
      <c r="W99" s="175">
        <f>-E99+IF(A98=INPUT!$C$11*12,V99,0)</f>
        <v>0</v>
      </c>
      <c r="X99" s="179">
        <f t="array" ref="X99">NPV('Pre-Calculation'!$E$20,$E100:E$246)</f>
        <v>0</v>
      </c>
      <c r="Y99" s="171">
        <f>10%*SA</f>
        <v>100000</v>
      </c>
      <c r="Z99" s="179">
        <f t="array" ref="Z99">NPV('Pre-Calculation'!$E$20,Y100:Y109)</f>
        <v>969592.8037</v>
      </c>
    </row>
    <row r="100" ht="15.75" customHeight="1">
      <c r="A100" s="171">
        <f t="shared" si="1"/>
        <v>154</v>
      </c>
      <c r="B100" s="171">
        <f t="shared" si="2"/>
        <v>13</v>
      </c>
      <c r="C100" s="176">
        <f>EDATE(RCD,A99)</f>
        <v>47207</v>
      </c>
      <c r="D100" s="171">
        <f>Age_At_Entry+'Cashflows_8%'!B100-1</f>
        <v>47</v>
      </c>
      <c r="E100" s="175">
        <f>IF(AND(C100&lt;=Last_Prem,MOD(A99,Mode)=0,C100&gt;INPUT!$C$13,A100&lt;=Revival!$C$11),Mod_Prem,0)</f>
        <v>0</v>
      </c>
      <c r="F100" s="177">
        <f>E100*VLOOKUP(B100,'Pre-Calculation'!$H$1:$I$31,2,FALSE)</f>
        <v>0</v>
      </c>
      <c r="G100" s="177">
        <f>IF(B100&lt;PT+1,VLOOKUP(B100,'Pre-Calculation'!$H$1:$L$32,3,FALSE)+VLOOKUP(B100,'Pre-Calculation'!$H$1:$L$32,4,FALSE)*'Pre-Calculation'!$D$7,0)</f>
        <v>0</v>
      </c>
      <c r="H100" s="175">
        <f>(E100-(F100+G100)*(1+Tax)+N99)</f>
        <v>1673337.947</v>
      </c>
      <c r="I100" s="175">
        <f>IF(B100&lt;PT+1,VLOOKUP(D100,'Pre-Calculation'!$N$3:$P$79,IF(INPUT!$C$4="M",2,3),FALSE)*(J100/1000)*(1/12),0)</f>
        <v>0</v>
      </c>
      <c r="J100" s="175">
        <f t="shared" si="3"/>
        <v>0</v>
      </c>
      <c r="K100" s="175">
        <f>(IF('Pre-Calculation'!$D$17="Type 4 a",MAX(SA,H100,1.05*Q100),IF('Pre-Calculation'!$D$17="Type 4 c",H100,IF('Pre-Calculation'!$D$17="Type 4 d",SA+H100,IF('Pre-Calculation'!$D$17="Type 4 e",MAX(SA,H100),IF('Pre-Calculation'!$D$17="Type 4 f",SA,IF('Pre-Calculation'!$D$17="Type 4 g",1000+H100,IF('Pre-Calculation'!$D$17="Type 4 h",SA+X100,IF('Pre-Calculation'!$D$17="Type 4 i",MAX(H100,Q100),IF('Pre-Calculation'!$D$17="Type 4 k",MAX(H100,1.01*Q100),IF('Pre-Calculation'!$D$17="Type 4 m",MAX(105%*Q100,SA+H100),IF('Pre-Calculation'!$D$17="Type 4 o",MAX(SA,105%*Q100)+X100+Z100,IF('Pre-Calculation'!$D$17="Type 5",0)))))))))))))*IF(AND(A100&lt;Revival!$C$4,'Cashflows_8%'!C100&gt;=Revival!$D$12),PUP,1)</f>
        <v>1673337.947</v>
      </c>
      <c r="L100" s="175">
        <f>H100-I100*(1+Tax)</f>
        <v>1673337.947</v>
      </c>
      <c r="M100" s="175">
        <f>L100*(1+GROWTH_RATE_H)*(1-FMC*(1+Tax))</f>
        <v>1681869.821</v>
      </c>
      <c r="N100" s="175">
        <f>M100+IF(MOD(A100,B100)=0,VLOOKUP(B100,'Pre-Calculation'!$H$1:$L$31,5,FALSE),0)*IF('Pre-Calculation'!$D$16="% OF FV",M100,IF(OR('Pre-Calculation'!$D$16="% OF AFV(24M)",'Pre-Calculation'!$D$16="% OF AFV(8Q)"),AVERAGE( $M77:$M100),IF('Pre-Calculation'!$D$16="% OF AFV(12M)",AVERAGE($M89:M100),IF('Pre-Calculation'!$D$16="% OF AFV(36M)",AVERAGE($M65:M100)))))</f>
        <v>1681869.821</v>
      </c>
      <c r="O100" s="175">
        <f t="shared" si="4"/>
        <v>1681869.821</v>
      </c>
      <c r="P100" s="175">
        <f>IF('Pre-Calculation'!$D$17="Type 4 a",MAX(SA,N100,1.05*Q100),IF('Pre-Calculation'!$D$17="Type 4 c",N100,IF('Pre-Calculation'!$D$17="Type 4 d",SA+N100,IF('Pre-Calculation'!$D$17="Type 4 e",MAX(SA,N100),IF('Pre-Calculation'!$D$17="Type 4 f",SA,IF('Pre-Calculation'!$D$17="Type 4 g",1000+N100,IF('Pre-Calculation'!$D$17="Type 4 h",SA+X100,IF('Pre-Calculation'!$D$17="Type 4 i",MAX(N100,Q100),IF('Pre-Calculation'!$D$17="Type 4 k",MAX(N100,1.01*Q100),IF('Pre-Calculation'!$D$17="Type 4 m",MAX(105%*Q100,SA+N100),IF('Pre-Calculation'!$D$17="Type 4 o",MAX(SA,105%*Q100)+X100+Z100,IF('Pre-Calculation'!$D$17="Type 5",0))))))))))))</f>
        <v>1681869.821</v>
      </c>
      <c r="Q100" s="175">
        <f t="shared" si="5"/>
        <v>1000000</v>
      </c>
      <c r="R100" s="119">
        <f>L100*(1+GROWTH_RATE)*FMC</f>
        <v>1893.586962</v>
      </c>
      <c r="S100" s="178">
        <f>S99*(1+'Pre-Calculation'!$E$27)</f>
        <v>851032.4041</v>
      </c>
      <c r="T100" s="175">
        <f>-E100+IF(A99=INPUT!$C$11*12,N100,0)</f>
        <v>0</v>
      </c>
      <c r="U100" s="175">
        <f t="shared" si="6"/>
        <v>1706734.288</v>
      </c>
      <c r="V100" s="175">
        <f>U100*(1+GROWTH_RATE_H)*(1-'Pre-Calculation'!$E$31)</f>
        <v>1714854.915</v>
      </c>
      <c r="W100" s="175">
        <f>-E100+IF(A99=INPUT!$C$11*12,V100,0)</f>
        <v>0</v>
      </c>
      <c r="X100" s="179">
        <f t="array" ref="X100">NPV('Pre-Calculation'!$E$20,$E101:E$246)</f>
        <v>0</v>
      </c>
      <c r="Y100" s="171">
        <f>10%*SA</f>
        <v>100000</v>
      </c>
      <c r="Z100" s="179">
        <f t="array" ref="Z100">NPV('Pre-Calculation'!$E$20,Y101:Y110)</f>
        <v>969592.8037</v>
      </c>
    </row>
    <row r="101" ht="15.75" customHeight="1">
      <c r="A101" s="171">
        <f t="shared" si="1"/>
        <v>155</v>
      </c>
      <c r="B101" s="171">
        <f t="shared" si="2"/>
        <v>13</v>
      </c>
      <c r="C101" s="176">
        <f>EDATE(RCD,A100)</f>
        <v>47238</v>
      </c>
      <c r="D101" s="171">
        <f>Age_At_Entry+'Cashflows_8%'!B101-1</f>
        <v>47</v>
      </c>
      <c r="E101" s="175">
        <f>IF(AND(C101&lt;=Last_Prem,MOD(A100,Mode)=0,C101&gt;INPUT!$C$13,A101&lt;=Revival!$C$11),Mod_Prem,0)</f>
        <v>0</v>
      </c>
      <c r="F101" s="177">
        <f>E101*VLOOKUP(B101,'Pre-Calculation'!$H$1:$I$31,2,FALSE)</f>
        <v>0</v>
      </c>
      <c r="G101" s="177">
        <f>IF(B101&lt;PT+1,VLOOKUP(B101,'Pre-Calculation'!$H$1:$L$32,3,FALSE)+VLOOKUP(B101,'Pre-Calculation'!$H$1:$L$32,4,FALSE)*'Pre-Calculation'!$D$7,0)</f>
        <v>0</v>
      </c>
      <c r="H101" s="175">
        <f>(E101-(F101+G101)*(1+Tax)+N100)</f>
        <v>1681869.821</v>
      </c>
      <c r="I101" s="175">
        <f>IF(B101&lt;PT+1,VLOOKUP(D101,'Pre-Calculation'!$N$3:$P$79,IF(INPUT!$C$4="M",2,3),FALSE)*(J101/1000)*(1/12),0)</f>
        <v>0</v>
      </c>
      <c r="J101" s="175">
        <f t="shared" si="3"/>
        <v>0</v>
      </c>
      <c r="K101" s="175">
        <f>(IF('Pre-Calculation'!$D$17="Type 4 a",MAX(SA,H101,1.05*Q101),IF('Pre-Calculation'!$D$17="Type 4 c",H101,IF('Pre-Calculation'!$D$17="Type 4 d",SA+H101,IF('Pre-Calculation'!$D$17="Type 4 e",MAX(SA,H101),IF('Pre-Calculation'!$D$17="Type 4 f",SA,IF('Pre-Calculation'!$D$17="Type 4 g",1000+H101,IF('Pre-Calculation'!$D$17="Type 4 h",SA+X101,IF('Pre-Calculation'!$D$17="Type 4 i",MAX(H101,Q101),IF('Pre-Calculation'!$D$17="Type 4 k",MAX(H101,1.01*Q101),IF('Pre-Calculation'!$D$17="Type 4 m",MAX(105%*Q101,SA+H101),IF('Pre-Calculation'!$D$17="Type 4 o",MAX(SA,105%*Q101)+X101+Z101,IF('Pre-Calculation'!$D$17="Type 5",0)))))))))))))*IF(AND(A101&lt;Revival!$C$4,'Cashflows_8%'!C101&gt;=Revival!$D$12),PUP,1)</f>
        <v>1681869.821</v>
      </c>
      <c r="L101" s="175">
        <f>H101-I101*(1+Tax)</f>
        <v>1681869.821</v>
      </c>
      <c r="M101" s="175">
        <f>L101*(1+GROWTH_RATE_H)*(1-FMC*(1+Tax))</f>
        <v>1690445.197</v>
      </c>
      <c r="N101" s="175">
        <f>M101+IF(MOD(A101,B101)=0,VLOOKUP(B101,'Pre-Calculation'!$H$1:$L$31,5,FALSE),0)*IF('Pre-Calculation'!$D$16="% OF FV",M101,IF(OR('Pre-Calculation'!$D$16="% OF AFV(24M)",'Pre-Calculation'!$D$16="% OF AFV(8Q)"),AVERAGE( $M78:$M101),IF('Pre-Calculation'!$D$16="% OF AFV(12M)",AVERAGE($M90:M101),IF('Pre-Calculation'!$D$16="% OF AFV(36M)",AVERAGE($M66:M101)))))</f>
        <v>1690445.197</v>
      </c>
      <c r="O101" s="175">
        <f t="shared" si="4"/>
        <v>1690445.197</v>
      </c>
      <c r="P101" s="175">
        <f>IF('Pre-Calculation'!$D$17="Type 4 a",MAX(SA,N101,1.05*Q101),IF('Pre-Calculation'!$D$17="Type 4 c",N101,IF('Pre-Calculation'!$D$17="Type 4 d",SA+N101,IF('Pre-Calculation'!$D$17="Type 4 e",MAX(SA,N101),IF('Pre-Calculation'!$D$17="Type 4 f",SA,IF('Pre-Calculation'!$D$17="Type 4 g",1000+N101,IF('Pre-Calculation'!$D$17="Type 4 h",SA+X101,IF('Pre-Calculation'!$D$17="Type 4 i",MAX(N101,Q101),IF('Pre-Calculation'!$D$17="Type 4 k",MAX(N101,1.01*Q101),IF('Pre-Calculation'!$D$17="Type 4 m",MAX(105%*Q101,SA+N101),IF('Pre-Calculation'!$D$17="Type 4 o",MAX(SA,105%*Q101)+X101+Z101,IF('Pre-Calculation'!$D$17="Type 5",0))))))))))))</f>
        <v>1690445.197</v>
      </c>
      <c r="Q101" s="175">
        <f t="shared" si="5"/>
        <v>1000000</v>
      </c>
      <c r="R101" s="119">
        <f>L101*(1+GROWTH_RATE)*FMC</f>
        <v>1903.241823</v>
      </c>
      <c r="S101" s="178">
        <f>S100*(1+'Pre-Calculation'!$E$27)</f>
        <v>853475.6319</v>
      </c>
      <c r="T101" s="175">
        <f>-E101+IF(A100=INPUT!$C$11*12,N101,0)</f>
        <v>0</v>
      </c>
      <c r="U101" s="175">
        <f t="shared" si="6"/>
        <v>1714854.915</v>
      </c>
      <c r="V101" s="175">
        <f>U101*(1+GROWTH_RATE_H)*(1-'Pre-Calculation'!$E$31)</f>
        <v>1723014.179</v>
      </c>
      <c r="W101" s="175">
        <f>-E101+IF(A100=INPUT!$C$11*12,V101,0)</f>
        <v>0</v>
      </c>
      <c r="X101" s="179">
        <f t="array" ref="X101">NPV('Pre-Calculation'!$E$20,$E102:E$246)</f>
        <v>0</v>
      </c>
      <c r="Y101" s="171">
        <f>10%*SA</f>
        <v>100000</v>
      </c>
      <c r="Z101" s="179">
        <f t="array" ref="Z101">NPV('Pre-Calculation'!$E$20,Y102:Y111)</f>
        <v>969592.8037</v>
      </c>
    </row>
    <row r="102" ht="15.75" customHeight="1">
      <c r="A102" s="171">
        <f t="shared" si="1"/>
        <v>156</v>
      </c>
      <c r="B102" s="171">
        <f t="shared" si="2"/>
        <v>13</v>
      </c>
      <c r="C102" s="176">
        <f>EDATE(RCD,A101)</f>
        <v>47268</v>
      </c>
      <c r="D102" s="171">
        <f>Age_At_Entry+'Cashflows_8%'!B102-1</f>
        <v>47</v>
      </c>
      <c r="E102" s="175">
        <f>IF(AND(C102&lt;=Last_Prem,MOD(A101,Mode)=0,C102&gt;INPUT!$C$13,A102&lt;=Revival!$C$11),Mod_Prem,0)</f>
        <v>0</v>
      </c>
      <c r="F102" s="177">
        <f>E102*VLOOKUP(B102,'Pre-Calculation'!$H$1:$I$31,2,FALSE)</f>
        <v>0</v>
      </c>
      <c r="G102" s="177">
        <f>IF(B102&lt;PT+1,VLOOKUP(B102,'Pre-Calculation'!$H$1:$L$32,3,FALSE)+VLOOKUP(B102,'Pre-Calculation'!$H$1:$L$32,4,FALSE)*'Pre-Calculation'!$D$7,0)</f>
        <v>0</v>
      </c>
      <c r="H102" s="175">
        <f>(E102-(F102+G102)*(1+Tax)+N101)</f>
        <v>1690445.197</v>
      </c>
      <c r="I102" s="175">
        <f>IF(B102&lt;PT+1,VLOOKUP(D102,'Pre-Calculation'!$N$3:$P$79,IF(INPUT!$C$4="M",2,3),FALSE)*(J102/1000)*(1/12),0)</f>
        <v>0</v>
      </c>
      <c r="J102" s="175">
        <f t="shared" si="3"/>
        <v>0</v>
      </c>
      <c r="K102" s="175">
        <f>(IF('Pre-Calculation'!$D$17="Type 4 a",MAX(SA,H102,1.05*Q102),IF('Pre-Calculation'!$D$17="Type 4 c",H102,IF('Pre-Calculation'!$D$17="Type 4 d",SA+H102,IF('Pre-Calculation'!$D$17="Type 4 e",MAX(SA,H102),IF('Pre-Calculation'!$D$17="Type 4 f",SA,IF('Pre-Calculation'!$D$17="Type 4 g",1000+H102,IF('Pre-Calculation'!$D$17="Type 4 h",SA+X102,IF('Pre-Calculation'!$D$17="Type 4 i",MAX(H102,Q102),IF('Pre-Calculation'!$D$17="Type 4 k",MAX(H102,1.01*Q102),IF('Pre-Calculation'!$D$17="Type 4 m",MAX(105%*Q102,SA+H102),IF('Pre-Calculation'!$D$17="Type 4 o",MAX(SA,105%*Q102)+X102+Z102,IF('Pre-Calculation'!$D$17="Type 5",0)))))))))))))*IF(AND(A102&lt;Revival!$C$4,'Cashflows_8%'!C102&gt;=Revival!$D$12),PUP,1)</f>
        <v>1690445.197</v>
      </c>
      <c r="L102" s="175">
        <f>H102-I102*(1+Tax)</f>
        <v>1690445.197</v>
      </c>
      <c r="M102" s="175">
        <f>L102*(1+GROWTH_RATE_H)*(1-FMC*(1+Tax))</f>
        <v>1699064.296</v>
      </c>
      <c r="N102" s="175">
        <f>M102+IF(MOD(A102,B102)=0,VLOOKUP(B102,'Pre-Calculation'!$H$1:$L$31,5,FALSE),0)*IF('Pre-Calculation'!$D$16="% OF FV",M102,IF(OR('Pre-Calculation'!$D$16="% OF AFV(24M)",'Pre-Calculation'!$D$16="% OF AFV(8Q)"),AVERAGE( $M79:$M102),IF('Pre-Calculation'!$D$16="% OF AFV(12M)",AVERAGE($M91:M102),IF('Pre-Calculation'!$D$16="% OF AFV(36M)",AVERAGE($M67:M102)))))</f>
        <v>1699064.296</v>
      </c>
      <c r="O102" s="175">
        <f t="shared" si="4"/>
        <v>1699064.296</v>
      </c>
      <c r="P102" s="175">
        <f>IF('Pre-Calculation'!$D$17="Type 4 a",MAX(SA,N102,1.05*Q102),IF('Pre-Calculation'!$D$17="Type 4 c",N102,IF('Pre-Calculation'!$D$17="Type 4 d",SA+N102,IF('Pre-Calculation'!$D$17="Type 4 e",MAX(SA,N102),IF('Pre-Calculation'!$D$17="Type 4 f",SA,IF('Pre-Calculation'!$D$17="Type 4 g",1000+N102,IF('Pre-Calculation'!$D$17="Type 4 h",SA+X102,IF('Pre-Calculation'!$D$17="Type 4 i",MAX(N102,Q102),IF('Pre-Calculation'!$D$17="Type 4 k",MAX(N102,1.01*Q102),IF('Pre-Calculation'!$D$17="Type 4 m",MAX(105%*Q102,SA+N102),IF('Pre-Calculation'!$D$17="Type 4 o",MAX(SA,105%*Q102)+X102+Z102,IF('Pre-Calculation'!$D$17="Type 5",0))))))))))))</f>
        <v>1699064.296</v>
      </c>
      <c r="Q102" s="175">
        <f t="shared" si="5"/>
        <v>1000000</v>
      </c>
      <c r="R102" s="119">
        <f>L102*(1+GROWTH_RATE)*FMC</f>
        <v>1912.945911</v>
      </c>
      <c r="S102" s="178">
        <f>S101*(1+'Pre-Calculation'!$E$27)</f>
        <v>855925.874</v>
      </c>
      <c r="T102" s="175">
        <f>-E102+IF(A101=INPUT!$C$11*12,N102,0)</f>
        <v>0</v>
      </c>
      <c r="U102" s="175">
        <f t="shared" si="6"/>
        <v>1723014.179</v>
      </c>
      <c r="V102" s="175">
        <f>U102*(1+GROWTH_RATE_H)*(1-'Pre-Calculation'!$E$31)</f>
        <v>1731212.266</v>
      </c>
      <c r="W102" s="175">
        <f>-E102+IF(A101=INPUT!$C$11*12,V102,0)</f>
        <v>0</v>
      </c>
      <c r="X102" s="179">
        <f t="array" ref="X102">NPV('Pre-Calculation'!$E$20,$E103:E$246)</f>
        <v>0</v>
      </c>
      <c r="Y102" s="171">
        <f>10%*SA</f>
        <v>100000</v>
      </c>
      <c r="Z102" s="179">
        <f t="array" ref="Z102">NPV('Pre-Calculation'!$E$20,Y103:Y112)</f>
        <v>969592.8037</v>
      </c>
    </row>
    <row r="103" ht="15.75" customHeight="1">
      <c r="A103" s="171">
        <f t="shared" si="1"/>
        <v>157</v>
      </c>
      <c r="B103" s="171">
        <f t="shared" si="2"/>
        <v>14</v>
      </c>
      <c r="C103" s="176">
        <f>EDATE(RCD,A102)</f>
        <v>47299</v>
      </c>
      <c r="D103" s="171">
        <f>Age_At_Entry+'Cashflows_8%'!B103-1</f>
        <v>48</v>
      </c>
      <c r="E103" s="175">
        <f>IF(AND(C103&lt;=Last_Prem,MOD(A102,Mode)=0,C103&gt;INPUT!$C$13,A103&lt;=Revival!$C$11),Mod_Prem,0)</f>
        <v>0</v>
      </c>
      <c r="F103" s="177">
        <f>E103*VLOOKUP(B103,'Pre-Calculation'!$H$1:$I$31,2,FALSE)</f>
        <v>0</v>
      </c>
      <c r="G103" s="177">
        <f>IF(B103&lt;PT+1,VLOOKUP(B103,'Pre-Calculation'!$H$1:$L$32,3,FALSE)+VLOOKUP(B103,'Pre-Calculation'!$H$1:$L$32,4,FALSE)*'Pre-Calculation'!$D$7,0)</f>
        <v>0</v>
      </c>
      <c r="H103" s="175">
        <f>(E103-(F103+G103)*(1+Tax)+N102)</f>
        <v>1699064.296</v>
      </c>
      <c r="I103" s="175">
        <f>IF(B103&lt;PT+1,VLOOKUP(D103,'Pre-Calculation'!$N$3:$P$79,IF(INPUT!$C$4="M",2,3),FALSE)*(J103/1000)*(1/12),0)</f>
        <v>0</v>
      </c>
      <c r="J103" s="175">
        <f t="shared" si="3"/>
        <v>0</v>
      </c>
      <c r="K103" s="175">
        <f>(IF('Pre-Calculation'!$D$17="Type 4 a",MAX(SA,H103,1.05*Q103),IF('Pre-Calculation'!$D$17="Type 4 c",H103,IF('Pre-Calculation'!$D$17="Type 4 d",SA+H103,IF('Pre-Calculation'!$D$17="Type 4 e",MAX(SA,H103),IF('Pre-Calculation'!$D$17="Type 4 f",SA,IF('Pre-Calculation'!$D$17="Type 4 g",1000+H103,IF('Pre-Calculation'!$D$17="Type 4 h",SA+X103,IF('Pre-Calculation'!$D$17="Type 4 i",MAX(H103,Q103),IF('Pre-Calculation'!$D$17="Type 4 k",MAX(H103,1.01*Q103),IF('Pre-Calculation'!$D$17="Type 4 m",MAX(105%*Q103,SA+H103),IF('Pre-Calculation'!$D$17="Type 4 o",MAX(SA,105%*Q103)+X103+Z103,IF('Pre-Calculation'!$D$17="Type 5",0)))))))))))))*IF(AND(A103&lt;Revival!$C$4,'Cashflows_8%'!C103&gt;=Revival!$D$12),PUP,1)</f>
        <v>1699064.296</v>
      </c>
      <c r="L103" s="175">
        <f>H103-I103*(1+Tax)</f>
        <v>1699064.296</v>
      </c>
      <c r="M103" s="175">
        <f>L103*(1+GROWTH_RATE_H)*(1-FMC*(1+Tax))</f>
        <v>1707727.341</v>
      </c>
      <c r="N103" s="175">
        <f>M103+IF(MOD(A103,B103)=0,VLOOKUP(B103,'Pre-Calculation'!$H$1:$L$31,5,FALSE),0)*IF('Pre-Calculation'!$D$16="% OF FV",M103,IF(OR('Pre-Calculation'!$D$16="% OF AFV(24M)",'Pre-Calculation'!$D$16="% OF AFV(8Q)"),AVERAGE( $M80:$M103),IF('Pre-Calculation'!$D$16="% OF AFV(12M)",AVERAGE($M92:M103),IF('Pre-Calculation'!$D$16="% OF AFV(36M)",AVERAGE($M68:M103)))))</f>
        <v>1707727.341</v>
      </c>
      <c r="O103" s="175">
        <f t="shared" si="4"/>
        <v>1707727.341</v>
      </c>
      <c r="P103" s="175">
        <f>IF('Pre-Calculation'!$D$17="Type 4 a",MAX(SA,N103,1.05*Q103),IF('Pre-Calculation'!$D$17="Type 4 c",N103,IF('Pre-Calculation'!$D$17="Type 4 d",SA+N103,IF('Pre-Calculation'!$D$17="Type 4 e",MAX(SA,N103),IF('Pre-Calculation'!$D$17="Type 4 f",SA,IF('Pre-Calculation'!$D$17="Type 4 g",1000+N103,IF('Pre-Calculation'!$D$17="Type 4 h",SA+X103,IF('Pre-Calculation'!$D$17="Type 4 i",MAX(N103,Q103),IF('Pre-Calculation'!$D$17="Type 4 k",MAX(N103,1.01*Q103),IF('Pre-Calculation'!$D$17="Type 4 m",MAX(105%*Q103,SA+N103),IF('Pre-Calculation'!$D$17="Type 4 o",MAX(SA,105%*Q103)+X103+Z103,IF('Pre-Calculation'!$D$17="Type 5",0))))))))))))</f>
        <v>1707727.341</v>
      </c>
      <c r="Q103" s="175">
        <f t="shared" si="5"/>
        <v>1000000</v>
      </c>
      <c r="R103" s="119">
        <f>L103*(1+GROWTH_RATE)*FMC</f>
        <v>1922.699478</v>
      </c>
      <c r="S103" s="178">
        <f>S102*(1+'Pre-Calculation'!$E$27)</f>
        <v>858383.1505</v>
      </c>
      <c r="T103" s="175">
        <f>-E103+IF(A102=INPUT!$C$11*12,N103,0)</f>
        <v>0</v>
      </c>
      <c r="U103" s="175">
        <f t="shared" si="6"/>
        <v>1731212.266</v>
      </c>
      <c r="V103" s="175">
        <f>U103*(1+GROWTH_RATE_H)*(1-'Pre-Calculation'!$E$31)</f>
        <v>1739449.358</v>
      </c>
      <c r="W103" s="175">
        <f>-E103+IF(A102=INPUT!$C$11*12,V103,0)</f>
        <v>0</v>
      </c>
      <c r="X103" s="179">
        <f t="array" ref="X103">NPV('Pre-Calculation'!$E$20,$E104:E$246)</f>
        <v>0</v>
      </c>
      <c r="Y103" s="171">
        <f>10%*SA</f>
        <v>100000</v>
      </c>
      <c r="Z103" s="179">
        <f t="array" ref="Z103">NPV('Pre-Calculation'!$E$20,Y104:Y113)</f>
        <v>969592.8037</v>
      </c>
    </row>
    <row r="104" ht="15.75" customHeight="1">
      <c r="A104" s="171">
        <f t="shared" si="1"/>
        <v>158</v>
      </c>
      <c r="B104" s="171">
        <f t="shared" si="2"/>
        <v>14</v>
      </c>
      <c r="C104" s="176">
        <f>EDATE(RCD,A103)</f>
        <v>47329</v>
      </c>
      <c r="D104" s="171">
        <f>Age_At_Entry+'Cashflows_8%'!B104-1</f>
        <v>48</v>
      </c>
      <c r="E104" s="175">
        <f>IF(AND(C104&lt;=Last_Prem,MOD(A103,Mode)=0,C104&gt;INPUT!$C$13,A104&lt;=Revival!$C$11),Mod_Prem,0)</f>
        <v>0</v>
      </c>
      <c r="F104" s="177">
        <f>E104*VLOOKUP(B104,'Pre-Calculation'!$H$1:$I$31,2,FALSE)</f>
        <v>0</v>
      </c>
      <c r="G104" s="177">
        <f>IF(B104&lt;PT+1,VLOOKUP(B104,'Pre-Calculation'!$H$1:$L$32,3,FALSE)+VLOOKUP(B104,'Pre-Calculation'!$H$1:$L$32,4,FALSE)*'Pre-Calculation'!$D$7,0)</f>
        <v>0</v>
      </c>
      <c r="H104" s="175">
        <f>(E104-(F104+G104)*(1+Tax)+N103)</f>
        <v>1707727.341</v>
      </c>
      <c r="I104" s="175">
        <f>IF(B104&lt;PT+1,VLOOKUP(D104,'Pre-Calculation'!$N$3:$P$79,IF(INPUT!$C$4="M",2,3),FALSE)*(J104/1000)*(1/12),0)</f>
        <v>0</v>
      </c>
      <c r="J104" s="175">
        <f t="shared" si="3"/>
        <v>0</v>
      </c>
      <c r="K104" s="175">
        <f>(IF('Pre-Calculation'!$D$17="Type 4 a",MAX(SA,H104,1.05*Q104),IF('Pre-Calculation'!$D$17="Type 4 c",H104,IF('Pre-Calculation'!$D$17="Type 4 d",SA+H104,IF('Pre-Calculation'!$D$17="Type 4 e",MAX(SA,H104),IF('Pre-Calculation'!$D$17="Type 4 f",SA,IF('Pre-Calculation'!$D$17="Type 4 g",1000+H104,IF('Pre-Calculation'!$D$17="Type 4 h",SA+X104,IF('Pre-Calculation'!$D$17="Type 4 i",MAX(H104,Q104),IF('Pre-Calculation'!$D$17="Type 4 k",MAX(H104,1.01*Q104),IF('Pre-Calculation'!$D$17="Type 4 m",MAX(105%*Q104,SA+H104),IF('Pre-Calculation'!$D$17="Type 4 o",MAX(SA,105%*Q104)+X104+Z104,IF('Pre-Calculation'!$D$17="Type 5",0)))))))))))))*IF(AND(A104&lt;Revival!$C$4,'Cashflows_8%'!C104&gt;=Revival!$D$12),PUP,1)</f>
        <v>1707727.341</v>
      </c>
      <c r="L104" s="175">
        <f>H104-I104*(1+Tax)</f>
        <v>1707727.341</v>
      </c>
      <c r="M104" s="175">
        <f>L104*(1+GROWTH_RATE_H)*(1-FMC*(1+Tax))</f>
        <v>1716434.557</v>
      </c>
      <c r="N104" s="175">
        <f>M104+IF(MOD(A104,B104)=0,VLOOKUP(B104,'Pre-Calculation'!$H$1:$L$31,5,FALSE),0)*IF('Pre-Calculation'!$D$16="% OF FV",M104,IF(OR('Pre-Calculation'!$D$16="% OF AFV(24M)",'Pre-Calculation'!$D$16="% OF AFV(8Q)"),AVERAGE( $M81:$M104),IF('Pre-Calculation'!$D$16="% OF AFV(12M)",AVERAGE($M93:M104),IF('Pre-Calculation'!$D$16="% OF AFV(36M)",AVERAGE($M69:M104)))))</f>
        <v>1716434.557</v>
      </c>
      <c r="O104" s="175">
        <f t="shared" si="4"/>
        <v>1716434.557</v>
      </c>
      <c r="P104" s="175">
        <f>IF('Pre-Calculation'!$D$17="Type 4 a",MAX(SA,N104,1.05*Q104),IF('Pre-Calculation'!$D$17="Type 4 c",N104,IF('Pre-Calculation'!$D$17="Type 4 d",SA+N104,IF('Pre-Calculation'!$D$17="Type 4 e",MAX(SA,N104),IF('Pre-Calculation'!$D$17="Type 4 f",SA,IF('Pre-Calculation'!$D$17="Type 4 g",1000+N104,IF('Pre-Calculation'!$D$17="Type 4 h",SA+X104,IF('Pre-Calculation'!$D$17="Type 4 i",MAX(N104,Q104),IF('Pre-Calculation'!$D$17="Type 4 k",MAX(N104,1.01*Q104),IF('Pre-Calculation'!$D$17="Type 4 m",MAX(105%*Q104,SA+N104),IF('Pre-Calculation'!$D$17="Type 4 o",MAX(SA,105%*Q104)+X104+Z104,IF('Pre-Calculation'!$D$17="Type 5",0))))))))))))</f>
        <v>1716434.557</v>
      </c>
      <c r="Q104" s="175">
        <f t="shared" si="5"/>
        <v>1000000</v>
      </c>
      <c r="R104" s="119">
        <f>L104*(1+GROWTH_RATE)*FMC</f>
        <v>1932.502776</v>
      </c>
      <c r="S104" s="178">
        <f>S103*(1+'Pre-Calculation'!$E$27)</f>
        <v>860847.4816</v>
      </c>
      <c r="T104" s="175">
        <f>-E104+IF(A103=INPUT!$C$11*12,N104,0)</f>
        <v>0</v>
      </c>
      <c r="U104" s="175">
        <f t="shared" si="6"/>
        <v>1739449.358</v>
      </c>
      <c r="V104" s="175">
        <f>U104*(1+GROWTH_RATE_H)*(1-'Pre-Calculation'!$E$31)</f>
        <v>1747725.643</v>
      </c>
      <c r="W104" s="175">
        <f>-E104+IF(A103=INPUT!$C$11*12,V104,0)</f>
        <v>0</v>
      </c>
      <c r="X104" s="179">
        <f t="array" ref="X104">NPV('Pre-Calculation'!$E$20,$E105:E$246)</f>
        <v>0</v>
      </c>
      <c r="Y104" s="171">
        <f>10%*SA</f>
        <v>100000</v>
      </c>
      <c r="Z104" s="179">
        <f t="array" ref="Z104">NPV('Pre-Calculation'!$E$20,Y105:Y114)</f>
        <v>969592.8037</v>
      </c>
    </row>
    <row r="105" ht="15.75" customHeight="1">
      <c r="A105" s="171">
        <f t="shared" si="1"/>
        <v>159</v>
      </c>
      <c r="B105" s="171">
        <f t="shared" si="2"/>
        <v>14</v>
      </c>
      <c r="C105" s="176">
        <f>EDATE(RCD,A104)</f>
        <v>47360</v>
      </c>
      <c r="D105" s="171">
        <f>Age_At_Entry+'Cashflows_8%'!B105-1</f>
        <v>48</v>
      </c>
      <c r="E105" s="175">
        <f>IF(AND(C105&lt;=Last_Prem,MOD(A104,Mode)=0,C105&gt;INPUT!$C$13,A105&lt;=Revival!$C$11),Mod_Prem,0)</f>
        <v>0</v>
      </c>
      <c r="F105" s="177">
        <f>E105*VLOOKUP(B105,'Pre-Calculation'!$H$1:$I$31,2,FALSE)</f>
        <v>0</v>
      </c>
      <c r="G105" s="177">
        <f>IF(B105&lt;PT+1,VLOOKUP(B105,'Pre-Calculation'!$H$1:$L$32,3,FALSE)+VLOOKUP(B105,'Pre-Calculation'!$H$1:$L$32,4,FALSE)*'Pre-Calculation'!$D$7,0)</f>
        <v>0</v>
      </c>
      <c r="H105" s="175">
        <f>(E105-(F105+G105)*(1+Tax)+N104)</f>
        <v>1716434.557</v>
      </c>
      <c r="I105" s="175">
        <f>IF(B105&lt;PT+1,VLOOKUP(D105,'Pre-Calculation'!$N$3:$P$79,IF(INPUT!$C$4="M",2,3),FALSE)*(J105/1000)*(1/12),0)</f>
        <v>0</v>
      </c>
      <c r="J105" s="175">
        <f t="shared" si="3"/>
        <v>0</v>
      </c>
      <c r="K105" s="175">
        <f>(IF('Pre-Calculation'!$D$17="Type 4 a",MAX(SA,H105,1.05*Q105),IF('Pre-Calculation'!$D$17="Type 4 c",H105,IF('Pre-Calculation'!$D$17="Type 4 d",SA+H105,IF('Pre-Calculation'!$D$17="Type 4 e",MAX(SA,H105),IF('Pre-Calculation'!$D$17="Type 4 f",SA,IF('Pre-Calculation'!$D$17="Type 4 g",1000+H105,IF('Pre-Calculation'!$D$17="Type 4 h",SA+X105,IF('Pre-Calculation'!$D$17="Type 4 i",MAX(H105,Q105),IF('Pre-Calculation'!$D$17="Type 4 k",MAX(H105,1.01*Q105),IF('Pre-Calculation'!$D$17="Type 4 m",MAX(105%*Q105,SA+H105),IF('Pre-Calculation'!$D$17="Type 4 o",MAX(SA,105%*Q105)+X105+Z105,IF('Pre-Calculation'!$D$17="Type 5",0)))))))))))))*IF(AND(A105&lt;Revival!$C$4,'Cashflows_8%'!C105&gt;=Revival!$D$12),PUP,1)</f>
        <v>1716434.557</v>
      </c>
      <c r="L105" s="175">
        <f>H105-I105*(1+Tax)</f>
        <v>1716434.557</v>
      </c>
      <c r="M105" s="175">
        <f>L105*(1+GROWTH_RATE_H)*(1-FMC*(1+Tax))</f>
        <v>1725186.169</v>
      </c>
      <c r="N105" s="175">
        <f>M105+IF(MOD(A105,B105)=0,VLOOKUP(B105,'Pre-Calculation'!$H$1:$L$31,5,FALSE),0)*IF('Pre-Calculation'!$D$16="% OF FV",M105,IF(OR('Pre-Calculation'!$D$16="% OF AFV(24M)",'Pre-Calculation'!$D$16="% OF AFV(8Q)"),AVERAGE( $M82:$M105),IF('Pre-Calculation'!$D$16="% OF AFV(12M)",AVERAGE($M94:M105),IF('Pre-Calculation'!$D$16="% OF AFV(36M)",AVERAGE($M70:M105)))))</f>
        <v>1725186.169</v>
      </c>
      <c r="O105" s="175">
        <f t="shared" si="4"/>
        <v>1725186.169</v>
      </c>
      <c r="P105" s="175">
        <f>IF('Pre-Calculation'!$D$17="Type 4 a",MAX(SA,N105,1.05*Q105),IF('Pre-Calculation'!$D$17="Type 4 c",N105,IF('Pre-Calculation'!$D$17="Type 4 d",SA+N105,IF('Pre-Calculation'!$D$17="Type 4 e",MAX(SA,N105),IF('Pre-Calculation'!$D$17="Type 4 f",SA,IF('Pre-Calculation'!$D$17="Type 4 g",1000+N105,IF('Pre-Calculation'!$D$17="Type 4 h",SA+X105,IF('Pre-Calculation'!$D$17="Type 4 i",MAX(N105,Q105),IF('Pre-Calculation'!$D$17="Type 4 k",MAX(N105,1.01*Q105),IF('Pre-Calculation'!$D$17="Type 4 m",MAX(105%*Q105,SA+N105),IF('Pre-Calculation'!$D$17="Type 4 o",MAX(SA,105%*Q105)+X105+Z105,IF('Pre-Calculation'!$D$17="Type 5",0))))))))))))</f>
        <v>1725186.169</v>
      </c>
      <c r="Q105" s="175">
        <f t="shared" si="5"/>
        <v>1000000</v>
      </c>
      <c r="R105" s="119">
        <f>L105*(1+GROWTH_RATE)*FMC</f>
        <v>1942.356058</v>
      </c>
      <c r="S105" s="178">
        <f>S104*(1+'Pre-Calculation'!$E$27)</f>
        <v>863318.8875</v>
      </c>
      <c r="T105" s="175">
        <f>-E105+IF(A104=INPUT!$C$11*12,N105,0)</f>
        <v>0</v>
      </c>
      <c r="U105" s="175">
        <f t="shared" si="6"/>
        <v>1747725.643</v>
      </c>
      <c r="V105" s="175">
        <f>U105*(1+GROWTH_RATE_H)*(1-'Pre-Calculation'!$E$31)</f>
        <v>1756041.306</v>
      </c>
      <c r="W105" s="175">
        <f>-E105+IF(A104=INPUT!$C$11*12,V105,0)</f>
        <v>0</v>
      </c>
      <c r="X105" s="179">
        <f t="array" ref="X105">NPV('Pre-Calculation'!$E$20,$E106:E$246)</f>
        <v>0</v>
      </c>
      <c r="Y105" s="171">
        <f>10%*SA</f>
        <v>100000</v>
      </c>
      <c r="Z105" s="179">
        <f t="array" ref="Z105">NPV('Pre-Calculation'!$E$20,Y106:Y115)</f>
        <v>969592.8037</v>
      </c>
    </row>
    <row r="106" ht="15.75" customHeight="1">
      <c r="A106" s="171">
        <f t="shared" si="1"/>
        <v>160</v>
      </c>
      <c r="B106" s="171">
        <f t="shared" si="2"/>
        <v>14</v>
      </c>
      <c r="C106" s="176">
        <f>EDATE(RCD,A105)</f>
        <v>47391</v>
      </c>
      <c r="D106" s="171">
        <f>Age_At_Entry+'Cashflows_8%'!B106-1</f>
        <v>48</v>
      </c>
      <c r="E106" s="175">
        <f>IF(AND(C106&lt;=Last_Prem,MOD(A105,Mode)=0,C106&gt;INPUT!$C$13,A106&lt;=Revival!$C$11),Mod_Prem,0)</f>
        <v>0</v>
      </c>
      <c r="F106" s="177">
        <f>E106*VLOOKUP(B106,'Pre-Calculation'!$H$1:$I$31,2,FALSE)</f>
        <v>0</v>
      </c>
      <c r="G106" s="177">
        <f>IF(B106&lt;PT+1,VLOOKUP(B106,'Pre-Calculation'!$H$1:$L$32,3,FALSE)+VLOOKUP(B106,'Pre-Calculation'!$H$1:$L$32,4,FALSE)*'Pre-Calculation'!$D$7,0)</f>
        <v>0</v>
      </c>
      <c r="H106" s="175">
        <f>(E106-(F106+G106)*(1+Tax)+N105)</f>
        <v>1725186.169</v>
      </c>
      <c r="I106" s="175">
        <f>IF(B106&lt;PT+1,VLOOKUP(D106,'Pre-Calculation'!$N$3:$P$79,IF(INPUT!$C$4="M",2,3),FALSE)*(J106/1000)*(1/12),0)</f>
        <v>0</v>
      </c>
      <c r="J106" s="175">
        <f t="shared" si="3"/>
        <v>0</v>
      </c>
      <c r="K106" s="175">
        <f>(IF('Pre-Calculation'!$D$17="Type 4 a",MAX(SA,H106,1.05*Q106),IF('Pre-Calculation'!$D$17="Type 4 c",H106,IF('Pre-Calculation'!$D$17="Type 4 d",SA+H106,IF('Pre-Calculation'!$D$17="Type 4 e",MAX(SA,H106),IF('Pre-Calculation'!$D$17="Type 4 f",SA,IF('Pre-Calculation'!$D$17="Type 4 g",1000+H106,IF('Pre-Calculation'!$D$17="Type 4 h",SA+X106,IF('Pre-Calculation'!$D$17="Type 4 i",MAX(H106,Q106),IF('Pre-Calculation'!$D$17="Type 4 k",MAX(H106,1.01*Q106),IF('Pre-Calculation'!$D$17="Type 4 m",MAX(105%*Q106,SA+H106),IF('Pre-Calculation'!$D$17="Type 4 o",MAX(SA,105%*Q106)+X106+Z106,IF('Pre-Calculation'!$D$17="Type 5",0)))))))))))))*IF(AND(A106&lt;Revival!$C$4,'Cashflows_8%'!C106&gt;=Revival!$D$12),PUP,1)</f>
        <v>1725186.169</v>
      </c>
      <c r="L106" s="175">
        <f>H106-I106*(1+Tax)</f>
        <v>1725186.169</v>
      </c>
      <c r="M106" s="175">
        <f>L106*(1+GROWTH_RATE_H)*(1-FMC*(1+Tax))</f>
        <v>1733982.402</v>
      </c>
      <c r="N106" s="175">
        <f>M106+IF(MOD(A106,B106)=0,VLOOKUP(B106,'Pre-Calculation'!$H$1:$L$31,5,FALSE),0)*IF('Pre-Calculation'!$D$16="% OF FV",M106,IF(OR('Pre-Calculation'!$D$16="% OF AFV(24M)",'Pre-Calculation'!$D$16="% OF AFV(8Q)"),AVERAGE( $M83:$M106),IF('Pre-Calculation'!$D$16="% OF AFV(12M)",AVERAGE($M95:M106),IF('Pre-Calculation'!$D$16="% OF AFV(36M)",AVERAGE($M71:M106)))))</f>
        <v>1733982.402</v>
      </c>
      <c r="O106" s="175">
        <f t="shared" si="4"/>
        <v>1733982.402</v>
      </c>
      <c r="P106" s="175">
        <f>IF('Pre-Calculation'!$D$17="Type 4 a",MAX(SA,N106,1.05*Q106),IF('Pre-Calculation'!$D$17="Type 4 c",N106,IF('Pre-Calculation'!$D$17="Type 4 d",SA+N106,IF('Pre-Calculation'!$D$17="Type 4 e",MAX(SA,N106),IF('Pre-Calculation'!$D$17="Type 4 f",SA,IF('Pre-Calculation'!$D$17="Type 4 g",1000+N106,IF('Pre-Calculation'!$D$17="Type 4 h",SA+X106,IF('Pre-Calculation'!$D$17="Type 4 i",MAX(N106,Q106),IF('Pre-Calculation'!$D$17="Type 4 k",MAX(N106,1.01*Q106),IF('Pre-Calculation'!$D$17="Type 4 m",MAX(105%*Q106,SA+N106),IF('Pre-Calculation'!$D$17="Type 4 o",MAX(SA,105%*Q106)+X106+Z106,IF('Pre-Calculation'!$D$17="Type 5",0))))))))))))</f>
        <v>1733982.402</v>
      </c>
      <c r="Q106" s="175">
        <f t="shared" si="5"/>
        <v>1000000</v>
      </c>
      <c r="R106" s="119">
        <f>L106*(1+GROWTH_RATE)*FMC</f>
        <v>1952.259579</v>
      </c>
      <c r="S106" s="178">
        <f>S105*(1+'Pre-Calculation'!$E$27)</f>
        <v>865797.3886</v>
      </c>
      <c r="T106" s="175">
        <f>-E106+IF(A105=INPUT!$C$11*12,N106,0)</f>
        <v>0</v>
      </c>
      <c r="U106" s="175">
        <f t="shared" si="6"/>
        <v>1756041.306</v>
      </c>
      <c r="V106" s="175">
        <f>U106*(1+GROWTH_RATE_H)*(1-'Pre-Calculation'!$E$31)</f>
        <v>1764396.535</v>
      </c>
      <c r="W106" s="175">
        <f>-E106+IF(A105=INPUT!$C$11*12,V106,0)</f>
        <v>0</v>
      </c>
      <c r="X106" s="179">
        <f t="array" ref="X106">NPV('Pre-Calculation'!$E$20,$E107:E$246)</f>
        <v>0</v>
      </c>
      <c r="Y106" s="171">
        <f>10%*SA</f>
        <v>100000</v>
      </c>
      <c r="Z106" s="179">
        <f t="array" ref="Z106">NPV('Pre-Calculation'!$E$20,Y107:Y116)</f>
        <v>969592.8037</v>
      </c>
    </row>
    <row r="107" ht="15.75" customHeight="1">
      <c r="A107" s="171">
        <f t="shared" si="1"/>
        <v>161</v>
      </c>
      <c r="B107" s="171">
        <f t="shared" si="2"/>
        <v>14</v>
      </c>
      <c r="C107" s="176">
        <f>EDATE(RCD,A106)</f>
        <v>47421</v>
      </c>
      <c r="D107" s="171">
        <f>Age_At_Entry+'Cashflows_8%'!B107-1</f>
        <v>48</v>
      </c>
      <c r="E107" s="175">
        <f>IF(AND(C107&lt;=Last_Prem,MOD(A106,Mode)=0,C107&gt;INPUT!$C$13,A107&lt;=Revival!$C$11),Mod_Prem,0)</f>
        <v>0</v>
      </c>
      <c r="F107" s="177">
        <f>E107*VLOOKUP(B107,'Pre-Calculation'!$H$1:$I$31,2,FALSE)</f>
        <v>0</v>
      </c>
      <c r="G107" s="177">
        <f>IF(B107&lt;PT+1,VLOOKUP(B107,'Pre-Calculation'!$H$1:$L$32,3,FALSE)+VLOOKUP(B107,'Pre-Calculation'!$H$1:$L$32,4,FALSE)*'Pre-Calculation'!$D$7,0)</f>
        <v>0</v>
      </c>
      <c r="H107" s="175">
        <f>(E107-(F107+G107)*(1+Tax)+N106)</f>
        <v>1733982.402</v>
      </c>
      <c r="I107" s="175">
        <f>IF(B107&lt;PT+1,VLOOKUP(D107,'Pre-Calculation'!$N$3:$P$79,IF(INPUT!$C$4="M",2,3),FALSE)*(J107/1000)*(1/12),0)</f>
        <v>0</v>
      </c>
      <c r="J107" s="175">
        <f t="shared" si="3"/>
        <v>0</v>
      </c>
      <c r="K107" s="175">
        <f>(IF('Pre-Calculation'!$D$17="Type 4 a",MAX(SA,H107,1.05*Q107),IF('Pre-Calculation'!$D$17="Type 4 c",H107,IF('Pre-Calculation'!$D$17="Type 4 d",SA+H107,IF('Pre-Calculation'!$D$17="Type 4 e",MAX(SA,H107),IF('Pre-Calculation'!$D$17="Type 4 f",SA,IF('Pre-Calculation'!$D$17="Type 4 g",1000+H107,IF('Pre-Calculation'!$D$17="Type 4 h",SA+X107,IF('Pre-Calculation'!$D$17="Type 4 i",MAX(H107,Q107),IF('Pre-Calculation'!$D$17="Type 4 k",MAX(H107,1.01*Q107),IF('Pre-Calculation'!$D$17="Type 4 m",MAX(105%*Q107,SA+H107),IF('Pre-Calculation'!$D$17="Type 4 o",MAX(SA,105%*Q107)+X107+Z107,IF('Pre-Calculation'!$D$17="Type 5",0)))))))))))))*IF(AND(A107&lt;Revival!$C$4,'Cashflows_8%'!C107&gt;=Revival!$D$12),PUP,1)</f>
        <v>1733982.402</v>
      </c>
      <c r="L107" s="175">
        <f>H107-I107*(1+Tax)</f>
        <v>1733982.402</v>
      </c>
      <c r="M107" s="175">
        <f>L107*(1+GROWTH_RATE_H)*(1-FMC*(1+Tax))</f>
        <v>1742823.485</v>
      </c>
      <c r="N107" s="175">
        <f>M107+IF(MOD(A107,B107)=0,VLOOKUP(B107,'Pre-Calculation'!$H$1:$L$31,5,FALSE),0)*IF('Pre-Calculation'!$D$16="% OF FV",M107,IF(OR('Pre-Calculation'!$D$16="% OF AFV(24M)",'Pre-Calculation'!$D$16="% OF AFV(8Q)"),AVERAGE( $M84:$M107),IF('Pre-Calculation'!$D$16="% OF AFV(12M)",AVERAGE($M96:M107),IF('Pre-Calculation'!$D$16="% OF AFV(36M)",AVERAGE($M72:M107)))))</f>
        <v>1742823.485</v>
      </c>
      <c r="O107" s="175">
        <f t="shared" si="4"/>
        <v>1742823.485</v>
      </c>
      <c r="P107" s="175">
        <f>IF('Pre-Calculation'!$D$17="Type 4 a",MAX(SA,N107,1.05*Q107),IF('Pre-Calculation'!$D$17="Type 4 c",N107,IF('Pre-Calculation'!$D$17="Type 4 d",SA+N107,IF('Pre-Calculation'!$D$17="Type 4 e",MAX(SA,N107),IF('Pre-Calculation'!$D$17="Type 4 f",SA,IF('Pre-Calculation'!$D$17="Type 4 g",1000+N107,IF('Pre-Calculation'!$D$17="Type 4 h",SA+X107,IF('Pre-Calculation'!$D$17="Type 4 i",MAX(N107,Q107),IF('Pre-Calculation'!$D$17="Type 4 k",MAX(N107,1.01*Q107),IF('Pre-Calculation'!$D$17="Type 4 m",MAX(105%*Q107,SA+N107),IF('Pre-Calculation'!$D$17="Type 4 o",MAX(SA,105%*Q107)+X107+Z107,IF('Pre-Calculation'!$D$17="Type 5",0))))))))))))</f>
        <v>1742823.485</v>
      </c>
      <c r="Q107" s="175">
        <f t="shared" si="5"/>
        <v>1000000</v>
      </c>
      <c r="R107" s="119">
        <f>L107*(1+GROWTH_RATE)*FMC</f>
        <v>1962.213595</v>
      </c>
      <c r="S107" s="178">
        <f>S106*(1+'Pre-Calculation'!$E$27)</f>
        <v>868283.0052</v>
      </c>
      <c r="T107" s="175">
        <f>-E107+IF(A106=INPUT!$C$11*12,N107,0)</f>
        <v>0</v>
      </c>
      <c r="U107" s="175">
        <f t="shared" si="6"/>
        <v>1764396.535</v>
      </c>
      <c r="V107" s="175">
        <f>U107*(1+GROWTH_RATE_H)*(1-'Pre-Calculation'!$E$31)</f>
        <v>1772791.519</v>
      </c>
      <c r="W107" s="175">
        <f>-E107+IF(A106=INPUT!$C$11*12,V107,0)</f>
        <v>0</v>
      </c>
      <c r="X107" s="179">
        <f t="array" ref="X107">NPV('Pre-Calculation'!$E$20,$E108:E$246)</f>
        <v>0</v>
      </c>
      <c r="Y107" s="171">
        <f>10%*SA</f>
        <v>100000</v>
      </c>
      <c r="Z107" s="179">
        <f t="array" ref="Z107">NPV('Pre-Calculation'!$E$20,Y108:Y117)</f>
        <v>969592.8037</v>
      </c>
    </row>
    <row r="108" ht="15.75" customHeight="1">
      <c r="A108" s="171">
        <f t="shared" si="1"/>
        <v>162</v>
      </c>
      <c r="B108" s="171">
        <f t="shared" si="2"/>
        <v>14</v>
      </c>
      <c r="C108" s="176">
        <f>EDATE(RCD,A107)</f>
        <v>47452</v>
      </c>
      <c r="D108" s="171">
        <f>Age_At_Entry+'Cashflows_8%'!B108-1</f>
        <v>48</v>
      </c>
      <c r="E108" s="175">
        <f>IF(AND(C108&lt;=Last_Prem,MOD(A107,Mode)=0,C108&gt;INPUT!$C$13,A108&lt;=Revival!$C$11),Mod_Prem,0)</f>
        <v>0</v>
      </c>
      <c r="F108" s="177">
        <f>E108*VLOOKUP(B108,'Pre-Calculation'!$H$1:$I$31,2,FALSE)</f>
        <v>0</v>
      </c>
      <c r="G108" s="177">
        <f>IF(B108&lt;PT+1,VLOOKUP(B108,'Pre-Calculation'!$H$1:$L$32,3,FALSE)+VLOOKUP(B108,'Pre-Calculation'!$H$1:$L$32,4,FALSE)*'Pre-Calculation'!$D$7,0)</f>
        <v>0</v>
      </c>
      <c r="H108" s="175">
        <f>(E108-(F108+G108)*(1+Tax)+N107)</f>
        <v>1742823.485</v>
      </c>
      <c r="I108" s="175">
        <f>IF(B108&lt;PT+1,VLOOKUP(D108,'Pre-Calculation'!$N$3:$P$79,IF(INPUT!$C$4="M",2,3),FALSE)*(J108/1000)*(1/12),0)</f>
        <v>0</v>
      </c>
      <c r="J108" s="175">
        <f t="shared" si="3"/>
        <v>0</v>
      </c>
      <c r="K108" s="175">
        <f>(IF('Pre-Calculation'!$D$17="Type 4 a",MAX(SA,H108,1.05*Q108),IF('Pre-Calculation'!$D$17="Type 4 c",H108,IF('Pre-Calculation'!$D$17="Type 4 d",SA+H108,IF('Pre-Calculation'!$D$17="Type 4 e",MAX(SA,H108),IF('Pre-Calculation'!$D$17="Type 4 f",SA,IF('Pre-Calculation'!$D$17="Type 4 g",1000+H108,IF('Pre-Calculation'!$D$17="Type 4 h",SA+X108,IF('Pre-Calculation'!$D$17="Type 4 i",MAX(H108,Q108),IF('Pre-Calculation'!$D$17="Type 4 k",MAX(H108,1.01*Q108),IF('Pre-Calculation'!$D$17="Type 4 m",MAX(105%*Q108,SA+H108),IF('Pre-Calculation'!$D$17="Type 4 o",MAX(SA,105%*Q108)+X108+Z108,IF('Pre-Calculation'!$D$17="Type 5",0)))))))))))))*IF(AND(A108&lt;Revival!$C$4,'Cashflows_8%'!C108&gt;=Revival!$D$12),PUP,1)</f>
        <v>1742823.485</v>
      </c>
      <c r="L108" s="175">
        <f>H108-I108*(1+Tax)</f>
        <v>1742823.485</v>
      </c>
      <c r="M108" s="175">
        <f>L108*(1+GROWTH_RATE_H)*(1-FMC*(1+Tax))</f>
        <v>1751709.646</v>
      </c>
      <c r="N108" s="175">
        <f>M108+IF(MOD(A108,B108)=0,VLOOKUP(B108,'Pre-Calculation'!$H$1:$L$31,5,FALSE),0)*IF('Pre-Calculation'!$D$16="% OF FV",M108,IF(OR('Pre-Calculation'!$D$16="% OF AFV(24M)",'Pre-Calculation'!$D$16="% OF AFV(8Q)"),AVERAGE( $M85:$M108),IF('Pre-Calculation'!$D$16="% OF AFV(12M)",AVERAGE($M97:M108),IF('Pre-Calculation'!$D$16="% OF AFV(36M)",AVERAGE($M73:M108)))))</f>
        <v>1751709.646</v>
      </c>
      <c r="O108" s="175">
        <f t="shared" si="4"/>
        <v>1751709.646</v>
      </c>
      <c r="P108" s="175">
        <f>IF('Pre-Calculation'!$D$17="Type 4 a",MAX(SA,N108,1.05*Q108),IF('Pre-Calculation'!$D$17="Type 4 c",N108,IF('Pre-Calculation'!$D$17="Type 4 d",SA+N108,IF('Pre-Calculation'!$D$17="Type 4 e",MAX(SA,N108),IF('Pre-Calculation'!$D$17="Type 4 f",SA,IF('Pre-Calculation'!$D$17="Type 4 g",1000+N108,IF('Pre-Calculation'!$D$17="Type 4 h",SA+X108,IF('Pre-Calculation'!$D$17="Type 4 i",MAX(N108,Q108),IF('Pre-Calculation'!$D$17="Type 4 k",MAX(N108,1.01*Q108),IF('Pre-Calculation'!$D$17="Type 4 m",MAX(105%*Q108,SA+N108),IF('Pre-Calculation'!$D$17="Type 4 o",MAX(SA,105%*Q108)+X108+Z108,IF('Pre-Calculation'!$D$17="Type 5",0))))))))))))</f>
        <v>1751709.646</v>
      </c>
      <c r="Q108" s="175">
        <f t="shared" si="5"/>
        <v>1000000</v>
      </c>
      <c r="R108" s="119">
        <f>L108*(1+GROWTH_RATE)*FMC</f>
        <v>1972.218364</v>
      </c>
      <c r="S108" s="178">
        <f>S107*(1+'Pre-Calculation'!$E$27)</f>
        <v>870775.7578</v>
      </c>
      <c r="T108" s="175">
        <f>-E108+IF(A107=INPUT!$C$11*12,N108,0)</f>
        <v>0</v>
      </c>
      <c r="U108" s="175">
        <f t="shared" si="6"/>
        <v>1772791.519</v>
      </c>
      <c r="V108" s="175">
        <f>U108*(1+GROWTH_RATE_H)*(1-'Pre-Calculation'!$E$31)</f>
        <v>1781226.445</v>
      </c>
      <c r="W108" s="175">
        <f>-E108+IF(A107=INPUT!$C$11*12,V108,0)</f>
        <v>0</v>
      </c>
      <c r="X108" s="179">
        <f t="array" ref="X108">NPV('Pre-Calculation'!$E$20,$E109:E$246)</f>
        <v>0</v>
      </c>
      <c r="Y108" s="171">
        <f>10%*SA</f>
        <v>100000</v>
      </c>
      <c r="Z108" s="179">
        <f t="array" ref="Z108">NPV('Pre-Calculation'!$E$20,Y109:Y118)</f>
        <v>969592.8037</v>
      </c>
    </row>
    <row r="109" ht="15.75" customHeight="1">
      <c r="A109" s="171">
        <f t="shared" si="1"/>
        <v>163</v>
      </c>
      <c r="B109" s="171">
        <f t="shared" si="2"/>
        <v>14</v>
      </c>
      <c r="C109" s="176">
        <f>EDATE(RCD,A108)</f>
        <v>47482</v>
      </c>
      <c r="D109" s="171">
        <f>Age_At_Entry+'Cashflows_8%'!B109-1</f>
        <v>48</v>
      </c>
      <c r="E109" s="175">
        <f>IF(AND(C109&lt;=Last_Prem,MOD(A108,Mode)=0,C109&gt;INPUT!$C$13,A109&lt;=Revival!$C$11),Mod_Prem,0)</f>
        <v>0</v>
      </c>
      <c r="F109" s="177">
        <f>E109*VLOOKUP(B109,'Pre-Calculation'!$H$1:$I$31,2,FALSE)</f>
        <v>0</v>
      </c>
      <c r="G109" s="177">
        <f>IF(B109&lt;PT+1,VLOOKUP(B109,'Pre-Calculation'!$H$1:$L$32,3,FALSE)+VLOOKUP(B109,'Pre-Calculation'!$H$1:$L$32,4,FALSE)*'Pre-Calculation'!$D$7,0)</f>
        <v>0</v>
      </c>
      <c r="H109" s="175">
        <f>(E109-(F109+G109)*(1+Tax)+N108)</f>
        <v>1751709.646</v>
      </c>
      <c r="I109" s="175">
        <f>IF(B109&lt;PT+1,VLOOKUP(D109,'Pre-Calculation'!$N$3:$P$79,IF(INPUT!$C$4="M",2,3),FALSE)*(J109/1000)*(1/12),0)</f>
        <v>0</v>
      </c>
      <c r="J109" s="175">
        <f t="shared" si="3"/>
        <v>0</v>
      </c>
      <c r="K109" s="175">
        <f>(IF('Pre-Calculation'!$D$17="Type 4 a",MAX(SA,H109,1.05*Q109),IF('Pre-Calculation'!$D$17="Type 4 c",H109,IF('Pre-Calculation'!$D$17="Type 4 d",SA+H109,IF('Pre-Calculation'!$D$17="Type 4 e",MAX(SA,H109),IF('Pre-Calculation'!$D$17="Type 4 f",SA,IF('Pre-Calculation'!$D$17="Type 4 g",1000+H109,IF('Pre-Calculation'!$D$17="Type 4 h",SA+X109,IF('Pre-Calculation'!$D$17="Type 4 i",MAX(H109,Q109),IF('Pre-Calculation'!$D$17="Type 4 k",MAX(H109,1.01*Q109),IF('Pre-Calculation'!$D$17="Type 4 m",MAX(105%*Q109,SA+H109),IF('Pre-Calculation'!$D$17="Type 4 o",MAX(SA,105%*Q109)+X109+Z109,IF('Pre-Calculation'!$D$17="Type 5",0)))))))))))))*IF(AND(A109&lt;Revival!$C$4,'Cashflows_8%'!C109&gt;=Revival!$D$12),PUP,1)</f>
        <v>1751709.646</v>
      </c>
      <c r="L109" s="175">
        <f>H109-I109*(1+Tax)</f>
        <v>1751709.646</v>
      </c>
      <c r="M109" s="175">
        <f>L109*(1+GROWTH_RATE_H)*(1-FMC*(1+Tax))</f>
        <v>1760641.115</v>
      </c>
      <c r="N109" s="175">
        <f>M109+IF(MOD(A109,B109)=0,VLOOKUP(B109,'Pre-Calculation'!$H$1:$L$31,5,FALSE),0)*IF('Pre-Calculation'!$D$16="% OF FV",M109,IF(OR('Pre-Calculation'!$D$16="% OF AFV(24M)",'Pre-Calculation'!$D$16="% OF AFV(8Q)"),AVERAGE( $M86:$M109),IF('Pre-Calculation'!$D$16="% OF AFV(12M)",AVERAGE($M98:M109),IF('Pre-Calculation'!$D$16="% OF AFV(36M)",AVERAGE($M74:M109)))))</f>
        <v>1760641.115</v>
      </c>
      <c r="O109" s="175">
        <f t="shared" si="4"/>
        <v>1760641.115</v>
      </c>
      <c r="P109" s="175">
        <f>IF('Pre-Calculation'!$D$17="Type 4 a",MAX(SA,N109,1.05*Q109),IF('Pre-Calculation'!$D$17="Type 4 c",N109,IF('Pre-Calculation'!$D$17="Type 4 d",SA+N109,IF('Pre-Calculation'!$D$17="Type 4 e",MAX(SA,N109),IF('Pre-Calculation'!$D$17="Type 4 f",SA,IF('Pre-Calculation'!$D$17="Type 4 g",1000+N109,IF('Pre-Calculation'!$D$17="Type 4 h",SA+X109,IF('Pre-Calculation'!$D$17="Type 4 i",MAX(N109,Q109),IF('Pre-Calculation'!$D$17="Type 4 k",MAX(N109,1.01*Q109),IF('Pre-Calculation'!$D$17="Type 4 m",MAX(105%*Q109,SA+N109),IF('Pre-Calculation'!$D$17="Type 4 o",MAX(SA,105%*Q109)+X109+Z109,IF('Pre-Calculation'!$D$17="Type 5",0))))))))))))</f>
        <v>1760641.115</v>
      </c>
      <c r="Q109" s="175">
        <f t="shared" si="5"/>
        <v>1000000</v>
      </c>
      <c r="R109" s="119">
        <f>L109*(1+GROWTH_RATE)*FMC</f>
        <v>1982.274144</v>
      </c>
      <c r="S109" s="178">
        <f>S108*(1+'Pre-Calculation'!$E$27)</f>
        <v>873275.6668</v>
      </c>
      <c r="T109" s="175">
        <f>-E109+IF(A108=INPUT!$C$11*12,N109,0)</f>
        <v>0</v>
      </c>
      <c r="U109" s="175">
        <f t="shared" si="6"/>
        <v>1781226.445</v>
      </c>
      <c r="V109" s="175">
        <f>U109*(1+GROWTH_RATE_H)*(1-'Pre-Calculation'!$E$31)</f>
        <v>1789701.505</v>
      </c>
      <c r="W109" s="175">
        <f>-E109+IF(A108=INPUT!$C$11*12,V109,0)</f>
        <v>0</v>
      </c>
      <c r="X109" s="179">
        <f t="array" ref="X109">NPV('Pre-Calculation'!$E$20,$E110:E$246)</f>
        <v>0</v>
      </c>
      <c r="Y109" s="171">
        <f>10%*SA</f>
        <v>100000</v>
      </c>
      <c r="Z109" s="179">
        <f t="array" ref="Z109">NPV('Pre-Calculation'!$E$20,Y110:Y119)</f>
        <v>969592.8037</v>
      </c>
    </row>
    <row r="110" ht="15.75" customHeight="1">
      <c r="A110" s="171">
        <f t="shared" si="1"/>
        <v>164</v>
      </c>
      <c r="B110" s="171">
        <f t="shared" si="2"/>
        <v>14</v>
      </c>
      <c r="C110" s="176">
        <f>EDATE(RCD,A109)</f>
        <v>47513</v>
      </c>
      <c r="D110" s="171">
        <f>Age_At_Entry+'Cashflows_8%'!B110-1</f>
        <v>48</v>
      </c>
      <c r="E110" s="175">
        <f>IF(AND(C110&lt;=Last_Prem,MOD(A109,Mode)=0,C110&gt;INPUT!$C$13,A110&lt;=Revival!$C$11),Mod_Prem,0)</f>
        <v>0</v>
      </c>
      <c r="F110" s="177">
        <f>E110*VLOOKUP(B110,'Pre-Calculation'!$H$1:$I$31,2,FALSE)</f>
        <v>0</v>
      </c>
      <c r="G110" s="177">
        <f>IF(B110&lt;PT+1,VLOOKUP(B110,'Pre-Calculation'!$H$1:$L$32,3,FALSE)+VLOOKUP(B110,'Pre-Calculation'!$H$1:$L$32,4,FALSE)*'Pre-Calculation'!$D$7,0)</f>
        <v>0</v>
      </c>
      <c r="H110" s="175">
        <f>(E110-(F110+G110)*(1+Tax)+N109)</f>
        <v>1760641.115</v>
      </c>
      <c r="I110" s="175">
        <f>IF(B110&lt;PT+1,VLOOKUP(D110,'Pre-Calculation'!$N$3:$P$79,IF(INPUT!$C$4="M",2,3),FALSE)*(J110/1000)*(1/12),0)</f>
        <v>0</v>
      </c>
      <c r="J110" s="175">
        <f t="shared" si="3"/>
        <v>0</v>
      </c>
      <c r="K110" s="175">
        <f>(IF('Pre-Calculation'!$D$17="Type 4 a",MAX(SA,H110,1.05*Q110),IF('Pre-Calculation'!$D$17="Type 4 c",H110,IF('Pre-Calculation'!$D$17="Type 4 d",SA+H110,IF('Pre-Calculation'!$D$17="Type 4 e",MAX(SA,H110),IF('Pre-Calculation'!$D$17="Type 4 f",SA,IF('Pre-Calculation'!$D$17="Type 4 g",1000+H110,IF('Pre-Calculation'!$D$17="Type 4 h",SA+X110,IF('Pre-Calculation'!$D$17="Type 4 i",MAX(H110,Q110),IF('Pre-Calculation'!$D$17="Type 4 k",MAX(H110,1.01*Q110),IF('Pre-Calculation'!$D$17="Type 4 m",MAX(105%*Q110,SA+H110),IF('Pre-Calculation'!$D$17="Type 4 o",MAX(SA,105%*Q110)+X110+Z110,IF('Pre-Calculation'!$D$17="Type 5",0)))))))))))))*IF(AND(A110&lt;Revival!$C$4,'Cashflows_8%'!C110&gt;=Revival!$D$12),PUP,1)</f>
        <v>1760641.115</v>
      </c>
      <c r="L110" s="175">
        <f>H110-I110*(1+Tax)</f>
        <v>1760641.115</v>
      </c>
      <c r="M110" s="175">
        <f>L110*(1+GROWTH_RATE_H)*(1-FMC*(1+Tax))</f>
        <v>1769618.123</v>
      </c>
      <c r="N110" s="175">
        <f>M110+IF(MOD(A110,B110)=0,VLOOKUP(B110,'Pre-Calculation'!$H$1:$L$31,5,FALSE),0)*IF('Pre-Calculation'!$D$16="% OF FV",M110,IF(OR('Pre-Calculation'!$D$16="% OF AFV(24M)",'Pre-Calculation'!$D$16="% OF AFV(8Q)"),AVERAGE( $M87:$M110),IF('Pre-Calculation'!$D$16="% OF AFV(12M)",AVERAGE($M99:M110),IF('Pre-Calculation'!$D$16="% OF AFV(36M)",AVERAGE($M75:M110)))))</f>
        <v>1769618.123</v>
      </c>
      <c r="O110" s="175">
        <f t="shared" si="4"/>
        <v>1769618.123</v>
      </c>
      <c r="P110" s="175">
        <f>IF('Pre-Calculation'!$D$17="Type 4 a",MAX(SA,N110,1.05*Q110),IF('Pre-Calculation'!$D$17="Type 4 c",N110,IF('Pre-Calculation'!$D$17="Type 4 d",SA+N110,IF('Pre-Calculation'!$D$17="Type 4 e",MAX(SA,N110),IF('Pre-Calculation'!$D$17="Type 4 f",SA,IF('Pre-Calculation'!$D$17="Type 4 g",1000+N110,IF('Pre-Calculation'!$D$17="Type 4 h",SA+X110,IF('Pre-Calculation'!$D$17="Type 4 i",MAX(N110,Q110),IF('Pre-Calculation'!$D$17="Type 4 k",MAX(N110,1.01*Q110),IF('Pre-Calculation'!$D$17="Type 4 m",MAX(105%*Q110,SA+N110),IF('Pre-Calculation'!$D$17="Type 4 o",MAX(SA,105%*Q110)+X110+Z110,IF('Pre-Calculation'!$D$17="Type 5",0))))))))))))</f>
        <v>1769618.123</v>
      </c>
      <c r="Q110" s="175">
        <f t="shared" si="5"/>
        <v>1000000</v>
      </c>
      <c r="R110" s="119">
        <f>L110*(1+GROWTH_RATE)*FMC</f>
        <v>1992.381196</v>
      </c>
      <c r="S110" s="178">
        <f>S109*(1+'Pre-Calculation'!$E$27)</f>
        <v>875782.7528</v>
      </c>
      <c r="T110" s="175">
        <f>-E110+IF(A109=INPUT!$C$11*12,N110,0)</f>
        <v>0</v>
      </c>
      <c r="U110" s="175">
        <f t="shared" si="6"/>
        <v>1789701.505</v>
      </c>
      <c r="V110" s="175">
        <f>U110*(1+GROWTH_RATE_H)*(1-'Pre-Calculation'!$E$31)</f>
        <v>1798216.889</v>
      </c>
      <c r="W110" s="175">
        <f>-E110+IF(A109=INPUT!$C$11*12,V110,0)</f>
        <v>0</v>
      </c>
      <c r="X110" s="179">
        <f t="array" ref="X110">NPV('Pre-Calculation'!$E$20,$E111:E$246)</f>
        <v>0</v>
      </c>
      <c r="Y110" s="171">
        <f>10%*SA</f>
        <v>100000</v>
      </c>
      <c r="Z110" s="179">
        <f t="array" ref="Z110">NPV('Pre-Calculation'!$E$20,Y111:Y120)</f>
        <v>969592.8037</v>
      </c>
    </row>
    <row r="111" ht="15.75" customHeight="1">
      <c r="A111" s="171">
        <f t="shared" si="1"/>
        <v>165</v>
      </c>
      <c r="B111" s="171">
        <f t="shared" si="2"/>
        <v>14</v>
      </c>
      <c r="C111" s="176">
        <f>EDATE(RCD,A110)</f>
        <v>47542</v>
      </c>
      <c r="D111" s="171">
        <f>Age_At_Entry+'Cashflows_8%'!B111-1</f>
        <v>48</v>
      </c>
      <c r="E111" s="175">
        <f>IF(AND(C111&lt;=Last_Prem,MOD(A110,Mode)=0,C111&gt;INPUT!$C$13,A111&lt;=Revival!$C$11),Mod_Prem,0)</f>
        <v>0</v>
      </c>
      <c r="F111" s="177">
        <f>E111*VLOOKUP(B111,'Pre-Calculation'!$H$1:$I$31,2,FALSE)</f>
        <v>0</v>
      </c>
      <c r="G111" s="177">
        <f>IF(B111&lt;PT+1,VLOOKUP(B111,'Pre-Calculation'!$H$1:$L$32,3,FALSE)+VLOOKUP(B111,'Pre-Calculation'!$H$1:$L$32,4,FALSE)*'Pre-Calculation'!$D$7,0)</f>
        <v>0</v>
      </c>
      <c r="H111" s="175">
        <f>(E111-(F111+G111)*(1+Tax)+N110)</f>
        <v>1769618.123</v>
      </c>
      <c r="I111" s="175">
        <f>IF(B111&lt;PT+1,VLOOKUP(D111,'Pre-Calculation'!$N$3:$P$79,IF(INPUT!$C$4="M",2,3),FALSE)*(J111/1000)*(1/12),0)</f>
        <v>0</v>
      </c>
      <c r="J111" s="175">
        <f t="shared" si="3"/>
        <v>0</v>
      </c>
      <c r="K111" s="175">
        <f>(IF('Pre-Calculation'!$D$17="Type 4 a",MAX(SA,H111,1.05*Q111),IF('Pre-Calculation'!$D$17="Type 4 c",H111,IF('Pre-Calculation'!$D$17="Type 4 d",SA+H111,IF('Pre-Calculation'!$D$17="Type 4 e",MAX(SA,H111),IF('Pre-Calculation'!$D$17="Type 4 f",SA,IF('Pre-Calculation'!$D$17="Type 4 g",1000+H111,IF('Pre-Calculation'!$D$17="Type 4 h",SA+X111,IF('Pre-Calculation'!$D$17="Type 4 i",MAX(H111,Q111),IF('Pre-Calculation'!$D$17="Type 4 k",MAX(H111,1.01*Q111),IF('Pre-Calculation'!$D$17="Type 4 m",MAX(105%*Q111,SA+H111),IF('Pre-Calculation'!$D$17="Type 4 o",MAX(SA,105%*Q111)+X111+Z111,IF('Pre-Calculation'!$D$17="Type 5",0)))))))))))))*IF(AND(A111&lt;Revival!$C$4,'Cashflows_8%'!C111&gt;=Revival!$D$12),PUP,1)</f>
        <v>1769618.123</v>
      </c>
      <c r="L111" s="175">
        <f>H111-I111*(1+Tax)</f>
        <v>1769618.123</v>
      </c>
      <c r="M111" s="175">
        <f>L111*(1+GROWTH_RATE_H)*(1-FMC*(1+Tax))</f>
        <v>1778640.903</v>
      </c>
      <c r="N111" s="175">
        <f>M111+IF(MOD(A111,B111)=0,VLOOKUP(B111,'Pre-Calculation'!$H$1:$L$31,5,FALSE),0)*IF('Pre-Calculation'!$D$16="% OF FV",M111,IF(OR('Pre-Calculation'!$D$16="% OF AFV(24M)",'Pre-Calculation'!$D$16="% OF AFV(8Q)"),AVERAGE( $M88:$M111),IF('Pre-Calculation'!$D$16="% OF AFV(12M)",AVERAGE($M100:M111),IF('Pre-Calculation'!$D$16="% OF AFV(36M)",AVERAGE($M76:M111)))))</f>
        <v>1778640.903</v>
      </c>
      <c r="O111" s="175">
        <f t="shared" si="4"/>
        <v>1778640.903</v>
      </c>
      <c r="P111" s="175">
        <f>IF('Pre-Calculation'!$D$17="Type 4 a",MAX(SA,N111,1.05*Q111),IF('Pre-Calculation'!$D$17="Type 4 c",N111,IF('Pre-Calculation'!$D$17="Type 4 d",SA+N111,IF('Pre-Calculation'!$D$17="Type 4 e",MAX(SA,N111),IF('Pre-Calculation'!$D$17="Type 4 f",SA,IF('Pre-Calculation'!$D$17="Type 4 g",1000+N111,IF('Pre-Calculation'!$D$17="Type 4 h",SA+X111,IF('Pre-Calculation'!$D$17="Type 4 i",MAX(N111,Q111),IF('Pre-Calculation'!$D$17="Type 4 k",MAX(N111,1.01*Q111),IF('Pre-Calculation'!$D$17="Type 4 m",MAX(105%*Q111,SA+N111),IF('Pre-Calculation'!$D$17="Type 4 o",MAX(SA,105%*Q111)+X111+Z111,IF('Pre-Calculation'!$D$17="Type 5",0))))))))))))</f>
        <v>1778640.903</v>
      </c>
      <c r="Q111" s="175">
        <f t="shared" si="5"/>
        <v>1000000</v>
      </c>
      <c r="R111" s="119">
        <f>L111*(1+GROWTH_RATE)*FMC</f>
        <v>2002.539781</v>
      </c>
      <c r="S111" s="178">
        <f>S110*(1+'Pre-Calculation'!$E$27)</f>
        <v>878297.0364</v>
      </c>
      <c r="T111" s="175">
        <f>-E111+IF(A110=INPUT!$C$11*12,N111,0)</f>
        <v>0</v>
      </c>
      <c r="U111" s="175">
        <f t="shared" si="6"/>
        <v>1798216.889</v>
      </c>
      <c r="V111" s="175">
        <f>U111*(1+GROWTH_RATE_H)*(1-'Pre-Calculation'!$E$31)</f>
        <v>1806772.789</v>
      </c>
      <c r="W111" s="175">
        <f>-E111+IF(A110=INPUT!$C$11*12,V111,0)</f>
        <v>0</v>
      </c>
      <c r="X111" s="179">
        <f t="array" ref="X111">NPV('Pre-Calculation'!$E$20,$E112:E$246)</f>
        <v>0</v>
      </c>
      <c r="Y111" s="171">
        <f>10%*SA</f>
        <v>100000</v>
      </c>
      <c r="Z111" s="179">
        <f t="array" ref="Z111">NPV('Pre-Calculation'!$E$20,Y112:Y121)</f>
        <v>969592.8037</v>
      </c>
    </row>
    <row r="112" ht="15.75" customHeight="1">
      <c r="A112" s="171">
        <f t="shared" si="1"/>
        <v>166</v>
      </c>
      <c r="B112" s="171">
        <f t="shared" si="2"/>
        <v>14</v>
      </c>
      <c r="C112" s="176">
        <f>EDATE(RCD,A111)</f>
        <v>47572</v>
      </c>
      <c r="D112" s="171">
        <f>Age_At_Entry+'Cashflows_8%'!B112-1</f>
        <v>48</v>
      </c>
      <c r="E112" s="175">
        <f>IF(AND(C112&lt;=Last_Prem,MOD(A111,Mode)=0,C112&gt;INPUT!$C$13,A112&lt;=Revival!$C$11),Mod_Prem,0)</f>
        <v>0</v>
      </c>
      <c r="F112" s="177">
        <f>E112*VLOOKUP(B112,'Pre-Calculation'!$H$1:$I$31,2,FALSE)</f>
        <v>0</v>
      </c>
      <c r="G112" s="177">
        <f>IF(B112&lt;PT+1,VLOOKUP(B112,'Pre-Calculation'!$H$1:$L$32,3,FALSE)+VLOOKUP(B112,'Pre-Calculation'!$H$1:$L$32,4,FALSE)*'Pre-Calculation'!$D$7,0)</f>
        <v>0</v>
      </c>
      <c r="H112" s="175">
        <f>(E112-(F112+G112)*(1+Tax)+N111)</f>
        <v>1778640.903</v>
      </c>
      <c r="I112" s="175">
        <f>IF(B112&lt;PT+1,VLOOKUP(D112,'Pre-Calculation'!$N$3:$P$79,IF(INPUT!$C$4="M",2,3),FALSE)*(J112/1000)*(1/12),0)</f>
        <v>0</v>
      </c>
      <c r="J112" s="175">
        <f t="shared" si="3"/>
        <v>0</v>
      </c>
      <c r="K112" s="175">
        <f>(IF('Pre-Calculation'!$D$17="Type 4 a",MAX(SA,H112,1.05*Q112),IF('Pre-Calculation'!$D$17="Type 4 c",H112,IF('Pre-Calculation'!$D$17="Type 4 d",SA+H112,IF('Pre-Calculation'!$D$17="Type 4 e",MAX(SA,H112),IF('Pre-Calculation'!$D$17="Type 4 f",SA,IF('Pre-Calculation'!$D$17="Type 4 g",1000+H112,IF('Pre-Calculation'!$D$17="Type 4 h",SA+X112,IF('Pre-Calculation'!$D$17="Type 4 i",MAX(H112,Q112),IF('Pre-Calculation'!$D$17="Type 4 k",MAX(H112,1.01*Q112),IF('Pre-Calculation'!$D$17="Type 4 m",MAX(105%*Q112,SA+H112),IF('Pre-Calculation'!$D$17="Type 4 o",MAX(SA,105%*Q112)+X112+Z112,IF('Pre-Calculation'!$D$17="Type 5",0)))))))))))))*IF(AND(A112&lt;Revival!$C$4,'Cashflows_8%'!C112&gt;=Revival!$D$12),PUP,1)</f>
        <v>1778640.903</v>
      </c>
      <c r="L112" s="175">
        <f>H112-I112*(1+Tax)</f>
        <v>1778640.903</v>
      </c>
      <c r="M112" s="175">
        <f>L112*(1+GROWTH_RATE_H)*(1-FMC*(1+Tax))</f>
        <v>1787709.687</v>
      </c>
      <c r="N112" s="175">
        <f>M112+IF(MOD(A112,B112)=0,VLOOKUP(B112,'Pre-Calculation'!$H$1:$L$31,5,FALSE),0)*IF('Pre-Calculation'!$D$16="% OF FV",M112,IF(OR('Pre-Calculation'!$D$16="% OF AFV(24M)",'Pre-Calculation'!$D$16="% OF AFV(8Q)"),AVERAGE( $M89:$M112),IF('Pre-Calculation'!$D$16="% OF AFV(12M)",AVERAGE($M101:M112),IF('Pre-Calculation'!$D$16="% OF AFV(36M)",AVERAGE($M77:M112)))))</f>
        <v>1787709.687</v>
      </c>
      <c r="O112" s="175">
        <f t="shared" si="4"/>
        <v>1787709.687</v>
      </c>
      <c r="P112" s="175">
        <f>IF('Pre-Calculation'!$D$17="Type 4 a",MAX(SA,N112,1.05*Q112),IF('Pre-Calculation'!$D$17="Type 4 c",N112,IF('Pre-Calculation'!$D$17="Type 4 d",SA+N112,IF('Pre-Calculation'!$D$17="Type 4 e",MAX(SA,N112),IF('Pre-Calculation'!$D$17="Type 4 f",SA,IF('Pre-Calculation'!$D$17="Type 4 g",1000+N112,IF('Pre-Calculation'!$D$17="Type 4 h",SA+X112,IF('Pre-Calculation'!$D$17="Type 4 i",MAX(N112,Q112),IF('Pre-Calculation'!$D$17="Type 4 k",MAX(N112,1.01*Q112),IF('Pre-Calculation'!$D$17="Type 4 m",MAX(105%*Q112,SA+N112),IF('Pre-Calculation'!$D$17="Type 4 o",MAX(SA,105%*Q112)+X112+Z112,IF('Pre-Calculation'!$D$17="Type 5",0))))))))))))</f>
        <v>1787709.687</v>
      </c>
      <c r="Q112" s="175">
        <f t="shared" si="5"/>
        <v>1000000</v>
      </c>
      <c r="R112" s="119">
        <f>L112*(1+GROWTH_RATE)*FMC</f>
        <v>2012.750161</v>
      </c>
      <c r="S112" s="178">
        <f>S111*(1+'Pre-Calculation'!$E$27)</f>
        <v>880818.5382</v>
      </c>
      <c r="T112" s="175">
        <f>-E112+IF(A111=INPUT!$C$11*12,N112,0)</f>
        <v>0</v>
      </c>
      <c r="U112" s="175">
        <f t="shared" si="6"/>
        <v>1806772.789</v>
      </c>
      <c r="V112" s="175">
        <f>U112*(1+GROWTH_RATE_H)*(1-'Pre-Calculation'!$E$31)</f>
        <v>1815369.398</v>
      </c>
      <c r="W112" s="175">
        <f>-E112+IF(A111=INPUT!$C$11*12,V112,0)</f>
        <v>0</v>
      </c>
      <c r="X112" s="179">
        <f t="array" ref="X112">NPV('Pre-Calculation'!$E$20,$E113:E$246)</f>
        <v>0</v>
      </c>
      <c r="Y112" s="171">
        <f>10%*SA</f>
        <v>100000</v>
      </c>
      <c r="Z112" s="179">
        <f t="array" ref="Z112">NPV('Pre-Calculation'!$E$20,Y113:Y122)</f>
        <v>969592.8037</v>
      </c>
    </row>
    <row r="113" ht="15.75" customHeight="1">
      <c r="A113" s="171">
        <f t="shared" si="1"/>
        <v>167</v>
      </c>
      <c r="B113" s="171">
        <f t="shared" si="2"/>
        <v>14</v>
      </c>
      <c r="C113" s="176">
        <f>EDATE(RCD,A112)</f>
        <v>47603</v>
      </c>
      <c r="D113" s="171">
        <f>Age_At_Entry+'Cashflows_8%'!B113-1</f>
        <v>48</v>
      </c>
      <c r="E113" s="175">
        <f>IF(AND(C113&lt;=Last_Prem,MOD(A112,Mode)=0,C113&gt;INPUT!$C$13,A113&lt;=Revival!$C$11),Mod_Prem,0)</f>
        <v>0</v>
      </c>
      <c r="F113" s="177">
        <f>E113*VLOOKUP(B113,'Pre-Calculation'!$H$1:$I$31,2,FALSE)</f>
        <v>0</v>
      </c>
      <c r="G113" s="177">
        <f>IF(B113&lt;PT+1,VLOOKUP(B113,'Pre-Calculation'!$H$1:$L$32,3,FALSE)+VLOOKUP(B113,'Pre-Calculation'!$H$1:$L$32,4,FALSE)*'Pre-Calculation'!$D$7,0)</f>
        <v>0</v>
      </c>
      <c r="H113" s="175">
        <f>(E113-(F113+G113)*(1+Tax)+N112)</f>
        <v>1787709.687</v>
      </c>
      <c r="I113" s="175">
        <f>IF(B113&lt;PT+1,VLOOKUP(D113,'Pre-Calculation'!$N$3:$P$79,IF(INPUT!$C$4="M",2,3),FALSE)*(J113/1000)*(1/12),0)</f>
        <v>0</v>
      </c>
      <c r="J113" s="175">
        <f t="shared" si="3"/>
        <v>0</v>
      </c>
      <c r="K113" s="175">
        <f>(IF('Pre-Calculation'!$D$17="Type 4 a",MAX(SA,H113,1.05*Q113),IF('Pre-Calculation'!$D$17="Type 4 c",H113,IF('Pre-Calculation'!$D$17="Type 4 d",SA+H113,IF('Pre-Calculation'!$D$17="Type 4 e",MAX(SA,H113),IF('Pre-Calculation'!$D$17="Type 4 f",SA,IF('Pre-Calculation'!$D$17="Type 4 g",1000+H113,IF('Pre-Calculation'!$D$17="Type 4 h",SA+X113,IF('Pre-Calculation'!$D$17="Type 4 i",MAX(H113,Q113),IF('Pre-Calculation'!$D$17="Type 4 k",MAX(H113,1.01*Q113),IF('Pre-Calculation'!$D$17="Type 4 m",MAX(105%*Q113,SA+H113),IF('Pre-Calculation'!$D$17="Type 4 o",MAX(SA,105%*Q113)+X113+Z113,IF('Pre-Calculation'!$D$17="Type 5",0)))))))))))))*IF(AND(A113&lt;Revival!$C$4,'Cashflows_8%'!C113&gt;=Revival!$D$12),PUP,1)</f>
        <v>1787709.687</v>
      </c>
      <c r="L113" s="175">
        <f>H113-I113*(1+Tax)</f>
        <v>1787709.687</v>
      </c>
      <c r="M113" s="175">
        <f>L113*(1+GROWTH_RATE_H)*(1-FMC*(1+Tax))</f>
        <v>1796824.71</v>
      </c>
      <c r="N113" s="175">
        <f>M113+IF(MOD(A113,B113)=0,VLOOKUP(B113,'Pre-Calculation'!$H$1:$L$31,5,FALSE),0)*IF('Pre-Calculation'!$D$16="% OF FV",M113,IF(OR('Pre-Calculation'!$D$16="% OF AFV(24M)",'Pre-Calculation'!$D$16="% OF AFV(8Q)"),AVERAGE( $M90:$M113),IF('Pre-Calculation'!$D$16="% OF AFV(12M)",AVERAGE($M102:M113),IF('Pre-Calculation'!$D$16="% OF AFV(36M)",AVERAGE($M78:M113)))))</f>
        <v>1796824.71</v>
      </c>
      <c r="O113" s="175">
        <f t="shared" si="4"/>
        <v>1796824.71</v>
      </c>
      <c r="P113" s="175">
        <f>IF('Pre-Calculation'!$D$17="Type 4 a",MAX(SA,N113,1.05*Q113),IF('Pre-Calculation'!$D$17="Type 4 c",N113,IF('Pre-Calculation'!$D$17="Type 4 d",SA+N113,IF('Pre-Calculation'!$D$17="Type 4 e",MAX(SA,N113),IF('Pre-Calculation'!$D$17="Type 4 f",SA,IF('Pre-Calculation'!$D$17="Type 4 g",1000+N113,IF('Pre-Calculation'!$D$17="Type 4 h",SA+X113,IF('Pre-Calculation'!$D$17="Type 4 i",MAX(N113,Q113),IF('Pre-Calculation'!$D$17="Type 4 k",MAX(N113,1.01*Q113),IF('Pre-Calculation'!$D$17="Type 4 m",MAX(105%*Q113,SA+N113),IF('Pre-Calculation'!$D$17="Type 4 o",MAX(SA,105%*Q113)+X113+Z113,IF('Pre-Calculation'!$D$17="Type 5",0))))))))))))</f>
        <v>1796824.71</v>
      </c>
      <c r="Q113" s="175">
        <f t="shared" si="5"/>
        <v>1000000</v>
      </c>
      <c r="R113" s="119">
        <f>L113*(1+GROWTH_RATE)*FMC</f>
        <v>2023.012602</v>
      </c>
      <c r="S113" s="178">
        <f>S112*(1+'Pre-Calculation'!$E$27)</f>
        <v>883347.279</v>
      </c>
      <c r="T113" s="175">
        <f>-E113+IF(A112=INPUT!$C$11*12,N113,0)</f>
        <v>0</v>
      </c>
      <c r="U113" s="175">
        <f t="shared" si="6"/>
        <v>1815369.398</v>
      </c>
      <c r="V113" s="175">
        <f>U113*(1+GROWTH_RATE_H)*(1-'Pre-Calculation'!$E$31)</f>
        <v>1824006.91</v>
      </c>
      <c r="W113" s="175">
        <f>-E113+IF(A112=INPUT!$C$11*12,V113,0)</f>
        <v>0</v>
      </c>
      <c r="X113" s="179">
        <f t="array" ref="X113">NPV('Pre-Calculation'!$E$20,$E114:E$246)</f>
        <v>0</v>
      </c>
      <c r="Y113" s="171">
        <f>10%*SA</f>
        <v>100000</v>
      </c>
      <c r="Z113" s="179">
        <f t="array" ref="Z113">NPV('Pre-Calculation'!$E$20,Y114:Y123)</f>
        <v>969592.8037</v>
      </c>
    </row>
    <row r="114" ht="15.75" customHeight="1">
      <c r="A114" s="171">
        <f t="shared" si="1"/>
        <v>168</v>
      </c>
      <c r="B114" s="171">
        <f t="shared" si="2"/>
        <v>14</v>
      </c>
      <c r="C114" s="176">
        <f>EDATE(RCD,A113)</f>
        <v>47633</v>
      </c>
      <c r="D114" s="171">
        <f>Age_At_Entry+'Cashflows_8%'!B114-1</f>
        <v>48</v>
      </c>
      <c r="E114" s="175">
        <f>IF(AND(C114&lt;=Last_Prem,MOD(A113,Mode)=0,C114&gt;INPUT!$C$13,A114&lt;=Revival!$C$11),Mod_Prem,0)</f>
        <v>0</v>
      </c>
      <c r="F114" s="177">
        <f>E114*VLOOKUP(B114,'Pre-Calculation'!$H$1:$I$31,2,FALSE)</f>
        <v>0</v>
      </c>
      <c r="G114" s="177">
        <f>IF(B114&lt;PT+1,VLOOKUP(B114,'Pre-Calculation'!$H$1:$L$32,3,FALSE)+VLOOKUP(B114,'Pre-Calculation'!$H$1:$L$32,4,FALSE)*'Pre-Calculation'!$D$7,0)</f>
        <v>0</v>
      </c>
      <c r="H114" s="175">
        <f>(E114-(F114+G114)*(1+Tax)+N113)</f>
        <v>1796824.71</v>
      </c>
      <c r="I114" s="175">
        <f>IF(B114&lt;PT+1,VLOOKUP(D114,'Pre-Calculation'!$N$3:$P$79,IF(INPUT!$C$4="M",2,3),FALSE)*(J114/1000)*(1/12),0)</f>
        <v>0</v>
      </c>
      <c r="J114" s="175">
        <f t="shared" si="3"/>
        <v>0</v>
      </c>
      <c r="K114" s="175">
        <f>(IF('Pre-Calculation'!$D$17="Type 4 a",MAX(SA,H114,1.05*Q114),IF('Pre-Calculation'!$D$17="Type 4 c",H114,IF('Pre-Calculation'!$D$17="Type 4 d",SA+H114,IF('Pre-Calculation'!$D$17="Type 4 e",MAX(SA,H114),IF('Pre-Calculation'!$D$17="Type 4 f",SA,IF('Pre-Calculation'!$D$17="Type 4 g",1000+H114,IF('Pre-Calculation'!$D$17="Type 4 h",SA+X114,IF('Pre-Calculation'!$D$17="Type 4 i",MAX(H114,Q114),IF('Pre-Calculation'!$D$17="Type 4 k",MAX(H114,1.01*Q114),IF('Pre-Calculation'!$D$17="Type 4 m",MAX(105%*Q114,SA+H114),IF('Pre-Calculation'!$D$17="Type 4 o",MAX(SA,105%*Q114)+X114+Z114,IF('Pre-Calculation'!$D$17="Type 5",0)))))))))))))*IF(AND(A114&lt;Revival!$C$4,'Cashflows_8%'!C114&gt;=Revival!$D$12),PUP,1)</f>
        <v>1796824.71</v>
      </c>
      <c r="L114" s="175">
        <f>H114-I114*(1+Tax)</f>
        <v>1796824.71</v>
      </c>
      <c r="M114" s="175">
        <f>L114*(1+GROWTH_RATE_H)*(1-FMC*(1+Tax))</f>
        <v>1805986.208</v>
      </c>
      <c r="N114" s="175">
        <f>M114+IF(MOD(A114,B114)=0,VLOOKUP(B114,'Pre-Calculation'!$H$1:$L$31,5,FALSE),0)*IF('Pre-Calculation'!$D$16="% OF FV",M114,IF(OR('Pre-Calculation'!$D$16="% OF AFV(24M)",'Pre-Calculation'!$D$16="% OF AFV(8Q)"),AVERAGE( $M91:$M114),IF('Pre-Calculation'!$D$16="% OF AFV(12M)",AVERAGE($M103:M114),IF('Pre-Calculation'!$D$16="% OF AFV(36M)",AVERAGE($M79:M114)))))</f>
        <v>1805986.208</v>
      </c>
      <c r="O114" s="175">
        <f t="shared" si="4"/>
        <v>1805986.208</v>
      </c>
      <c r="P114" s="175">
        <f>IF('Pre-Calculation'!$D$17="Type 4 a",MAX(SA,N114,1.05*Q114),IF('Pre-Calculation'!$D$17="Type 4 c",N114,IF('Pre-Calculation'!$D$17="Type 4 d",SA+N114,IF('Pre-Calculation'!$D$17="Type 4 e",MAX(SA,N114),IF('Pre-Calculation'!$D$17="Type 4 f",SA,IF('Pre-Calculation'!$D$17="Type 4 g",1000+N114,IF('Pre-Calculation'!$D$17="Type 4 h",SA+X114,IF('Pre-Calculation'!$D$17="Type 4 i",MAX(N114,Q114),IF('Pre-Calculation'!$D$17="Type 4 k",MAX(N114,1.01*Q114),IF('Pre-Calculation'!$D$17="Type 4 m",MAX(105%*Q114,SA+N114),IF('Pre-Calculation'!$D$17="Type 4 o",MAX(SA,105%*Q114)+X114+Z114,IF('Pre-Calculation'!$D$17="Type 5",0))))))))))))</f>
        <v>1805986.208</v>
      </c>
      <c r="Q114" s="175">
        <f t="shared" si="5"/>
        <v>1000000</v>
      </c>
      <c r="R114" s="119">
        <f>L114*(1+GROWTH_RATE)*FMC</f>
        <v>2033.327368</v>
      </c>
      <c r="S114" s="178">
        <f>S113*(1+'Pre-Calculation'!$E$27)</f>
        <v>885883.2796</v>
      </c>
      <c r="T114" s="175">
        <f>-E114+IF(A113=INPUT!$C$11*12,N114,0)</f>
        <v>0</v>
      </c>
      <c r="U114" s="175">
        <f t="shared" si="6"/>
        <v>1824006.91</v>
      </c>
      <c r="V114" s="175">
        <f>U114*(1+GROWTH_RATE_H)*(1-'Pre-Calculation'!$E$31)</f>
        <v>1832685.519</v>
      </c>
      <c r="W114" s="175">
        <f>-E114+IF(A113=INPUT!$C$11*12,V114,0)</f>
        <v>0</v>
      </c>
      <c r="X114" s="179">
        <f t="array" ref="X114">NPV('Pre-Calculation'!$E$20,$E115:E$246)</f>
        <v>0</v>
      </c>
      <c r="Y114" s="171">
        <f>10%*SA</f>
        <v>100000</v>
      </c>
      <c r="Z114" s="179">
        <f t="array" ref="Z114">NPV('Pre-Calculation'!$E$20,Y115:Y124)</f>
        <v>969592.8037</v>
      </c>
    </row>
    <row r="115" ht="15.75" customHeight="1">
      <c r="A115" s="171">
        <f t="shared" si="1"/>
        <v>169</v>
      </c>
      <c r="B115" s="171">
        <f t="shared" si="2"/>
        <v>15</v>
      </c>
      <c r="C115" s="176">
        <f>EDATE(RCD,A114)</f>
        <v>47664</v>
      </c>
      <c r="D115" s="171">
        <f>Age_At_Entry+'Cashflows_8%'!B115-1</f>
        <v>49</v>
      </c>
      <c r="E115" s="175">
        <f>IF(AND(C115&lt;=Last_Prem,MOD(A114,Mode)=0,C115&gt;INPUT!$C$13,A115&lt;=Revival!$C$11),Mod_Prem,0)</f>
        <v>0</v>
      </c>
      <c r="F115" s="177">
        <f>E115*VLOOKUP(B115,'Pre-Calculation'!$H$1:$I$31,2,FALSE)</f>
        <v>0</v>
      </c>
      <c r="G115" s="177">
        <f>IF(B115&lt;PT+1,VLOOKUP(B115,'Pre-Calculation'!$H$1:$L$32,3,FALSE)+VLOOKUP(B115,'Pre-Calculation'!$H$1:$L$32,4,FALSE)*'Pre-Calculation'!$D$7,0)</f>
        <v>0</v>
      </c>
      <c r="H115" s="175">
        <f>(E115-(F115+G115)*(1+Tax)+N114)</f>
        <v>1805986.208</v>
      </c>
      <c r="I115" s="175">
        <f>IF(B115&lt;PT+1,VLOOKUP(D115,'Pre-Calculation'!$N$3:$P$79,IF(INPUT!$C$4="M",2,3),FALSE)*(J115/1000)*(1/12),0)</f>
        <v>0</v>
      </c>
      <c r="J115" s="175">
        <f t="shared" si="3"/>
        <v>0</v>
      </c>
      <c r="K115" s="175">
        <f>(IF('Pre-Calculation'!$D$17="Type 4 a",MAX(SA,H115,1.05*Q115),IF('Pre-Calculation'!$D$17="Type 4 c",H115,IF('Pre-Calculation'!$D$17="Type 4 d",SA+H115,IF('Pre-Calculation'!$D$17="Type 4 e",MAX(SA,H115),IF('Pre-Calculation'!$D$17="Type 4 f",SA,IF('Pre-Calculation'!$D$17="Type 4 g",1000+H115,IF('Pre-Calculation'!$D$17="Type 4 h",SA+X115,IF('Pre-Calculation'!$D$17="Type 4 i",MAX(H115,Q115),IF('Pre-Calculation'!$D$17="Type 4 k",MAX(H115,1.01*Q115),IF('Pre-Calculation'!$D$17="Type 4 m",MAX(105%*Q115,SA+H115),IF('Pre-Calculation'!$D$17="Type 4 o",MAX(SA,105%*Q115)+X115+Z115,IF('Pre-Calculation'!$D$17="Type 5",0)))))))))))))*IF(AND(A115&lt;Revival!$C$4,'Cashflows_8%'!C115&gt;=Revival!$D$12),PUP,1)</f>
        <v>1805986.208</v>
      </c>
      <c r="L115" s="175">
        <f>H115-I115*(1+Tax)</f>
        <v>1805986.208</v>
      </c>
      <c r="M115" s="175">
        <f>L115*(1+GROWTH_RATE_H)*(1-FMC*(1+Tax))</f>
        <v>1815194.418</v>
      </c>
      <c r="N115" s="175">
        <f>M115+IF(MOD(A115,B115)=0,VLOOKUP(B115,'Pre-Calculation'!$H$1:$L$31,5,FALSE),0)*IF('Pre-Calculation'!$D$16="% OF FV",M115,IF(OR('Pre-Calculation'!$D$16="% OF AFV(24M)",'Pre-Calculation'!$D$16="% OF AFV(8Q)"),AVERAGE( $M92:$M115),IF('Pre-Calculation'!$D$16="% OF AFV(12M)",AVERAGE($M104:M115),IF('Pre-Calculation'!$D$16="% OF AFV(36M)",AVERAGE($M80:M115)))))</f>
        <v>1815194.418</v>
      </c>
      <c r="O115" s="175">
        <f t="shared" si="4"/>
        <v>1815194.418</v>
      </c>
      <c r="P115" s="175">
        <f>IF('Pre-Calculation'!$D$17="Type 4 a",MAX(SA,N115,1.05*Q115),IF('Pre-Calculation'!$D$17="Type 4 c",N115,IF('Pre-Calculation'!$D$17="Type 4 d",SA+N115,IF('Pre-Calculation'!$D$17="Type 4 e",MAX(SA,N115),IF('Pre-Calculation'!$D$17="Type 4 f",SA,IF('Pre-Calculation'!$D$17="Type 4 g",1000+N115,IF('Pre-Calculation'!$D$17="Type 4 h",SA+X115,IF('Pre-Calculation'!$D$17="Type 4 i",MAX(N115,Q115),IF('Pre-Calculation'!$D$17="Type 4 k",MAX(N115,1.01*Q115),IF('Pre-Calculation'!$D$17="Type 4 m",MAX(105%*Q115,SA+N115),IF('Pre-Calculation'!$D$17="Type 4 o",MAX(SA,105%*Q115)+X115+Z115,IF('Pre-Calculation'!$D$17="Type 5",0))))))))))))</f>
        <v>1815194.418</v>
      </c>
      <c r="Q115" s="175">
        <f t="shared" si="5"/>
        <v>1000000</v>
      </c>
      <c r="R115" s="119">
        <f>L115*(1+GROWTH_RATE)*FMC</f>
        <v>2043.694725</v>
      </c>
      <c r="S115" s="178">
        <f>S114*(1+'Pre-Calculation'!$E$27)</f>
        <v>888426.5608</v>
      </c>
      <c r="T115" s="175">
        <f>-E115+IF(A114=INPUT!$C$11*12,N115,0)</f>
        <v>0</v>
      </c>
      <c r="U115" s="175">
        <f t="shared" si="6"/>
        <v>1832685.519</v>
      </c>
      <c r="V115" s="175">
        <f>U115*(1+GROWTH_RATE_H)*(1-'Pre-Calculation'!$E$31)</f>
        <v>1841405.421</v>
      </c>
      <c r="W115" s="175">
        <f>-E115+IF(A114=INPUT!$C$11*12,V115,0)</f>
        <v>0</v>
      </c>
      <c r="X115" s="179">
        <f t="array" ref="X115">NPV('Pre-Calculation'!$E$20,$E116:E$246)</f>
        <v>0</v>
      </c>
      <c r="Y115" s="171">
        <f>10%*SA</f>
        <v>100000</v>
      </c>
      <c r="Z115" s="179">
        <f t="array" ref="Z115">NPV('Pre-Calculation'!$E$20,Y116:Y125)</f>
        <v>969592.8037</v>
      </c>
    </row>
    <row r="116" ht="15.75" customHeight="1">
      <c r="A116" s="171">
        <f t="shared" si="1"/>
        <v>170</v>
      </c>
      <c r="B116" s="171">
        <f t="shared" si="2"/>
        <v>15</v>
      </c>
      <c r="C116" s="176">
        <f>EDATE(RCD,A115)</f>
        <v>47694</v>
      </c>
      <c r="D116" s="171">
        <f>Age_At_Entry+'Cashflows_8%'!B116-1</f>
        <v>49</v>
      </c>
      <c r="E116" s="175">
        <f>IF(AND(C116&lt;=Last_Prem,MOD(A115,Mode)=0,C116&gt;INPUT!$C$13,A116&lt;=Revival!$C$11),Mod_Prem,0)</f>
        <v>0</v>
      </c>
      <c r="F116" s="177">
        <f>E116*VLOOKUP(B116,'Pre-Calculation'!$H$1:$I$31,2,FALSE)</f>
        <v>0</v>
      </c>
      <c r="G116" s="177">
        <f>IF(B116&lt;PT+1,VLOOKUP(B116,'Pre-Calculation'!$H$1:$L$32,3,FALSE)+VLOOKUP(B116,'Pre-Calculation'!$H$1:$L$32,4,FALSE)*'Pre-Calculation'!$D$7,0)</f>
        <v>0</v>
      </c>
      <c r="H116" s="175">
        <f>(E116-(F116+G116)*(1+Tax)+N115)</f>
        <v>1815194.418</v>
      </c>
      <c r="I116" s="175">
        <f>IF(B116&lt;PT+1,VLOOKUP(D116,'Pre-Calculation'!$N$3:$P$79,IF(INPUT!$C$4="M",2,3),FALSE)*(J116/1000)*(1/12),0)</f>
        <v>0</v>
      </c>
      <c r="J116" s="175">
        <f t="shared" si="3"/>
        <v>0</v>
      </c>
      <c r="K116" s="175">
        <f>(IF('Pre-Calculation'!$D$17="Type 4 a",MAX(SA,H116,1.05*Q116),IF('Pre-Calculation'!$D$17="Type 4 c",H116,IF('Pre-Calculation'!$D$17="Type 4 d",SA+H116,IF('Pre-Calculation'!$D$17="Type 4 e",MAX(SA,H116),IF('Pre-Calculation'!$D$17="Type 4 f",SA,IF('Pre-Calculation'!$D$17="Type 4 g",1000+H116,IF('Pre-Calculation'!$D$17="Type 4 h",SA+X116,IF('Pre-Calculation'!$D$17="Type 4 i",MAX(H116,Q116),IF('Pre-Calculation'!$D$17="Type 4 k",MAX(H116,1.01*Q116),IF('Pre-Calculation'!$D$17="Type 4 m",MAX(105%*Q116,SA+H116),IF('Pre-Calculation'!$D$17="Type 4 o",MAX(SA,105%*Q116)+X116+Z116,IF('Pre-Calculation'!$D$17="Type 5",0)))))))))))))*IF(AND(A116&lt;Revival!$C$4,'Cashflows_8%'!C116&gt;=Revival!$D$12),PUP,1)</f>
        <v>1815194.418</v>
      </c>
      <c r="L116" s="175">
        <f>H116-I116*(1+Tax)</f>
        <v>1815194.418</v>
      </c>
      <c r="M116" s="175">
        <f>L116*(1+GROWTH_RATE_H)*(1-FMC*(1+Tax))</f>
        <v>1824449.578</v>
      </c>
      <c r="N116" s="175">
        <f>M116+IF(MOD(A116,B116)=0,VLOOKUP(B116,'Pre-Calculation'!$H$1:$L$31,5,FALSE),0)*IF('Pre-Calculation'!$D$16="% OF FV",M116,IF(OR('Pre-Calculation'!$D$16="% OF AFV(24M)",'Pre-Calculation'!$D$16="% OF AFV(8Q)"),AVERAGE( $M93:$M116),IF('Pre-Calculation'!$D$16="% OF AFV(12M)",AVERAGE($M105:M116),IF('Pre-Calculation'!$D$16="% OF AFV(36M)",AVERAGE($M81:M116)))))</f>
        <v>1824449.578</v>
      </c>
      <c r="O116" s="175">
        <f t="shared" si="4"/>
        <v>1824449.578</v>
      </c>
      <c r="P116" s="175">
        <f>IF('Pre-Calculation'!$D$17="Type 4 a",MAX(SA,N116,1.05*Q116),IF('Pre-Calculation'!$D$17="Type 4 c",N116,IF('Pre-Calculation'!$D$17="Type 4 d",SA+N116,IF('Pre-Calculation'!$D$17="Type 4 e",MAX(SA,N116),IF('Pre-Calculation'!$D$17="Type 4 f",SA,IF('Pre-Calculation'!$D$17="Type 4 g",1000+N116,IF('Pre-Calculation'!$D$17="Type 4 h",SA+X116,IF('Pre-Calculation'!$D$17="Type 4 i",MAX(N116,Q116),IF('Pre-Calculation'!$D$17="Type 4 k",MAX(N116,1.01*Q116),IF('Pre-Calculation'!$D$17="Type 4 m",MAX(105%*Q116,SA+N116),IF('Pre-Calculation'!$D$17="Type 4 o",MAX(SA,105%*Q116)+X116+Z116,IF('Pre-Calculation'!$D$17="Type 5",0))))))))))))</f>
        <v>1824449.578</v>
      </c>
      <c r="Q116" s="175">
        <f t="shared" si="5"/>
        <v>1000000</v>
      </c>
      <c r="R116" s="119">
        <f>L116*(1+GROWTH_RATE)*FMC</f>
        <v>2054.114943</v>
      </c>
      <c r="S116" s="178">
        <f>S115*(1+'Pre-Calculation'!$E$27)</f>
        <v>890977.1435</v>
      </c>
      <c r="T116" s="175">
        <f>-E116+IF(A115=INPUT!$C$11*12,N116,0)</f>
        <v>0</v>
      </c>
      <c r="U116" s="175">
        <f t="shared" si="6"/>
        <v>1841405.421</v>
      </c>
      <c r="V116" s="175">
        <f>U116*(1+GROWTH_RATE_H)*(1-'Pre-Calculation'!$E$31)</f>
        <v>1850166.811</v>
      </c>
      <c r="W116" s="175">
        <f>-E116+IF(A115=INPUT!$C$11*12,V116,0)</f>
        <v>0</v>
      </c>
      <c r="X116" s="179">
        <f t="array" ref="X116">NPV('Pre-Calculation'!$E$20,$E117:E$246)</f>
        <v>0</v>
      </c>
      <c r="Y116" s="171">
        <f>10%*SA</f>
        <v>100000</v>
      </c>
      <c r="Z116" s="179">
        <f t="array" ref="Z116">NPV('Pre-Calculation'!$E$20,Y117:Y126)</f>
        <v>969592.8037</v>
      </c>
    </row>
    <row r="117" ht="15.75" customHeight="1">
      <c r="A117" s="171">
        <f t="shared" si="1"/>
        <v>171</v>
      </c>
      <c r="B117" s="171">
        <f t="shared" si="2"/>
        <v>15</v>
      </c>
      <c r="C117" s="176">
        <f>EDATE(RCD,A116)</f>
        <v>47725</v>
      </c>
      <c r="D117" s="171">
        <f>Age_At_Entry+'Cashflows_8%'!B117-1</f>
        <v>49</v>
      </c>
      <c r="E117" s="175">
        <f>IF(AND(C117&lt;=Last_Prem,MOD(A116,Mode)=0,C117&gt;INPUT!$C$13,A117&lt;=Revival!$C$11),Mod_Prem,0)</f>
        <v>0</v>
      </c>
      <c r="F117" s="177">
        <f>E117*VLOOKUP(B117,'Pre-Calculation'!$H$1:$I$31,2,FALSE)</f>
        <v>0</v>
      </c>
      <c r="G117" s="177">
        <f>IF(B117&lt;PT+1,VLOOKUP(B117,'Pre-Calculation'!$H$1:$L$32,3,FALSE)+VLOOKUP(B117,'Pre-Calculation'!$H$1:$L$32,4,FALSE)*'Pre-Calculation'!$D$7,0)</f>
        <v>0</v>
      </c>
      <c r="H117" s="175">
        <f>(E117-(F117+G117)*(1+Tax)+N116)</f>
        <v>1824449.578</v>
      </c>
      <c r="I117" s="175">
        <f>IF(B117&lt;PT+1,VLOOKUP(D117,'Pre-Calculation'!$N$3:$P$79,IF(INPUT!$C$4="M",2,3),FALSE)*(J117/1000)*(1/12),0)</f>
        <v>0</v>
      </c>
      <c r="J117" s="175">
        <f t="shared" si="3"/>
        <v>0</v>
      </c>
      <c r="K117" s="175">
        <f>(IF('Pre-Calculation'!$D$17="Type 4 a",MAX(SA,H117,1.05*Q117),IF('Pre-Calculation'!$D$17="Type 4 c",H117,IF('Pre-Calculation'!$D$17="Type 4 d",SA+H117,IF('Pre-Calculation'!$D$17="Type 4 e",MAX(SA,H117),IF('Pre-Calculation'!$D$17="Type 4 f",SA,IF('Pre-Calculation'!$D$17="Type 4 g",1000+H117,IF('Pre-Calculation'!$D$17="Type 4 h",SA+X117,IF('Pre-Calculation'!$D$17="Type 4 i",MAX(H117,Q117),IF('Pre-Calculation'!$D$17="Type 4 k",MAX(H117,1.01*Q117),IF('Pre-Calculation'!$D$17="Type 4 m",MAX(105%*Q117,SA+H117),IF('Pre-Calculation'!$D$17="Type 4 o",MAX(SA,105%*Q117)+X117+Z117,IF('Pre-Calculation'!$D$17="Type 5",0)))))))))))))*IF(AND(A117&lt;Revival!$C$4,'Cashflows_8%'!C117&gt;=Revival!$D$12),PUP,1)</f>
        <v>1824449.578</v>
      </c>
      <c r="L117" s="175">
        <f>H117-I117*(1+Tax)</f>
        <v>1824449.578</v>
      </c>
      <c r="M117" s="175">
        <f>L117*(1+GROWTH_RATE_H)*(1-FMC*(1+Tax))</f>
        <v>1833751.927</v>
      </c>
      <c r="N117" s="175">
        <f>M117+IF(MOD(A117,B117)=0,VLOOKUP(B117,'Pre-Calculation'!$H$1:$L$31,5,FALSE),0)*IF('Pre-Calculation'!$D$16="% OF FV",M117,IF(OR('Pre-Calculation'!$D$16="% OF AFV(24M)",'Pre-Calculation'!$D$16="% OF AFV(8Q)"),AVERAGE( $M94:$M117),IF('Pre-Calculation'!$D$16="% OF AFV(12M)",AVERAGE($M106:M117),IF('Pre-Calculation'!$D$16="% OF AFV(36M)",AVERAGE($M82:M117)))))</f>
        <v>1833751.927</v>
      </c>
      <c r="O117" s="175">
        <f t="shared" si="4"/>
        <v>1833751.927</v>
      </c>
      <c r="P117" s="175">
        <f>IF('Pre-Calculation'!$D$17="Type 4 a",MAX(SA,N117,1.05*Q117),IF('Pre-Calculation'!$D$17="Type 4 c",N117,IF('Pre-Calculation'!$D$17="Type 4 d",SA+N117,IF('Pre-Calculation'!$D$17="Type 4 e",MAX(SA,N117),IF('Pre-Calculation'!$D$17="Type 4 f",SA,IF('Pre-Calculation'!$D$17="Type 4 g",1000+N117,IF('Pre-Calculation'!$D$17="Type 4 h",SA+X117,IF('Pre-Calculation'!$D$17="Type 4 i",MAX(N117,Q117),IF('Pre-Calculation'!$D$17="Type 4 k",MAX(N117,1.01*Q117),IF('Pre-Calculation'!$D$17="Type 4 m",MAX(105%*Q117,SA+N117),IF('Pre-Calculation'!$D$17="Type 4 o",MAX(SA,105%*Q117)+X117+Z117,IF('Pre-Calculation'!$D$17="Type 5",0))))))))))))</f>
        <v>1833751.927</v>
      </c>
      <c r="Q117" s="175">
        <f t="shared" si="5"/>
        <v>1000000</v>
      </c>
      <c r="R117" s="119">
        <f>L117*(1+GROWTH_RATE)*FMC</f>
        <v>2064.588291</v>
      </c>
      <c r="S117" s="178">
        <f>S116*(1+'Pre-Calculation'!$E$27)</f>
        <v>893535.0486</v>
      </c>
      <c r="T117" s="175">
        <f>-E117+IF(A116=INPUT!$C$11*12,N117,0)</f>
        <v>0</v>
      </c>
      <c r="U117" s="175">
        <f t="shared" si="6"/>
        <v>1850166.811</v>
      </c>
      <c r="V117" s="175">
        <f>U117*(1+GROWTH_RATE_H)*(1-'Pre-Calculation'!$E$31)</f>
        <v>1858969.889</v>
      </c>
      <c r="W117" s="175">
        <f>-E117+IF(A116=INPUT!$C$11*12,V117,0)</f>
        <v>0</v>
      </c>
      <c r="X117" s="179">
        <f t="array" ref="X117">NPV('Pre-Calculation'!$E$20,$E118:E$246)</f>
        <v>0</v>
      </c>
      <c r="Y117" s="171">
        <f>10%*SA</f>
        <v>100000</v>
      </c>
      <c r="Z117" s="179">
        <f t="array" ref="Z117">NPV('Pre-Calculation'!$E$20,Y118:Y127)</f>
        <v>969592.8037</v>
      </c>
    </row>
    <row r="118" ht="15.75" customHeight="1">
      <c r="A118" s="171">
        <f t="shared" si="1"/>
        <v>172</v>
      </c>
      <c r="B118" s="171">
        <f t="shared" si="2"/>
        <v>15</v>
      </c>
      <c r="C118" s="176">
        <f>EDATE(RCD,A117)</f>
        <v>47756</v>
      </c>
      <c r="D118" s="171">
        <f>Age_At_Entry+'Cashflows_8%'!B118-1</f>
        <v>49</v>
      </c>
      <c r="E118" s="175">
        <f>IF(AND(C118&lt;=Last_Prem,MOD(A117,Mode)=0,C118&gt;INPUT!$C$13,A118&lt;=Revival!$C$11),Mod_Prem,0)</f>
        <v>0</v>
      </c>
      <c r="F118" s="177">
        <f>E118*VLOOKUP(B118,'Pre-Calculation'!$H$1:$I$31,2,FALSE)</f>
        <v>0</v>
      </c>
      <c r="G118" s="177">
        <f>IF(B118&lt;PT+1,VLOOKUP(B118,'Pre-Calculation'!$H$1:$L$32,3,FALSE)+VLOOKUP(B118,'Pre-Calculation'!$H$1:$L$32,4,FALSE)*'Pre-Calculation'!$D$7,0)</f>
        <v>0</v>
      </c>
      <c r="H118" s="175">
        <f>(E118-(F118+G118)*(1+Tax)+N117)</f>
        <v>1833751.927</v>
      </c>
      <c r="I118" s="175">
        <f>IF(B118&lt;PT+1,VLOOKUP(D118,'Pre-Calculation'!$N$3:$P$79,IF(INPUT!$C$4="M",2,3),FALSE)*(J118/1000)*(1/12),0)</f>
        <v>0</v>
      </c>
      <c r="J118" s="175">
        <f t="shared" si="3"/>
        <v>0</v>
      </c>
      <c r="K118" s="175">
        <f>(IF('Pre-Calculation'!$D$17="Type 4 a",MAX(SA,H118,1.05*Q118),IF('Pre-Calculation'!$D$17="Type 4 c",H118,IF('Pre-Calculation'!$D$17="Type 4 d",SA+H118,IF('Pre-Calculation'!$D$17="Type 4 e",MAX(SA,H118),IF('Pre-Calculation'!$D$17="Type 4 f",SA,IF('Pre-Calculation'!$D$17="Type 4 g",1000+H118,IF('Pre-Calculation'!$D$17="Type 4 h",SA+X118,IF('Pre-Calculation'!$D$17="Type 4 i",MAX(H118,Q118),IF('Pre-Calculation'!$D$17="Type 4 k",MAX(H118,1.01*Q118),IF('Pre-Calculation'!$D$17="Type 4 m",MAX(105%*Q118,SA+H118),IF('Pre-Calculation'!$D$17="Type 4 o",MAX(SA,105%*Q118)+X118+Z118,IF('Pre-Calculation'!$D$17="Type 5",0)))))))))))))*IF(AND(A118&lt;Revival!$C$4,'Cashflows_8%'!C118&gt;=Revival!$D$12),PUP,1)</f>
        <v>1833751.927</v>
      </c>
      <c r="L118" s="175">
        <f>H118-I118*(1+Tax)</f>
        <v>1833751.927</v>
      </c>
      <c r="M118" s="175">
        <f>L118*(1+GROWTH_RATE_H)*(1-FMC*(1+Tax))</f>
        <v>1843101.706</v>
      </c>
      <c r="N118" s="175">
        <f>M118+IF(MOD(A118,B118)=0,VLOOKUP(B118,'Pre-Calculation'!$H$1:$L$31,5,FALSE),0)*IF('Pre-Calculation'!$D$16="% OF FV",M118,IF(OR('Pre-Calculation'!$D$16="% OF AFV(24M)",'Pre-Calculation'!$D$16="% OF AFV(8Q)"),AVERAGE( $M95:$M118),IF('Pre-Calculation'!$D$16="% OF AFV(12M)",AVERAGE($M107:M118),IF('Pre-Calculation'!$D$16="% OF AFV(36M)",AVERAGE($M83:M118)))))</f>
        <v>1843101.706</v>
      </c>
      <c r="O118" s="175">
        <f t="shared" si="4"/>
        <v>1843101.706</v>
      </c>
      <c r="P118" s="175">
        <f>IF('Pre-Calculation'!$D$17="Type 4 a",MAX(SA,N118,1.05*Q118),IF('Pre-Calculation'!$D$17="Type 4 c",N118,IF('Pre-Calculation'!$D$17="Type 4 d",SA+N118,IF('Pre-Calculation'!$D$17="Type 4 e",MAX(SA,N118),IF('Pre-Calculation'!$D$17="Type 4 f",SA,IF('Pre-Calculation'!$D$17="Type 4 g",1000+N118,IF('Pre-Calculation'!$D$17="Type 4 h",SA+X118,IF('Pre-Calculation'!$D$17="Type 4 i",MAX(N118,Q118),IF('Pre-Calculation'!$D$17="Type 4 k",MAX(N118,1.01*Q118),IF('Pre-Calculation'!$D$17="Type 4 m",MAX(105%*Q118,SA+N118),IF('Pre-Calculation'!$D$17="Type 4 o",MAX(SA,105%*Q118)+X118+Z118,IF('Pre-Calculation'!$D$17="Type 5",0))))))))))))</f>
        <v>1843101.706</v>
      </c>
      <c r="Q118" s="175">
        <f t="shared" si="5"/>
        <v>1000000</v>
      </c>
      <c r="R118" s="119">
        <f>L118*(1+GROWTH_RATE)*FMC</f>
        <v>2075.115039</v>
      </c>
      <c r="S118" s="178">
        <f>S117*(1+'Pre-Calculation'!$E$27)</f>
        <v>896100.2972</v>
      </c>
      <c r="T118" s="175">
        <f>-E118+IF(A117=INPUT!$C$11*12,N118,0)</f>
        <v>0</v>
      </c>
      <c r="U118" s="175">
        <f t="shared" si="6"/>
        <v>1858969.889</v>
      </c>
      <c r="V118" s="175">
        <f>U118*(1+GROWTH_RATE_H)*(1-'Pre-Calculation'!$E$31)</f>
        <v>1867814.851</v>
      </c>
      <c r="W118" s="175">
        <f>-E118+IF(A117=INPUT!$C$11*12,V118,0)</f>
        <v>0</v>
      </c>
      <c r="X118" s="179">
        <f t="array" ref="X118">NPV('Pre-Calculation'!$E$20,$E119:E$246)</f>
        <v>0</v>
      </c>
      <c r="Y118" s="171">
        <f>10%*SA</f>
        <v>100000</v>
      </c>
      <c r="Z118" s="179">
        <f t="array" ref="Z118">NPV('Pre-Calculation'!$E$20,Y119:Y128)</f>
        <v>969592.8037</v>
      </c>
    </row>
    <row r="119" ht="15.75" customHeight="1">
      <c r="A119" s="171">
        <f t="shared" si="1"/>
        <v>173</v>
      </c>
      <c r="B119" s="171">
        <f t="shared" si="2"/>
        <v>15</v>
      </c>
      <c r="C119" s="176">
        <f>EDATE(RCD,A118)</f>
        <v>47786</v>
      </c>
      <c r="D119" s="171">
        <f>Age_At_Entry+'Cashflows_8%'!B119-1</f>
        <v>49</v>
      </c>
      <c r="E119" s="175">
        <f>IF(AND(C119&lt;=Last_Prem,MOD(A118,Mode)=0,C119&gt;INPUT!$C$13,A119&lt;=Revival!$C$11),Mod_Prem,0)</f>
        <v>0</v>
      </c>
      <c r="F119" s="177">
        <f>E119*VLOOKUP(B119,'Pre-Calculation'!$H$1:$I$31,2,FALSE)</f>
        <v>0</v>
      </c>
      <c r="G119" s="177">
        <f>IF(B119&lt;PT+1,VLOOKUP(B119,'Pre-Calculation'!$H$1:$L$32,3,FALSE)+VLOOKUP(B119,'Pre-Calculation'!$H$1:$L$32,4,FALSE)*'Pre-Calculation'!$D$7,0)</f>
        <v>0</v>
      </c>
      <c r="H119" s="175">
        <f>(E119-(F119+G119)*(1+Tax)+N118)</f>
        <v>1843101.706</v>
      </c>
      <c r="I119" s="175">
        <f>IF(B119&lt;PT+1,VLOOKUP(D119,'Pre-Calculation'!$N$3:$P$79,IF(INPUT!$C$4="M",2,3),FALSE)*(J119/1000)*(1/12),0)</f>
        <v>0</v>
      </c>
      <c r="J119" s="175">
        <f t="shared" si="3"/>
        <v>0</v>
      </c>
      <c r="K119" s="175">
        <f>(IF('Pre-Calculation'!$D$17="Type 4 a",MAX(SA,H119,1.05*Q119),IF('Pre-Calculation'!$D$17="Type 4 c",H119,IF('Pre-Calculation'!$D$17="Type 4 d",SA+H119,IF('Pre-Calculation'!$D$17="Type 4 e",MAX(SA,H119),IF('Pre-Calculation'!$D$17="Type 4 f",SA,IF('Pre-Calculation'!$D$17="Type 4 g",1000+H119,IF('Pre-Calculation'!$D$17="Type 4 h",SA+X119,IF('Pre-Calculation'!$D$17="Type 4 i",MAX(H119,Q119),IF('Pre-Calculation'!$D$17="Type 4 k",MAX(H119,1.01*Q119),IF('Pre-Calculation'!$D$17="Type 4 m",MAX(105%*Q119,SA+H119),IF('Pre-Calculation'!$D$17="Type 4 o",MAX(SA,105%*Q119)+X119+Z119,IF('Pre-Calculation'!$D$17="Type 5",0)))))))))))))*IF(AND(A119&lt;Revival!$C$4,'Cashflows_8%'!C119&gt;=Revival!$D$12),PUP,1)</f>
        <v>1843101.706</v>
      </c>
      <c r="L119" s="175">
        <f>H119-I119*(1+Tax)</f>
        <v>1843101.706</v>
      </c>
      <c r="M119" s="175">
        <f>L119*(1+GROWTH_RATE_H)*(1-FMC*(1+Tax))</f>
        <v>1852499.157</v>
      </c>
      <c r="N119" s="175">
        <f>M119+IF(MOD(A119,B119)=0,VLOOKUP(B119,'Pre-Calculation'!$H$1:$L$31,5,FALSE),0)*IF('Pre-Calculation'!$D$16="% OF FV",M119,IF(OR('Pre-Calculation'!$D$16="% OF AFV(24M)",'Pre-Calculation'!$D$16="% OF AFV(8Q)"),AVERAGE( $M96:$M119),IF('Pre-Calculation'!$D$16="% OF AFV(12M)",AVERAGE($M108:M119),IF('Pre-Calculation'!$D$16="% OF AFV(36M)",AVERAGE($M84:M119)))))</f>
        <v>1852499.157</v>
      </c>
      <c r="O119" s="175">
        <f t="shared" si="4"/>
        <v>1852499.157</v>
      </c>
      <c r="P119" s="175">
        <f>IF('Pre-Calculation'!$D$17="Type 4 a",MAX(SA,N119,1.05*Q119),IF('Pre-Calculation'!$D$17="Type 4 c",N119,IF('Pre-Calculation'!$D$17="Type 4 d",SA+N119,IF('Pre-Calculation'!$D$17="Type 4 e",MAX(SA,N119),IF('Pre-Calculation'!$D$17="Type 4 f",SA,IF('Pre-Calculation'!$D$17="Type 4 g",1000+N119,IF('Pre-Calculation'!$D$17="Type 4 h",SA+X119,IF('Pre-Calculation'!$D$17="Type 4 i",MAX(N119,Q119),IF('Pre-Calculation'!$D$17="Type 4 k",MAX(N119,1.01*Q119),IF('Pre-Calculation'!$D$17="Type 4 m",MAX(105%*Q119,SA+N119),IF('Pre-Calculation'!$D$17="Type 4 o",MAX(SA,105%*Q119)+X119+Z119,IF('Pre-Calculation'!$D$17="Type 5",0))))))))))))</f>
        <v>1852499.157</v>
      </c>
      <c r="Q119" s="175">
        <f t="shared" si="5"/>
        <v>1000000</v>
      </c>
      <c r="R119" s="119">
        <f>L119*(1+GROWTH_RATE)*FMC</f>
        <v>2085.695461</v>
      </c>
      <c r="S119" s="178">
        <f>S118*(1+'Pre-Calculation'!$E$27)</f>
        <v>898672.9104</v>
      </c>
      <c r="T119" s="175">
        <f>-E119+IF(A118=INPUT!$C$11*12,N119,0)</f>
        <v>0</v>
      </c>
      <c r="U119" s="175">
        <f t="shared" si="6"/>
        <v>1867814.851</v>
      </c>
      <c r="V119" s="175">
        <f>U119*(1+GROWTH_RATE_H)*(1-'Pre-Calculation'!$E$31)</f>
        <v>1876701.898</v>
      </c>
      <c r="W119" s="175">
        <f>-E119+IF(A118=INPUT!$C$11*12,V119,0)</f>
        <v>0</v>
      </c>
      <c r="X119" s="179">
        <f t="array" ref="X119">NPV('Pre-Calculation'!$E$20,$E120:E$246)</f>
        <v>0</v>
      </c>
      <c r="Y119" s="171">
        <f>10%*SA</f>
        <v>100000</v>
      </c>
      <c r="Z119" s="179">
        <f t="array" ref="Z119">NPV('Pre-Calculation'!$E$20,Y120:Y129)</f>
        <v>969592.8037</v>
      </c>
    </row>
    <row r="120" ht="15.75" customHeight="1">
      <c r="A120" s="171">
        <f t="shared" si="1"/>
        <v>174</v>
      </c>
      <c r="B120" s="171">
        <f t="shared" si="2"/>
        <v>15</v>
      </c>
      <c r="C120" s="176">
        <f>EDATE(RCD,A119)</f>
        <v>47817</v>
      </c>
      <c r="D120" s="171">
        <f>Age_At_Entry+'Cashflows_8%'!B120-1</f>
        <v>49</v>
      </c>
      <c r="E120" s="175">
        <f>IF(AND(C120&lt;=Last_Prem,MOD(A119,Mode)=0,C120&gt;INPUT!$C$13,A120&lt;=Revival!$C$11),Mod_Prem,0)</f>
        <v>0</v>
      </c>
      <c r="F120" s="177">
        <f>E120*VLOOKUP(B120,'Pre-Calculation'!$H$1:$I$31,2,FALSE)</f>
        <v>0</v>
      </c>
      <c r="G120" s="177">
        <f>IF(B120&lt;PT+1,VLOOKUP(B120,'Pre-Calculation'!$H$1:$L$32,3,FALSE)+VLOOKUP(B120,'Pre-Calculation'!$H$1:$L$32,4,FALSE)*'Pre-Calculation'!$D$7,0)</f>
        <v>0</v>
      </c>
      <c r="H120" s="175">
        <f>(E120-(F120+G120)*(1+Tax)+N119)</f>
        <v>1852499.157</v>
      </c>
      <c r="I120" s="175">
        <f>IF(B120&lt;PT+1,VLOOKUP(D120,'Pre-Calculation'!$N$3:$P$79,IF(INPUT!$C$4="M",2,3),FALSE)*(J120/1000)*(1/12),0)</f>
        <v>0</v>
      </c>
      <c r="J120" s="175">
        <f t="shared" si="3"/>
        <v>0</v>
      </c>
      <c r="K120" s="175">
        <f>(IF('Pre-Calculation'!$D$17="Type 4 a",MAX(SA,H120,1.05*Q120),IF('Pre-Calculation'!$D$17="Type 4 c",H120,IF('Pre-Calculation'!$D$17="Type 4 d",SA+H120,IF('Pre-Calculation'!$D$17="Type 4 e",MAX(SA,H120),IF('Pre-Calculation'!$D$17="Type 4 f",SA,IF('Pre-Calculation'!$D$17="Type 4 g",1000+H120,IF('Pre-Calculation'!$D$17="Type 4 h",SA+X120,IF('Pre-Calculation'!$D$17="Type 4 i",MAX(H120,Q120),IF('Pre-Calculation'!$D$17="Type 4 k",MAX(H120,1.01*Q120),IF('Pre-Calculation'!$D$17="Type 4 m",MAX(105%*Q120,SA+H120),IF('Pre-Calculation'!$D$17="Type 4 o",MAX(SA,105%*Q120)+X120+Z120,IF('Pre-Calculation'!$D$17="Type 5",0)))))))))))))*IF(AND(A120&lt;Revival!$C$4,'Cashflows_8%'!C120&gt;=Revival!$D$12),PUP,1)</f>
        <v>1852499.157</v>
      </c>
      <c r="L120" s="175">
        <f>H120-I120*(1+Tax)</f>
        <v>1852499.157</v>
      </c>
      <c r="M120" s="175">
        <f>L120*(1+GROWTH_RATE_H)*(1-FMC*(1+Tax))</f>
        <v>1861944.524</v>
      </c>
      <c r="N120" s="175">
        <f>M120+IF(MOD(A120,B120)=0,VLOOKUP(B120,'Pre-Calculation'!$H$1:$L$31,5,FALSE),0)*IF('Pre-Calculation'!$D$16="% OF FV",M120,IF(OR('Pre-Calculation'!$D$16="% OF AFV(24M)",'Pre-Calculation'!$D$16="% OF AFV(8Q)"),AVERAGE( $M97:$M120),IF('Pre-Calculation'!$D$16="% OF AFV(12M)",AVERAGE($M109:M120),IF('Pre-Calculation'!$D$16="% OF AFV(36M)",AVERAGE($M85:M120)))))</f>
        <v>1861944.524</v>
      </c>
      <c r="O120" s="175">
        <f t="shared" si="4"/>
        <v>1861944.524</v>
      </c>
      <c r="P120" s="175">
        <f>IF('Pre-Calculation'!$D$17="Type 4 a",MAX(SA,N120,1.05*Q120),IF('Pre-Calculation'!$D$17="Type 4 c",N120,IF('Pre-Calculation'!$D$17="Type 4 d",SA+N120,IF('Pre-Calculation'!$D$17="Type 4 e",MAX(SA,N120),IF('Pre-Calculation'!$D$17="Type 4 f",SA,IF('Pre-Calculation'!$D$17="Type 4 g",1000+N120,IF('Pre-Calculation'!$D$17="Type 4 h",SA+X120,IF('Pre-Calculation'!$D$17="Type 4 i",MAX(N120,Q120),IF('Pre-Calculation'!$D$17="Type 4 k",MAX(N120,1.01*Q120),IF('Pre-Calculation'!$D$17="Type 4 m",MAX(105%*Q120,SA+N120),IF('Pre-Calculation'!$D$17="Type 4 o",MAX(SA,105%*Q120)+X120+Z120,IF('Pre-Calculation'!$D$17="Type 5",0))))))))))))</f>
        <v>1861944.524</v>
      </c>
      <c r="Q120" s="175">
        <f t="shared" si="5"/>
        <v>1000000</v>
      </c>
      <c r="R120" s="119">
        <f>L120*(1+GROWTH_RATE)*FMC</f>
        <v>2096.329828</v>
      </c>
      <c r="S120" s="178">
        <f>S119*(1+'Pre-Calculation'!$E$27)</f>
        <v>901252.9093</v>
      </c>
      <c r="T120" s="175">
        <f>-E120+IF(A119=INPUT!$C$11*12,N120,0)</f>
        <v>0</v>
      </c>
      <c r="U120" s="175">
        <f t="shared" si="6"/>
        <v>1876701.898</v>
      </c>
      <c r="V120" s="175">
        <f>U120*(1+GROWTH_RATE_H)*(1-'Pre-Calculation'!$E$31)</f>
        <v>1885631.229</v>
      </c>
      <c r="W120" s="175">
        <f>-E120+IF(A119=INPUT!$C$11*12,V120,0)</f>
        <v>0</v>
      </c>
      <c r="X120" s="179">
        <f t="array" ref="X120">NPV('Pre-Calculation'!$E$20,$E121:E$246)</f>
        <v>0</v>
      </c>
      <c r="Y120" s="171">
        <f>10%*SA</f>
        <v>100000</v>
      </c>
      <c r="Z120" s="179">
        <f t="array" ref="Z120">NPV('Pre-Calculation'!$E$20,Y121:Y130)</f>
        <v>969592.8037</v>
      </c>
    </row>
    <row r="121" ht="15.75" customHeight="1">
      <c r="A121" s="171">
        <f t="shared" si="1"/>
        <v>175</v>
      </c>
      <c r="B121" s="171">
        <f t="shared" si="2"/>
        <v>15</v>
      </c>
      <c r="C121" s="176">
        <f>EDATE(RCD,A120)</f>
        <v>47847</v>
      </c>
      <c r="D121" s="171">
        <f>Age_At_Entry+'Cashflows_8%'!B121-1</f>
        <v>49</v>
      </c>
      <c r="E121" s="175">
        <f>IF(AND(C121&lt;=Last_Prem,MOD(A120,Mode)=0,C121&gt;INPUT!$C$13,A121&lt;=Revival!$C$11),Mod_Prem,0)</f>
        <v>0</v>
      </c>
      <c r="F121" s="177">
        <f>E121*VLOOKUP(B121,'Pre-Calculation'!$H$1:$I$31,2,FALSE)</f>
        <v>0</v>
      </c>
      <c r="G121" s="177">
        <f>IF(B121&lt;PT+1,VLOOKUP(B121,'Pre-Calculation'!$H$1:$L$32,3,FALSE)+VLOOKUP(B121,'Pre-Calculation'!$H$1:$L$32,4,FALSE)*'Pre-Calculation'!$D$7,0)</f>
        <v>0</v>
      </c>
      <c r="H121" s="175">
        <f>(E121-(F121+G121)*(1+Tax)+N120)</f>
        <v>1861944.524</v>
      </c>
      <c r="I121" s="175">
        <f>IF(B121&lt;PT+1,VLOOKUP(D121,'Pre-Calculation'!$N$3:$P$79,IF(INPUT!$C$4="M",2,3),FALSE)*(J121/1000)*(1/12),0)</f>
        <v>0</v>
      </c>
      <c r="J121" s="175">
        <f t="shared" si="3"/>
        <v>0</v>
      </c>
      <c r="K121" s="175">
        <f>(IF('Pre-Calculation'!$D$17="Type 4 a",MAX(SA,H121,1.05*Q121),IF('Pre-Calculation'!$D$17="Type 4 c",H121,IF('Pre-Calculation'!$D$17="Type 4 d",SA+H121,IF('Pre-Calculation'!$D$17="Type 4 e",MAX(SA,H121),IF('Pre-Calculation'!$D$17="Type 4 f",SA,IF('Pre-Calculation'!$D$17="Type 4 g",1000+H121,IF('Pre-Calculation'!$D$17="Type 4 h",SA+X121,IF('Pre-Calculation'!$D$17="Type 4 i",MAX(H121,Q121),IF('Pre-Calculation'!$D$17="Type 4 k",MAX(H121,1.01*Q121),IF('Pre-Calculation'!$D$17="Type 4 m",MAX(105%*Q121,SA+H121),IF('Pre-Calculation'!$D$17="Type 4 o",MAX(SA,105%*Q121)+X121+Z121,IF('Pre-Calculation'!$D$17="Type 5",0)))))))))))))*IF(AND(A121&lt;Revival!$C$4,'Cashflows_8%'!C121&gt;=Revival!$D$12),PUP,1)</f>
        <v>1861944.524</v>
      </c>
      <c r="L121" s="175">
        <f>H121-I121*(1+Tax)</f>
        <v>1861944.524</v>
      </c>
      <c r="M121" s="175">
        <f>L121*(1+GROWTH_RATE_H)*(1-FMC*(1+Tax))</f>
        <v>1871438.049</v>
      </c>
      <c r="N121" s="175">
        <f>M121+IF(MOD(A121,B121)=0,VLOOKUP(B121,'Pre-Calculation'!$H$1:$L$31,5,FALSE),0)*IF('Pre-Calculation'!$D$16="% OF FV",M121,IF(OR('Pre-Calculation'!$D$16="% OF AFV(24M)",'Pre-Calculation'!$D$16="% OF AFV(8Q)"),AVERAGE( $M98:$M121),IF('Pre-Calculation'!$D$16="% OF AFV(12M)",AVERAGE($M110:M121),IF('Pre-Calculation'!$D$16="% OF AFV(36M)",AVERAGE($M86:M121)))))</f>
        <v>1871438.049</v>
      </c>
      <c r="O121" s="175">
        <f t="shared" si="4"/>
        <v>1871438.049</v>
      </c>
      <c r="P121" s="175">
        <f>IF('Pre-Calculation'!$D$17="Type 4 a",MAX(SA,N121,1.05*Q121),IF('Pre-Calculation'!$D$17="Type 4 c",N121,IF('Pre-Calculation'!$D$17="Type 4 d",SA+N121,IF('Pre-Calculation'!$D$17="Type 4 e",MAX(SA,N121),IF('Pre-Calculation'!$D$17="Type 4 f",SA,IF('Pre-Calculation'!$D$17="Type 4 g",1000+N121,IF('Pre-Calculation'!$D$17="Type 4 h",SA+X121,IF('Pre-Calculation'!$D$17="Type 4 i",MAX(N121,Q121),IF('Pre-Calculation'!$D$17="Type 4 k",MAX(N121,1.01*Q121),IF('Pre-Calculation'!$D$17="Type 4 m",MAX(105%*Q121,SA+N121),IF('Pre-Calculation'!$D$17="Type 4 o",MAX(SA,105%*Q121)+X121+Z121,IF('Pre-Calculation'!$D$17="Type 5",0))))))))))))</f>
        <v>1871438.049</v>
      </c>
      <c r="Q121" s="175">
        <f t="shared" si="5"/>
        <v>1000000</v>
      </c>
      <c r="R121" s="119">
        <f>L121*(1+GROWTH_RATE)*FMC</f>
        <v>2107.018418</v>
      </c>
      <c r="S121" s="178">
        <f>S120*(1+'Pre-Calculation'!$E$27)</f>
        <v>903840.3152</v>
      </c>
      <c r="T121" s="175">
        <f>-E121+IF(A120=INPUT!$C$11*12,N121,0)</f>
        <v>0</v>
      </c>
      <c r="U121" s="175">
        <f t="shared" si="6"/>
        <v>1885631.229</v>
      </c>
      <c r="V121" s="175">
        <f>U121*(1+GROWTH_RATE_H)*(1-'Pre-Calculation'!$E$31)</f>
        <v>1894603.046</v>
      </c>
      <c r="W121" s="175">
        <f>-E121+IF(A120=INPUT!$C$11*12,V121,0)</f>
        <v>0</v>
      </c>
      <c r="X121" s="179">
        <f t="array" ref="X121">NPV('Pre-Calculation'!$E$20,$E122:E$246)</f>
        <v>0</v>
      </c>
      <c r="Y121" s="171">
        <f>10%*SA</f>
        <v>100000</v>
      </c>
      <c r="Z121" s="179">
        <f t="array" ref="Z121">NPV('Pre-Calculation'!$E$20,Y122:Y131)</f>
        <v>969592.8037</v>
      </c>
    </row>
    <row r="122" ht="15.75" customHeight="1">
      <c r="A122" s="171">
        <f t="shared" si="1"/>
        <v>176</v>
      </c>
      <c r="B122" s="171">
        <f t="shared" si="2"/>
        <v>15</v>
      </c>
      <c r="C122" s="176">
        <f>EDATE(RCD,A121)</f>
        <v>47878</v>
      </c>
      <c r="D122" s="171">
        <f>Age_At_Entry+'Cashflows_8%'!B122-1</f>
        <v>49</v>
      </c>
      <c r="E122" s="175">
        <f>IF(AND(C122&lt;=Last_Prem,MOD(A121,Mode)=0,C122&gt;INPUT!$C$13,A122&lt;=Revival!$C$11),Mod_Prem,0)</f>
        <v>0</v>
      </c>
      <c r="F122" s="177">
        <f>E122*VLOOKUP(B122,'Pre-Calculation'!$H$1:$I$31,2,FALSE)</f>
        <v>0</v>
      </c>
      <c r="G122" s="177">
        <f>IF(B122&lt;PT+1,VLOOKUP(B122,'Pre-Calculation'!$H$1:$L$32,3,FALSE)+VLOOKUP(B122,'Pre-Calculation'!$H$1:$L$32,4,FALSE)*'Pre-Calculation'!$D$7,0)</f>
        <v>0</v>
      </c>
      <c r="H122" s="175">
        <f>(E122-(F122+G122)*(1+Tax)+N121)</f>
        <v>1871438.049</v>
      </c>
      <c r="I122" s="175">
        <f>IF(B122&lt;PT+1,VLOOKUP(D122,'Pre-Calculation'!$N$3:$P$79,IF(INPUT!$C$4="M",2,3),FALSE)*(J122/1000)*(1/12),0)</f>
        <v>0</v>
      </c>
      <c r="J122" s="175">
        <f t="shared" si="3"/>
        <v>0</v>
      </c>
      <c r="K122" s="175">
        <f>(IF('Pre-Calculation'!$D$17="Type 4 a",MAX(SA,H122,1.05*Q122),IF('Pre-Calculation'!$D$17="Type 4 c",H122,IF('Pre-Calculation'!$D$17="Type 4 d",SA+H122,IF('Pre-Calculation'!$D$17="Type 4 e",MAX(SA,H122),IF('Pre-Calculation'!$D$17="Type 4 f",SA,IF('Pre-Calculation'!$D$17="Type 4 g",1000+H122,IF('Pre-Calculation'!$D$17="Type 4 h",SA+X122,IF('Pre-Calculation'!$D$17="Type 4 i",MAX(H122,Q122),IF('Pre-Calculation'!$D$17="Type 4 k",MAX(H122,1.01*Q122),IF('Pre-Calculation'!$D$17="Type 4 m",MAX(105%*Q122,SA+H122),IF('Pre-Calculation'!$D$17="Type 4 o",MAX(SA,105%*Q122)+X122+Z122,IF('Pre-Calculation'!$D$17="Type 5",0)))))))))))))*IF(AND(A122&lt;Revival!$C$4,'Cashflows_8%'!C122&gt;=Revival!$D$12),PUP,1)</f>
        <v>1871438.049</v>
      </c>
      <c r="L122" s="175">
        <f>H122-I122*(1+Tax)</f>
        <v>1871438.049</v>
      </c>
      <c r="M122" s="175">
        <f>L122*(1+GROWTH_RATE_H)*(1-FMC*(1+Tax))</f>
        <v>1880979.979</v>
      </c>
      <c r="N122" s="175">
        <f>M122+IF(MOD(A122,B122)=0,VLOOKUP(B122,'Pre-Calculation'!$H$1:$L$31,5,FALSE),0)*IF('Pre-Calculation'!$D$16="% OF FV",M122,IF(OR('Pre-Calculation'!$D$16="% OF AFV(24M)",'Pre-Calculation'!$D$16="% OF AFV(8Q)"),AVERAGE( $M99:$M122),IF('Pre-Calculation'!$D$16="% OF AFV(12M)",AVERAGE($M111:M122),IF('Pre-Calculation'!$D$16="% OF AFV(36M)",AVERAGE($M87:M122)))))</f>
        <v>1880979.979</v>
      </c>
      <c r="O122" s="175">
        <f t="shared" si="4"/>
        <v>1880979.979</v>
      </c>
      <c r="P122" s="175">
        <f>IF('Pre-Calculation'!$D$17="Type 4 a",MAX(SA,N122,1.05*Q122),IF('Pre-Calculation'!$D$17="Type 4 c",N122,IF('Pre-Calculation'!$D$17="Type 4 d",SA+N122,IF('Pre-Calculation'!$D$17="Type 4 e",MAX(SA,N122),IF('Pre-Calculation'!$D$17="Type 4 f",SA,IF('Pre-Calculation'!$D$17="Type 4 g",1000+N122,IF('Pre-Calculation'!$D$17="Type 4 h",SA+X122,IF('Pre-Calculation'!$D$17="Type 4 i",MAX(N122,Q122),IF('Pre-Calculation'!$D$17="Type 4 k",MAX(N122,1.01*Q122),IF('Pre-Calculation'!$D$17="Type 4 m",MAX(105%*Q122,SA+N122),IF('Pre-Calculation'!$D$17="Type 4 o",MAX(SA,105%*Q122)+X122+Z122,IF('Pre-Calculation'!$D$17="Type 5",0))))))))))))</f>
        <v>1880979.979</v>
      </c>
      <c r="Q122" s="175">
        <f t="shared" si="5"/>
        <v>1000000</v>
      </c>
      <c r="R122" s="119">
        <f>L122*(1+GROWTH_RATE)*FMC</f>
        <v>2117.761505</v>
      </c>
      <c r="S122" s="178">
        <f>S121*(1+'Pre-Calculation'!$E$27)</f>
        <v>906435.1492</v>
      </c>
      <c r="T122" s="175">
        <f>-E122+IF(A121=INPUT!$C$11*12,N122,0)</f>
        <v>0</v>
      </c>
      <c r="U122" s="175">
        <f t="shared" si="6"/>
        <v>1894603.046</v>
      </c>
      <c r="V122" s="175">
        <f>U122*(1+GROWTH_RATE_H)*(1-'Pre-Calculation'!$E$31)</f>
        <v>1903617.551</v>
      </c>
      <c r="W122" s="175">
        <f>-E122+IF(A121=INPUT!$C$11*12,V122,0)</f>
        <v>0</v>
      </c>
      <c r="X122" s="179">
        <f t="array" ref="X122">NPV('Pre-Calculation'!$E$20,$E123:E$246)</f>
        <v>0</v>
      </c>
      <c r="Y122" s="171">
        <f>10%*SA</f>
        <v>100000</v>
      </c>
      <c r="Z122" s="179">
        <f t="array" ref="Z122">NPV('Pre-Calculation'!$E$20,Y123:Y132)</f>
        <v>969592.8037</v>
      </c>
    </row>
    <row r="123" ht="15.75" customHeight="1">
      <c r="A123" s="171">
        <f t="shared" si="1"/>
        <v>177</v>
      </c>
      <c r="B123" s="171">
        <f t="shared" si="2"/>
        <v>15</v>
      </c>
      <c r="C123" s="176">
        <f>EDATE(RCD,A122)</f>
        <v>47907</v>
      </c>
      <c r="D123" s="171">
        <f>Age_At_Entry+'Cashflows_8%'!B123-1</f>
        <v>49</v>
      </c>
      <c r="E123" s="175">
        <f>IF(AND(C123&lt;=Last_Prem,MOD(A122,Mode)=0,C123&gt;INPUT!$C$13,A123&lt;=Revival!$C$11),Mod_Prem,0)</f>
        <v>0</v>
      </c>
      <c r="F123" s="177">
        <f>E123*VLOOKUP(B123,'Pre-Calculation'!$H$1:$I$31,2,FALSE)</f>
        <v>0</v>
      </c>
      <c r="G123" s="177">
        <f>IF(B123&lt;PT+1,VLOOKUP(B123,'Pre-Calculation'!$H$1:$L$32,3,FALSE)+VLOOKUP(B123,'Pre-Calculation'!$H$1:$L$32,4,FALSE)*'Pre-Calculation'!$D$7,0)</f>
        <v>0</v>
      </c>
      <c r="H123" s="175">
        <f>(E123-(F123+G123)*(1+Tax)+N122)</f>
        <v>1880979.979</v>
      </c>
      <c r="I123" s="175">
        <f>IF(B123&lt;PT+1,VLOOKUP(D123,'Pre-Calculation'!$N$3:$P$79,IF(INPUT!$C$4="M",2,3),FALSE)*(J123/1000)*(1/12),0)</f>
        <v>0</v>
      </c>
      <c r="J123" s="175">
        <f t="shared" si="3"/>
        <v>0</v>
      </c>
      <c r="K123" s="175">
        <f>(IF('Pre-Calculation'!$D$17="Type 4 a",MAX(SA,H123,1.05*Q123),IF('Pre-Calculation'!$D$17="Type 4 c",H123,IF('Pre-Calculation'!$D$17="Type 4 d",SA+H123,IF('Pre-Calculation'!$D$17="Type 4 e",MAX(SA,H123),IF('Pre-Calculation'!$D$17="Type 4 f",SA,IF('Pre-Calculation'!$D$17="Type 4 g",1000+H123,IF('Pre-Calculation'!$D$17="Type 4 h",SA+X123,IF('Pre-Calculation'!$D$17="Type 4 i",MAX(H123,Q123),IF('Pre-Calculation'!$D$17="Type 4 k",MAX(H123,1.01*Q123),IF('Pre-Calculation'!$D$17="Type 4 m",MAX(105%*Q123,SA+H123),IF('Pre-Calculation'!$D$17="Type 4 o",MAX(SA,105%*Q123)+X123+Z123,IF('Pre-Calculation'!$D$17="Type 5",0)))))))))))))*IF(AND(A123&lt;Revival!$C$4,'Cashflows_8%'!C123&gt;=Revival!$D$12),PUP,1)</f>
        <v>1880979.979</v>
      </c>
      <c r="L123" s="175">
        <f>H123-I123*(1+Tax)</f>
        <v>1880979.979</v>
      </c>
      <c r="M123" s="175">
        <f>L123*(1+GROWTH_RATE_H)*(1-FMC*(1+Tax))</f>
        <v>1890570.561</v>
      </c>
      <c r="N123" s="175">
        <f>M123+IF(MOD(A123,B123)=0,VLOOKUP(B123,'Pre-Calculation'!$H$1:$L$31,5,FALSE),0)*IF('Pre-Calculation'!$D$16="% OF FV",M123,IF(OR('Pre-Calculation'!$D$16="% OF AFV(24M)",'Pre-Calculation'!$D$16="% OF AFV(8Q)"),AVERAGE( $M100:$M123),IF('Pre-Calculation'!$D$16="% OF AFV(12M)",AVERAGE($M112:M123),IF('Pre-Calculation'!$D$16="% OF AFV(36M)",AVERAGE($M88:M123)))))</f>
        <v>1890570.561</v>
      </c>
      <c r="O123" s="175">
        <f t="shared" si="4"/>
        <v>1890570.561</v>
      </c>
      <c r="P123" s="175">
        <f>IF('Pre-Calculation'!$D$17="Type 4 a",MAX(SA,N123,1.05*Q123),IF('Pre-Calculation'!$D$17="Type 4 c",N123,IF('Pre-Calculation'!$D$17="Type 4 d",SA+N123,IF('Pre-Calculation'!$D$17="Type 4 e",MAX(SA,N123),IF('Pre-Calculation'!$D$17="Type 4 f",SA,IF('Pre-Calculation'!$D$17="Type 4 g",1000+N123,IF('Pre-Calculation'!$D$17="Type 4 h",SA+X123,IF('Pre-Calculation'!$D$17="Type 4 i",MAX(N123,Q123),IF('Pre-Calculation'!$D$17="Type 4 k",MAX(N123,1.01*Q123),IF('Pre-Calculation'!$D$17="Type 4 m",MAX(105%*Q123,SA+N123),IF('Pre-Calculation'!$D$17="Type 4 o",MAX(SA,105%*Q123)+X123+Z123,IF('Pre-Calculation'!$D$17="Type 5",0))))))))))))</f>
        <v>1890570.561</v>
      </c>
      <c r="Q123" s="175">
        <f t="shared" si="5"/>
        <v>1000000</v>
      </c>
      <c r="R123" s="119">
        <f>L123*(1+GROWTH_RATE)*FMC</f>
        <v>2128.559369</v>
      </c>
      <c r="S123" s="178">
        <f>S122*(1+'Pre-Calculation'!$E$27)</f>
        <v>909037.4327</v>
      </c>
      <c r="T123" s="175">
        <f>-E123+IF(A122=INPUT!$C$11*12,N123,0)</f>
        <v>0</v>
      </c>
      <c r="U123" s="175">
        <f t="shared" si="6"/>
        <v>1903617.551</v>
      </c>
      <c r="V123" s="175">
        <f>U123*(1+GROWTH_RATE_H)*(1-'Pre-Calculation'!$E$31)</f>
        <v>1912674.946</v>
      </c>
      <c r="W123" s="175">
        <f>-E123+IF(A122=INPUT!$C$11*12,V123,0)</f>
        <v>0</v>
      </c>
      <c r="X123" s="179">
        <f t="array" ref="X123">NPV('Pre-Calculation'!$E$20,$E124:E$246)</f>
        <v>0</v>
      </c>
      <c r="Y123" s="171">
        <f>10%*SA</f>
        <v>100000</v>
      </c>
      <c r="Z123" s="179">
        <f t="array" ref="Z123">NPV('Pre-Calculation'!$E$20,Y124:Y133)</f>
        <v>969592.8037</v>
      </c>
    </row>
    <row r="124" ht="15.75" customHeight="1">
      <c r="A124" s="171">
        <f t="shared" si="1"/>
        <v>178</v>
      </c>
      <c r="B124" s="171">
        <f t="shared" si="2"/>
        <v>15</v>
      </c>
      <c r="C124" s="176">
        <f>EDATE(RCD,A123)</f>
        <v>47937</v>
      </c>
      <c r="D124" s="171">
        <f>Age_At_Entry+'Cashflows_8%'!B124-1</f>
        <v>49</v>
      </c>
      <c r="E124" s="175">
        <f>IF(AND(C124&lt;=Last_Prem,MOD(A123,Mode)=0,C124&gt;INPUT!$C$13,A124&lt;=Revival!$C$11),Mod_Prem,0)</f>
        <v>0</v>
      </c>
      <c r="F124" s="177">
        <f>E124*VLOOKUP(B124,'Pre-Calculation'!$H$1:$I$31,2,FALSE)</f>
        <v>0</v>
      </c>
      <c r="G124" s="177">
        <f>IF(B124&lt;PT+1,VLOOKUP(B124,'Pre-Calculation'!$H$1:$L$32,3,FALSE)+VLOOKUP(B124,'Pre-Calculation'!$H$1:$L$32,4,FALSE)*'Pre-Calculation'!$D$7,0)</f>
        <v>0</v>
      </c>
      <c r="H124" s="175">
        <f>(E124-(F124+G124)*(1+Tax)+N123)</f>
        <v>1890570.561</v>
      </c>
      <c r="I124" s="175">
        <f>IF(B124&lt;PT+1,VLOOKUP(D124,'Pre-Calculation'!$N$3:$P$79,IF(INPUT!$C$4="M",2,3),FALSE)*(J124/1000)*(1/12),0)</f>
        <v>0</v>
      </c>
      <c r="J124" s="175">
        <f t="shared" si="3"/>
        <v>0</v>
      </c>
      <c r="K124" s="175">
        <f>(IF('Pre-Calculation'!$D$17="Type 4 a",MAX(SA,H124,1.05*Q124),IF('Pre-Calculation'!$D$17="Type 4 c",H124,IF('Pre-Calculation'!$D$17="Type 4 d",SA+H124,IF('Pre-Calculation'!$D$17="Type 4 e",MAX(SA,H124),IF('Pre-Calculation'!$D$17="Type 4 f",SA,IF('Pre-Calculation'!$D$17="Type 4 g",1000+H124,IF('Pre-Calculation'!$D$17="Type 4 h",SA+X124,IF('Pre-Calculation'!$D$17="Type 4 i",MAX(H124,Q124),IF('Pre-Calculation'!$D$17="Type 4 k",MAX(H124,1.01*Q124),IF('Pre-Calculation'!$D$17="Type 4 m",MAX(105%*Q124,SA+H124),IF('Pre-Calculation'!$D$17="Type 4 o",MAX(SA,105%*Q124)+X124+Z124,IF('Pre-Calculation'!$D$17="Type 5",0)))))))))))))*IF(AND(A124&lt;Revival!$C$4,'Cashflows_8%'!C124&gt;=Revival!$D$12),PUP,1)</f>
        <v>1890570.561</v>
      </c>
      <c r="L124" s="175">
        <f>H124-I124*(1+Tax)</f>
        <v>1890570.561</v>
      </c>
      <c r="M124" s="175">
        <f>L124*(1+GROWTH_RATE_H)*(1-FMC*(1+Tax))</f>
        <v>1900210.042</v>
      </c>
      <c r="N124" s="175">
        <f>M124+IF(MOD(A124,B124)=0,VLOOKUP(B124,'Pre-Calculation'!$H$1:$L$31,5,FALSE),0)*IF('Pre-Calculation'!$D$16="% OF FV",M124,IF(OR('Pre-Calculation'!$D$16="% OF AFV(24M)",'Pre-Calculation'!$D$16="% OF AFV(8Q)"),AVERAGE( $M101:$M124),IF('Pre-Calculation'!$D$16="% OF AFV(12M)",AVERAGE($M113:M124),IF('Pre-Calculation'!$D$16="% OF AFV(36M)",AVERAGE($M89:M124)))))</f>
        <v>1900210.042</v>
      </c>
      <c r="O124" s="175">
        <f t="shared" si="4"/>
        <v>1900210.042</v>
      </c>
      <c r="P124" s="175">
        <f>IF('Pre-Calculation'!$D$17="Type 4 a",MAX(SA,N124,1.05*Q124),IF('Pre-Calculation'!$D$17="Type 4 c",N124,IF('Pre-Calculation'!$D$17="Type 4 d",SA+N124,IF('Pre-Calculation'!$D$17="Type 4 e",MAX(SA,N124),IF('Pre-Calculation'!$D$17="Type 4 f",SA,IF('Pre-Calculation'!$D$17="Type 4 g",1000+N124,IF('Pre-Calculation'!$D$17="Type 4 h",SA+X124,IF('Pre-Calculation'!$D$17="Type 4 i",MAX(N124,Q124),IF('Pre-Calculation'!$D$17="Type 4 k",MAX(N124,1.01*Q124),IF('Pre-Calculation'!$D$17="Type 4 m",MAX(105%*Q124,SA+N124),IF('Pre-Calculation'!$D$17="Type 4 o",MAX(SA,105%*Q124)+X124+Z124,IF('Pre-Calculation'!$D$17="Type 5",0))))))))))))</f>
        <v>1900210.042</v>
      </c>
      <c r="Q124" s="175">
        <f t="shared" si="5"/>
        <v>1000000</v>
      </c>
      <c r="R124" s="119">
        <f>L124*(1+GROWTH_RATE)*FMC</f>
        <v>2139.412287</v>
      </c>
      <c r="S124" s="178">
        <f>S123*(1+'Pre-Calculation'!$E$27)</f>
        <v>911647.1871</v>
      </c>
      <c r="T124" s="175">
        <f>-E124+IF(A123=INPUT!$C$11*12,N124,0)</f>
        <v>0</v>
      </c>
      <c r="U124" s="175">
        <f t="shared" si="6"/>
        <v>1912674.946</v>
      </c>
      <c r="V124" s="175">
        <f>U124*(1+GROWTH_RATE_H)*(1-'Pre-Calculation'!$E$31)</f>
        <v>1921775.437</v>
      </c>
      <c r="W124" s="175">
        <f>-E124+IF(A123=INPUT!$C$11*12,V124,0)</f>
        <v>0</v>
      </c>
      <c r="X124" s="179">
        <f t="array" ref="X124">NPV('Pre-Calculation'!$E$20,$E125:E$246)</f>
        <v>0</v>
      </c>
      <c r="Y124" s="171">
        <f>10%*SA</f>
        <v>100000</v>
      </c>
      <c r="Z124" s="179">
        <f t="array" ref="Z124">NPV('Pre-Calculation'!$E$20,Y125:Y134)</f>
        <v>969592.8037</v>
      </c>
    </row>
    <row r="125" ht="15.75" customHeight="1">
      <c r="A125" s="171">
        <f t="shared" si="1"/>
        <v>179</v>
      </c>
      <c r="B125" s="171">
        <f t="shared" si="2"/>
        <v>15</v>
      </c>
      <c r="C125" s="176">
        <f>EDATE(RCD,A124)</f>
        <v>47968</v>
      </c>
      <c r="D125" s="171">
        <f>Age_At_Entry+'Cashflows_8%'!B125-1</f>
        <v>49</v>
      </c>
      <c r="E125" s="175">
        <f>IF(AND(C125&lt;=Last_Prem,MOD(A124,Mode)=0,C125&gt;INPUT!$C$13,A125&lt;=Revival!$C$11),Mod_Prem,0)</f>
        <v>0</v>
      </c>
      <c r="F125" s="177">
        <f>E125*VLOOKUP(B125,'Pre-Calculation'!$H$1:$I$31,2,FALSE)</f>
        <v>0</v>
      </c>
      <c r="G125" s="177">
        <f>IF(B125&lt;PT+1,VLOOKUP(B125,'Pre-Calculation'!$H$1:$L$32,3,FALSE)+VLOOKUP(B125,'Pre-Calculation'!$H$1:$L$32,4,FALSE)*'Pre-Calculation'!$D$7,0)</f>
        <v>0</v>
      </c>
      <c r="H125" s="175">
        <f>(E125-(F125+G125)*(1+Tax)+N124)</f>
        <v>1900210.042</v>
      </c>
      <c r="I125" s="175">
        <f>IF(B125&lt;PT+1,VLOOKUP(D125,'Pre-Calculation'!$N$3:$P$79,IF(INPUT!$C$4="M",2,3),FALSE)*(J125/1000)*(1/12),0)</f>
        <v>0</v>
      </c>
      <c r="J125" s="175">
        <f t="shared" si="3"/>
        <v>0</v>
      </c>
      <c r="K125" s="175">
        <f>(IF('Pre-Calculation'!$D$17="Type 4 a",MAX(SA,H125,1.05*Q125),IF('Pre-Calculation'!$D$17="Type 4 c",H125,IF('Pre-Calculation'!$D$17="Type 4 d",SA+H125,IF('Pre-Calculation'!$D$17="Type 4 e",MAX(SA,H125),IF('Pre-Calculation'!$D$17="Type 4 f",SA,IF('Pre-Calculation'!$D$17="Type 4 g",1000+H125,IF('Pre-Calculation'!$D$17="Type 4 h",SA+X125,IF('Pre-Calculation'!$D$17="Type 4 i",MAX(H125,Q125),IF('Pre-Calculation'!$D$17="Type 4 k",MAX(H125,1.01*Q125),IF('Pre-Calculation'!$D$17="Type 4 m",MAX(105%*Q125,SA+H125),IF('Pre-Calculation'!$D$17="Type 4 o",MAX(SA,105%*Q125)+X125+Z125,IF('Pre-Calculation'!$D$17="Type 5",0)))))))))))))*IF(AND(A125&lt;Revival!$C$4,'Cashflows_8%'!C125&gt;=Revival!$D$12),PUP,1)</f>
        <v>1900210.042</v>
      </c>
      <c r="L125" s="175">
        <f>H125-I125*(1+Tax)</f>
        <v>1900210.042</v>
      </c>
      <c r="M125" s="175">
        <f>L125*(1+GROWTH_RATE_H)*(1-FMC*(1+Tax))</f>
        <v>1909898.673</v>
      </c>
      <c r="N125" s="175">
        <f>M125+IF(MOD(A125,B125)=0,VLOOKUP(B125,'Pre-Calculation'!$H$1:$L$31,5,FALSE),0)*IF('Pre-Calculation'!$D$16="% OF FV",M125,IF(OR('Pre-Calculation'!$D$16="% OF AFV(24M)",'Pre-Calculation'!$D$16="% OF AFV(8Q)"),AVERAGE( $M102:$M125),IF('Pre-Calculation'!$D$16="% OF AFV(12M)",AVERAGE($M114:M125),IF('Pre-Calculation'!$D$16="% OF AFV(36M)",AVERAGE($M90:M125)))))</f>
        <v>1909898.673</v>
      </c>
      <c r="O125" s="175">
        <f t="shared" si="4"/>
        <v>1909898.673</v>
      </c>
      <c r="P125" s="175">
        <f>IF('Pre-Calculation'!$D$17="Type 4 a",MAX(SA,N125,1.05*Q125),IF('Pre-Calculation'!$D$17="Type 4 c",N125,IF('Pre-Calculation'!$D$17="Type 4 d",SA+N125,IF('Pre-Calculation'!$D$17="Type 4 e",MAX(SA,N125),IF('Pre-Calculation'!$D$17="Type 4 f",SA,IF('Pre-Calculation'!$D$17="Type 4 g",1000+N125,IF('Pre-Calculation'!$D$17="Type 4 h",SA+X125,IF('Pre-Calculation'!$D$17="Type 4 i",MAX(N125,Q125),IF('Pre-Calculation'!$D$17="Type 4 k",MAX(N125,1.01*Q125),IF('Pre-Calculation'!$D$17="Type 4 m",MAX(105%*Q125,SA+N125),IF('Pre-Calculation'!$D$17="Type 4 o",MAX(SA,105%*Q125)+X125+Z125,IF('Pre-Calculation'!$D$17="Type 5",0))))))))))))</f>
        <v>1909898.673</v>
      </c>
      <c r="Q125" s="175">
        <f t="shared" si="5"/>
        <v>1000000</v>
      </c>
      <c r="R125" s="119">
        <f>L125*(1+GROWTH_RATE)*FMC</f>
        <v>2150.320542</v>
      </c>
      <c r="S125" s="178">
        <f>S124*(1+'Pre-Calculation'!$E$27)</f>
        <v>914264.4338</v>
      </c>
      <c r="T125" s="175">
        <f>-E125+IF(A124=INPUT!$C$11*12,N125,0)</f>
        <v>0</v>
      </c>
      <c r="U125" s="175">
        <f t="shared" si="6"/>
        <v>1921775.437</v>
      </c>
      <c r="V125" s="175">
        <f>U125*(1+GROWTH_RATE_H)*(1-'Pre-Calculation'!$E$31)</f>
        <v>1930919.227</v>
      </c>
      <c r="W125" s="175">
        <f>-E125+IF(A124=INPUT!$C$11*12,V125,0)</f>
        <v>0</v>
      </c>
      <c r="X125" s="179">
        <f t="array" ref="X125">NPV('Pre-Calculation'!$E$20,$E126:E$246)</f>
        <v>0</v>
      </c>
      <c r="Y125" s="171">
        <f>10%*SA</f>
        <v>100000</v>
      </c>
      <c r="Z125" s="179">
        <f t="array" ref="Z125">NPV('Pre-Calculation'!$E$20,Y126:Y135)</f>
        <v>969592.8037</v>
      </c>
    </row>
    <row r="126" ht="15.75" customHeight="1">
      <c r="A126" s="171">
        <f t="shared" si="1"/>
        <v>180</v>
      </c>
      <c r="B126" s="171">
        <f t="shared" si="2"/>
        <v>15</v>
      </c>
      <c r="C126" s="176">
        <f>EDATE(RCD,A125)</f>
        <v>47998</v>
      </c>
      <c r="D126" s="171">
        <f>Age_At_Entry+'Cashflows_8%'!B126-1</f>
        <v>49</v>
      </c>
      <c r="E126" s="175">
        <f>IF(AND(C126&lt;=Last_Prem,MOD(A125,Mode)=0,C126&gt;INPUT!$C$13,A126&lt;=Revival!$C$11),Mod_Prem,0)</f>
        <v>0</v>
      </c>
      <c r="F126" s="177">
        <f>E126*VLOOKUP(B126,'Pre-Calculation'!$H$1:$I$31,2,FALSE)</f>
        <v>0</v>
      </c>
      <c r="G126" s="177">
        <f>IF(B126&lt;PT+1,VLOOKUP(B126,'Pre-Calculation'!$H$1:$L$32,3,FALSE)+VLOOKUP(B126,'Pre-Calculation'!$H$1:$L$32,4,FALSE)*'Pre-Calculation'!$D$7,0)</f>
        <v>0</v>
      </c>
      <c r="H126" s="175">
        <f>(E126-(F126+G126)*(1+Tax)+N125)</f>
        <v>1909898.673</v>
      </c>
      <c r="I126" s="175">
        <f>IF(B126&lt;PT+1,VLOOKUP(D126,'Pre-Calculation'!$N$3:$P$79,IF(INPUT!$C$4="M",2,3),FALSE)*(J126/1000)*(1/12),0)</f>
        <v>0</v>
      </c>
      <c r="J126" s="175">
        <f t="shared" si="3"/>
        <v>0</v>
      </c>
      <c r="K126" s="175">
        <f>(IF('Pre-Calculation'!$D$17="Type 4 a",MAX(SA,H126,1.05*Q126),IF('Pre-Calculation'!$D$17="Type 4 c",H126,IF('Pre-Calculation'!$D$17="Type 4 d",SA+H126,IF('Pre-Calculation'!$D$17="Type 4 e",MAX(SA,H126),IF('Pre-Calculation'!$D$17="Type 4 f",SA,IF('Pre-Calculation'!$D$17="Type 4 g",1000+H126,IF('Pre-Calculation'!$D$17="Type 4 h",SA+X126,IF('Pre-Calculation'!$D$17="Type 4 i",MAX(H126,Q126),IF('Pre-Calculation'!$D$17="Type 4 k",MAX(H126,1.01*Q126),IF('Pre-Calculation'!$D$17="Type 4 m",MAX(105%*Q126,SA+H126),IF('Pre-Calculation'!$D$17="Type 4 o",MAX(SA,105%*Q126)+X126+Z126,IF('Pre-Calculation'!$D$17="Type 5",0)))))))))))))*IF(AND(A126&lt;Revival!$C$4,'Cashflows_8%'!C126&gt;=Revival!$D$12),PUP,1)</f>
        <v>1909898.673</v>
      </c>
      <c r="L126" s="175">
        <f>H126-I126*(1+Tax)</f>
        <v>1909898.673</v>
      </c>
      <c r="M126" s="175">
        <f>L126*(1+GROWTH_RATE_H)*(1-FMC*(1+Tax))</f>
        <v>1919636.703</v>
      </c>
      <c r="N126" s="175">
        <f>M126+IF(MOD(A126,B126)=0,VLOOKUP(B126,'Pre-Calculation'!$H$1:$L$31,5,FALSE),0)*IF('Pre-Calculation'!$D$16="% OF FV",M126,IF(OR('Pre-Calculation'!$D$16="% OF AFV(24M)",'Pre-Calculation'!$D$16="% OF AFV(8Q)"),AVERAGE( $M103:$M126),IF('Pre-Calculation'!$D$16="% OF AFV(12M)",AVERAGE($M115:M126),IF('Pre-Calculation'!$D$16="% OF AFV(36M)",AVERAGE($M91:M126)))))</f>
        <v>1919636.703</v>
      </c>
      <c r="O126" s="175">
        <f t="shared" si="4"/>
        <v>1919636.703</v>
      </c>
      <c r="P126" s="175">
        <f>IF('Pre-Calculation'!$D$17="Type 4 a",MAX(SA,N126,1.05*Q126),IF('Pre-Calculation'!$D$17="Type 4 c",N126,IF('Pre-Calculation'!$D$17="Type 4 d",SA+N126,IF('Pre-Calculation'!$D$17="Type 4 e",MAX(SA,N126),IF('Pre-Calculation'!$D$17="Type 4 f",SA,IF('Pre-Calculation'!$D$17="Type 4 g",1000+N126,IF('Pre-Calculation'!$D$17="Type 4 h",SA+X126,IF('Pre-Calculation'!$D$17="Type 4 i",MAX(N126,Q126),IF('Pre-Calculation'!$D$17="Type 4 k",MAX(N126,1.01*Q126),IF('Pre-Calculation'!$D$17="Type 4 m",MAX(105%*Q126,SA+N126),IF('Pre-Calculation'!$D$17="Type 4 o",MAX(SA,105%*Q126)+X126+Z126,IF('Pre-Calculation'!$D$17="Type 5",0))))))))))))</f>
        <v>1919636.703</v>
      </c>
      <c r="Q126" s="175">
        <f t="shared" si="5"/>
        <v>1000000</v>
      </c>
      <c r="R126" s="119">
        <f>L126*(1+GROWTH_RATE)*FMC</f>
        <v>2161.284414</v>
      </c>
      <c r="S126" s="178">
        <f>S125*(1+'Pre-Calculation'!$E$27)</f>
        <v>916889.1944</v>
      </c>
      <c r="T126" s="175">
        <f>-E126+IF(A125=INPUT!$C$11*12,N126,0)</f>
        <v>0</v>
      </c>
      <c r="U126" s="175">
        <f t="shared" si="6"/>
        <v>1930919.227</v>
      </c>
      <c r="V126" s="175">
        <f>U126*(1+GROWTH_RATE_H)*(1-'Pre-Calculation'!$E$31)</f>
        <v>1940106.524</v>
      </c>
      <c r="W126" s="175">
        <f>-E126+IF(A125=INPUT!$C$11*12,V126,0)</f>
        <v>0</v>
      </c>
      <c r="X126" s="179">
        <f t="array" ref="X126">NPV('Pre-Calculation'!$E$20,$E127:E$246)</f>
        <v>0</v>
      </c>
      <c r="Y126" s="171">
        <f>10%*SA</f>
        <v>100000</v>
      </c>
      <c r="Z126" s="179">
        <f t="array" ref="Z126">NPV('Pre-Calculation'!$E$20,Y127:Y136)</f>
        <v>969592.8037</v>
      </c>
    </row>
    <row r="127" ht="15.75" customHeight="1">
      <c r="A127" s="171">
        <f t="shared" si="1"/>
        <v>181</v>
      </c>
      <c r="B127" s="171">
        <f t="shared" si="2"/>
        <v>16</v>
      </c>
      <c r="C127" s="176">
        <f>EDATE(RCD,A126)</f>
        <v>48029</v>
      </c>
      <c r="D127" s="171">
        <f>Age_At_Entry+'Cashflows_8%'!B127-1</f>
        <v>50</v>
      </c>
      <c r="E127" s="175">
        <f>IF(AND(C127&lt;=Last_Prem,MOD(A126,Mode)=0,C127&gt;INPUT!$C$13,A127&lt;=Revival!$C$11),Mod_Prem,0)</f>
        <v>0</v>
      </c>
      <c r="F127" s="177">
        <f>E127*VLOOKUP(B127,'Pre-Calculation'!$H$1:$I$31,2,FALSE)</f>
        <v>0</v>
      </c>
      <c r="G127" s="177">
        <f>IF(B127&lt;PT+1,VLOOKUP(B127,'Pre-Calculation'!$H$1:$L$32,3,FALSE)+VLOOKUP(B127,'Pre-Calculation'!$H$1:$L$32,4,FALSE)*'Pre-Calculation'!$D$7,0)</f>
        <v>0</v>
      </c>
      <c r="H127" s="175">
        <f>(E127-(F127+G127)*(1+Tax)+N126)</f>
        <v>1919636.703</v>
      </c>
      <c r="I127" s="175">
        <f>IF(B127&lt;PT+1,VLOOKUP(D127,'Pre-Calculation'!$N$3:$P$79,IF(INPUT!$C$4="M",2,3),FALSE)*(J127/1000)*(1/12),0)</f>
        <v>0</v>
      </c>
      <c r="J127" s="175">
        <f t="shared" si="3"/>
        <v>0</v>
      </c>
      <c r="K127" s="175">
        <f>(IF('Pre-Calculation'!$D$17="Type 4 a",MAX(SA,H127,1.05*Q127),IF('Pre-Calculation'!$D$17="Type 4 c",H127,IF('Pre-Calculation'!$D$17="Type 4 d",SA+H127,IF('Pre-Calculation'!$D$17="Type 4 e",MAX(SA,H127),IF('Pre-Calculation'!$D$17="Type 4 f",SA,IF('Pre-Calculation'!$D$17="Type 4 g",1000+H127,IF('Pre-Calculation'!$D$17="Type 4 h",SA+X127,IF('Pre-Calculation'!$D$17="Type 4 i",MAX(H127,Q127),IF('Pre-Calculation'!$D$17="Type 4 k",MAX(H127,1.01*Q127),IF('Pre-Calculation'!$D$17="Type 4 m",MAX(105%*Q127,SA+H127),IF('Pre-Calculation'!$D$17="Type 4 o",MAX(SA,105%*Q127)+X127+Z127,IF('Pre-Calculation'!$D$17="Type 5",0)))))))))))))*IF(AND(A127&lt;Revival!$C$4,'Cashflows_8%'!C127&gt;=Revival!$D$12),PUP,1)</f>
        <v>1919636.703</v>
      </c>
      <c r="L127" s="175">
        <f>H127-I127*(1+Tax)</f>
        <v>1919636.703</v>
      </c>
      <c r="M127" s="175">
        <f>L127*(1+GROWTH_RATE_H)*(1-FMC*(1+Tax))</f>
        <v>1929424.384</v>
      </c>
      <c r="N127" s="175">
        <f>M127+IF(MOD(A127,B127)=0,VLOOKUP(B127,'Pre-Calculation'!$H$1:$L$31,5,FALSE),0)*IF('Pre-Calculation'!$D$16="% OF FV",M127,IF(OR('Pre-Calculation'!$D$16="% OF AFV(24M)",'Pre-Calculation'!$D$16="% OF AFV(8Q)"),AVERAGE( $M104:$M127),IF('Pre-Calculation'!$D$16="% OF AFV(12M)",AVERAGE($M116:M127),IF('Pre-Calculation'!$D$16="% OF AFV(36M)",AVERAGE($M92:M127)))))</f>
        <v>1929424.384</v>
      </c>
      <c r="O127" s="175">
        <f t="shared" si="4"/>
        <v>1929424.384</v>
      </c>
      <c r="P127" s="175">
        <f>IF('Pre-Calculation'!$D$17="Type 4 a",MAX(SA,N127,1.05*Q127),IF('Pre-Calculation'!$D$17="Type 4 c",N127,IF('Pre-Calculation'!$D$17="Type 4 d",SA+N127,IF('Pre-Calculation'!$D$17="Type 4 e",MAX(SA,N127),IF('Pre-Calculation'!$D$17="Type 4 f",SA,IF('Pre-Calculation'!$D$17="Type 4 g",1000+N127,IF('Pre-Calculation'!$D$17="Type 4 h",SA+X127,IF('Pre-Calculation'!$D$17="Type 4 i",MAX(N127,Q127),IF('Pre-Calculation'!$D$17="Type 4 k",MAX(N127,1.01*Q127),IF('Pre-Calculation'!$D$17="Type 4 m",MAX(105%*Q127,SA+N127),IF('Pre-Calculation'!$D$17="Type 4 o",MAX(SA,105%*Q127)+X127+Z127,IF('Pre-Calculation'!$D$17="Type 5",0))))))))))))</f>
        <v>1929424.384</v>
      </c>
      <c r="Q127" s="175">
        <f t="shared" si="5"/>
        <v>1000000</v>
      </c>
      <c r="R127" s="119">
        <f>L127*(1+GROWTH_RATE)*FMC</f>
        <v>2172.304189</v>
      </c>
      <c r="S127" s="178">
        <f>S126*(1+'Pre-Calculation'!$E$27)</f>
        <v>919521.4904</v>
      </c>
      <c r="T127" s="175">
        <f>-E127+IF(A126=INPUT!$C$11*12,N127,0)</f>
        <v>0</v>
      </c>
      <c r="U127" s="175">
        <f t="shared" si="6"/>
        <v>1940106.524</v>
      </c>
      <c r="V127" s="175">
        <f>U127*(1+GROWTH_RATE_H)*(1-'Pre-Calculation'!$E$31)</f>
        <v>1949337.534</v>
      </c>
      <c r="W127" s="175">
        <f>-E127+IF(A126=INPUT!$C$11*12,V127,0)</f>
        <v>0</v>
      </c>
      <c r="X127" s="179">
        <f t="array" ref="X127">NPV('Pre-Calculation'!$E$20,$E128:E$246)</f>
        <v>0</v>
      </c>
      <c r="Y127" s="171">
        <f>10%*SA</f>
        <v>100000</v>
      </c>
      <c r="Z127" s="179">
        <f t="array" ref="Z127">NPV('Pre-Calculation'!$E$20,Y128:Y137)</f>
        <v>969592.8037</v>
      </c>
    </row>
    <row r="128" ht="15.75" customHeight="1">
      <c r="A128" s="171">
        <f t="shared" si="1"/>
        <v>182</v>
      </c>
      <c r="B128" s="171">
        <f t="shared" si="2"/>
        <v>16</v>
      </c>
      <c r="C128" s="176">
        <f>EDATE(RCD,A127)</f>
        <v>48059</v>
      </c>
      <c r="D128" s="171">
        <f>Age_At_Entry+'Cashflows_8%'!B128-1</f>
        <v>50</v>
      </c>
      <c r="E128" s="175">
        <f>IF(AND(C128&lt;=Last_Prem,MOD(A127,Mode)=0,C128&gt;INPUT!$C$13,A128&lt;=Revival!$C$11),Mod_Prem,0)</f>
        <v>0</v>
      </c>
      <c r="F128" s="177">
        <f>E128*VLOOKUP(B128,'Pre-Calculation'!$H$1:$I$31,2,FALSE)</f>
        <v>0</v>
      </c>
      <c r="G128" s="177">
        <f>IF(B128&lt;PT+1,VLOOKUP(B128,'Pre-Calculation'!$H$1:$L$32,3,FALSE)+VLOOKUP(B128,'Pre-Calculation'!$H$1:$L$32,4,FALSE)*'Pre-Calculation'!$D$7,0)</f>
        <v>0</v>
      </c>
      <c r="H128" s="175">
        <f>(E128-(F128+G128)*(1+Tax)+N127)</f>
        <v>1929424.384</v>
      </c>
      <c r="I128" s="175">
        <f>IF(B128&lt;PT+1,VLOOKUP(D128,'Pre-Calculation'!$N$3:$P$79,IF(INPUT!$C$4="M",2,3),FALSE)*(J128/1000)*(1/12),0)</f>
        <v>0</v>
      </c>
      <c r="J128" s="175">
        <f t="shared" si="3"/>
        <v>0</v>
      </c>
      <c r="K128" s="175">
        <f>(IF('Pre-Calculation'!$D$17="Type 4 a",MAX(SA,H128,1.05*Q128),IF('Pre-Calculation'!$D$17="Type 4 c",H128,IF('Pre-Calculation'!$D$17="Type 4 d",SA+H128,IF('Pre-Calculation'!$D$17="Type 4 e",MAX(SA,H128),IF('Pre-Calculation'!$D$17="Type 4 f",SA,IF('Pre-Calculation'!$D$17="Type 4 g",1000+H128,IF('Pre-Calculation'!$D$17="Type 4 h",SA+X128,IF('Pre-Calculation'!$D$17="Type 4 i",MAX(H128,Q128),IF('Pre-Calculation'!$D$17="Type 4 k",MAX(H128,1.01*Q128),IF('Pre-Calculation'!$D$17="Type 4 m",MAX(105%*Q128,SA+H128),IF('Pre-Calculation'!$D$17="Type 4 o",MAX(SA,105%*Q128)+X128+Z128,IF('Pre-Calculation'!$D$17="Type 5",0)))))))))))))*IF(AND(A128&lt;Revival!$C$4,'Cashflows_8%'!C128&gt;=Revival!$D$12),PUP,1)</f>
        <v>1929424.384</v>
      </c>
      <c r="L128" s="175">
        <f>H128-I128*(1+Tax)</f>
        <v>1929424.384</v>
      </c>
      <c r="M128" s="175">
        <f>L128*(1+GROWTH_RATE_H)*(1-FMC*(1+Tax))</f>
        <v>1939261.97</v>
      </c>
      <c r="N128" s="175">
        <f>M128+IF(MOD(A128,B128)=0,VLOOKUP(B128,'Pre-Calculation'!$H$1:$L$31,5,FALSE),0)*IF('Pre-Calculation'!$D$16="% OF FV",M128,IF(OR('Pre-Calculation'!$D$16="% OF AFV(24M)",'Pre-Calculation'!$D$16="% OF AFV(8Q)"),AVERAGE( $M105:$M128),IF('Pre-Calculation'!$D$16="% OF AFV(12M)",AVERAGE($M117:M128),IF('Pre-Calculation'!$D$16="% OF AFV(36M)",AVERAGE($M93:M128)))))</f>
        <v>1939261.97</v>
      </c>
      <c r="O128" s="175">
        <f t="shared" si="4"/>
        <v>1939261.97</v>
      </c>
      <c r="P128" s="175">
        <f>IF('Pre-Calculation'!$D$17="Type 4 a",MAX(SA,N128,1.05*Q128),IF('Pre-Calculation'!$D$17="Type 4 c",N128,IF('Pre-Calculation'!$D$17="Type 4 d",SA+N128,IF('Pre-Calculation'!$D$17="Type 4 e",MAX(SA,N128),IF('Pre-Calculation'!$D$17="Type 4 f",SA,IF('Pre-Calculation'!$D$17="Type 4 g",1000+N128,IF('Pre-Calculation'!$D$17="Type 4 h",SA+X128,IF('Pre-Calculation'!$D$17="Type 4 i",MAX(N128,Q128),IF('Pre-Calculation'!$D$17="Type 4 k",MAX(N128,1.01*Q128),IF('Pre-Calculation'!$D$17="Type 4 m",MAX(105%*Q128,SA+N128),IF('Pre-Calculation'!$D$17="Type 4 o",MAX(SA,105%*Q128)+X128+Z128,IF('Pre-Calculation'!$D$17="Type 5",0))))))))))))</f>
        <v>1939261.97</v>
      </c>
      <c r="Q128" s="175">
        <f t="shared" si="5"/>
        <v>1000000</v>
      </c>
      <c r="R128" s="119">
        <f>L128*(1+GROWTH_RATE)*FMC</f>
        <v>2183.38015</v>
      </c>
      <c r="S128" s="178">
        <f>S127*(1+'Pre-Calculation'!$E$27)</f>
        <v>922161.3435</v>
      </c>
      <c r="T128" s="175">
        <f>-E128+IF(A127=INPUT!$C$11*12,N128,0)</f>
        <v>0</v>
      </c>
      <c r="U128" s="175">
        <f t="shared" si="6"/>
        <v>1949337.534</v>
      </c>
      <c r="V128" s="175">
        <f>U128*(1+GROWTH_RATE_H)*(1-'Pre-Calculation'!$E$31)</f>
        <v>1958612.465</v>
      </c>
      <c r="W128" s="175">
        <f>-E128+IF(A127=INPUT!$C$11*12,V128,0)</f>
        <v>0</v>
      </c>
      <c r="X128" s="179">
        <f t="array" ref="X128">NPV('Pre-Calculation'!$E$20,$E129:E$246)</f>
        <v>0</v>
      </c>
      <c r="Y128" s="171">
        <f>10%*SA</f>
        <v>100000</v>
      </c>
      <c r="Z128" s="179">
        <f t="array" ref="Z128">NPV('Pre-Calculation'!$E$20,Y129:Y138)</f>
        <v>969592.8037</v>
      </c>
    </row>
    <row r="129" ht="15.75" customHeight="1">
      <c r="A129" s="171">
        <f t="shared" si="1"/>
        <v>183</v>
      </c>
      <c r="B129" s="171">
        <f t="shared" si="2"/>
        <v>16</v>
      </c>
      <c r="C129" s="176">
        <f>EDATE(RCD,A128)</f>
        <v>48090</v>
      </c>
      <c r="D129" s="171">
        <f>Age_At_Entry+'Cashflows_8%'!B129-1</f>
        <v>50</v>
      </c>
      <c r="E129" s="175">
        <f>IF(AND(C129&lt;=Last_Prem,MOD(A128,Mode)=0,C129&gt;INPUT!$C$13,A129&lt;=Revival!$C$11),Mod_Prem,0)</f>
        <v>0</v>
      </c>
      <c r="F129" s="177">
        <f>E129*VLOOKUP(B129,'Pre-Calculation'!$H$1:$I$31,2,FALSE)</f>
        <v>0</v>
      </c>
      <c r="G129" s="177">
        <f>IF(B129&lt;PT+1,VLOOKUP(B129,'Pre-Calculation'!$H$1:$L$32,3,FALSE)+VLOOKUP(B129,'Pre-Calculation'!$H$1:$L$32,4,FALSE)*'Pre-Calculation'!$D$7,0)</f>
        <v>0</v>
      </c>
      <c r="H129" s="175">
        <f>(E129-(F129+G129)*(1+Tax)+N128)</f>
        <v>1939261.97</v>
      </c>
      <c r="I129" s="175">
        <f>IF(B129&lt;PT+1,VLOOKUP(D129,'Pre-Calculation'!$N$3:$P$79,IF(INPUT!$C$4="M",2,3),FALSE)*(J129/1000)*(1/12),0)</f>
        <v>0</v>
      </c>
      <c r="J129" s="175">
        <f t="shared" si="3"/>
        <v>0</v>
      </c>
      <c r="K129" s="175">
        <f>(IF('Pre-Calculation'!$D$17="Type 4 a",MAX(SA,H129,1.05*Q129),IF('Pre-Calculation'!$D$17="Type 4 c",H129,IF('Pre-Calculation'!$D$17="Type 4 d",SA+H129,IF('Pre-Calculation'!$D$17="Type 4 e",MAX(SA,H129),IF('Pre-Calculation'!$D$17="Type 4 f",SA,IF('Pre-Calculation'!$D$17="Type 4 g",1000+H129,IF('Pre-Calculation'!$D$17="Type 4 h",SA+X129,IF('Pre-Calculation'!$D$17="Type 4 i",MAX(H129,Q129),IF('Pre-Calculation'!$D$17="Type 4 k",MAX(H129,1.01*Q129),IF('Pre-Calculation'!$D$17="Type 4 m",MAX(105%*Q129,SA+H129),IF('Pre-Calculation'!$D$17="Type 4 o",MAX(SA,105%*Q129)+X129+Z129,IF('Pre-Calculation'!$D$17="Type 5",0)))))))))))))*IF(AND(A129&lt;Revival!$C$4,'Cashflows_8%'!C129&gt;=Revival!$D$12),PUP,1)</f>
        <v>1939261.97</v>
      </c>
      <c r="L129" s="175">
        <f>H129-I129*(1+Tax)</f>
        <v>1939261.97</v>
      </c>
      <c r="M129" s="175">
        <f>L129*(1+GROWTH_RATE_H)*(1-FMC*(1+Tax))</f>
        <v>1949149.715</v>
      </c>
      <c r="N129" s="175">
        <f>M129+IF(MOD(A129,B129)=0,VLOOKUP(B129,'Pre-Calculation'!$H$1:$L$31,5,FALSE),0)*IF('Pre-Calculation'!$D$16="% OF FV",M129,IF(OR('Pre-Calculation'!$D$16="% OF AFV(24M)",'Pre-Calculation'!$D$16="% OF AFV(8Q)"),AVERAGE( $M106:$M129),IF('Pre-Calculation'!$D$16="% OF AFV(12M)",AVERAGE($M118:M129),IF('Pre-Calculation'!$D$16="% OF AFV(36M)",AVERAGE($M94:M129)))))</f>
        <v>1949149.715</v>
      </c>
      <c r="O129" s="175">
        <f t="shared" si="4"/>
        <v>1949149.715</v>
      </c>
      <c r="P129" s="175">
        <f>IF('Pre-Calculation'!$D$17="Type 4 a",MAX(SA,N129,1.05*Q129),IF('Pre-Calculation'!$D$17="Type 4 c",N129,IF('Pre-Calculation'!$D$17="Type 4 d",SA+N129,IF('Pre-Calculation'!$D$17="Type 4 e",MAX(SA,N129),IF('Pre-Calculation'!$D$17="Type 4 f",SA,IF('Pre-Calculation'!$D$17="Type 4 g",1000+N129,IF('Pre-Calculation'!$D$17="Type 4 h",SA+X129,IF('Pre-Calculation'!$D$17="Type 4 i",MAX(N129,Q129),IF('Pre-Calculation'!$D$17="Type 4 k",MAX(N129,1.01*Q129),IF('Pre-Calculation'!$D$17="Type 4 m",MAX(105%*Q129,SA+N129),IF('Pre-Calculation'!$D$17="Type 4 o",MAX(SA,105%*Q129)+X129+Z129,IF('Pre-Calculation'!$D$17="Type 5",0))))))))))))</f>
        <v>1949149.715</v>
      </c>
      <c r="Q129" s="175">
        <f t="shared" si="5"/>
        <v>1000000</v>
      </c>
      <c r="R129" s="119">
        <f>L129*(1+GROWTH_RATE)*FMC</f>
        <v>2194.512584</v>
      </c>
      <c r="S129" s="178">
        <f>S128*(1+'Pre-Calculation'!$E$27)</f>
        <v>924808.7753</v>
      </c>
      <c r="T129" s="175">
        <f>-E129+IF(A128=INPUT!$C$11*12,N129,0)</f>
        <v>0</v>
      </c>
      <c r="U129" s="175">
        <f t="shared" si="6"/>
        <v>1958612.465</v>
      </c>
      <c r="V129" s="175">
        <f>U129*(1+GROWTH_RATE_H)*(1-'Pre-Calculation'!$E$31)</f>
        <v>1967931.526</v>
      </c>
      <c r="W129" s="175">
        <f>-E129+IF(A128=INPUT!$C$11*12,V129,0)</f>
        <v>0</v>
      </c>
      <c r="X129" s="179">
        <f t="array" ref="X129">NPV('Pre-Calculation'!$E$20,$E130:E$246)</f>
        <v>0</v>
      </c>
      <c r="Y129" s="171">
        <f>10%*SA</f>
        <v>100000</v>
      </c>
      <c r="Z129" s="179">
        <f t="array" ref="Z129">NPV('Pre-Calculation'!$E$20,Y130:Y139)</f>
        <v>969592.8037</v>
      </c>
    </row>
    <row r="130" ht="15.75" customHeight="1">
      <c r="A130" s="171">
        <f t="shared" si="1"/>
        <v>184</v>
      </c>
      <c r="B130" s="171">
        <f t="shared" si="2"/>
        <v>16</v>
      </c>
      <c r="C130" s="176">
        <f>EDATE(RCD,A129)</f>
        <v>48121</v>
      </c>
      <c r="D130" s="171">
        <f>Age_At_Entry+'Cashflows_8%'!B130-1</f>
        <v>50</v>
      </c>
      <c r="E130" s="175">
        <f>IF(AND(C130&lt;=Last_Prem,MOD(A129,Mode)=0,C130&gt;INPUT!$C$13,A130&lt;=Revival!$C$11),Mod_Prem,0)</f>
        <v>0</v>
      </c>
      <c r="F130" s="177">
        <f>E130*VLOOKUP(B130,'Pre-Calculation'!$H$1:$I$31,2,FALSE)</f>
        <v>0</v>
      </c>
      <c r="G130" s="177">
        <f>IF(B130&lt;PT+1,VLOOKUP(B130,'Pre-Calculation'!$H$1:$L$32,3,FALSE)+VLOOKUP(B130,'Pre-Calculation'!$H$1:$L$32,4,FALSE)*'Pre-Calculation'!$D$7,0)</f>
        <v>0</v>
      </c>
      <c r="H130" s="175">
        <f>(E130-(F130+G130)*(1+Tax)+N129)</f>
        <v>1949149.715</v>
      </c>
      <c r="I130" s="175">
        <f>IF(B130&lt;PT+1,VLOOKUP(D130,'Pre-Calculation'!$N$3:$P$79,IF(INPUT!$C$4="M",2,3),FALSE)*(J130/1000)*(1/12),0)</f>
        <v>0</v>
      </c>
      <c r="J130" s="175">
        <f t="shared" si="3"/>
        <v>0</v>
      </c>
      <c r="K130" s="175">
        <f>(IF('Pre-Calculation'!$D$17="Type 4 a",MAX(SA,H130,1.05*Q130),IF('Pre-Calculation'!$D$17="Type 4 c",H130,IF('Pre-Calculation'!$D$17="Type 4 d",SA+H130,IF('Pre-Calculation'!$D$17="Type 4 e",MAX(SA,H130),IF('Pre-Calculation'!$D$17="Type 4 f",SA,IF('Pre-Calculation'!$D$17="Type 4 g",1000+H130,IF('Pre-Calculation'!$D$17="Type 4 h",SA+X130,IF('Pre-Calculation'!$D$17="Type 4 i",MAX(H130,Q130),IF('Pre-Calculation'!$D$17="Type 4 k",MAX(H130,1.01*Q130),IF('Pre-Calculation'!$D$17="Type 4 m",MAX(105%*Q130,SA+H130),IF('Pre-Calculation'!$D$17="Type 4 o",MAX(SA,105%*Q130)+X130+Z130,IF('Pre-Calculation'!$D$17="Type 5",0)))))))))))))*IF(AND(A130&lt;Revival!$C$4,'Cashflows_8%'!C130&gt;=Revival!$D$12),PUP,1)</f>
        <v>1949149.715</v>
      </c>
      <c r="L130" s="175">
        <f>H130-I130*(1+Tax)</f>
        <v>1949149.715</v>
      </c>
      <c r="M130" s="175">
        <f>L130*(1+GROWTH_RATE_H)*(1-FMC*(1+Tax))</f>
        <v>1959087.875</v>
      </c>
      <c r="N130" s="175">
        <f>M130+IF(MOD(A130,B130)=0,VLOOKUP(B130,'Pre-Calculation'!$H$1:$L$31,5,FALSE),0)*IF('Pre-Calculation'!$D$16="% OF FV",M130,IF(OR('Pre-Calculation'!$D$16="% OF AFV(24M)",'Pre-Calculation'!$D$16="% OF AFV(8Q)"),AVERAGE( $M107:$M130),IF('Pre-Calculation'!$D$16="% OF AFV(12M)",AVERAGE($M119:M130),IF('Pre-Calculation'!$D$16="% OF AFV(36M)",AVERAGE($M95:M130)))))</f>
        <v>1959087.875</v>
      </c>
      <c r="O130" s="175">
        <f t="shared" si="4"/>
        <v>1959087.875</v>
      </c>
      <c r="P130" s="175">
        <f>IF('Pre-Calculation'!$D$17="Type 4 a",MAX(SA,N130,1.05*Q130),IF('Pre-Calculation'!$D$17="Type 4 c",N130,IF('Pre-Calculation'!$D$17="Type 4 d",SA+N130,IF('Pre-Calculation'!$D$17="Type 4 e",MAX(SA,N130),IF('Pre-Calculation'!$D$17="Type 4 f",SA,IF('Pre-Calculation'!$D$17="Type 4 g",1000+N130,IF('Pre-Calculation'!$D$17="Type 4 h",SA+X130,IF('Pre-Calculation'!$D$17="Type 4 i",MAX(N130,Q130),IF('Pre-Calculation'!$D$17="Type 4 k",MAX(N130,1.01*Q130),IF('Pre-Calculation'!$D$17="Type 4 m",MAX(105%*Q130,SA+N130),IF('Pre-Calculation'!$D$17="Type 4 o",MAX(SA,105%*Q130)+X130+Z130,IF('Pre-Calculation'!$D$17="Type 5",0))))))))))))</f>
        <v>1959087.875</v>
      </c>
      <c r="Q130" s="175">
        <f t="shared" si="5"/>
        <v>1000000</v>
      </c>
      <c r="R130" s="119">
        <f>L130*(1+GROWTH_RATE)*FMC</f>
        <v>2205.701779</v>
      </c>
      <c r="S130" s="178">
        <f>S129*(1+'Pre-Calculation'!$E$27)</f>
        <v>927463.8076</v>
      </c>
      <c r="T130" s="175">
        <f>-E130+IF(A129=INPUT!$C$11*12,N130,0)</f>
        <v>0</v>
      </c>
      <c r="U130" s="175">
        <f t="shared" si="6"/>
        <v>1967931.526</v>
      </c>
      <c r="V130" s="175">
        <f>U130*(1+GROWTH_RATE_H)*(1-'Pre-Calculation'!$E$31)</f>
        <v>1977294.927</v>
      </c>
      <c r="W130" s="175">
        <f>-E130+IF(A129=INPUT!$C$11*12,V130,0)</f>
        <v>0</v>
      </c>
      <c r="X130" s="179">
        <f t="array" ref="X130">NPV('Pre-Calculation'!$E$20,$E131:E$246)</f>
        <v>0</v>
      </c>
      <c r="Y130" s="171">
        <f>10%*SA</f>
        <v>100000</v>
      </c>
      <c r="Z130" s="179">
        <f t="array" ref="Z130">NPV('Pre-Calculation'!$E$20,Y131:Y140)</f>
        <v>969592.8037</v>
      </c>
    </row>
    <row r="131" ht="15.75" customHeight="1">
      <c r="A131" s="171">
        <f t="shared" si="1"/>
        <v>185</v>
      </c>
      <c r="B131" s="171">
        <f t="shared" si="2"/>
        <v>16</v>
      </c>
      <c r="C131" s="176">
        <f>EDATE(RCD,A130)</f>
        <v>48151</v>
      </c>
      <c r="D131" s="171">
        <f>Age_At_Entry+'Cashflows_8%'!B131-1</f>
        <v>50</v>
      </c>
      <c r="E131" s="175">
        <f>IF(AND(C131&lt;=Last_Prem,MOD(A130,Mode)=0,C131&gt;INPUT!$C$13,A131&lt;=Revival!$C$11),Mod_Prem,0)</f>
        <v>0</v>
      </c>
      <c r="F131" s="177">
        <f>E131*VLOOKUP(B131,'Pre-Calculation'!$H$1:$I$31,2,FALSE)</f>
        <v>0</v>
      </c>
      <c r="G131" s="177">
        <f>IF(B131&lt;PT+1,VLOOKUP(B131,'Pre-Calculation'!$H$1:$L$32,3,FALSE)+VLOOKUP(B131,'Pre-Calculation'!$H$1:$L$32,4,FALSE)*'Pre-Calculation'!$D$7,0)</f>
        <v>0</v>
      </c>
      <c r="H131" s="175">
        <f>(E131-(F131+G131)*(1+Tax)+N130)</f>
        <v>1959087.875</v>
      </c>
      <c r="I131" s="175">
        <f>IF(B131&lt;PT+1,VLOOKUP(D131,'Pre-Calculation'!$N$3:$P$79,IF(INPUT!$C$4="M",2,3),FALSE)*(J131/1000)*(1/12),0)</f>
        <v>0</v>
      </c>
      <c r="J131" s="175">
        <f t="shared" si="3"/>
        <v>0</v>
      </c>
      <c r="K131" s="175">
        <f>(IF('Pre-Calculation'!$D$17="Type 4 a",MAX(SA,H131,1.05*Q131),IF('Pre-Calculation'!$D$17="Type 4 c",H131,IF('Pre-Calculation'!$D$17="Type 4 d",SA+H131,IF('Pre-Calculation'!$D$17="Type 4 e",MAX(SA,H131),IF('Pre-Calculation'!$D$17="Type 4 f",SA,IF('Pre-Calculation'!$D$17="Type 4 g",1000+H131,IF('Pre-Calculation'!$D$17="Type 4 h",SA+X131,IF('Pre-Calculation'!$D$17="Type 4 i",MAX(H131,Q131),IF('Pre-Calculation'!$D$17="Type 4 k",MAX(H131,1.01*Q131),IF('Pre-Calculation'!$D$17="Type 4 m",MAX(105%*Q131,SA+H131),IF('Pre-Calculation'!$D$17="Type 4 o",MAX(SA,105%*Q131)+X131+Z131,IF('Pre-Calculation'!$D$17="Type 5",0)))))))))))))*IF(AND(A131&lt;Revival!$C$4,'Cashflows_8%'!C131&gt;=Revival!$D$12),PUP,1)</f>
        <v>1959087.875</v>
      </c>
      <c r="L131" s="175">
        <f>H131-I131*(1+Tax)</f>
        <v>1959087.875</v>
      </c>
      <c r="M131" s="175">
        <f>L131*(1+GROWTH_RATE_H)*(1-FMC*(1+Tax))</f>
        <v>1969076.707</v>
      </c>
      <c r="N131" s="175">
        <f>M131+IF(MOD(A131,B131)=0,VLOOKUP(B131,'Pre-Calculation'!$H$1:$L$31,5,FALSE),0)*IF('Pre-Calculation'!$D$16="% OF FV",M131,IF(OR('Pre-Calculation'!$D$16="% OF AFV(24M)",'Pre-Calculation'!$D$16="% OF AFV(8Q)"),AVERAGE( $M108:$M131),IF('Pre-Calculation'!$D$16="% OF AFV(12M)",AVERAGE($M120:M131),IF('Pre-Calculation'!$D$16="% OF AFV(36M)",AVERAGE($M96:M131)))))</f>
        <v>1969076.707</v>
      </c>
      <c r="O131" s="175">
        <f t="shared" si="4"/>
        <v>1969076.707</v>
      </c>
      <c r="P131" s="175">
        <f>IF('Pre-Calculation'!$D$17="Type 4 a",MAX(SA,N131,1.05*Q131),IF('Pre-Calculation'!$D$17="Type 4 c",N131,IF('Pre-Calculation'!$D$17="Type 4 d",SA+N131,IF('Pre-Calculation'!$D$17="Type 4 e",MAX(SA,N131),IF('Pre-Calculation'!$D$17="Type 4 f",SA,IF('Pre-Calculation'!$D$17="Type 4 g",1000+N131,IF('Pre-Calculation'!$D$17="Type 4 h",SA+X131,IF('Pre-Calculation'!$D$17="Type 4 i",MAX(N131,Q131),IF('Pre-Calculation'!$D$17="Type 4 k",MAX(N131,1.01*Q131),IF('Pre-Calculation'!$D$17="Type 4 m",MAX(105%*Q131,SA+N131),IF('Pre-Calculation'!$D$17="Type 4 o",MAX(SA,105%*Q131)+X131+Z131,IF('Pre-Calculation'!$D$17="Type 5",0))))))))))))</f>
        <v>1969076.707</v>
      </c>
      <c r="Q131" s="175">
        <f t="shared" si="5"/>
        <v>1000000</v>
      </c>
      <c r="R131" s="119">
        <f>L131*(1+GROWTH_RATE)*FMC</f>
        <v>2216.948025</v>
      </c>
      <c r="S131" s="178">
        <f>S130*(1+'Pre-Calculation'!$E$27)</f>
        <v>930126.4623</v>
      </c>
      <c r="T131" s="175">
        <f>-E131+IF(A130=INPUT!$C$11*12,N131,0)</f>
        <v>0</v>
      </c>
      <c r="U131" s="175">
        <f t="shared" si="6"/>
        <v>1977294.927</v>
      </c>
      <c r="V131" s="175">
        <f>U131*(1+GROWTH_RATE_H)*(1-'Pre-Calculation'!$E$31)</f>
        <v>1986702.879</v>
      </c>
      <c r="W131" s="175">
        <f>-E131+IF(A130=INPUT!$C$11*12,V131,0)</f>
        <v>0</v>
      </c>
      <c r="X131" s="179">
        <f t="array" ref="X131">NPV('Pre-Calculation'!$E$20,$E132:E$246)</f>
        <v>0</v>
      </c>
      <c r="Y131" s="171">
        <f>10%*SA</f>
        <v>100000</v>
      </c>
      <c r="Z131" s="179">
        <f t="array" ref="Z131">NPV('Pre-Calculation'!$E$20,Y132:Y141)</f>
        <v>969592.8037</v>
      </c>
    </row>
    <row r="132" ht="15.75" customHeight="1">
      <c r="A132" s="171">
        <f t="shared" si="1"/>
        <v>186</v>
      </c>
      <c r="B132" s="171">
        <f t="shared" si="2"/>
        <v>16</v>
      </c>
      <c r="C132" s="176">
        <f>EDATE(RCD,A131)</f>
        <v>48182</v>
      </c>
      <c r="D132" s="171">
        <f>Age_At_Entry+'Cashflows_8%'!B132-1</f>
        <v>50</v>
      </c>
      <c r="E132" s="175">
        <f>IF(AND(C132&lt;=Last_Prem,MOD(A131,Mode)=0,C132&gt;INPUT!$C$13,A132&lt;=Revival!$C$11),Mod_Prem,0)</f>
        <v>0</v>
      </c>
      <c r="F132" s="177">
        <f>E132*VLOOKUP(B132,'Pre-Calculation'!$H$1:$I$31,2,FALSE)</f>
        <v>0</v>
      </c>
      <c r="G132" s="177">
        <f>IF(B132&lt;PT+1,VLOOKUP(B132,'Pre-Calculation'!$H$1:$L$32,3,FALSE)+VLOOKUP(B132,'Pre-Calculation'!$H$1:$L$32,4,FALSE)*'Pre-Calculation'!$D$7,0)</f>
        <v>0</v>
      </c>
      <c r="H132" s="175">
        <f>(E132-(F132+G132)*(1+Tax)+N131)</f>
        <v>1969076.707</v>
      </c>
      <c r="I132" s="175">
        <f>IF(B132&lt;PT+1,VLOOKUP(D132,'Pre-Calculation'!$N$3:$P$79,IF(INPUT!$C$4="M",2,3),FALSE)*(J132/1000)*(1/12),0)</f>
        <v>0</v>
      </c>
      <c r="J132" s="175">
        <f t="shared" si="3"/>
        <v>0</v>
      </c>
      <c r="K132" s="175">
        <f>(IF('Pre-Calculation'!$D$17="Type 4 a",MAX(SA,H132,1.05*Q132),IF('Pre-Calculation'!$D$17="Type 4 c",H132,IF('Pre-Calculation'!$D$17="Type 4 d",SA+H132,IF('Pre-Calculation'!$D$17="Type 4 e",MAX(SA,H132),IF('Pre-Calculation'!$D$17="Type 4 f",SA,IF('Pre-Calculation'!$D$17="Type 4 g",1000+H132,IF('Pre-Calculation'!$D$17="Type 4 h",SA+X132,IF('Pre-Calculation'!$D$17="Type 4 i",MAX(H132,Q132),IF('Pre-Calculation'!$D$17="Type 4 k",MAX(H132,1.01*Q132),IF('Pre-Calculation'!$D$17="Type 4 m",MAX(105%*Q132,SA+H132),IF('Pre-Calculation'!$D$17="Type 4 o",MAX(SA,105%*Q132)+X132+Z132,IF('Pre-Calculation'!$D$17="Type 5",0)))))))))))))*IF(AND(A132&lt;Revival!$C$4,'Cashflows_8%'!C132&gt;=Revival!$D$12),PUP,1)</f>
        <v>1969076.707</v>
      </c>
      <c r="L132" s="175">
        <f>H132-I132*(1+Tax)</f>
        <v>1969076.707</v>
      </c>
      <c r="M132" s="175">
        <f>L132*(1+GROWTH_RATE_H)*(1-FMC*(1+Tax))</f>
        <v>1979116.469</v>
      </c>
      <c r="N132" s="175">
        <f>M132+IF(MOD(A132,B132)=0,VLOOKUP(B132,'Pre-Calculation'!$H$1:$L$31,5,FALSE),0)*IF('Pre-Calculation'!$D$16="% OF FV",M132,IF(OR('Pre-Calculation'!$D$16="% OF AFV(24M)",'Pre-Calculation'!$D$16="% OF AFV(8Q)"),AVERAGE( $M109:$M132),IF('Pre-Calculation'!$D$16="% OF AFV(12M)",AVERAGE($M121:M132),IF('Pre-Calculation'!$D$16="% OF AFV(36M)",AVERAGE($M97:M132)))))</f>
        <v>1979116.469</v>
      </c>
      <c r="O132" s="175">
        <f t="shared" si="4"/>
        <v>1979116.469</v>
      </c>
      <c r="P132" s="175">
        <f>IF('Pre-Calculation'!$D$17="Type 4 a",MAX(SA,N132,1.05*Q132),IF('Pre-Calculation'!$D$17="Type 4 c",N132,IF('Pre-Calculation'!$D$17="Type 4 d",SA+N132,IF('Pre-Calculation'!$D$17="Type 4 e",MAX(SA,N132),IF('Pre-Calculation'!$D$17="Type 4 f",SA,IF('Pre-Calculation'!$D$17="Type 4 g",1000+N132,IF('Pre-Calculation'!$D$17="Type 4 h",SA+X132,IF('Pre-Calculation'!$D$17="Type 4 i",MAX(N132,Q132),IF('Pre-Calculation'!$D$17="Type 4 k",MAX(N132,1.01*Q132),IF('Pre-Calculation'!$D$17="Type 4 m",MAX(105%*Q132,SA+N132),IF('Pre-Calculation'!$D$17="Type 4 o",MAX(SA,105%*Q132)+X132+Z132,IF('Pre-Calculation'!$D$17="Type 5",0))))))))))))</f>
        <v>1979116.469</v>
      </c>
      <c r="Q132" s="175">
        <f t="shared" si="5"/>
        <v>1000000</v>
      </c>
      <c r="R132" s="119">
        <f>L132*(1+GROWTH_RATE)*FMC</f>
        <v>2228.251612</v>
      </c>
      <c r="S132" s="178">
        <f>S131*(1+'Pre-Calculation'!$E$27)</f>
        <v>932796.7612</v>
      </c>
      <c r="T132" s="175">
        <f>-E132+IF(A131=INPUT!$C$11*12,N132,0)</f>
        <v>0</v>
      </c>
      <c r="U132" s="175">
        <f t="shared" si="6"/>
        <v>1986702.879</v>
      </c>
      <c r="V132" s="175">
        <f>U132*(1+GROWTH_RATE_H)*(1-'Pre-Calculation'!$E$31)</f>
        <v>1996155.594</v>
      </c>
      <c r="W132" s="175">
        <f>-E132+IF(A131=INPUT!$C$11*12,V132,0)</f>
        <v>0</v>
      </c>
      <c r="X132" s="179">
        <f t="array" ref="X132">NPV('Pre-Calculation'!$E$20,$E133:E$246)</f>
        <v>0</v>
      </c>
      <c r="Y132" s="171">
        <f>10%*SA</f>
        <v>100000</v>
      </c>
      <c r="Z132" s="179">
        <f t="array" ref="Z132">NPV('Pre-Calculation'!$E$20,Y133:Y142)</f>
        <v>969592.8037</v>
      </c>
    </row>
    <row r="133" ht="15.75" customHeight="1">
      <c r="A133" s="171">
        <f t="shared" si="1"/>
        <v>187</v>
      </c>
      <c r="B133" s="171">
        <f t="shared" si="2"/>
        <v>16</v>
      </c>
      <c r="C133" s="176">
        <f>EDATE(RCD,A132)</f>
        <v>48212</v>
      </c>
      <c r="D133" s="171">
        <f>Age_At_Entry+'Cashflows_8%'!B133-1</f>
        <v>50</v>
      </c>
      <c r="E133" s="175">
        <f>IF(AND(C133&lt;=Last_Prem,MOD(A132,Mode)=0,C133&gt;INPUT!$C$13,A133&lt;=Revival!$C$11),Mod_Prem,0)</f>
        <v>0</v>
      </c>
      <c r="F133" s="177">
        <f>E133*VLOOKUP(B133,'Pre-Calculation'!$H$1:$I$31,2,FALSE)</f>
        <v>0</v>
      </c>
      <c r="G133" s="177">
        <f>IF(B133&lt;PT+1,VLOOKUP(B133,'Pre-Calculation'!$H$1:$L$32,3,FALSE)+VLOOKUP(B133,'Pre-Calculation'!$H$1:$L$32,4,FALSE)*'Pre-Calculation'!$D$7,0)</f>
        <v>0</v>
      </c>
      <c r="H133" s="175">
        <f>(E133-(F133+G133)*(1+Tax)+N132)</f>
        <v>1979116.469</v>
      </c>
      <c r="I133" s="175">
        <f>IF(B133&lt;PT+1,VLOOKUP(D133,'Pre-Calculation'!$N$3:$P$79,IF(INPUT!$C$4="M",2,3),FALSE)*(J133/1000)*(1/12),0)</f>
        <v>0</v>
      </c>
      <c r="J133" s="175">
        <f t="shared" si="3"/>
        <v>0</v>
      </c>
      <c r="K133" s="175">
        <f>(IF('Pre-Calculation'!$D$17="Type 4 a",MAX(SA,H133,1.05*Q133),IF('Pre-Calculation'!$D$17="Type 4 c",H133,IF('Pre-Calculation'!$D$17="Type 4 d",SA+H133,IF('Pre-Calculation'!$D$17="Type 4 e",MAX(SA,H133),IF('Pre-Calculation'!$D$17="Type 4 f",SA,IF('Pre-Calculation'!$D$17="Type 4 g",1000+H133,IF('Pre-Calculation'!$D$17="Type 4 h",SA+X133,IF('Pre-Calculation'!$D$17="Type 4 i",MAX(H133,Q133),IF('Pre-Calculation'!$D$17="Type 4 k",MAX(H133,1.01*Q133),IF('Pre-Calculation'!$D$17="Type 4 m",MAX(105%*Q133,SA+H133),IF('Pre-Calculation'!$D$17="Type 4 o",MAX(SA,105%*Q133)+X133+Z133,IF('Pre-Calculation'!$D$17="Type 5",0)))))))))))))*IF(AND(A133&lt;Revival!$C$4,'Cashflows_8%'!C133&gt;=Revival!$D$12),PUP,1)</f>
        <v>1979116.469</v>
      </c>
      <c r="L133" s="175">
        <f>H133-I133*(1+Tax)</f>
        <v>1979116.469</v>
      </c>
      <c r="M133" s="175">
        <f>L133*(1+GROWTH_RATE_H)*(1-FMC*(1+Tax))</f>
        <v>1989207.42</v>
      </c>
      <c r="N133" s="175">
        <f>M133+IF(MOD(A133,B133)=0,VLOOKUP(B133,'Pre-Calculation'!$H$1:$L$31,5,FALSE),0)*IF('Pre-Calculation'!$D$16="% OF FV",M133,IF(OR('Pre-Calculation'!$D$16="% OF AFV(24M)",'Pre-Calculation'!$D$16="% OF AFV(8Q)"),AVERAGE( $M110:$M133),IF('Pre-Calculation'!$D$16="% OF AFV(12M)",AVERAGE($M122:M133),IF('Pre-Calculation'!$D$16="% OF AFV(36M)",AVERAGE($M98:M133)))))</f>
        <v>1989207.42</v>
      </c>
      <c r="O133" s="175">
        <f t="shared" si="4"/>
        <v>1989207.42</v>
      </c>
      <c r="P133" s="175">
        <f>IF('Pre-Calculation'!$D$17="Type 4 a",MAX(SA,N133,1.05*Q133),IF('Pre-Calculation'!$D$17="Type 4 c",N133,IF('Pre-Calculation'!$D$17="Type 4 d",SA+N133,IF('Pre-Calculation'!$D$17="Type 4 e",MAX(SA,N133),IF('Pre-Calculation'!$D$17="Type 4 f",SA,IF('Pre-Calculation'!$D$17="Type 4 g",1000+N133,IF('Pre-Calculation'!$D$17="Type 4 h",SA+X133,IF('Pre-Calculation'!$D$17="Type 4 i",MAX(N133,Q133),IF('Pre-Calculation'!$D$17="Type 4 k",MAX(N133,1.01*Q133),IF('Pre-Calculation'!$D$17="Type 4 m",MAX(105%*Q133,SA+N133),IF('Pre-Calculation'!$D$17="Type 4 o",MAX(SA,105%*Q133)+X133+Z133,IF('Pre-Calculation'!$D$17="Type 5",0))))))))))))</f>
        <v>1989207.42</v>
      </c>
      <c r="Q133" s="175">
        <f t="shared" si="5"/>
        <v>1000000</v>
      </c>
      <c r="R133" s="119">
        <f>L133*(1+GROWTH_RATE)*FMC</f>
        <v>2239.612833</v>
      </c>
      <c r="S133" s="178">
        <f>S132*(1+'Pre-Calculation'!$E$27)</f>
        <v>935474.7262</v>
      </c>
      <c r="T133" s="175">
        <f>-E133+IF(A132=INPUT!$C$11*12,N133,0)</f>
        <v>0</v>
      </c>
      <c r="U133" s="175">
        <f t="shared" si="6"/>
        <v>1996155.594</v>
      </c>
      <c r="V133" s="175">
        <f>U133*(1+GROWTH_RATE_H)*(1-'Pre-Calculation'!$E$31)</f>
        <v>2005653.284</v>
      </c>
      <c r="W133" s="175">
        <f>-E133+IF(A132=INPUT!$C$11*12,V133,0)</f>
        <v>0</v>
      </c>
      <c r="X133" s="179">
        <f t="array" ref="X133">NPV('Pre-Calculation'!$E$20,$E134:E$246)</f>
        <v>0</v>
      </c>
      <c r="Y133" s="171">
        <f>10%*SA</f>
        <v>100000</v>
      </c>
      <c r="Z133" s="179">
        <f t="array" ref="Z133">NPV('Pre-Calculation'!$E$20,Y134:Y143)</f>
        <v>969592.8037</v>
      </c>
    </row>
    <row r="134" ht="15.75" customHeight="1">
      <c r="A134" s="171">
        <f t="shared" si="1"/>
        <v>188</v>
      </c>
      <c r="B134" s="171">
        <f t="shared" si="2"/>
        <v>16</v>
      </c>
      <c r="C134" s="176">
        <f>EDATE(RCD,A133)</f>
        <v>48243</v>
      </c>
      <c r="D134" s="171">
        <f>Age_At_Entry+'Cashflows_8%'!B134-1</f>
        <v>50</v>
      </c>
      <c r="E134" s="175">
        <f>IF(AND(C134&lt;=Last_Prem,MOD(A133,Mode)=0,C134&gt;INPUT!$C$13,A134&lt;=Revival!$C$11),Mod_Prem,0)</f>
        <v>0</v>
      </c>
      <c r="F134" s="177">
        <f>E134*VLOOKUP(B134,'Pre-Calculation'!$H$1:$I$31,2,FALSE)</f>
        <v>0</v>
      </c>
      <c r="G134" s="177">
        <f>IF(B134&lt;PT+1,VLOOKUP(B134,'Pre-Calculation'!$H$1:$L$32,3,FALSE)+VLOOKUP(B134,'Pre-Calculation'!$H$1:$L$32,4,FALSE)*'Pre-Calculation'!$D$7,0)</f>
        <v>0</v>
      </c>
      <c r="H134" s="175">
        <f>(E134-(F134+G134)*(1+Tax)+N133)</f>
        <v>1989207.42</v>
      </c>
      <c r="I134" s="175">
        <f>IF(B134&lt;PT+1,VLOOKUP(D134,'Pre-Calculation'!$N$3:$P$79,IF(INPUT!$C$4="M",2,3),FALSE)*(J134/1000)*(1/12),0)</f>
        <v>0</v>
      </c>
      <c r="J134" s="175">
        <f t="shared" si="3"/>
        <v>0</v>
      </c>
      <c r="K134" s="175">
        <f>(IF('Pre-Calculation'!$D$17="Type 4 a",MAX(SA,H134,1.05*Q134),IF('Pre-Calculation'!$D$17="Type 4 c",H134,IF('Pre-Calculation'!$D$17="Type 4 d",SA+H134,IF('Pre-Calculation'!$D$17="Type 4 e",MAX(SA,H134),IF('Pre-Calculation'!$D$17="Type 4 f",SA,IF('Pre-Calculation'!$D$17="Type 4 g",1000+H134,IF('Pre-Calculation'!$D$17="Type 4 h",SA+X134,IF('Pre-Calculation'!$D$17="Type 4 i",MAX(H134,Q134),IF('Pre-Calculation'!$D$17="Type 4 k",MAX(H134,1.01*Q134),IF('Pre-Calculation'!$D$17="Type 4 m",MAX(105%*Q134,SA+H134),IF('Pre-Calculation'!$D$17="Type 4 o",MAX(SA,105%*Q134)+X134+Z134,IF('Pre-Calculation'!$D$17="Type 5",0)))))))))))))*IF(AND(A134&lt;Revival!$C$4,'Cashflows_8%'!C134&gt;=Revival!$D$12),PUP,1)</f>
        <v>1989207.42</v>
      </c>
      <c r="L134" s="175">
        <f>H134-I134*(1+Tax)</f>
        <v>1989207.42</v>
      </c>
      <c r="M134" s="175">
        <f>L134*(1+GROWTH_RATE_H)*(1-FMC*(1+Tax))</f>
        <v>1999349.823</v>
      </c>
      <c r="N134" s="175">
        <f>M134+IF(MOD(A134,B134)=0,VLOOKUP(B134,'Pre-Calculation'!$H$1:$L$31,5,FALSE),0)*IF('Pre-Calculation'!$D$16="% OF FV",M134,IF(OR('Pre-Calculation'!$D$16="% OF AFV(24M)",'Pre-Calculation'!$D$16="% OF AFV(8Q)"),AVERAGE( $M111:$M134),IF('Pre-Calculation'!$D$16="% OF AFV(12M)",AVERAGE($M123:M134),IF('Pre-Calculation'!$D$16="% OF AFV(36M)",AVERAGE($M99:M134)))))</f>
        <v>1999349.823</v>
      </c>
      <c r="O134" s="175">
        <f t="shared" si="4"/>
        <v>1999349.823</v>
      </c>
      <c r="P134" s="175">
        <f>IF('Pre-Calculation'!$D$17="Type 4 a",MAX(SA,N134,1.05*Q134),IF('Pre-Calculation'!$D$17="Type 4 c",N134,IF('Pre-Calculation'!$D$17="Type 4 d",SA+N134,IF('Pre-Calculation'!$D$17="Type 4 e",MAX(SA,N134),IF('Pre-Calculation'!$D$17="Type 4 f",SA,IF('Pre-Calculation'!$D$17="Type 4 g",1000+N134,IF('Pre-Calculation'!$D$17="Type 4 h",SA+X134,IF('Pre-Calculation'!$D$17="Type 4 i",MAX(N134,Q134),IF('Pre-Calculation'!$D$17="Type 4 k",MAX(N134,1.01*Q134),IF('Pre-Calculation'!$D$17="Type 4 m",MAX(105%*Q134,SA+N134),IF('Pre-Calculation'!$D$17="Type 4 o",MAX(SA,105%*Q134)+X134+Z134,IF('Pre-Calculation'!$D$17="Type 5",0))))))))))))</f>
        <v>1999349.823</v>
      </c>
      <c r="Q134" s="175">
        <f t="shared" si="5"/>
        <v>1000000</v>
      </c>
      <c r="R134" s="119">
        <f>L134*(1+GROWTH_RATE)*FMC</f>
        <v>2251.031982</v>
      </c>
      <c r="S134" s="178">
        <f>S133*(1+'Pre-Calculation'!$E$27)</f>
        <v>938160.3794</v>
      </c>
      <c r="T134" s="175">
        <f>-E134+IF(A133=INPUT!$C$11*12,N134,0)</f>
        <v>0</v>
      </c>
      <c r="U134" s="175">
        <f t="shared" si="6"/>
        <v>2005653.284</v>
      </c>
      <c r="V134" s="175">
        <f>U134*(1+GROWTH_RATE_H)*(1-'Pre-Calculation'!$E$31)</f>
        <v>2015196.165</v>
      </c>
      <c r="W134" s="175">
        <f>-E134+IF(A133=INPUT!$C$11*12,V134,0)</f>
        <v>0</v>
      </c>
      <c r="X134" s="179">
        <f t="array" ref="X134">NPV('Pre-Calculation'!$E$20,$E135:E$246)</f>
        <v>0</v>
      </c>
      <c r="Y134" s="171">
        <f>10%*SA</f>
        <v>100000</v>
      </c>
      <c r="Z134" s="179">
        <f t="array" ref="Z134">NPV('Pre-Calculation'!$E$20,Y135:Y144)</f>
        <v>969592.8037</v>
      </c>
    </row>
    <row r="135" ht="15.75" customHeight="1">
      <c r="A135" s="171">
        <f t="shared" si="1"/>
        <v>189</v>
      </c>
      <c r="B135" s="171">
        <f t="shared" si="2"/>
        <v>16</v>
      </c>
      <c r="C135" s="176">
        <f>EDATE(RCD,A134)</f>
        <v>48273</v>
      </c>
      <c r="D135" s="171">
        <f>Age_At_Entry+'Cashflows_8%'!B135-1</f>
        <v>50</v>
      </c>
      <c r="E135" s="175">
        <f>IF(AND(C135&lt;=Last_Prem,MOD(A134,Mode)=0,C135&gt;INPUT!$C$13,A135&lt;=Revival!$C$11),Mod_Prem,0)</f>
        <v>0</v>
      </c>
      <c r="F135" s="177">
        <f>E135*VLOOKUP(B135,'Pre-Calculation'!$H$1:$I$31,2,FALSE)</f>
        <v>0</v>
      </c>
      <c r="G135" s="177">
        <f>IF(B135&lt;PT+1,VLOOKUP(B135,'Pre-Calculation'!$H$1:$L$32,3,FALSE)+VLOOKUP(B135,'Pre-Calculation'!$H$1:$L$32,4,FALSE)*'Pre-Calculation'!$D$7,0)</f>
        <v>0</v>
      </c>
      <c r="H135" s="175">
        <f>(E135-(F135+G135)*(1+Tax)+N134)</f>
        <v>1999349.823</v>
      </c>
      <c r="I135" s="175">
        <f>IF(B135&lt;PT+1,VLOOKUP(D135,'Pre-Calculation'!$N$3:$P$79,IF(INPUT!$C$4="M",2,3),FALSE)*(J135/1000)*(1/12),0)</f>
        <v>0</v>
      </c>
      <c r="J135" s="175">
        <f t="shared" si="3"/>
        <v>0</v>
      </c>
      <c r="K135" s="175">
        <f>(IF('Pre-Calculation'!$D$17="Type 4 a",MAX(SA,H135,1.05*Q135),IF('Pre-Calculation'!$D$17="Type 4 c",H135,IF('Pre-Calculation'!$D$17="Type 4 d",SA+H135,IF('Pre-Calculation'!$D$17="Type 4 e",MAX(SA,H135),IF('Pre-Calculation'!$D$17="Type 4 f",SA,IF('Pre-Calculation'!$D$17="Type 4 g",1000+H135,IF('Pre-Calculation'!$D$17="Type 4 h",SA+X135,IF('Pre-Calculation'!$D$17="Type 4 i",MAX(H135,Q135),IF('Pre-Calculation'!$D$17="Type 4 k",MAX(H135,1.01*Q135),IF('Pre-Calculation'!$D$17="Type 4 m",MAX(105%*Q135,SA+H135),IF('Pre-Calculation'!$D$17="Type 4 o",MAX(SA,105%*Q135)+X135+Z135,IF('Pre-Calculation'!$D$17="Type 5",0)))))))))))))*IF(AND(A135&lt;Revival!$C$4,'Cashflows_8%'!C135&gt;=Revival!$D$12),PUP,1)</f>
        <v>1999349.823</v>
      </c>
      <c r="L135" s="175">
        <f>H135-I135*(1+Tax)</f>
        <v>1999349.823</v>
      </c>
      <c r="M135" s="175">
        <f>L135*(1+GROWTH_RATE_H)*(1-FMC*(1+Tax))</f>
        <v>2009543.939</v>
      </c>
      <c r="N135" s="175">
        <f>M135+IF(MOD(A135,B135)=0,VLOOKUP(B135,'Pre-Calculation'!$H$1:$L$31,5,FALSE),0)*IF('Pre-Calculation'!$D$16="% OF FV",M135,IF(OR('Pre-Calculation'!$D$16="% OF AFV(24M)",'Pre-Calculation'!$D$16="% OF AFV(8Q)"),AVERAGE( $M112:$M135),IF('Pre-Calculation'!$D$16="% OF AFV(12M)",AVERAGE($M124:M135),IF('Pre-Calculation'!$D$16="% OF AFV(36M)",AVERAGE($M100:M135)))))</f>
        <v>2009543.939</v>
      </c>
      <c r="O135" s="175">
        <f t="shared" si="4"/>
        <v>2009543.939</v>
      </c>
      <c r="P135" s="175">
        <f>IF('Pre-Calculation'!$D$17="Type 4 a",MAX(SA,N135,1.05*Q135),IF('Pre-Calculation'!$D$17="Type 4 c",N135,IF('Pre-Calculation'!$D$17="Type 4 d",SA+N135,IF('Pre-Calculation'!$D$17="Type 4 e",MAX(SA,N135),IF('Pre-Calculation'!$D$17="Type 4 f",SA,IF('Pre-Calculation'!$D$17="Type 4 g",1000+N135,IF('Pre-Calculation'!$D$17="Type 4 h",SA+X135,IF('Pre-Calculation'!$D$17="Type 4 i",MAX(N135,Q135),IF('Pre-Calculation'!$D$17="Type 4 k",MAX(N135,1.01*Q135),IF('Pre-Calculation'!$D$17="Type 4 m",MAX(105%*Q135,SA+N135),IF('Pre-Calculation'!$D$17="Type 4 o",MAX(SA,105%*Q135)+X135+Z135,IF('Pre-Calculation'!$D$17="Type 5",0))))))))))))</f>
        <v>2009543.939</v>
      </c>
      <c r="Q135" s="175">
        <f t="shared" si="5"/>
        <v>1000000</v>
      </c>
      <c r="R135" s="119">
        <f>L135*(1+GROWTH_RATE)*FMC</f>
        <v>2262.509354</v>
      </c>
      <c r="S135" s="178">
        <f>S134*(1+'Pre-Calculation'!$E$27)</f>
        <v>940853.7428</v>
      </c>
      <c r="T135" s="175">
        <f>-E135+IF(A134=INPUT!$C$11*12,N135,0)</f>
        <v>0</v>
      </c>
      <c r="U135" s="175">
        <f t="shared" si="6"/>
        <v>2015196.165</v>
      </c>
      <c r="V135" s="175">
        <f>U135*(1+GROWTH_RATE_H)*(1-'Pre-Calculation'!$E$31)</f>
        <v>2024784.451</v>
      </c>
      <c r="W135" s="175">
        <f>-E135+IF(A134=INPUT!$C$11*12,V135,0)</f>
        <v>0</v>
      </c>
      <c r="X135" s="179">
        <f t="array" ref="X135">NPV('Pre-Calculation'!$E$20,$E136:E$246)</f>
        <v>0</v>
      </c>
      <c r="Y135" s="171">
        <f>10%*SA</f>
        <v>100000</v>
      </c>
      <c r="Z135" s="179">
        <f t="array" ref="Z135">NPV('Pre-Calculation'!$E$20,Y136:Y145)</f>
        <v>969592.8037</v>
      </c>
    </row>
    <row r="136" ht="15.75" customHeight="1">
      <c r="A136" s="171">
        <f t="shared" si="1"/>
        <v>190</v>
      </c>
      <c r="B136" s="171">
        <f t="shared" si="2"/>
        <v>16</v>
      </c>
      <c r="C136" s="176">
        <f>EDATE(RCD,A135)</f>
        <v>48303</v>
      </c>
      <c r="D136" s="171">
        <f>Age_At_Entry+'Cashflows_8%'!B136-1</f>
        <v>50</v>
      </c>
      <c r="E136" s="175">
        <f>IF(AND(C136&lt;=Last_Prem,MOD(A135,Mode)=0,C136&gt;INPUT!$C$13,A136&lt;=Revival!$C$11),Mod_Prem,0)</f>
        <v>0</v>
      </c>
      <c r="F136" s="177">
        <f>E136*VLOOKUP(B136,'Pre-Calculation'!$H$1:$I$31,2,FALSE)</f>
        <v>0</v>
      </c>
      <c r="G136" s="177">
        <f>IF(B136&lt;PT+1,VLOOKUP(B136,'Pre-Calculation'!$H$1:$L$32,3,FALSE)+VLOOKUP(B136,'Pre-Calculation'!$H$1:$L$32,4,FALSE)*'Pre-Calculation'!$D$7,0)</f>
        <v>0</v>
      </c>
      <c r="H136" s="175">
        <f>(E136-(F136+G136)*(1+Tax)+N135)</f>
        <v>2009543.939</v>
      </c>
      <c r="I136" s="175">
        <f>IF(B136&lt;PT+1,VLOOKUP(D136,'Pre-Calculation'!$N$3:$P$79,IF(INPUT!$C$4="M",2,3),FALSE)*(J136/1000)*(1/12),0)</f>
        <v>0</v>
      </c>
      <c r="J136" s="175">
        <f t="shared" si="3"/>
        <v>0</v>
      </c>
      <c r="K136" s="175">
        <f>(IF('Pre-Calculation'!$D$17="Type 4 a",MAX(SA,H136,1.05*Q136),IF('Pre-Calculation'!$D$17="Type 4 c",H136,IF('Pre-Calculation'!$D$17="Type 4 d",SA+H136,IF('Pre-Calculation'!$D$17="Type 4 e",MAX(SA,H136),IF('Pre-Calculation'!$D$17="Type 4 f",SA,IF('Pre-Calculation'!$D$17="Type 4 g",1000+H136,IF('Pre-Calculation'!$D$17="Type 4 h",SA+X136,IF('Pre-Calculation'!$D$17="Type 4 i",MAX(H136,Q136),IF('Pre-Calculation'!$D$17="Type 4 k",MAX(H136,1.01*Q136),IF('Pre-Calculation'!$D$17="Type 4 m",MAX(105%*Q136,SA+H136),IF('Pre-Calculation'!$D$17="Type 4 o",MAX(SA,105%*Q136)+X136+Z136,IF('Pre-Calculation'!$D$17="Type 5",0)))))))))))))*IF(AND(A136&lt;Revival!$C$4,'Cashflows_8%'!C136&gt;=Revival!$D$12),PUP,1)</f>
        <v>2009543.939</v>
      </c>
      <c r="L136" s="175">
        <f>H136-I136*(1+Tax)</f>
        <v>2009543.939</v>
      </c>
      <c r="M136" s="175">
        <f>L136*(1+GROWTH_RATE_H)*(1-FMC*(1+Tax))</f>
        <v>2019790.032</v>
      </c>
      <c r="N136" s="175">
        <f>M136+IF(MOD(A136,B136)=0,VLOOKUP(B136,'Pre-Calculation'!$H$1:$L$31,5,FALSE),0)*IF('Pre-Calculation'!$D$16="% OF FV",M136,IF(OR('Pre-Calculation'!$D$16="% OF AFV(24M)",'Pre-Calculation'!$D$16="% OF AFV(8Q)"),AVERAGE( $M113:$M136),IF('Pre-Calculation'!$D$16="% OF AFV(12M)",AVERAGE($M125:M136),IF('Pre-Calculation'!$D$16="% OF AFV(36M)",AVERAGE($M101:M136)))))</f>
        <v>2019790.032</v>
      </c>
      <c r="O136" s="175">
        <f t="shared" si="4"/>
        <v>2019790.032</v>
      </c>
      <c r="P136" s="175">
        <f>IF('Pre-Calculation'!$D$17="Type 4 a",MAX(SA,N136,1.05*Q136),IF('Pre-Calculation'!$D$17="Type 4 c",N136,IF('Pre-Calculation'!$D$17="Type 4 d",SA+N136,IF('Pre-Calculation'!$D$17="Type 4 e",MAX(SA,N136),IF('Pre-Calculation'!$D$17="Type 4 f",SA,IF('Pre-Calculation'!$D$17="Type 4 g",1000+N136,IF('Pre-Calculation'!$D$17="Type 4 h",SA+X136,IF('Pre-Calculation'!$D$17="Type 4 i",MAX(N136,Q136),IF('Pre-Calculation'!$D$17="Type 4 k",MAX(N136,1.01*Q136),IF('Pre-Calculation'!$D$17="Type 4 m",MAX(105%*Q136,SA+N136),IF('Pre-Calculation'!$D$17="Type 4 o",MAX(SA,105%*Q136)+X136+Z136,IF('Pre-Calculation'!$D$17="Type 5",0))))))))))))</f>
        <v>2019790.032</v>
      </c>
      <c r="Q136" s="175">
        <f t="shared" si="5"/>
        <v>1000000</v>
      </c>
      <c r="R136" s="119">
        <f>L136*(1+GROWTH_RATE)*FMC</f>
        <v>2274.045245</v>
      </c>
      <c r="S136" s="178">
        <f>S135*(1+'Pre-Calculation'!$E$27)</f>
        <v>943554.8386</v>
      </c>
      <c r="T136" s="175">
        <f>-E136+IF(A135=INPUT!$C$11*12,N136,0)</f>
        <v>0</v>
      </c>
      <c r="U136" s="175">
        <f t="shared" si="6"/>
        <v>2024784.451</v>
      </c>
      <c r="V136" s="175">
        <f>U136*(1+GROWTH_RATE_H)*(1-'Pre-Calculation'!$E$31)</f>
        <v>2034418.357</v>
      </c>
      <c r="W136" s="175">
        <f>-E136+IF(A135=INPUT!$C$11*12,V136,0)</f>
        <v>0</v>
      </c>
      <c r="X136" s="179">
        <f t="array" ref="X136">NPV('Pre-Calculation'!$E$20,$E137:E$246)</f>
        <v>0</v>
      </c>
      <c r="Y136" s="171">
        <f>10%*SA</f>
        <v>100000</v>
      </c>
      <c r="Z136" s="179">
        <f t="array" ref="Z136">NPV('Pre-Calculation'!$E$20,Y137:Y146)</f>
        <v>969592.8037</v>
      </c>
    </row>
    <row r="137" ht="15.75" customHeight="1">
      <c r="A137" s="171">
        <f t="shared" si="1"/>
        <v>191</v>
      </c>
      <c r="B137" s="171">
        <f t="shared" si="2"/>
        <v>16</v>
      </c>
      <c r="C137" s="176">
        <f>EDATE(RCD,A136)</f>
        <v>48334</v>
      </c>
      <c r="D137" s="171">
        <f>Age_At_Entry+'Cashflows_8%'!B137-1</f>
        <v>50</v>
      </c>
      <c r="E137" s="175">
        <f>IF(AND(C137&lt;=Last_Prem,MOD(A136,Mode)=0,C137&gt;INPUT!$C$13,A137&lt;=Revival!$C$11),Mod_Prem,0)</f>
        <v>0</v>
      </c>
      <c r="F137" s="177">
        <f>E137*VLOOKUP(B137,'Pre-Calculation'!$H$1:$I$31,2,FALSE)</f>
        <v>0</v>
      </c>
      <c r="G137" s="177">
        <f>IF(B137&lt;PT+1,VLOOKUP(B137,'Pre-Calculation'!$H$1:$L$32,3,FALSE)+VLOOKUP(B137,'Pre-Calculation'!$H$1:$L$32,4,FALSE)*'Pre-Calculation'!$D$7,0)</f>
        <v>0</v>
      </c>
      <c r="H137" s="175">
        <f>(E137-(F137+G137)*(1+Tax)+N136)</f>
        <v>2019790.032</v>
      </c>
      <c r="I137" s="175">
        <f>IF(B137&lt;PT+1,VLOOKUP(D137,'Pre-Calculation'!$N$3:$P$79,IF(INPUT!$C$4="M",2,3),FALSE)*(J137/1000)*(1/12),0)</f>
        <v>0</v>
      </c>
      <c r="J137" s="175">
        <f t="shared" si="3"/>
        <v>0</v>
      </c>
      <c r="K137" s="175">
        <f>(IF('Pre-Calculation'!$D$17="Type 4 a",MAX(SA,H137,1.05*Q137),IF('Pre-Calculation'!$D$17="Type 4 c",H137,IF('Pre-Calculation'!$D$17="Type 4 d",SA+H137,IF('Pre-Calculation'!$D$17="Type 4 e",MAX(SA,H137),IF('Pre-Calculation'!$D$17="Type 4 f",SA,IF('Pre-Calculation'!$D$17="Type 4 g",1000+H137,IF('Pre-Calculation'!$D$17="Type 4 h",SA+X137,IF('Pre-Calculation'!$D$17="Type 4 i",MAX(H137,Q137),IF('Pre-Calculation'!$D$17="Type 4 k",MAX(H137,1.01*Q137),IF('Pre-Calculation'!$D$17="Type 4 m",MAX(105%*Q137,SA+H137),IF('Pre-Calculation'!$D$17="Type 4 o",MAX(SA,105%*Q137)+X137+Z137,IF('Pre-Calculation'!$D$17="Type 5",0)))))))))))))*IF(AND(A137&lt;Revival!$C$4,'Cashflows_8%'!C137&gt;=Revival!$D$12),PUP,1)</f>
        <v>2019790.032</v>
      </c>
      <c r="L137" s="175">
        <f>H137-I137*(1+Tax)</f>
        <v>2019790.032</v>
      </c>
      <c r="M137" s="175">
        <f>L137*(1+GROWTH_RATE_H)*(1-FMC*(1+Tax))</f>
        <v>2030088.367</v>
      </c>
      <c r="N137" s="175">
        <f>M137+IF(MOD(A137,B137)=0,VLOOKUP(B137,'Pre-Calculation'!$H$1:$L$31,5,FALSE),0)*IF('Pre-Calculation'!$D$16="% OF FV",M137,IF(OR('Pre-Calculation'!$D$16="% OF AFV(24M)",'Pre-Calculation'!$D$16="% OF AFV(8Q)"),AVERAGE( $M114:$M137),IF('Pre-Calculation'!$D$16="% OF AFV(12M)",AVERAGE($M126:M137),IF('Pre-Calculation'!$D$16="% OF AFV(36M)",AVERAGE($M102:M137)))))</f>
        <v>2030088.367</v>
      </c>
      <c r="O137" s="175">
        <f t="shared" si="4"/>
        <v>2030088.367</v>
      </c>
      <c r="P137" s="175">
        <f>IF('Pre-Calculation'!$D$17="Type 4 a",MAX(SA,N137,1.05*Q137),IF('Pre-Calculation'!$D$17="Type 4 c",N137,IF('Pre-Calculation'!$D$17="Type 4 d",SA+N137,IF('Pre-Calculation'!$D$17="Type 4 e",MAX(SA,N137),IF('Pre-Calculation'!$D$17="Type 4 f",SA,IF('Pre-Calculation'!$D$17="Type 4 g",1000+N137,IF('Pre-Calculation'!$D$17="Type 4 h",SA+X137,IF('Pre-Calculation'!$D$17="Type 4 i",MAX(N137,Q137),IF('Pre-Calculation'!$D$17="Type 4 k",MAX(N137,1.01*Q137),IF('Pre-Calculation'!$D$17="Type 4 m",MAX(105%*Q137,SA+N137),IF('Pre-Calculation'!$D$17="Type 4 o",MAX(SA,105%*Q137)+X137+Z137,IF('Pre-Calculation'!$D$17="Type 5",0))))))))))))</f>
        <v>2030088.367</v>
      </c>
      <c r="Q137" s="175">
        <f t="shared" si="5"/>
        <v>1000000</v>
      </c>
      <c r="R137" s="119">
        <f>L137*(1+GROWTH_RATE)*FMC</f>
        <v>2285.639955</v>
      </c>
      <c r="S137" s="178">
        <f>S136*(1+'Pre-Calculation'!$E$27)</f>
        <v>946263.689</v>
      </c>
      <c r="T137" s="175">
        <f>-E137+IF(A136=INPUT!$C$11*12,N137,0)</f>
        <v>0</v>
      </c>
      <c r="U137" s="175">
        <f t="shared" si="6"/>
        <v>2034418.357</v>
      </c>
      <c r="V137" s="175">
        <f>U137*(1+GROWTH_RATE_H)*(1-'Pre-Calculation'!$E$31)</f>
        <v>2044098.102</v>
      </c>
      <c r="W137" s="175">
        <f>-E137+IF(A136=INPUT!$C$11*12,V137,0)</f>
        <v>0</v>
      </c>
      <c r="X137" s="179">
        <f t="array" ref="X137">NPV('Pre-Calculation'!$E$20,$E138:E$246)</f>
        <v>0</v>
      </c>
      <c r="Y137" s="171">
        <f>10%*SA</f>
        <v>100000</v>
      </c>
      <c r="Z137" s="179">
        <f t="array" ref="Z137">NPV('Pre-Calculation'!$E$20,Y138:Y147)</f>
        <v>969592.8037</v>
      </c>
    </row>
    <row r="138" ht="15.75" customHeight="1">
      <c r="A138" s="171">
        <f t="shared" si="1"/>
        <v>192</v>
      </c>
      <c r="B138" s="171">
        <f t="shared" si="2"/>
        <v>16</v>
      </c>
      <c r="C138" s="176">
        <f>EDATE(RCD,A137)</f>
        <v>48364</v>
      </c>
      <c r="D138" s="171">
        <f>Age_At_Entry+'Cashflows_8%'!B138-1</f>
        <v>50</v>
      </c>
      <c r="E138" s="175">
        <f>IF(AND(C138&lt;=Last_Prem,MOD(A137,Mode)=0,C138&gt;INPUT!$C$13,A138&lt;=Revival!$C$11),Mod_Prem,0)</f>
        <v>0</v>
      </c>
      <c r="F138" s="177">
        <f>E138*VLOOKUP(B138,'Pre-Calculation'!$H$1:$I$31,2,FALSE)</f>
        <v>0</v>
      </c>
      <c r="G138" s="177">
        <f>IF(B138&lt;PT+1,VLOOKUP(B138,'Pre-Calculation'!$H$1:$L$32,3,FALSE)+VLOOKUP(B138,'Pre-Calculation'!$H$1:$L$32,4,FALSE)*'Pre-Calculation'!$D$7,0)</f>
        <v>0</v>
      </c>
      <c r="H138" s="175">
        <f>(E138-(F138+G138)*(1+Tax)+N137)</f>
        <v>2030088.367</v>
      </c>
      <c r="I138" s="175">
        <f>IF(B138&lt;PT+1,VLOOKUP(D138,'Pre-Calculation'!$N$3:$P$79,IF(INPUT!$C$4="M",2,3),FALSE)*(J138/1000)*(1/12),0)</f>
        <v>0</v>
      </c>
      <c r="J138" s="175">
        <f t="shared" si="3"/>
        <v>0</v>
      </c>
      <c r="K138" s="175">
        <f>(IF('Pre-Calculation'!$D$17="Type 4 a",MAX(SA,H138,1.05*Q138),IF('Pre-Calculation'!$D$17="Type 4 c",H138,IF('Pre-Calculation'!$D$17="Type 4 d",SA+H138,IF('Pre-Calculation'!$D$17="Type 4 e",MAX(SA,H138),IF('Pre-Calculation'!$D$17="Type 4 f",SA,IF('Pre-Calculation'!$D$17="Type 4 g",1000+H138,IF('Pre-Calculation'!$D$17="Type 4 h",SA+X138,IF('Pre-Calculation'!$D$17="Type 4 i",MAX(H138,Q138),IF('Pre-Calculation'!$D$17="Type 4 k",MAX(H138,1.01*Q138),IF('Pre-Calculation'!$D$17="Type 4 m",MAX(105%*Q138,SA+H138),IF('Pre-Calculation'!$D$17="Type 4 o",MAX(SA,105%*Q138)+X138+Z138,IF('Pre-Calculation'!$D$17="Type 5",0)))))))))))))*IF(AND(A138&lt;Revival!$C$4,'Cashflows_8%'!C138&gt;=Revival!$D$12),PUP,1)</f>
        <v>2030088.367</v>
      </c>
      <c r="L138" s="175">
        <f>H138-I138*(1+Tax)</f>
        <v>2030088.367</v>
      </c>
      <c r="M138" s="175">
        <f>L138*(1+GROWTH_RATE_H)*(1-FMC*(1+Tax))</f>
        <v>2040439.21</v>
      </c>
      <c r="N138" s="175">
        <f>M138+IF(MOD(A138,B138)=0,VLOOKUP(B138,'Pre-Calculation'!$H$1:$L$31,5,FALSE),0)*IF('Pre-Calculation'!$D$16="% OF FV",M138,IF(OR('Pre-Calculation'!$D$16="% OF AFV(24M)",'Pre-Calculation'!$D$16="% OF AFV(8Q)"),AVERAGE( $M115:$M138),IF('Pre-Calculation'!$D$16="% OF AFV(12M)",AVERAGE($M127:M138),IF('Pre-Calculation'!$D$16="% OF AFV(36M)",AVERAGE($M103:M138)))))</f>
        <v>2040439.21</v>
      </c>
      <c r="O138" s="175">
        <f t="shared" si="4"/>
        <v>2040439.21</v>
      </c>
      <c r="P138" s="175">
        <f>IF('Pre-Calculation'!$D$17="Type 4 a",MAX(SA,N138,1.05*Q138),IF('Pre-Calculation'!$D$17="Type 4 c",N138,IF('Pre-Calculation'!$D$17="Type 4 d",SA+N138,IF('Pre-Calculation'!$D$17="Type 4 e",MAX(SA,N138),IF('Pre-Calculation'!$D$17="Type 4 f",SA,IF('Pre-Calculation'!$D$17="Type 4 g",1000+N138,IF('Pre-Calculation'!$D$17="Type 4 h",SA+X138,IF('Pre-Calculation'!$D$17="Type 4 i",MAX(N138,Q138),IF('Pre-Calculation'!$D$17="Type 4 k",MAX(N138,1.01*Q138),IF('Pre-Calculation'!$D$17="Type 4 m",MAX(105%*Q138,SA+N138),IF('Pre-Calculation'!$D$17="Type 4 o",MAX(SA,105%*Q138)+X138+Z138,IF('Pre-Calculation'!$D$17="Type 5",0))))))))))))</f>
        <v>2040439.21</v>
      </c>
      <c r="Q138" s="175">
        <f t="shared" si="5"/>
        <v>1000000</v>
      </c>
      <c r="R138" s="119">
        <f>L138*(1+GROWTH_RATE)*FMC</f>
        <v>2297.293783</v>
      </c>
      <c r="S138" s="178">
        <f>S137*(1+'Pre-Calculation'!$E$27)</f>
        <v>948980.3162</v>
      </c>
      <c r="T138" s="175">
        <f>-E138+IF(A137=INPUT!$C$11*12,N138,0)</f>
        <v>0</v>
      </c>
      <c r="U138" s="175">
        <f t="shared" si="6"/>
        <v>2044098.102</v>
      </c>
      <c r="V138" s="175">
        <f>U138*(1+GROWTH_RATE_H)*(1-'Pre-Calculation'!$E$31)</f>
        <v>2053823.903</v>
      </c>
      <c r="W138" s="175">
        <f>-E138+IF(A137=INPUT!$C$11*12,V138,0)</f>
        <v>0</v>
      </c>
      <c r="X138" s="179">
        <f t="array" ref="X138">NPV('Pre-Calculation'!$E$20,$E139:E$246)</f>
        <v>0</v>
      </c>
      <c r="Y138" s="171">
        <f>10%*SA</f>
        <v>100000</v>
      </c>
      <c r="Z138" s="179">
        <f t="array" ref="Z138">NPV('Pre-Calculation'!$E$20,Y139:Y148)</f>
        <v>969592.8037</v>
      </c>
    </row>
    <row r="139" ht="15.75" customHeight="1">
      <c r="A139" s="171">
        <f t="shared" si="1"/>
        <v>193</v>
      </c>
      <c r="B139" s="171">
        <f t="shared" si="2"/>
        <v>17</v>
      </c>
      <c r="C139" s="176">
        <f>EDATE(RCD,A138)</f>
        <v>48395</v>
      </c>
      <c r="D139" s="171">
        <f>Age_At_Entry+'Cashflows_8%'!B139-1</f>
        <v>51</v>
      </c>
      <c r="E139" s="175">
        <f>IF(AND(C139&lt;=Last_Prem,MOD(A138,Mode)=0,C139&gt;INPUT!$C$13,A139&lt;=Revival!$C$11),Mod_Prem,0)</f>
        <v>0</v>
      </c>
      <c r="F139" s="177">
        <f>E139*VLOOKUP(B139,'Pre-Calculation'!$H$1:$I$31,2,FALSE)</f>
        <v>0</v>
      </c>
      <c r="G139" s="177">
        <f>IF(B139&lt;PT+1,VLOOKUP(B139,'Pre-Calculation'!$H$1:$L$32,3,FALSE)+VLOOKUP(B139,'Pre-Calculation'!$H$1:$L$32,4,FALSE)*'Pre-Calculation'!$D$7,0)</f>
        <v>0</v>
      </c>
      <c r="H139" s="175">
        <f>(E139-(F139+G139)*(1+Tax)+N138)</f>
        <v>2040439.21</v>
      </c>
      <c r="I139" s="175">
        <f>IF(B139&lt;PT+1,VLOOKUP(D139,'Pre-Calculation'!$N$3:$P$79,IF(INPUT!$C$4="M",2,3),FALSE)*(J139/1000)*(1/12),0)</f>
        <v>0</v>
      </c>
      <c r="J139" s="175">
        <f t="shared" si="3"/>
        <v>0</v>
      </c>
      <c r="K139" s="175">
        <f>(IF('Pre-Calculation'!$D$17="Type 4 a",MAX(SA,H139,1.05*Q139),IF('Pre-Calculation'!$D$17="Type 4 c",H139,IF('Pre-Calculation'!$D$17="Type 4 d",SA+H139,IF('Pre-Calculation'!$D$17="Type 4 e",MAX(SA,H139),IF('Pre-Calculation'!$D$17="Type 4 f",SA,IF('Pre-Calculation'!$D$17="Type 4 g",1000+H139,IF('Pre-Calculation'!$D$17="Type 4 h",SA+X139,IF('Pre-Calculation'!$D$17="Type 4 i",MAX(H139,Q139),IF('Pre-Calculation'!$D$17="Type 4 k",MAX(H139,1.01*Q139),IF('Pre-Calculation'!$D$17="Type 4 m",MAX(105%*Q139,SA+H139),IF('Pre-Calculation'!$D$17="Type 4 o",MAX(SA,105%*Q139)+X139+Z139,IF('Pre-Calculation'!$D$17="Type 5",0)))))))))))))*IF(AND(A139&lt;Revival!$C$4,'Cashflows_8%'!C139&gt;=Revival!$D$12),PUP,1)</f>
        <v>2040439.21</v>
      </c>
      <c r="L139" s="175">
        <f>H139-I139*(1+Tax)</f>
        <v>2040439.21</v>
      </c>
      <c r="M139" s="175">
        <f>L139*(1+GROWTH_RATE_H)*(1-FMC*(1+Tax))</f>
        <v>2050842.829</v>
      </c>
      <c r="N139" s="175">
        <f>M139+IF(MOD(A139,B139)=0,VLOOKUP(B139,'Pre-Calculation'!$H$1:$L$31,5,FALSE),0)*IF('Pre-Calculation'!$D$16="% OF FV",M139,IF(OR('Pre-Calculation'!$D$16="% OF AFV(24M)",'Pre-Calculation'!$D$16="% OF AFV(8Q)"),AVERAGE( $M116:$M139),IF('Pre-Calculation'!$D$16="% OF AFV(12M)",AVERAGE($M128:M139),IF('Pre-Calculation'!$D$16="% OF AFV(36M)",AVERAGE($M104:M139)))))</f>
        <v>2050842.829</v>
      </c>
      <c r="O139" s="175">
        <f t="shared" si="4"/>
        <v>2050842.829</v>
      </c>
      <c r="P139" s="175">
        <f>IF('Pre-Calculation'!$D$17="Type 4 a",MAX(SA,N139,1.05*Q139),IF('Pre-Calculation'!$D$17="Type 4 c",N139,IF('Pre-Calculation'!$D$17="Type 4 d",SA+N139,IF('Pre-Calculation'!$D$17="Type 4 e",MAX(SA,N139),IF('Pre-Calculation'!$D$17="Type 4 f",SA,IF('Pre-Calculation'!$D$17="Type 4 g",1000+N139,IF('Pre-Calculation'!$D$17="Type 4 h",SA+X139,IF('Pre-Calculation'!$D$17="Type 4 i",MAX(N139,Q139),IF('Pre-Calculation'!$D$17="Type 4 k",MAX(N139,1.01*Q139),IF('Pre-Calculation'!$D$17="Type 4 m",MAX(105%*Q139,SA+N139),IF('Pre-Calculation'!$D$17="Type 4 o",MAX(SA,105%*Q139)+X139+Z139,IF('Pre-Calculation'!$D$17="Type 5",0))))))))))))</f>
        <v>2050842.829</v>
      </c>
      <c r="Q139" s="175">
        <f t="shared" si="5"/>
        <v>1000000</v>
      </c>
      <c r="R139" s="119">
        <f>L139*(1+GROWTH_RATE)*FMC</f>
        <v>2309.00703</v>
      </c>
      <c r="S139" s="178">
        <f>S138*(1+'Pre-Calculation'!$E$27)</f>
        <v>951704.7426</v>
      </c>
      <c r="T139" s="175">
        <f>-E139+IF(A138=INPUT!$C$11*12,N139,0)</f>
        <v>0</v>
      </c>
      <c r="U139" s="175">
        <f t="shared" si="6"/>
        <v>2053823.903</v>
      </c>
      <c r="V139" s="175">
        <f>U139*(1+GROWTH_RATE_H)*(1-'Pre-Calculation'!$E$31)</f>
        <v>2063595.979</v>
      </c>
      <c r="W139" s="175">
        <f>-E139+IF(A138=INPUT!$C$11*12,V139,0)</f>
        <v>0</v>
      </c>
      <c r="X139" s="179">
        <f t="array" ref="X139">NPV('Pre-Calculation'!$E$20,$E140:E$246)</f>
        <v>0</v>
      </c>
      <c r="Y139" s="171">
        <f>10%*SA</f>
        <v>100000</v>
      </c>
      <c r="Z139" s="179">
        <f t="array" ref="Z139">NPV('Pre-Calculation'!$E$20,Y140:Y149)</f>
        <v>969592.8037</v>
      </c>
    </row>
    <row r="140" ht="15.75" customHeight="1">
      <c r="A140" s="171">
        <f t="shared" si="1"/>
        <v>194</v>
      </c>
      <c r="B140" s="171">
        <f t="shared" si="2"/>
        <v>17</v>
      </c>
      <c r="C140" s="176">
        <f>EDATE(RCD,A139)</f>
        <v>48425</v>
      </c>
      <c r="D140" s="171">
        <f>Age_At_Entry+'Cashflows_8%'!B140-1</f>
        <v>51</v>
      </c>
      <c r="E140" s="175">
        <f>IF(AND(C140&lt;=Last_Prem,MOD(A139,Mode)=0,C140&gt;INPUT!$C$13,A140&lt;=Revival!$C$11),Mod_Prem,0)</f>
        <v>0</v>
      </c>
      <c r="F140" s="177">
        <f>E140*VLOOKUP(B140,'Pre-Calculation'!$H$1:$I$31,2,FALSE)</f>
        <v>0</v>
      </c>
      <c r="G140" s="177">
        <f>IF(B140&lt;PT+1,VLOOKUP(B140,'Pre-Calculation'!$H$1:$L$32,3,FALSE)+VLOOKUP(B140,'Pre-Calculation'!$H$1:$L$32,4,FALSE)*'Pre-Calculation'!$D$7,0)</f>
        <v>0</v>
      </c>
      <c r="H140" s="175">
        <f>(E140-(F140+G140)*(1+Tax)+N139)</f>
        <v>2050842.829</v>
      </c>
      <c r="I140" s="175">
        <f>IF(B140&lt;PT+1,VLOOKUP(D140,'Pre-Calculation'!$N$3:$P$79,IF(INPUT!$C$4="M",2,3),FALSE)*(J140/1000)*(1/12),0)</f>
        <v>0</v>
      </c>
      <c r="J140" s="175">
        <f t="shared" si="3"/>
        <v>0</v>
      </c>
      <c r="K140" s="175">
        <f>(IF('Pre-Calculation'!$D$17="Type 4 a",MAX(SA,H140,1.05*Q140),IF('Pre-Calculation'!$D$17="Type 4 c",H140,IF('Pre-Calculation'!$D$17="Type 4 d",SA+H140,IF('Pre-Calculation'!$D$17="Type 4 e",MAX(SA,H140),IF('Pre-Calculation'!$D$17="Type 4 f",SA,IF('Pre-Calculation'!$D$17="Type 4 g",1000+H140,IF('Pre-Calculation'!$D$17="Type 4 h",SA+X140,IF('Pre-Calculation'!$D$17="Type 4 i",MAX(H140,Q140),IF('Pre-Calculation'!$D$17="Type 4 k",MAX(H140,1.01*Q140),IF('Pre-Calculation'!$D$17="Type 4 m",MAX(105%*Q140,SA+H140),IF('Pre-Calculation'!$D$17="Type 4 o",MAX(SA,105%*Q140)+X140+Z140,IF('Pre-Calculation'!$D$17="Type 5",0)))))))))))))*IF(AND(A140&lt;Revival!$C$4,'Cashflows_8%'!C140&gt;=Revival!$D$12),PUP,1)</f>
        <v>2050842.829</v>
      </c>
      <c r="L140" s="175">
        <f>H140-I140*(1+Tax)</f>
        <v>2050842.829</v>
      </c>
      <c r="M140" s="175">
        <f>L140*(1+GROWTH_RATE_H)*(1-FMC*(1+Tax))</f>
        <v>2061299.493</v>
      </c>
      <c r="N140" s="175">
        <f>M140+IF(MOD(A140,B140)=0,VLOOKUP(B140,'Pre-Calculation'!$H$1:$L$31,5,FALSE),0)*IF('Pre-Calculation'!$D$16="% OF FV",M140,IF(OR('Pre-Calculation'!$D$16="% OF AFV(24M)",'Pre-Calculation'!$D$16="% OF AFV(8Q)"),AVERAGE( $M117:$M140),IF('Pre-Calculation'!$D$16="% OF AFV(12M)",AVERAGE($M129:M140),IF('Pre-Calculation'!$D$16="% OF AFV(36M)",AVERAGE($M105:M140)))))</f>
        <v>2061299.493</v>
      </c>
      <c r="O140" s="175">
        <f t="shared" si="4"/>
        <v>2061299.493</v>
      </c>
      <c r="P140" s="175">
        <f>IF('Pre-Calculation'!$D$17="Type 4 a",MAX(SA,N140,1.05*Q140),IF('Pre-Calculation'!$D$17="Type 4 c",N140,IF('Pre-Calculation'!$D$17="Type 4 d",SA+N140,IF('Pre-Calculation'!$D$17="Type 4 e",MAX(SA,N140),IF('Pre-Calculation'!$D$17="Type 4 f",SA,IF('Pre-Calculation'!$D$17="Type 4 g",1000+N140,IF('Pre-Calculation'!$D$17="Type 4 h",SA+X140,IF('Pre-Calculation'!$D$17="Type 4 i",MAX(N140,Q140),IF('Pre-Calculation'!$D$17="Type 4 k",MAX(N140,1.01*Q140),IF('Pre-Calculation'!$D$17="Type 4 m",MAX(105%*Q140,SA+N140),IF('Pre-Calculation'!$D$17="Type 4 o",MAX(SA,105%*Q140)+X140+Z140,IF('Pre-Calculation'!$D$17="Type 5",0))))))))))))</f>
        <v>2061299.493</v>
      </c>
      <c r="Q140" s="175">
        <f t="shared" si="5"/>
        <v>1000000</v>
      </c>
      <c r="R140" s="119">
        <f>L140*(1+GROWTH_RATE)*FMC</f>
        <v>2320.78</v>
      </c>
      <c r="S140" s="178">
        <f>S139*(1+'Pre-Calculation'!$E$27)</f>
        <v>954436.9905</v>
      </c>
      <c r="T140" s="175">
        <f>-E140+IF(A139=INPUT!$C$11*12,N140,0)</f>
        <v>0</v>
      </c>
      <c r="U140" s="175">
        <f t="shared" si="6"/>
        <v>2063595.979</v>
      </c>
      <c r="V140" s="175">
        <f>U140*(1+GROWTH_RATE_H)*(1-'Pre-Calculation'!$E$31)</f>
        <v>2073414.551</v>
      </c>
      <c r="W140" s="175">
        <f>-E140+IF(A139=INPUT!$C$11*12,V140,0)</f>
        <v>0</v>
      </c>
      <c r="X140" s="179">
        <f t="array" ref="X140">NPV('Pre-Calculation'!$E$20,$E141:E$246)</f>
        <v>0</v>
      </c>
      <c r="Y140" s="171">
        <f>10%*SA</f>
        <v>100000</v>
      </c>
      <c r="Z140" s="179">
        <f t="array" ref="Z140">NPV('Pre-Calculation'!$E$20,Y141:Y150)</f>
        <v>969592.8037</v>
      </c>
    </row>
    <row r="141" ht="15.75" customHeight="1">
      <c r="A141" s="171">
        <f t="shared" si="1"/>
        <v>195</v>
      </c>
      <c r="B141" s="171">
        <f t="shared" si="2"/>
        <v>17</v>
      </c>
      <c r="C141" s="176">
        <f>EDATE(RCD,A140)</f>
        <v>48456</v>
      </c>
      <c r="D141" s="171">
        <f>Age_At_Entry+'Cashflows_8%'!B141-1</f>
        <v>51</v>
      </c>
      <c r="E141" s="175">
        <f>IF(AND(C141&lt;=Last_Prem,MOD(A140,Mode)=0,C141&gt;INPUT!$C$13,A141&lt;=Revival!$C$11),Mod_Prem,0)</f>
        <v>0</v>
      </c>
      <c r="F141" s="177">
        <f>E141*VLOOKUP(B141,'Pre-Calculation'!$H$1:$I$31,2,FALSE)</f>
        <v>0</v>
      </c>
      <c r="G141" s="177">
        <f>IF(B141&lt;PT+1,VLOOKUP(B141,'Pre-Calculation'!$H$1:$L$32,3,FALSE)+VLOOKUP(B141,'Pre-Calculation'!$H$1:$L$32,4,FALSE)*'Pre-Calculation'!$D$7,0)</f>
        <v>0</v>
      </c>
      <c r="H141" s="175">
        <f>(E141-(F141+G141)*(1+Tax)+N140)</f>
        <v>2061299.493</v>
      </c>
      <c r="I141" s="175">
        <f>IF(B141&lt;PT+1,VLOOKUP(D141,'Pre-Calculation'!$N$3:$P$79,IF(INPUT!$C$4="M",2,3),FALSE)*(J141/1000)*(1/12),0)</f>
        <v>0</v>
      </c>
      <c r="J141" s="175">
        <f t="shared" si="3"/>
        <v>0</v>
      </c>
      <c r="K141" s="175">
        <f>(IF('Pre-Calculation'!$D$17="Type 4 a",MAX(SA,H141,1.05*Q141),IF('Pre-Calculation'!$D$17="Type 4 c",H141,IF('Pre-Calculation'!$D$17="Type 4 d",SA+H141,IF('Pre-Calculation'!$D$17="Type 4 e",MAX(SA,H141),IF('Pre-Calculation'!$D$17="Type 4 f",SA,IF('Pre-Calculation'!$D$17="Type 4 g",1000+H141,IF('Pre-Calculation'!$D$17="Type 4 h",SA+X141,IF('Pre-Calculation'!$D$17="Type 4 i",MAX(H141,Q141),IF('Pre-Calculation'!$D$17="Type 4 k",MAX(H141,1.01*Q141),IF('Pre-Calculation'!$D$17="Type 4 m",MAX(105%*Q141,SA+H141),IF('Pre-Calculation'!$D$17="Type 4 o",MAX(SA,105%*Q141)+X141+Z141,IF('Pre-Calculation'!$D$17="Type 5",0)))))))))))))*IF(AND(A141&lt;Revival!$C$4,'Cashflows_8%'!C141&gt;=Revival!$D$12),PUP,1)</f>
        <v>2061299.493</v>
      </c>
      <c r="L141" s="175">
        <f>H141-I141*(1+Tax)</f>
        <v>2061299.493</v>
      </c>
      <c r="M141" s="175">
        <f>L141*(1+GROWTH_RATE_H)*(1-FMC*(1+Tax))</f>
        <v>2071809.472</v>
      </c>
      <c r="N141" s="175">
        <f>M141+IF(MOD(A141,B141)=0,VLOOKUP(B141,'Pre-Calculation'!$H$1:$L$31,5,FALSE),0)*IF('Pre-Calculation'!$D$16="% OF FV",M141,IF(OR('Pre-Calculation'!$D$16="% OF AFV(24M)",'Pre-Calculation'!$D$16="% OF AFV(8Q)"),AVERAGE( $M118:$M141),IF('Pre-Calculation'!$D$16="% OF AFV(12M)",AVERAGE($M130:M141),IF('Pre-Calculation'!$D$16="% OF AFV(36M)",AVERAGE($M106:M141)))))</f>
        <v>2071809.472</v>
      </c>
      <c r="O141" s="175">
        <f t="shared" si="4"/>
        <v>2071809.472</v>
      </c>
      <c r="P141" s="175">
        <f>IF('Pre-Calculation'!$D$17="Type 4 a",MAX(SA,N141,1.05*Q141),IF('Pre-Calculation'!$D$17="Type 4 c",N141,IF('Pre-Calculation'!$D$17="Type 4 d",SA+N141,IF('Pre-Calculation'!$D$17="Type 4 e",MAX(SA,N141),IF('Pre-Calculation'!$D$17="Type 4 f",SA,IF('Pre-Calculation'!$D$17="Type 4 g",1000+N141,IF('Pre-Calculation'!$D$17="Type 4 h",SA+X141,IF('Pre-Calculation'!$D$17="Type 4 i",MAX(N141,Q141),IF('Pre-Calculation'!$D$17="Type 4 k",MAX(N141,1.01*Q141),IF('Pre-Calculation'!$D$17="Type 4 m",MAX(105%*Q141,SA+N141),IF('Pre-Calculation'!$D$17="Type 4 o",MAX(SA,105%*Q141)+X141+Z141,IF('Pre-Calculation'!$D$17="Type 5",0))))))))))))</f>
        <v>2071809.472</v>
      </c>
      <c r="Q141" s="175">
        <f t="shared" si="5"/>
        <v>1000000</v>
      </c>
      <c r="R141" s="119">
        <f>L141*(1+GROWTH_RATE)*FMC</f>
        <v>2332.612997</v>
      </c>
      <c r="S141" s="178">
        <f>S140*(1+'Pre-Calculation'!$E$27)</f>
        <v>957177.0824</v>
      </c>
      <c r="T141" s="175">
        <f>-E141+IF(A140=INPUT!$C$11*12,N141,0)</f>
        <v>0</v>
      </c>
      <c r="U141" s="175">
        <f t="shared" si="6"/>
        <v>2073414.551</v>
      </c>
      <c r="V141" s="175">
        <f>U141*(1+GROWTH_RATE_H)*(1-'Pre-Calculation'!$E$31)</f>
        <v>2083279.839</v>
      </c>
      <c r="W141" s="175">
        <f>-E141+IF(A140=INPUT!$C$11*12,V141,0)</f>
        <v>0</v>
      </c>
      <c r="X141" s="179">
        <f t="array" ref="X141">NPV('Pre-Calculation'!$E$20,$E142:E$246)</f>
        <v>0</v>
      </c>
      <c r="Y141" s="171">
        <f>10%*SA</f>
        <v>100000</v>
      </c>
      <c r="Z141" s="179">
        <f t="array" ref="Z141">NPV('Pre-Calculation'!$E$20,Y142:Y151)</f>
        <v>969592.8037</v>
      </c>
    </row>
    <row r="142" ht="15.75" customHeight="1">
      <c r="A142" s="171">
        <f t="shared" si="1"/>
        <v>196</v>
      </c>
      <c r="B142" s="171">
        <f t="shared" si="2"/>
        <v>17</v>
      </c>
      <c r="C142" s="176">
        <f>EDATE(RCD,A141)</f>
        <v>48487</v>
      </c>
      <c r="D142" s="171">
        <f>Age_At_Entry+'Cashflows_8%'!B142-1</f>
        <v>51</v>
      </c>
      <c r="E142" s="175">
        <f>IF(AND(C142&lt;=Last_Prem,MOD(A141,Mode)=0,C142&gt;INPUT!$C$13,A142&lt;=Revival!$C$11),Mod_Prem,0)</f>
        <v>0</v>
      </c>
      <c r="F142" s="177">
        <f>E142*VLOOKUP(B142,'Pre-Calculation'!$H$1:$I$31,2,FALSE)</f>
        <v>0</v>
      </c>
      <c r="G142" s="177">
        <f>IF(B142&lt;PT+1,VLOOKUP(B142,'Pre-Calculation'!$H$1:$L$32,3,FALSE)+VLOOKUP(B142,'Pre-Calculation'!$H$1:$L$32,4,FALSE)*'Pre-Calculation'!$D$7,0)</f>
        <v>0</v>
      </c>
      <c r="H142" s="175">
        <f>(E142-(F142+G142)*(1+Tax)+N141)</f>
        <v>2071809.472</v>
      </c>
      <c r="I142" s="175">
        <f>IF(B142&lt;PT+1,VLOOKUP(D142,'Pre-Calculation'!$N$3:$P$79,IF(INPUT!$C$4="M",2,3),FALSE)*(J142/1000)*(1/12),0)</f>
        <v>0</v>
      </c>
      <c r="J142" s="175">
        <f t="shared" si="3"/>
        <v>0</v>
      </c>
      <c r="K142" s="175">
        <f>(IF('Pre-Calculation'!$D$17="Type 4 a",MAX(SA,H142,1.05*Q142),IF('Pre-Calculation'!$D$17="Type 4 c",H142,IF('Pre-Calculation'!$D$17="Type 4 d",SA+H142,IF('Pre-Calculation'!$D$17="Type 4 e",MAX(SA,H142),IF('Pre-Calculation'!$D$17="Type 4 f",SA,IF('Pre-Calculation'!$D$17="Type 4 g",1000+H142,IF('Pre-Calculation'!$D$17="Type 4 h",SA+X142,IF('Pre-Calculation'!$D$17="Type 4 i",MAX(H142,Q142),IF('Pre-Calculation'!$D$17="Type 4 k",MAX(H142,1.01*Q142),IF('Pre-Calculation'!$D$17="Type 4 m",MAX(105%*Q142,SA+H142),IF('Pre-Calculation'!$D$17="Type 4 o",MAX(SA,105%*Q142)+X142+Z142,IF('Pre-Calculation'!$D$17="Type 5",0)))))))))))))*IF(AND(A142&lt;Revival!$C$4,'Cashflows_8%'!C142&gt;=Revival!$D$12),PUP,1)</f>
        <v>2071809.472</v>
      </c>
      <c r="L142" s="175">
        <f>H142-I142*(1+Tax)</f>
        <v>2071809.472</v>
      </c>
      <c r="M142" s="175">
        <f>L142*(1+GROWTH_RATE_H)*(1-FMC*(1+Tax))</f>
        <v>2082373.04</v>
      </c>
      <c r="N142" s="175">
        <f>M142+IF(MOD(A142,B142)=0,VLOOKUP(B142,'Pre-Calculation'!$H$1:$L$31,5,FALSE),0)*IF('Pre-Calculation'!$D$16="% OF FV",M142,IF(OR('Pre-Calculation'!$D$16="% OF AFV(24M)",'Pre-Calculation'!$D$16="% OF AFV(8Q)"),AVERAGE( $M119:$M142),IF('Pre-Calculation'!$D$16="% OF AFV(12M)",AVERAGE($M131:M142),IF('Pre-Calculation'!$D$16="% OF AFV(36M)",AVERAGE($M107:M142)))))</f>
        <v>2082373.04</v>
      </c>
      <c r="O142" s="175">
        <f t="shared" si="4"/>
        <v>2082373.04</v>
      </c>
      <c r="P142" s="175">
        <f>IF('Pre-Calculation'!$D$17="Type 4 a",MAX(SA,N142,1.05*Q142),IF('Pre-Calculation'!$D$17="Type 4 c",N142,IF('Pre-Calculation'!$D$17="Type 4 d",SA+N142,IF('Pre-Calculation'!$D$17="Type 4 e",MAX(SA,N142),IF('Pre-Calculation'!$D$17="Type 4 f",SA,IF('Pre-Calculation'!$D$17="Type 4 g",1000+N142,IF('Pre-Calculation'!$D$17="Type 4 h",SA+X142,IF('Pre-Calculation'!$D$17="Type 4 i",MAX(N142,Q142),IF('Pre-Calculation'!$D$17="Type 4 k",MAX(N142,1.01*Q142),IF('Pre-Calculation'!$D$17="Type 4 m",MAX(105%*Q142,SA+N142),IF('Pre-Calculation'!$D$17="Type 4 o",MAX(SA,105%*Q142)+X142+Z142,IF('Pre-Calculation'!$D$17="Type 5",0))))))))))))</f>
        <v>2082373.04</v>
      </c>
      <c r="Q142" s="175">
        <f t="shared" si="5"/>
        <v>1000000</v>
      </c>
      <c r="R142" s="119">
        <f>L142*(1+GROWTH_RATE)*FMC</f>
        <v>2344.506327</v>
      </c>
      <c r="S142" s="178">
        <f>S141*(1+'Pre-Calculation'!$E$27)</f>
        <v>959925.0409</v>
      </c>
      <c r="T142" s="175">
        <f>-E142+IF(A141=INPUT!$C$11*12,N142,0)</f>
        <v>0</v>
      </c>
      <c r="U142" s="175">
        <f t="shared" si="6"/>
        <v>2083279.839</v>
      </c>
      <c r="V142" s="175">
        <f>U142*(1+GROWTH_RATE_H)*(1-'Pre-Calculation'!$E$31)</f>
        <v>2093192.066</v>
      </c>
      <c r="W142" s="175">
        <f>-E142+IF(A141=INPUT!$C$11*12,V142,0)</f>
        <v>0</v>
      </c>
      <c r="X142" s="179">
        <f t="array" ref="X142">NPV('Pre-Calculation'!$E$20,$E143:E$246)</f>
        <v>0</v>
      </c>
      <c r="Y142" s="171">
        <f>10%*SA</f>
        <v>100000</v>
      </c>
      <c r="Z142" s="179">
        <f t="array" ref="Z142">NPV('Pre-Calculation'!$E$20,Y143:Y152)</f>
        <v>969592.8037</v>
      </c>
    </row>
    <row r="143" ht="15.75" customHeight="1">
      <c r="A143" s="171">
        <f t="shared" si="1"/>
        <v>197</v>
      </c>
      <c r="B143" s="171">
        <f t="shared" si="2"/>
        <v>17</v>
      </c>
      <c r="C143" s="176">
        <f>EDATE(RCD,A142)</f>
        <v>48517</v>
      </c>
      <c r="D143" s="171">
        <f>Age_At_Entry+'Cashflows_8%'!B143-1</f>
        <v>51</v>
      </c>
      <c r="E143" s="175">
        <f>IF(AND(C143&lt;=Last_Prem,MOD(A142,Mode)=0,C143&gt;INPUT!$C$13,A143&lt;=Revival!$C$11),Mod_Prem,0)</f>
        <v>0</v>
      </c>
      <c r="F143" s="177">
        <f>E143*VLOOKUP(B143,'Pre-Calculation'!$H$1:$I$31,2,FALSE)</f>
        <v>0</v>
      </c>
      <c r="G143" s="177">
        <f>IF(B143&lt;PT+1,VLOOKUP(B143,'Pre-Calculation'!$H$1:$L$32,3,FALSE)+VLOOKUP(B143,'Pre-Calculation'!$H$1:$L$32,4,FALSE)*'Pre-Calculation'!$D$7,0)</f>
        <v>0</v>
      </c>
      <c r="H143" s="175">
        <f>(E143-(F143+G143)*(1+Tax)+N142)</f>
        <v>2082373.04</v>
      </c>
      <c r="I143" s="175">
        <f>IF(B143&lt;PT+1,VLOOKUP(D143,'Pre-Calculation'!$N$3:$P$79,IF(INPUT!$C$4="M",2,3),FALSE)*(J143/1000)*(1/12),0)</f>
        <v>0</v>
      </c>
      <c r="J143" s="175">
        <f t="shared" si="3"/>
        <v>0</v>
      </c>
      <c r="K143" s="175">
        <f>(IF('Pre-Calculation'!$D$17="Type 4 a",MAX(SA,H143,1.05*Q143),IF('Pre-Calculation'!$D$17="Type 4 c",H143,IF('Pre-Calculation'!$D$17="Type 4 d",SA+H143,IF('Pre-Calculation'!$D$17="Type 4 e",MAX(SA,H143),IF('Pre-Calculation'!$D$17="Type 4 f",SA,IF('Pre-Calculation'!$D$17="Type 4 g",1000+H143,IF('Pre-Calculation'!$D$17="Type 4 h",SA+X143,IF('Pre-Calculation'!$D$17="Type 4 i",MAX(H143,Q143),IF('Pre-Calculation'!$D$17="Type 4 k",MAX(H143,1.01*Q143),IF('Pre-Calculation'!$D$17="Type 4 m",MAX(105%*Q143,SA+H143),IF('Pre-Calculation'!$D$17="Type 4 o",MAX(SA,105%*Q143)+X143+Z143,IF('Pre-Calculation'!$D$17="Type 5",0)))))))))))))*IF(AND(A143&lt;Revival!$C$4,'Cashflows_8%'!C143&gt;=Revival!$D$12),PUP,1)</f>
        <v>2082373.04</v>
      </c>
      <c r="L143" s="175">
        <f>H143-I143*(1+Tax)</f>
        <v>2082373.04</v>
      </c>
      <c r="M143" s="175">
        <f>L143*(1+GROWTH_RATE_H)*(1-FMC*(1+Tax))</f>
        <v>2092990.467</v>
      </c>
      <c r="N143" s="175">
        <f>M143+IF(MOD(A143,B143)=0,VLOOKUP(B143,'Pre-Calculation'!$H$1:$L$31,5,FALSE),0)*IF('Pre-Calculation'!$D$16="% OF FV",M143,IF(OR('Pre-Calculation'!$D$16="% OF AFV(24M)",'Pre-Calculation'!$D$16="% OF AFV(8Q)"),AVERAGE( $M120:$M143),IF('Pre-Calculation'!$D$16="% OF AFV(12M)",AVERAGE($M132:M143),IF('Pre-Calculation'!$D$16="% OF AFV(36M)",AVERAGE($M108:M143)))))</f>
        <v>2092990.467</v>
      </c>
      <c r="O143" s="175">
        <f t="shared" si="4"/>
        <v>2092990.467</v>
      </c>
      <c r="P143" s="175">
        <f>IF('Pre-Calculation'!$D$17="Type 4 a",MAX(SA,N143,1.05*Q143),IF('Pre-Calculation'!$D$17="Type 4 c",N143,IF('Pre-Calculation'!$D$17="Type 4 d",SA+N143,IF('Pre-Calculation'!$D$17="Type 4 e",MAX(SA,N143),IF('Pre-Calculation'!$D$17="Type 4 f",SA,IF('Pre-Calculation'!$D$17="Type 4 g",1000+N143,IF('Pre-Calculation'!$D$17="Type 4 h",SA+X143,IF('Pre-Calculation'!$D$17="Type 4 i",MAX(N143,Q143),IF('Pre-Calculation'!$D$17="Type 4 k",MAX(N143,1.01*Q143),IF('Pre-Calculation'!$D$17="Type 4 m",MAX(105%*Q143,SA+N143),IF('Pre-Calculation'!$D$17="Type 4 o",MAX(SA,105%*Q143)+X143+Z143,IF('Pre-Calculation'!$D$17="Type 5",0))))))))))))</f>
        <v>2092990.467</v>
      </c>
      <c r="Q143" s="175">
        <f t="shared" si="5"/>
        <v>1000000</v>
      </c>
      <c r="R143" s="119">
        <f>L143*(1+GROWTH_RATE)*FMC</f>
        <v>2356.460298</v>
      </c>
      <c r="S143" s="178">
        <f>S142*(1+'Pre-Calculation'!$E$27)</f>
        <v>962680.8885</v>
      </c>
      <c r="T143" s="175">
        <f>-E143+IF(A142=INPUT!$C$11*12,N143,0)</f>
        <v>0</v>
      </c>
      <c r="U143" s="175">
        <f t="shared" si="6"/>
        <v>2093192.066</v>
      </c>
      <c r="V143" s="175">
        <f>U143*(1+GROWTH_RATE_H)*(1-'Pre-Calculation'!$E$31)</f>
        <v>2103151.456</v>
      </c>
      <c r="W143" s="175">
        <f>-E143+IF(A142=INPUT!$C$11*12,V143,0)</f>
        <v>0</v>
      </c>
      <c r="X143" s="179">
        <f t="array" ref="X143">NPV('Pre-Calculation'!$E$20,$E144:E$246)</f>
        <v>0</v>
      </c>
      <c r="Y143" s="171">
        <f>10%*SA</f>
        <v>100000</v>
      </c>
      <c r="Z143" s="179">
        <f t="array" ref="Z143">NPV('Pre-Calculation'!$E$20,Y144:Y153)</f>
        <v>969592.8037</v>
      </c>
    </row>
    <row r="144" ht="15.75" customHeight="1">
      <c r="A144" s="171">
        <f t="shared" si="1"/>
        <v>198</v>
      </c>
      <c r="B144" s="171">
        <f t="shared" si="2"/>
        <v>17</v>
      </c>
      <c r="C144" s="176">
        <f>EDATE(RCD,A143)</f>
        <v>48548</v>
      </c>
      <c r="D144" s="171">
        <f>Age_At_Entry+'Cashflows_8%'!B144-1</f>
        <v>51</v>
      </c>
      <c r="E144" s="175">
        <f>IF(AND(C144&lt;=Last_Prem,MOD(A143,Mode)=0,C144&gt;INPUT!$C$13,A144&lt;=Revival!$C$11),Mod_Prem,0)</f>
        <v>0</v>
      </c>
      <c r="F144" s="177">
        <f>E144*VLOOKUP(B144,'Pre-Calculation'!$H$1:$I$31,2,FALSE)</f>
        <v>0</v>
      </c>
      <c r="G144" s="177">
        <f>IF(B144&lt;PT+1,VLOOKUP(B144,'Pre-Calculation'!$H$1:$L$32,3,FALSE)+VLOOKUP(B144,'Pre-Calculation'!$H$1:$L$32,4,FALSE)*'Pre-Calculation'!$D$7,0)</f>
        <v>0</v>
      </c>
      <c r="H144" s="175">
        <f>(E144-(F144+G144)*(1+Tax)+N143)</f>
        <v>2092990.467</v>
      </c>
      <c r="I144" s="175">
        <f>IF(B144&lt;PT+1,VLOOKUP(D144,'Pre-Calculation'!$N$3:$P$79,IF(INPUT!$C$4="M",2,3),FALSE)*(J144/1000)*(1/12),0)</f>
        <v>0</v>
      </c>
      <c r="J144" s="175">
        <f t="shared" si="3"/>
        <v>0</v>
      </c>
      <c r="K144" s="175">
        <f>(IF('Pre-Calculation'!$D$17="Type 4 a",MAX(SA,H144,1.05*Q144),IF('Pre-Calculation'!$D$17="Type 4 c",H144,IF('Pre-Calculation'!$D$17="Type 4 d",SA+H144,IF('Pre-Calculation'!$D$17="Type 4 e",MAX(SA,H144),IF('Pre-Calculation'!$D$17="Type 4 f",SA,IF('Pre-Calculation'!$D$17="Type 4 g",1000+H144,IF('Pre-Calculation'!$D$17="Type 4 h",SA+X144,IF('Pre-Calculation'!$D$17="Type 4 i",MAX(H144,Q144),IF('Pre-Calculation'!$D$17="Type 4 k",MAX(H144,1.01*Q144),IF('Pre-Calculation'!$D$17="Type 4 m",MAX(105%*Q144,SA+H144),IF('Pre-Calculation'!$D$17="Type 4 o",MAX(SA,105%*Q144)+X144+Z144,IF('Pre-Calculation'!$D$17="Type 5",0)))))))))))))*IF(AND(A144&lt;Revival!$C$4,'Cashflows_8%'!C144&gt;=Revival!$D$12),PUP,1)</f>
        <v>2092990.467</v>
      </c>
      <c r="L144" s="175">
        <f>H144-I144*(1+Tax)</f>
        <v>2092990.467</v>
      </c>
      <c r="M144" s="175">
        <f>L144*(1+GROWTH_RATE_H)*(1-FMC*(1+Tax))</f>
        <v>2103662.03</v>
      </c>
      <c r="N144" s="175">
        <f>M144+IF(MOD(A144,B144)=0,VLOOKUP(B144,'Pre-Calculation'!$H$1:$L$31,5,FALSE),0)*IF('Pre-Calculation'!$D$16="% OF FV",M144,IF(OR('Pre-Calculation'!$D$16="% OF AFV(24M)",'Pre-Calculation'!$D$16="% OF AFV(8Q)"),AVERAGE( $M121:$M144),IF('Pre-Calculation'!$D$16="% OF AFV(12M)",AVERAGE($M133:M144),IF('Pre-Calculation'!$D$16="% OF AFV(36M)",AVERAGE($M109:M144)))))</f>
        <v>2103662.03</v>
      </c>
      <c r="O144" s="175">
        <f t="shared" si="4"/>
        <v>2103662.03</v>
      </c>
      <c r="P144" s="175">
        <f>IF('Pre-Calculation'!$D$17="Type 4 a",MAX(SA,N144,1.05*Q144),IF('Pre-Calculation'!$D$17="Type 4 c",N144,IF('Pre-Calculation'!$D$17="Type 4 d",SA+N144,IF('Pre-Calculation'!$D$17="Type 4 e",MAX(SA,N144),IF('Pre-Calculation'!$D$17="Type 4 f",SA,IF('Pre-Calculation'!$D$17="Type 4 g",1000+N144,IF('Pre-Calculation'!$D$17="Type 4 h",SA+X144,IF('Pre-Calculation'!$D$17="Type 4 i",MAX(N144,Q144),IF('Pre-Calculation'!$D$17="Type 4 k",MAX(N144,1.01*Q144),IF('Pre-Calculation'!$D$17="Type 4 m",MAX(105%*Q144,SA+N144),IF('Pre-Calculation'!$D$17="Type 4 o",MAX(SA,105%*Q144)+X144+Z144,IF('Pre-Calculation'!$D$17="Type 5",0))))))))))))</f>
        <v>2103662.03</v>
      </c>
      <c r="Q144" s="175">
        <f t="shared" si="5"/>
        <v>1000000</v>
      </c>
      <c r="R144" s="119">
        <f>L144*(1+GROWTH_RATE)*FMC</f>
        <v>2368.475218</v>
      </c>
      <c r="S144" s="178">
        <f>S143*(1+'Pre-Calculation'!$E$27)</f>
        <v>965444.6478</v>
      </c>
      <c r="T144" s="175">
        <f>-E144+IF(A143=INPUT!$C$11*12,N144,0)</f>
        <v>0</v>
      </c>
      <c r="U144" s="175">
        <f t="shared" si="6"/>
        <v>2103151.456</v>
      </c>
      <c r="V144" s="175">
        <f>U144*(1+GROWTH_RATE_H)*(1-'Pre-Calculation'!$E$31)</f>
        <v>2113158.232</v>
      </c>
      <c r="W144" s="175">
        <f>-E144+IF(A143=INPUT!$C$11*12,V144,0)</f>
        <v>0</v>
      </c>
      <c r="X144" s="179">
        <f t="array" ref="X144">NPV('Pre-Calculation'!$E$20,$E145:E$246)</f>
        <v>0</v>
      </c>
      <c r="Y144" s="171">
        <f>10%*SA</f>
        <v>100000</v>
      </c>
      <c r="Z144" s="179">
        <f t="array" ref="Z144">NPV('Pre-Calculation'!$E$20,Y145:Y154)</f>
        <v>969592.8037</v>
      </c>
    </row>
    <row r="145" ht="15.75" customHeight="1">
      <c r="A145" s="171">
        <f t="shared" si="1"/>
        <v>199</v>
      </c>
      <c r="B145" s="171">
        <f t="shared" si="2"/>
        <v>17</v>
      </c>
      <c r="C145" s="176">
        <f>EDATE(RCD,A144)</f>
        <v>48578</v>
      </c>
      <c r="D145" s="171">
        <f>Age_At_Entry+'Cashflows_8%'!B145-1</f>
        <v>51</v>
      </c>
      <c r="E145" s="175">
        <f>IF(AND(C145&lt;=Last_Prem,MOD(A144,Mode)=0,C145&gt;INPUT!$C$13,A145&lt;=Revival!$C$11),Mod_Prem,0)</f>
        <v>0</v>
      </c>
      <c r="F145" s="177">
        <f>E145*VLOOKUP(B145,'Pre-Calculation'!$H$1:$I$31,2,FALSE)</f>
        <v>0</v>
      </c>
      <c r="G145" s="177">
        <f>IF(B145&lt;PT+1,VLOOKUP(B145,'Pre-Calculation'!$H$1:$L$32,3,FALSE)+VLOOKUP(B145,'Pre-Calculation'!$H$1:$L$32,4,FALSE)*'Pre-Calculation'!$D$7,0)</f>
        <v>0</v>
      </c>
      <c r="H145" s="175">
        <f>(E145-(F145+G145)*(1+Tax)+N144)</f>
        <v>2103662.03</v>
      </c>
      <c r="I145" s="175">
        <f>IF(B145&lt;PT+1,VLOOKUP(D145,'Pre-Calculation'!$N$3:$P$79,IF(INPUT!$C$4="M",2,3),FALSE)*(J145/1000)*(1/12),0)</f>
        <v>0</v>
      </c>
      <c r="J145" s="175">
        <f t="shared" si="3"/>
        <v>0</v>
      </c>
      <c r="K145" s="175">
        <f>(IF('Pre-Calculation'!$D$17="Type 4 a",MAX(SA,H145,1.05*Q145),IF('Pre-Calculation'!$D$17="Type 4 c",H145,IF('Pre-Calculation'!$D$17="Type 4 d",SA+H145,IF('Pre-Calculation'!$D$17="Type 4 e",MAX(SA,H145),IF('Pre-Calculation'!$D$17="Type 4 f",SA,IF('Pre-Calculation'!$D$17="Type 4 g",1000+H145,IF('Pre-Calculation'!$D$17="Type 4 h",SA+X145,IF('Pre-Calculation'!$D$17="Type 4 i",MAX(H145,Q145),IF('Pre-Calculation'!$D$17="Type 4 k",MAX(H145,1.01*Q145),IF('Pre-Calculation'!$D$17="Type 4 m",MAX(105%*Q145,SA+H145),IF('Pre-Calculation'!$D$17="Type 4 o",MAX(SA,105%*Q145)+X145+Z145,IF('Pre-Calculation'!$D$17="Type 5",0)))))))))))))*IF(AND(A145&lt;Revival!$C$4,'Cashflows_8%'!C145&gt;=Revival!$D$12),PUP,1)</f>
        <v>2103662.03</v>
      </c>
      <c r="L145" s="175">
        <f>H145-I145*(1+Tax)</f>
        <v>2103662.03</v>
      </c>
      <c r="M145" s="175">
        <f>L145*(1+GROWTH_RATE_H)*(1-FMC*(1+Tax))</f>
        <v>2114388.004</v>
      </c>
      <c r="N145" s="175">
        <f>M145+IF(MOD(A145,B145)=0,VLOOKUP(B145,'Pre-Calculation'!$H$1:$L$31,5,FALSE),0)*IF('Pre-Calculation'!$D$16="% OF FV",M145,IF(OR('Pre-Calculation'!$D$16="% OF AFV(24M)",'Pre-Calculation'!$D$16="% OF AFV(8Q)"),AVERAGE( $M122:$M145),IF('Pre-Calculation'!$D$16="% OF AFV(12M)",AVERAGE($M134:M145),IF('Pre-Calculation'!$D$16="% OF AFV(36M)",AVERAGE($M110:M145)))))</f>
        <v>2114388.004</v>
      </c>
      <c r="O145" s="175">
        <f t="shared" si="4"/>
        <v>2114388.004</v>
      </c>
      <c r="P145" s="175">
        <f>IF('Pre-Calculation'!$D$17="Type 4 a",MAX(SA,N145,1.05*Q145),IF('Pre-Calculation'!$D$17="Type 4 c",N145,IF('Pre-Calculation'!$D$17="Type 4 d",SA+N145,IF('Pre-Calculation'!$D$17="Type 4 e",MAX(SA,N145),IF('Pre-Calculation'!$D$17="Type 4 f",SA,IF('Pre-Calculation'!$D$17="Type 4 g",1000+N145,IF('Pre-Calculation'!$D$17="Type 4 h",SA+X145,IF('Pre-Calculation'!$D$17="Type 4 i",MAX(N145,Q145),IF('Pre-Calculation'!$D$17="Type 4 k",MAX(N145,1.01*Q145),IF('Pre-Calculation'!$D$17="Type 4 m",MAX(105%*Q145,SA+N145),IF('Pre-Calculation'!$D$17="Type 4 o",MAX(SA,105%*Q145)+X145+Z145,IF('Pre-Calculation'!$D$17="Type 5",0))))))))))))</f>
        <v>2114388.004</v>
      </c>
      <c r="Q145" s="175">
        <f t="shared" si="5"/>
        <v>1000000</v>
      </c>
      <c r="R145" s="119">
        <f>L145*(1+GROWTH_RATE)*FMC</f>
        <v>2380.5514</v>
      </c>
      <c r="S145" s="178">
        <f>S144*(1+'Pre-Calculation'!$E$27)</f>
        <v>968216.3416</v>
      </c>
      <c r="T145" s="175">
        <f>-E145+IF(A144=INPUT!$C$11*12,N145,0)</f>
        <v>0</v>
      </c>
      <c r="U145" s="175">
        <f t="shared" si="6"/>
        <v>2113158.232</v>
      </c>
      <c r="V145" s="175">
        <f>U145*(1+GROWTH_RATE_H)*(1-'Pre-Calculation'!$E$31)</f>
        <v>2123212.62</v>
      </c>
      <c r="W145" s="175">
        <f>-E145+IF(A144=INPUT!$C$11*12,V145,0)</f>
        <v>0</v>
      </c>
      <c r="X145" s="179">
        <f t="array" ref="X145">NPV('Pre-Calculation'!$E$20,$E146:E$246)</f>
        <v>0</v>
      </c>
      <c r="Y145" s="171">
        <f>10%*SA</f>
        <v>100000</v>
      </c>
      <c r="Z145" s="179">
        <f t="array" ref="Z145">NPV('Pre-Calculation'!$E$20,Y146:Y155)</f>
        <v>969592.8037</v>
      </c>
    </row>
    <row r="146" ht="15.75" customHeight="1">
      <c r="A146" s="171">
        <f t="shared" si="1"/>
        <v>200</v>
      </c>
      <c r="B146" s="171">
        <f t="shared" si="2"/>
        <v>17</v>
      </c>
      <c r="C146" s="176">
        <f>EDATE(RCD,A145)</f>
        <v>48609</v>
      </c>
      <c r="D146" s="171">
        <f>Age_At_Entry+'Cashflows_8%'!B146-1</f>
        <v>51</v>
      </c>
      <c r="E146" s="175">
        <f>IF(AND(C146&lt;=Last_Prem,MOD(A145,Mode)=0,C146&gt;INPUT!$C$13,A146&lt;=Revival!$C$11),Mod_Prem,0)</f>
        <v>0</v>
      </c>
      <c r="F146" s="177">
        <f>E146*VLOOKUP(B146,'Pre-Calculation'!$H$1:$I$31,2,FALSE)</f>
        <v>0</v>
      </c>
      <c r="G146" s="177">
        <f>IF(B146&lt;PT+1,VLOOKUP(B146,'Pre-Calculation'!$H$1:$L$32,3,FALSE)+VLOOKUP(B146,'Pre-Calculation'!$H$1:$L$32,4,FALSE)*'Pre-Calculation'!$D$7,0)</f>
        <v>0</v>
      </c>
      <c r="H146" s="175">
        <f>(E146-(F146+G146)*(1+Tax)+N145)</f>
        <v>2114388.004</v>
      </c>
      <c r="I146" s="175">
        <f>IF(B146&lt;PT+1,VLOOKUP(D146,'Pre-Calculation'!$N$3:$P$79,IF(INPUT!$C$4="M",2,3),FALSE)*(J146/1000)*(1/12),0)</f>
        <v>0</v>
      </c>
      <c r="J146" s="175">
        <f t="shared" si="3"/>
        <v>0</v>
      </c>
      <c r="K146" s="175">
        <f>(IF('Pre-Calculation'!$D$17="Type 4 a",MAX(SA,H146,1.05*Q146),IF('Pre-Calculation'!$D$17="Type 4 c",H146,IF('Pre-Calculation'!$D$17="Type 4 d",SA+H146,IF('Pre-Calculation'!$D$17="Type 4 e",MAX(SA,H146),IF('Pre-Calculation'!$D$17="Type 4 f",SA,IF('Pre-Calculation'!$D$17="Type 4 g",1000+H146,IF('Pre-Calculation'!$D$17="Type 4 h",SA+X146,IF('Pre-Calculation'!$D$17="Type 4 i",MAX(H146,Q146),IF('Pre-Calculation'!$D$17="Type 4 k",MAX(H146,1.01*Q146),IF('Pre-Calculation'!$D$17="Type 4 m",MAX(105%*Q146,SA+H146),IF('Pre-Calculation'!$D$17="Type 4 o",MAX(SA,105%*Q146)+X146+Z146,IF('Pre-Calculation'!$D$17="Type 5",0)))))))))))))*IF(AND(A146&lt;Revival!$C$4,'Cashflows_8%'!C146&gt;=Revival!$D$12),PUP,1)</f>
        <v>2114388.004</v>
      </c>
      <c r="L146" s="175">
        <f>H146-I146*(1+Tax)</f>
        <v>2114388.004</v>
      </c>
      <c r="M146" s="175">
        <f>L146*(1+GROWTH_RATE_H)*(1-FMC*(1+Tax))</f>
        <v>2125168.667</v>
      </c>
      <c r="N146" s="175">
        <f>M146+IF(MOD(A146,B146)=0,VLOOKUP(B146,'Pre-Calculation'!$H$1:$L$31,5,FALSE),0)*IF('Pre-Calculation'!$D$16="% OF FV",M146,IF(OR('Pre-Calculation'!$D$16="% OF AFV(24M)",'Pre-Calculation'!$D$16="% OF AFV(8Q)"),AVERAGE( $M123:$M146),IF('Pre-Calculation'!$D$16="% OF AFV(12M)",AVERAGE($M135:M146),IF('Pre-Calculation'!$D$16="% OF AFV(36M)",AVERAGE($M111:M146)))))</f>
        <v>2125168.667</v>
      </c>
      <c r="O146" s="175">
        <f t="shared" si="4"/>
        <v>2125168.667</v>
      </c>
      <c r="P146" s="175">
        <f>IF('Pre-Calculation'!$D$17="Type 4 a",MAX(SA,N146,1.05*Q146),IF('Pre-Calculation'!$D$17="Type 4 c",N146,IF('Pre-Calculation'!$D$17="Type 4 d",SA+N146,IF('Pre-Calculation'!$D$17="Type 4 e",MAX(SA,N146),IF('Pre-Calculation'!$D$17="Type 4 f",SA,IF('Pre-Calculation'!$D$17="Type 4 g",1000+N146,IF('Pre-Calculation'!$D$17="Type 4 h",SA+X146,IF('Pre-Calculation'!$D$17="Type 4 i",MAX(N146,Q146),IF('Pre-Calculation'!$D$17="Type 4 k",MAX(N146,1.01*Q146),IF('Pre-Calculation'!$D$17="Type 4 m",MAX(105%*Q146,SA+N146),IF('Pre-Calculation'!$D$17="Type 4 o",MAX(SA,105%*Q146)+X146+Z146,IF('Pre-Calculation'!$D$17="Type 5",0))))))))))))</f>
        <v>2125168.667</v>
      </c>
      <c r="Q146" s="175">
        <f t="shared" si="5"/>
        <v>1000000</v>
      </c>
      <c r="R146" s="119">
        <f>L146*(1+GROWTH_RATE)*FMC</f>
        <v>2392.689154</v>
      </c>
      <c r="S146" s="178">
        <f>S145*(1+'Pre-Calculation'!$E$27)</f>
        <v>970995.9927</v>
      </c>
      <c r="T146" s="175">
        <f>-E146+IF(A145=INPUT!$C$11*12,N146,0)</f>
        <v>0</v>
      </c>
      <c r="U146" s="175">
        <f t="shared" si="6"/>
        <v>2123212.62</v>
      </c>
      <c r="V146" s="175">
        <f>U146*(1+GROWTH_RATE_H)*(1-'Pre-Calculation'!$E$31)</f>
        <v>2133314.847</v>
      </c>
      <c r="W146" s="175">
        <f>-E146+IF(A145=INPUT!$C$11*12,V146,0)</f>
        <v>0</v>
      </c>
      <c r="X146" s="179">
        <f t="array" ref="X146">NPV('Pre-Calculation'!$E$20,$E147:E$246)</f>
        <v>0</v>
      </c>
      <c r="Y146" s="171">
        <f>10%*SA</f>
        <v>100000</v>
      </c>
      <c r="Z146" s="179">
        <f t="array" ref="Z146">NPV('Pre-Calculation'!$E$20,Y147:Y156)</f>
        <v>969592.8037</v>
      </c>
    </row>
    <row r="147" ht="15.75" customHeight="1">
      <c r="A147" s="171">
        <f t="shared" si="1"/>
        <v>201</v>
      </c>
      <c r="B147" s="171">
        <f t="shared" si="2"/>
        <v>17</v>
      </c>
      <c r="C147" s="176">
        <f>EDATE(RCD,A146)</f>
        <v>48638</v>
      </c>
      <c r="D147" s="171">
        <f>Age_At_Entry+'Cashflows_8%'!B147-1</f>
        <v>51</v>
      </c>
      <c r="E147" s="175">
        <f>IF(AND(C147&lt;=Last_Prem,MOD(A146,Mode)=0,C147&gt;INPUT!$C$13,A147&lt;=Revival!$C$11),Mod_Prem,0)</f>
        <v>0</v>
      </c>
      <c r="F147" s="177">
        <f>E147*VLOOKUP(B147,'Pre-Calculation'!$H$1:$I$31,2,FALSE)</f>
        <v>0</v>
      </c>
      <c r="G147" s="177">
        <f>IF(B147&lt;PT+1,VLOOKUP(B147,'Pre-Calculation'!$H$1:$L$32,3,FALSE)+VLOOKUP(B147,'Pre-Calculation'!$H$1:$L$32,4,FALSE)*'Pre-Calculation'!$D$7,0)</f>
        <v>0</v>
      </c>
      <c r="H147" s="175">
        <f>(E147-(F147+G147)*(1+Tax)+N146)</f>
        <v>2125168.667</v>
      </c>
      <c r="I147" s="175">
        <f>IF(B147&lt;PT+1,VLOOKUP(D147,'Pre-Calculation'!$N$3:$P$79,IF(INPUT!$C$4="M",2,3),FALSE)*(J147/1000)*(1/12),0)</f>
        <v>0</v>
      </c>
      <c r="J147" s="175">
        <f t="shared" si="3"/>
        <v>0</v>
      </c>
      <c r="K147" s="175">
        <f>(IF('Pre-Calculation'!$D$17="Type 4 a",MAX(SA,H147,1.05*Q147),IF('Pre-Calculation'!$D$17="Type 4 c",H147,IF('Pre-Calculation'!$D$17="Type 4 d",SA+H147,IF('Pre-Calculation'!$D$17="Type 4 e",MAX(SA,H147),IF('Pre-Calculation'!$D$17="Type 4 f",SA,IF('Pre-Calculation'!$D$17="Type 4 g",1000+H147,IF('Pre-Calculation'!$D$17="Type 4 h",SA+X147,IF('Pre-Calculation'!$D$17="Type 4 i",MAX(H147,Q147),IF('Pre-Calculation'!$D$17="Type 4 k",MAX(H147,1.01*Q147),IF('Pre-Calculation'!$D$17="Type 4 m",MAX(105%*Q147,SA+H147),IF('Pre-Calculation'!$D$17="Type 4 o",MAX(SA,105%*Q147)+X147+Z147,IF('Pre-Calculation'!$D$17="Type 5",0)))))))))))))*IF(AND(A147&lt;Revival!$C$4,'Cashflows_8%'!C147&gt;=Revival!$D$12),PUP,1)</f>
        <v>2125168.667</v>
      </c>
      <c r="L147" s="175">
        <f>H147-I147*(1+Tax)</f>
        <v>2125168.667</v>
      </c>
      <c r="M147" s="175">
        <f>L147*(1+GROWTH_RATE_H)*(1-FMC*(1+Tax))</f>
        <v>2136004.298</v>
      </c>
      <c r="N147" s="175">
        <f>M147+IF(MOD(A147,B147)=0,VLOOKUP(B147,'Pre-Calculation'!$H$1:$L$31,5,FALSE),0)*IF('Pre-Calculation'!$D$16="% OF FV",M147,IF(OR('Pre-Calculation'!$D$16="% OF AFV(24M)",'Pre-Calculation'!$D$16="% OF AFV(8Q)"),AVERAGE( $M124:$M147),IF('Pre-Calculation'!$D$16="% OF AFV(12M)",AVERAGE($M136:M147),IF('Pre-Calculation'!$D$16="% OF AFV(36M)",AVERAGE($M112:M147)))))</f>
        <v>2136004.298</v>
      </c>
      <c r="O147" s="175">
        <f t="shared" si="4"/>
        <v>2136004.298</v>
      </c>
      <c r="P147" s="175">
        <f>IF('Pre-Calculation'!$D$17="Type 4 a",MAX(SA,N147,1.05*Q147),IF('Pre-Calculation'!$D$17="Type 4 c",N147,IF('Pre-Calculation'!$D$17="Type 4 d",SA+N147,IF('Pre-Calculation'!$D$17="Type 4 e",MAX(SA,N147),IF('Pre-Calculation'!$D$17="Type 4 f",SA,IF('Pre-Calculation'!$D$17="Type 4 g",1000+N147,IF('Pre-Calculation'!$D$17="Type 4 h",SA+X147,IF('Pre-Calculation'!$D$17="Type 4 i",MAX(N147,Q147),IF('Pre-Calculation'!$D$17="Type 4 k",MAX(N147,1.01*Q147),IF('Pre-Calculation'!$D$17="Type 4 m",MAX(105%*Q147,SA+N147),IF('Pre-Calculation'!$D$17="Type 4 o",MAX(SA,105%*Q147)+X147+Z147,IF('Pre-Calculation'!$D$17="Type 5",0))))))))))))</f>
        <v>2136004.298</v>
      </c>
      <c r="Q147" s="175">
        <f t="shared" si="5"/>
        <v>1000000</v>
      </c>
      <c r="R147" s="119">
        <f>L147*(1+GROWTH_RATE)*FMC</f>
        <v>2404.888795</v>
      </c>
      <c r="S147" s="178">
        <f>S146*(1+'Pre-Calculation'!$E$27)</f>
        <v>973783.6238</v>
      </c>
      <c r="T147" s="175">
        <f>-E147+IF(A146=INPUT!$C$11*12,N147,0)</f>
        <v>0</v>
      </c>
      <c r="U147" s="175">
        <f t="shared" si="6"/>
        <v>2133314.847</v>
      </c>
      <c r="V147" s="175">
        <f>U147*(1+GROWTH_RATE_H)*(1-'Pre-Calculation'!$E$31)</f>
        <v>2143465.14</v>
      </c>
      <c r="W147" s="175">
        <f>-E147+IF(A146=INPUT!$C$11*12,V147,0)</f>
        <v>0</v>
      </c>
      <c r="X147" s="179">
        <f t="array" ref="X147">NPV('Pre-Calculation'!$E$20,$E148:E$246)</f>
        <v>0</v>
      </c>
      <c r="Y147" s="171">
        <f>10%*SA</f>
        <v>100000</v>
      </c>
      <c r="Z147" s="179">
        <f t="array" ref="Z147">NPV('Pre-Calculation'!$E$20,Y148:Y157)</f>
        <v>969592.8037</v>
      </c>
    </row>
    <row r="148" ht="15.75" customHeight="1">
      <c r="A148" s="171">
        <f t="shared" si="1"/>
        <v>202</v>
      </c>
      <c r="B148" s="171">
        <f t="shared" si="2"/>
        <v>17</v>
      </c>
      <c r="C148" s="176">
        <f>EDATE(RCD,A147)</f>
        <v>48668</v>
      </c>
      <c r="D148" s="171">
        <f>Age_At_Entry+'Cashflows_8%'!B148-1</f>
        <v>51</v>
      </c>
      <c r="E148" s="175">
        <f>IF(AND(C148&lt;=Last_Prem,MOD(A147,Mode)=0,C148&gt;INPUT!$C$13,A148&lt;=Revival!$C$11),Mod_Prem,0)</f>
        <v>0</v>
      </c>
      <c r="F148" s="177">
        <f>E148*VLOOKUP(B148,'Pre-Calculation'!$H$1:$I$31,2,FALSE)</f>
        <v>0</v>
      </c>
      <c r="G148" s="177">
        <f>IF(B148&lt;PT+1,VLOOKUP(B148,'Pre-Calculation'!$H$1:$L$32,3,FALSE)+VLOOKUP(B148,'Pre-Calculation'!$H$1:$L$32,4,FALSE)*'Pre-Calculation'!$D$7,0)</f>
        <v>0</v>
      </c>
      <c r="H148" s="175">
        <f>(E148-(F148+G148)*(1+Tax)+N147)</f>
        <v>2136004.298</v>
      </c>
      <c r="I148" s="175">
        <f>IF(B148&lt;PT+1,VLOOKUP(D148,'Pre-Calculation'!$N$3:$P$79,IF(INPUT!$C$4="M",2,3),FALSE)*(J148/1000)*(1/12),0)</f>
        <v>0</v>
      </c>
      <c r="J148" s="175">
        <f t="shared" si="3"/>
        <v>0</v>
      </c>
      <c r="K148" s="175">
        <f>(IF('Pre-Calculation'!$D$17="Type 4 a",MAX(SA,H148,1.05*Q148),IF('Pre-Calculation'!$D$17="Type 4 c",H148,IF('Pre-Calculation'!$D$17="Type 4 d",SA+H148,IF('Pre-Calculation'!$D$17="Type 4 e",MAX(SA,H148),IF('Pre-Calculation'!$D$17="Type 4 f",SA,IF('Pre-Calculation'!$D$17="Type 4 g",1000+H148,IF('Pre-Calculation'!$D$17="Type 4 h",SA+X148,IF('Pre-Calculation'!$D$17="Type 4 i",MAX(H148,Q148),IF('Pre-Calculation'!$D$17="Type 4 k",MAX(H148,1.01*Q148),IF('Pre-Calculation'!$D$17="Type 4 m",MAX(105%*Q148,SA+H148),IF('Pre-Calculation'!$D$17="Type 4 o",MAX(SA,105%*Q148)+X148+Z148,IF('Pre-Calculation'!$D$17="Type 5",0)))))))))))))*IF(AND(A148&lt;Revival!$C$4,'Cashflows_8%'!C148&gt;=Revival!$D$12),PUP,1)</f>
        <v>2136004.298</v>
      </c>
      <c r="L148" s="175">
        <f>H148-I148*(1+Tax)</f>
        <v>2136004.298</v>
      </c>
      <c r="M148" s="175">
        <f>L148*(1+GROWTH_RATE_H)*(1-FMC*(1+Tax))</f>
        <v>2146895.176</v>
      </c>
      <c r="N148" s="175">
        <f>M148+IF(MOD(A148,B148)=0,VLOOKUP(B148,'Pre-Calculation'!$H$1:$L$31,5,FALSE),0)*IF('Pre-Calculation'!$D$16="% OF FV",M148,IF(OR('Pre-Calculation'!$D$16="% OF AFV(24M)",'Pre-Calculation'!$D$16="% OF AFV(8Q)"),AVERAGE( $M125:$M148),IF('Pre-Calculation'!$D$16="% OF AFV(12M)",AVERAGE($M137:M148),IF('Pre-Calculation'!$D$16="% OF AFV(36M)",AVERAGE($M113:M148)))))</f>
        <v>2146895.176</v>
      </c>
      <c r="O148" s="175">
        <f t="shared" si="4"/>
        <v>2146895.176</v>
      </c>
      <c r="P148" s="175">
        <f>IF('Pre-Calculation'!$D$17="Type 4 a",MAX(SA,N148,1.05*Q148),IF('Pre-Calculation'!$D$17="Type 4 c",N148,IF('Pre-Calculation'!$D$17="Type 4 d",SA+N148,IF('Pre-Calculation'!$D$17="Type 4 e",MAX(SA,N148),IF('Pre-Calculation'!$D$17="Type 4 f",SA,IF('Pre-Calculation'!$D$17="Type 4 g",1000+N148,IF('Pre-Calculation'!$D$17="Type 4 h",SA+X148,IF('Pre-Calculation'!$D$17="Type 4 i",MAX(N148,Q148),IF('Pre-Calculation'!$D$17="Type 4 k",MAX(N148,1.01*Q148),IF('Pre-Calculation'!$D$17="Type 4 m",MAX(105%*Q148,SA+N148),IF('Pre-Calculation'!$D$17="Type 4 o",MAX(SA,105%*Q148)+X148+Z148,IF('Pre-Calculation'!$D$17="Type 5",0))))))))))))</f>
        <v>2146895.176</v>
      </c>
      <c r="Q148" s="175">
        <f t="shared" si="5"/>
        <v>1000000</v>
      </c>
      <c r="R148" s="119">
        <f>L148*(1+GROWTH_RATE)*FMC</f>
        <v>2417.150639</v>
      </c>
      <c r="S148" s="178">
        <f>S147*(1+'Pre-Calculation'!$E$27)</f>
        <v>976579.258</v>
      </c>
      <c r="T148" s="175">
        <f>-E148+IF(A147=INPUT!$C$11*12,N148,0)</f>
        <v>0</v>
      </c>
      <c r="U148" s="175">
        <f t="shared" si="6"/>
        <v>2143465.14</v>
      </c>
      <c r="V148" s="175">
        <f>U148*(1+GROWTH_RATE_H)*(1-'Pre-Calculation'!$E$31)</f>
        <v>2153663.729</v>
      </c>
      <c r="W148" s="175">
        <f>-E148+IF(A147=INPUT!$C$11*12,V148,0)</f>
        <v>0</v>
      </c>
      <c r="X148" s="179">
        <f t="array" ref="X148">NPV('Pre-Calculation'!$E$20,$E149:E$246)</f>
        <v>0</v>
      </c>
      <c r="Y148" s="171">
        <f>10%*SA</f>
        <v>100000</v>
      </c>
      <c r="Z148" s="179">
        <f t="array" ref="Z148">NPV('Pre-Calculation'!$E$20,Y149:Y158)</f>
        <v>969592.8037</v>
      </c>
    </row>
    <row r="149" ht="15.75" customHeight="1">
      <c r="A149" s="171">
        <f t="shared" si="1"/>
        <v>203</v>
      </c>
      <c r="B149" s="171">
        <f t="shared" si="2"/>
        <v>17</v>
      </c>
      <c r="C149" s="176">
        <f>EDATE(RCD,A148)</f>
        <v>48699</v>
      </c>
      <c r="D149" s="171">
        <f>Age_At_Entry+'Cashflows_8%'!B149-1</f>
        <v>51</v>
      </c>
      <c r="E149" s="175">
        <f>IF(AND(C149&lt;=Last_Prem,MOD(A148,Mode)=0,C149&gt;INPUT!$C$13,A149&lt;=Revival!$C$11),Mod_Prem,0)</f>
        <v>0</v>
      </c>
      <c r="F149" s="177">
        <f>E149*VLOOKUP(B149,'Pre-Calculation'!$H$1:$I$31,2,FALSE)</f>
        <v>0</v>
      </c>
      <c r="G149" s="177">
        <f>IF(B149&lt;PT+1,VLOOKUP(B149,'Pre-Calculation'!$H$1:$L$32,3,FALSE)+VLOOKUP(B149,'Pre-Calculation'!$H$1:$L$32,4,FALSE)*'Pre-Calculation'!$D$7,0)</f>
        <v>0</v>
      </c>
      <c r="H149" s="175">
        <f>(E149-(F149+G149)*(1+Tax)+N148)</f>
        <v>2146895.176</v>
      </c>
      <c r="I149" s="175">
        <f>IF(B149&lt;PT+1,VLOOKUP(D149,'Pre-Calculation'!$N$3:$P$79,IF(INPUT!$C$4="M",2,3),FALSE)*(J149/1000)*(1/12),0)</f>
        <v>0</v>
      </c>
      <c r="J149" s="175">
        <f t="shared" si="3"/>
        <v>0</v>
      </c>
      <c r="K149" s="175">
        <f>(IF('Pre-Calculation'!$D$17="Type 4 a",MAX(SA,H149,1.05*Q149),IF('Pre-Calculation'!$D$17="Type 4 c",H149,IF('Pre-Calculation'!$D$17="Type 4 d",SA+H149,IF('Pre-Calculation'!$D$17="Type 4 e",MAX(SA,H149),IF('Pre-Calculation'!$D$17="Type 4 f",SA,IF('Pre-Calculation'!$D$17="Type 4 g",1000+H149,IF('Pre-Calculation'!$D$17="Type 4 h",SA+X149,IF('Pre-Calculation'!$D$17="Type 4 i",MAX(H149,Q149),IF('Pre-Calculation'!$D$17="Type 4 k",MAX(H149,1.01*Q149),IF('Pre-Calculation'!$D$17="Type 4 m",MAX(105%*Q149,SA+H149),IF('Pre-Calculation'!$D$17="Type 4 o",MAX(SA,105%*Q149)+X149+Z149,IF('Pre-Calculation'!$D$17="Type 5",0)))))))))))))*IF(AND(A149&lt;Revival!$C$4,'Cashflows_8%'!C149&gt;=Revival!$D$12),PUP,1)</f>
        <v>2146895.176</v>
      </c>
      <c r="L149" s="175">
        <f>H149-I149*(1+Tax)</f>
        <v>2146895.176</v>
      </c>
      <c r="M149" s="175">
        <f>L149*(1+GROWTH_RATE_H)*(1-FMC*(1+Tax))</f>
        <v>2157841.584</v>
      </c>
      <c r="N149" s="175">
        <f>M149+IF(MOD(A149,B149)=0,VLOOKUP(B149,'Pre-Calculation'!$H$1:$L$31,5,FALSE),0)*IF('Pre-Calculation'!$D$16="% OF FV",M149,IF(OR('Pre-Calculation'!$D$16="% OF AFV(24M)",'Pre-Calculation'!$D$16="% OF AFV(8Q)"),AVERAGE( $M126:$M149),IF('Pre-Calculation'!$D$16="% OF AFV(12M)",AVERAGE($M138:M149),IF('Pre-Calculation'!$D$16="% OF AFV(36M)",AVERAGE($M114:M149)))))</f>
        <v>2157841.584</v>
      </c>
      <c r="O149" s="175">
        <f t="shared" si="4"/>
        <v>2157841.584</v>
      </c>
      <c r="P149" s="175">
        <f>IF('Pre-Calculation'!$D$17="Type 4 a",MAX(SA,N149,1.05*Q149),IF('Pre-Calculation'!$D$17="Type 4 c",N149,IF('Pre-Calculation'!$D$17="Type 4 d",SA+N149,IF('Pre-Calculation'!$D$17="Type 4 e",MAX(SA,N149),IF('Pre-Calculation'!$D$17="Type 4 f",SA,IF('Pre-Calculation'!$D$17="Type 4 g",1000+N149,IF('Pre-Calculation'!$D$17="Type 4 h",SA+X149,IF('Pre-Calculation'!$D$17="Type 4 i",MAX(N149,Q149),IF('Pre-Calculation'!$D$17="Type 4 k",MAX(N149,1.01*Q149),IF('Pre-Calculation'!$D$17="Type 4 m",MAX(105%*Q149,SA+N149),IF('Pre-Calculation'!$D$17="Type 4 o",MAX(SA,105%*Q149)+X149+Z149,IF('Pre-Calculation'!$D$17="Type 5",0))))))))))))</f>
        <v>2157841.584</v>
      </c>
      <c r="Q149" s="175">
        <f t="shared" si="5"/>
        <v>1000000</v>
      </c>
      <c r="R149" s="119">
        <f>L149*(1+GROWTH_RATE)*FMC</f>
        <v>2429.475003</v>
      </c>
      <c r="S149" s="178">
        <f>S148*(1+'Pre-Calculation'!$E$27)</f>
        <v>979382.9181</v>
      </c>
      <c r="T149" s="175">
        <f>-E149+IF(A148=INPUT!$C$11*12,N149,0)</f>
        <v>0</v>
      </c>
      <c r="U149" s="175">
        <f t="shared" si="6"/>
        <v>2153663.729</v>
      </c>
      <c r="V149" s="175">
        <f>U149*(1+GROWTH_RATE_H)*(1-'Pre-Calculation'!$E$31)</f>
        <v>2163910.842</v>
      </c>
      <c r="W149" s="175">
        <f>-E149+IF(A148=INPUT!$C$11*12,V149,0)</f>
        <v>0</v>
      </c>
      <c r="X149" s="179">
        <f t="array" ref="X149">NPV('Pre-Calculation'!$E$20,$E150:E$246)</f>
        <v>0</v>
      </c>
      <c r="Y149" s="171">
        <f>10%*SA</f>
        <v>100000</v>
      </c>
      <c r="Z149" s="179">
        <f t="array" ref="Z149">NPV('Pre-Calculation'!$E$20,Y150:Y159)</f>
        <v>969592.8037</v>
      </c>
    </row>
    <row r="150" ht="15.75" customHeight="1">
      <c r="A150" s="171">
        <f t="shared" si="1"/>
        <v>204</v>
      </c>
      <c r="B150" s="171">
        <f t="shared" si="2"/>
        <v>17</v>
      </c>
      <c r="C150" s="176">
        <f>EDATE(RCD,A149)</f>
        <v>48729</v>
      </c>
      <c r="D150" s="171">
        <f>Age_At_Entry+'Cashflows_8%'!B150-1</f>
        <v>51</v>
      </c>
      <c r="E150" s="175">
        <f>IF(AND(C150&lt;=Last_Prem,MOD(A149,Mode)=0,C150&gt;INPUT!$C$13,A150&lt;=Revival!$C$11),Mod_Prem,0)</f>
        <v>0</v>
      </c>
      <c r="F150" s="177">
        <f>E150*VLOOKUP(B150,'Pre-Calculation'!$H$1:$I$31,2,FALSE)</f>
        <v>0</v>
      </c>
      <c r="G150" s="177">
        <f>IF(B150&lt;PT+1,VLOOKUP(B150,'Pre-Calculation'!$H$1:$L$32,3,FALSE)+VLOOKUP(B150,'Pre-Calculation'!$H$1:$L$32,4,FALSE)*'Pre-Calculation'!$D$7,0)</f>
        <v>0</v>
      </c>
      <c r="H150" s="175">
        <f>(E150-(F150+G150)*(1+Tax)+N149)</f>
        <v>2157841.584</v>
      </c>
      <c r="I150" s="175">
        <f>IF(B150&lt;PT+1,VLOOKUP(D150,'Pre-Calculation'!$N$3:$P$79,IF(INPUT!$C$4="M",2,3),FALSE)*(J150/1000)*(1/12),0)</f>
        <v>0</v>
      </c>
      <c r="J150" s="175">
        <f t="shared" si="3"/>
        <v>0</v>
      </c>
      <c r="K150" s="175">
        <f>(IF('Pre-Calculation'!$D$17="Type 4 a",MAX(SA,H150,1.05*Q150),IF('Pre-Calculation'!$D$17="Type 4 c",H150,IF('Pre-Calculation'!$D$17="Type 4 d",SA+H150,IF('Pre-Calculation'!$D$17="Type 4 e",MAX(SA,H150),IF('Pre-Calculation'!$D$17="Type 4 f",SA,IF('Pre-Calculation'!$D$17="Type 4 g",1000+H150,IF('Pre-Calculation'!$D$17="Type 4 h",SA+X150,IF('Pre-Calculation'!$D$17="Type 4 i",MAX(H150,Q150),IF('Pre-Calculation'!$D$17="Type 4 k",MAX(H150,1.01*Q150),IF('Pre-Calculation'!$D$17="Type 4 m",MAX(105%*Q150,SA+H150),IF('Pre-Calculation'!$D$17="Type 4 o",MAX(SA,105%*Q150)+X150+Z150,IF('Pre-Calculation'!$D$17="Type 5",0)))))))))))))*IF(AND(A150&lt;Revival!$C$4,'Cashflows_8%'!C150&gt;=Revival!$D$12),PUP,1)</f>
        <v>2157841.584</v>
      </c>
      <c r="L150" s="175">
        <f>H150-I150*(1+Tax)</f>
        <v>2157841.584</v>
      </c>
      <c r="M150" s="175">
        <f>L150*(1+GROWTH_RATE_H)*(1-FMC*(1+Tax))</f>
        <v>2168843.804</v>
      </c>
      <c r="N150" s="175">
        <f>M150+IF(MOD(A150,B150)=0,VLOOKUP(B150,'Pre-Calculation'!$H$1:$L$31,5,FALSE),0)*IF('Pre-Calculation'!$D$16="% OF FV",M150,IF(OR('Pre-Calculation'!$D$16="% OF AFV(24M)",'Pre-Calculation'!$D$16="% OF AFV(8Q)"),AVERAGE( $M127:$M150),IF('Pre-Calculation'!$D$16="% OF AFV(12M)",AVERAGE($M139:M150),IF('Pre-Calculation'!$D$16="% OF AFV(36M)",AVERAGE($M115:M150)))))</f>
        <v>2168843.804</v>
      </c>
      <c r="O150" s="175">
        <f t="shared" si="4"/>
        <v>2168843.804</v>
      </c>
      <c r="P150" s="175">
        <f>IF('Pre-Calculation'!$D$17="Type 4 a",MAX(SA,N150,1.05*Q150),IF('Pre-Calculation'!$D$17="Type 4 c",N150,IF('Pre-Calculation'!$D$17="Type 4 d",SA+N150,IF('Pre-Calculation'!$D$17="Type 4 e",MAX(SA,N150),IF('Pre-Calculation'!$D$17="Type 4 f",SA,IF('Pre-Calculation'!$D$17="Type 4 g",1000+N150,IF('Pre-Calculation'!$D$17="Type 4 h",SA+X150,IF('Pre-Calculation'!$D$17="Type 4 i",MAX(N150,Q150),IF('Pre-Calculation'!$D$17="Type 4 k",MAX(N150,1.01*Q150),IF('Pre-Calculation'!$D$17="Type 4 m",MAX(105%*Q150,SA+N150),IF('Pre-Calculation'!$D$17="Type 4 o",MAX(SA,105%*Q150)+X150+Z150,IF('Pre-Calculation'!$D$17="Type 5",0))))))))))))</f>
        <v>2168843.804</v>
      </c>
      <c r="Q150" s="175">
        <f t="shared" si="5"/>
        <v>1000000</v>
      </c>
      <c r="R150" s="119">
        <f>L150*(1+GROWTH_RATE)*FMC</f>
        <v>2441.862204</v>
      </c>
      <c r="S150" s="178">
        <f>S149*(1+'Pre-Calculation'!$E$27)</f>
        <v>982194.6273</v>
      </c>
      <c r="T150" s="175">
        <f>-E150+IF(A149=INPUT!$C$11*12,N150,0)</f>
        <v>0</v>
      </c>
      <c r="U150" s="175">
        <f t="shared" si="6"/>
        <v>2163910.842</v>
      </c>
      <c r="V150" s="175">
        <f>U150*(1+GROWTH_RATE_H)*(1-'Pre-Calculation'!$E$31)</f>
        <v>2174206.711</v>
      </c>
      <c r="W150" s="175">
        <f>-E150+IF(A149=INPUT!$C$11*12,V150,0)</f>
        <v>0</v>
      </c>
      <c r="X150" s="179">
        <f t="array" ref="X150">NPV('Pre-Calculation'!$E$20,$E151:E$246)</f>
        <v>0</v>
      </c>
      <c r="Y150" s="171">
        <f>10%*SA</f>
        <v>100000</v>
      </c>
      <c r="Z150" s="179">
        <f t="array" ref="Z150">NPV('Pre-Calculation'!$E$20,Y151:Y160)</f>
        <v>969592.8037</v>
      </c>
    </row>
    <row r="151" ht="15.75" customHeight="1">
      <c r="A151" s="171">
        <f t="shared" si="1"/>
        <v>205</v>
      </c>
      <c r="B151" s="171">
        <f t="shared" si="2"/>
        <v>18</v>
      </c>
      <c r="C151" s="176">
        <f>EDATE(RCD,A150)</f>
        <v>48760</v>
      </c>
      <c r="D151" s="171">
        <f>Age_At_Entry+'Cashflows_8%'!B151-1</f>
        <v>52</v>
      </c>
      <c r="E151" s="175">
        <f>IF(AND(C151&lt;=Last_Prem,MOD(A150,Mode)=0,C151&gt;INPUT!$C$13,A151&lt;=Revival!$C$11),Mod_Prem,0)</f>
        <v>0</v>
      </c>
      <c r="F151" s="177">
        <f>E151*VLOOKUP(B151,'Pre-Calculation'!$H$1:$I$31,2,FALSE)</f>
        <v>0</v>
      </c>
      <c r="G151" s="177">
        <f>IF(B151&lt;PT+1,VLOOKUP(B151,'Pre-Calculation'!$H$1:$L$32,3,FALSE)+VLOOKUP(B151,'Pre-Calculation'!$H$1:$L$32,4,FALSE)*'Pre-Calculation'!$D$7,0)</f>
        <v>0</v>
      </c>
      <c r="H151" s="175">
        <f>(E151-(F151+G151)*(1+Tax)+N150)</f>
        <v>2168843.804</v>
      </c>
      <c r="I151" s="175">
        <f>IF(B151&lt;PT+1,VLOOKUP(D151,'Pre-Calculation'!$N$3:$P$79,IF(INPUT!$C$4="M",2,3),FALSE)*(J151/1000)*(1/12),0)</f>
        <v>0</v>
      </c>
      <c r="J151" s="175">
        <f t="shared" si="3"/>
        <v>0</v>
      </c>
      <c r="K151" s="175">
        <f>(IF('Pre-Calculation'!$D$17="Type 4 a",MAX(SA,H151,1.05*Q151),IF('Pre-Calculation'!$D$17="Type 4 c",H151,IF('Pre-Calculation'!$D$17="Type 4 d",SA+H151,IF('Pre-Calculation'!$D$17="Type 4 e",MAX(SA,H151),IF('Pre-Calculation'!$D$17="Type 4 f",SA,IF('Pre-Calculation'!$D$17="Type 4 g",1000+H151,IF('Pre-Calculation'!$D$17="Type 4 h",SA+X151,IF('Pre-Calculation'!$D$17="Type 4 i",MAX(H151,Q151),IF('Pre-Calculation'!$D$17="Type 4 k",MAX(H151,1.01*Q151),IF('Pre-Calculation'!$D$17="Type 4 m",MAX(105%*Q151,SA+H151),IF('Pre-Calculation'!$D$17="Type 4 o",MAX(SA,105%*Q151)+X151+Z151,IF('Pre-Calculation'!$D$17="Type 5",0)))))))))))))*IF(AND(A151&lt;Revival!$C$4,'Cashflows_8%'!C151&gt;=Revival!$D$12),PUP,1)</f>
        <v>2168843.804</v>
      </c>
      <c r="L151" s="175">
        <f>H151-I151*(1+Tax)</f>
        <v>2168843.804</v>
      </c>
      <c r="M151" s="175">
        <f>L151*(1+GROWTH_RATE_H)*(1-FMC*(1+Tax))</f>
        <v>2179902.121</v>
      </c>
      <c r="N151" s="175">
        <f>M151+IF(MOD(A151,B151)=0,VLOOKUP(B151,'Pre-Calculation'!$H$1:$L$31,5,FALSE),0)*IF('Pre-Calculation'!$D$16="% OF FV",M151,IF(OR('Pre-Calculation'!$D$16="% OF AFV(24M)",'Pre-Calculation'!$D$16="% OF AFV(8Q)"),AVERAGE( $M128:$M151),IF('Pre-Calculation'!$D$16="% OF AFV(12M)",AVERAGE($M140:M151),IF('Pre-Calculation'!$D$16="% OF AFV(36M)",AVERAGE($M116:M151)))))</f>
        <v>2179902.121</v>
      </c>
      <c r="O151" s="175">
        <f t="shared" si="4"/>
        <v>2179902.121</v>
      </c>
      <c r="P151" s="175">
        <f>IF('Pre-Calculation'!$D$17="Type 4 a",MAX(SA,N151,1.05*Q151),IF('Pre-Calculation'!$D$17="Type 4 c",N151,IF('Pre-Calculation'!$D$17="Type 4 d",SA+N151,IF('Pre-Calculation'!$D$17="Type 4 e",MAX(SA,N151),IF('Pre-Calculation'!$D$17="Type 4 f",SA,IF('Pre-Calculation'!$D$17="Type 4 g",1000+N151,IF('Pre-Calculation'!$D$17="Type 4 h",SA+X151,IF('Pre-Calculation'!$D$17="Type 4 i",MAX(N151,Q151),IF('Pre-Calculation'!$D$17="Type 4 k",MAX(N151,1.01*Q151),IF('Pre-Calculation'!$D$17="Type 4 m",MAX(105%*Q151,SA+N151),IF('Pre-Calculation'!$D$17="Type 4 o",MAX(SA,105%*Q151)+X151+Z151,IF('Pre-Calculation'!$D$17="Type 5",0))))))))))))</f>
        <v>2179902.121</v>
      </c>
      <c r="Q151" s="175">
        <f t="shared" si="5"/>
        <v>1000000</v>
      </c>
      <c r="R151" s="119">
        <f>L151*(1+GROWTH_RATE)*FMC</f>
        <v>2454.312565</v>
      </c>
      <c r="S151" s="178">
        <f>S150*(1+'Pre-Calculation'!$E$27)</f>
        <v>985014.4086</v>
      </c>
      <c r="T151" s="175">
        <f>-E151+IF(A150=INPUT!$C$11*12,N151,0)</f>
        <v>0</v>
      </c>
      <c r="U151" s="175">
        <f t="shared" si="6"/>
        <v>2174206.711</v>
      </c>
      <c r="V151" s="175">
        <f>U151*(1+GROWTH_RATE_H)*(1-'Pre-Calculation'!$E$31)</f>
        <v>2184551.567</v>
      </c>
      <c r="W151" s="175">
        <f>-E151+IF(A150=INPUT!$C$11*12,V151,0)</f>
        <v>0</v>
      </c>
      <c r="X151" s="179">
        <f t="array" ref="X151">NPV('Pre-Calculation'!$E$20,$E152:E$246)</f>
        <v>0</v>
      </c>
      <c r="Y151" s="171">
        <f>10%*SA</f>
        <v>100000</v>
      </c>
      <c r="Z151" s="179">
        <f t="array" ref="Z151">NPV('Pre-Calculation'!$E$20,Y152:Y161)</f>
        <v>969592.8037</v>
      </c>
    </row>
    <row r="152" ht="15.75" customHeight="1">
      <c r="A152" s="171">
        <f t="shared" si="1"/>
        <v>206</v>
      </c>
      <c r="B152" s="171">
        <f t="shared" si="2"/>
        <v>18</v>
      </c>
      <c r="C152" s="176">
        <f>EDATE(RCD,A151)</f>
        <v>48790</v>
      </c>
      <c r="D152" s="171">
        <f>Age_At_Entry+'Cashflows_8%'!B152-1</f>
        <v>52</v>
      </c>
      <c r="E152" s="175">
        <f>IF(AND(C152&lt;=Last_Prem,MOD(A151,Mode)=0,C152&gt;INPUT!$C$13,A152&lt;=Revival!$C$11),Mod_Prem,0)</f>
        <v>0</v>
      </c>
      <c r="F152" s="177">
        <f>E152*VLOOKUP(B152,'Pre-Calculation'!$H$1:$I$31,2,FALSE)</f>
        <v>0</v>
      </c>
      <c r="G152" s="177">
        <f>IF(B152&lt;PT+1,VLOOKUP(B152,'Pre-Calculation'!$H$1:$L$32,3,FALSE)+VLOOKUP(B152,'Pre-Calculation'!$H$1:$L$32,4,FALSE)*'Pre-Calculation'!$D$7,0)</f>
        <v>0</v>
      </c>
      <c r="H152" s="175">
        <f>(E152-(F152+G152)*(1+Tax)+N151)</f>
        <v>2179902.121</v>
      </c>
      <c r="I152" s="175">
        <f>IF(B152&lt;PT+1,VLOOKUP(D152,'Pre-Calculation'!$N$3:$P$79,IF(INPUT!$C$4="M",2,3),FALSE)*(J152/1000)*(1/12),0)</f>
        <v>0</v>
      </c>
      <c r="J152" s="175">
        <f t="shared" si="3"/>
        <v>0</v>
      </c>
      <c r="K152" s="175">
        <f>(IF('Pre-Calculation'!$D$17="Type 4 a",MAX(SA,H152,1.05*Q152),IF('Pre-Calculation'!$D$17="Type 4 c",H152,IF('Pre-Calculation'!$D$17="Type 4 d",SA+H152,IF('Pre-Calculation'!$D$17="Type 4 e",MAX(SA,H152),IF('Pre-Calculation'!$D$17="Type 4 f",SA,IF('Pre-Calculation'!$D$17="Type 4 g",1000+H152,IF('Pre-Calculation'!$D$17="Type 4 h",SA+X152,IF('Pre-Calculation'!$D$17="Type 4 i",MAX(H152,Q152),IF('Pre-Calculation'!$D$17="Type 4 k",MAX(H152,1.01*Q152),IF('Pre-Calculation'!$D$17="Type 4 m",MAX(105%*Q152,SA+H152),IF('Pre-Calculation'!$D$17="Type 4 o",MAX(SA,105%*Q152)+X152+Z152,IF('Pre-Calculation'!$D$17="Type 5",0)))))))))))))*IF(AND(A152&lt;Revival!$C$4,'Cashflows_8%'!C152&gt;=Revival!$D$12),PUP,1)</f>
        <v>2179902.121</v>
      </c>
      <c r="L152" s="175">
        <f>H152-I152*(1+Tax)</f>
        <v>2179902.121</v>
      </c>
      <c r="M152" s="175">
        <f>L152*(1+GROWTH_RATE_H)*(1-FMC*(1+Tax))</f>
        <v>2191016.822</v>
      </c>
      <c r="N152" s="175">
        <f>M152+IF(MOD(A152,B152)=0,VLOOKUP(B152,'Pre-Calculation'!$H$1:$L$31,5,FALSE),0)*IF('Pre-Calculation'!$D$16="% OF FV",M152,IF(OR('Pre-Calculation'!$D$16="% OF AFV(24M)",'Pre-Calculation'!$D$16="% OF AFV(8Q)"),AVERAGE( $M129:$M152),IF('Pre-Calculation'!$D$16="% OF AFV(12M)",AVERAGE($M141:M152),IF('Pre-Calculation'!$D$16="% OF AFV(36M)",AVERAGE($M117:M152)))))</f>
        <v>2191016.822</v>
      </c>
      <c r="O152" s="175">
        <f t="shared" si="4"/>
        <v>2191016.822</v>
      </c>
      <c r="P152" s="175">
        <f>IF('Pre-Calculation'!$D$17="Type 4 a",MAX(SA,N152,1.05*Q152),IF('Pre-Calculation'!$D$17="Type 4 c",N152,IF('Pre-Calculation'!$D$17="Type 4 d",SA+N152,IF('Pre-Calculation'!$D$17="Type 4 e",MAX(SA,N152),IF('Pre-Calculation'!$D$17="Type 4 f",SA,IF('Pre-Calculation'!$D$17="Type 4 g",1000+N152,IF('Pre-Calculation'!$D$17="Type 4 h",SA+X152,IF('Pre-Calculation'!$D$17="Type 4 i",MAX(N152,Q152),IF('Pre-Calculation'!$D$17="Type 4 k",MAX(N152,1.01*Q152),IF('Pre-Calculation'!$D$17="Type 4 m",MAX(105%*Q152,SA+N152),IF('Pre-Calculation'!$D$17="Type 4 o",MAX(SA,105%*Q152)+X152+Z152,IF('Pre-Calculation'!$D$17="Type 5",0))))))))))))</f>
        <v>2191016.822</v>
      </c>
      <c r="Q152" s="175">
        <f t="shared" si="5"/>
        <v>1000000</v>
      </c>
      <c r="R152" s="119">
        <f>L152*(1+GROWTH_RATE)*FMC</f>
        <v>2466.826407</v>
      </c>
      <c r="S152" s="178">
        <f>S151*(1+'Pre-Calculation'!$E$27)</f>
        <v>987842.2852</v>
      </c>
      <c r="T152" s="175">
        <f>-E152+IF(A151=INPUT!$C$11*12,N152,0)</f>
        <v>0</v>
      </c>
      <c r="U152" s="175">
        <f t="shared" si="6"/>
        <v>2184551.567</v>
      </c>
      <c r="V152" s="175">
        <f>U152*(1+GROWTH_RATE_H)*(1-'Pre-Calculation'!$E$31)</f>
        <v>2194945.644</v>
      </c>
      <c r="W152" s="175">
        <f>-E152+IF(A151=INPUT!$C$11*12,V152,0)</f>
        <v>0</v>
      </c>
      <c r="X152" s="179">
        <f t="array" ref="X152">NPV('Pre-Calculation'!$E$20,$E153:E$246)</f>
        <v>0</v>
      </c>
      <c r="Y152" s="171">
        <f>10%*SA</f>
        <v>100000</v>
      </c>
      <c r="Z152" s="179">
        <f t="array" ref="Z152">NPV('Pre-Calculation'!$E$20,Y153:Y162)</f>
        <v>969592.8037</v>
      </c>
    </row>
    <row r="153" ht="15.75" customHeight="1">
      <c r="A153" s="171">
        <f t="shared" si="1"/>
        <v>207</v>
      </c>
      <c r="B153" s="171">
        <f t="shared" si="2"/>
        <v>18</v>
      </c>
      <c r="C153" s="176">
        <f>EDATE(RCD,A152)</f>
        <v>48821</v>
      </c>
      <c r="D153" s="171">
        <f>Age_At_Entry+'Cashflows_8%'!B153-1</f>
        <v>52</v>
      </c>
      <c r="E153" s="175">
        <f>IF(AND(C153&lt;=Last_Prem,MOD(A152,Mode)=0,C153&gt;INPUT!$C$13,A153&lt;=Revival!$C$11),Mod_Prem,0)</f>
        <v>0</v>
      </c>
      <c r="F153" s="177">
        <f>E153*VLOOKUP(B153,'Pre-Calculation'!$H$1:$I$31,2,FALSE)</f>
        <v>0</v>
      </c>
      <c r="G153" s="177">
        <f>IF(B153&lt;PT+1,VLOOKUP(B153,'Pre-Calculation'!$H$1:$L$32,3,FALSE)+VLOOKUP(B153,'Pre-Calculation'!$H$1:$L$32,4,FALSE)*'Pre-Calculation'!$D$7,0)</f>
        <v>0</v>
      </c>
      <c r="H153" s="175">
        <f>(E153-(F153+G153)*(1+Tax)+N152)</f>
        <v>2191016.822</v>
      </c>
      <c r="I153" s="175">
        <f>IF(B153&lt;PT+1,VLOOKUP(D153,'Pre-Calculation'!$N$3:$P$79,IF(INPUT!$C$4="M",2,3),FALSE)*(J153/1000)*(1/12),0)</f>
        <v>0</v>
      </c>
      <c r="J153" s="175">
        <f t="shared" si="3"/>
        <v>0</v>
      </c>
      <c r="K153" s="175">
        <f>(IF('Pre-Calculation'!$D$17="Type 4 a",MAX(SA,H153,1.05*Q153),IF('Pre-Calculation'!$D$17="Type 4 c",H153,IF('Pre-Calculation'!$D$17="Type 4 d",SA+H153,IF('Pre-Calculation'!$D$17="Type 4 e",MAX(SA,H153),IF('Pre-Calculation'!$D$17="Type 4 f",SA,IF('Pre-Calculation'!$D$17="Type 4 g",1000+H153,IF('Pre-Calculation'!$D$17="Type 4 h",SA+X153,IF('Pre-Calculation'!$D$17="Type 4 i",MAX(H153,Q153),IF('Pre-Calculation'!$D$17="Type 4 k",MAX(H153,1.01*Q153),IF('Pre-Calculation'!$D$17="Type 4 m",MAX(105%*Q153,SA+H153),IF('Pre-Calculation'!$D$17="Type 4 o",MAX(SA,105%*Q153)+X153+Z153,IF('Pre-Calculation'!$D$17="Type 5",0)))))))))))))*IF(AND(A153&lt;Revival!$C$4,'Cashflows_8%'!C153&gt;=Revival!$D$12),PUP,1)</f>
        <v>2191016.822</v>
      </c>
      <c r="L153" s="175">
        <f>H153-I153*(1+Tax)</f>
        <v>2191016.822</v>
      </c>
      <c r="M153" s="175">
        <f>L153*(1+GROWTH_RATE_H)*(1-FMC*(1+Tax))</f>
        <v>2202188.194</v>
      </c>
      <c r="N153" s="175">
        <f>M153+IF(MOD(A153,B153)=0,VLOOKUP(B153,'Pre-Calculation'!$H$1:$L$31,5,FALSE),0)*IF('Pre-Calculation'!$D$16="% OF FV",M153,IF(OR('Pre-Calculation'!$D$16="% OF AFV(24M)",'Pre-Calculation'!$D$16="% OF AFV(8Q)"),AVERAGE( $M130:$M153),IF('Pre-Calculation'!$D$16="% OF AFV(12M)",AVERAGE($M142:M153),IF('Pre-Calculation'!$D$16="% OF AFV(36M)",AVERAGE($M118:M153)))))</f>
        <v>2202188.194</v>
      </c>
      <c r="O153" s="175">
        <f t="shared" si="4"/>
        <v>2202188.194</v>
      </c>
      <c r="P153" s="175">
        <f>IF('Pre-Calculation'!$D$17="Type 4 a",MAX(SA,N153,1.05*Q153),IF('Pre-Calculation'!$D$17="Type 4 c",N153,IF('Pre-Calculation'!$D$17="Type 4 d",SA+N153,IF('Pre-Calculation'!$D$17="Type 4 e",MAX(SA,N153),IF('Pre-Calculation'!$D$17="Type 4 f",SA,IF('Pre-Calculation'!$D$17="Type 4 g",1000+N153,IF('Pre-Calculation'!$D$17="Type 4 h",SA+X153,IF('Pre-Calculation'!$D$17="Type 4 i",MAX(N153,Q153),IF('Pre-Calculation'!$D$17="Type 4 k",MAX(N153,1.01*Q153),IF('Pre-Calculation'!$D$17="Type 4 m",MAX(105%*Q153,SA+N153),IF('Pre-Calculation'!$D$17="Type 4 o",MAX(SA,105%*Q153)+X153+Z153,IF('Pre-Calculation'!$D$17="Type 5",0))))))))))))</f>
        <v>2202188.194</v>
      </c>
      <c r="Q153" s="175">
        <f t="shared" si="5"/>
        <v>1000000</v>
      </c>
      <c r="R153" s="119">
        <f>L153*(1+GROWTH_RATE)*FMC</f>
        <v>2479.404053</v>
      </c>
      <c r="S153" s="178">
        <f>S152*(1+'Pre-Calculation'!$E$27)</f>
        <v>990678.2803</v>
      </c>
      <c r="T153" s="175">
        <f>-E153+IF(A152=INPUT!$C$11*12,N153,0)</f>
        <v>0</v>
      </c>
      <c r="U153" s="175">
        <f t="shared" si="6"/>
        <v>2194945.644</v>
      </c>
      <c r="V153" s="175">
        <f>U153*(1+GROWTH_RATE_H)*(1-'Pre-Calculation'!$E$31)</f>
        <v>2205389.176</v>
      </c>
      <c r="W153" s="175">
        <f>-E153+IF(A152=INPUT!$C$11*12,V153,0)</f>
        <v>0</v>
      </c>
      <c r="X153" s="179">
        <f t="array" ref="X153">NPV('Pre-Calculation'!$E$20,$E154:E$246)</f>
        <v>0</v>
      </c>
      <c r="Y153" s="171">
        <f>10%*SA</f>
        <v>100000</v>
      </c>
      <c r="Z153" s="179">
        <f t="array" ref="Z153">NPV('Pre-Calculation'!$E$20,Y154:Y163)</f>
        <v>969592.8037</v>
      </c>
    </row>
    <row r="154" ht="15.75" customHeight="1">
      <c r="A154" s="171">
        <f t="shared" si="1"/>
        <v>208</v>
      </c>
      <c r="B154" s="171">
        <f t="shared" si="2"/>
        <v>18</v>
      </c>
      <c r="C154" s="176">
        <f>EDATE(RCD,A153)</f>
        <v>48852</v>
      </c>
      <c r="D154" s="171">
        <f>Age_At_Entry+'Cashflows_8%'!B154-1</f>
        <v>52</v>
      </c>
      <c r="E154" s="175">
        <f>IF(AND(C154&lt;=Last_Prem,MOD(A153,Mode)=0,C154&gt;INPUT!$C$13,A154&lt;=Revival!$C$11),Mod_Prem,0)</f>
        <v>0</v>
      </c>
      <c r="F154" s="177">
        <f>E154*VLOOKUP(B154,'Pre-Calculation'!$H$1:$I$31,2,FALSE)</f>
        <v>0</v>
      </c>
      <c r="G154" s="177">
        <f>IF(B154&lt;PT+1,VLOOKUP(B154,'Pre-Calculation'!$H$1:$L$32,3,FALSE)+VLOOKUP(B154,'Pre-Calculation'!$H$1:$L$32,4,FALSE)*'Pre-Calculation'!$D$7,0)</f>
        <v>0</v>
      </c>
      <c r="H154" s="175">
        <f>(E154-(F154+G154)*(1+Tax)+N153)</f>
        <v>2202188.194</v>
      </c>
      <c r="I154" s="175">
        <f>IF(B154&lt;PT+1,VLOOKUP(D154,'Pre-Calculation'!$N$3:$P$79,IF(INPUT!$C$4="M",2,3),FALSE)*(J154/1000)*(1/12),0)</f>
        <v>0</v>
      </c>
      <c r="J154" s="175">
        <f t="shared" si="3"/>
        <v>0</v>
      </c>
      <c r="K154" s="175">
        <f>(IF('Pre-Calculation'!$D$17="Type 4 a",MAX(SA,H154,1.05*Q154),IF('Pre-Calculation'!$D$17="Type 4 c",H154,IF('Pre-Calculation'!$D$17="Type 4 d",SA+H154,IF('Pre-Calculation'!$D$17="Type 4 e",MAX(SA,H154),IF('Pre-Calculation'!$D$17="Type 4 f",SA,IF('Pre-Calculation'!$D$17="Type 4 g",1000+H154,IF('Pre-Calculation'!$D$17="Type 4 h",SA+X154,IF('Pre-Calculation'!$D$17="Type 4 i",MAX(H154,Q154),IF('Pre-Calculation'!$D$17="Type 4 k",MAX(H154,1.01*Q154),IF('Pre-Calculation'!$D$17="Type 4 m",MAX(105%*Q154,SA+H154),IF('Pre-Calculation'!$D$17="Type 4 o",MAX(SA,105%*Q154)+X154+Z154,IF('Pre-Calculation'!$D$17="Type 5",0)))))))))))))*IF(AND(A154&lt;Revival!$C$4,'Cashflows_8%'!C154&gt;=Revival!$D$12),PUP,1)</f>
        <v>2202188.194</v>
      </c>
      <c r="L154" s="175">
        <f>H154-I154*(1+Tax)</f>
        <v>2202188.194</v>
      </c>
      <c r="M154" s="175">
        <f>L154*(1+GROWTH_RATE_H)*(1-FMC*(1+Tax))</f>
        <v>2213416.525</v>
      </c>
      <c r="N154" s="175">
        <f>M154+IF(MOD(A154,B154)=0,VLOOKUP(B154,'Pre-Calculation'!$H$1:$L$31,5,FALSE),0)*IF('Pre-Calculation'!$D$16="% OF FV",M154,IF(OR('Pre-Calculation'!$D$16="% OF AFV(24M)",'Pre-Calculation'!$D$16="% OF AFV(8Q)"),AVERAGE( $M131:$M154),IF('Pre-Calculation'!$D$16="% OF AFV(12M)",AVERAGE($M143:M154),IF('Pre-Calculation'!$D$16="% OF AFV(36M)",AVERAGE($M119:M154)))))</f>
        <v>2213416.525</v>
      </c>
      <c r="O154" s="175">
        <f t="shared" si="4"/>
        <v>2213416.525</v>
      </c>
      <c r="P154" s="175">
        <f>IF('Pre-Calculation'!$D$17="Type 4 a",MAX(SA,N154,1.05*Q154),IF('Pre-Calculation'!$D$17="Type 4 c",N154,IF('Pre-Calculation'!$D$17="Type 4 d",SA+N154,IF('Pre-Calculation'!$D$17="Type 4 e",MAX(SA,N154),IF('Pre-Calculation'!$D$17="Type 4 f",SA,IF('Pre-Calculation'!$D$17="Type 4 g",1000+N154,IF('Pre-Calculation'!$D$17="Type 4 h",SA+X154,IF('Pre-Calculation'!$D$17="Type 4 i",MAX(N154,Q154),IF('Pre-Calculation'!$D$17="Type 4 k",MAX(N154,1.01*Q154),IF('Pre-Calculation'!$D$17="Type 4 m",MAX(105%*Q154,SA+N154),IF('Pre-Calculation'!$D$17="Type 4 o",MAX(SA,105%*Q154)+X154+Z154,IF('Pre-Calculation'!$D$17="Type 5",0))))))))))))</f>
        <v>2213416.525</v>
      </c>
      <c r="Q154" s="175">
        <f t="shared" si="5"/>
        <v>1000000</v>
      </c>
      <c r="R154" s="119">
        <f>L154*(1+GROWTH_RATE)*FMC</f>
        <v>2492.045828</v>
      </c>
      <c r="S154" s="178">
        <f>S153*(1+'Pre-Calculation'!$E$27)</f>
        <v>993522.4173</v>
      </c>
      <c r="T154" s="175">
        <f>-E154+IF(A153=INPUT!$C$11*12,N154,0)</f>
        <v>0</v>
      </c>
      <c r="U154" s="175">
        <f t="shared" si="6"/>
        <v>2205389.176</v>
      </c>
      <c r="V154" s="175">
        <f>U154*(1+GROWTH_RATE_H)*(1-'Pre-Calculation'!$E$31)</f>
        <v>2215882.399</v>
      </c>
      <c r="W154" s="175">
        <f>-E154+IF(A153=INPUT!$C$11*12,V154,0)</f>
        <v>0</v>
      </c>
      <c r="X154" s="179">
        <f t="array" ref="X154">NPV('Pre-Calculation'!$E$20,$E155:E$246)</f>
        <v>0</v>
      </c>
      <c r="Y154" s="171">
        <f>10%*SA</f>
        <v>100000</v>
      </c>
      <c r="Z154" s="179">
        <f t="array" ref="Z154">NPV('Pre-Calculation'!$E$20,Y155:Y164)</f>
        <v>969592.8037</v>
      </c>
    </row>
    <row r="155" ht="15.75" customHeight="1">
      <c r="A155" s="171">
        <f t="shared" si="1"/>
        <v>209</v>
      </c>
      <c r="B155" s="171">
        <f t="shared" si="2"/>
        <v>18</v>
      </c>
      <c r="C155" s="176">
        <f>EDATE(RCD,A154)</f>
        <v>48882</v>
      </c>
      <c r="D155" s="171">
        <f>Age_At_Entry+'Cashflows_8%'!B155-1</f>
        <v>52</v>
      </c>
      <c r="E155" s="175">
        <f>IF(AND(C155&lt;=Last_Prem,MOD(A154,Mode)=0,C155&gt;INPUT!$C$13,A155&lt;=Revival!$C$11),Mod_Prem,0)</f>
        <v>0</v>
      </c>
      <c r="F155" s="177">
        <f>E155*VLOOKUP(B155,'Pre-Calculation'!$H$1:$I$31,2,FALSE)</f>
        <v>0</v>
      </c>
      <c r="G155" s="177">
        <f>IF(B155&lt;PT+1,VLOOKUP(B155,'Pre-Calculation'!$H$1:$L$32,3,FALSE)+VLOOKUP(B155,'Pre-Calculation'!$H$1:$L$32,4,FALSE)*'Pre-Calculation'!$D$7,0)</f>
        <v>0</v>
      </c>
      <c r="H155" s="175">
        <f>(E155-(F155+G155)*(1+Tax)+N154)</f>
        <v>2213416.525</v>
      </c>
      <c r="I155" s="175">
        <f>IF(B155&lt;PT+1,VLOOKUP(D155,'Pre-Calculation'!$N$3:$P$79,IF(INPUT!$C$4="M",2,3),FALSE)*(J155/1000)*(1/12),0)</f>
        <v>0</v>
      </c>
      <c r="J155" s="175">
        <f t="shared" si="3"/>
        <v>0</v>
      </c>
      <c r="K155" s="175">
        <f>(IF('Pre-Calculation'!$D$17="Type 4 a",MAX(SA,H155,1.05*Q155),IF('Pre-Calculation'!$D$17="Type 4 c",H155,IF('Pre-Calculation'!$D$17="Type 4 d",SA+H155,IF('Pre-Calculation'!$D$17="Type 4 e",MAX(SA,H155),IF('Pre-Calculation'!$D$17="Type 4 f",SA,IF('Pre-Calculation'!$D$17="Type 4 g",1000+H155,IF('Pre-Calculation'!$D$17="Type 4 h",SA+X155,IF('Pre-Calculation'!$D$17="Type 4 i",MAX(H155,Q155),IF('Pre-Calculation'!$D$17="Type 4 k",MAX(H155,1.01*Q155),IF('Pre-Calculation'!$D$17="Type 4 m",MAX(105%*Q155,SA+H155),IF('Pre-Calculation'!$D$17="Type 4 o",MAX(SA,105%*Q155)+X155+Z155,IF('Pre-Calculation'!$D$17="Type 5",0)))))))))))))*IF(AND(A155&lt;Revival!$C$4,'Cashflows_8%'!C155&gt;=Revival!$D$12),PUP,1)</f>
        <v>2213416.525</v>
      </c>
      <c r="L155" s="175">
        <f>H155-I155*(1+Tax)</f>
        <v>2213416.525</v>
      </c>
      <c r="M155" s="175">
        <f>L155*(1+GROWTH_RATE_H)*(1-FMC*(1+Tax))</f>
        <v>2224702.106</v>
      </c>
      <c r="N155" s="175">
        <f>M155+IF(MOD(A155,B155)=0,VLOOKUP(B155,'Pre-Calculation'!$H$1:$L$31,5,FALSE),0)*IF('Pre-Calculation'!$D$16="% OF FV",M155,IF(OR('Pre-Calculation'!$D$16="% OF AFV(24M)",'Pre-Calculation'!$D$16="% OF AFV(8Q)"),AVERAGE( $M132:$M155),IF('Pre-Calculation'!$D$16="% OF AFV(12M)",AVERAGE($M144:M155),IF('Pre-Calculation'!$D$16="% OF AFV(36M)",AVERAGE($M120:M155)))))</f>
        <v>2224702.106</v>
      </c>
      <c r="O155" s="175">
        <f t="shared" si="4"/>
        <v>2224702.106</v>
      </c>
      <c r="P155" s="175">
        <f>IF('Pre-Calculation'!$D$17="Type 4 a",MAX(SA,N155,1.05*Q155),IF('Pre-Calculation'!$D$17="Type 4 c",N155,IF('Pre-Calculation'!$D$17="Type 4 d",SA+N155,IF('Pre-Calculation'!$D$17="Type 4 e",MAX(SA,N155),IF('Pre-Calculation'!$D$17="Type 4 f",SA,IF('Pre-Calculation'!$D$17="Type 4 g",1000+N155,IF('Pre-Calculation'!$D$17="Type 4 h",SA+X155,IF('Pre-Calculation'!$D$17="Type 4 i",MAX(N155,Q155),IF('Pre-Calculation'!$D$17="Type 4 k",MAX(N155,1.01*Q155),IF('Pre-Calculation'!$D$17="Type 4 m",MAX(105%*Q155,SA+N155),IF('Pre-Calculation'!$D$17="Type 4 o",MAX(SA,105%*Q155)+X155+Z155,IF('Pre-Calculation'!$D$17="Type 5",0))))))))))))</f>
        <v>2224702.106</v>
      </c>
      <c r="Q155" s="175">
        <f t="shared" si="5"/>
        <v>1000000</v>
      </c>
      <c r="R155" s="119">
        <f>L155*(1+GROWTH_RATE)*FMC</f>
        <v>2504.752061</v>
      </c>
      <c r="S155" s="178">
        <f>S154*(1+'Pre-Calculation'!$E$27)</f>
        <v>996374.7196</v>
      </c>
      <c r="T155" s="175">
        <f>-E155+IF(A154=INPUT!$C$11*12,N155,0)</f>
        <v>0</v>
      </c>
      <c r="U155" s="175">
        <f t="shared" si="6"/>
        <v>2215882.399</v>
      </c>
      <c r="V155" s="175">
        <f>U155*(1+GROWTH_RATE_H)*(1-'Pre-Calculation'!$E$31)</f>
        <v>2226425.548</v>
      </c>
      <c r="W155" s="175">
        <f>-E155+IF(A154=INPUT!$C$11*12,V155,0)</f>
        <v>0</v>
      </c>
      <c r="X155" s="179">
        <f t="array" ref="X155">NPV('Pre-Calculation'!$E$20,$E156:E$246)</f>
        <v>0</v>
      </c>
      <c r="Y155" s="171">
        <f>10%*SA</f>
        <v>100000</v>
      </c>
      <c r="Z155" s="179">
        <f t="array" ref="Z155">NPV('Pre-Calculation'!$E$20,Y156:Y165)</f>
        <v>969592.8037</v>
      </c>
    </row>
    <row r="156" ht="15.75" customHeight="1">
      <c r="A156" s="171">
        <f t="shared" si="1"/>
        <v>210</v>
      </c>
      <c r="B156" s="171">
        <f t="shared" si="2"/>
        <v>18</v>
      </c>
      <c r="C156" s="176">
        <f>EDATE(RCD,A155)</f>
        <v>48913</v>
      </c>
      <c r="D156" s="171">
        <f>Age_At_Entry+'Cashflows_8%'!B156-1</f>
        <v>52</v>
      </c>
      <c r="E156" s="175">
        <f>IF(AND(C156&lt;=Last_Prem,MOD(A155,Mode)=0,C156&gt;INPUT!$C$13,A156&lt;=Revival!$C$11),Mod_Prem,0)</f>
        <v>0</v>
      </c>
      <c r="F156" s="177">
        <f>E156*VLOOKUP(B156,'Pre-Calculation'!$H$1:$I$31,2,FALSE)</f>
        <v>0</v>
      </c>
      <c r="G156" s="177">
        <f>IF(B156&lt;PT+1,VLOOKUP(B156,'Pre-Calculation'!$H$1:$L$32,3,FALSE)+VLOOKUP(B156,'Pre-Calculation'!$H$1:$L$32,4,FALSE)*'Pre-Calculation'!$D$7,0)</f>
        <v>0</v>
      </c>
      <c r="H156" s="175">
        <f>(E156-(F156+G156)*(1+Tax)+N155)</f>
        <v>2224702.106</v>
      </c>
      <c r="I156" s="175">
        <f>IF(B156&lt;PT+1,VLOOKUP(D156,'Pre-Calculation'!$N$3:$P$79,IF(INPUT!$C$4="M",2,3),FALSE)*(J156/1000)*(1/12),0)</f>
        <v>0</v>
      </c>
      <c r="J156" s="175">
        <f t="shared" si="3"/>
        <v>0</v>
      </c>
      <c r="K156" s="175">
        <f>(IF('Pre-Calculation'!$D$17="Type 4 a",MAX(SA,H156,1.05*Q156),IF('Pre-Calculation'!$D$17="Type 4 c",H156,IF('Pre-Calculation'!$D$17="Type 4 d",SA+H156,IF('Pre-Calculation'!$D$17="Type 4 e",MAX(SA,H156),IF('Pre-Calculation'!$D$17="Type 4 f",SA,IF('Pre-Calculation'!$D$17="Type 4 g",1000+H156,IF('Pre-Calculation'!$D$17="Type 4 h",SA+X156,IF('Pre-Calculation'!$D$17="Type 4 i",MAX(H156,Q156),IF('Pre-Calculation'!$D$17="Type 4 k",MAX(H156,1.01*Q156),IF('Pre-Calculation'!$D$17="Type 4 m",MAX(105%*Q156,SA+H156),IF('Pre-Calculation'!$D$17="Type 4 o",MAX(SA,105%*Q156)+X156+Z156,IF('Pre-Calculation'!$D$17="Type 5",0)))))))))))))*IF(AND(A156&lt;Revival!$C$4,'Cashflows_8%'!C156&gt;=Revival!$D$12),PUP,1)</f>
        <v>2224702.106</v>
      </c>
      <c r="L156" s="175">
        <f>H156-I156*(1+Tax)</f>
        <v>2224702.106</v>
      </c>
      <c r="M156" s="175">
        <f>L156*(1+GROWTH_RATE_H)*(1-FMC*(1+Tax))</f>
        <v>2236045.229</v>
      </c>
      <c r="N156" s="175">
        <f>M156+IF(MOD(A156,B156)=0,VLOOKUP(B156,'Pre-Calculation'!$H$1:$L$31,5,FALSE),0)*IF('Pre-Calculation'!$D$16="% OF FV",M156,IF(OR('Pre-Calculation'!$D$16="% OF AFV(24M)",'Pre-Calculation'!$D$16="% OF AFV(8Q)"),AVERAGE( $M133:$M156),IF('Pre-Calculation'!$D$16="% OF AFV(12M)",AVERAGE($M145:M156),IF('Pre-Calculation'!$D$16="% OF AFV(36M)",AVERAGE($M121:M156)))))</f>
        <v>2236045.229</v>
      </c>
      <c r="O156" s="175">
        <f t="shared" si="4"/>
        <v>2236045.229</v>
      </c>
      <c r="P156" s="175">
        <f>IF('Pre-Calculation'!$D$17="Type 4 a",MAX(SA,N156,1.05*Q156),IF('Pre-Calculation'!$D$17="Type 4 c",N156,IF('Pre-Calculation'!$D$17="Type 4 d",SA+N156,IF('Pre-Calculation'!$D$17="Type 4 e",MAX(SA,N156),IF('Pre-Calculation'!$D$17="Type 4 f",SA,IF('Pre-Calculation'!$D$17="Type 4 g",1000+N156,IF('Pre-Calculation'!$D$17="Type 4 h",SA+X156,IF('Pre-Calculation'!$D$17="Type 4 i",MAX(N156,Q156),IF('Pre-Calculation'!$D$17="Type 4 k",MAX(N156,1.01*Q156),IF('Pre-Calculation'!$D$17="Type 4 m",MAX(105%*Q156,SA+N156),IF('Pre-Calculation'!$D$17="Type 4 o",MAX(SA,105%*Q156)+X156+Z156,IF('Pre-Calculation'!$D$17="Type 5",0))))))))))))</f>
        <v>2236045.229</v>
      </c>
      <c r="Q156" s="175">
        <f t="shared" si="5"/>
        <v>1000000</v>
      </c>
      <c r="R156" s="119">
        <f>L156*(1+GROWTH_RATE)*FMC</f>
        <v>2517.523079</v>
      </c>
      <c r="S156" s="178">
        <f>S155*(1+'Pre-Calculation'!$E$27)</f>
        <v>999235.2105</v>
      </c>
      <c r="T156" s="175">
        <f>-E156+IF(A155=INPUT!$C$11*12,N156,0)</f>
        <v>0</v>
      </c>
      <c r="U156" s="175">
        <f t="shared" si="6"/>
        <v>2226425.548</v>
      </c>
      <c r="V156" s="175">
        <f>U156*(1+GROWTH_RATE_H)*(1-'Pre-Calculation'!$E$31)</f>
        <v>2237018.861</v>
      </c>
      <c r="W156" s="175">
        <f>-E156+IF(A155=INPUT!$C$11*12,V156,0)</f>
        <v>0</v>
      </c>
      <c r="X156" s="179">
        <f t="array" ref="X156">NPV('Pre-Calculation'!$E$20,$E157:E$246)</f>
        <v>0</v>
      </c>
      <c r="Y156" s="171">
        <f>10%*SA</f>
        <v>100000</v>
      </c>
      <c r="Z156" s="179">
        <f t="array" ref="Z156">NPV('Pre-Calculation'!$E$20,Y157:Y166)</f>
        <v>969592.8037</v>
      </c>
    </row>
    <row r="157" ht="15.75" customHeight="1">
      <c r="A157" s="171">
        <f t="shared" si="1"/>
        <v>211</v>
      </c>
      <c r="B157" s="171">
        <f t="shared" si="2"/>
        <v>18</v>
      </c>
      <c r="C157" s="176">
        <f>EDATE(RCD,A156)</f>
        <v>48943</v>
      </c>
      <c r="D157" s="171">
        <f>Age_At_Entry+'Cashflows_8%'!B157-1</f>
        <v>52</v>
      </c>
      <c r="E157" s="175">
        <f>IF(AND(C157&lt;=Last_Prem,MOD(A156,Mode)=0,C157&gt;INPUT!$C$13,A157&lt;=Revival!$C$11),Mod_Prem,0)</f>
        <v>0</v>
      </c>
      <c r="F157" s="177">
        <f>E157*VLOOKUP(B157,'Pre-Calculation'!$H$1:$I$31,2,FALSE)</f>
        <v>0</v>
      </c>
      <c r="G157" s="177">
        <f>IF(B157&lt;PT+1,VLOOKUP(B157,'Pre-Calculation'!$H$1:$L$32,3,FALSE)+VLOOKUP(B157,'Pre-Calculation'!$H$1:$L$32,4,FALSE)*'Pre-Calculation'!$D$7,0)</f>
        <v>0</v>
      </c>
      <c r="H157" s="175">
        <f>(E157-(F157+G157)*(1+Tax)+N156)</f>
        <v>2236045.229</v>
      </c>
      <c r="I157" s="175">
        <f>IF(B157&lt;PT+1,VLOOKUP(D157,'Pre-Calculation'!$N$3:$P$79,IF(INPUT!$C$4="M",2,3),FALSE)*(J157/1000)*(1/12),0)</f>
        <v>0</v>
      </c>
      <c r="J157" s="175">
        <f t="shared" si="3"/>
        <v>0</v>
      </c>
      <c r="K157" s="175">
        <f>(IF('Pre-Calculation'!$D$17="Type 4 a",MAX(SA,H157,1.05*Q157),IF('Pre-Calculation'!$D$17="Type 4 c",H157,IF('Pre-Calculation'!$D$17="Type 4 d",SA+H157,IF('Pre-Calculation'!$D$17="Type 4 e",MAX(SA,H157),IF('Pre-Calculation'!$D$17="Type 4 f",SA,IF('Pre-Calculation'!$D$17="Type 4 g",1000+H157,IF('Pre-Calculation'!$D$17="Type 4 h",SA+X157,IF('Pre-Calculation'!$D$17="Type 4 i",MAX(H157,Q157),IF('Pre-Calculation'!$D$17="Type 4 k",MAX(H157,1.01*Q157),IF('Pre-Calculation'!$D$17="Type 4 m",MAX(105%*Q157,SA+H157),IF('Pre-Calculation'!$D$17="Type 4 o",MAX(SA,105%*Q157)+X157+Z157,IF('Pre-Calculation'!$D$17="Type 5",0)))))))))))))*IF(AND(A157&lt;Revival!$C$4,'Cashflows_8%'!C157&gt;=Revival!$D$12),PUP,1)</f>
        <v>2236045.229</v>
      </c>
      <c r="L157" s="175">
        <f>H157-I157*(1+Tax)</f>
        <v>2236045.229</v>
      </c>
      <c r="M157" s="175">
        <f>L157*(1+GROWTH_RATE_H)*(1-FMC*(1+Tax))</f>
        <v>2247446.187</v>
      </c>
      <c r="N157" s="175">
        <f>M157+IF(MOD(A157,B157)=0,VLOOKUP(B157,'Pre-Calculation'!$H$1:$L$31,5,FALSE),0)*IF('Pre-Calculation'!$D$16="% OF FV",M157,IF(OR('Pre-Calculation'!$D$16="% OF AFV(24M)",'Pre-Calculation'!$D$16="% OF AFV(8Q)"),AVERAGE( $M134:$M157),IF('Pre-Calculation'!$D$16="% OF AFV(12M)",AVERAGE($M146:M157),IF('Pre-Calculation'!$D$16="% OF AFV(36M)",AVERAGE($M122:M157)))))</f>
        <v>2247446.187</v>
      </c>
      <c r="O157" s="175">
        <f t="shared" si="4"/>
        <v>2247446.187</v>
      </c>
      <c r="P157" s="175">
        <f>IF('Pre-Calculation'!$D$17="Type 4 a",MAX(SA,N157,1.05*Q157),IF('Pre-Calculation'!$D$17="Type 4 c",N157,IF('Pre-Calculation'!$D$17="Type 4 d",SA+N157,IF('Pre-Calculation'!$D$17="Type 4 e",MAX(SA,N157),IF('Pre-Calculation'!$D$17="Type 4 f",SA,IF('Pre-Calculation'!$D$17="Type 4 g",1000+N157,IF('Pre-Calculation'!$D$17="Type 4 h",SA+X157,IF('Pre-Calculation'!$D$17="Type 4 i",MAX(N157,Q157),IF('Pre-Calculation'!$D$17="Type 4 k",MAX(N157,1.01*Q157),IF('Pre-Calculation'!$D$17="Type 4 m",MAX(105%*Q157,SA+N157),IF('Pre-Calculation'!$D$17="Type 4 o",MAX(SA,105%*Q157)+X157+Z157,IF('Pre-Calculation'!$D$17="Type 5",0))))))))))))</f>
        <v>2247446.187</v>
      </c>
      <c r="Q157" s="175">
        <f t="shared" si="5"/>
        <v>1000000</v>
      </c>
      <c r="R157" s="119">
        <f>L157*(1+GROWTH_RATE)*FMC</f>
        <v>2530.359213</v>
      </c>
      <c r="S157" s="178">
        <f>S156*(1+'Pre-Calculation'!$E$27)</f>
        <v>1002103.914</v>
      </c>
      <c r="T157" s="175">
        <f>-E157+IF(A156=INPUT!$C$11*12,N157,0)</f>
        <v>0</v>
      </c>
      <c r="U157" s="175">
        <f t="shared" si="6"/>
        <v>2237018.861</v>
      </c>
      <c r="V157" s="175">
        <f>U157*(1+GROWTH_RATE_H)*(1-'Pre-Calculation'!$E$31)</f>
        <v>2247662.577</v>
      </c>
      <c r="W157" s="175">
        <f>-E157+IF(A156=INPUT!$C$11*12,V157,0)</f>
        <v>0</v>
      </c>
      <c r="X157" s="179">
        <f t="array" ref="X157">NPV('Pre-Calculation'!$E$20,$E158:E$246)</f>
        <v>0</v>
      </c>
      <c r="Y157" s="171">
        <f>10%*SA</f>
        <v>100000</v>
      </c>
      <c r="Z157" s="179">
        <f t="array" ref="Z157">NPV('Pre-Calculation'!$E$20,Y158:Y167)</f>
        <v>969592.8037</v>
      </c>
    </row>
    <row r="158" ht="15.75" customHeight="1">
      <c r="A158" s="171">
        <f t="shared" si="1"/>
        <v>212</v>
      </c>
      <c r="B158" s="171">
        <f t="shared" si="2"/>
        <v>18</v>
      </c>
      <c r="C158" s="176">
        <f>EDATE(RCD,A157)</f>
        <v>48974</v>
      </c>
      <c r="D158" s="171">
        <f>Age_At_Entry+'Cashflows_8%'!B158-1</f>
        <v>52</v>
      </c>
      <c r="E158" s="175">
        <f>IF(AND(C158&lt;=Last_Prem,MOD(A157,Mode)=0,C158&gt;INPUT!$C$13,A158&lt;=Revival!$C$11),Mod_Prem,0)</f>
        <v>0</v>
      </c>
      <c r="F158" s="177">
        <f>E158*VLOOKUP(B158,'Pre-Calculation'!$H$1:$I$31,2,FALSE)</f>
        <v>0</v>
      </c>
      <c r="G158" s="177">
        <f>IF(B158&lt;PT+1,VLOOKUP(B158,'Pre-Calculation'!$H$1:$L$32,3,FALSE)+VLOOKUP(B158,'Pre-Calculation'!$H$1:$L$32,4,FALSE)*'Pre-Calculation'!$D$7,0)</f>
        <v>0</v>
      </c>
      <c r="H158" s="175">
        <f>(E158-(F158+G158)*(1+Tax)+N157)</f>
        <v>2247446.187</v>
      </c>
      <c r="I158" s="175">
        <f>IF(B158&lt;PT+1,VLOOKUP(D158,'Pre-Calculation'!$N$3:$P$79,IF(INPUT!$C$4="M",2,3),FALSE)*(J158/1000)*(1/12),0)</f>
        <v>0</v>
      </c>
      <c r="J158" s="175">
        <f t="shared" si="3"/>
        <v>0</v>
      </c>
      <c r="K158" s="175">
        <f>(IF('Pre-Calculation'!$D$17="Type 4 a",MAX(SA,H158,1.05*Q158),IF('Pre-Calculation'!$D$17="Type 4 c",H158,IF('Pre-Calculation'!$D$17="Type 4 d",SA+H158,IF('Pre-Calculation'!$D$17="Type 4 e",MAX(SA,H158),IF('Pre-Calculation'!$D$17="Type 4 f",SA,IF('Pre-Calculation'!$D$17="Type 4 g",1000+H158,IF('Pre-Calculation'!$D$17="Type 4 h",SA+X158,IF('Pre-Calculation'!$D$17="Type 4 i",MAX(H158,Q158),IF('Pre-Calculation'!$D$17="Type 4 k",MAX(H158,1.01*Q158),IF('Pre-Calculation'!$D$17="Type 4 m",MAX(105%*Q158,SA+H158),IF('Pre-Calculation'!$D$17="Type 4 o",MAX(SA,105%*Q158)+X158+Z158,IF('Pre-Calculation'!$D$17="Type 5",0)))))))))))))*IF(AND(A158&lt;Revival!$C$4,'Cashflows_8%'!C158&gt;=Revival!$D$12),PUP,1)</f>
        <v>2247446.187</v>
      </c>
      <c r="L158" s="175">
        <f>H158-I158*(1+Tax)</f>
        <v>2247446.187</v>
      </c>
      <c r="M158" s="175">
        <f>L158*(1+GROWTH_RATE_H)*(1-FMC*(1+Tax))</f>
        <v>2258905.276</v>
      </c>
      <c r="N158" s="175">
        <f>M158+IF(MOD(A158,B158)=0,VLOOKUP(B158,'Pre-Calculation'!$H$1:$L$31,5,FALSE),0)*IF('Pre-Calculation'!$D$16="% OF FV",M158,IF(OR('Pre-Calculation'!$D$16="% OF AFV(24M)",'Pre-Calculation'!$D$16="% OF AFV(8Q)"),AVERAGE( $M135:$M158),IF('Pre-Calculation'!$D$16="% OF AFV(12M)",AVERAGE($M147:M158),IF('Pre-Calculation'!$D$16="% OF AFV(36M)",AVERAGE($M123:M158)))))</f>
        <v>2258905.276</v>
      </c>
      <c r="O158" s="175">
        <f t="shared" si="4"/>
        <v>2258905.276</v>
      </c>
      <c r="P158" s="175">
        <f>IF('Pre-Calculation'!$D$17="Type 4 a",MAX(SA,N158,1.05*Q158),IF('Pre-Calculation'!$D$17="Type 4 c",N158,IF('Pre-Calculation'!$D$17="Type 4 d",SA+N158,IF('Pre-Calculation'!$D$17="Type 4 e",MAX(SA,N158),IF('Pre-Calculation'!$D$17="Type 4 f",SA,IF('Pre-Calculation'!$D$17="Type 4 g",1000+N158,IF('Pre-Calculation'!$D$17="Type 4 h",SA+X158,IF('Pre-Calculation'!$D$17="Type 4 i",MAX(N158,Q158),IF('Pre-Calculation'!$D$17="Type 4 k",MAX(N158,1.01*Q158),IF('Pre-Calculation'!$D$17="Type 4 m",MAX(105%*Q158,SA+N158),IF('Pre-Calculation'!$D$17="Type 4 o",MAX(SA,105%*Q158)+X158+Z158,IF('Pre-Calculation'!$D$17="Type 5",0))))))))))))</f>
        <v>2258905.276</v>
      </c>
      <c r="Q158" s="175">
        <f t="shared" si="5"/>
        <v>1000000</v>
      </c>
      <c r="R158" s="119">
        <f>L158*(1+GROWTH_RATE)*FMC</f>
        <v>2543.260795</v>
      </c>
      <c r="S158" s="178">
        <f>S157*(1+'Pre-Calculation'!$E$27)</f>
        <v>1004980.852</v>
      </c>
      <c r="T158" s="175">
        <f>-E158+IF(A157=INPUT!$C$11*12,N158,0)</f>
        <v>0</v>
      </c>
      <c r="U158" s="175">
        <f t="shared" si="6"/>
        <v>2247662.577</v>
      </c>
      <c r="V158" s="175">
        <f>U158*(1+GROWTH_RATE_H)*(1-'Pre-Calculation'!$E$31)</f>
        <v>2258356.936</v>
      </c>
      <c r="W158" s="175">
        <f>-E158+IF(A157=INPUT!$C$11*12,V158,0)</f>
        <v>0</v>
      </c>
      <c r="X158" s="179">
        <f t="array" ref="X158">NPV('Pre-Calculation'!$E$20,$E159:E$246)</f>
        <v>0</v>
      </c>
      <c r="Y158" s="171">
        <f>10%*SA</f>
        <v>100000</v>
      </c>
      <c r="Z158" s="179">
        <f t="array" ref="Z158">NPV('Pre-Calculation'!$E$20,Y159:Y168)</f>
        <v>969592.8037</v>
      </c>
    </row>
    <row r="159" ht="15.75" customHeight="1">
      <c r="A159" s="171">
        <f t="shared" si="1"/>
        <v>213</v>
      </c>
      <c r="B159" s="171">
        <f t="shared" si="2"/>
        <v>18</v>
      </c>
      <c r="C159" s="176">
        <f>EDATE(RCD,A158)</f>
        <v>49003</v>
      </c>
      <c r="D159" s="171">
        <f>Age_At_Entry+'Cashflows_8%'!B159-1</f>
        <v>52</v>
      </c>
      <c r="E159" s="175">
        <f>IF(AND(C159&lt;=Last_Prem,MOD(A158,Mode)=0,C159&gt;INPUT!$C$13,A159&lt;=Revival!$C$11),Mod_Prem,0)</f>
        <v>0</v>
      </c>
      <c r="F159" s="177">
        <f>E159*VLOOKUP(B159,'Pre-Calculation'!$H$1:$I$31,2,FALSE)</f>
        <v>0</v>
      </c>
      <c r="G159" s="177">
        <f>IF(B159&lt;PT+1,VLOOKUP(B159,'Pre-Calculation'!$H$1:$L$32,3,FALSE)+VLOOKUP(B159,'Pre-Calculation'!$H$1:$L$32,4,FALSE)*'Pre-Calculation'!$D$7,0)</f>
        <v>0</v>
      </c>
      <c r="H159" s="175">
        <f>(E159-(F159+G159)*(1+Tax)+N158)</f>
        <v>2258905.276</v>
      </c>
      <c r="I159" s="175">
        <f>IF(B159&lt;PT+1,VLOOKUP(D159,'Pre-Calculation'!$N$3:$P$79,IF(INPUT!$C$4="M",2,3),FALSE)*(J159/1000)*(1/12),0)</f>
        <v>0</v>
      </c>
      <c r="J159" s="175">
        <f t="shared" si="3"/>
        <v>0</v>
      </c>
      <c r="K159" s="175">
        <f>(IF('Pre-Calculation'!$D$17="Type 4 a",MAX(SA,H159,1.05*Q159),IF('Pre-Calculation'!$D$17="Type 4 c",H159,IF('Pre-Calculation'!$D$17="Type 4 d",SA+H159,IF('Pre-Calculation'!$D$17="Type 4 e",MAX(SA,H159),IF('Pre-Calculation'!$D$17="Type 4 f",SA,IF('Pre-Calculation'!$D$17="Type 4 g",1000+H159,IF('Pre-Calculation'!$D$17="Type 4 h",SA+X159,IF('Pre-Calculation'!$D$17="Type 4 i",MAX(H159,Q159),IF('Pre-Calculation'!$D$17="Type 4 k",MAX(H159,1.01*Q159),IF('Pre-Calculation'!$D$17="Type 4 m",MAX(105%*Q159,SA+H159),IF('Pre-Calculation'!$D$17="Type 4 o",MAX(SA,105%*Q159)+X159+Z159,IF('Pre-Calculation'!$D$17="Type 5",0)))))))))))))*IF(AND(A159&lt;Revival!$C$4,'Cashflows_8%'!C159&gt;=Revival!$D$12),PUP,1)</f>
        <v>2258905.276</v>
      </c>
      <c r="L159" s="175">
        <f>H159-I159*(1+Tax)</f>
        <v>2258905.276</v>
      </c>
      <c r="M159" s="175">
        <f>L159*(1+GROWTH_RATE_H)*(1-FMC*(1+Tax))</f>
        <v>2270422.791</v>
      </c>
      <c r="N159" s="175">
        <f>M159+IF(MOD(A159,B159)=0,VLOOKUP(B159,'Pre-Calculation'!$H$1:$L$31,5,FALSE),0)*IF('Pre-Calculation'!$D$16="% OF FV",M159,IF(OR('Pre-Calculation'!$D$16="% OF AFV(24M)",'Pre-Calculation'!$D$16="% OF AFV(8Q)"),AVERAGE( $M136:$M159),IF('Pre-Calculation'!$D$16="% OF AFV(12M)",AVERAGE($M148:M159),IF('Pre-Calculation'!$D$16="% OF AFV(36M)",AVERAGE($M124:M159)))))</f>
        <v>2270422.791</v>
      </c>
      <c r="O159" s="175">
        <f t="shared" si="4"/>
        <v>2270422.791</v>
      </c>
      <c r="P159" s="175">
        <f>IF('Pre-Calculation'!$D$17="Type 4 a",MAX(SA,N159,1.05*Q159),IF('Pre-Calculation'!$D$17="Type 4 c",N159,IF('Pre-Calculation'!$D$17="Type 4 d",SA+N159,IF('Pre-Calculation'!$D$17="Type 4 e",MAX(SA,N159),IF('Pre-Calculation'!$D$17="Type 4 f",SA,IF('Pre-Calculation'!$D$17="Type 4 g",1000+N159,IF('Pre-Calculation'!$D$17="Type 4 h",SA+X159,IF('Pre-Calculation'!$D$17="Type 4 i",MAX(N159,Q159),IF('Pre-Calculation'!$D$17="Type 4 k",MAX(N159,1.01*Q159),IF('Pre-Calculation'!$D$17="Type 4 m",MAX(105%*Q159,SA+N159),IF('Pre-Calculation'!$D$17="Type 4 o",MAX(SA,105%*Q159)+X159+Z159,IF('Pre-Calculation'!$D$17="Type 5",0))))))))))))</f>
        <v>2270422.791</v>
      </c>
      <c r="Q159" s="175">
        <f t="shared" si="5"/>
        <v>1000000</v>
      </c>
      <c r="R159" s="119">
        <f>L159*(1+GROWTH_RATE)*FMC</f>
        <v>2556.228158</v>
      </c>
      <c r="S159" s="178">
        <f>S158*(1+'Pre-Calculation'!$E$27)</f>
        <v>1007866.051</v>
      </c>
      <c r="T159" s="175">
        <f>-E159+IF(A158=INPUT!$C$11*12,N159,0)</f>
        <v>0</v>
      </c>
      <c r="U159" s="175">
        <f t="shared" si="6"/>
        <v>2258356.936</v>
      </c>
      <c r="V159" s="175">
        <f>U159*(1+GROWTH_RATE_H)*(1-'Pre-Calculation'!$E$31)</f>
        <v>2269102.179</v>
      </c>
      <c r="W159" s="175">
        <f>-E159+IF(A158=INPUT!$C$11*12,V159,0)</f>
        <v>0</v>
      </c>
      <c r="X159" s="179">
        <f t="array" ref="X159">NPV('Pre-Calculation'!$E$20,$E160:E$246)</f>
        <v>0</v>
      </c>
      <c r="Y159" s="171">
        <f>10%*SA</f>
        <v>100000</v>
      </c>
      <c r="Z159" s="179">
        <f t="array" ref="Z159">NPV('Pre-Calculation'!$E$20,Y160:Y169)</f>
        <v>969592.8037</v>
      </c>
    </row>
    <row r="160" ht="15.75" customHeight="1">
      <c r="A160" s="171">
        <f t="shared" si="1"/>
        <v>214</v>
      </c>
      <c r="B160" s="171">
        <f t="shared" si="2"/>
        <v>18</v>
      </c>
      <c r="C160" s="176">
        <f>EDATE(RCD,A159)</f>
        <v>49033</v>
      </c>
      <c r="D160" s="171">
        <f>Age_At_Entry+'Cashflows_8%'!B160-1</f>
        <v>52</v>
      </c>
      <c r="E160" s="175">
        <f>IF(AND(C160&lt;=Last_Prem,MOD(A159,Mode)=0,C160&gt;INPUT!$C$13,A160&lt;=Revival!$C$11),Mod_Prem,0)</f>
        <v>0</v>
      </c>
      <c r="F160" s="177">
        <f>E160*VLOOKUP(B160,'Pre-Calculation'!$H$1:$I$31,2,FALSE)</f>
        <v>0</v>
      </c>
      <c r="G160" s="177">
        <f>IF(B160&lt;PT+1,VLOOKUP(B160,'Pre-Calculation'!$H$1:$L$32,3,FALSE)+VLOOKUP(B160,'Pre-Calculation'!$H$1:$L$32,4,FALSE)*'Pre-Calculation'!$D$7,0)</f>
        <v>0</v>
      </c>
      <c r="H160" s="175">
        <f>(E160-(F160+G160)*(1+Tax)+N159)</f>
        <v>2270422.791</v>
      </c>
      <c r="I160" s="175">
        <f>IF(B160&lt;PT+1,VLOOKUP(D160,'Pre-Calculation'!$N$3:$P$79,IF(INPUT!$C$4="M",2,3),FALSE)*(J160/1000)*(1/12),0)</f>
        <v>0</v>
      </c>
      <c r="J160" s="175">
        <f t="shared" si="3"/>
        <v>0</v>
      </c>
      <c r="K160" s="175">
        <f>(IF('Pre-Calculation'!$D$17="Type 4 a",MAX(SA,H160,1.05*Q160),IF('Pre-Calculation'!$D$17="Type 4 c",H160,IF('Pre-Calculation'!$D$17="Type 4 d",SA+H160,IF('Pre-Calculation'!$D$17="Type 4 e",MAX(SA,H160),IF('Pre-Calculation'!$D$17="Type 4 f",SA,IF('Pre-Calculation'!$D$17="Type 4 g",1000+H160,IF('Pre-Calculation'!$D$17="Type 4 h",SA+X160,IF('Pre-Calculation'!$D$17="Type 4 i",MAX(H160,Q160),IF('Pre-Calculation'!$D$17="Type 4 k",MAX(H160,1.01*Q160),IF('Pre-Calculation'!$D$17="Type 4 m",MAX(105%*Q160,SA+H160),IF('Pre-Calculation'!$D$17="Type 4 o",MAX(SA,105%*Q160)+X160+Z160,IF('Pre-Calculation'!$D$17="Type 5",0)))))))))))))*IF(AND(A160&lt;Revival!$C$4,'Cashflows_8%'!C160&gt;=Revival!$D$12),PUP,1)</f>
        <v>2270422.791</v>
      </c>
      <c r="L160" s="175">
        <f>H160-I160*(1+Tax)</f>
        <v>2270422.791</v>
      </c>
      <c r="M160" s="175">
        <f>L160*(1+GROWTH_RATE_H)*(1-FMC*(1+Tax))</f>
        <v>2281999.031</v>
      </c>
      <c r="N160" s="175">
        <f>M160+IF(MOD(A160,B160)=0,VLOOKUP(B160,'Pre-Calculation'!$H$1:$L$31,5,FALSE),0)*IF('Pre-Calculation'!$D$16="% OF FV",M160,IF(OR('Pre-Calculation'!$D$16="% OF AFV(24M)",'Pre-Calculation'!$D$16="% OF AFV(8Q)"),AVERAGE( $M137:$M160),IF('Pre-Calculation'!$D$16="% OF AFV(12M)",AVERAGE($M149:M160),IF('Pre-Calculation'!$D$16="% OF AFV(36M)",AVERAGE($M125:M160)))))</f>
        <v>2281999.031</v>
      </c>
      <c r="O160" s="175">
        <f t="shared" si="4"/>
        <v>2281999.031</v>
      </c>
      <c r="P160" s="175">
        <f>IF('Pre-Calculation'!$D$17="Type 4 a",MAX(SA,N160,1.05*Q160),IF('Pre-Calculation'!$D$17="Type 4 c",N160,IF('Pre-Calculation'!$D$17="Type 4 d",SA+N160,IF('Pre-Calculation'!$D$17="Type 4 e",MAX(SA,N160),IF('Pre-Calculation'!$D$17="Type 4 f",SA,IF('Pre-Calculation'!$D$17="Type 4 g",1000+N160,IF('Pre-Calculation'!$D$17="Type 4 h",SA+X160,IF('Pre-Calculation'!$D$17="Type 4 i",MAX(N160,Q160),IF('Pre-Calculation'!$D$17="Type 4 k",MAX(N160,1.01*Q160),IF('Pre-Calculation'!$D$17="Type 4 m",MAX(105%*Q160,SA+N160),IF('Pre-Calculation'!$D$17="Type 4 o",MAX(SA,105%*Q160)+X160+Z160,IF('Pre-Calculation'!$D$17="Type 5",0))))))))))))</f>
        <v>2281999.031</v>
      </c>
      <c r="Q160" s="175">
        <f t="shared" si="5"/>
        <v>1000000</v>
      </c>
      <c r="R160" s="119">
        <f>L160*(1+GROWTH_RATE)*FMC</f>
        <v>2569.261638</v>
      </c>
      <c r="S160" s="178">
        <f>S159*(1+'Pre-Calculation'!$E$27)</f>
        <v>1010759.532</v>
      </c>
      <c r="T160" s="175">
        <f>-E160+IF(A159=INPUT!$C$11*12,N160,0)</f>
        <v>0</v>
      </c>
      <c r="U160" s="175">
        <f t="shared" si="6"/>
        <v>2269102.179</v>
      </c>
      <c r="V160" s="175">
        <f>U160*(1+GROWTH_RATE_H)*(1-'Pre-Calculation'!$E$31)</f>
        <v>2279898.547</v>
      </c>
      <c r="W160" s="175">
        <f>-E160+IF(A159=INPUT!$C$11*12,V160,0)</f>
        <v>0</v>
      </c>
      <c r="X160" s="179">
        <f t="array" ref="X160">NPV('Pre-Calculation'!$E$20,$E161:E$246)</f>
        <v>0</v>
      </c>
      <c r="Y160" s="171">
        <f>10%*SA</f>
        <v>100000</v>
      </c>
      <c r="Z160" s="179">
        <f t="array" ref="Z160">NPV('Pre-Calculation'!$E$20,Y161:Y170)</f>
        <v>969592.8037</v>
      </c>
    </row>
    <row r="161" ht="15.75" customHeight="1">
      <c r="A161" s="171">
        <f t="shared" si="1"/>
        <v>215</v>
      </c>
      <c r="B161" s="171">
        <f t="shared" si="2"/>
        <v>18</v>
      </c>
      <c r="C161" s="176">
        <f>EDATE(RCD,A160)</f>
        <v>49064</v>
      </c>
      <c r="D161" s="171">
        <f>Age_At_Entry+'Cashflows_8%'!B161-1</f>
        <v>52</v>
      </c>
      <c r="E161" s="175">
        <f>IF(AND(C161&lt;=Last_Prem,MOD(A160,Mode)=0,C161&gt;INPUT!$C$13,A161&lt;=Revival!$C$11),Mod_Prem,0)</f>
        <v>0</v>
      </c>
      <c r="F161" s="177">
        <f>E161*VLOOKUP(B161,'Pre-Calculation'!$H$1:$I$31,2,FALSE)</f>
        <v>0</v>
      </c>
      <c r="G161" s="177">
        <f>IF(B161&lt;PT+1,VLOOKUP(B161,'Pre-Calculation'!$H$1:$L$32,3,FALSE)+VLOOKUP(B161,'Pre-Calculation'!$H$1:$L$32,4,FALSE)*'Pre-Calculation'!$D$7,0)</f>
        <v>0</v>
      </c>
      <c r="H161" s="175">
        <f>(E161-(F161+G161)*(1+Tax)+N160)</f>
        <v>2281999.031</v>
      </c>
      <c r="I161" s="175">
        <f>IF(B161&lt;PT+1,VLOOKUP(D161,'Pre-Calculation'!$N$3:$P$79,IF(INPUT!$C$4="M",2,3),FALSE)*(J161/1000)*(1/12),0)</f>
        <v>0</v>
      </c>
      <c r="J161" s="175">
        <f t="shared" si="3"/>
        <v>0</v>
      </c>
      <c r="K161" s="175">
        <f>(IF('Pre-Calculation'!$D$17="Type 4 a",MAX(SA,H161,1.05*Q161),IF('Pre-Calculation'!$D$17="Type 4 c",H161,IF('Pre-Calculation'!$D$17="Type 4 d",SA+H161,IF('Pre-Calculation'!$D$17="Type 4 e",MAX(SA,H161),IF('Pre-Calculation'!$D$17="Type 4 f",SA,IF('Pre-Calculation'!$D$17="Type 4 g",1000+H161,IF('Pre-Calculation'!$D$17="Type 4 h",SA+X161,IF('Pre-Calculation'!$D$17="Type 4 i",MAX(H161,Q161),IF('Pre-Calculation'!$D$17="Type 4 k",MAX(H161,1.01*Q161),IF('Pre-Calculation'!$D$17="Type 4 m",MAX(105%*Q161,SA+H161),IF('Pre-Calculation'!$D$17="Type 4 o",MAX(SA,105%*Q161)+X161+Z161,IF('Pre-Calculation'!$D$17="Type 5",0)))))))))))))*IF(AND(A161&lt;Revival!$C$4,'Cashflows_8%'!C161&gt;=Revival!$D$12),PUP,1)</f>
        <v>2281999.031</v>
      </c>
      <c r="L161" s="175">
        <f>H161-I161*(1+Tax)</f>
        <v>2281999.031</v>
      </c>
      <c r="M161" s="175">
        <f>L161*(1+GROWTH_RATE_H)*(1-FMC*(1+Tax))</f>
        <v>2293634.295</v>
      </c>
      <c r="N161" s="175">
        <f>M161+IF(MOD(A161,B161)=0,VLOOKUP(B161,'Pre-Calculation'!$H$1:$L$31,5,FALSE),0)*IF('Pre-Calculation'!$D$16="% OF FV",M161,IF(OR('Pre-Calculation'!$D$16="% OF AFV(24M)",'Pre-Calculation'!$D$16="% OF AFV(8Q)"),AVERAGE( $M138:$M161),IF('Pre-Calculation'!$D$16="% OF AFV(12M)",AVERAGE($M150:M161),IF('Pre-Calculation'!$D$16="% OF AFV(36M)",AVERAGE($M126:M161)))))</f>
        <v>2293634.295</v>
      </c>
      <c r="O161" s="175">
        <f t="shared" si="4"/>
        <v>2293634.295</v>
      </c>
      <c r="P161" s="175">
        <f>IF('Pre-Calculation'!$D$17="Type 4 a",MAX(SA,N161,1.05*Q161),IF('Pre-Calculation'!$D$17="Type 4 c",N161,IF('Pre-Calculation'!$D$17="Type 4 d",SA+N161,IF('Pre-Calculation'!$D$17="Type 4 e",MAX(SA,N161),IF('Pre-Calculation'!$D$17="Type 4 f",SA,IF('Pre-Calculation'!$D$17="Type 4 g",1000+N161,IF('Pre-Calculation'!$D$17="Type 4 h",SA+X161,IF('Pre-Calculation'!$D$17="Type 4 i",MAX(N161,Q161),IF('Pre-Calculation'!$D$17="Type 4 k",MAX(N161,1.01*Q161),IF('Pre-Calculation'!$D$17="Type 4 m",MAX(105%*Q161,SA+N161),IF('Pre-Calculation'!$D$17="Type 4 o",MAX(SA,105%*Q161)+X161+Z161,IF('Pre-Calculation'!$D$17="Type 5",0))))))))))))</f>
        <v>2293634.295</v>
      </c>
      <c r="Q161" s="175">
        <f t="shared" si="5"/>
        <v>1000000</v>
      </c>
      <c r="R161" s="119">
        <f>L161*(1+GROWTH_RATE)*FMC</f>
        <v>2582.361572</v>
      </c>
      <c r="S161" s="178">
        <f>S160*(1+'Pre-Calculation'!$E$27)</f>
        <v>1013661.32</v>
      </c>
      <c r="T161" s="175">
        <f>-E161+IF(A160=INPUT!$C$11*12,N161,0)</f>
        <v>0</v>
      </c>
      <c r="U161" s="175">
        <f t="shared" si="6"/>
        <v>2279898.547</v>
      </c>
      <c r="V161" s="175">
        <f>U161*(1+GROWTH_RATE_H)*(1-'Pre-Calculation'!$E$31)</f>
        <v>2290746.284</v>
      </c>
      <c r="W161" s="175">
        <f>-E161+IF(A160=INPUT!$C$11*12,V161,0)</f>
        <v>0</v>
      </c>
      <c r="X161" s="179">
        <f t="array" ref="X161">NPV('Pre-Calculation'!$E$20,$E162:E$246)</f>
        <v>0</v>
      </c>
      <c r="Y161" s="171">
        <f>10%*SA</f>
        <v>100000</v>
      </c>
      <c r="Z161" s="179">
        <f t="array" ref="Z161">NPV('Pre-Calculation'!$E$20,Y162:Y171)</f>
        <v>969592.8037</v>
      </c>
    </row>
    <row r="162" ht="15.75" customHeight="1">
      <c r="A162" s="171">
        <f t="shared" si="1"/>
        <v>216</v>
      </c>
      <c r="B162" s="171">
        <f t="shared" si="2"/>
        <v>18</v>
      </c>
      <c r="C162" s="176">
        <f>EDATE(RCD,A161)</f>
        <v>49094</v>
      </c>
      <c r="D162" s="171">
        <f>Age_At_Entry+'Cashflows_8%'!B162-1</f>
        <v>52</v>
      </c>
      <c r="E162" s="175">
        <f>IF(AND(C162&lt;=Last_Prem,MOD(A161,Mode)=0,C162&gt;INPUT!$C$13,A162&lt;=Revival!$C$11),Mod_Prem,0)</f>
        <v>0</v>
      </c>
      <c r="F162" s="177">
        <f>E162*VLOOKUP(B162,'Pre-Calculation'!$H$1:$I$31,2,FALSE)</f>
        <v>0</v>
      </c>
      <c r="G162" s="177">
        <f>IF(B162&lt;PT+1,VLOOKUP(B162,'Pre-Calculation'!$H$1:$L$32,3,FALSE)+VLOOKUP(B162,'Pre-Calculation'!$H$1:$L$32,4,FALSE)*'Pre-Calculation'!$D$7,0)</f>
        <v>0</v>
      </c>
      <c r="H162" s="175">
        <f>(E162-(F162+G162)*(1+Tax)+N161)</f>
        <v>2293634.295</v>
      </c>
      <c r="I162" s="175">
        <f>IF(B162&lt;PT+1,VLOOKUP(D162,'Pre-Calculation'!$N$3:$P$79,IF(INPUT!$C$4="M",2,3),FALSE)*(J162/1000)*(1/12),0)</f>
        <v>0</v>
      </c>
      <c r="J162" s="175">
        <f t="shared" si="3"/>
        <v>0</v>
      </c>
      <c r="K162" s="175">
        <f>(IF('Pre-Calculation'!$D$17="Type 4 a",MAX(SA,H162,1.05*Q162),IF('Pre-Calculation'!$D$17="Type 4 c",H162,IF('Pre-Calculation'!$D$17="Type 4 d",SA+H162,IF('Pre-Calculation'!$D$17="Type 4 e",MAX(SA,H162),IF('Pre-Calculation'!$D$17="Type 4 f",SA,IF('Pre-Calculation'!$D$17="Type 4 g",1000+H162,IF('Pre-Calculation'!$D$17="Type 4 h",SA+X162,IF('Pre-Calculation'!$D$17="Type 4 i",MAX(H162,Q162),IF('Pre-Calculation'!$D$17="Type 4 k",MAX(H162,1.01*Q162),IF('Pre-Calculation'!$D$17="Type 4 m",MAX(105%*Q162,SA+H162),IF('Pre-Calculation'!$D$17="Type 4 o",MAX(SA,105%*Q162)+X162+Z162,IF('Pre-Calculation'!$D$17="Type 5",0)))))))))))))*IF(AND(A162&lt;Revival!$C$4,'Cashflows_8%'!C162&gt;=Revival!$D$12),PUP,1)</f>
        <v>2293634.295</v>
      </c>
      <c r="L162" s="175">
        <f>H162-I162*(1+Tax)</f>
        <v>2293634.295</v>
      </c>
      <c r="M162" s="175">
        <f>L162*(1+GROWTH_RATE_H)*(1-FMC*(1+Tax))</f>
        <v>2305328.884</v>
      </c>
      <c r="N162" s="175">
        <f>M162+IF(MOD(A162,B162)=0,VLOOKUP(B162,'Pre-Calculation'!$H$1:$L$31,5,FALSE),0)*IF('Pre-Calculation'!$D$16="% OF FV",M162,IF(OR('Pre-Calculation'!$D$16="% OF AFV(24M)",'Pre-Calculation'!$D$16="% OF AFV(8Q)"),AVERAGE( $M139:$M162),IF('Pre-Calculation'!$D$16="% OF AFV(12M)",AVERAGE($M151:M162),IF('Pre-Calculation'!$D$16="% OF AFV(36M)",AVERAGE($M127:M162)))))</f>
        <v>2305328.884</v>
      </c>
      <c r="O162" s="175">
        <f t="shared" si="4"/>
        <v>2305328.884</v>
      </c>
      <c r="P162" s="175">
        <f>IF('Pre-Calculation'!$D$17="Type 4 a",MAX(SA,N162,1.05*Q162),IF('Pre-Calculation'!$D$17="Type 4 c",N162,IF('Pre-Calculation'!$D$17="Type 4 d",SA+N162,IF('Pre-Calculation'!$D$17="Type 4 e",MAX(SA,N162),IF('Pre-Calculation'!$D$17="Type 4 f",SA,IF('Pre-Calculation'!$D$17="Type 4 g",1000+N162,IF('Pre-Calculation'!$D$17="Type 4 h",SA+X162,IF('Pre-Calculation'!$D$17="Type 4 i",MAX(N162,Q162),IF('Pre-Calculation'!$D$17="Type 4 k",MAX(N162,1.01*Q162),IF('Pre-Calculation'!$D$17="Type 4 m",MAX(105%*Q162,SA+N162),IF('Pre-Calculation'!$D$17="Type 4 o",MAX(SA,105%*Q162)+X162+Z162,IF('Pre-Calculation'!$D$17="Type 5",0))))))))))))</f>
        <v>2305328.884</v>
      </c>
      <c r="Q162" s="175">
        <f t="shared" si="5"/>
        <v>1000000</v>
      </c>
      <c r="R162" s="119">
        <f>L162*(1+GROWTH_RATE)*FMC</f>
        <v>2595.528299</v>
      </c>
      <c r="S162" s="178">
        <f>S161*(1+'Pre-Calculation'!$E$27)</f>
        <v>1016571.439</v>
      </c>
      <c r="T162" s="175">
        <f>-E162+IF(A161=INPUT!$C$11*12,N162,0)</f>
        <v>0</v>
      </c>
      <c r="U162" s="175">
        <f t="shared" si="6"/>
        <v>2290746.284</v>
      </c>
      <c r="V162" s="175">
        <f>U162*(1+GROWTH_RATE_H)*(1-'Pre-Calculation'!$E$31)</f>
        <v>2301645.635</v>
      </c>
      <c r="W162" s="175">
        <f>-E162+IF(A161=INPUT!$C$11*12,V162,0)</f>
        <v>0</v>
      </c>
      <c r="X162" s="179">
        <f t="array" ref="X162">NPV('Pre-Calculation'!$E$20,$E163:E$246)</f>
        <v>0</v>
      </c>
      <c r="Y162" s="171">
        <f>10%*SA</f>
        <v>100000</v>
      </c>
      <c r="Z162" s="179">
        <f t="array" ref="Z162">NPV('Pre-Calculation'!$E$20,Y163:Y172)</f>
        <v>969592.8037</v>
      </c>
    </row>
    <row r="163" ht="15.75" customHeight="1">
      <c r="A163" s="171">
        <f t="shared" si="1"/>
        <v>217</v>
      </c>
      <c r="B163" s="171">
        <f t="shared" si="2"/>
        <v>19</v>
      </c>
      <c r="C163" s="176">
        <f>EDATE(RCD,A162)</f>
        <v>49125</v>
      </c>
      <c r="D163" s="171">
        <f>Age_At_Entry+'Cashflows_8%'!B163-1</f>
        <v>53</v>
      </c>
      <c r="E163" s="175">
        <f>IF(AND(C163&lt;=Last_Prem,MOD(A162,Mode)=0,C163&gt;INPUT!$C$13,A163&lt;=Revival!$C$11),Mod_Prem,0)</f>
        <v>0</v>
      </c>
      <c r="F163" s="177">
        <f>E163*VLOOKUP(B163,'Pre-Calculation'!$H$1:$I$31,2,FALSE)</f>
        <v>0</v>
      </c>
      <c r="G163" s="177">
        <f>IF(B163&lt;PT+1,VLOOKUP(B163,'Pre-Calculation'!$H$1:$L$32,3,FALSE)+VLOOKUP(B163,'Pre-Calculation'!$H$1:$L$32,4,FALSE)*'Pre-Calculation'!$D$7,0)</f>
        <v>0</v>
      </c>
      <c r="H163" s="175">
        <f>(E163-(F163+G163)*(1+Tax)+N162)</f>
        <v>2305328.884</v>
      </c>
      <c r="I163" s="175">
        <f>IF(B163&lt;PT+1,VLOOKUP(D163,'Pre-Calculation'!$N$3:$P$79,IF(INPUT!$C$4="M",2,3),FALSE)*(J163/1000)*(1/12),0)</f>
        <v>0</v>
      </c>
      <c r="J163" s="175">
        <f t="shared" si="3"/>
        <v>0</v>
      </c>
      <c r="K163" s="175">
        <f>(IF('Pre-Calculation'!$D$17="Type 4 a",MAX(SA,H163,1.05*Q163),IF('Pre-Calculation'!$D$17="Type 4 c",H163,IF('Pre-Calculation'!$D$17="Type 4 d",SA+H163,IF('Pre-Calculation'!$D$17="Type 4 e",MAX(SA,H163),IF('Pre-Calculation'!$D$17="Type 4 f",SA,IF('Pre-Calculation'!$D$17="Type 4 g",1000+H163,IF('Pre-Calculation'!$D$17="Type 4 h",SA+X163,IF('Pre-Calculation'!$D$17="Type 4 i",MAX(H163,Q163),IF('Pre-Calculation'!$D$17="Type 4 k",MAX(H163,1.01*Q163),IF('Pre-Calculation'!$D$17="Type 4 m",MAX(105%*Q163,SA+H163),IF('Pre-Calculation'!$D$17="Type 4 o",MAX(SA,105%*Q163)+X163+Z163,IF('Pre-Calculation'!$D$17="Type 5",0)))))))))))))*IF(AND(A163&lt;Revival!$C$4,'Cashflows_8%'!C163&gt;=Revival!$D$12),PUP,1)</f>
        <v>2305328.884</v>
      </c>
      <c r="L163" s="175">
        <f>H163-I163*(1+Tax)</f>
        <v>2305328.884</v>
      </c>
      <c r="M163" s="175">
        <f>L163*(1+GROWTH_RATE_H)*(1-FMC*(1+Tax))</f>
        <v>2317083.1</v>
      </c>
      <c r="N163" s="175">
        <f>M163+IF(MOD(A163,B163)=0,VLOOKUP(B163,'Pre-Calculation'!$H$1:$L$31,5,FALSE),0)*IF('Pre-Calculation'!$D$16="% OF FV",M163,IF(OR('Pre-Calculation'!$D$16="% OF AFV(24M)",'Pre-Calculation'!$D$16="% OF AFV(8Q)"),AVERAGE( $M140:$M163),IF('Pre-Calculation'!$D$16="% OF AFV(12M)",AVERAGE($M152:M163),IF('Pre-Calculation'!$D$16="% OF AFV(36M)",AVERAGE($M128:M163)))))</f>
        <v>2317083.1</v>
      </c>
      <c r="O163" s="175">
        <f t="shared" si="4"/>
        <v>2317083.1</v>
      </c>
      <c r="P163" s="175">
        <f>IF('Pre-Calculation'!$D$17="Type 4 a",MAX(SA,N163,1.05*Q163),IF('Pre-Calculation'!$D$17="Type 4 c",N163,IF('Pre-Calculation'!$D$17="Type 4 d",SA+N163,IF('Pre-Calculation'!$D$17="Type 4 e",MAX(SA,N163),IF('Pre-Calculation'!$D$17="Type 4 f",SA,IF('Pre-Calculation'!$D$17="Type 4 g",1000+N163,IF('Pre-Calculation'!$D$17="Type 4 h",SA+X163,IF('Pre-Calculation'!$D$17="Type 4 i",MAX(N163,Q163),IF('Pre-Calculation'!$D$17="Type 4 k",MAX(N163,1.01*Q163),IF('Pre-Calculation'!$D$17="Type 4 m",MAX(105%*Q163,SA+N163),IF('Pre-Calculation'!$D$17="Type 4 o",MAX(SA,105%*Q163)+X163+Z163,IF('Pre-Calculation'!$D$17="Type 5",0))))))))))))</f>
        <v>2317083.1</v>
      </c>
      <c r="Q163" s="175">
        <f t="shared" si="5"/>
        <v>1000000</v>
      </c>
      <c r="R163" s="119">
        <f>L163*(1+GROWTH_RATE)*FMC</f>
        <v>2608.76216</v>
      </c>
      <c r="S163" s="178">
        <f>S162*(1+'Pre-Calculation'!$E$27)</f>
        <v>1019489.913</v>
      </c>
      <c r="T163" s="175">
        <f>-E163+IF(A162=INPUT!$C$11*12,N163,0)</f>
        <v>0</v>
      </c>
      <c r="U163" s="175">
        <f t="shared" si="6"/>
        <v>2301645.635</v>
      </c>
      <c r="V163" s="175">
        <f>U163*(1+GROWTH_RATE_H)*(1-'Pre-Calculation'!$E$31)</f>
        <v>2312596.845</v>
      </c>
      <c r="W163" s="175">
        <f>-E163+IF(A162=INPUT!$C$11*12,V163,0)</f>
        <v>0</v>
      </c>
      <c r="X163" s="179">
        <f t="array" ref="X163">NPV('Pre-Calculation'!$E$20,$E164:E$246)</f>
        <v>0</v>
      </c>
      <c r="Y163" s="171">
        <f>10%*SA</f>
        <v>100000</v>
      </c>
      <c r="Z163" s="179">
        <f t="array" ref="Z163">NPV('Pre-Calculation'!$E$20,Y164:Y173)</f>
        <v>969592.8037</v>
      </c>
    </row>
    <row r="164" ht="15.75" customHeight="1">
      <c r="A164" s="171">
        <f t="shared" si="1"/>
        <v>218</v>
      </c>
      <c r="B164" s="171">
        <f t="shared" si="2"/>
        <v>19</v>
      </c>
      <c r="C164" s="176">
        <f>EDATE(RCD,A163)</f>
        <v>49155</v>
      </c>
      <c r="D164" s="171">
        <f>Age_At_Entry+'Cashflows_8%'!B164-1</f>
        <v>53</v>
      </c>
      <c r="E164" s="175">
        <f>IF(AND(C164&lt;=Last_Prem,MOD(A163,Mode)=0,C164&gt;INPUT!$C$13,A164&lt;=Revival!$C$11),Mod_Prem,0)</f>
        <v>0</v>
      </c>
      <c r="F164" s="177">
        <f>E164*VLOOKUP(B164,'Pre-Calculation'!$H$1:$I$31,2,FALSE)</f>
        <v>0</v>
      </c>
      <c r="G164" s="177">
        <f>IF(B164&lt;PT+1,VLOOKUP(B164,'Pre-Calculation'!$H$1:$L$32,3,FALSE)+VLOOKUP(B164,'Pre-Calculation'!$H$1:$L$32,4,FALSE)*'Pre-Calculation'!$D$7,0)</f>
        <v>0</v>
      </c>
      <c r="H164" s="175">
        <f>(E164-(F164+G164)*(1+Tax)+N163)</f>
        <v>2317083.1</v>
      </c>
      <c r="I164" s="175">
        <f>IF(B164&lt;PT+1,VLOOKUP(D164,'Pre-Calculation'!$N$3:$P$79,IF(INPUT!$C$4="M",2,3),FALSE)*(J164/1000)*(1/12),0)</f>
        <v>0</v>
      </c>
      <c r="J164" s="175">
        <f t="shared" si="3"/>
        <v>0</v>
      </c>
      <c r="K164" s="175">
        <f>(IF('Pre-Calculation'!$D$17="Type 4 a",MAX(SA,H164,1.05*Q164),IF('Pre-Calculation'!$D$17="Type 4 c",H164,IF('Pre-Calculation'!$D$17="Type 4 d",SA+H164,IF('Pre-Calculation'!$D$17="Type 4 e",MAX(SA,H164),IF('Pre-Calculation'!$D$17="Type 4 f",SA,IF('Pre-Calculation'!$D$17="Type 4 g",1000+H164,IF('Pre-Calculation'!$D$17="Type 4 h",SA+X164,IF('Pre-Calculation'!$D$17="Type 4 i",MAX(H164,Q164),IF('Pre-Calculation'!$D$17="Type 4 k",MAX(H164,1.01*Q164),IF('Pre-Calculation'!$D$17="Type 4 m",MAX(105%*Q164,SA+H164),IF('Pre-Calculation'!$D$17="Type 4 o",MAX(SA,105%*Q164)+X164+Z164,IF('Pre-Calculation'!$D$17="Type 5",0)))))))))))))*IF(AND(A164&lt;Revival!$C$4,'Cashflows_8%'!C164&gt;=Revival!$D$12),PUP,1)</f>
        <v>2317083.1</v>
      </c>
      <c r="L164" s="175">
        <f>H164-I164*(1+Tax)</f>
        <v>2317083.1</v>
      </c>
      <c r="M164" s="175">
        <f>L164*(1+GROWTH_RATE_H)*(1-FMC*(1+Tax))</f>
        <v>2328897.247</v>
      </c>
      <c r="N164" s="175">
        <f>M164+IF(MOD(A164,B164)=0,VLOOKUP(B164,'Pre-Calculation'!$H$1:$L$31,5,FALSE),0)*IF('Pre-Calculation'!$D$16="% OF FV",M164,IF(OR('Pre-Calculation'!$D$16="% OF AFV(24M)",'Pre-Calculation'!$D$16="% OF AFV(8Q)"),AVERAGE( $M141:$M164),IF('Pre-Calculation'!$D$16="% OF AFV(12M)",AVERAGE($M153:M164),IF('Pre-Calculation'!$D$16="% OF AFV(36M)",AVERAGE($M129:M164)))))</f>
        <v>2328897.247</v>
      </c>
      <c r="O164" s="175">
        <f t="shared" si="4"/>
        <v>2328897.247</v>
      </c>
      <c r="P164" s="175">
        <f>IF('Pre-Calculation'!$D$17="Type 4 a",MAX(SA,N164,1.05*Q164),IF('Pre-Calculation'!$D$17="Type 4 c",N164,IF('Pre-Calculation'!$D$17="Type 4 d",SA+N164,IF('Pre-Calculation'!$D$17="Type 4 e",MAX(SA,N164),IF('Pre-Calculation'!$D$17="Type 4 f",SA,IF('Pre-Calculation'!$D$17="Type 4 g",1000+N164,IF('Pre-Calculation'!$D$17="Type 4 h",SA+X164,IF('Pre-Calculation'!$D$17="Type 4 i",MAX(N164,Q164),IF('Pre-Calculation'!$D$17="Type 4 k",MAX(N164,1.01*Q164),IF('Pre-Calculation'!$D$17="Type 4 m",MAX(105%*Q164,SA+N164),IF('Pre-Calculation'!$D$17="Type 4 o",MAX(SA,105%*Q164)+X164+Z164,IF('Pre-Calculation'!$D$17="Type 5",0))))))))))))</f>
        <v>2328897.247</v>
      </c>
      <c r="Q164" s="175">
        <f t="shared" si="5"/>
        <v>1000000</v>
      </c>
      <c r="R164" s="119">
        <f>L164*(1+GROWTH_RATE)*FMC</f>
        <v>2622.063496</v>
      </c>
      <c r="S164" s="178">
        <f>S163*(1+'Pre-Calculation'!$E$27)</f>
        <v>1022416.765</v>
      </c>
      <c r="T164" s="175">
        <f>-E164+IF(A163=INPUT!$C$11*12,N164,0)</f>
        <v>0</v>
      </c>
      <c r="U164" s="175">
        <f t="shared" si="6"/>
        <v>2312596.845</v>
      </c>
      <c r="V164" s="175">
        <f>U164*(1+GROWTH_RATE_H)*(1-'Pre-Calculation'!$E$31)</f>
        <v>2323600.16</v>
      </c>
      <c r="W164" s="175">
        <f>-E164+IF(A163=INPUT!$C$11*12,V164,0)</f>
        <v>0</v>
      </c>
      <c r="X164" s="179">
        <f t="array" ref="X164">NPV('Pre-Calculation'!$E$20,$E165:E$246)</f>
        <v>0</v>
      </c>
      <c r="Y164" s="171">
        <f>10%*SA</f>
        <v>100000</v>
      </c>
      <c r="Z164" s="179">
        <f t="array" ref="Z164">NPV('Pre-Calculation'!$E$20,Y165:Y174)</f>
        <v>969592.8037</v>
      </c>
    </row>
    <row r="165" ht="15.75" customHeight="1">
      <c r="A165" s="171">
        <f t="shared" si="1"/>
        <v>219</v>
      </c>
      <c r="B165" s="171">
        <f t="shared" si="2"/>
        <v>19</v>
      </c>
      <c r="C165" s="176">
        <f>EDATE(RCD,A164)</f>
        <v>49186</v>
      </c>
      <c r="D165" s="171">
        <f>Age_At_Entry+'Cashflows_8%'!B165-1</f>
        <v>53</v>
      </c>
      <c r="E165" s="175">
        <f>IF(AND(C165&lt;=Last_Prem,MOD(A164,Mode)=0,C165&gt;INPUT!$C$13,A165&lt;=Revival!$C$11),Mod_Prem,0)</f>
        <v>0</v>
      </c>
      <c r="F165" s="177">
        <f>E165*VLOOKUP(B165,'Pre-Calculation'!$H$1:$I$31,2,FALSE)</f>
        <v>0</v>
      </c>
      <c r="G165" s="177">
        <f>IF(B165&lt;PT+1,VLOOKUP(B165,'Pre-Calculation'!$H$1:$L$32,3,FALSE)+VLOOKUP(B165,'Pre-Calculation'!$H$1:$L$32,4,FALSE)*'Pre-Calculation'!$D$7,0)</f>
        <v>0</v>
      </c>
      <c r="H165" s="175">
        <f>(E165-(F165+G165)*(1+Tax)+N164)</f>
        <v>2328897.247</v>
      </c>
      <c r="I165" s="175">
        <f>IF(B165&lt;PT+1,VLOOKUP(D165,'Pre-Calculation'!$N$3:$P$79,IF(INPUT!$C$4="M",2,3),FALSE)*(J165/1000)*(1/12),0)</f>
        <v>0</v>
      </c>
      <c r="J165" s="175">
        <f t="shared" si="3"/>
        <v>0</v>
      </c>
      <c r="K165" s="175">
        <f>(IF('Pre-Calculation'!$D$17="Type 4 a",MAX(SA,H165,1.05*Q165),IF('Pre-Calculation'!$D$17="Type 4 c",H165,IF('Pre-Calculation'!$D$17="Type 4 d",SA+H165,IF('Pre-Calculation'!$D$17="Type 4 e",MAX(SA,H165),IF('Pre-Calculation'!$D$17="Type 4 f",SA,IF('Pre-Calculation'!$D$17="Type 4 g",1000+H165,IF('Pre-Calculation'!$D$17="Type 4 h",SA+X165,IF('Pre-Calculation'!$D$17="Type 4 i",MAX(H165,Q165),IF('Pre-Calculation'!$D$17="Type 4 k",MAX(H165,1.01*Q165),IF('Pre-Calculation'!$D$17="Type 4 m",MAX(105%*Q165,SA+H165),IF('Pre-Calculation'!$D$17="Type 4 o",MAX(SA,105%*Q165)+X165+Z165,IF('Pre-Calculation'!$D$17="Type 5",0)))))))))))))*IF(AND(A165&lt;Revival!$C$4,'Cashflows_8%'!C165&gt;=Revival!$D$12),PUP,1)</f>
        <v>2328897.247</v>
      </c>
      <c r="L165" s="175">
        <f>H165-I165*(1+Tax)</f>
        <v>2328897.247</v>
      </c>
      <c r="M165" s="175">
        <f>L165*(1+GROWTH_RATE_H)*(1-FMC*(1+Tax))</f>
        <v>2340771.632</v>
      </c>
      <c r="N165" s="175">
        <f>M165+IF(MOD(A165,B165)=0,VLOOKUP(B165,'Pre-Calculation'!$H$1:$L$31,5,FALSE),0)*IF('Pre-Calculation'!$D$16="% OF FV",M165,IF(OR('Pre-Calculation'!$D$16="% OF AFV(24M)",'Pre-Calculation'!$D$16="% OF AFV(8Q)"),AVERAGE( $M142:$M165),IF('Pre-Calculation'!$D$16="% OF AFV(12M)",AVERAGE($M154:M165),IF('Pre-Calculation'!$D$16="% OF AFV(36M)",AVERAGE($M130:M165)))))</f>
        <v>2340771.632</v>
      </c>
      <c r="O165" s="175">
        <f t="shared" si="4"/>
        <v>2340771.632</v>
      </c>
      <c r="P165" s="175">
        <f>IF('Pre-Calculation'!$D$17="Type 4 a",MAX(SA,N165,1.05*Q165),IF('Pre-Calculation'!$D$17="Type 4 c",N165,IF('Pre-Calculation'!$D$17="Type 4 d",SA+N165,IF('Pre-Calculation'!$D$17="Type 4 e",MAX(SA,N165),IF('Pre-Calculation'!$D$17="Type 4 f",SA,IF('Pre-Calculation'!$D$17="Type 4 g",1000+N165,IF('Pre-Calculation'!$D$17="Type 4 h",SA+X165,IF('Pre-Calculation'!$D$17="Type 4 i",MAX(N165,Q165),IF('Pre-Calculation'!$D$17="Type 4 k",MAX(N165,1.01*Q165),IF('Pre-Calculation'!$D$17="Type 4 m",MAX(105%*Q165,SA+N165),IF('Pre-Calculation'!$D$17="Type 4 o",MAX(SA,105%*Q165)+X165+Z165,IF('Pre-Calculation'!$D$17="Type 5",0))))))))))))</f>
        <v>2340771.632</v>
      </c>
      <c r="Q165" s="175">
        <f t="shared" si="5"/>
        <v>1000000</v>
      </c>
      <c r="R165" s="119">
        <f>L165*(1+GROWTH_RATE)*FMC</f>
        <v>2635.432652</v>
      </c>
      <c r="S165" s="178">
        <f>S164*(1+'Pre-Calculation'!$E$27)</f>
        <v>1025352.02</v>
      </c>
      <c r="T165" s="175">
        <f>-E165+IF(A164=INPUT!$C$11*12,N165,0)</f>
        <v>0</v>
      </c>
      <c r="U165" s="175">
        <f t="shared" si="6"/>
        <v>2323600.16</v>
      </c>
      <c r="V165" s="175">
        <f>U165*(1+GROWTH_RATE_H)*(1-'Pre-Calculation'!$E$31)</f>
        <v>2334655.829</v>
      </c>
      <c r="W165" s="175">
        <f>-E165+IF(A164=INPUT!$C$11*12,V165,0)</f>
        <v>0</v>
      </c>
      <c r="X165" s="179">
        <f t="array" ref="X165">NPV('Pre-Calculation'!$E$20,$E166:E$246)</f>
        <v>0</v>
      </c>
      <c r="Y165" s="171">
        <f>10%*SA</f>
        <v>100000</v>
      </c>
      <c r="Z165" s="179">
        <f t="array" ref="Z165">NPV('Pre-Calculation'!$E$20,Y166:Y175)</f>
        <v>969592.8037</v>
      </c>
    </row>
    <row r="166" ht="15.75" customHeight="1">
      <c r="A166" s="171">
        <f t="shared" si="1"/>
        <v>220</v>
      </c>
      <c r="B166" s="171">
        <f t="shared" si="2"/>
        <v>19</v>
      </c>
      <c r="C166" s="176">
        <f>EDATE(RCD,A165)</f>
        <v>49217</v>
      </c>
      <c r="D166" s="171">
        <f>Age_At_Entry+'Cashflows_8%'!B166-1</f>
        <v>53</v>
      </c>
      <c r="E166" s="175">
        <f>IF(AND(C166&lt;=Last_Prem,MOD(A165,Mode)=0,C166&gt;INPUT!$C$13,A166&lt;=Revival!$C$11),Mod_Prem,0)</f>
        <v>0</v>
      </c>
      <c r="F166" s="177">
        <f>E166*VLOOKUP(B166,'Pre-Calculation'!$H$1:$I$31,2,FALSE)</f>
        <v>0</v>
      </c>
      <c r="G166" s="177">
        <f>IF(B166&lt;PT+1,VLOOKUP(B166,'Pre-Calculation'!$H$1:$L$32,3,FALSE)+VLOOKUP(B166,'Pre-Calculation'!$H$1:$L$32,4,FALSE)*'Pre-Calculation'!$D$7,0)</f>
        <v>0</v>
      </c>
      <c r="H166" s="175">
        <f>(E166-(F166+G166)*(1+Tax)+N165)</f>
        <v>2340771.632</v>
      </c>
      <c r="I166" s="175">
        <f>IF(B166&lt;PT+1,VLOOKUP(D166,'Pre-Calculation'!$N$3:$P$79,IF(INPUT!$C$4="M",2,3),FALSE)*(J166/1000)*(1/12),0)</f>
        <v>0</v>
      </c>
      <c r="J166" s="175">
        <f t="shared" si="3"/>
        <v>0</v>
      </c>
      <c r="K166" s="175">
        <f>(IF('Pre-Calculation'!$D$17="Type 4 a",MAX(SA,H166,1.05*Q166),IF('Pre-Calculation'!$D$17="Type 4 c",H166,IF('Pre-Calculation'!$D$17="Type 4 d",SA+H166,IF('Pre-Calculation'!$D$17="Type 4 e",MAX(SA,H166),IF('Pre-Calculation'!$D$17="Type 4 f",SA,IF('Pre-Calculation'!$D$17="Type 4 g",1000+H166,IF('Pre-Calculation'!$D$17="Type 4 h",SA+X166,IF('Pre-Calculation'!$D$17="Type 4 i",MAX(H166,Q166),IF('Pre-Calculation'!$D$17="Type 4 k",MAX(H166,1.01*Q166),IF('Pre-Calculation'!$D$17="Type 4 m",MAX(105%*Q166,SA+H166),IF('Pre-Calculation'!$D$17="Type 4 o",MAX(SA,105%*Q166)+X166+Z166,IF('Pre-Calculation'!$D$17="Type 5",0)))))))))))))*IF(AND(A166&lt;Revival!$C$4,'Cashflows_8%'!C166&gt;=Revival!$D$12),PUP,1)</f>
        <v>2340771.632</v>
      </c>
      <c r="L166" s="175">
        <f>H166-I166*(1+Tax)</f>
        <v>2340771.632</v>
      </c>
      <c r="M166" s="175">
        <f>L166*(1+GROWTH_RATE_H)*(1-FMC*(1+Tax))</f>
        <v>2352706.56</v>
      </c>
      <c r="N166" s="175">
        <f>M166+IF(MOD(A166,B166)=0,VLOOKUP(B166,'Pre-Calculation'!$H$1:$L$31,5,FALSE),0)*IF('Pre-Calculation'!$D$16="% OF FV",M166,IF(OR('Pre-Calculation'!$D$16="% OF AFV(24M)",'Pre-Calculation'!$D$16="% OF AFV(8Q)"),AVERAGE( $M143:$M166),IF('Pre-Calculation'!$D$16="% OF AFV(12M)",AVERAGE($M155:M166),IF('Pre-Calculation'!$D$16="% OF AFV(36M)",AVERAGE($M131:M166)))))</f>
        <v>2352706.56</v>
      </c>
      <c r="O166" s="175">
        <f t="shared" si="4"/>
        <v>2352706.56</v>
      </c>
      <c r="P166" s="175">
        <f>IF('Pre-Calculation'!$D$17="Type 4 a",MAX(SA,N166,1.05*Q166),IF('Pre-Calculation'!$D$17="Type 4 c",N166,IF('Pre-Calculation'!$D$17="Type 4 d",SA+N166,IF('Pre-Calculation'!$D$17="Type 4 e",MAX(SA,N166),IF('Pre-Calculation'!$D$17="Type 4 f",SA,IF('Pre-Calculation'!$D$17="Type 4 g",1000+N166,IF('Pre-Calculation'!$D$17="Type 4 h",SA+X166,IF('Pre-Calculation'!$D$17="Type 4 i",MAX(N166,Q166),IF('Pre-Calculation'!$D$17="Type 4 k",MAX(N166,1.01*Q166),IF('Pre-Calculation'!$D$17="Type 4 m",MAX(105%*Q166,SA+N166),IF('Pre-Calculation'!$D$17="Type 4 o",MAX(SA,105%*Q166)+X166+Z166,IF('Pre-Calculation'!$D$17="Type 5",0))))))))))))</f>
        <v>2352706.56</v>
      </c>
      <c r="Q166" s="175">
        <f t="shared" si="5"/>
        <v>1000000</v>
      </c>
      <c r="R166" s="119">
        <f>L166*(1+GROWTH_RATE)*FMC</f>
        <v>2648.869973</v>
      </c>
      <c r="S166" s="178">
        <f>S165*(1+'Pre-Calculation'!$E$27)</f>
        <v>1028295.702</v>
      </c>
      <c r="T166" s="175">
        <f>-E166+IF(A165=INPUT!$C$11*12,N166,0)</f>
        <v>0</v>
      </c>
      <c r="U166" s="175">
        <f t="shared" si="6"/>
        <v>2334655.829</v>
      </c>
      <c r="V166" s="175">
        <f>U166*(1+GROWTH_RATE_H)*(1-'Pre-Calculation'!$E$31)</f>
        <v>2345764.101</v>
      </c>
      <c r="W166" s="175">
        <f>-E166+IF(A165=INPUT!$C$11*12,V166,0)</f>
        <v>0</v>
      </c>
      <c r="X166" s="179">
        <f t="array" ref="X166">NPV('Pre-Calculation'!$E$20,$E167:E$246)</f>
        <v>0</v>
      </c>
      <c r="Y166" s="171">
        <f>10%*SA</f>
        <v>100000</v>
      </c>
      <c r="Z166" s="179">
        <f t="array" ref="Z166">NPV('Pre-Calculation'!$E$20,Y167:Y176)</f>
        <v>969592.8037</v>
      </c>
    </row>
    <row r="167" ht="15.75" customHeight="1">
      <c r="A167" s="171">
        <f t="shared" si="1"/>
        <v>221</v>
      </c>
      <c r="B167" s="171">
        <f t="shared" si="2"/>
        <v>19</v>
      </c>
      <c r="C167" s="176">
        <f>EDATE(RCD,A166)</f>
        <v>49247</v>
      </c>
      <c r="D167" s="171">
        <f>Age_At_Entry+'Cashflows_8%'!B167-1</f>
        <v>53</v>
      </c>
      <c r="E167" s="175">
        <f>IF(AND(C167&lt;=Last_Prem,MOD(A166,Mode)=0,C167&gt;INPUT!$C$13,A167&lt;=Revival!$C$11),Mod_Prem,0)</f>
        <v>0</v>
      </c>
      <c r="F167" s="177">
        <f>E167*VLOOKUP(B167,'Pre-Calculation'!$H$1:$I$31,2,FALSE)</f>
        <v>0</v>
      </c>
      <c r="G167" s="177">
        <f>IF(B167&lt;PT+1,VLOOKUP(B167,'Pre-Calculation'!$H$1:$L$32,3,FALSE)+VLOOKUP(B167,'Pre-Calculation'!$H$1:$L$32,4,FALSE)*'Pre-Calculation'!$D$7,0)</f>
        <v>0</v>
      </c>
      <c r="H167" s="175">
        <f>(E167-(F167+G167)*(1+Tax)+N166)</f>
        <v>2352706.56</v>
      </c>
      <c r="I167" s="175">
        <f>IF(B167&lt;PT+1,VLOOKUP(D167,'Pre-Calculation'!$N$3:$P$79,IF(INPUT!$C$4="M",2,3),FALSE)*(J167/1000)*(1/12),0)</f>
        <v>0</v>
      </c>
      <c r="J167" s="175">
        <f t="shared" si="3"/>
        <v>0</v>
      </c>
      <c r="K167" s="175">
        <f>(IF('Pre-Calculation'!$D$17="Type 4 a",MAX(SA,H167,1.05*Q167),IF('Pre-Calculation'!$D$17="Type 4 c",H167,IF('Pre-Calculation'!$D$17="Type 4 d",SA+H167,IF('Pre-Calculation'!$D$17="Type 4 e",MAX(SA,H167),IF('Pre-Calculation'!$D$17="Type 4 f",SA,IF('Pre-Calculation'!$D$17="Type 4 g",1000+H167,IF('Pre-Calculation'!$D$17="Type 4 h",SA+X167,IF('Pre-Calculation'!$D$17="Type 4 i",MAX(H167,Q167),IF('Pre-Calculation'!$D$17="Type 4 k",MAX(H167,1.01*Q167),IF('Pre-Calculation'!$D$17="Type 4 m",MAX(105%*Q167,SA+H167),IF('Pre-Calculation'!$D$17="Type 4 o",MAX(SA,105%*Q167)+X167+Z167,IF('Pre-Calculation'!$D$17="Type 5",0)))))))))))))*IF(AND(A167&lt;Revival!$C$4,'Cashflows_8%'!C167&gt;=Revival!$D$12),PUP,1)</f>
        <v>2352706.56</v>
      </c>
      <c r="L167" s="175">
        <f>H167-I167*(1+Tax)</f>
        <v>2352706.56</v>
      </c>
      <c r="M167" s="175">
        <f>L167*(1+GROWTH_RATE_H)*(1-FMC*(1+Tax))</f>
        <v>2364702.342</v>
      </c>
      <c r="N167" s="175">
        <f>M167+IF(MOD(A167,B167)=0,VLOOKUP(B167,'Pre-Calculation'!$H$1:$L$31,5,FALSE),0)*IF('Pre-Calculation'!$D$16="% OF FV",M167,IF(OR('Pre-Calculation'!$D$16="% OF AFV(24M)",'Pre-Calculation'!$D$16="% OF AFV(8Q)"),AVERAGE( $M144:$M167),IF('Pre-Calculation'!$D$16="% OF AFV(12M)",AVERAGE($M156:M167),IF('Pre-Calculation'!$D$16="% OF AFV(36M)",AVERAGE($M132:M167)))))</f>
        <v>2364702.342</v>
      </c>
      <c r="O167" s="175">
        <f t="shared" si="4"/>
        <v>2364702.342</v>
      </c>
      <c r="P167" s="175">
        <f>IF('Pre-Calculation'!$D$17="Type 4 a",MAX(SA,N167,1.05*Q167),IF('Pre-Calculation'!$D$17="Type 4 c",N167,IF('Pre-Calculation'!$D$17="Type 4 d",SA+N167,IF('Pre-Calculation'!$D$17="Type 4 e",MAX(SA,N167),IF('Pre-Calculation'!$D$17="Type 4 f",SA,IF('Pre-Calculation'!$D$17="Type 4 g",1000+N167,IF('Pre-Calculation'!$D$17="Type 4 h",SA+X167,IF('Pre-Calculation'!$D$17="Type 4 i",MAX(N167,Q167),IF('Pre-Calculation'!$D$17="Type 4 k",MAX(N167,1.01*Q167),IF('Pre-Calculation'!$D$17="Type 4 m",MAX(105%*Q167,SA+N167),IF('Pre-Calculation'!$D$17="Type 4 o",MAX(SA,105%*Q167)+X167+Z167,IF('Pre-Calculation'!$D$17="Type 5",0))))))))))))</f>
        <v>2364702.342</v>
      </c>
      <c r="Q167" s="175">
        <f t="shared" si="5"/>
        <v>1000000</v>
      </c>
      <c r="R167" s="119">
        <f>L167*(1+GROWTH_RATE)*FMC</f>
        <v>2662.375807</v>
      </c>
      <c r="S167" s="178">
        <f>S166*(1+'Pre-Calculation'!$E$27)</f>
        <v>1031247.835</v>
      </c>
      <c r="T167" s="175">
        <f>-E167+IF(A166=INPUT!$C$11*12,N167,0)</f>
        <v>0</v>
      </c>
      <c r="U167" s="175">
        <f t="shared" si="6"/>
        <v>2345764.101</v>
      </c>
      <c r="V167" s="175">
        <f>U167*(1+GROWTH_RATE_H)*(1-'Pre-Calculation'!$E$31)</f>
        <v>2356925.226</v>
      </c>
      <c r="W167" s="175">
        <f>-E167+IF(A166=INPUT!$C$11*12,V167,0)</f>
        <v>0</v>
      </c>
      <c r="X167" s="179">
        <f t="array" ref="X167">NPV('Pre-Calculation'!$E$20,$E168:E$246)</f>
        <v>0</v>
      </c>
      <c r="Y167" s="171">
        <f>10%*SA</f>
        <v>100000</v>
      </c>
      <c r="Z167" s="179">
        <f t="array" ref="Z167">NPV('Pre-Calculation'!$E$20,Y168:Y177)</f>
        <v>969592.8037</v>
      </c>
    </row>
    <row r="168" ht="15.75" customHeight="1">
      <c r="A168" s="171">
        <f t="shared" si="1"/>
        <v>222</v>
      </c>
      <c r="B168" s="171">
        <f t="shared" si="2"/>
        <v>19</v>
      </c>
      <c r="C168" s="176">
        <f>EDATE(RCD,A167)</f>
        <v>49278</v>
      </c>
      <c r="D168" s="171">
        <f>Age_At_Entry+'Cashflows_8%'!B168-1</f>
        <v>53</v>
      </c>
      <c r="E168" s="175">
        <f>IF(AND(C168&lt;=Last_Prem,MOD(A167,Mode)=0,C168&gt;INPUT!$C$13,A168&lt;=Revival!$C$11),Mod_Prem,0)</f>
        <v>0</v>
      </c>
      <c r="F168" s="177">
        <f>E168*VLOOKUP(B168,'Pre-Calculation'!$H$1:$I$31,2,FALSE)</f>
        <v>0</v>
      </c>
      <c r="G168" s="177">
        <f>IF(B168&lt;PT+1,VLOOKUP(B168,'Pre-Calculation'!$H$1:$L$32,3,FALSE)+VLOOKUP(B168,'Pre-Calculation'!$H$1:$L$32,4,FALSE)*'Pre-Calculation'!$D$7,0)</f>
        <v>0</v>
      </c>
      <c r="H168" s="175">
        <f>(E168-(F168+G168)*(1+Tax)+N167)</f>
        <v>2364702.342</v>
      </c>
      <c r="I168" s="175">
        <f>IF(B168&lt;PT+1,VLOOKUP(D168,'Pre-Calculation'!$N$3:$P$79,IF(INPUT!$C$4="M",2,3),FALSE)*(J168/1000)*(1/12),0)</f>
        <v>0</v>
      </c>
      <c r="J168" s="175">
        <f t="shared" si="3"/>
        <v>0</v>
      </c>
      <c r="K168" s="175">
        <f>(IF('Pre-Calculation'!$D$17="Type 4 a",MAX(SA,H168,1.05*Q168),IF('Pre-Calculation'!$D$17="Type 4 c",H168,IF('Pre-Calculation'!$D$17="Type 4 d",SA+H168,IF('Pre-Calculation'!$D$17="Type 4 e",MAX(SA,H168),IF('Pre-Calculation'!$D$17="Type 4 f",SA,IF('Pre-Calculation'!$D$17="Type 4 g",1000+H168,IF('Pre-Calculation'!$D$17="Type 4 h",SA+X168,IF('Pre-Calculation'!$D$17="Type 4 i",MAX(H168,Q168),IF('Pre-Calculation'!$D$17="Type 4 k",MAX(H168,1.01*Q168),IF('Pre-Calculation'!$D$17="Type 4 m",MAX(105%*Q168,SA+H168),IF('Pre-Calculation'!$D$17="Type 4 o",MAX(SA,105%*Q168)+X168+Z168,IF('Pre-Calculation'!$D$17="Type 5",0)))))))))))))*IF(AND(A168&lt;Revival!$C$4,'Cashflows_8%'!C168&gt;=Revival!$D$12),PUP,1)</f>
        <v>2364702.342</v>
      </c>
      <c r="L168" s="175">
        <f>H168-I168*(1+Tax)</f>
        <v>2364702.342</v>
      </c>
      <c r="M168" s="175">
        <f>L168*(1+GROWTH_RATE_H)*(1-FMC*(1+Tax))</f>
        <v>2376759.286</v>
      </c>
      <c r="N168" s="175">
        <f>M168+IF(MOD(A168,B168)=0,VLOOKUP(B168,'Pre-Calculation'!$H$1:$L$31,5,FALSE),0)*IF('Pre-Calculation'!$D$16="% OF FV",M168,IF(OR('Pre-Calculation'!$D$16="% OF AFV(24M)",'Pre-Calculation'!$D$16="% OF AFV(8Q)"),AVERAGE( $M145:$M168),IF('Pre-Calculation'!$D$16="% OF AFV(12M)",AVERAGE($M157:M168),IF('Pre-Calculation'!$D$16="% OF AFV(36M)",AVERAGE($M133:M168)))))</f>
        <v>2376759.286</v>
      </c>
      <c r="O168" s="175">
        <f t="shared" si="4"/>
        <v>2376759.286</v>
      </c>
      <c r="P168" s="175">
        <f>IF('Pre-Calculation'!$D$17="Type 4 a",MAX(SA,N168,1.05*Q168),IF('Pre-Calculation'!$D$17="Type 4 c",N168,IF('Pre-Calculation'!$D$17="Type 4 d",SA+N168,IF('Pre-Calculation'!$D$17="Type 4 e",MAX(SA,N168),IF('Pre-Calculation'!$D$17="Type 4 f",SA,IF('Pre-Calculation'!$D$17="Type 4 g",1000+N168,IF('Pre-Calculation'!$D$17="Type 4 h",SA+X168,IF('Pre-Calculation'!$D$17="Type 4 i",MAX(N168,Q168),IF('Pre-Calculation'!$D$17="Type 4 k",MAX(N168,1.01*Q168),IF('Pre-Calculation'!$D$17="Type 4 m",MAX(105%*Q168,SA+N168),IF('Pre-Calculation'!$D$17="Type 4 o",MAX(SA,105%*Q168)+X168+Z168,IF('Pre-Calculation'!$D$17="Type 5",0))))))))))))</f>
        <v>2376759.286</v>
      </c>
      <c r="Q168" s="175">
        <f t="shared" si="5"/>
        <v>1000000</v>
      </c>
      <c r="R168" s="119">
        <f>L168*(1+GROWTH_RATE)*FMC</f>
        <v>2675.950504</v>
      </c>
      <c r="S168" s="178">
        <f>S167*(1+'Pre-Calculation'!$E$27)</f>
        <v>1034208.443</v>
      </c>
      <c r="T168" s="175">
        <f>-E168+IF(A167=INPUT!$C$11*12,N168,0)</f>
        <v>0</v>
      </c>
      <c r="U168" s="175">
        <f t="shared" si="6"/>
        <v>2356925.226</v>
      </c>
      <c r="V168" s="175">
        <f>U168*(1+GROWTH_RATE_H)*(1-'Pre-Calculation'!$E$31)</f>
        <v>2368139.456</v>
      </c>
      <c r="W168" s="175">
        <f>-E168+IF(A167=INPUT!$C$11*12,V168,0)</f>
        <v>0</v>
      </c>
      <c r="X168" s="179">
        <f t="array" ref="X168">NPV('Pre-Calculation'!$E$20,$E169:E$246)</f>
        <v>0</v>
      </c>
      <c r="Y168" s="171">
        <f>10%*SA</f>
        <v>100000</v>
      </c>
      <c r="Z168" s="179">
        <f t="array" ref="Z168">NPV('Pre-Calculation'!$E$20,Y169:Y178)</f>
        <v>969592.8037</v>
      </c>
    </row>
    <row r="169" ht="15.75" customHeight="1">
      <c r="A169" s="171">
        <f t="shared" si="1"/>
        <v>223</v>
      </c>
      <c r="B169" s="171">
        <f t="shared" si="2"/>
        <v>19</v>
      </c>
      <c r="C169" s="176">
        <f>EDATE(RCD,A168)</f>
        <v>49308</v>
      </c>
      <c r="D169" s="171">
        <f>Age_At_Entry+'Cashflows_8%'!B169-1</f>
        <v>53</v>
      </c>
      <c r="E169" s="175">
        <f>IF(AND(C169&lt;=Last_Prem,MOD(A168,Mode)=0,C169&gt;INPUT!$C$13,A169&lt;=Revival!$C$11),Mod_Prem,0)</f>
        <v>0</v>
      </c>
      <c r="F169" s="177">
        <f>E169*VLOOKUP(B169,'Pre-Calculation'!$H$1:$I$31,2,FALSE)</f>
        <v>0</v>
      </c>
      <c r="G169" s="177">
        <f>IF(B169&lt;PT+1,VLOOKUP(B169,'Pre-Calculation'!$H$1:$L$32,3,FALSE)+VLOOKUP(B169,'Pre-Calculation'!$H$1:$L$32,4,FALSE)*'Pre-Calculation'!$D$7,0)</f>
        <v>0</v>
      </c>
      <c r="H169" s="175">
        <f>(E169-(F169+G169)*(1+Tax)+N168)</f>
        <v>2376759.286</v>
      </c>
      <c r="I169" s="175">
        <f>IF(B169&lt;PT+1,VLOOKUP(D169,'Pre-Calculation'!$N$3:$P$79,IF(INPUT!$C$4="M",2,3),FALSE)*(J169/1000)*(1/12),0)</f>
        <v>0</v>
      </c>
      <c r="J169" s="175">
        <f t="shared" si="3"/>
        <v>0</v>
      </c>
      <c r="K169" s="175">
        <f>(IF('Pre-Calculation'!$D$17="Type 4 a",MAX(SA,H169,1.05*Q169),IF('Pre-Calculation'!$D$17="Type 4 c",H169,IF('Pre-Calculation'!$D$17="Type 4 d",SA+H169,IF('Pre-Calculation'!$D$17="Type 4 e",MAX(SA,H169),IF('Pre-Calculation'!$D$17="Type 4 f",SA,IF('Pre-Calculation'!$D$17="Type 4 g",1000+H169,IF('Pre-Calculation'!$D$17="Type 4 h",SA+X169,IF('Pre-Calculation'!$D$17="Type 4 i",MAX(H169,Q169),IF('Pre-Calculation'!$D$17="Type 4 k",MAX(H169,1.01*Q169),IF('Pre-Calculation'!$D$17="Type 4 m",MAX(105%*Q169,SA+H169),IF('Pre-Calculation'!$D$17="Type 4 o",MAX(SA,105%*Q169)+X169+Z169,IF('Pre-Calculation'!$D$17="Type 5",0)))))))))))))*IF(AND(A169&lt;Revival!$C$4,'Cashflows_8%'!C169&gt;=Revival!$D$12),PUP,1)</f>
        <v>2376759.286</v>
      </c>
      <c r="L169" s="175">
        <f>H169-I169*(1+Tax)</f>
        <v>2376759.286</v>
      </c>
      <c r="M169" s="175">
        <f>L169*(1+GROWTH_RATE_H)*(1-FMC*(1+Tax))</f>
        <v>2388877.706</v>
      </c>
      <c r="N169" s="175">
        <f>M169+IF(MOD(A169,B169)=0,VLOOKUP(B169,'Pre-Calculation'!$H$1:$L$31,5,FALSE),0)*IF('Pre-Calculation'!$D$16="% OF FV",M169,IF(OR('Pre-Calculation'!$D$16="% OF AFV(24M)",'Pre-Calculation'!$D$16="% OF AFV(8Q)"),AVERAGE( $M146:$M169),IF('Pre-Calculation'!$D$16="% OF AFV(12M)",AVERAGE($M158:M169),IF('Pre-Calculation'!$D$16="% OF AFV(36M)",AVERAGE($M134:M169)))))</f>
        <v>2388877.706</v>
      </c>
      <c r="O169" s="175">
        <f t="shared" si="4"/>
        <v>2388877.706</v>
      </c>
      <c r="P169" s="175">
        <f>IF('Pre-Calculation'!$D$17="Type 4 a",MAX(SA,N169,1.05*Q169),IF('Pre-Calculation'!$D$17="Type 4 c",N169,IF('Pre-Calculation'!$D$17="Type 4 d",SA+N169,IF('Pre-Calculation'!$D$17="Type 4 e",MAX(SA,N169),IF('Pre-Calculation'!$D$17="Type 4 f",SA,IF('Pre-Calculation'!$D$17="Type 4 g",1000+N169,IF('Pre-Calculation'!$D$17="Type 4 h",SA+X169,IF('Pre-Calculation'!$D$17="Type 4 i",MAX(N169,Q169),IF('Pre-Calculation'!$D$17="Type 4 k",MAX(N169,1.01*Q169),IF('Pre-Calculation'!$D$17="Type 4 m",MAX(105%*Q169,SA+N169),IF('Pre-Calculation'!$D$17="Type 4 o",MAX(SA,105%*Q169)+X169+Z169,IF('Pre-Calculation'!$D$17="Type 5",0))))))))))))</f>
        <v>2388877.706</v>
      </c>
      <c r="Q169" s="175">
        <f t="shared" si="5"/>
        <v>1000000</v>
      </c>
      <c r="R169" s="119">
        <f>L169*(1+GROWTH_RATE)*FMC</f>
        <v>2689.594414</v>
      </c>
      <c r="S169" s="178">
        <f>S168*(1+'Pre-Calculation'!$E$27)</f>
        <v>1037177.551</v>
      </c>
      <c r="T169" s="175">
        <f>-E169+IF(A168=INPUT!$C$11*12,N169,0)</f>
        <v>0</v>
      </c>
      <c r="U169" s="175">
        <f t="shared" si="6"/>
        <v>2368139.456</v>
      </c>
      <c r="V169" s="175">
        <f>U169*(1+GROWTH_RATE_H)*(1-'Pre-Calculation'!$E$31)</f>
        <v>2379407.042</v>
      </c>
      <c r="W169" s="175">
        <f>-E169+IF(A168=INPUT!$C$11*12,V169,0)</f>
        <v>0</v>
      </c>
      <c r="X169" s="179">
        <f t="array" ref="X169">NPV('Pre-Calculation'!$E$20,$E170:E$246)</f>
        <v>0</v>
      </c>
      <c r="Y169" s="171">
        <f>10%*SA</f>
        <v>100000</v>
      </c>
      <c r="Z169" s="179">
        <f t="array" ref="Z169">NPV('Pre-Calculation'!$E$20,Y170:Y179)</f>
        <v>969592.8037</v>
      </c>
    </row>
    <row r="170" ht="15.75" customHeight="1">
      <c r="A170" s="171">
        <f t="shared" si="1"/>
        <v>224</v>
      </c>
      <c r="B170" s="171">
        <f t="shared" si="2"/>
        <v>19</v>
      </c>
      <c r="C170" s="176">
        <f>EDATE(RCD,A169)</f>
        <v>49339</v>
      </c>
      <c r="D170" s="171">
        <f>Age_At_Entry+'Cashflows_8%'!B170-1</f>
        <v>53</v>
      </c>
      <c r="E170" s="175">
        <f>IF(AND(C170&lt;=Last_Prem,MOD(A169,Mode)=0,C170&gt;INPUT!$C$13,A170&lt;=Revival!$C$11),Mod_Prem,0)</f>
        <v>0</v>
      </c>
      <c r="F170" s="177">
        <f>E170*VLOOKUP(B170,'Pre-Calculation'!$H$1:$I$31,2,FALSE)</f>
        <v>0</v>
      </c>
      <c r="G170" s="177">
        <f>IF(B170&lt;PT+1,VLOOKUP(B170,'Pre-Calculation'!$H$1:$L$32,3,FALSE)+VLOOKUP(B170,'Pre-Calculation'!$H$1:$L$32,4,FALSE)*'Pre-Calculation'!$D$7,0)</f>
        <v>0</v>
      </c>
      <c r="H170" s="175">
        <f>(E170-(F170+G170)*(1+Tax)+N169)</f>
        <v>2388877.706</v>
      </c>
      <c r="I170" s="175">
        <f>IF(B170&lt;PT+1,VLOOKUP(D170,'Pre-Calculation'!$N$3:$P$79,IF(INPUT!$C$4="M",2,3),FALSE)*(J170/1000)*(1/12),0)</f>
        <v>0</v>
      </c>
      <c r="J170" s="175">
        <f t="shared" si="3"/>
        <v>0</v>
      </c>
      <c r="K170" s="175">
        <f>(IF('Pre-Calculation'!$D$17="Type 4 a",MAX(SA,H170,1.05*Q170),IF('Pre-Calculation'!$D$17="Type 4 c",H170,IF('Pre-Calculation'!$D$17="Type 4 d",SA+H170,IF('Pre-Calculation'!$D$17="Type 4 e",MAX(SA,H170),IF('Pre-Calculation'!$D$17="Type 4 f",SA,IF('Pre-Calculation'!$D$17="Type 4 g",1000+H170,IF('Pre-Calculation'!$D$17="Type 4 h",SA+X170,IF('Pre-Calculation'!$D$17="Type 4 i",MAX(H170,Q170),IF('Pre-Calculation'!$D$17="Type 4 k",MAX(H170,1.01*Q170),IF('Pre-Calculation'!$D$17="Type 4 m",MAX(105%*Q170,SA+H170),IF('Pre-Calculation'!$D$17="Type 4 o",MAX(SA,105%*Q170)+X170+Z170,IF('Pre-Calculation'!$D$17="Type 5",0)))))))))))))*IF(AND(A170&lt;Revival!$C$4,'Cashflows_8%'!C170&gt;=Revival!$D$12),PUP,1)</f>
        <v>2388877.706</v>
      </c>
      <c r="L170" s="175">
        <f>H170-I170*(1+Tax)</f>
        <v>2388877.706</v>
      </c>
      <c r="M170" s="175">
        <f>L170*(1+GROWTH_RATE_H)*(1-FMC*(1+Tax))</f>
        <v>2401057.913</v>
      </c>
      <c r="N170" s="175">
        <f>M170+IF(MOD(A170,B170)=0,VLOOKUP(B170,'Pre-Calculation'!$H$1:$L$31,5,FALSE),0)*IF('Pre-Calculation'!$D$16="% OF FV",M170,IF(OR('Pre-Calculation'!$D$16="% OF AFV(24M)",'Pre-Calculation'!$D$16="% OF AFV(8Q)"),AVERAGE( $M147:$M170),IF('Pre-Calculation'!$D$16="% OF AFV(12M)",AVERAGE($M159:M170),IF('Pre-Calculation'!$D$16="% OF AFV(36M)",AVERAGE($M135:M170)))))</f>
        <v>2401057.913</v>
      </c>
      <c r="O170" s="175">
        <f t="shared" si="4"/>
        <v>2401057.913</v>
      </c>
      <c r="P170" s="175">
        <f>IF('Pre-Calculation'!$D$17="Type 4 a",MAX(SA,N170,1.05*Q170),IF('Pre-Calculation'!$D$17="Type 4 c",N170,IF('Pre-Calculation'!$D$17="Type 4 d",SA+N170,IF('Pre-Calculation'!$D$17="Type 4 e",MAX(SA,N170),IF('Pre-Calculation'!$D$17="Type 4 f",SA,IF('Pre-Calculation'!$D$17="Type 4 g",1000+N170,IF('Pre-Calculation'!$D$17="Type 4 h",SA+X170,IF('Pre-Calculation'!$D$17="Type 4 i",MAX(N170,Q170),IF('Pre-Calculation'!$D$17="Type 4 k",MAX(N170,1.01*Q170),IF('Pre-Calculation'!$D$17="Type 4 m",MAX(105%*Q170,SA+N170),IF('Pre-Calculation'!$D$17="Type 4 o",MAX(SA,105%*Q170)+X170+Z170,IF('Pre-Calculation'!$D$17="Type 5",0))))))))))))</f>
        <v>2401057.913</v>
      </c>
      <c r="Q170" s="175">
        <f t="shared" si="5"/>
        <v>1000000</v>
      </c>
      <c r="R170" s="119">
        <f>L170*(1+GROWTH_RATE)*FMC</f>
        <v>2703.307891</v>
      </c>
      <c r="S170" s="178">
        <f>S169*(1+'Pre-Calculation'!$E$27)</f>
        <v>1040155.182</v>
      </c>
      <c r="T170" s="175">
        <f>-E170+IF(A169=INPUT!$C$11*12,N170,0)</f>
        <v>0</v>
      </c>
      <c r="U170" s="175">
        <f t="shared" si="6"/>
        <v>2379407.042</v>
      </c>
      <c r="V170" s="175">
        <f>U170*(1+GROWTH_RATE_H)*(1-'Pre-Calculation'!$E$31)</f>
        <v>2390728.24</v>
      </c>
      <c r="W170" s="175">
        <f>-E170+IF(A169=INPUT!$C$11*12,V170,0)</f>
        <v>0</v>
      </c>
      <c r="X170" s="179">
        <f t="array" ref="X170">NPV('Pre-Calculation'!$E$20,$E171:E$246)</f>
        <v>0</v>
      </c>
      <c r="Y170" s="171">
        <f>10%*SA</f>
        <v>100000</v>
      </c>
      <c r="Z170" s="179">
        <f t="array" ref="Z170">NPV('Pre-Calculation'!$E$20,Y171:Y180)</f>
        <v>969592.8037</v>
      </c>
    </row>
    <row r="171" ht="15.75" customHeight="1">
      <c r="A171" s="171">
        <f t="shared" si="1"/>
        <v>225</v>
      </c>
      <c r="B171" s="171">
        <f t="shared" si="2"/>
        <v>19</v>
      </c>
      <c r="C171" s="176">
        <f>EDATE(RCD,A170)</f>
        <v>49368</v>
      </c>
      <c r="D171" s="171">
        <f>Age_At_Entry+'Cashflows_8%'!B171-1</f>
        <v>53</v>
      </c>
      <c r="E171" s="175">
        <f>IF(AND(C171&lt;=Last_Prem,MOD(A170,Mode)=0,C171&gt;INPUT!$C$13,A171&lt;=Revival!$C$11),Mod_Prem,0)</f>
        <v>0</v>
      </c>
      <c r="F171" s="177">
        <f>E171*VLOOKUP(B171,'Pre-Calculation'!$H$1:$I$31,2,FALSE)</f>
        <v>0</v>
      </c>
      <c r="G171" s="177">
        <f>IF(B171&lt;PT+1,VLOOKUP(B171,'Pre-Calculation'!$H$1:$L$32,3,FALSE)+VLOOKUP(B171,'Pre-Calculation'!$H$1:$L$32,4,FALSE)*'Pre-Calculation'!$D$7,0)</f>
        <v>0</v>
      </c>
      <c r="H171" s="175">
        <f>(E171-(F171+G171)*(1+Tax)+N170)</f>
        <v>2401057.913</v>
      </c>
      <c r="I171" s="175">
        <f>IF(B171&lt;PT+1,VLOOKUP(D171,'Pre-Calculation'!$N$3:$P$79,IF(INPUT!$C$4="M",2,3),FALSE)*(J171/1000)*(1/12),0)</f>
        <v>0</v>
      </c>
      <c r="J171" s="175">
        <f t="shared" si="3"/>
        <v>0</v>
      </c>
      <c r="K171" s="175">
        <f>(IF('Pre-Calculation'!$D$17="Type 4 a",MAX(SA,H171,1.05*Q171),IF('Pre-Calculation'!$D$17="Type 4 c",H171,IF('Pre-Calculation'!$D$17="Type 4 d",SA+H171,IF('Pre-Calculation'!$D$17="Type 4 e",MAX(SA,H171),IF('Pre-Calculation'!$D$17="Type 4 f",SA,IF('Pre-Calculation'!$D$17="Type 4 g",1000+H171,IF('Pre-Calculation'!$D$17="Type 4 h",SA+X171,IF('Pre-Calculation'!$D$17="Type 4 i",MAX(H171,Q171),IF('Pre-Calculation'!$D$17="Type 4 k",MAX(H171,1.01*Q171),IF('Pre-Calculation'!$D$17="Type 4 m",MAX(105%*Q171,SA+H171),IF('Pre-Calculation'!$D$17="Type 4 o",MAX(SA,105%*Q171)+X171+Z171,IF('Pre-Calculation'!$D$17="Type 5",0)))))))))))))*IF(AND(A171&lt;Revival!$C$4,'Cashflows_8%'!C171&gt;=Revival!$D$12),PUP,1)</f>
        <v>2401057.913</v>
      </c>
      <c r="L171" s="175">
        <f>H171-I171*(1+Tax)</f>
        <v>2401057.913</v>
      </c>
      <c r="M171" s="175">
        <f>L171*(1+GROWTH_RATE_H)*(1-FMC*(1+Tax))</f>
        <v>2413300.225</v>
      </c>
      <c r="N171" s="175">
        <f>M171+IF(MOD(A171,B171)=0,VLOOKUP(B171,'Pre-Calculation'!$H$1:$L$31,5,FALSE),0)*IF('Pre-Calculation'!$D$16="% OF FV",M171,IF(OR('Pre-Calculation'!$D$16="% OF AFV(24M)",'Pre-Calculation'!$D$16="% OF AFV(8Q)"),AVERAGE( $M148:$M171),IF('Pre-Calculation'!$D$16="% OF AFV(12M)",AVERAGE($M160:M171),IF('Pre-Calculation'!$D$16="% OF AFV(36M)",AVERAGE($M136:M171)))))</f>
        <v>2413300.225</v>
      </c>
      <c r="O171" s="175">
        <f t="shared" si="4"/>
        <v>2413300.225</v>
      </c>
      <c r="P171" s="175">
        <f>IF('Pre-Calculation'!$D$17="Type 4 a",MAX(SA,N171,1.05*Q171),IF('Pre-Calculation'!$D$17="Type 4 c",N171,IF('Pre-Calculation'!$D$17="Type 4 d",SA+N171,IF('Pre-Calculation'!$D$17="Type 4 e",MAX(SA,N171),IF('Pre-Calculation'!$D$17="Type 4 f",SA,IF('Pre-Calculation'!$D$17="Type 4 g",1000+N171,IF('Pre-Calculation'!$D$17="Type 4 h",SA+X171,IF('Pre-Calculation'!$D$17="Type 4 i",MAX(N171,Q171),IF('Pre-Calculation'!$D$17="Type 4 k",MAX(N171,1.01*Q171),IF('Pre-Calculation'!$D$17="Type 4 m",MAX(105%*Q171,SA+N171),IF('Pre-Calculation'!$D$17="Type 4 o",MAX(SA,105%*Q171)+X171+Z171,IF('Pre-Calculation'!$D$17="Type 5",0))))))))))))</f>
        <v>2413300.225</v>
      </c>
      <c r="Q171" s="175">
        <f t="shared" si="5"/>
        <v>1000000</v>
      </c>
      <c r="R171" s="119">
        <f>L171*(1+GROWTH_RATE)*FMC</f>
        <v>2717.091289</v>
      </c>
      <c r="S171" s="178">
        <f>S170*(1+'Pre-Calculation'!$E$27)</f>
        <v>1043141.362</v>
      </c>
      <c r="T171" s="175">
        <f>-E171+IF(A170=INPUT!$C$11*12,N171,0)</f>
        <v>0</v>
      </c>
      <c r="U171" s="175">
        <f t="shared" si="6"/>
        <v>2390728.24</v>
      </c>
      <c r="V171" s="175">
        <f>U171*(1+GROWTH_RATE_H)*(1-'Pre-Calculation'!$E$31)</f>
        <v>2402103.304</v>
      </c>
      <c r="W171" s="175">
        <f>-E171+IF(A170=INPUT!$C$11*12,V171,0)</f>
        <v>0</v>
      </c>
      <c r="X171" s="179">
        <f t="array" ref="X171">NPV('Pre-Calculation'!$E$20,$E172:E$246)</f>
        <v>0</v>
      </c>
      <c r="Y171" s="171">
        <f>10%*SA</f>
        <v>100000</v>
      </c>
      <c r="Z171" s="179">
        <f t="array" ref="Z171">NPV('Pre-Calculation'!$E$20,Y172:Y181)</f>
        <v>969592.8037</v>
      </c>
    </row>
    <row r="172" ht="15.75" customHeight="1">
      <c r="A172" s="171">
        <f t="shared" si="1"/>
        <v>226</v>
      </c>
      <c r="B172" s="171">
        <f t="shared" si="2"/>
        <v>19</v>
      </c>
      <c r="C172" s="176">
        <f>EDATE(RCD,A171)</f>
        <v>49398</v>
      </c>
      <c r="D172" s="171">
        <f>Age_At_Entry+'Cashflows_8%'!B172-1</f>
        <v>53</v>
      </c>
      <c r="E172" s="175">
        <f>IF(AND(C172&lt;=Last_Prem,MOD(A171,Mode)=0,C172&gt;INPUT!$C$13,A172&lt;=Revival!$C$11),Mod_Prem,0)</f>
        <v>0</v>
      </c>
      <c r="F172" s="177">
        <f>E172*VLOOKUP(B172,'Pre-Calculation'!$H$1:$I$31,2,FALSE)</f>
        <v>0</v>
      </c>
      <c r="G172" s="177">
        <f>IF(B172&lt;PT+1,VLOOKUP(B172,'Pre-Calculation'!$H$1:$L$32,3,FALSE)+VLOOKUP(B172,'Pre-Calculation'!$H$1:$L$32,4,FALSE)*'Pre-Calculation'!$D$7,0)</f>
        <v>0</v>
      </c>
      <c r="H172" s="175">
        <f>(E172-(F172+G172)*(1+Tax)+N171)</f>
        <v>2413300.225</v>
      </c>
      <c r="I172" s="175">
        <f>IF(B172&lt;PT+1,VLOOKUP(D172,'Pre-Calculation'!$N$3:$P$79,IF(INPUT!$C$4="M",2,3),FALSE)*(J172/1000)*(1/12),0)</f>
        <v>0</v>
      </c>
      <c r="J172" s="175">
        <f t="shared" si="3"/>
        <v>0</v>
      </c>
      <c r="K172" s="175">
        <f>(IF('Pre-Calculation'!$D$17="Type 4 a",MAX(SA,H172,1.05*Q172),IF('Pre-Calculation'!$D$17="Type 4 c",H172,IF('Pre-Calculation'!$D$17="Type 4 d",SA+H172,IF('Pre-Calculation'!$D$17="Type 4 e",MAX(SA,H172),IF('Pre-Calculation'!$D$17="Type 4 f",SA,IF('Pre-Calculation'!$D$17="Type 4 g",1000+H172,IF('Pre-Calculation'!$D$17="Type 4 h",SA+X172,IF('Pre-Calculation'!$D$17="Type 4 i",MAX(H172,Q172),IF('Pre-Calculation'!$D$17="Type 4 k",MAX(H172,1.01*Q172),IF('Pre-Calculation'!$D$17="Type 4 m",MAX(105%*Q172,SA+H172),IF('Pre-Calculation'!$D$17="Type 4 o",MAX(SA,105%*Q172)+X172+Z172,IF('Pre-Calculation'!$D$17="Type 5",0)))))))))))))*IF(AND(A172&lt;Revival!$C$4,'Cashflows_8%'!C172&gt;=Revival!$D$12),PUP,1)</f>
        <v>2413300.225</v>
      </c>
      <c r="L172" s="175">
        <f>H172-I172*(1+Tax)</f>
        <v>2413300.225</v>
      </c>
      <c r="M172" s="175">
        <f>L172*(1+GROWTH_RATE_H)*(1-FMC*(1+Tax))</f>
        <v>2425604.956</v>
      </c>
      <c r="N172" s="175">
        <f>M172+IF(MOD(A172,B172)=0,VLOOKUP(B172,'Pre-Calculation'!$H$1:$L$31,5,FALSE),0)*IF('Pre-Calculation'!$D$16="% OF FV",M172,IF(OR('Pre-Calculation'!$D$16="% OF AFV(24M)",'Pre-Calculation'!$D$16="% OF AFV(8Q)"),AVERAGE( $M149:$M172),IF('Pre-Calculation'!$D$16="% OF AFV(12M)",AVERAGE($M161:M172),IF('Pre-Calculation'!$D$16="% OF AFV(36M)",AVERAGE($M137:M172)))))</f>
        <v>2425604.956</v>
      </c>
      <c r="O172" s="175">
        <f t="shared" si="4"/>
        <v>2425604.956</v>
      </c>
      <c r="P172" s="175">
        <f>IF('Pre-Calculation'!$D$17="Type 4 a",MAX(SA,N172,1.05*Q172),IF('Pre-Calculation'!$D$17="Type 4 c",N172,IF('Pre-Calculation'!$D$17="Type 4 d",SA+N172,IF('Pre-Calculation'!$D$17="Type 4 e",MAX(SA,N172),IF('Pre-Calculation'!$D$17="Type 4 f",SA,IF('Pre-Calculation'!$D$17="Type 4 g",1000+N172,IF('Pre-Calculation'!$D$17="Type 4 h",SA+X172,IF('Pre-Calculation'!$D$17="Type 4 i",MAX(N172,Q172),IF('Pre-Calculation'!$D$17="Type 4 k",MAX(N172,1.01*Q172),IF('Pre-Calculation'!$D$17="Type 4 m",MAX(105%*Q172,SA+N172),IF('Pre-Calculation'!$D$17="Type 4 o",MAX(SA,105%*Q172)+X172+Z172,IF('Pre-Calculation'!$D$17="Type 5",0))))))))))))</f>
        <v>2425604.956</v>
      </c>
      <c r="Q172" s="175">
        <f t="shared" si="5"/>
        <v>1000000</v>
      </c>
      <c r="R172" s="119">
        <f>L172*(1+GROWTH_RATE)*FMC</f>
        <v>2730.944964</v>
      </c>
      <c r="S172" s="178">
        <f>S171*(1+'Pre-Calculation'!$E$27)</f>
        <v>1046136.116</v>
      </c>
      <c r="T172" s="175">
        <f>-E172+IF(A171=INPUT!$C$11*12,N172,0)</f>
        <v>0</v>
      </c>
      <c r="U172" s="175">
        <f t="shared" si="6"/>
        <v>2402103.304</v>
      </c>
      <c r="V172" s="175">
        <f>U172*(1+GROWTH_RATE_H)*(1-'Pre-Calculation'!$E$31)</f>
        <v>2413532.491</v>
      </c>
      <c r="W172" s="175">
        <f>-E172+IF(A171=INPUT!$C$11*12,V172,0)</f>
        <v>0</v>
      </c>
      <c r="X172" s="179">
        <f t="array" ref="X172">NPV('Pre-Calculation'!$E$20,$E173:E$246)</f>
        <v>0</v>
      </c>
      <c r="Y172" s="171">
        <f>10%*SA</f>
        <v>100000</v>
      </c>
      <c r="Z172" s="179">
        <f t="array" ref="Z172">NPV('Pre-Calculation'!$E$20,Y173:Y182)</f>
        <v>969592.8037</v>
      </c>
    </row>
    <row r="173" ht="15.75" customHeight="1">
      <c r="A173" s="171">
        <f t="shared" si="1"/>
        <v>227</v>
      </c>
      <c r="B173" s="171">
        <f t="shared" si="2"/>
        <v>19</v>
      </c>
      <c r="C173" s="176">
        <f>EDATE(RCD,A172)</f>
        <v>49429</v>
      </c>
      <c r="D173" s="171">
        <f>Age_At_Entry+'Cashflows_8%'!B173-1</f>
        <v>53</v>
      </c>
      <c r="E173" s="175">
        <f>IF(AND(C173&lt;=Last_Prem,MOD(A172,Mode)=0,C173&gt;INPUT!$C$13,A173&lt;=Revival!$C$11),Mod_Prem,0)</f>
        <v>0</v>
      </c>
      <c r="F173" s="177">
        <f>E173*VLOOKUP(B173,'Pre-Calculation'!$H$1:$I$31,2,FALSE)</f>
        <v>0</v>
      </c>
      <c r="G173" s="177">
        <f>IF(B173&lt;PT+1,VLOOKUP(B173,'Pre-Calculation'!$H$1:$L$32,3,FALSE)+VLOOKUP(B173,'Pre-Calculation'!$H$1:$L$32,4,FALSE)*'Pre-Calculation'!$D$7,0)</f>
        <v>0</v>
      </c>
      <c r="H173" s="175">
        <f>(E173-(F173+G173)*(1+Tax)+N172)</f>
        <v>2425604.956</v>
      </c>
      <c r="I173" s="175">
        <f>IF(B173&lt;PT+1,VLOOKUP(D173,'Pre-Calculation'!$N$3:$P$79,IF(INPUT!$C$4="M",2,3),FALSE)*(J173/1000)*(1/12),0)</f>
        <v>0</v>
      </c>
      <c r="J173" s="175">
        <f t="shared" si="3"/>
        <v>0</v>
      </c>
      <c r="K173" s="175">
        <f>(IF('Pre-Calculation'!$D$17="Type 4 a",MAX(SA,H173,1.05*Q173),IF('Pre-Calculation'!$D$17="Type 4 c",H173,IF('Pre-Calculation'!$D$17="Type 4 d",SA+H173,IF('Pre-Calculation'!$D$17="Type 4 e",MAX(SA,H173),IF('Pre-Calculation'!$D$17="Type 4 f",SA,IF('Pre-Calculation'!$D$17="Type 4 g",1000+H173,IF('Pre-Calculation'!$D$17="Type 4 h",SA+X173,IF('Pre-Calculation'!$D$17="Type 4 i",MAX(H173,Q173),IF('Pre-Calculation'!$D$17="Type 4 k",MAX(H173,1.01*Q173),IF('Pre-Calculation'!$D$17="Type 4 m",MAX(105%*Q173,SA+H173),IF('Pre-Calculation'!$D$17="Type 4 o",MAX(SA,105%*Q173)+X173+Z173,IF('Pre-Calculation'!$D$17="Type 5",0)))))))))))))*IF(AND(A173&lt;Revival!$C$4,'Cashflows_8%'!C173&gt;=Revival!$D$12),PUP,1)</f>
        <v>2425604.956</v>
      </c>
      <c r="L173" s="175">
        <f>H173-I173*(1+Tax)</f>
        <v>2425604.956</v>
      </c>
      <c r="M173" s="175">
        <f>L173*(1+GROWTH_RATE_H)*(1-FMC*(1+Tax))</f>
        <v>2437972.425</v>
      </c>
      <c r="N173" s="175">
        <f>M173+IF(MOD(A173,B173)=0,VLOOKUP(B173,'Pre-Calculation'!$H$1:$L$31,5,FALSE),0)*IF('Pre-Calculation'!$D$16="% OF FV",M173,IF(OR('Pre-Calculation'!$D$16="% OF AFV(24M)",'Pre-Calculation'!$D$16="% OF AFV(8Q)"),AVERAGE( $M150:$M173),IF('Pre-Calculation'!$D$16="% OF AFV(12M)",AVERAGE($M162:M173),IF('Pre-Calculation'!$D$16="% OF AFV(36M)",AVERAGE($M138:M173)))))</f>
        <v>2437972.425</v>
      </c>
      <c r="O173" s="175">
        <f t="shared" si="4"/>
        <v>2437972.425</v>
      </c>
      <c r="P173" s="175">
        <f>IF('Pre-Calculation'!$D$17="Type 4 a",MAX(SA,N173,1.05*Q173),IF('Pre-Calculation'!$D$17="Type 4 c",N173,IF('Pre-Calculation'!$D$17="Type 4 d",SA+N173,IF('Pre-Calculation'!$D$17="Type 4 e",MAX(SA,N173),IF('Pre-Calculation'!$D$17="Type 4 f",SA,IF('Pre-Calculation'!$D$17="Type 4 g",1000+N173,IF('Pre-Calculation'!$D$17="Type 4 h",SA+X173,IF('Pre-Calculation'!$D$17="Type 4 i",MAX(N173,Q173),IF('Pre-Calculation'!$D$17="Type 4 k",MAX(N173,1.01*Q173),IF('Pre-Calculation'!$D$17="Type 4 m",MAX(105%*Q173,SA+N173),IF('Pre-Calculation'!$D$17="Type 4 o",MAX(SA,105%*Q173)+X173+Z173,IF('Pre-Calculation'!$D$17="Type 5",0))))))))))))</f>
        <v>2437972.425</v>
      </c>
      <c r="Q173" s="175">
        <f t="shared" si="5"/>
        <v>1000000</v>
      </c>
      <c r="R173" s="119">
        <f>L173*(1+GROWTH_RATE)*FMC</f>
        <v>2744.869276</v>
      </c>
      <c r="S173" s="178">
        <f>S172*(1+'Pre-Calculation'!$E$27)</f>
        <v>1049139.466</v>
      </c>
      <c r="T173" s="175">
        <f>-E173+IF(A172=INPUT!$C$11*12,N173,0)</f>
        <v>0</v>
      </c>
      <c r="U173" s="175">
        <f t="shared" si="6"/>
        <v>2413532.491</v>
      </c>
      <c r="V173" s="175">
        <f>U173*(1+GROWTH_RATE_H)*(1-'Pre-Calculation'!$E$31)</f>
        <v>2425016.057</v>
      </c>
      <c r="W173" s="175">
        <f>-E173+IF(A172=INPUT!$C$11*12,V173,0)</f>
        <v>0</v>
      </c>
      <c r="X173" s="179">
        <f t="array" ref="X173">NPV('Pre-Calculation'!$E$20,$E174:E$246)</f>
        <v>0</v>
      </c>
      <c r="Y173" s="171">
        <f>10%*SA</f>
        <v>100000</v>
      </c>
      <c r="Z173" s="179">
        <f t="array" ref="Z173">NPV('Pre-Calculation'!$E$20,Y174:Y183)</f>
        <v>969592.8037</v>
      </c>
    </row>
    <row r="174" ht="15.75" customHeight="1">
      <c r="A174" s="171">
        <f t="shared" si="1"/>
        <v>228</v>
      </c>
      <c r="B174" s="171">
        <f t="shared" si="2"/>
        <v>19</v>
      </c>
      <c r="C174" s="176">
        <f>EDATE(RCD,A173)</f>
        <v>49459</v>
      </c>
      <c r="D174" s="171">
        <f>Age_At_Entry+'Cashflows_8%'!B174-1</f>
        <v>53</v>
      </c>
      <c r="E174" s="175">
        <f>IF(AND(C174&lt;=Last_Prem,MOD(A173,Mode)=0,C174&gt;INPUT!$C$13,A174&lt;=Revival!$C$11),Mod_Prem,0)</f>
        <v>0</v>
      </c>
      <c r="F174" s="177">
        <f>E174*VLOOKUP(B174,'Pre-Calculation'!$H$1:$I$31,2,FALSE)</f>
        <v>0</v>
      </c>
      <c r="G174" s="177">
        <f>IF(B174&lt;PT+1,VLOOKUP(B174,'Pre-Calculation'!$H$1:$L$32,3,FALSE)+VLOOKUP(B174,'Pre-Calculation'!$H$1:$L$32,4,FALSE)*'Pre-Calculation'!$D$7,0)</f>
        <v>0</v>
      </c>
      <c r="H174" s="175">
        <f>(E174-(F174+G174)*(1+Tax)+N173)</f>
        <v>2437972.425</v>
      </c>
      <c r="I174" s="175">
        <f>IF(B174&lt;PT+1,VLOOKUP(D174,'Pre-Calculation'!$N$3:$P$79,IF(INPUT!$C$4="M",2,3),FALSE)*(J174/1000)*(1/12),0)</f>
        <v>0</v>
      </c>
      <c r="J174" s="175">
        <f t="shared" si="3"/>
        <v>0</v>
      </c>
      <c r="K174" s="175">
        <f>(IF('Pre-Calculation'!$D$17="Type 4 a",MAX(SA,H174,1.05*Q174),IF('Pre-Calculation'!$D$17="Type 4 c",H174,IF('Pre-Calculation'!$D$17="Type 4 d",SA+H174,IF('Pre-Calculation'!$D$17="Type 4 e",MAX(SA,H174),IF('Pre-Calculation'!$D$17="Type 4 f",SA,IF('Pre-Calculation'!$D$17="Type 4 g",1000+H174,IF('Pre-Calculation'!$D$17="Type 4 h",SA+X174,IF('Pre-Calculation'!$D$17="Type 4 i",MAX(H174,Q174),IF('Pre-Calculation'!$D$17="Type 4 k",MAX(H174,1.01*Q174),IF('Pre-Calculation'!$D$17="Type 4 m",MAX(105%*Q174,SA+H174),IF('Pre-Calculation'!$D$17="Type 4 o",MAX(SA,105%*Q174)+X174+Z174,IF('Pre-Calculation'!$D$17="Type 5",0)))))))))))))*IF(AND(A174&lt;Revival!$C$4,'Cashflows_8%'!C174&gt;=Revival!$D$12),PUP,1)</f>
        <v>2437972.425</v>
      </c>
      <c r="L174" s="175">
        <f>H174-I174*(1+Tax)</f>
        <v>2437972.425</v>
      </c>
      <c r="M174" s="175">
        <f>L174*(1+GROWTH_RATE_H)*(1-FMC*(1+Tax))</f>
        <v>2450402.953</v>
      </c>
      <c r="N174" s="175">
        <f>M174+IF(MOD(A174,B174)=0,VLOOKUP(B174,'Pre-Calculation'!$H$1:$L$31,5,FALSE),0)*IF('Pre-Calculation'!$D$16="% OF FV",M174,IF(OR('Pre-Calculation'!$D$16="% OF AFV(24M)",'Pre-Calculation'!$D$16="% OF AFV(8Q)"),AVERAGE( $M151:$M174),IF('Pre-Calculation'!$D$16="% OF AFV(12M)",AVERAGE($M163:M174),IF('Pre-Calculation'!$D$16="% OF AFV(36M)",AVERAGE($M139:M174)))))</f>
        <v>2450402.953</v>
      </c>
      <c r="O174" s="175">
        <f t="shared" si="4"/>
        <v>2450402.953</v>
      </c>
      <c r="P174" s="175">
        <f>IF('Pre-Calculation'!$D$17="Type 4 a",MAX(SA,N174,1.05*Q174),IF('Pre-Calculation'!$D$17="Type 4 c",N174,IF('Pre-Calculation'!$D$17="Type 4 d",SA+N174,IF('Pre-Calculation'!$D$17="Type 4 e",MAX(SA,N174),IF('Pre-Calculation'!$D$17="Type 4 f",SA,IF('Pre-Calculation'!$D$17="Type 4 g",1000+N174,IF('Pre-Calculation'!$D$17="Type 4 h",SA+X174,IF('Pre-Calculation'!$D$17="Type 4 i",MAX(N174,Q174),IF('Pre-Calculation'!$D$17="Type 4 k",MAX(N174,1.01*Q174),IF('Pre-Calculation'!$D$17="Type 4 m",MAX(105%*Q174,SA+N174),IF('Pre-Calculation'!$D$17="Type 4 o",MAX(SA,105%*Q174)+X174+Z174,IF('Pre-Calculation'!$D$17="Type 5",0))))))))))))</f>
        <v>2450402.953</v>
      </c>
      <c r="Q174" s="175">
        <f t="shared" si="5"/>
        <v>1000000</v>
      </c>
      <c r="R174" s="119">
        <f>L174*(1+GROWTH_RATE)*FMC</f>
        <v>2758.864583</v>
      </c>
      <c r="S174" s="178">
        <f>S173*(1+'Pre-Calculation'!$E$27)</f>
        <v>1052151.44</v>
      </c>
      <c r="T174" s="175">
        <f>-E174+IF(A173=INPUT!$C$11*12,N174,0)</f>
        <v>0</v>
      </c>
      <c r="U174" s="175">
        <f t="shared" si="6"/>
        <v>2425016.057</v>
      </c>
      <c r="V174" s="175">
        <f>U174*(1+GROWTH_RATE_H)*(1-'Pre-Calculation'!$E$31)</f>
        <v>2436554.262</v>
      </c>
      <c r="W174" s="175">
        <f>-E174+IF(A173=INPUT!$C$11*12,V174,0)</f>
        <v>0</v>
      </c>
      <c r="X174" s="179">
        <f t="array" ref="X174">NPV('Pre-Calculation'!$E$20,$E175:E$246)</f>
        <v>0</v>
      </c>
      <c r="Y174" s="171">
        <f>10%*SA</f>
        <v>100000</v>
      </c>
      <c r="Z174" s="179">
        <f t="array" ref="Z174">NPV('Pre-Calculation'!$E$20,Y175:Y184)</f>
        <v>969592.8037</v>
      </c>
    </row>
    <row r="175" ht="15.75" customHeight="1">
      <c r="A175" s="171">
        <f t="shared" si="1"/>
        <v>229</v>
      </c>
      <c r="B175" s="171">
        <f t="shared" si="2"/>
        <v>20</v>
      </c>
      <c r="C175" s="176">
        <f>EDATE(RCD,A174)</f>
        <v>49490</v>
      </c>
      <c r="D175" s="171">
        <f>Age_At_Entry+'Cashflows_8%'!B175-1</f>
        <v>54</v>
      </c>
      <c r="E175" s="175">
        <f>IF(AND(C175&lt;=Last_Prem,MOD(A174,Mode)=0,C175&gt;INPUT!$C$13,A175&lt;=Revival!$C$11),Mod_Prem,0)</f>
        <v>0</v>
      </c>
      <c r="F175" s="177">
        <f>E175*VLOOKUP(B175,'Pre-Calculation'!$H$1:$I$31,2,FALSE)</f>
        <v>0</v>
      </c>
      <c r="G175" s="177">
        <f>IF(B175&lt;PT+1,VLOOKUP(B175,'Pre-Calculation'!$H$1:$L$32,3,FALSE)+VLOOKUP(B175,'Pre-Calculation'!$H$1:$L$32,4,FALSE)*'Pre-Calculation'!$D$7,0)</f>
        <v>0</v>
      </c>
      <c r="H175" s="175">
        <f>(E175-(F175+G175)*(1+Tax)+N174)</f>
        <v>2450402.953</v>
      </c>
      <c r="I175" s="175">
        <f>IF(B175&lt;PT+1,VLOOKUP(D175,'Pre-Calculation'!$N$3:$P$79,IF(INPUT!$C$4="M",2,3),FALSE)*(J175/1000)*(1/12),0)</f>
        <v>0</v>
      </c>
      <c r="J175" s="175">
        <f t="shared" si="3"/>
        <v>0</v>
      </c>
      <c r="K175" s="175">
        <f>(IF('Pre-Calculation'!$D$17="Type 4 a",MAX(SA,H175,1.05*Q175),IF('Pre-Calculation'!$D$17="Type 4 c",H175,IF('Pre-Calculation'!$D$17="Type 4 d",SA+H175,IF('Pre-Calculation'!$D$17="Type 4 e",MAX(SA,H175),IF('Pre-Calculation'!$D$17="Type 4 f",SA,IF('Pre-Calculation'!$D$17="Type 4 g",1000+H175,IF('Pre-Calculation'!$D$17="Type 4 h",SA+X175,IF('Pre-Calculation'!$D$17="Type 4 i",MAX(H175,Q175),IF('Pre-Calculation'!$D$17="Type 4 k",MAX(H175,1.01*Q175),IF('Pre-Calculation'!$D$17="Type 4 m",MAX(105%*Q175,SA+H175),IF('Pre-Calculation'!$D$17="Type 4 o",MAX(SA,105%*Q175)+X175+Z175,IF('Pre-Calculation'!$D$17="Type 5",0)))))))))))))*IF(AND(A175&lt;Revival!$C$4,'Cashflows_8%'!C175&gt;=Revival!$D$12),PUP,1)</f>
        <v>2450402.953</v>
      </c>
      <c r="L175" s="175">
        <f>H175-I175*(1+Tax)</f>
        <v>2450402.953</v>
      </c>
      <c r="M175" s="175">
        <f>L175*(1+GROWTH_RATE_H)*(1-FMC*(1+Tax))</f>
        <v>2462896.861</v>
      </c>
      <c r="N175" s="175">
        <f>M175+IF(MOD(A175,B175)=0,VLOOKUP(B175,'Pre-Calculation'!$H$1:$L$31,5,FALSE),0)*IF('Pre-Calculation'!$D$16="% OF FV",M175,IF(OR('Pre-Calculation'!$D$16="% OF AFV(24M)",'Pre-Calculation'!$D$16="% OF AFV(8Q)"),AVERAGE( $M152:$M175),IF('Pre-Calculation'!$D$16="% OF AFV(12M)",AVERAGE($M164:M175),IF('Pre-Calculation'!$D$16="% OF AFV(36M)",AVERAGE($M140:M175)))))</f>
        <v>2462896.861</v>
      </c>
      <c r="O175" s="175">
        <f t="shared" si="4"/>
        <v>2462896.861</v>
      </c>
      <c r="P175" s="175">
        <f>IF('Pre-Calculation'!$D$17="Type 4 a",MAX(SA,N175,1.05*Q175),IF('Pre-Calculation'!$D$17="Type 4 c",N175,IF('Pre-Calculation'!$D$17="Type 4 d",SA+N175,IF('Pre-Calculation'!$D$17="Type 4 e",MAX(SA,N175),IF('Pre-Calculation'!$D$17="Type 4 f",SA,IF('Pre-Calculation'!$D$17="Type 4 g",1000+N175,IF('Pre-Calculation'!$D$17="Type 4 h",SA+X175,IF('Pre-Calculation'!$D$17="Type 4 i",MAX(N175,Q175),IF('Pre-Calculation'!$D$17="Type 4 k",MAX(N175,1.01*Q175),IF('Pre-Calculation'!$D$17="Type 4 m",MAX(105%*Q175,SA+N175),IF('Pre-Calculation'!$D$17="Type 4 o",MAX(SA,105%*Q175)+X175+Z175,IF('Pre-Calculation'!$D$17="Type 5",0))))))))))))</f>
        <v>2462896.861</v>
      </c>
      <c r="Q175" s="175">
        <f t="shared" si="5"/>
        <v>1000000</v>
      </c>
      <c r="R175" s="119">
        <f>L175*(1+GROWTH_RATE)*FMC</f>
        <v>2772.931249</v>
      </c>
      <c r="S175" s="178">
        <f>S174*(1+'Pre-Calculation'!$E$27)</f>
        <v>1055172.06</v>
      </c>
      <c r="T175" s="175">
        <f>-E175+IF(A174=INPUT!$C$11*12,N175,0)</f>
        <v>0</v>
      </c>
      <c r="U175" s="175">
        <f t="shared" si="6"/>
        <v>2436554.262</v>
      </c>
      <c r="V175" s="175">
        <f>U175*(1+GROWTH_RATE_H)*(1-'Pre-Calculation'!$E$31)</f>
        <v>2448147.366</v>
      </c>
      <c r="W175" s="175">
        <f>-E175+IF(A174=INPUT!$C$11*12,V175,0)</f>
        <v>0</v>
      </c>
      <c r="X175" s="179">
        <f t="array" ref="X175">NPV('Pre-Calculation'!$E$20,$E176:E$246)</f>
        <v>0</v>
      </c>
      <c r="Y175" s="171">
        <f>10%*SA</f>
        <v>100000</v>
      </c>
      <c r="Z175" s="179">
        <f t="array" ref="Z175">NPV('Pre-Calculation'!$E$20,Y176:Y185)</f>
        <v>969592.8037</v>
      </c>
    </row>
    <row r="176" ht="15.75" customHeight="1">
      <c r="A176" s="171">
        <f t="shared" si="1"/>
        <v>230</v>
      </c>
      <c r="B176" s="171">
        <f t="shared" si="2"/>
        <v>20</v>
      </c>
      <c r="C176" s="176">
        <f>EDATE(RCD,A175)</f>
        <v>49520</v>
      </c>
      <c r="D176" s="171">
        <f>Age_At_Entry+'Cashflows_8%'!B176-1</f>
        <v>54</v>
      </c>
      <c r="E176" s="175">
        <f>IF(AND(C176&lt;=Last_Prem,MOD(A175,Mode)=0,C176&gt;INPUT!$C$13,A176&lt;=Revival!$C$11),Mod_Prem,0)</f>
        <v>0</v>
      </c>
      <c r="F176" s="177">
        <f>E176*VLOOKUP(B176,'Pre-Calculation'!$H$1:$I$31,2,FALSE)</f>
        <v>0</v>
      </c>
      <c r="G176" s="177">
        <f>IF(B176&lt;PT+1,VLOOKUP(B176,'Pre-Calculation'!$H$1:$L$32,3,FALSE)+VLOOKUP(B176,'Pre-Calculation'!$H$1:$L$32,4,FALSE)*'Pre-Calculation'!$D$7,0)</f>
        <v>0</v>
      </c>
      <c r="H176" s="175">
        <f>(E176-(F176+G176)*(1+Tax)+N175)</f>
        <v>2462896.861</v>
      </c>
      <c r="I176" s="175">
        <f>IF(B176&lt;PT+1,VLOOKUP(D176,'Pre-Calculation'!$N$3:$P$79,IF(INPUT!$C$4="M",2,3),FALSE)*(J176/1000)*(1/12),0)</f>
        <v>0</v>
      </c>
      <c r="J176" s="175">
        <f t="shared" si="3"/>
        <v>0</v>
      </c>
      <c r="K176" s="175">
        <f>(IF('Pre-Calculation'!$D$17="Type 4 a",MAX(SA,H176,1.05*Q176),IF('Pre-Calculation'!$D$17="Type 4 c",H176,IF('Pre-Calculation'!$D$17="Type 4 d",SA+H176,IF('Pre-Calculation'!$D$17="Type 4 e",MAX(SA,H176),IF('Pre-Calculation'!$D$17="Type 4 f",SA,IF('Pre-Calculation'!$D$17="Type 4 g",1000+H176,IF('Pre-Calculation'!$D$17="Type 4 h",SA+X176,IF('Pre-Calculation'!$D$17="Type 4 i",MAX(H176,Q176),IF('Pre-Calculation'!$D$17="Type 4 k",MAX(H176,1.01*Q176),IF('Pre-Calculation'!$D$17="Type 4 m",MAX(105%*Q176,SA+H176),IF('Pre-Calculation'!$D$17="Type 4 o",MAX(SA,105%*Q176)+X176+Z176,IF('Pre-Calculation'!$D$17="Type 5",0)))))))))))))*IF(AND(A176&lt;Revival!$C$4,'Cashflows_8%'!C176&gt;=Revival!$D$12),PUP,1)</f>
        <v>2462896.861</v>
      </c>
      <c r="L176" s="175">
        <f>H176-I176*(1+Tax)</f>
        <v>2462896.861</v>
      </c>
      <c r="M176" s="175">
        <f>L176*(1+GROWTH_RATE_H)*(1-FMC*(1+Tax))</f>
        <v>2475454.471</v>
      </c>
      <c r="N176" s="175">
        <f>M176+IF(MOD(A176,B176)=0,VLOOKUP(B176,'Pre-Calculation'!$H$1:$L$31,5,FALSE),0)*IF('Pre-Calculation'!$D$16="% OF FV",M176,IF(OR('Pre-Calculation'!$D$16="% OF AFV(24M)",'Pre-Calculation'!$D$16="% OF AFV(8Q)"),AVERAGE( $M153:$M176),IF('Pre-Calculation'!$D$16="% OF AFV(12M)",AVERAGE($M165:M176),IF('Pre-Calculation'!$D$16="% OF AFV(36M)",AVERAGE($M141:M176)))))</f>
        <v>2475454.471</v>
      </c>
      <c r="O176" s="175">
        <f t="shared" si="4"/>
        <v>2475454.471</v>
      </c>
      <c r="P176" s="175">
        <f>IF('Pre-Calculation'!$D$17="Type 4 a",MAX(SA,N176,1.05*Q176),IF('Pre-Calculation'!$D$17="Type 4 c",N176,IF('Pre-Calculation'!$D$17="Type 4 d",SA+N176,IF('Pre-Calculation'!$D$17="Type 4 e",MAX(SA,N176),IF('Pre-Calculation'!$D$17="Type 4 f",SA,IF('Pre-Calculation'!$D$17="Type 4 g",1000+N176,IF('Pre-Calculation'!$D$17="Type 4 h",SA+X176,IF('Pre-Calculation'!$D$17="Type 4 i",MAX(N176,Q176),IF('Pre-Calculation'!$D$17="Type 4 k",MAX(N176,1.01*Q176),IF('Pre-Calculation'!$D$17="Type 4 m",MAX(105%*Q176,SA+N176),IF('Pre-Calculation'!$D$17="Type 4 o",MAX(SA,105%*Q176)+X176+Z176,IF('Pre-Calculation'!$D$17="Type 5",0))))))))))))</f>
        <v>2475454.471</v>
      </c>
      <c r="Q176" s="175">
        <f t="shared" si="5"/>
        <v>1000000</v>
      </c>
      <c r="R176" s="119">
        <f>L176*(1+GROWTH_RATE)*FMC</f>
        <v>2787.069636</v>
      </c>
      <c r="S176" s="178">
        <f>S175*(1+'Pre-Calculation'!$E$27)</f>
        <v>1058201.352</v>
      </c>
      <c r="T176" s="175">
        <f>-E176+IF(A175=INPUT!$C$11*12,N176,0)</f>
        <v>0</v>
      </c>
      <c r="U176" s="175">
        <f t="shared" si="6"/>
        <v>2448147.366</v>
      </c>
      <c r="V176" s="175">
        <f>U176*(1+GROWTH_RATE_H)*(1-'Pre-Calculation'!$E$31)</f>
        <v>2459795.63</v>
      </c>
      <c r="W176" s="175">
        <f>-E176+IF(A175=INPUT!$C$11*12,V176,0)</f>
        <v>0</v>
      </c>
      <c r="X176" s="179">
        <f t="array" ref="X176">NPV('Pre-Calculation'!$E$20,$E177:E$246)</f>
        <v>0</v>
      </c>
      <c r="Y176" s="171">
        <f>10%*SA</f>
        <v>100000</v>
      </c>
      <c r="Z176" s="179">
        <f t="array" ref="Z176">NPV('Pre-Calculation'!$E$20,Y177:Y186)</f>
        <v>969592.8037</v>
      </c>
    </row>
    <row r="177" ht="15.75" customHeight="1">
      <c r="A177" s="171">
        <f t="shared" si="1"/>
        <v>231</v>
      </c>
      <c r="B177" s="171">
        <f t="shared" si="2"/>
        <v>20</v>
      </c>
      <c r="C177" s="176">
        <f>EDATE(RCD,A176)</f>
        <v>49551</v>
      </c>
      <c r="D177" s="171">
        <f>Age_At_Entry+'Cashflows_8%'!B177-1</f>
        <v>54</v>
      </c>
      <c r="E177" s="175">
        <f>IF(AND(C177&lt;=Last_Prem,MOD(A176,Mode)=0,C177&gt;INPUT!$C$13,A177&lt;=Revival!$C$11),Mod_Prem,0)</f>
        <v>0</v>
      </c>
      <c r="F177" s="177">
        <f>E177*VLOOKUP(B177,'Pre-Calculation'!$H$1:$I$31,2,FALSE)</f>
        <v>0</v>
      </c>
      <c r="G177" s="177">
        <f>IF(B177&lt;PT+1,VLOOKUP(B177,'Pre-Calculation'!$H$1:$L$32,3,FALSE)+VLOOKUP(B177,'Pre-Calculation'!$H$1:$L$32,4,FALSE)*'Pre-Calculation'!$D$7,0)</f>
        <v>0</v>
      </c>
      <c r="H177" s="175">
        <f>(E177-(F177+G177)*(1+Tax)+N176)</f>
        <v>2475454.471</v>
      </c>
      <c r="I177" s="175">
        <f>IF(B177&lt;PT+1,VLOOKUP(D177,'Pre-Calculation'!$N$3:$P$79,IF(INPUT!$C$4="M",2,3),FALSE)*(J177/1000)*(1/12),0)</f>
        <v>0</v>
      </c>
      <c r="J177" s="175">
        <f t="shared" si="3"/>
        <v>0</v>
      </c>
      <c r="K177" s="175">
        <f>(IF('Pre-Calculation'!$D$17="Type 4 a",MAX(SA,H177,1.05*Q177),IF('Pre-Calculation'!$D$17="Type 4 c",H177,IF('Pre-Calculation'!$D$17="Type 4 d",SA+H177,IF('Pre-Calculation'!$D$17="Type 4 e",MAX(SA,H177),IF('Pre-Calculation'!$D$17="Type 4 f",SA,IF('Pre-Calculation'!$D$17="Type 4 g",1000+H177,IF('Pre-Calculation'!$D$17="Type 4 h",SA+X177,IF('Pre-Calculation'!$D$17="Type 4 i",MAX(H177,Q177),IF('Pre-Calculation'!$D$17="Type 4 k",MAX(H177,1.01*Q177),IF('Pre-Calculation'!$D$17="Type 4 m",MAX(105%*Q177,SA+H177),IF('Pre-Calculation'!$D$17="Type 4 o",MAX(SA,105%*Q177)+X177+Z177,IF('Pre-Calculation'!$D$17="Type 5",0)))))))))))))*IF(AND(A177&lt;Revival!$C$4,'Cashflows_8%'!C177&gt;=Revival!$D$12),PUP,1)</f>
        <v>2475454.471</v>
      </c>
      <c r="L177" s="175">
        <f>H177-I177*(1+Tax)</f>
        <v>2475454.471</v>
      </c>
      <c r="M177" s="175">
        <f>L177*(1+GROWTH_RATE_H)*(1-FMC*(1+Tax))</f>
        <v>2488076.109</v>
      </c>
      <c r="N177" s="175">
        <f>M177+IF(MOD(A177,B177)=0,VLOOKUP(B177,'Pre-Calculation'!$H$1:$L$31,5,FALSE),0)*IF('Pre-Calculation'!$D$16="% OF FV",M177,IF(OR('Pre-Calculation'!$D$16="% OF AFV(24M)",'Pre-Calculation'!$D$16="% OF AFV(8Q)"),AVERAGE( $M154:$M177),IF('Pre-Calculation'!$D$16="% OF AFV(12M)",AVERAGE($M166:M177),IF('Pre-Calculation'!$D$16="% OF AFV(36M)",AVERAGE($M142:M177)))))</f>
        <v>2488076.109</v>
      </c>
      <c r="O177" s="175">
        <f t="shared" si="4"/>
        <v>2488076.109</v>
      </c>
      <c r="P177" s="175">
        <f>IF('Pre-Calculation'!$D$17="Type 4 a",MAX(SA,N177,1.05*Q177),IF('Pre-Calculation'!$D$17="Type 4 c",N177,IF('Pre-Calculation'!$D$17="Type 4 d",SA+N177,IF('Pre-Calculation'!$D$17="Type 4 e",MAX(SA,N177),IF('Pre-Calculation'!$D$17="Type 4 f",SA,IF('Pre-Calculation'!$D$17="Type 4 g",1000+N177,IF('Pre-Calculation'!$D$17="Type 4 h",SA+X177,IF('Pre-Calculation'!$D$17="Type 4 i",MAX(N177,Q177),IF('Pre-Calculation'!$D$17="Type 4 k",MAX(N177,1.01*Q177),IF('Pre-Calculation'!$D$17="Type 4 m",MAX(105%*Q177,SA+N177),IF('Pre-Calculation'!$D$17="Type 4 o",MAX(SA,105%*Q177)+X177+Z177,IF('Pre-Calculation'!$D$17="Type 5",0))))))))))))</f>
        <v>2488076.109</v>
      </c>
      <c r="Q177" s="175">
        <f t="shared" si="5"/>
        <v>1000000</v>
      </c>
      <c r="R177" s="119">
        <f>L177*(1+GROWTH_RATE)*FMC</f>
        <v>2801.280112</v>
      </c>
      <c r="S177" s="178">
        <f>S176*(1+'Pre-Calculation'!$E$27)</f>
        <v>1061239.341</v>
      </c>
      <c r="T177" s="175">
        <f>-E177+IF(A176=INPUT!$C$11*12,N177,0)</f>
        <v>0</v>
      </c>
      <c r="U177" s="175">
        <f t="shared" si="6"/>
        <v>2459795.63</v>
      </c>
      <c r="V177" s="175">
        <f>U177*(1+GROWTH_RATE_H)*(1-'Pre-Calculation'!$E$31)</f>
        <v>2471499.316</v>
      </c>
      <c r="W177" s="175">
        <f>-E177+IF(A176=INPUT!$C$11*12,V177,0)</f>
        <v>0</v>
      </c>
      <c r="X177" s="179">
        <f t="array" ref="X177">NPV('Pre-Calculation'!$E$20,$E178:E$246)</f>
        <v>0</v>
      </c>
      <c r="Y177" s="171">
        <f>10%*SA</f>
        <v>100000</v>
      </c>
      <c r="Z177" s="179">
        <f t="array" ref="Z177">NPV('Pre-Calculation'!$E$20,Y178:Y187)</f>
        <v>969592.8037</v>
      </c>
    </row>
    <row r="178" ht="15.75" customHeight="1">
      <c r="A178" s="171">
        <f t="shared" si="1"/>
        <v>232</v>
      </c>
      <c r="B178" s="171">
        <f t="shared" si="2"/>
        <v>20</v>
      </c>
      <c r="C178" s="176">
        <f>EDATE(RCD,A177)</f>
        <v>49582</v>
      </c>
      <c r="D178" s="171">
        <f>Age_At_Entry+'Cashflows_8%'!B178-1</f>
        <v>54</v>
      </c>
      <c r="E178" s="175">
        <f>IF(AND(C178&lt;=Last_Prem,MOD(A177,Mode)=0,C178&gt;INPUT!$C$13,A178&lt;=Revival!$C$11),Mod_Prem,0)</f>
        <v>0</v>
      </c>
      <c r="F178" s="177">
        <f>E178*VLOOKUP(B178,'Pre-Calculation'!$H$1:$I$31,2,FALSE)</f>
        <v>0</v>
      </c>
      <c r="G178" s="177">
        <f>IF(B178&lt;PT+1,VLOOKUP(B178,'Pre-Calculation'!$H$1:$L$32,3,FALSE)+VLOOKUP(B178,'Pre-Calculation'!$H$1:$L$32,4,FALSE)*'Pre-Calculation'!$D$7,0)</f>
        <v>0</v>
      </c>
      <c r="H178" s="175">
        <f>(E178-(F178+G178)*(1+Tax)+N177)</f>
        <v>2488076.109</v>
      </c>
      <c r="I178" s="175">
        <f>IF(B178&lt;PT+1,VLOOKUP(D178,'Pre-Calculation'!$N$3:$P$79,IF(INPUT!$C$4="M",2,3),FALSE)*(J178/1000)*(1/12),0)</f>
        <v>0</v>
      </c>
      <c r="J178" s="175">
        <f t="shared" si="3"/>
        <v>0</v>
      </c>
      <c r="K178" s="175">
        <f>(IF('Pre-Calculation'!$D$17="Type 4 a",MAX(SA,H178,1.05*Q178),IF('Pre-Calculation'!$D$17="Type 4 c",H178,IF('Pre-Calculation'!$D$17="Type 4 d",SA+H178,IF('Pre-Calculation'!$D$17="Type 4 e",MAX(SA,H178),IF('Pre-Calculation'!$D$17="Type 4 f",SA,IF('Pre-Calculation'!$D$17="Type 4 g",1000+H178,IF('Pre-Calculation'!$D$17="Type 4 h",SA+X178,IF('Pre-Calculation'!$D$17="Type 4 i",MAX(H178,Q178),IF('Pre-Calculation'!$D$17="Type 4 k",MAX(H178,1.01*Q178),IF('Pre-Calculation'!$D$17="Type 4 m",MAX(105%*Q178,SA+H178),IF('Pre-Calculation'!$D$17="Type 4 o",MAX(SA,105%*Q178)+X178+Z178,IF('Pre-Calculation'!$D$17="Type 5",0)))))))))))))*IF(AND(A178&lt;Revival!$C$4,'Cashflows_8%'!C178&gt;=Revival!$D$12),PUP,1)</f>
        <v>2488076.109</v>
      </c>
      <c r="L178" s="175">
        <f>H178-I178*(1+Tax)</f>
        <v>2488076.109</v>
      </c>
      <c r="M178" s="175">
        <f>L178*(1+GROWTH_RATE_H)*(1-FMC*(1+Tax))</f>
        <v>2500762.101</v>
      </c>
      <c r="N178" s="175">
        <f>M178+IF(MOD(A178,B178)=0,VLOOKUP(B178,'Pre-Calculation'!$H$1:$L$31,5,FALSE),0)*IF('Pre-Calculation'!$D$16="% OF FV",M178,IF(OR('Pre-Calculation'!$D$16="% OF AFV(24M)",'Pre-Calculation'!$D$16="% OF AFV(8Q)"),AVERAGE( $M155:$M178),IF('Pre-Calculation'!$D$16="% OF AFV(12M)",AVERAGE($M167:M178),IF('Pre-Calculation'!$D$16="% OF AFV(36M)",AVERAGE($M143:M178)))))</f>
        <v>2500762.101</v>
      </c>
      <c r="O178" s="175">
        <f t="shared" si="4"/>
        <v>2500762.101</v>
      </c>
      <c r="P178" s="175">
        <f>IF('Pre-Calculation'!$D$17="Type 4 a",MAX(SA,N178,1.05*Q178),IF('Pre-Calculation'!$D$17="Type 4 c",N178,IF('Pre-Calculation'!$D$17="Type 4 d",SA+N178,IF('Pre-Calculation'!$D$17="Type 4 e",MAX(SA,N178),IF('Pre-Calculation'!$D$17="Type 4 f",SA,IF('Pre-Calculation'!$D$17="Type 4 g",1000+N178,IF('Pre-Calculation'!$D$17="Type 4 h",SA+X178,IF('Pre-Calculation'!$D$17="Type 4 i",MAX(N178,Q178),IF('Pre-Calculation'!$D$17="Type 4 k",MAX(N178,1.01*Q178),IF('Pre-Calculation'!$D$17="Type 4 m",MAX(105%*Q178,SA+N178),IF('Pre-Calculation'!$D$17="Type 4 o",MAX(SA,105%*Q178)+X178+Z178,IF('Pre-Calculation'!$D$17="Type 5",0))))))))))))</f>
        <v>2500762.101</v>
      </c>
      <c r="Q178" s="175">
        <f t="shared" si="5"/>
        <v>1000000</v>
      </c>
      <c r="R178" s="119">
        <f>L178*(1+GROWTH_RATE)*FMC</f>
        <v>2815.563042</v>
      </c>
      <c r="S178" s="178">
        <f>S177*(1+'Pre-Calculation'!$E$27)</f>
        <v>1064286.052</v>
      </c>
      <c r="T178" s="175">
        <f>-E178+IF(A177=INPUT!$C$11*12,N178,0)</f>
        <v>0</v>
      </c>
      <c r="U178" s="175">
        <f t="shared" si="6"/>
        <v>2471499.316</v>
      </c>
      <c r="V178" s="175">
        <f>U178*(1+GROWTH_RATE_H)*(1-'Pre-Calculation'!$E$31)</f>
        <v>2483258.688</v>
      </c>
      <c r="W178" s="175">
        <f>-E178+IF(A177=INPUT!$C$11*12,V178,0)</f>
        <v>0</v>
      </c>
      <c r="X178" s="179">
        <f t="array" ref="X178">NPV('Pre-Calculation'!$E$20,$E179:E$246)</f>
        <v>0</v>
      </c>
      <c r="Y178" s="171">
        <f>10%*SA</f>
        <v>100000</v>
      </c>
      <c r="Z178" s="179">
        <f t="array" ref="Z178">NPV('Pre-Calculation'!$E$20,Y179:Y188)</f>
        <v>969592.8037</v>
      </c>
    </row>
    <row r="179" ht="15.75" customHeight="1">
      <c r="A179" s="171">
        <f t="shared" si="1"/>
        <v>233</v>
      </c>
      <c r="B179" s="171">
        <f t="shared" si="2"/>
        <v>20</v>
      </c>
      <c r="C179" s="176">
        <f>EDATE(RCD,A178)</f>
        <v>49612</v>
      </c>
      <c r="D179" s="171">
        <f>Age_At_Entry+'Cashflows_8%'!B179-1</f>
        <v>54</v>
      </c>
      <c r="E179" s="175">
        <f>IF(AND(C179&lt;=Last_Prem,MOD(A178,Mode)=0,C179&gt;INPUT!$C$13,A179&lt;=Revival!$C$11),Mod_Prem,0)</f>
        <v>0</v>
      </c>
      <c r="F179" s="177">
        <f>E179*VLOOKUP(B179,'Pre-Calculation'!$H$1:$I$31,2,FALSE)</f>
        <v>0</v>
      </c>
      <c r="G179" s="177">
        <f>IF(B179&lt;PT+1,VLOOKUP(B179,'Pre-Calculation'!$H$1:$L$32,3,FALSE)+VLOOKUP(B179,'Pre-Calculation'!$H$1:$L$32,4,FALSE)*'Pre-Calculation'!$D$7,0)</f>
        <v>0</v>
      </c>
      <c r="H179" s="175">
        <f>(E179-(F179+G179)*(1+Tax)+N178)</f>
        <v>2500762.101</v>
      </c>
      <c r="I179" s="175">
        <f>IF(B179&lt;PT+1,VLOOKUP(D179,'Pre-Calculation'!$N$3:$P$79,IF(INPUT!$C$4="M",2,3),FALSE)*(J179/1000)*(1/12),0)</f>
        <v>0</v>
      </c>
      <c r="J179" s="175">
        <f t="shared" si="3"/>
        <v>0</v>
      </c>
      <c r="K179" s="175">
        <f>(IF('Pre-Calculation'!$D$17="Type 4 a",MAX(SA,H179,1.05*Q179),IF('Pre-Calculation'!$D$17="Type 4 c",H179,IF('Pre-Calculation'!$D$17="Type 4 d",SA+H179,IF('Pre-Calculation'!$D$17="Type 4 e",MAX(SA,H179),IF('Pre-Calculation'!$D$17="Type 4 f",SA,IF('Pre-Calculation'!$D$17="Type 4 g",1000+H179,IF('Pre-Calculation'!$D$17="Type 4 h",SA+X179,IF('Pre-Calculation'!$D$17="Type 4 i",MAX(H179,Q179),IF('Pre-Calculation'!$D$17="Type 4 k",MAX(H179,1.01*Q179),IF('Pre-Calculation'!$D$17="Type 4 m",MAX(105%*Q179,SA+H179),IF('Pre-Calculation'!$D$17="Type 4 o",MAX(SA,105%*Q179)+X179+Z179,IF('Pre-Calculation'!$D$17="Type 5",0)))))))))))))*IF(AND(A179&lt;Revival!$C$4,'Cashflows_8%'!C179&gt;=Revival!$D$12),PUP,1)</f>
        <v>2500762.101</v>
      </c>
      <c r="L179" s="175">
        <f>H179-I179*(1+Tax)</f>
        <v>2500762.101</v>
      </c>
      <c r="M179" s="175">
        <f>L179*(1+GROWTH_RATE_H)*(1-FMC*(1+Tax))</f>
        <v>2513512.776</v>
      </c>
      <c r="N179" s="175">
        <f>M179+IF(MOD(A179,B179)=0,VLOOKUP(B179,'Pre-Calculation'!$H$1:$L$31,5,FALSE),0)*IF('Pre-Calculation'!$D$16="% OF FV",M179,IF(OR('Pre-Calculation'!$D$16="% OF AFV(24M)",'Pre-Calculation'!$D$16="% OF AFV(8Q)"),AVERAGE( $M156:$M179),IF('Pre-Calculation'!$D$16="% OF AFV(12M)",AVERAGE($M168:M179),IF('Pre-Calculation'!$D$16="% OF AFV(36M)",AVERAGE($M144:M179)))))</f>
        <v>2513512.776</v>
      </c>
      <c r="O179" s="175">
        <f t="shared" si="4"/>
        <v>2513512.776</v>
      </c>
      <c r="P179" s="175">
        <f>IF('Pre-Calculation'!$D$17="Type 4 a",MAX(SA,N179,1.05*Q179),IF('Pre-Calculation'!$D$17="Type 4 c",N179,IF('Pre-Calculation'!$D$17="Type 4 d",SA+N179,IF('Pre-Calculation'!$D$17="Type 4 e",MAX(SA,N179),IF('Pre-Calculation'!$D$17="Type 4 f",SA,IF('Pre-Calculation'!$D$17="Type 4 g",1000+N179,IF('Pre-Calculation'!$D$17="Type 4 h",SA+X179,IF('Pre-Calculation'!$D$17="Type 4 i",MAX(N179,Q179),IF('Pre-Calculation'!$D$17="Type 4 k",MAX(N179,1.01*Q179),IF('Pre-Calculation'!$D$17="Type 4 m",MAX(105%*Q179,SA+N179),IF('Pre-Calculation'!$D$17="Type 4 o",MAX(SA,105%*Q179)+X179+Z179,IF('Pre-Calculation'!$D$17="Type 5",0))))))))))))</f>
        <v>2513512.776</v>
      </c>
      <c r="Q179" s="175">
        <f t="shared" si="5"/>
        <v>1000000</v>
      </c>
      <c r="R179" s="119">
        <f>L179*(1+GROWTH_RATE)*FMC</f>
        <v>2829.918797</v>
      </c>
      <c r="S179" s="178">
        <f>S178*(1+'Pre-Calculation'!$E$27)</f>
        <v>1067341.509</v>
      </c>
      <c r="T179" s="175">
        <f>-E179+IF(A178=INPUT!$C$11*12,N179,0)</f>
        <v>0</v>
      </c>
      <c r="U179" s="175">
        <f t="shared" si="6"/>
        <v>2483258.688</v>
      </c>
      <c r="V179" s="175">
        <f>U179*(1+GROWTH_RATE_H)*(1-'Pre-Calculation'!$E$31)</f>
        <v>2495074.011</v>
      </c>
      <c r="W179" s="175">
        <f>-E179+IF(A178=INPUT!$C$11*12,V179,0)</f>
        <v>0</v>
      </c>
      <c r="X179" s="179">
        <f t="array" ref="X179">NPV('Pre-Calculation'!$E$20,$E180:E$246)</f>
        <v>0</v>
      </c>
      <c r="Y179" s="171">
        <f>10%*SA</f>
        <v>100000</v>
      </c>
      <c r="Z179" s="179">
        <f t="array" ref="Z179">NPV('Pre-Calculation'!$E$20,Y180:Y189)</f>
        <v>969592.8037</v>
      </c>
    </row>
    <row r="180" ht="15.75" customHeight="1">
      <c r="A180" s="171">
        <f t="shared" si="1"/>
        <v>234</v>
      </c>
      <c r="B180" s="171">
        <f t="shared" si="2"/>
        <v>20</v>
      </c>
      <c r="C180" s="176">
        <f>EDATE(RCD,A179)</f>
        <v>49643</v>
      </c>
      <c r="D180" s="171">
        <f>Age_At_Entry+'Cashflows_8%'!B180-1</f>
        <v>54</v>
      </c>
      <c r="E180" s="175">
        <f>IF(AND(C180&lt;=Last_Prem,MOD(A179,Mode)=0,C180&gt;INPUT!$C$13,A180&lt;=Revival!$C$11),Mod_Prem,0)</f>
        <v>0</v>
      </c>
      <c r="F180" s="177">
        <f>E180*VLOOKUP(B180,'Pre-Calculation'!$H$1:$I$31,2,FALSE)</f>
        <v>0</v>
      </c>
      <c r="G180" s="177">
        <f>IF(B180&lt;PT+1,VLOOKUP(B180,'Pre-Calculation'!$H$1:$L$32,3,FALSE)+VLOOKUP(B180,'Pre-Calculation'!$H$1:$L$32,4,FALSE)*'Pre-Calculation'!$D$7,0)</f>
        <v>0</v>
      </c>
      <c r="H180" s="175">
        <f>(E180-(F180+G180)*(1+Tax)+N179)</f>
        <v>2513512.776</v>
      </c>
      <c r="I180" s="175">
        <f>IF(B180&lt;PT+1,VLOOKUP(D180,'Pre-Calculation'!$N$3:$P$79,IF(INPUT!$C$4="M",2,3),FALSE)*(J180/1000)*(1/12),0)</f>
        <v>0</v>
      </c>
      <c r="J180" s="175">
        <f t="shared" si="3"/>
        <v>0</v>
      </c>
      <c r="K180" s="175">
        <f>(IF('Pre-Calculation'!$D$17="Type 4 a",MAX(SA,H180,1.05*Q180),IF('Pre-Calculation'!$D$17="Type 4 c",H180,IF('Pre-Calculation'!$D$17="Type 4 d",SA+H180,IF('Pre-Calculation'!$D$17="Type 4 e",MAX(SA,H180),IF('Pre-Calculation'!$D$17="Type 4 f",SA,IF('Pre-Calculation'!$D$17="Type 4 g",1000+H180,IF('Pre-Calculation'!$D$17="Type 4 h",SA+X180,IF('Pre-Calculation'!$D$17="Type 4 i",MAX(H180,Q180),IF('Pre-Calculation'!$D$17="Type 4 k",MAX(H180,1.01*Q180),IF('Pre-Calculation'!$D$17="Type 4 m",MAX(105%*Q180,SA+H180),IF('Pre-Calculation'!$D$17="Type 4 o",MAX(SA,105%*Q180)+X180+Z180,IF('Pre-Calculation'!$D$17="Type 5",0)))))))))))))*IF(AND(A180&lt;Revival!$C$4,'Cashflows_8%'!C180&gt;=Revival!$D$12),PUP,1)</f>
        <v>2513512.776</v>
      </c>
      <c r="L180" s="175">
        <f>H180-I180*(1+Tax)</f>
        <v>2513512.776</v>
      </c>
      <c r="M180" s="175">
        <f>L180*(1+GROWTH_RATE_H)*(1-FMC*(1+Tax))</f>
        <v>2526328.462</v>
      </c>
      <c r="N180" s="175">
        <f>M180+IF(MOD(A180,B180)=0,VLOOKUP(B180,'Pre-Calculation'!$H$1:$L$31,5,FALSE),0)*IF('Pre-Calculation'!$D$16="% OF FV",M180,IF(OR('Pre-Calculation'!$D$16="% OF AFV(24M)",'Pre-Calculation'!$D$16="% OF AFV(8Q)"),AVERAGE( $M157:$M180),IF('Pre-Calculation'!$D$16="% OF AFV(12M)",AVERAGE($M169:M180),IF('Pre-Calculation'!$D$16="% OF AFV(36M)",AVERAGE($M145:M180)))))</f>
        <v>2526328.462</v>
      </c>
      <c r="O180" s="175">
        <f t="shared" si="4"/>
        <v>2526328.462</v>
      </c>
      <c r="P180" s="175">
        <f>IF('Pre-Calculation'!$D$17="Type 4 a",MAX(SA,N180,1.05*Q180),IF('Pre-Calculation'!$D$17="Type 4 c",N180,IF('Pre-Calculation'!$D$17="Type 4 d",SA+N180,IF('Pre-Calculation'!$D$17="Type 4 e",MAX(SA,N180),IF('Pre-Calculation'!$D$17="Type 4 f",SA,IF('Pre-Calculation'!$D$17="Type 4 g",1000+N180,IF('Pre-Calculation'!$D$17="Type 4 h",SA+X180,IF('Pre-Calculation'!$D$17="Type 4 i",MAX(N180,Q180),IF('Pre-Calculation'!$D$17="Type 4 k",MAX(N180,1.01*Q180),IF('Pre-Calculation'!$D$17="Type 4 m",MAX(105%*Q180,SA+N180),IF('Pre-Calculation'!$D$17="Type 4 o",MAX(SA,105%*Q180)+X180+Z180,IF('Pre-Calculation'!$D$17="Type 5",0))))))))))))</f>
        <v>2526328.462</v>
      </c>
      <c r="Q180" s="175">
        <f t="shared" si="5"/>
        <v>1000000</v>
      </c>
      <c r="R180" s="119">
        <f>L180*(1+GROWTH_RATE)*FMC</f>
        <v>2844.347748</v>
      </c>
      <c r="S180" s="178">
        <f>S179*(1+'Pre-Calculation'!$E$27)</f>
        <v>1070405.738</v>
      </c>
      <c r="T180" s="175">
        <f>-E180+IF(A179=INPUT!$C$11*12,N180,0)</f>
        <v>0</v>
      </c>
      <c r="U180" s="175">
        <f t="shared" si="6"/>
        <v>2495074.011</v>
      </c>
      <c r="V180" s="175">
        <f>U180*(1+GROWTH_RATE_H)*(1-'Pre-Calculation'!$E$31)</f>
        <v>2506945.551</v>
      </c>
      <c r="W180" s="175">
        <f>-E180+IF(A179=INPUT!$C$11*12,V180,0)</f>
        <v>0</v>
      </c>
      <c r="X180" s="179">
        <f t="array" ref="X180">NPV('Pre-Calculation'!$E$20,$E181:E$246)</f>
        <v>0</v>
      </c>
      <c r="Y180" s="171">
        <f>10%*SA</f>
        <v>100000</v>
      </c>
      <c r="Z180" s="179">
        <f t="array" ref="Z180">NPV('Pre-Calculation'!$E$20,Y181:Y190)</f>
        <v>969592.8037</v>
      </c>
    </row>
    <row r="181" ht="15.75" customHeight="1">
      <c r="A181" s="171">
        <f t="shared" si="1"/>
        <v>235</v>
      </c>
      <c r="B181" s="171">
        <f t="shared" si="2"/>
        <v>20</v>
      </c>
      <c r="C181" s="176">
        <f>EDATE(RCD,A180)</f>
        <v>49673</v>
      </c>
      <c r="D181" s="171">
        <f>Age_At_Entry+'Cashflows_8%'!B181-1</f>
        <v>54</v>
      </c>
      <c r="E181" s="175">
        <f>IF(AND(C181&lt;=Last_Prem,MOD(A180,Mode)=0,C181&gt;INPUT!$C$13,A181&lt;=Revival!$C$11),Mod_Prem,0)</f>
        <v>0</v>
      </c>
      <c r="F181" s="177">
        <f>E181*VLOOKUP(B181,'Pre-Calculation'!$H$1:$I$31,2,FALSE)</f>
        <v>0</v>
      </c>
      <c r="G181" s="177">
        <f>IF(B181&lt;PT+1,VLOOKUP(B181,'Pre-Calculation'!$H$1:$L$32,3,FALSE)+VLOOKUP(B181,'Pre-Calculation'!$H$1:$L$32,4,FALSE)*'Pre-Calculation'!$D$7,0)</f>
        <v>0</v>
      </c>
      <c r="H181" s="175">
        <f>(E181-(F181+G181)*(1+Tax)+N180)</f>
        <v>2526328.462</v>
      </c>
      <c r="I181" s="175">
        <f>IF(B181&lt;PT+1,VLOOKUP(D181,'Pre-Calculation'!$N$3:$P$79,IF(INPUT!$C$4="M",2,3),FALSE)*(J181/1000)*(1/12),0)</f>
        <v>0</v>
      </c>
      <c r="J181" s="175">
        <f t="shared" si="3"/>
        <v>0</v>
      </c>
      <c r="K181" s="175">
        <f>(IF('Pre-Calculation'!$D$17="Type 4 a",MAX(SA,H181,1.05*Q181),IF('Pre-Calculation'!$D$17="Type 4 c",H181,IF('Pre-Calculation'!$D$17="Type 4 d",SA+H181,IF('Pre-Calculation'!$D$17="Type 4 e",MAX(SA,H181),IF('Pre-Calculation'!$D$17="Type 4 f",SA,IF('Pre-Calculation'!$D$17="Type 4 g",1000+H181,IF('Pre-Calculation'!$D$17="Type 4 h",SA+X181,IF('Pre-Calculation'!$D$17="Type 4 i",MAX(H181,Q181),IF('Pre-Calculation'!$D$17="Type 4 k",MAX(H181,1.01*Q181),IF('Pre-Calculation'!$D$17="Type 4 m",MAX(105%*Q181,SA+H181),IF('Pre-Calculation'!$D$17="Type 4 o",MAX(SA,105%*Q181)+X181+Z181,IF('Pre-Calculation'!$D$17="Type 5",0)))))))))))))*IF(AND(A181&lt;Revival!$C$4,'Cashflows_8%'!C181&gt;=Revival!$D$12),PUP,1)</f>
        <v>2526328.462</v>
      </c>
      <c r="L181" s="175">
        <f>H181-I181*(1+Tax)</f>
        <v>2526328.462</v>
      </c>
      <c r="M181" s="175">
        <f>L181*(1+GROWTH_RATE_H)*(1-FMC*(1+Tax))</f>
        <v>2539209.493</v>
      </c>
      <c r="N181" s="175">
        <f>M181+IF(MOD(A181,B181)=0,VLOOKUP(B181,'Pre-Calculation'!$H$1:$L$31,5,FALSE),0)*IF('Pre-Calculation'!$D$16="% OF FV",M181,IF(OR('Pre-Calculation'!$D$16="% OF AFV(24M)",'Pre-Calculation'!$D$16="% OF AFV(8Q)"),AVERAGE( $M158:$M181),IF('Pre-Calculation'!$D$16="% OF AFV(12M)",AVERAGE($M170:M181),IF('Pre-Calculation'!$D$16="% OF AFV(36M)",AVERAGE($M146:M181)))))</f>
        <v>2539209.493</v>
      </c>
      <c r="O181" s="175">
        <f t="shared" si="4"/>
        <v>2539209.493</v>
      </c>
      <c r="P181" s="175">
        <f>IF('Pre-Calculation'!$D$17="Type 4 a",MAX(SA,N181,1.05*Q181),IF('Pre-Calculation'!$D$17="Type 4 c",N181,IF('Pre-Calculation'!$D$17="Type 4 d",SA+N181,IF('Pre-Calculation'!$D$17="Type 4 e",MAX(SA,N181),IF('Pre-Calculation'!$D$17="Type 4 f",SA,IF('Pre-Calculation'!$D$17="Type 4 g",1000+N181,IF('Pre-Calculation'!$D$17="Type 4 h",SA+X181,IF('Pre-Calculation'!$D$17="Type 4 i",MAX(N181,Q181),IF('Pre-Calculation'!$D$17="Type 4 k",MAX(N181,1.01*Q181),IF('Pre-Calculation'!$D$17="Type 4 m",MAX(105%*Q181,SA+N181),IF('Pre-Calculation'!$D$17="Type 4 o",MAX(SA,105%*Q181)+X181+Z181,IF('Pre-Calculation'!$D$17="Type 5",0))))))))))))</f>
        <v>2539209.493</v>
      </c>
      <c r="Q181" s="175">
        <f t="shared" si="5"/>
        <v>1000000</v>
      </c>
      <c r="R181" s="119">
        <f>L181*(1+GROWTH_RATE)*FMC</f>
        <v>2858.850268</v>
      </c>
      <c r="S181" s="178">
        <f>S180*(1+'Pre-Calculation'!$E$27)</f>
        <v>1073478.765</v>
      </c>
      <c r="T181" s="175">
        <f>-E181+IF(A180=INPUT!$C$11*12,N181,0)</f>
        <v>0</v>
      </c>
      <c r="U181" s="175">
        <f t="shared" si="6"/>
        <v>2506945.551</v>
      </c>
      <c r="V181" s="175">
        <f>U181*(1+GROWTH_RATE_H)*(1-'Pre-Calculation'!$E$31)</f>
        <v>2518873.576</v>
      </c>
      <c r="W181" s="175">
        <f>-E181+IF(A180=INPUT!$C$11*12,V181,0)</f>
        <v>0</v>
      </c>
      <c r="X181" s="179">
        <f t="array" ref="X181">NPV('Pre-Calculation'!$E$20,$E182:E$246)</f>
        <v>0</v>
      </c>
      <c r="Y181" s="171">
        <f>10%*SA</f>
        <v>100000</v>
      </c>
      <c r="Z181" s="179">
        <f t="array" ref="Z181">NPV('Pre-Calculation'!$E$20,Y182:Y191)</f>
        <v>969592.8037</v>
      </c>
    </row>
    <row r="182" ht="15.75" customHeight="1">
      <c r="A182" s="171">
        <f t="shared" si="1"/>
        <v>236</v>
      </c>
      <c r="B182" s="171">
        <f t="shared" si="2"/>
        <v>20</v>
      </c>
      <c r="C182" s="176">
        <f>EDATE(RCD,A181)</f>
        <v>49704</v>
      </c>
      <c r="D182" s="171">
        <f>Age_At_Entry+'Cashflows_8%'!B182-1</f>
        <v>54</v>
      </c>
      <c r="E182" s="175">
        <f>IF(AND(C182&lt;=Last_Prem,MOD(A181,Mode)=0,C182&gt;INPUT!$C$13,A182&lt;=Revival!$C$11),Mod_Prem,0)</f>
        <v>0</v>
      </c>
      <c r="F182" s="177">
        <f>E182*VLOOKUP(B182,'Pre-Calculation'!$H$1:$I$31,2,FALSE)</f>
        <v>0</v>
      </c>
      <c r="G182" s="177">
        <f>IF(B182&lt;PT+1,VLOOKUP(B182,'Pre-Calculation'!$H$1:$L$32,3,FALSE)+VLOOKUP(B182,'Pre-Calculation'!$H$1:$L$32,4,FALSE)*'Pre-Calculation'!$D$7,0)</f>
        <v>0</v>
      </c>
      <c r="H182" s="175">
        <f>(E182-(F182+G182)*(1+Tax)+N181)</f>
        <v>2539209.493</v>
      </c>
      <c r="I182" s="175">
        <f>IF(B182&lt;PT+1,VLOOKUP(D182,'Pre-Calculation'!$N$3:$P$79,IF(INPUT!$C$4="M",2,3),FALSE)*(J182/1000)*(1/12),0)</f>
        <v>0</v>
      </c>
      <c r="J182" s="175">
        <f t="shared" si="3"/>
        <v>0</v>
      </c>
      <c r="K182" s="175">
        <f>(IF('Pre-Calculation'!$D$17="Type 4 a",MAX(SA,H182,1.05*Q182),IF('Pre-Calculation'!$D$17="Type 4 c",H182,IF('Pre-Calculation'!$D$17="Type 4 d",SA+H182,IF('Pre-Calculation'!$D$17="Type 4 e",MAX(SA,H182),IF('Pre-Calculation'!$D$17="Type 4 f",SA,IF('Pre-Calculation'!$D$17="Type 4 g",1000+H182,IF('Pre-Calculation'!$D$17="Type 4 h",SA+X182,IF('Pre-Calculation'!$D$17="Type 4 i",MAX(H182,Q182),IF('Pre-Calculation'!$D$17="Type 4 k",MAX(H182,1.01*Q182),IF('Pre-Calculation'!$D$17="Type 4 m",MAX(105%*Q182,SA+H182),IF('Pre-Calculation'!$D$17="Type 4 o",MAX(SA,105%*Q182)+X182+Z182,IF('Pre-Calculation'!$D$17="Type 5",0)))))))))))))*IF(AND(A182&lt;Revival!$C$4,'Cashflows_8%'!C182&gt;=Revival!$D$12),PUP,1)</f>
        <v>2539209.493</v>
      </c>
      <c r="L182" s="175">
        <f>H182-I182*(1+Tax)</f>
        <v>2539209.493</v>
      </c>
      <c r="M182" s="175">
        <f>L182*(1+GROWTH_RATE_H)*(1-FMC*(1+Tax))</f>
        <v>2552156.199</v>
      </c>
      <c r="N182" s="175">
        <f>M182+IF(MOD(A182,B182)=0,VLOOKUP(B182,'Pre-Calculation'!$H$1:$L$31,5,FALSE),0)*IF('Pre-Calculation'!$D$16="% OF FV",M182,IF(OR('Pre-Calculation'!$D$16="% OF AFV(24M)",'Pre-Calculation'!$D$16="% OF AFV(8Q)"),AVERAGE( $M159:$M182),IF('Pre-Calculation'!$D$16="% OF AFV(12M)",AVERAGE($M171:M182),IF('Pre-Calculation'!$D$16="% OF AFV(36M)",AVERAGE($M147:M182)))))</f>
        <v>2552156.199</v>
      </c>
      <c r="O182" s="175">
        <f t="shared" si="4"/>
        <v>2552156.199</v>
      </c>
      <c r="P182" s="175">
        <f>IF('Pre-Calculation'!$D$17="Type 4 a",MAX(SA,N182,1.05*Q182),IF('Pre-Calculation'!$D$17="Type 4 c",N182,IF('Pre-Calculation'!$D$17="Type 4 d",SA+N182,IF('Pre-Calculation'!$D$17="Type 4 e",MAX(SA,N182),IF('Pre-Calculation'!$D$17="Type 4 f",SA,IF('Pre-Calculation'!$D$17="Type 4 g",1000+N182,IF('Pre-Calculation'!$D$17="Type 4 h",SA+X182,IF('Pre-Calculation'!$D$17="Type 4 i",MAX(N182,Q182),IF('Pre-Calculation'!$D$17="Type 4 k",MAX(N182,1.01*Q182),IF('Pre-Calculation'!$D$17="Type 4 m",MAX(105%*Q182,SA+N182),IF('Pre-Calculation'!$D$17="Type 4 o",MAX(SA,105%*Q182)+X182+Z182,IF('Pre-Calculation'!$D$17="Type 5",0))))))))))))</f>
        <v>2552156.199</v>
      </c>
      <c r="Q182" s="175">
        <f t="shared" si="5"/>
        <v>1000000</v>
      </c>
      <c r="R182" s="119">
        <f>L182*(1+GROWTH_RATE)*FMC</f>
        <v>2873.426732</v>
      </c>
      <c r="S182" s="178">
        <f>S181*(1+'Pre-Calculation'!$E$27)</f>
        <v>1076560.614</v>
      </c>
      <c r="T182" s="175">
        <f>-E182+IF(A181=INPUT!$C$11*12,N182,0)</f>
        <v>0</v>
      </c>
      <c r="U182" s="175">
        <f t="shared" si="6"/>
        <v>2518873.576</v>
      </c>
      <c r="V182" s="175">
        <f>U182*(1+GROWTH_RATE_H)*(1-'Pre-Calculation'!$E$31)</f>
        <v>2530858.355</v>
      </c>
      <c r="W182" s="175">
        <f>-E182+IF(A181=INPUT!$C$11*12,V182,0)</f>
        <v>0</v>
      </c>
      <c r="X182" s="179">
        <f t="array" ref="X182">NPV('Pre-Calculation'!$E$20,$E183:E$246)</f>
        <v>0</v>
      </c>
      <c r="Y182" s="171">
        <f>10%*SA</f>
        <v>100000</v>
      </c>
      <c r="Z182" s="179">
        <f t="array" ref="Z182">NPV('Pre-Calculation'!$E$20,Y183:Y192)</f>
        <v>969592.8037</v>
      </c>
    </row>
    <row r="183" ht="15.75" customHeight="1">
      <c r="A183" s="171">
        <f t="shared" si="1"/>
        <v>237</v>
      </c>
      <c r="B183" s="171">
        <f t="shared" si="2"/>
        <v>20</v>
      </c>
      <c r="C183" s="176">
        <f>EDATE(RCD,A182)</f>
        <v>49734</v>
      </c>
      <c r="D183" s="171">
        <f>Age_At_Entry+'Cashflows_8%'!B183-1</f>
        <v>54</v>
      </c>
      <c r="E183" s="175">
        <f>IF(AND(C183&lt;=Last_Prem,MOD(A182,Mode)=0,C183&gt;INPUT!$C$13,A183&lt;=Revival!$C$11),Mod_Prem,0)</f>
        <v>0</v>
      </c>
      <c r="F183" s="177">
        <f>E183*VLOOKUP(B183,'Pre-Calculation'!$H$1:$I$31,2,FALSE)</f>
        <v>0</v>
      </c>
      <c r="G183" s="177">
        <f>IF(B183&lt;PT+1,VLOOKUP(B183,'Pre-Calculation'!$H$1:$L$32,3,FALSE)+VLOOKUP(B183,'Pre-Calculation'!$H$1:$L$32,4,FALSE)*'Pre-Calculation'!$D$7,0)</f>
        <v>0</v>
      </c>
      <c r="H183" s="175">
        <f>(E183-(F183+G183)*(1+Tax)+N182)</f>
        <v>2552156.199</v>
      </c>
      <c r="I183" s="175">
        <f>IF(B183&lt;PT+1,VLOOKUP(D183,'Pre-Calculation'!$N$3:$P$79,IF(INPUT!$C$4="M",2,3),FALSE)*(J183/1000)*(1/12),0)</f>
        <v>0</v>
      </c>
      <c r="J183" s="175">
        <f t="shared" si="3"/>
        <v>0</v>
      </c>
      <c r="K183" s="175">
        <f>(IF('Pre-Calculation'!$D$17="Type 4 a",MAX(SA,H183,1.05*Q183),IF('Pre-Calculation'!$D$17="Type 4 c",H183,IF('Pre-Calculation'!$D$17="Type 4 d",SA+H183,IF('Pre-Calculation'!$D$17="Type 4 e",MAX(SA,H183),IF('Pre-Calculation'!$D$17="Type 4 f",SA,IF('Pre-Calculation'!$D$17="Type 4 g",1000+H183,IF('Pre-Calculation'!$D$17="Type 4 h",SA+X183,IF('Pre-Calculation'!$D$17="Type 4 i",MAX(H183,Q183),IF('Pre-Calculation'!$D$17="Type 4 k",MAX(H183,1.01*Q183),IF('Pre-Calculation'!$D$17="Type 4 m",MAX(105%*Q183,SA+H183),IF('Pre-Calculation'!$D$17="Type 4 o",MAX(SA,105%*Q183)+X183+Z183,IF('Pre-Calculation'!$D$17="Type 5",0)))))))))))))*IF(AND(A183&lt;Revival!$C$4,'Cashflows_8%'!C183&gt;=Revival!$D$12),PUP,1)</f>
        <v>2552156.199</v>
      </c>
      <c r="L183" s="175">
        <f>H183-I183*(1+Tax)</f>
        <v>2552156.199</v>
      </c>
      <c r="M183" s="175">
        <f>L183*(1+GROWTH_RATE_H)*(1-FMC*(1+Tax))</f>
        <v>2565168.918</v>
      </c>
      <c r="N183" s="175">
        <f>M183+IF(MOD(A183,B183)=0,VLOOKUP(B183,'Pre-Calculation'!$H$1:$L$31,5,FALSE),0)*IF('Pre-Calculation'!$D$16="% OF FV",M183,IF(OR('Pre-Calculation'!$D$16="% OF AFV(24M)",'Pre-Calculation'!$D$16="% OF AFV(8Q)"),AVERAGE( $M160:$M183),IF('Pre-Calculation'!$D$16="% OF AFV(12M)",AVERAGE($M172:M183),IF('Pre-Calculation'!$D$16="% OF AFV(36M)",AVERAGE($M148:M183)))))</f>
        <v>2565168.918</v>
      </c>
      <c r="O183" s="175">
        <f t="shared" si="4"/>
        <v>2565168.918</v>
      </c>
      <c r="P183" s="175">
        <f>IF('Pre-Calculation'!$D$17="Type 4 a",MAX(SA,N183,1.05*Q183),IF('Pre-Calculation'!$D$17="Type 4 c",N183,IF('Pre-Calculation'!$D$17="Type 4 d",SA+N183,IF('Pre-Calculation'!$D$17="Type 4 e",MAX(SA,N183),IF('Pre-Calculation'!$D$17="Type 4 f",SA,IF('Pre-Calculation'!$D$17="Type 4 g",1000+N183,IF('Pre-Calculation'!$D$17="Type 4 h",SA+X183,IF('Pre-Calculation'!$D$17="Type 4 i",MAX(N183,Q183),IF('Pre-Calculation'!$D$17="Type 4 k",MAX(N183,1.01*Q183),IF('Pre-Calculation'!$D$17="Type 4 m",MAX(105%*Q183,SA+N183),IF('Pre-Calculation'!$D$17="Type 4 o",MAX(SA,105%*Q183)+X183+Z183,IF('Pre-Calculation'!$D$17="Type 5",0))))))))))))</f>
        <v>2565168.918</v>
      </c>
      <c r="Q183" s="175">
        <f t="shared" si="5"/>
        <v>1000000</v>
      </c>
      <c r="R183" s="119">
        <f>L183*(1+GROWTH_RATE)*FMC</f>
        <v>2888.077517</v>
      </c>
      <c r="S183" s="178">
        <f>S182*(1+'Pre-Calculation'!$E$27)</f>
        <v>1079651.31</v>
      </c>
      <c r="T183" s="175">
        <f>-E183+IF(A182=INPUT!$C$11*12,N183,0)</f>
        <v>0</v>
      </c>
      <c r="U183" s="175">
        <f t="shared" si="6"/>
        <v>2530858.355</v>
      </c>
      <c r="V183" s="175">
        <f>U183*(1+GROWTH_RATE_H)*(1-'Pre-Calculation'!$E$31)</f>
        <v>2542900.156</v>
      </c>
      <c r="W183" s="175">
        <f>-E183+IF(A182=INPUT!$C$11*12,V183,0)</f>
        <v>0</v>
      </c>
      <c r="X183" s="179">
        <f t="array" ref="X183">NPV('Pre-Calculation'!$E$20,$E184:E$246)</f>
        <v>0</v>
      </c>
      <c r="Y183" s="171">
        <f>10%*SA</f>
        <v>100000</v>
      </c>
      <c r="Z183" s="179">
        <f t="array" ref="Z183">NPV('Pre-Calculation'!$E$20,Y184:Y193)</f>
        <v>969592.8037</v>
      </c>
    </row>
    <row r="184" ht="15.75" customHeight="1">
      <c r="A184" s="171">
        <f t="shared" si="1"/>
        <v>238</v>
      </c>
      <c r="B184" s="171">
        <f t="shared" si="2"/>
        <v>20</v>
      </c>
      <c r="C184" s="176">
        <f>EDATE(RCD,A183)</f>
        <v>49764</v>
      </c>
      <c r="D184" s="171">
        <f>Age_At_Entry+'Cashflows_8%'!B184-1</f>
        <v>54</v>
      </c>
      <c r="E184" s="175">
        <f>IF(AND(C184&lt;=Last_Prem,MOD(A183,Mode)=0,C184&gt;INPUT!$C$13,A184&lt;=Revival!$C$11),Mod_Prem,0)</f>
        <v>0</v>
      </c>
      <c r="F184" s="177">
        <f>E184*VLOOKUP(B184,'Pre-Calculation'!$H$1:$I$31,2,FALSE)</f>
        <v>0</v>
      </c>
      <c r="G184" s="177">
        <f>IF(B184&lt;PT+1,VLOOKUP(B184,'Pre-Calculation'!$H$1:$L$32,3,FALSE)+VLOOKUP(B184,'Pre-Calculation'!$H$1:$L$32,4,FALSE)*'Pre-Calculation'!$D$7,0)</f>
        <v>0</v>
      </c>
      <c r="H184" s="175">
        <f>(E184-(F184+G184)*(1+Tax)+N183)</f>
        <v>2565168.918</v>
      </c>
      <c r="I184" s="175">
        <f>IF(B184&lt;PT+1,VLOOKUP(D184,'Pre-Calculation'!$N$3:$P$79,IF(INPUT!$C$4="M",2,3),FALSE)*(J184/1000)*(1/12),0)</f>
        <v>0</v>
      </c>
      <c r="J184" s="175">
        <f t="shared" si="3"/>
        <v>0</v>
      </c>
      <c r="K184" s="175">
        <f>(IF('Pre-Calculation'!$D$17="Type 4 a",MAX(SA,H184,1.05*Q184),IF('Pre-Calculation'!$D$17="Type 4 c",H184,IF('Pre-Calculation'!$D$17="Type 4 d",SA+H184,IF('Pre-Calculation'!$D$17="Type 4 e",MAX(SA,H184),IF('Pre-Calculation'!$D$17="Type 4 f",SA,IF('Pre-Calculation'!$D$17="Type 4 g",1000+H184,IF('Pre-Calculation'!$D$17="Type 4 h",SA+X184,IF('Pre-Calculation'!$D$17="Type 4 i",MAX(H184,Q184),IF('Pre-Calculation'!$D$17="Type 4 k",MAX(H184,1.01*Q184),IF('Pre-Calculation'!$D$17="Type 4 m",MAX(105%*Q184,SA+H184),IF('Pre-Calculation'!$D$17="Type 4 o",MAX(SA,105%*Q184)+X184+Z184,IF('Pre-Calculation'!$D$17="Type 5",0)))))))))))))*IF(AND(A184&lt;Revival!$C$4,'Cashflows_8%'!C184&gt;=Revival!$D$12),PUP,1)</f>
        <v>2565168.918</v>
      </c>
      <c r="L184" s="175">
        <f>H184-I184*(1+Tax)</f>
        <v>2565168.918</v>
      </c>
      <c r="M184" s="175">
        <f>L184*(1+GROWTH_RATE_H)*(1-FMC*(1+Tax))</f>
        <v>2578247.984</v>
      </c>
      <c r="N184" s="175">
        <f>M184+IF(MOD(A184,B184)=0,VLOOKUP(B184,'Pre-Calculation'!$H$1:$L$31,5,FALSE),0)*IF('Pre-Calculation'!$D$16="% OF FV",M184,IF(OR('Pre-Calculation'!$D$16="% OF AFV(24M)",'Pre-Calculation'!$D$16="% OF AFV(8Q)"),AVERAGE( $M161:$M184),IF('Pre-Calculation'!$D$16="% OF AFV(12M)",AVERAGE($M173:M184),IF('Pre-Calculation'!$D$16="% OF AFV(36M)",AVERAGE($M149:M184)))))</f>
        <v>2578247.984</v>
      </c>
      <c r="O184" s="175">
        <f t="shared" si="4"/>
        <v>2578247.984</v>
      </c>
      <c r="P184" s="175">
        <f>IF('Pre-Calculation'!$D$17="Type 4 a",MAX(SA,N184,1.05*Q184),IF('Pre-Calculation'!$D$17="Type 4 c",N184,IF('Pre-Calculation'!$D$17="Type 4 d",SA+N184,IF('Pre-Calculation'!$D$17="Type 4 e",MAX(SA,N184),IF('Pre-Calculation'!$D$17="Type 4 f",SA,IF('Pre-Calculation'!$D$17="Type 4 g",1000+N184,IF('Pre-Calculation'!$D$17="Type 4 h",SA+X184,IF('Pre-Calculation'!$D$17="Type 4 i",MAX(N184,Q184),IF('Pre-Calculation'!$D$17="Type 4 k",MAX(N184,1.01*Q184),IF('Pre-Calculation'!$D$17="Type 4 m",MAX(105%*Q184,SA+N184),IF('Pre-Calculation'!$D$17="Type 4 o",MAX(SA,105%*Q184)+X184+Z184,IF('Pre-Calculation'!$D$17="Type 5",0))))))))))))</f>
        <v>2578247.984</v>
      </c>
      <c r="Q184" s="175">
        <f t="shared" si="5"/>
        <v>1000000</v>
      </c>
      <c r="R184" s="119">
        <f>L184*(1+GROWTH_RATE)*FMC</f>
        <v>2902.803003</v>
      </c>
      <c r="S184" s="178">
        <f>S183*(1+'Pre-Calculation'!$E$27)</f>
        <v>1082750.88</v>
      </c>
      <c r="T184" s="175">
        <f>-E184+IF(A183=INPUT!$C$11*12,N184,0)</f>
        <v>0</v>
      </c>
      <c r="U184" s="175">
        <f t="shared" si="6"/>
        <v>2542900.156</v>
      </c>
      <c r="V184" s="175">
        <f>U184*(1+GROWTH_RATE_H)*(1-'Pre-Calculation'!$E$31)</f>
        <v>2554999.253</v>
      </c>
      <c r="W184" s="175">
        <f>-E184+IF(A183=INPUT!$C$11*12,V184,0)</f>
        <v>0</v>
      </c>
      <c r="X184" s="179">
        <f t="array" ref="X184">NPV('Pre-Calculation'!$E$20,$E185:E$246)</f>
        <v>0</v>
      </c>
      <c r="Y184" s="171">
        <f>10%*SA</f>
        <v>100000</v>
      </c>
      <c r="Z184" s="179">
        <f t="array" ref="Z184">NPV('Pre-Calculation'!$E$20,Y185:Y194)</f>
        <v>969592.8037</v>
      </c>
    </row>
    <row r="185" ht="15.75" customHeight="1">
      <c r="A185" s="171">
        <f t="shared" si="1"/>
        <v>239</v>
      </c>
      <c r="B185" s="171">
        <f t="shared" si="2"/>
        <v>20</v>
      </c>
      <c r="C185" s="176">
        <f>EDATE(RCD,A184)</f>
        <v>49795</v>
      </c>
      <c r="D185" s="171">
        <f>Age_At_Entry+'Cashflows_8%'!B185-1</f>
        <v>54</v>
      </c>
      <c r="E185" s="175">
        <f>IF(AND(C185&lt;=Last_Prem,MOD(A184,Mode)=0,C185&gt;INPUT!$C$13,A185&lt;=Revival!$C$11),Mod_Prem,0)</f>
        <v>0</v>
      </c>
      <c r="F185" s="177">
        <f>E185*VLOOKUP(B185,'Pre-Calculation'!$H$1:$I$31,2,FALSE)</f>
        <v>0</v>
      </c>
      <c r="G185" s="177">
        <f>IF(B185&lt;PT+1,VLOOKUP(B185,'Pre-Calculation'!$H$1:$L$32,3,FALSE)+VLOOKUP(B185,'Pre-Calculation'!$H$1:$L$32,4,FALSE)*'Pre-Calculation'!$D$7,0)</f>
        <v>0</v>
      </c>
      <c r="H185" s="175">
        <f>(E185-(F185+G185)*(1+Tax)+N184)</f>
        <v>2578247.984</v>
      </c>
      <c r="I185" s="175">
        <f>IF(B185&lt;PT+1,VLOOKUP(D185,'Pre-Calculation'!$N$3:$P$79,IF(INPUT!$C$4="M",2,3),FALSE)*(J185/1000)*(1/12),0)</f>
        <v>0</v>
      </c>
      <c r="J185" s="175">
        <f t="shared" si="3"/>
        <v>0</v>
      </c>
      <c r="K185" s="175">
        <f>(IF('Pre-Calculation'!$D$17="Type 4 a",MAX(SA,H185,1.05*Q185),IF('Pre-Calculation'!$D$17="Type 4 c",H185,IF('Pre-Calculation'!$D$17="Type 4 d",SA+H185,IF('Pre-Calculation'!$D$17="Type 4 e",MAX(SA,H185),IF('Pre-Calculation'!$D$17="Type 4 f",SA,IF('Pre-Calculation'!$D$17="Type 4 g",1000+H185,IF('Pre-Calculation'!$D$17="Type 4 h",SA+X185,IF('Pre-Calculation'!$D$17="Type 4 i",MAX(H185,Q185),IF('Pre-Calculation'!$D$17="Type 4 k",MAX(H185,1.01*Q185),IF('Pre-Calculation'!$D$17="Type 4 m",MAX(105%*Q185,SA+H185),IF('Pre-Calculation'!$D$17="Type 4 o",MAX(SA,105%*Q185)+X185+Z185,IF('Pre-Calculation'!$D$17="Type 5",0)))))))))))))*IF(AND(A185&lt;Revival!$C$4,'Cashflows_8%'!C185&gt;=Revival!$D$12),PUP,1)</f>
        <v>2578247.984</v>
      </c>
      <c r="L185" s="175">
        <f>H185-I185*(1+Tax)</f>
        <v>2578247.984</v>
      </c>
      <c r="M185" s="175">
        <f>L185*(1+GROWTH_RATE_H)*(1-FMC*(1+Tax))</f>
        <v>2591393.737</v>
      </c>
      <c r="N185" s="175">
        <f>M185+IF(MOD(A185,B185)=0,VLOOKUP(B185,'Pre-Calculation'!$H$1:$L$31,5,FALSE),0)*IF('Pre-Calculation'!$D$16="% OF FV",M185,IF(OR('Pre-Calculation'!$D$16="% OF AFV(24M)",'Pre-Calculation'!$D$16="% OF AFV(8Q)"),AVERAGE( $M162:$M185),IF('Pre-Calculation'!$D$16="% OF AFV(12M)",AVERAGE($M174:M185),IF('Pre-Calculation'!$D$16="% OF AFV(36M)",AVERAGE($M150:M185)))))</f>
        <v>2591393.737</v>
      </c>
      <c r="O185" s="175">
        <f t="shared" si="4"/>
        <v>2591393.737</v>
      </c>
      <c r="P185" s="175">
        <f>IF('Pre-Calculation'!$D$17="Type 4 a",MAX(SA,N185,1.05*Q185),IF('Pre-Calculation'!$D$17="Type 4 c",N185,IF('Pre-Calculation'!$D$17="Type 4 d",SA+N185,IF('Pre-Calculation'!$D$17="Type 4 e",MAX(SA,N185),IF('Pre-Calculation'!$D$17="Type 4 f",SA,IF('Pre-Calculation'!$D$17="Type 4 g",1000+N185,IF('Pre-Calculation'!$D$17="Type 4 h",SA+X185,IF('Pre-Calculation'!$D$17="Type 4 i",MAX(N185,Q185),IF('Pre-Calculation'!$D$17="Type 4 k",MAX(N185,1.01*Q185),IF('Pre-Calculation'!$D$17="Type 4 m",MAX(105%*Q185,SA+N185),IF('Pre-Calculation'!$D$17="Type 4 o",MAX(SA,105%*Q185)+X185+Z185,IF('Pre-Calculation'!$D$17="Type 5",0))))))))))))</f>
        <v>2591393.737</v>
      </c>
      <c r="Q185" s="175">
        <f t="shared" si="5"/>
        <v>1000000</v>
      </c>
      <c r="R185" s="119">
        <f>L185*(1+GROWTH_RATE)*FMC</f>
        <v>2917.603569</v>
      </c>
      <c r="S185" s="178">
        <f>S184*(1+'Pre-Calculation'!$E$27)</f>
        <v>1085859.348</v>
      </c>
      <c r="T185" s="175">
        <f>-E185+IF(A184=INPUT!$C$11*12,N185,0)</f>
        <v>0</v>
      </c>
      <c r="U185" s="175">
        <f t="shared" si="6"/>
        <v>2554999.253</v>
      </c>
      <c r="V185" s="175">
        <f>U185*(1+GROWTH_RATE_H)*(1-'Pre-Calculation'!$E$31)</f>
        <v>2567155.917</v>
      </c>
      <c r="W185" s="175">
        <f>-E185+IF(A184=INPUT!$C$11*12,V185,0)</f>
        <v>0</v>
      </c>
      <c r="X185" s="179">
        <f t="array" ref="X185">NPV('Pre-Calculation'!$E$20,$E186:E$246)</f>
        <v>0</v>
      </c>
      <c r="Y185" s="171">
        <f>10%*SA</f>
        <v>100000</v>
      </c>
      <c r="Z185" s="179">
        <f t="array" ref="Z185">NPV('Pre-Calculation'!$E$20,Y186:Y195)</f>
        <v>969592.8037</v>
      </c>
    </row>
    <row r="186" ht="15.75" customHeight="1">
      <c r="A186" s="171">
        <f t="shared" si="1"/>
        <v>240</v>
      </c>
      <c r="B186" s="171">
        <f t="shared" si="2"/>
        <v>20</v>
      </c>
      <c r="C186" s="176">
        <f>EDATE(RCD,A185)</f>
        <v>49825</v>
      </c>
      <c r="D186" s="171">
        <f>Age_At_Entry+'Cashflows_8%'!B186-1</f>
        <v>54</v>
      </c>
      <c r="E186" s="175">
        <f>IF(AND(C186&lt;=Last_Prem,MOD(A185,Mode)=0,C186&gt;INPUT!$C$13,A186&lt;=Revival!$C$11),Mod_Prem,0)</f>
        <v>0</v>
      </c>
      <c r="F186" s="177">
        <f>E186*VLOOKUP(B186,'Pre-Calculation'!$H$1:$I$31,2,FALSE)</f>
        <v>0</v>
      </c>
      <c r="G186" s="177">
        <f>IF(B186&lt;PT+1,VLOOKUP(B186,'Pre-Calculation'!$H$1:$L$32,3,FALSE)+VLOOKUP(B186,'Pre-Calculation'!$H$1:$L$32,4,FALSE)*'Pre-Calculation'!$D$7,0)</f>
        <v>0</v>
      </c>
      <c r="H186" s="175">
        <f>(E186-(F186+G186)*(1+Tax)+N185)</f>
        <v>2591393.737</v>
      </c>
      <c r="I186" s="175">
        <f>IF(B186&lt;PT+1,VLOOKUP(D186,'Pre-Calculation'!$N$3:$P$79,IF(INPUT!$C$4="M",2,3),FALSE)*(J186/1000)*(1/12),0)</f>
        <v>0</v>
      </c>
      <c r="J186" s="175">
        <f t="shared" si="3"/>
        <v>0</v>
      </c>
      <c r="K186" s="175">
        <f>(IF('Pre-Calculation'!$D$17="Type 4 a",MAX(SA,H186,1.05*Q186),IF('Pre-Calculation'!$D$17="Type 4 c",H186,IF('Pre-Calculation'!$D$17="Type 4 d",SA+H186,IF('Pre-Calculation'!$D$17="Type 4 e",MAX(SA,H186),IF('Pre-Calculation'!$D$17="Type 4 f",SA,IF('Pre-Calculation'!$D$17="Type 4 g",1000+H186,IF('Pre-Calculation'!$D$17="Type 4 h",SA+X186,IF('Pre-Calculation'!$D$17="Type 4 i",MAX(H186,Q186),IF('Pre-Calculation'!$D$17="Type 4 k",MAX(H186,1.01*Q186),IF('Pre-Calculation'!$D$17="Type 4 m",MAX(105%*Q186,SA+H186),IF('Pre-Calculation'!$D$17="Type 4 o",MAX(SA,105%*Q186)+X186+Z186,IF('Pre-Calculation'!$D$17="Type 5",0)))))))))))))*IF(AND(A186&lt;Revival!$C$4,'Cashflows_8%'!C186&gt;=Revival!$D$12),PUP,1)</f>
        <v>2591393.737</v>
      </c>
      <c r="L186" s="175">
        <f>H186-I186*(1+Tax)</f>
        <v>2591393.737</v>
      </c>
      <c r="M186" s="175">
        <f>L186*(1+GROWTH_RATE_H)*(1-FMC*(1+Tax))</f>
        <v>2604606.517</v>
      </c>
      <c r="N186" s="175">
        <f>M186+IF(MOD(A186,B186)=0,VLOOKUP(B186,'Pre-Calculation'!$H$1:$L$31,5,FALSE),0)*IF('Pre-Calculation'!$D$16="% OF FV",M186,IF(OR('Pre-Calculation'!$D$16="% OF AFV(24M)",'Pre-Calculation'!$D$16="% OF AFV(8Q)"),AVERAGE( $M163:$M186),IF('Pre-Calculation'!$D$16="% OF AFV(12M)",AVERAGE($M175:M186),IF('Pre-Calculation'!$D$16="% OF AFV(36M)",AVERAGE($M151:M186)))))</f>
        <v>2604606.517</v>
      </c>
      <c r="O186" s="175">
        <f t="shared" si="4"/>
        <v>2604606.517</v>
      </c>
      <c r="P186" s="175">
        <f>IF('Pre-Calculation'!$D$17="Type 4 a",MAX(SA,N186,1.05*Q186),IF('Pre-Calculation'!$D$17="Type 4 c",N186,IF('Pre-Calculation'!$D$17="Type 4 d",SA+N186,IF('Pre-Calculation'!$D$17="Type 4 e",MAX(SA,N186),IF('Pre-Calculation'!$D$17="Type 4 f",SA,IF('Pre-Calculation'!$D$17="Type 4 g",1000+N186,IF('Pre-Calculation'!$D$17="Type 4 h",SA+X186,IF('Pre-Calculation'!$D$17="Type 4 i",MAX(N186,Q186),IF('Pre-Calculation'!$D$17="Type 4 k",MAX(N186,1.01*Q186),IF('Pre-Calculation'!$D$17="Type 4 m",MAX(105%*Q186,SA+N186),IF('Pre-Calculation'!$D$17="Type 4 o",MAX(SA,105%*Q186)+X186+Z186,IF('Pre-Calculation'!$D$17="Type 5",0))))))))))))</f>
        <v>2604606.517</v>
      </c>
      <c r="Q186" s="175">
        <f t="shared" si="5"/>
        <v>1000000</v>
      </c>
      <c r="R186" s="119">
        <f>L186*(1+GROWTH_RATE)*FMC</f>
        <v>2932.4796</v>
      </c>
      <c r="S186" s="178">
        <f>S185*(1+'Pre-Calculation'!$E$27)</f>
        <v>1088976.74</v>
      </c>
      <c r="T186" s="175">
        <f>-E186+IF(A185=INPUT!$C$11*12,N186,0)</f>
        <v>0</v>
      </c>
      <c r="U186" s="175">
        <f t="shared" si="6"/>
        <v>2567155.917</v>
      </c>
      <c r="V186" s="175">
        <f>U186*(1+GROWTH_RATE_H)*(1-'Pre-Calculation'!$E$31)</f>
        <v>2579370.422</v>
      </c>
      <c r="W186" s="175">
        <f>-E186+IF(A185=INPUT!$C$11*12,V186,0)</f>
        <v>0</v>
      </c>
      <c r="X186" s="179">
        <f t="array" ref="X186">NPV('Pre-Calculation'!$E$20,$E187:E$246)</f>
        <v>0</v>
      </c>
      <c r="Y186" s="171">
        <f>10%*SA</f>
        <v>100000</v>
      </c>
      <c r="Z186" s="179">
        <f t="array" ref="Z186">NPV('Pre-Calculation'!$E$20,Y187:Y196)</f>
        <v>969592.8037</v>
      </c>
    </row>
    <row r="187" ht="15.75" customHeight="1">
      <c r="A187" s="171">
        <f t="shared" si="1"/>
        <v>241</v>
      </c>
      <c r="B187" s="171">
        <f t="shared" si="2"/>
        <v>21</v>
      </c>
      <c r="C187" s="176">
        <f>EDATE(RCD,A186)</f>
        <v>49856</v>
      </c>
      <c r="D187" s="171">
        <f>Age_At_Entry+'Cashflows_8%'!B187-1</f>
        <v>55</v>
      </c>
      <c r="E187" s="175">
        <f>IF(AND(C187&lt;=Last_Prem,MOD(A186,Mode)=0,C187&gt;INPUT!$C$13,A187&lt;=Revival!$C$11),Mod_Prem,0)</f>
        <v>0</v>
      </c>
      <c r="F187" s="177">
        <f>E187*VLOOKUP(B187,'Pre-Calculation'!$H$1:$I$31,2,FALSE)</f>
        <v>0</v>
      </c>
      <c r="G187" s="177">
        <f>IF(B187&lt;PT+1,VLOOKUP(B187,'Pre-Calculation'!$H$1:$L$32,3,FALSE)+VLOOKUP(B187,'Pre-Calculation'!$H$1:$L$32,4,FALSE)*'Pre-Calculation'!$D$7,0)</f>
        <v>0</v>
      </c>
      <c r="H187" s="175">
        <f>(E187-(F187+G187)*(1+Tax)+N186)</f>
        <v>2604606.517</v>
      </c>
      <c r="I187" s="175">
        <f>IF(B187&lt;PT+1,VLOOKUP(D187,'Pre-Calculation'!$N$3:$P$79,IF(INPUT!$C$4="M",2,3),FALSE)*(J187/1000)*(1/12),0)</f>
        <v>0</v>
      </c>
      <c r="J187" s="175">
        <f t="shared" si="3"/>
        <v>0</v>
      </c>
      <c r="K187" s="175">
        <f>(IF('Pre-Calculation'!$D$17="Type 4 a",MAX(SA,H187,1.05*Q187),IF('Pre-Calculation'!$D$17="Type 4 c",H187,IF('Pre-Calculation'!$D$17="Type 4 d",SA+H187,IF('Pre-Calculation'!$D$17="Type 4 e",MAX(SA,H187),IF('Pre-Calculation'!$D$17="Type 4 f",SA,IF('Pre-Calculation'!$D$17="Type 4 g",1000+H187,IF('Pre-Calculation'!$D$17="Type 4 h",SA+X187,IF('Pre-Calculation'!$D$17="Type 4 i",MAX(H187,Q187),IF('Pre-Calculation'!$D$17="Type 4 k",MAX(H187,1.01*Q187),IF('Pre-Calculation'!$D$17="Type 4 m",MAX(105%*Q187,SA+H187),IF('Pre-Calculation'!$D$17="Type 4 o",MAX(SA,105%*Q187)+X187+Z187,IF('Pre-Calculation'!$D$17="Type 5",0)))))))))))))*IF(AND(A187&lt;Revival!$C$4,'Cashflows_8%'!C187&gt;=Revival!$D$12),PUP,1)</f>
        <v>2604606.517</v>
      </c>
      <c r="L187" s="175">
        <f>H187-I187*(1+Tax)</f>
        <v>2604606.517</v>
      </c>
      <c r="M187" s="175">
        <f>L187*(1+GROWTH_RATE_H)*(1-FMC*(1+Tax))</f>
        <v>2617886.664</v>
      </c>
      <c r="N187" s="175">
        <f>M187+IF(MOD(A187,B187)=0,VLOOKUP(B187,'Pre-Calculation'!$H$1:$L$31,5,FALSE),0)*IF('Pre-Calculation'!$D$16="% OF FV",M187,IF(OR('Pre-Calculation'!$D$16="% OF AFV(24M)",'Pre-Calculation'!$D$16="% OF AFV(8Q)"),AVERAGE( $M164:$M187),IF('Pre-Calculation'!$D$16="% OF AFV(12M)",AVERAGE($M176:M187),IF('Pre-Calculation'!$D$16="% OF AFV(36M)",AVERAGE($M152:M187)))))</f>
        <v>2617886.664</v>
      </c>
      <c r="O187" s="175">
        <f t="shared" si="4"/>
        <v>2617886.664</v>
      </c>
      <c r="P187" s="175">
        <f>IF('Pre-Calculation'!$D$17="Type 4 a",MAX(SA,N187,1.05*Q187),IF('Pre-Calculation'!$D$17="Type 4 c",N187,IF('Pre-Calculation'!$D$17="Type 4 d",SA+N187,IF('Pre-Calculation'!$D$17="Type 4 e",MAX(SA,N187),IF('Pre-Calculation'!$D$17="Type 4 f",SA,IF('Pre-Calculation'!$D$17="Type 4 g",1000+N187,IF('Pre-Calculation'!$D$17="Type 4 h",SA+X187,IF('Pre-Calculation'!$D$17="Type 4 i",MAX(N187,Q187),IF('Pre-Calculation'!$D$17="Type 4 k",MAX(N187,1.01*Q187),IF('Pre-Calculation'!$D$17="Type 4 m",MAX(105%*Q187,SA+N187),IF('Pre-Calculation'!$D$17="Type 4 o",MAX(SA,105%*Q187)+X187+Z187,IF('Pre-Calculation'!$D$17="Type 5",0))))))))))))</f>
        <v>2617886.664</v>
      </c>
      <c r="Q187" s="175">
        <f t="shared" si="5"/>
        <v>1000000</v>
      </c>
      <c r="R187" s="119">
        <f>L187*(1+GROWTH_RATE)*FMC</f>
        <v>2947.431479</v>
      </c>
      <c r="S187" s="178">
        <f>S186*(1+'Pre-Calculation'!$E$27)</f>
        <v>1092103.082</v>
      </c>
      <c r="T187" s="175">
        <f>-E187+IF(A186=INPUT!$C$11*12,N187,0)</f>
        <v>0</v>
      </c>
      <c r="U187" s="175">
        <f t="shared" si="6"/>
        <v>2579370.422</v>
      </c>
      <c r="V187" s="175">
        <f>U187*(1+GROWTH_RATE_H)*(1-'Pre-Calculation'!$E$31)</f>
        <v>2591643.044</v>
      </c>
      <c r="W187" s="175">
        <f>-E187+IF(A186=INPUT!$C$11*12,V187,0)</f>
        <v>0</v>
      </c>
      <c r="X187" s="179">
        <f t="array" ref="X187">NPV('Pre-Calculation'!$E$20,$E188:E$246)</f>
        <v>0</v>
      </c>
      <c r="Y187" s="171">
        <f>10%*SA</f>
        <v>100000</v>
      </c>
      <c r="Z187" s="179">
        <f t="array" ref="Z187">NPV('Pre-Calculation'!$E$20,Y188:Y197)</f>
        <v>969592.8037</v>
      </c>
    </row>
    <row r="188" ht="15.75" customHeight="1">
      <c r="A188" s="171">
        <f t="shared" si="1"/>
        <v>242</v>
      </c>
      <c r="B188" s="171">
        <f t="shared" si="2"/>
        <v>21</v>
      </c>
      <c r="C188" s="176">
        <f>EDATE(RCD,A187)</f>
        <v>49886</v>
      </c>
      <c r="D188" s="171">
        <f>Age_At_Entry+'Cashflows_8%'!B188-1</f>
        <v>55</v>
      </c>
      <c r="E188" s="175">
        <f>IF(AND(C188&lt;=Last_Prem,MOD(A187,Mode)=0,C188&gt;INPUT!$C$13,A188&lt;=Revival!$C$11),Mod_Prem,0)</f>
        <v>0</v>
      </c>
      <c r="F188" s="177">
        <f>E188*VLOOKUP(B188,'Pre-Calculation'!$H$1:$I$31,2,FALSE)</f>
        <v>0</v>
      </c>
      <c r="G188" s="177">
        <f>IF(B188&lt;PT+1,VLOOKUP(B188,'Pre-Calculation'!$H$1:$L$32,3,FALSE)+VLOOKUP(B188,'Pre-Calculation'!$H$1:$L$32,4,FALSE)*'Pre-Calculation'!$D$7,0)</f>
        <v>0</v>
      </c>
      <c r="H188" s="175">
        <f>(E188-(F188+G188)*(1+Tax)+N187)</f>
        <v>2617886.664</v>
      </c>
      <c r="I188" s="175">
        <f>IF(B188&lt;PT+1,VLOOKUP(D188,'Pre-Calculation'!$N$3:$P$79,IF(INPUT!$C$4="M",2,3),FALSE)*(J188/1000)*(1/12),0)</f>
        <v>0</v>
      </c>
      <c r="J188" s="175">
        <f t="shared" si="3"/>
        <v>0</v>
      </c>
      <c r="K188" s="175">
        <f>(IF('Pre-Calculation'!$D$17="Type 4 a",MAX(SA,H188,1.05*Q188),IF('Pre-Calculation'!$D$17="Type 4 c",H188,IF('Pre-Calculation'!$D$17="Type 4 d",SA+H188,IF('Pre-Calculation'!$D$17="Type 4 e",MAX(SA,H188),IF('Pre-Calculation'!$D$17="Type 4 f",SA,IF('Pre-Calculation'!$D$17="Type 4 g",1000+H188,IF('Pre-Calculation'!$D$17="Type 4 h",SA+X188,IF('Pre-Calculation'!$D$17="Type 4 i",MAX(H188,Q188),IF('Pre-Calculation'!$D$17="Type 4 k",MAX(H188,1.01*Q188),IF('Pre-Calculation'!$D$17="Type 4 m",MAX(105%*Q188,SA+H188),IF('Pre-Calculation'!$D$17="Type 4 o",MAX(SA,105%*Q188)+X188+Z188,IF('Pre-Calculation'!$D$17="Type 5",0)))))))))))))*IF(AND(A188&lt;Revival!$C$4,'Cashflows_8%'!C188&gt;=Revival!$D$12),PUP,1)</f>
        <v>2617886.664</v>
      </c>
      <c r="L188" s="175">
        <f>H188-I188*(1+Tax)</f>
        <v>2617886.664</v>
      </c>
      <c r="M188" s="175">
        <f>L188*(1+GROWTH_RATE_H)*(1-FMC*(1+Tax))</f>
        <v>2631234.523</v>
      </c>
      <c r="N188" s="175">
        <f>M188+IF(MOD(A188,B188)=0,VLOOKUP(B188,'Pre-Calculation'!$H$1:$L$31,5,FALSE),0)*IF('Pre-Calculation'!$D$16="% OF FV",M188,IF(OR('Pre-Calculation'!$D$16="% OF AFV(24M)",'Pre-Calculation'!$D$16="% OF AFV(8Q)"),AVERAGE( $M165:$M188),IF('Pre-Calculation'!$D$16="% OF AFV(12M)",AVERAGE($M177:M188),IF('Pre-Calculation'!$D$16="% OF AFV(36M)",AVERAGE($M153:M188)))))</f>
        <v>2631234.523</v>
      </c>
      <c r="O188" s="175">
        <f t="shared" si="4"/>
        <v>2631234.523</v>
      </c>
      <c r="P188" s="175">
        <f>IF('Pre-Calculation'!$D$17="Type 4 a",MAX(SA,N188,1.05*Q188),IF('Pre-Calculation'!$D$17="Type 4 c",N188,IF('Pre-Calculation'!$D$17="Type 4 d",SA+N188,IF('Pre-Calculation'!$D$17="Type 4 e",MAX(SA,N188),IF('Pre-Calculation'!$D$17="Type 4 f",SA,IF('Pre-Calculation'!$D$17="Type 4 g",1000+N188,IF('Pre-Calculation'!$D$17="Type 4 h",SA+X188,IF('Pre-Calculation'!$D$17="Type 4 i",MAX(N188,Q188),IF('Pre-Calculation'!$D$17="Type 4 k",MAX(N188,1.01*Q188),IF('Pre-Calculation'!$D$17="Type 4 m",MAX(105%*Q188,SA+N188),IF('Pre-Calculation'!$D$17="Type 4 o",MAX(SA,105%*Q188)+X188+Z188,IF('Pre-Calculation'!$D$17="Type 5",0))))))))))))</f>
        <v>2631234.523</v>
      </c>
      <c r="Q188" s="175">
        <f t="shared" si="5"/>
        <v>1000000</v>
      </c>
      <c r="R188" s="119">
        <f>L188*(1+GROWTH_RATE)*FMC</f>
        <v>2962.459594</v>
      </c>
      <c r="S188" s="178">
        <f>S187*(1+'Pre-Calculation'!$E$27)</f>
        <v>1095238.399</v>
      </c>
      <c r="T188" s="175">
        <f>-E188+IF(A187=INPUT!$C$11*12,N188,0)</f>
        <v>0</v>
      </c>
      <c r="U188" s="175">
        <f t="shared" si="6"/>
        <v>2591643.044</v>
      </c>
      <c r="V188" s="175">
        <f>U188*(1+GROWTH_RATE_H)*(1-'Pre-Calculation'!$E$31)</f>
        <v>2603974.059</v>
      </c>
      <c r="W188" s="175">
        <f>-E188+IF(A187=INPUT!$C$11*12,V188,0)</f>
        <v>0</v>
      </c>
      <c r="X188" s="179">
        <f t="array" ref="X188">NPV('Pre-Calculation'!$E$20,$E189:E$246)</f>
        <v>0</v>
      </c>
      <c r="Y188" s="171">
        <f>10%*SA</f>
        <v>100000</v>
      </c>
      <c r="Z188" s="179">
        <f t="array" ref="Z188">NPV('Pre-Calculation'!$E$20,Y189:Y198)</f>
        <v>969592.8037</v>
      </c>
    </row>
    <row r="189" ht="15.75" customHeight="1">
      <c r="A189" s="171">
        <f t="shared" si="1"/>
        <v>243</v>
      </c>
      <c r="B189" s="171">
        <f t="shared" si="2"/>
        <v>21</v>
      </c>
      <c r="C189" s="176">
        <f>EDATE(RCD,A188)</f>
        <v>49917</v>
      </c>
      <c r="D189" s="171">
        <f>Age_At_Entry+'Cashflows_8%'!B189-1</f>
        <v>55</v>
      </c>
      <c r="E189" s="175">
        <f>IF(AND(C189&lt;=Last_Prem,MOD(A188,Mode)=0,C189&gt;INPUT!$C$13,A189&lt;=Revival!$C$11),Mod_Prem,0)</f>
        <v>0</v>
      </c>
      <c r="F189" s="177">
        <f>E189*VLOOKUP(B189,'Pre-Calculation'!$H$1:$I$31,2,FALSE)</f>
        <v>0</v>
      </c>
      <c r="G189" s="177">
        <f>IF(B189&lt;PT+1,VLOOKUP(B189,'Pre-Calculation'!$H$1:$L$32,3,FALSE)+VLOOKUP(B189,'Pre-Calculation'!$H$1:$L$32,4,FALSE)*'Pre-Calculation'!$D$7,0)</f>
        <v>0</v>
      </c>
      <c r="H189" s="175">
        <f>(E189-(F189+G189)*(1+Tax)+N188)</f>
        <v>2631234.523</v>
      </c>
      <c r="I189" s="175">
        <f>IF(B189&lt;PT+1,VLOOKUP(D189,'Pre-Calculation'!$N$3:$P$79,IF(INPUT!$C$4="M",2,3),FALSE)*(J189/1000)*(1/12),0)</f>
        <v>0</v>
      </c>
      <c r="J189" s="175">
        <f t="shared" si="3"/>
        <v>0</v>
      </c>
      <c r="K189" s="175">
        <f>(IF('Pre-Calculation'!$D$17="Type 4 a",MAX(SA,H189,1.05*Q189),IF('Pre-Calculation'!$D$17="Type 4 c",H189,IF('Pre-Calculation'!$D$17="Type 4 d",SA+H189,IF('Pre-Calculation'!$D$17="Type 4 e",MAX(SA,H189),IF('Pre-Calculation'!$D$17="Type 4 f",SA,IF('Pre-Calculation'!$D$17="Type 4 g",1000+H189,IF('Pre-Calculation'!$D$17="Type 4 h",SA+X189,IF('Pre-Calculation'!$D$17="Type 4 i",MAX(H189,Q189),IF('Pre-Calculation'!$D$17="Type 4 k",MAX(H189,1.01*Q189),IF('Pre-Calculation'!$D$17="Type 4 m",MAX(105%*Q189,SA+H189),IF('Pre-Calculation'!$D$17="Type 4 o",MAX(SA,105%*Q189)+X189+Z189,IF('Pre-Calculation'!$D$17="Type 5",0)))))))))))))*IF(AND(A189&lt;Revival!$C$4,'Cashflows_8%'!C189&gt;=Revival!$D$12),PUP,1)</f>
        <v>2631234.523</v>
      </c>
      <c r="L189" s="175">
        <f>H189-I189*(1+Tax)</f>
        <v>2631234.523</v>
      </c>
      <c r="M189" s="175">
        <f>L189*(1+GROWTH_RATE_H)*(1-FMC*(1+Tax))</f>
        <v>2644650.44</v>
      </c>
      <c r="N189" s="175">
        <f>M189+IF(MOD(A189,B189)=0,VLOOKUP(B189,'Pre-Calculation'!$H$1:$L$31,5,FALSE),0)*IF('Pre-Calculation'!$D$16="% OF FV",M189,IF(OR('Pre-Calculation'!$D$16="% OF AFV(24M)",'Pre-Calculation'!$D$16="% OF AFV(8Q)"),AVERAGE( $M166:$M189),IF('Pre-Calculation'!$D$16="% OF AFV(12M)",AVERAGE($M178:M189),IF('Pre-Calculation'!$D$16="% OF AFV(36M)",AVERAGE($M154:M189)))))</f>
        <v>2644650.44</v>
      </c>
      <c r="O189" s="175">
        <f t="shared" si="4"/>
        <v>2644650.44</v>
      </c>
      <c r="P189" s="175">
        <f>IF('Pre-Calculation'!$D$17="Type 4 a",MAX(SA,N189,1.05*Q189),IF('Pre-Calculation'!$D$17="Type 4 c",N189,IF('Pre-Calculation'!$D$17="Type 4 d",SA+N189,IF('Pre-Calculation'!$D$17="Type 4 e",MAX(SA,N189),IF('Pre-Calculation'!$D$17="Type 4 f",SA,IF('Pre-Calculation'!$D$17="Type 4 g",1000+N189,IF('Pre-Calculation'!$D$17="Type 4 h",SA+X189,IF('Pre-Calculation'!$D$17="Type 4 i",MAX(N189,Q189),IF('Pre-Calculation'!$D$17="Type 4 k",MAX(N189,1.01*Q189),IF('Pre-Calculation'!$D$17="Type 4 m",MAX(105%*Q189,SA+N189),IF('Pre-Calculation'!$D$17="Type 4 o",MAX(SA,105%*Q189)+X189+Z189,IF('Pre-Calculation'!$D$17="Type 5",0))))))))))))</f>
        <v>2644650.44</v>
      </c>
      <c r="Q189" s="175">
        <f t="shared" si="5"/>
        <v>1000000</v>
      </c>
      <c r="R189" s="119">
        <f>L189*(1+GROWTH_RATE)*FMC</f>
        <v>2977.564332</v>
      </c>
      <c r="S189" s="178">
        <f>S188*(1+'Pre-Calculation'!$E$27)</f>
        <v>1098382.718</v>
      </c>
      <c r="T189" s="175">
        <f>-E189+IF(A188=INPUT!$C$11*12,N189,0)</f>
        <v>0</v>
      </c>
      <c r="U189" s="175">
        <f t="shared" si="6"/>
        <v>2603974.059</v>
      </c>
      <c r="V189" s="175">
        <f>U189*(1+GROWTH_RATE_H)*(1-'Pre-Calculation'!$E$31)</f>
        <v>2616363.745</v>
      </c>
      <c r="W189" s="175">
        <f>-E189+IF(A188=INPUT!$C$11*12,V189,0)</f>
        <v>0</v>
      </c>
      <c r="X189" s="179">
        <f t="array" ref="X189">NPV('Pre-Calculation'!$E$20,$E190:E$246)</f>
        <v>0</v>
      </c>
      <c r="Y189" s="171">
        <f>10%*SA</f>
        <v>100000</v>
      </c>
      <c r="Z189" s="179">
        <f t="array" ref="Z189">NPV('Pre-Calculation'!$E$20,Y190:Y199)</f>
        <v>969592.8037</v>
      </c>
    </row>
    <row r="190" ht="15.75" customHeight="1">
      <c r="A190" s="171">
        <f t="shared" si="1"/>
        <v>244</v>
      </c>
      <c r="B190" s="171">
        <f t="shared" si="2"/>
        <v>21</v>
      </c>
      <c r="C190" s="176">
        <f>EDATE(RCD,A189)</f>
        <v>49948</v>
      </c>
      <c r="D190" s="171">
        <f>Age_At_Entry+'Cashflows_8%'!B190-1</f>
        <v>55</v>
      </c>
      <c r="E190" s="175">
        <f>IF(AND(C190&lt;=Last_Prem,MOD(A189,Mode)=0,C190&gt;INPUT!$C$13,A190&lt;=Revival!$C$11),Mod_Prem,0)</f>
        <v>0</v>
      </c>
      <c r="F190" s="177">
        <f>E190*VLOOKUP(B190,'Pre-Calculation'!$H$1:$I$31,2,FALSE)</f>
        <v>0</v>
      </c>
      <c r="G190" s="177">
        <f>IF(B190&lt;PT+1,VLOOKUP(B190,'Pre-Calculation'!$H$1:$L$32,3,FALSE)+VLOOKUP(B190,'Pre-Calculation'!$H$1:$L$32,4,FALSE)*'Pre-Calculation'!$D$7,0)</f>
        <v>0</v>
      </c>
      <c r="H190" s="175">
        <f>(E190-(F190+G190)*(1+Tax)+N189)</f>
        <v>2644650.44</v>
      </c>
      <c r="I190" s="175">
        <f>IF(B190&lt;PT+1,VLOOKUP(D190,'Pre-Calculation'!$N$3:$P$79,IF(INPUT!$C$4="M",2,3),FALSE)*(J190/1000)*(1/12),0)</f>
        <v>0</v>
      </c>
      <c r="J190" s="175">
        <f t="shared" si="3"/>
        <v>0</v>
      </c>
      <c r="K190" s="175">
        <f>(IF('Pre-Calculation'!$D$17="Type 4 a",MAX(SA,H190,1.05*Q190),IF('Pre-Calculation'!$D$17="Type 4 c",H190,IF('Pre-Calculation'!$D$17="Type 4 d",SA+H190,IF('Pre-Calculation'!$D$17="Type 4 e",MAX(SA,H190),IF('Pre-Calculation'!$D$17="Type 4 f",SA,IF('Pre-Calculation'!$D$17="Type 4 g",1000+H190,IF('Pre-Calculation'!$D$17="Type 4 h",SA+X190,IF('Pre-Calculation'!$D$17="Type 4 i",MAX(H190,Q190),IF('Pre-Calculation'!$D$17="Type 4 k",MAX(H190,1.01*Q190),IF('Pre-Calculation'!$D$17="Type 4 m",MAX(105%*Q190,SA+H190),IF('Pre-Calculation'!$D$17="Type 4 o",MAX(SA,105%*Q190)+X190+Z190,IF('Pre-Calculation'!$D$17="Type 5",0)))))))))))))*IF(AND(A190&lt;Revival!$C$4,'Cashflows_8%'!C190&gt;=Revival!$D$12),PUP,1)</f>
        <v>2644650.44</v>
      </c>
      <c r="L190" s="175">
        <f>H190-I190*(1+Tax)</f>
        <v>2644650.44</v>
      </c>
      <c r="M190" s="175">
        <f>L190*(1+GROWTH_RATE_H)*(1-FMC*(1+Tax))</f>
        <v>2658134.76</v>
      </c>
      <c r="N190" s="175">
        <f>M190+IF(MOD(A190,B190)=0,VLOOKUP(B190,'Pre-Calculation'!$H$1:$L$31,5,FALSE),0)*IF('Pre-Calculation'!$D$16="% OF FV",M190,IF(OR('Pre-Calculation'!$D$16="% OF AFV(24M)",'Pre-Calculation'!$D$16="% OF AFV(8Q)"),AVERAGE( $M167:$M190),IF('Pre-Calculation'!$D$16="% OF AFV(12M)",AVERAGE($M179:M190),IF('Pre-Calculation'!$D$16="% OF AFV(36M)",AVERAGE($M155:M190)))))</f>
        <v>2658134.76</v>
      </c>
      <c r="O190" s="175">
        <f t="shared" si="4"/>
        <v>2658134.76</v>
      </c>
      <c r="P190" s="175">
        <f>IF('Pre-Calculation'!$D$17="Type 4 a",MAX(SA,N190,1.05*Q190),IF('Pre-Calculation'!$D$17="Type 4 c",N190,IF('Pre-Calculation'!$D$17="Type 4 d",SA+N190,IF('Pre-Calculation'!$D$17="Type 4 e",MAX(SA,N190),IF('Pre-Calculation'!$D$17="Type 4 f",SA,IF('Pre-Calculation'!$D$17="Type 4 g",1000+N190,IF('Pre-Calculation'!$D$17="Type 4 h",SA+X190,IF('Pre-Calculation'!$D$17="Type 4 i",MAX(N190,Q190),IF('Pre-Calculation'!$D$17="Type 4 k",MAX(N190,1.01*Q190),IF('Pre-Calculation'!$D$17="Type 4 m",MAX(105%*Q190,SA+N190),IF('Pre-Calculation'!$D$17="Type 4 o",MAX(SA,105%*Q190)+X190+Z190,IF('Pre-Calculation'!$D$17="Type 5",0))))))))))))</f>
        <v>2658134.76</v>
      </c>
      <c r="Q190" s="175">
        <f t="shared" si="5"/>
        <v>1000000</v>
      </c>
      <c r="R190" s="119">
        <f>L190*(1+GROWTH_RATE)*FMC</f>
        <v>2992.746086</v>
      </c>
      <c r="S190" s="178">
        <f>S189*(1+'Pre-Calculation'!$E$27)</f>
        <v>1101536.063</v>
      </c>
      <c r="T190" s="175">
        <f>-E190+IF(A189=INPUT!$C$11*12,N190,0)</f>
        <v>0</v>
      </c>
      <c r="U190" s="175">
        <f t="shared" si="6"/>
        <v>2616363.745</v>
      </c>
      <c r="V190" s="175">
        <f>U190*(1+GROWTH_RATE_H)*(1-'Pre-Calculation'!$E$31)</f>
        <v>2628812.381</v>
      </c>
      <c r="W190" s="175">
        <f>-E190+IF(A189=INPUT!$C$11*12,V190,0)</f>
        <v>0</v>
      </c>
      <c r="X190" s="179">
        <f t="array" ref="X190">NPV('Pre-Calculation'!$E$20,$E191:E$246)</f>
        <v>0</v>
      </c>
      <c r="Y190" s="171">
        <f>10%*SA</f>
        <v>100000</v>
      </c>
      <c r="Z190" s="179">
        <f t="array" ref="Z190">NPV('Pre-Calculation'!$E$20,Y191:Y200)</f>
        <v>969592.8037</v>
      </c>
    </row>
    <row r="191" ht="15.75" customHeight="1">
      <c r="A191" s="171">
        <f t="shared" si="1"/>
        <v>245</v>
      </c>
      <c r="B191" s="171">
        <f t="shared" si="2"/>
        <v>21</v>
      </c>
      <c r="C191" s="176">
        <f>EDATE(RCD,A190)</f>
        <v>49978</v>
      </c>
      <c r="D191" s="171">
        <f>Age_At_Entry+'Cashflows_8%'!B191-1</f>
        <v>55</v>
      </c>
      <c r="E191" s="175">
        <f>IF(AND(C191&lt;=Last_Prem,MOD(A190,Mode)=0,C191&gt;INPUT!$C$13,A191&lt;=Revival!$C$11),Mod_Prem,0)</f>
        <v>0</v>
      </c>
      <c r="F191" s="177">
        <f>E191*VLOOKUP(B191,'Pre-Calculation'!$H$1:$I$31,2,FALSE)</f>
        <v>0</v>
      </c>
      <c r="G191" s="177">
        <f>IF(B191&lt;PT+1,VLOOKUP(B191,'Pre-Calculation'!$H$1:$L$32,3,FALSE)+VLOOKUP(B191,'Pre-Calculation'!$H$1:$L$32,4,FALSE)*'Pre-Calculation'!$D$7,0)</f>
        <v>0</v>
      </c>
      <c r="H191" s="175">
        <f>(E191-(F191+G191)*(1+Tax)+N190)</f>
        <v>2658134.76</v>
      </c>
      <c r="I191" s="175">
        <f>IF(B191&lt;PT+1,VLOOKUP(D191,'Pre-Calculation'!$N$3:$P$79,IF(INPUT!$C$4="M",2,3),FALSE)*(J191/1000)*(1/12),0)</f>
        <v>0</v>
      </c>
      <c r="J191" s="175">
        <f t="shared" si="3"/>
        <v>0</v>
      </c>
      <c r="K191" s="175">
        <f>(IF('Pre-Calculation'!$D$17="Type 4 a",MAX(SA,H191,1.05*Q191),IF('Pre-Calculation'!$D$17="Type 4 c",H191,IF('Pre-Calculation'!$D$17="Type 4 d",SA+H191,IF('Pre-Calculation'!$D$17="Type 4 e",MAX(SA,H191),IF('Pre-Calculation'!$D$17="Type 4 f",SA,IF('Pre-Calculation'!$D$17="Type 4 g",1000+H191,IF('Pre-Calculation'!$D$17="Type 4 h",SA+X191,IF('Pre-Calculation'!$D$17="Type 4 i",MAX(H191,Q191),IF('Pre-Calculation'!$D$17="Type 4 k",MAX(H191,1.01*Q191),IF('Pre-Calculation'!$D$17="Type 4 m",MAX(105%*Q191,SA+H191),IF('Pre-Calculation'!$D$17="Type 4 o",MAX(SA,105%*Q191)+X191+Z191,IF('Pre-Calculation'!$D$17="Type 5",0)))))))))))))*IF(AND(A191&lt;Revival!$C$4,'Cashflows_8%'!C191&gt;=Revival!$D$12),PUP,1)</f>
        <v>2658134.76</v>
      </c>
      <c r="L191" s="175">
        <f>H191-I191*(1+Tax)</f>
        <v>2658134.76</v>
      </c>
      <c r="M191" s="175">
        <f>L191*(1+GROWTH_RATE_H)*(1-FMC*(1+Tax))</f>
        <v>2671687.833</v>
      </c>
      <c r="N191" s="175">
        <f>M191+IF(MOD(A191,B191)=0,VLOOKUP(B191,'Pre-Calculation'!$H$1:$L$31,5,FALSE),0)*IF('Pre-Calculation'!$D$16="% OF FV",M191,IF(OR('Pre-Calculation'!$D$16="% OF AFV(24M)",'Pre-Calculation'!$D$16="% OF AFV(8Q)"),AVERAGE( $M168:$M191),IF('Pre-Calculation'!$D$16="% OF AFV(12M)",AVERAGE($M180:M191),IF('Pre-Calculation'!$D$16="% OF AFV(36M)",AVERAGE($M156:M191)))))</f>
        <v>2671687.833</v>
      </c>
      <c r="O191" s="175">
        <f t="shared" si="4"/>
        <v>2671687.833</v>
      </c>
      <c r="P191" s="175">
        <f>IF('Pre-Calculation'!$D$17="Type 4 a",MAX(SA,N191,1.05*Q191),IF('Pre-Calculation'!$D$17="Type 4 c",N191,IF('Pre-Calculation'!$D$17="Type 4 d",SA+N191,IF('Pre-Calculation'!$D$17="Type 4 e",MAX(SA,N191),IF('Pre-Calculation'!$D$17="Type 4 f",SA,IF('Pre-Calculation'!$D$17="Type 4 g",1000+N191,IF('Pre-Calculation'!$D$17="Type 4 h",SA+X191,IF('Pre-Calculation'!$D$17="Type 4 i",MAX(N191,Q191),IF('Pre-Calculation'!$D$17="Type 4 k",MAX(N191,1.01*Q191),IF('Pre-Calculation'!$D$17="Type 4 m",MAX(105%*Q191,SA+N191),IF('Pre-Calculation'!$D$17="Type 4 o",MAX(SA,105%*Q191)+X191+Z191,IF('Pre-Calculation'!$D$17="Type 5",0))))))))))))</f>
        <v>2671687.833</v>
      </c>
      <c r="Q191" s="175">
        <f t="shared" si="5"/>
        <v>1000000</v>
      </c>
      <c r="R191" s="119">
        <f>L191*(1+GROWTH_RATE)*FMC</f>
        <v>3008.005246</v>
      </c>
      <c r="S191" s="178">
        <f>S190*(1+'Pre-Calculation'!$E$27)</f>
        <v>1104698.462</v>
      </c>
      <c r="T191" s="175">
        <f>-E191+IF(A190=INPUT!$C$11*12,N191,0)</f>
        <v>0</v>
      </c>
      <c r="U191" s="175">
        <f t="shared" si="6"/>
        <v>2628812.381</v>
      </c>
      <c r="V191" s="175">
        <f>U191*(1+GROWTH_RATE_H)*(1-'Pre-Calculation'!$E$31)</f>
        <v>2641320.247</v>
      </c>
      <c r="W191" s="175">
        <f>-E191+IF(A190=INPUT!$C$11*12,V191,0)</f>
        <v>0</v>
      </c>
      <c r="X191" s="179">
        <f t="array" ref="X191">NPV('Pre-Calculation'!$E$20,$E192:E$246)</f>
        <v>0</v>
      </c>
      <c r="Y191" s="171">
        <f>10%*SA</f>
        <v>100000</v>
      </c>
      <c r="Z191" s="179">
        <f t="array" ref="Z191">NPV('Pre-Calculation'!$E$20,Y192:Y201)</f>
        <v>969592.8037</v>
      </c>
    </row>
    <row r="192" ht="15.75" customHeight="1">
      <c r="A192" s="171">
        <f t="shared" si="1"/>
        <v>246</v>
      </c>
      <c r="B192" s="171">
        <f t="shared" si="2"/>
        <v>21</v>
      </c>
      <c r="C192" s="176">
        <f>EDATE(RCD,A191)</f>
        <v>50009</v>
      </c>
      <c r="D192" s="171">
        <f>Age_At_Entry+'Cashflows_8%'!B192-1</f>
        <v>55</v>
      </c>
      <c r="E192" s="175">
        <f>IF(AND(C192&lt;=Last_Prem,MOD(A191,Mode)=0,C192&gt;INPUT!$C$13,A192&lt;=Revival!$C$11),Mod_Prem,0)</f>
        <v>0</v>
      </c>
      <c r="F192" s="177">
        <f>E192*VLOOKUP(B192,'Pre-Calculation'!$H$1:$I$31,2,FALSE)</f>
        <v>0</v>
      </c>
      <c r="G192" s="177">
        <f>IF(B192&lt;PT+1,VLOOKUP(B192,'Pre-Calculation'!$H$1:$L$32,3,FALSE)+VLOOKUP(B192,'Pre-Calculation'!$H$1:$L$32,4,FALSE)*'Pre-Calculation'!$D$7,0)</f>
        <v>0</v>
      </c>
      <c r="H192" s="175">
        <f>(E192-(F192+G192)*(1+Tax)+N191)</f>
        <v>2671687.833</v>
      </c>
      <c r="I192" s="175">
        <f>IF(B192&lt;PT+1,VLOOKUP(D192,'Pre-Calculation'!$N$3:$P$79,IF(INPUT!$C$4="M",2,3),FALSE)*(J192/1000)*(1/12),0)</f>
        <v>0</v>
      </c>
      <c r="J192" s="175">
        <f t="shared" si="3"/>
        <v>0</v>
      </c>
      <c r="K192" s="175">
        <f>(IF('Pre-Calculation'!$D$17="Type 4 a",MAX(SA,H192,1.05*Q192),IF('Pre-Calculation'!$D$17="Type 4 c",H192,IF('Pre-Calculation'!$D$17="Type 4 d",SA+H192,IF('Pre-Calculation'!$D$17="Type 4 e",MAX(SA,H192),IF('Pre-Calculation'!$D$17="Type 4 f",SA,IF('Pre-Calculation'!$D$17="Type 4 g",1000+H192,IF('Pre-Calculation'!$D$17="Type 4 h",SA+X192,IF('Pre-Calculation'!$D$17="Type 4 i",MAX(H192,Q192),IF('Pre-Calculation'!$D$17="Type 4 k",MAX(H192,1.01*Q192),IF('Pre-Calculation'!$D$17="Type 4 m",MAX(105%*Q192,SA+H192),IF('Pre-Calculation'!$D$17="Type 4 o",MAX(SA,105%*Q192)+X192+Z192,IF('Pre-Calculation'!$D$17="Type 5",0)))))))))))))*IF(AND(A192&lt;Revival!$C$4,'Cashflows_8%'!C192&gt;=Revival!$D$12),PUP,1)</f>
        <v>2671687.833</v>
      </c>
      <c r="L192" s="175">
        <f>H192-I192*(1+Tax)</f>
        <v>2671687.833</v>
      </c>
      <c r="M192" s="175">
        <f>L192*(1+GROWTH_RATE_H)*(1-FMC*(1+Tax))</f>
        <v>2685310.009</v>
      </c>
      <c r="N192" s="175">
        <f>M192+IF(MOD(A192,B192)=0,VLOOKUP(B192,'Pre-Calculation'!$H$1:$L$31,5,FALSE),0)*IF('Pre-Calculation'!$D$16="% OF FV",M192,IF(OR('Pre-Calculation'!$D$16="% OF AFV(24M)",'Pre-Calculation'!$D$16="% OF AFV(8Q)"),AVERAGE( $M169:$M192),IF('Pre-Calculation'!$D$16="% OF AFV(12M)",AVERAGE($M181:M192),IF('Pre-Calculation'!$D$16="% OF AFV(36M)",AVERAGE($M157:M192)))))</f>
        <v>2685310.009</v>
      </c>
      <c r="O192" s="175">
        <f t="shared" si="4"/>
        <v>2685310.009</v>
      </c>
      <c r="P192" s="175">
        <f>IF('Pre-Calculation'!$D$17="Type 4 a",MAX(SA,N192,1.05*Q192),IF('Pre-Calculation'!$D$17="Type 4 c",N192,IF('Pre-Calculation'!$D$17="Type 4 d",SA+N192,IF('Pre-Calculation'!$D$17="Type 4 e",MAX(SA,N192),IF('Pre-Calculation'!$D$17="Type 4 f",SA,IF('Pre-Calculation'!$D$17="Type 4 g",1000+N192,IF('Pre-Calculation'!$D$17="Type 4 h",SA+X192,IF('Pre-Calculation'!$D$17="Type 4 i",MAX(N192,Q192),IF('Pre-Calculation'!$D$17="Type 4 k",MAX(N192,1.01*Q192),IF('Pre-Calculation'!$D$17="Type 4 m",MAX(105%*Q192,SA+N192),IF('Pre-Calculation'!$D$17="Type 4 o",MAX(SA,105%*Q192)+X192+Z192,IF('Pre-Calculation'!$D$17="Type 5",0))))))))))))</f>
        <v>2685310.009</v>
      </c>
      <c r="Q192" s="175">
        <f t="shared" si="5"/>
        <v>1000000</v>
      </c>
      <c r="R192" s="119">
        <f>L192*(1+GROWTH_RATE)*FMC</f>
        <v>3023.342209</v>
      </c>
      <c r="S192" s="178">
        <f>S191*(1+'Pre-Calculation'!$E$27)</f>
        <v>1107869.939</v>
      </c>
      <c r="T192" s="175">
        <f>-E192+IF(A191=INPUT!$C$11*12,N192,0)</f>
        <v>0</v>
      </c>
      <c r="U192" s="175">
        <f t="shared" si="6"/>
        <v>2641320.247</v>
      </c>
      <c r="V192" s="175">
        <f>U192*(1+GROWTH_RATE_H)*(1-'Pre-Calculation'!$E$31)</f>
        <v>2653887.625</v>
      </c>
      <c r="W192" s="175">
        <f>-E192+IF(A191=INPUT!$C$11*12,V192,0)</f>
        <v>0</v>
      </c>
      <c r="X192" s="179">
        <f t="array" ref="X192">NPV('Pre-Calculation'!$E$20,$E193:E$246)</f>
        <v>0</v>
      </c>
      <c r="Y192" s="171">
        <f>10%*SA</f>
        <v>100000</v>
      </c>
      <c r="Z192" s="179">
        <f t="array" ref="Z192">NPV('Pre-Calculation'!$E$20,Y193:Y202)</f>
        <v>969592.8037</v>
      </c>
    </row>
    <row r="193" ht="15.75" customHeight="1">
      <c r="A193" s="171">
        <f t="shared" si="1"/>
        <v>247</v>
      </c>
      <c r="B193" s="171">
        <f t="shared" si="2"/>
        <v>21</v>
      </c>
      <c r="C193" s="176">
        <f>EDATE(RCD,A192)</f>
        <v>50039</v>
      </c>
      <c r="D193" s="171">
        <f>Age_At_Entry+'Cashflows_8%'!B193-1</f>
        <v>55</v>
      </c>
      <c r="E193" s="175">
        <f>IF(AND(C193&lt;=Last_Prem,MOD(A192,Mode)=0,C193&gt;INPUT!$C$13,A193&lt;=Revival!$C$11),Mod_Prem,0)</f>
        <v>0</v>
      </c>
      <c r="F193" s="177">
        <f>E193*VLOOKUP(B193,'Pre-Calculation'!$H$1:$I$31,2,FALSE)</f>
        <v>0</v>
      </c>
      <c r="G193" s="177">
        <f>IF(B193&lt;PT+1,VLOOKUP(B193,'Pre-Calculation'!$H$1:$L$32,3,FALSE)+VLOOKUP(B193,'Pre-Calculation'!$H$1:$L$32,4,FALSE)*'Pre-Calculation'!$D$7,0)</f>
        <v>0</v>
      </c>
      <c r="H193" s="175">
        <f>(E193-(F193+G193)*(1+Tax)+N192)</f>
        <v>2685310.009</v>
      </c>
      <c r="I193" s="175">
        <f>IF(B193&lt;PT+1,VLOOKUP(D193,'Pre-Calculation'!$N$3:$P$79,IF(INPUT!$C$4="M",2,3),FALSE)*(J193/1000)*(1/12),0)</f>
        <v>0</v>
      </c>
      <c r="J193" s="175">
        <f t="shared" si="3"/>
        <v>0</v>
      </c>
      <c r="K193" s="175">
        <f>(IF('Pre-Calculation'!$D$17="Type 4 a",MAX(SA,H193,1.05*Q193),IF('Pre-Calculation'!$D$17="Type 4 c",H193,IF('Pre-Calculation'!$D$17="Type 4 d",SA+H193,IF('Pre-Calculation'!$D$17="Type 4 e",MAX(SA,H193),IF('Pre-Calculation'!$D$17="Type 4 f",SA,IF('Pre-Calculation'!$D$17="Type 4 g",1000+H193,IF('Pre-Calculation'!$D$17="Type 4 h",SA+X193,IF('Pre-Calculation'!$D$17="Type 4 i",MAX(H193,Q193),IF('Pre-Calculation'!$D$17="Type 4 k",MAX(H193,1.01*Q193),IF('Pre-Calculation'!$D$17="Type 4 m",MAX(105%*Q193,SA+H193),IF('Pre-Calculation'!$D$17="Type 4 o",MAX(SA,105%*Q193)+X193+Z193,IF('Pre-Calculation'!$D$17="Type 5",0)))))))))))))*IF(AND(A193&lt;Revival!$C$4,'Cashflows_8%'!C193&gt;=Revival!$D$12),PUP,1)</f>
        <v>2685310.009</v>
      </c>
      <c r="L193" s="175">
        <f>H193-I193*(1+Tax)</f>
        <v>2685310.009</v>
      </c>
      <c r="M193" s="175">
        <f>L193*(1+GROWTH_RATE_H)*(1-FMC*(1+Tax))</f>
        <v>2699001.641</v>
      </c>
      <c r="N193" s="175">
        <f>M193+IF(MOD(A193,B193)=0,VLOOKUP(B193,'Pre-Calculation'!$H$1:$L$31,5,FALSE),0)*IF('Pre-Calculation'!$D$16="% OF FV",M193,IF(OR('Pre-Calculation'!$D$16="% OF AFV(24M)",'Pre-Calculation'!$D$16="% OF AFV(8Q)"),AVERAGE( $M170:$M193),IF('Pre-Calculation'!$D$16="% OF AFV(12M)",AVERAGE($M182:M193),IF('Pre-Calculation'!$D$16="% OF AFV(36M)",AVERAGE($M158:M193)))))</f>
        <v>2699001.641</v>
      </c>
      <c r="O193" s="175">
        <f t="shared" si="4"/>
        <v>2699001.641</v>
      </c>
      <c r="P193" s="175">
        <f>IF('Pre-Calculation'!$D$17="Type 4 a",MAX(SA,N193,1.05*Q193),IF('Pre-Calculation'!$D$17="Type 4 c",N193,IF('Pre-Calculation'!$D$17="Type 4 d",SA+N193,IF('Pre-Calculation'!$D$17="Type 4 e",MAX(SA,N193),IF('Pre-Calculation'!$D$17="Type 4 f",SA,IF('Pre-Calculation'!$D$17="Type 4 g",1000+N193,IF('Pre-Calculation'!$D$17="Type 4 h",SA+X193,IF('Pre-Calculation'!$D$17="Type 4 i",MAX(N193,Q193),IF('Pre-Calculation'!$D$17="Type 4 k",MAX(N193,1.01*Q193),IF('Pre-Calculation'!$D$17="Type 4 m",MAX(105%*Q193,SA+N193),IF('Pre-Calculation'!$D$17="Type 4 o",MAX(SA,105%*Q193)+X193+Z193,IF('Pre-Calculation'!$D$17="Type 5",0))))))))))))</f>
        <v>2699001.641</v>
      </c>
      <c r="Q193" s="175">
        <f t="shared" si="5"/>
        <v>1000000</v>
      </c>
      <c r="R193" s="119">
        <f>L193*(1+GROWTH_RATE)*FMC</f>
        <v>3038.757371</v>
      </c>
      <c r="S193" s="178">
        <f>S192*(1+'Pre-Calculation'!$E$27)</f>
        <v>1111050.522</v>
      </c>
      <c r="T193" s="175">
        <f>-E193+IF(A192=INPUT!$C$11*12,N193,0)</f>
        <v>0</v>
      </c>
      <c r="U193" s="175">
        <f t="shared" si="6"/>
        <v>2653887.625</v>
      </c>
      <c r="V193" s="175">
        <f>U193*(1+GROWTH_RATE_H)*(1-'Pre-Calculation'!$E$31)</f>
        <v>2666514.799</v>
      </c>
      <c r="W193" s="175">
        <f>-E193+IF(A192=INPUT!$C$11*12,V193,0)</f>
        <v>0</v>
      </c>
      <c r="X193" s="179">
        <f t="array" ref="X193">NPV('Pre-Calculation'!$E$20,$E194:E$246)</f>
        <v>0</v>
      </c>
      <c r="Y193" s="171">
        <f>10%*SA</f>
        <v>100000</v>
      </c>
      <c r="Z193" s="179">
        <f t="array" ref="Z193">NPV('Pre-Calculation'!$E$20,Y194:Y203)</f>
        <v>969592.8037</v>
      </c>
    </row>
    <row r="194" ht="15.75" customHeight="1">
      <c r="A194" s="171">
        <f t="shared" si="1"/>
        <v>248</v>
      </c>
      <c r="B194" s="171">
        <f t="shared" si="2"/>
        <v>21</v>
      </c>
      <c r="C194" s="176">
        <f>EDATE(RCD,A193)</f>
        <v>50070</v>
      </c>
      <c r="D194" s="171">
        <f>Age_At_Entry+'Cashflows_8%'!B194-1</f>
        <v>55</v>
      </c>
      <c r="E194" s="175">
        <f>IF(AND(C194&lt;=Last_Prem,MOD(A193,Mode)=0,C194&gt;INPUT!$C$13,A194&lt;=Revival!$C$11),Mod_Prem,0)</f>
        <v>0</v>
      </c>
      <c r="F194" s="177">
        <f>E194*VLOOKUP(B194,'Pre-Calculation'!$H$1:$I$31,2,FALSE)</f>
        <v>0</v>
      </c>
      <c r="G194" s="177">
        <f>IF(B194&lt;PT+1,VLOOKUP(B194,'Pre-Calculation'!$H$1:$L$32,3,FALSE)+VLOOKUP(B194,'Pre-Calculation'!$H$1:$L$32,4,FALSE)*'Pre-Calculation'!$D$7,0)</f>
        <v>0</v>
      </c>
      <c r="H194" s="175">
        <f>(E194-(F194+G194)*(1+Tax)+N193)</f>
        <v>2699001.641</v>
      </c>
      <c r="I194" s="175">
        <f>IF(B194&lt;PT+1,VLOOKUP(D194,'Pre-Calculation'!$N$3:$P$79,IF(INPUT!$C$4="M",2,3),FALSE)*(J194/1000)*(1/12),0)</f>
        <v>0</v>
      </c>
      <c r="J194" s="175">
        <f t="shared" si="3"/>
        <v>0</v>
      </c>
      <c r="K194" s="175">
        <f>(IF('Pre-Calculation'!$D$17="Type 4 a",MAX(SA,H194,1.05*Q194),IF('Pre-Calculation'!$D$17="Type 4 c",H194,IF('Pre-Calculation'!$D$17="Type 4 d",SA+H194,IF('Pre-Calculation'!$D$17="Type 4 e",MAX(SA,H194),IF('Pre-Calculation'!$D$17="Type 4 f",SA,IF('Pre-Calculation'!$D$17="Type 4 g",1000+H194,IF('Pre-Calculation'!$D$17="Type 4 h",SA+X194,IF('Pre-Calculation'!$D$17="Type 4 i",MAX(H194,Q194),IF('Pre-Calculation'!$D$17="Type 4 k",MAX(H194,1.01*Q194),IF('Pre-Calculation'!$D$17="Type 4 m",MAX(105%*Q194,SA+H194),IF('Pre-Calculation'!$D$17="Type 4 o",MAX(SA,105%*Q194)+X194+Z194,IF('Pre-Calculation'!$D$17="Type 5",0)))))))))))))*IF(AND(A194&lt;Revival!$C$4,'Cashflows_8%'!C194&gt;=Revival!$D$12),PUP,1)</f>
        <v>2699001.641</v>
      </c>
      <c r="L194" s="175">
        <f>H194-I194*(1+Tax)</f>
        <v>2699001.641</v>
      </c>
      <c r="M194" s="175">
        <f>L194*(1+GROWTH_RATE_H)*(1-FMC*(1+Tax))</f>
        <v>2712763.082</v>
      </c>
      <c r="N194" s="175">
        <f>M194+IF(MOD(A194,B194)=0,VLOOKUP(B194,'Pre-Calculation'!$H$1:$L$31,5,FALSE),0)*IF('Pre-Calculation'!$D$16="% OF FV",M194,IF(OR('Pre-Calculation'!$D$16="% OF AFV(24M)",'Pre-Calculation'!$D$16="% OF AFV(8Q)"),AVERAGE( $M171:$M194),IF('Pre-Calculation'!$D$16="% OF AFV(12M)",AVERAGE($M183:M194),IF('Pre-Calculation'!$D$16="% OF AFV(36M)",AVERAGE($M159:M194)))))</f>
        <v>2712763.082</v>
      </c>
      <c r="O194" s="175">
        <f t="shared" si="4"/>
        <v>2712763.082</v>
      </c>
      <c r="P194" s="175">
        <f>IF('Pre-Calculation'!$D$17="Type 4 a",MAX(SA,N194,1.05*Q194),IF('Pre-Calculation'!$D$17="Type 4 c",N194,IF('Pre-Calculation'!$D$17="Type 4 d",SA+N194,IF('Pre-Calculation'!$D$17="Type 4 e",MAX(SA,N194),IF('Pre-Calculation'!$D$17="Type 4 f",SA,IF('Pre-Calculation'!$D$17="Type 4 g",1000+N194,IF('Pre-Calculation'!$D$17="Type 4 h",SA+X194,IF('Pre-Calculation'!$D$17="Type 4 i",MAX(N194,Q194),IF('Pre-Calculation'!$D$17="Type 4 k",MAX(N194,1.01*Q194),IF('Pre-Calculation'!$D$17="Type 4 m",MAX(105%*Q194,SA+N194),IF('Pre-Calculation'!$D$17="Type 4 o",MAX(SA,105%*Q194)+X194+Z194,IF('Pre-Calculation'!$D$17="Type 5",0))))))))))))</f>
        <v>2712763.082</v>
      </c>
      <c r="Q194" s="175">
        <f t="shared" si="5"/>
        <v>1000000</v>
      </c>
      <c r="R194" s="119">
        <f>L194*(1+GROWTH_RATE)*FMC</f>
        <v>3054.251131</v>
      </c>
      <c r="S194" s="178">
        <f>S193*(1+'Pre-Calculation'!$E$27)</f>
        <v>1114240.235</v>
      </c>
      <c r="T194" s="175">
        <f>-E194+IF(A193=INPUT!$C$11*12,N194,0)</f>
        <v>0</v>
      </c>
      <c r="U194" s="175">
        <f t="shared" si="6"/>
        <v>2666514.799</v>
      </c>
      <c r="V194" s="175">
        <f>U194*(1+GROWTH_RATE_H)*(1-'Pre-Calculation'!$E$31)</f>
        <v>2679202.053</v>
      </c>
      <c r="W194" s="175">
        <f>-E194+IF(A193=INPUT!$C$11*12,V194,0)</f>
        <v>0</v>
      </c>
      <c r="X194" s="179">
        <f t="array" ref="X194">NPV('Pre-Calculation'!$E$20,$E195:E$246)</f>
        <v>0</v>
      </c>
      <c r="Y194" s="171">
        <f>10%*SA</f>
        <v>100000</v>
      </c>
      <c r="Z194" s="179">
        <f t="array" ref="Z194">NPV('Pre-Calculation'!$E$20,Y195:Y204)</f>
        <v>969592.8037</v>
      </c>
    </row>
    <row r="195" ht="15.75" customHeight="1">
      <c r="A195" s="171">
        <f t="shared" si="1"/>
        <v>249</v>
      </c>
      <c r="B195" s="171">
        <f t="shared" si="2"/>
        <v>21</v>
      </c>
      <c r="C195" s="176">
        <f>EDATE(RCD,A194)</f>
        <v>50099</v>
      </c>
      <c r="D195" s="171">
        <f>Age_At_Entry+'Cashflows_8%'!B195-1</f>
        <v>55</v>
      </c>
      <c r="E195" s="175">
        <f>IF(AND(C195&lt;=Last_Prem,MOD(A194,Mode)=0,C195&gt;INPUT!$C$13,A195&lt;=Revival!$C$11),Mod_Prem,0)</f>
        <v>0</v>
      </c>
      <c r="F195" s="177">
        <f>E195*VLOOKUP(B195,'Pre-Calculation'!$H$1:$I$31,2,FALSE)</f>
        <v>0</v>
      </c>
      <c r="G195" s="177">
        <f>IF(B195&lt;PT+1,VLOOKUP(B195,'Pre-Calculation'!$H$1:$L$32,3,FALSE)+VLOOKUP(B195,'Pre-Calculation'!$H$1:$L$32,4,FALSE)*'Pre-Calculation'!$D$7,0)</f>
        <v>0</v>
      </c>
      <c r="H195" s="175">
        <f>(E195-(F195+G195)*(1+Tax)+N194)</f>
        <v>2712763.082</v>
      </c>
      <c r="I195" s="175">
        <f>IF(B195&lt;PT+1,VLOOKUP(D195,'Pre-Calculation'!$N$3:$P$79,IF(INPUT!$C$4="M",2,3),FALSE)*(J195/1000)*(1/12),0)</f>
        <v>0</v>
      </c>
      <c r="J195" s="175">
        <f t="shared" si="3"/>
        <v>0</v>
      </c>
      <c r="K195" s="175">
        <f>(IF('Pre-Calculation'!$D$17="Type 4 a",MAX(SA,H195,1.05*Q195),IF('Pre-Calculation'!$D$17="Type 4 c",H195,IF('Pre-Calculation'!$D$17="Type 4 d",SA+H195,IF('Pre-Calculation'!$D$17="Type 4 e",MAX(SA,H195),IF('Pre-Calculation'!$D$17="Type 4 f",SA,IF('Pre-Calculation'!$D$17="Type 4 g",1000+H195,IF('Pre-Calculation'!$D$17="Type 4 h",SA+X195,IF('Pre-Calculation'!$D$17="Type 4 i",MAX(H195,Q195),IF('Pre-Calculation'!$D$17="Type 4 k",MAX(H195,1.01*Q195),IF('Pre-Calculation'!$D$17="Type 4 m",MAX(105%*Q195,SA+H195),IF('Pre-Calculation'!$D$17="Type 4 o",MAX(SA,105%*Q195)+X195+Z195,IF('Pre-Calculation'!$D$17="Type 5",0)))))))))))))*IF(AND(A195&lt;Revival!$C$4,'Cashflows_8%'!C195&gt;=Revival!$D$12),PUP,1)</f>
        <v>2712763.082</v>
      </c>
      <c r="L195" s="175">
        <f>H195-I195*(1+Tax)</f>
        <v>2712763.082</v>
      </c>
      <c r="M195" s="175">
        <f>L195*(1+GROWTH_RATE_H)*(1-FMC*(1+Tax))</f>
        <v>2726594.689</v>
      </c>
      <c r="N195" s="175">
        <f>M195+IF(MOD(A195,B195)=0,VLOOKUP(B195,'Pre-Calculation'!$H$1:$L$31,5,FALSE),0)*IF('Pre-Calculation'!$D$16="% OF FV",M195,IF(OR('Pre-Calculation'!$D$16="% OF AFV(24M)",'Pre-Calculation'!$D$16="% OF AFV(8Q)"),AVERAGE( $M172:$M195),IF('Pre-Calculation'!$D$16="% OF AFV(12M)",AVERAGE($M184:M195),IF('Pre-Calculation'!$D$16="% OF AFV(36M)",AVERAGE($M160:M195)))))</f>
        <v>2726594.689</v>
      </c>
      <c r="O195" s="175">
        <f t="shared" si="4"/>
        <v>2726594.689</v>
      </c>
      <c r="P195" s="175">
        <f>IF('Pre-Calculation'!$D$17="Type 4 a",MAX(SA,N195,1.05*Q195),IF('Pre-Calculation'!$D$17="Type 4 c",N195,IF('Pre-Calculation'!$D$17="Type 4 d",SA+N195,IF('Pre-Calculation'!$D$17="Type 4 e",MAX(SA,N195),IF('Pre-Calculation'!$D$17="Type 4 f",SA,IF('Pre-Calculation'!$D$17="Type 4 g",1000+N195,IF('Pre-Calculation'!$D$17="Type 4 h",SA+X195,IF('Pre-Calculation'!$D$17="Type 4 i",MAX(N195,Q195),IF('Pre-Calculation'!$D$17="Type 4 k",MAX(N195,1.01*Q195),IF('Pre-Calculation'!$D$17="Type 4 m",MAX(105%*Q195,SA+N195),IF('Pre-Calculation'!$D$17="Type 4 o",MAX(SA,105%*Q195)+X195+Z195,IF('Pre-Calculation'!$D$17="Type 5",0))))))))))))</f>
        <v>2726594.689</v>
      </c>
      <c r="Q195" s="175">
        <f t="shared" si="5"/>
        <v>1000000</v>
      </c>
      <c r="R195" s="119">
        <f>L195*(1+GROWTH_RATE)*FMC</f>
        <v>3069.823888</v>
      </c>
      <c r="S195" s="178">
        <f>S194*(1+'Pre-Calculation'!$E$27)</f>
        <v>1117439.106</v>
      </c>
      <c r="T195" s="175">
        <f>-E195+IF(A194=INPUT!$C$11*12,N195,0)</f>
        <v>0</v>
      </c>
      <c r="U195" s="175">
        <f t="shared" si="6"/>
        <v>2679202.053</v>
      </c>
      <c r="V195" s="175">
        <f>U195*(1+GROWTH_RATE_H)*(1-'Pre-Calculation'!$E$31)</f>
        <v>2691949.673</v>
      </c>
      <c r="W195" s="175">
        <f>-E195+IF(A194=INPUT!$C$11*12,V195,0)</f>
        <v>0</v>
      </c>
      <c r="X195" s="179">
        <f t="array" ref="X195">NPV('Pre-Calculation'!$E$20,$E196:E$246)</f>
        <v>0</v>
      </c>
      <c r="Y195" s="171">
        <f>10%*SA</f>
        <v>100000</v>
      </c>
      <c r="Z195" s="179">
        <f t="array" ref="Z195">NPV('Pre-Calculation'!$E$20,Y196:Y205)</f>
        <v>969592.8037</v>
      </c>
    </row>
    <row r="196" ht="15.75" customHeight="1">
      <c r="A196" s="171">
        <f t="shared" si="1"/>
        <v>250</v>
      </c>
      <c r="B196" s="171">
        <f t="shared" si="2"/>
        <v>21</v>
      </c>
      <c r="C196" s="176">
        <f>EDATE(RCD,A195)</f>
        <v>50129</v>
      </c>
      <c r="D196" s="171">
        <f>Age_At_Entry+'Cashflows_8%'!B196-1</f>
        <v>55</v>
      </c>
      <c r="E196" s="175">
        <f>IF(AND(C196&lt;=Last_Prem,MOD(A195,Mode)=0,C196&gt;INPUT!$C$13,A196&lt;=Revival!$C$11),Mod_Prem,0)</f>
        <v>0</v>
      </c>
      <c r="F196" s="177">
        <f>E196*VLOOKUP(B196,'Pre-Calculation'!$H$1:$I$31,2,FALSE)</f>
        <v>0</v>
      </c>
      <c r="G196" s="177">
        <f>IF(B196&lt;PT+1,VLOOKUP(B196,'Pre-Calculation'!$H$1:$L$32,3,FALSE)+VLOOKUP(B196,'Pre-Calculation'!$H$1:$L$32,4,FALSE)*'Pre-Calculation'!$D$7,0)</f>
        <v>0</v>
      </c>
      <c r="H196" s="175">
        <f>(E196-(F196+G196)*(1+Tax)+N195)</f>
        <v>2726594.689</v>
      </c>
      <c r="I196" s="175">
        <f>IF(B196&lt;PT+1,VLOOKUP(D196,'Pre-Calculation'!$N$3:$P$79,IF(INPUT!$C$4="M",2,3),FALSE)*(J196/1000)*(1/12),0)</f>
        <v>0</v>
      </c>
      <c r="J196" s="175">
        <f t="shared" si="3"/>
        <v>0</v>
      </c>
      <c r="K196" s="175">
        <f>(IF('Pre-Calculation'!$D$17="Type 4 a",MAX(SA,H196,1.05*Q196),IF('Pre-Calculation'!$D$17="Type 4 c",H196,IF('Pre-Calculation'!$D$17="Type 4 d",SA+H196,IF('Pre-Calculation'!$D$17="Type 4 e",MAX(SA,H196),IF('Pre-Calculation'!$D$17="Type 4 f",SA,IF('Pre-Calculation'!$D$17="Type 4 g",1000+H196,IF('Pre-Calculation'!$D$17="Type 4 h",SA+X196,IF('Pre-Calculation'!$D$17="Type 4 i",MAX(H196,Q196),IF('Pre-Calculation'!$D$17="Type 4 k",MAX(H196,1.01*Q196),IF('Pre-Calculation'!$D$17="Type 4 m",MAX(105%*Q196,SA+H196),IF('Pre-Calculation'!$D$17="Type 4 o",MAX(SA,105%*Q196)+X196+Z196,IF('Pre-Calculation'!$D$17="Type 5",0)))))))))))))*IF(AND(A196&lt;Revival!$C$4,'Cashflows_8%'!C196&gt;=Revival!$D$12),PUP,1)</f>
        <v>2726594.689</v>
      </c>
      <c r="L196" s="175">
        <f>H196-I196*(1+Tax)</f>
        <v>2726594.689</v>
      </c>
      <c r="M196" s="175">
        <f>L196*(1+GROWTH_RATE_H)*(1-FMC*(1+Tax))</f>
        <v>2740496.82</v>
      </c>
      <c r="N196" s="175">
        <f>M196+IF(MOD(A196,B196)=0,VLOOKUP(B196,'Pre-Calculation'!$H$1:$L$31,5,FALSE),0)*IF('Pre-Calculation'!$D$16="% OF FV",M196,IF(OR('Pre-Calculation'!$D$16="% OF AFV(24M)",'Pre-Calculation'!$D$16="% OF AFV(8Q)"),AVERAGE( $M173:$M196),IF('Pre-Calculation'!$D$16="% OF AFV(12M)",AVERAGE($M185:M196),IF('Pre-Calculation'!$D$16="% OF AFV(36M)",AVERAGE($M161:M196)))))</f>
        <v>2740496.82</v>
      </c>
      <c r="O196" s="175">
        <f t="shared" si="4"/>
        <v>2740496.82</v>
      </c>
      <c r="P196" s="175">
        <f>IF('Pre-Calculation'!$D$17="Type 4 a",MAX(SA,N196,1.05*Q196),IF('Pre-Calculation'!$D$17="Type 4 c",N196,IF('Pre-Calculation'!$D$17="Type 4 d",SA+N196,IF('Pre-Calculation'!$D$17="Type 4 e",MAX(SA,N196),IF('Pre-Calculation'!$D$17="Type 4 f",SA,IF('Pre-Calculation'!$D$17="Type 4 g",1000+N196,IF('Pre-Calculation'!$D$17="Type 4 h",SA+X196,IF('Pre-Calculation'!$D$17="Type 4 i",MAX(N196,Q196),IF('Pre-Calculation'!$D$17="Type 4 k",MAX(N196,1.01*Q196),IF('Pre-Calculation'!$D$17="Type 4 m",MAX(105%*Q196,SA+N196),IF('Pre-Calculation'!$D$17="Type 4 o",MAX(SA,105%*Q196)+X196+Z196,IF('Pre-Calculation'!$D$17="Type 5",0))))))))))))</f>
        <v>2740496.82</v>
      </c>
      <c r="Q196" s="175">
        <f t="shared" si="5"/>
        <v>1000000</v>
      </c>
      <c r="R196" s="119">
        <f>L196*(1+GROWTH_RATE)*FMC</f>
        <v>3085.476047</v>
      </c>
      <c r="S196" s="178">
        <f>S195*(1+'Pre-Calculation'!$E$27)</f>
        <v>1120647.16</v>
      </c>
      <c r="T196" s="175">
        <f>-E196+IF(A195=INPUT!$C$11*12,N196,0)</f>
        <v>0</v>
      </c>
      <c r="U196" s="175">
        <f t="shared" si="6"/>
        <v>2691949.673</v>
      </c>
      <c r="V196" s="175">
        <f>U196*(1+GROWTH_RATE_H)*(1-'Pre-Calculation'!$E$31)</f>
        <v>2704757.946</v>
      </c>
      <c r="W196" s="175">
        <f>-E196+IF(A195=INPUT!$C$11*12,V196,0)</f>
        <v>0</v>
      </c>
      <c r="X196" s="179">
        <f t="array" ref="X196">NPV('Pre-Calculation'!$E$20,$E197:E$246)</f>
        <v>0</v>
      </c>
      <c r="Y196" s="171">
        <f>10%*SA</f>
        <v>100000</v>
      </c>
      <c r="Z196" s="179">
        <f t="array" ref="Z196">NPV('Pre-Calculation'!$E$20,Y197:Y206)</f>
        <v>969592.8037</v>
      </c>
    </row>
    <row r="197" ht="15.75" customHeight="1">
      <c r="A197" s="171">
        <f t="shared" si="1"/>
        <v>251</v>
      </c>
      <c r="B197" s="171">
        <f t="shared" si="2"/>
        <v>21</v>
      </c>
      <c r="C197" s="176">
        <f>EDATE(RCD,A196)</f>
        <v>50160</v>
      </c>
      <c r="D197" s="171">
        <f>Age_At_Entry+'Cashflows_8%'!B197-1</f>
        <v>55</v>
      </c>
      <c r="E197" s="175">
        <f>IF(AND(C197&lt;=Last_Prem,MOD(A196,Mode)=0,C197&gt;INPUT!$C$13,A197&lt;=Revival!$C$11),Mod_Prem,0)</f>
        <v>0</v>
      </c>
      <c r="F197" s="177">
        <f>E197*VLOOKUP(B197,'Pre-Calculation'!$H$1:$I$31,2,FALSE)</f>
        <v>0</v>
      </c>
      <c r="G197" s="177">
        <f>IF(B197&lt;PT+1,VLOOKUP(B197,'Pre-Calculation'!$H$1:$L$32,3,FALSE)+VLOOKUP(B197,'Pre-Calculation'!$H$1:$L$32,4,FALSE)*'Pre-Calculation'!$D$7,0)</f>
        <v>0</v>
      </c>
      <c r="H197" s="175">
        <f>(E197-(F197+G197)*(1+Tax)+N196)</f>
        <v>2740496.82</v>
      </c>
      <c r="I197" s="175">
        <f>IF(B197&lt;PT+1,VLOOKUP(D197,'Pre-Calculation'!$N$3:$P$79,IF(INPUT!$C$4="M",2,3),FALSE)*(J197/1000)*(1/12),0)</f>
        <v>0</v>
      </c>
      <c r="J197" s="175">
        <f t="shared" si="3"/>
        <v>0</v>
      </c>
      <c r="K197" s="175">
        <f>(IF('Pre-Calculation'!$D$17="Type 4 a",MAX(SA,H197,1.05*Q197),IF('Pre-Calculation'!$D$17="Type 4 c",H197,IF('Pre-Calculation'!$D$17="Type 4 d",SA+H197,IF('Pre-Calculation'!$D$17="Type 4 e",MAX(SA,H197),IF('Pre-Calculation'!$D$17="Type 4 f",SA,IF('Pre-Calculation'!$D$17="Type 4 g",1000+H197,IF('Pre-Calculation'!$D$17="Type 4 h",SA+X197,IF('Pre-Calculation'!$D$17="Type 4 i",MAX(H197,Q197),IF('Pre-Calculation'!$D$17="Type 4 k",MAX(H197,1.01*Q197),IF('Pre-Calculation'!$D$17="Type 4 m",MAX(105%*Q197,SA+H197),IF('Pre-Calculation'!$D$17="Type 4 o",MAX(SA,105%*Q197)+X197+Z197,IF('Pre-Calculation'!$D$17="Type 5",0)))))))))))))*IF(AND(A197&lt;Revival!$C$4,'Cashflows_8%'!C197&gt;=Revival!$D$12),PUP,1)</f>
        <v>2740496.82</v>
      </c>
      <c r="L197" s="175">
        <f>H197-I197*(1+Tax)</f>
        <v>2740496.82</v>
      </c>
      <c r="M197" s="175">
        <f>L197*(1+GROWTH_RATE_H)*(1-FMC*(1+Tax))</f>
        <v>2754469.834</v>
      </c>
      <c r="N197" s="175">
        <f>M197+IF(MOD(A197,B197)=0,VLOOKUP(B197,'Pre-Calculation'!$H$1:$L$31,5,FALSE),0)*IF('Pre-Calculation'!$D$16="% OF FV",M197,IF(OR('Pre-Calculation'!$D$16="% OF AFV(24M)",'Pre-Calculation'!$D$16="% OF AFV(8Q)"),AVERAGE( $M174:$M197),IF('Pre-Calculation'!$D$16="% OF AFV(12M)",AVERAGE($M186:M197),IF('Pre-Calculation'!$D$16="% OF AFV(36M)",AVERAGE($M162:M197)))))</f>
        <v>2754469.834</v>
      </c>
      <c r="O197" s="175">
        <f t="shared" si="4"/>
        <v>2754469.834</v>
      </c>
      <c r="P197" s="175">
        <f>IF('Pre-Calculation'!$D$17="Type 4 a",MAX(SA,N197,1.05*Q197),IF('Pre-Calculation'!$D$17="Type 4 c",N197,IF('Pre-Calculation'!$D$17="Type 4 d",SA+N197,IF('Pre-Calculation'!$D$17="Type 4 e",MAX(SA,N197),IF('Pre-Calculation'!$D$17="Type 4 f",SA,IF('Pre-Calculation'!$D$17="Type 4 g",1000+N197,IF('Pre-Calculation'!$D$17="Type 4 h",SA+X197,IF('Pre-Calculation'!$D$17="Type 4 i",MAX(N197,Q197),IF('Pre-Calculation'!$D$17="Type 4 k",MAX(N197,1.01*Q197),IF('Pre-Calculation'!$D$17="Type 4 m",MAX(105%*Q197,SA+N197),IF('Pre-Calculation'!$D$17="Type 4 o",MAX(SA,105%*Q197)+X197+Z197,IF('Pre-Calculation'!$D$17="Type 5",0))))))))))))</f>
        <v>2754469.834</v>
      </c>
      <c r="Q197" s="175">
        <f t="shared" si="5"/>
        <v>1000000</v>
      </c>
      <c r="R197" s="119">
        <f>L197*(1+GROWTH_RATE)*FMC</f>
        <v>3101.208011</v>
      </c>
      <c r="S197" s="178">
        <f>S196*(1+'Pre-Calculation'!$E$27)</f>
        <v>1123864.425</v>
      </c>
      <c r="T197" s="175">
        <f>-E197+IF(A196=INPUT!$C$11*12,N197,0)</f>
        <v>0</v>
      </c>
      <c r="U197" s="175">
        <f t="shared" si="6"/>
        <v>2704757.946</v>
      </c>
      <c r="V197" s="175">
        <f>U197*(1+GROWTH_RATE_H)*(1-'Pre-Calculation'!$E$31)</f>
        <v>2717627.161</v>
      </c>
      <c r="W197" s="175">
        <f>-E197+IF(A196=INPUT!$C$11*12,V197,0)</f>
        <v>0</v>
      </c>
      <c r="X197" s="179">
        <f t="array" ref="X197">NPV('Pre-Calculation'!$E$20,$E198:E$246)</f>
        <v>0</v>
      </c>
      <c r="Y197" s="171">
        <f>10%*SA</f>
        <v>100000</v>
      </c>
      <c r="Z197" s="179">
        <f t="array" ref="Z197">NPV('Pre-Calculation'!$E$20,Y198:Y207)</f>
        <v>969592.8037</v>
      </c>
    </row>
    <row r="198" ht="15.75" customHeight="1">
      <c r="A198" s="171">
        <f t="shared" si="1"/>
        <v>252</v>
      </c>
      <c r="B198" s="171">
        <f t="shared" si="2"/>
        <v>21</v>
      </c>
      <c r="C198" s="176">
        <f>EDATE(RCD,A197)</f>
        <v>50190</v>
      </c>
      <c r="D198" s="171">
        <f>Age_At_Entry+'Cashflows_8%'!B198-1</f>
        <v>55</v>
      </c>
      <c r="E198" s="175">
        <f>IF(AND(C198&lt;=Last_Prem,MOD(A197,Mode)=0,C198&gt;INPUT!$C$13,A198&lt;=Revival!$C$11),Mod_Prem,0)</f>
        <v>0</v>
      </c>
      <c r="F198" s="177">
        <f>E198*VLOOKUP(B198,'Pre-Calculation'!$H$1:$I$31,2,FALSE)</f>
        <v>0</v>
      </c>
      <c r="G198" s="177">
        <f>IF(B198&lt;PT+1,VLOOKUP(B198,'Pre-Calculation'!$H$1:$L$32,3,FALSE)+VLOOKUP(B198,'Pre-Calculation'!$H$1:$L$32,4,FALSE)*'Pre-Calculation'!$D$7,0)</f>
        <v>0</v>
      </c>
      <c r="H198" s="175">
        <f>(E198-(F198+G198)*(1+Tax)+N197)</f>
        <v>2754469.834</v>
      </c>
      <c r="I198" s="175">
        <f>IF(B198&lt;PT+1,VLOOKUP(D198,'Pre-Calculation'!$N$3:$P$79,IF(INPUT!$C$4="M",2,3),FALSE)*(J198/1000)*(1/12),0)</f>
        <v>0</v>
      </c>
      <c r="J198" s="175">
        <f t="shared" si="3"/>
        <v>0</v>
      </c>
      <c r="K198" s="175">
        <f>(IF('Pre-Calculation'!$D$17="Type 4 a",MAX(SA,H198,1.05*Q198),IF('Pre-Calculation'!$D$17="Type 4 c",H198,IF('Pre-Calculation'!$D$17="Type 4 d",SA+H198,IF('Pre-Calculation'!$D$17="Type 4 e",MAX(SA,H198),IF('Pre-Calculation'!$D$17="Type 4 f",SA,IF('Pre-Calculation'!$D$17="Type 4 g",1000+H198,IF('Pre-Calculation'!$D$17="Type 4 h",SA+X198,IF('Pre-Calculation'!$D$17="Type 4 i",MAX(H198,Q198),IF('Pre-Calculation'!$D$17="Type 4 k",MAX(H198,1.01*Q198),IF('Pre-Calculation'!$D$17="Type 4 m",MAX(105%*Q198,SA+H198),IF('Pre-Calculation'!$D$17="Type 4 o",MAX(SA,105%*Q198)+X198+Z198,IF('Pre-Calculation'!$D$17="Type 5",0)))))))))))))*IF(AND(A198&lt;Revival!$C$4,'Cashflows_8%'!C198&gt;=Revival!$D$12),PUP,1)</f>
        <v>2754469.834</v>
      </c>
      <c r="L198" s="175">
        <f>H198-I198*(1+Tax)</f>
        <v>2754469.834</v>
      </c>
      <c r="M198" s="175">
        <f>L198*(1+GROWTH_RATE_H)*(1-FMC*(1+Tax))</f>
        <v>2768514.092</v>
      </c>
      <c r="N198" s="175">
        <f>M198+IF(MOD(A198,B198)=0,VLOOKUP(B198,'Pre-Calculation'!$H$1:$L$31,5,FALSE),0)*IF('Pre-Calculation'!$D$16="% OF FV",M198,IF(OR('Pre-Calculation'!$D$16="% OF AFV(24M)",'Pre-Calculation'!$D$16="% OF AFV(8Q)"),AVERAGE( $M175:$M198),IF('Pre-Calculation'!$D$16="% OF AFV(12M)",AVERAGE($M187:M198),IF('Pre-Calculation'!$D$16="% OF AFV(36M)",AVERAGE($M163:M198)))))</f>
        <v>2768514.092</v>
      </c>
      <c r="O198" s="175">
        <f t="shared" si="4"/>
        <v>2768514.092</v>
      </c>
      <c r="P198" s="175">
        <f>IF('Pre-Calculation'!$D$17="Type 4 a",MAX(SA,N198,1.05*Q198),IF('Pre-Calculation'!$D$17="Type 4 c",N198,IF('Pre-Calculation'!$D$17="Type 4 d",SA+N198,IF('Pre-Calculation'!$D$17="Type 4 e",MAX(SA,N198),IF('Pre-Calculation'!$D$17="Type 4 f",SA,IF('Pre-Calculation'!$D$17="Type 4 g",1000+N198,IF('Pre-Calculation'!$D$17="Type 4 h",SA+X198,IF('Pre-Calculation'!$D$17="Type 4 i",MAX(N198,Q198),IF('Pre-Calculation'!$D$17="Type 4 k",MAX(N198,1.01*Q198),IF('Pre-Calculation'!$D$17="Type 4 m",MAX(105%*Q198,SA+N198),IF('Pre-Calculation'!$D$17="Type 4 o",MAX(SA,105%*Q198)+X198+Z198,IF('Pre-Calculation'!$D$17="Type 5",0))))))))))))</f>
        <v>2768514.092</v>
      </c>
      <c r="Q198" s="175">
        <f t="shared" si="5"/>
        <v>1000000</v>
      </c>
      <c r="R198" s="119">
        <f>L198*(1+GROWTH_RATE)*FMC</f>
        <v>3117.020189</v>
      </c>
      <c r="S198" s="178">
        <f>S197*(1+'Pre-Calculation'!$E$27)</f>
        <v>1127090.926</v>
      </c>
      <c r="T198" s="175">
        <f>-E198+IF(A197=INPUT!$C$11*12,N198,0)</f>
        <v>0</v>
      </c>
      <c r="U198" s="175">
        <f t="shared" si="6"/>
        <v>2717627.161</v>
      </c>
      <c r="V198" s="175">
        <f>U198*(1+GROWTH_RATE_H)*(1-'Pre-Calculation'!$E$31)</f>
        <v>2730557.607</v>
      </c>
      <c r="W198" s="175">
        <f>-E198+IF(A197=INPUT!$C$11*12,V198,0)</f>
        <v>0</v>
      </c>
      <c r="X198" s="179">
        <f t="array" ref="X198">NPV('Pre-Calculation'!$E$20,$E199:E$246)</f>
        <v>0</v>
      </c>
      <c r="Y198" s="171">
        <f>10%*SA</f>
        <v>100000</v>
      </c>
      <c r="Z198" s="179">
        <f t="array" ref="Z198">NPV('Pre-Calculation'!$E$20,Y199:Y208)</f>
        <v>969592.8037</v>
      </c>
    </row>
    <row r="199" ht="15.75" customHeight="1">
      <c r="A199" s="171">
        <f t="shared" si="1"/>
        <v>253</v>
      </c>
      <c r="B199" s="171">
        <f t="shared" si="2"/>
        <v>22</v>
      </c>
      <c r="C199" s="176">
        <f>EDATE(RCD,A198)</f>
        <v>50221</v>
      </c>
      <c r="D199" s="171">
        <f>Age_At_Entry+'Cashflows_8%'!B199-1</f>
        <v>56</v>
      </c>
      <c r="E199" s="175">
        <f>IF(AND(C199&lt;=Last_Prem,MOD(A198,Mode)=0,C199&gt;INPUT!$C$13,A199&lt;=Revival!$C$11),Mod_Prem,0)</f>
        <v>0</v>
      </c>
      <c r="F199" s="177">
        <f>E199*VLOOKUP(B199,'Pre-Calculation'!$H$1:$I$31,2,FALSE)</f>
        <v>0</v>
      </c>
      <c r="G199" s="177">
        <f>IF(B199&lt;PT+1,VLOOKUP(B199,'Pre-Calculation'!$H$1:$L$32,3,FALSE)+VLOOKUP(B199,'Pre-Calculation'!$H$1:$L$32,4,FALSE)*'Pre-Calculation'!$D$7,0)</f>
        <v>0</v>
      </c>
      <c r="H199" s="175">
        <f>(E199-(F199+G199)*(1+Tax)+N198)</f>
        <v>2768514.092</v>
      </c>
      <c r="I199" s="175">
        <f>IF(B199&lt;PT+1,VLOOKUP(D199,'Pre-Calculation'!$N$3:$P$79,IF(INPUT!$C$4="M",2,3),FALSE)*(J199/1000)*(1/12),0)</f>
        <v>0</v>
      </c>
      <c r="J199" s="175">
        <f t="shared" si="3"/>
        <v>0</v>
      </c>
      <c r="K199" s="175">
        <f>(IF('Pre-Calculation'!$D$17="Type 4 a",MAX(SA,H199,1.05*Q199),IF('Pre-Calculation'!$D$17="Type 4 c",H199,IF('Pre-Calculation'!$D$17="Type 4 d",SA+H199,IF('Pre-Calculation'!$D$17="Type 4 e",MAX(SA,H199),IF('Pre-Calculation'!$D$17="Type 4 f",SA,IF('Pre-Calculation'!$D$17="Type 4 g",1000+H199,IF('Pre-Calculation'!$D$17="Type 4 h",SA+X199,IF('Pre-Calculation'!$D$17="Type 4 i",MAX(H199,Q199),IF('Pre-Calculation'!$D$17="Type 4 k",MAX(H199,1.01*Q199),IF('Pre-Calculation'!$D$17="Type 4 m",MAX(105%*Q199,SA+H199),IF('Pre-Calculation'!$D$17="Type 4 o",MAX(SA,105%*Q199)+X199+Z199,IF('Pre-Calculation'!$D$17="Type 5",0)))))))))))))*IF(AND(A199&lt;Revival!$C$4,'Cashflows_8%'!C199&gt;=Revival!$D$12),PUP,1)</f>
        <v>2768514.092</v>
      </c>
      <c r="L199" s="175">
        <f>H199-I199*(1+Tax)</f>
        <v>2768514.092</v>
      </c>
      <c r="M199" s="175">
        <f>L199*(1+GROWTH_RATE_H)*(1-FMC*(1+Tax))</f>
        <v>2782629.957</v>
      </c>
      <c r="N199" s="175">
        <f>M199+IF(MOD(A199,B199)=0,VLOOKUP(B199,'Pre-Calculation'!$H$1:$L$31,5,FALSE),0)*IF('Pre-Calculation'!$D$16="% OF FV",M199,IF(OR('Pre-Calculation'!$D$16="% OF AFV(24M)",'Pre-Calculation'!$D$16="% OF AFV(8Q)"),AVERAGE( $M176:$M199),IF('Pre-Calculation'!$D$16="% OF AFV(12M)",AVERAGE($M188:M199),IF('Pre-Calculation'!$D$16="% OF AFV(36M)",AVERAGE($M164:M199)))))</f>
        <v>2782629.957</v>
      </c>
      <c r="O199" s="175">
        <f t="shared" si="4"/>
        <v>2782629.957</v>
      </c>
      <c r="P199" s="175">
        <f>IF('Pre-Calculation'!$D$17="Type 4 a",MAX(SA,N199,1.05*Q199),IF('Pre-Calculation'!$D$17="Type 4 c",N199,IF('Pre-Calculation'!$D$17="Type 4 d",SA+N199,IF('Pre-Calculation'!$D$17="Type 4 e",MAX(SA,N199),IF('Pre-Calculation'!$D$17="Type 4 f",SA,IF('Pre-Calculation'!$D$17="Type 4 g",1000+N199,IF('Pre-Calculation'!$D$17="Type 4 h",SA+X199,IF('Pre-Calculation'!$D$17="Type 4 i",MAX(N199,Q199),IF('Pre-Calculation'!$D$17="Type 4 k",MAX(N199,1.01*Q199),IF('Pre-Calculation'!$D$17="Type 4 m",MAX(105%*Q199,SA+N199),IF('Pre-Calculation'!$D$17="Type 4 o",MAX(SA,105%*Q199)+X199+Z199,IF('Pre-Calculation'!$D$17="Type 5",0))))))))))))</f>
        <v>2782629.957</v>
      </c>
      <c r="Q199" s="175">
        <f t="shared" si="5"/>
        <v>1000000</v>
      </c>
      <c r="R199" s="119">
        <f>L199*(1+GROWTH_RATE)*FMC</f>
        <v>3132.912988</v>
      </c>
      <c r="S199" s="178">
        <f>S198*(1+'Pre-Calculation'!$E$27)</f>
        <v>1130326.69</v>
      </c>
      <c r="T199" s="175">
        <f>-E199+IF(A198=INPUT!$C$11*12,N199,0)</f>
        <v>0</v>
      </c>
      <c r="U199" s="175">
        <f t="shared" si="6"/>
        <v>2730557.607</v>
      </c>
      <c r="V199" s="175">
        <f>U199*(1+GROWTH_RATE_H)*(1-'Pre-Calculation'!$E$31)</f>
        <v>2743549.576</v>
      </c>
      <c r="W199" s="175">
        <f>-E199+IF(A198=INPUT!$C$11*12,V199,0)</f>
        <v>0</v>
      </c>
      <c r="X199" s="179">
        <f t="array" ref="X199">NPV('Pre-Calculation'!$E$20,$E200:E$246)</f>
        <v>0</v>
      </c>
      <c r="Y199" s="171">
        <f>10%*SA</f>
        <v>100000</v>
      </c>
      <c r="Z199" s="179">
        <f t="array" ref="Z199">NPV('Pre-Calculation'!$E$20,Y200:Y209)</f>
        <v>969592.8037</v>
      </c>
    </row>
    <row r="200" ht="15.75" customHeight="1">
      <c r="A200" s="171">
        <f t="shared" si="1"/>
        <v>254</v>
      </c>
      <c r="B200" s="171">
        <f t="shared" si="2"/>
        <v>22</v>
      </c>
      <c r="C200" s="176">
        <f>EDATE(RCD,A199)</f>
        <v>50251</v>
      </c>
      <c r="D200" s="171">
        <f>Age_At_Entry+'Cashflows_8%'!B200-1</f>
        <v>56</v>
      </c>
      <c r="E200" s="175">
        <f>IF(AND(C200&lt;=Last_Prem,MOD(A199,Mode)=0,C200&gt;INPUT!$C$13,A200&lt;=Revival!$C$11),Mod_Prem,0)</f>
        <v>0</v>
      </c>
      <c r="F200" s="177">
        <f>E200*VLOOKUP(B200,'Pre-Calculation'!$H$1:$I$31,2,FALSE)</f>
        <v>0</v>
      </c>
      <c r="G200" s="177">
        <f>IF(B200&lt;PT+1,VLOOKUP(B200,'Pre-Calculation'!$H$1:$L$32,3,FALSE)+VLOOKUP(B200,'Pre-Calculation'!$H$1:$L$32,4,FALSE)*'Pre-Calculation'!$D$7,0)</f>
        <v>0</v>
      </c>
      <c r="H200" s="175">
        <f>(E200-(F200+G200)*(1+Tax)+N199)</f>
        <v>2782629.957</v>
      </c>
      <c r="I200" s="175">
        <f>IF(B200&lt;PT+1,VLOOKUP(D200,'Pre-Calculation'!$N$3:$P$79,IF(INPUT!$C$4="M",2,3),FALSE)*(J200/1000)*(1/12),0)</f>
        <v>0</v>
      </c>
      <c r="J200" s="175">
        <f t="shared" si="3"/>
        <v>0</v>
      </c>
      <c r="K200" s="175">
        <f>(IF('Pre-Calculation'!$D$17="Type 4 a",MAX(SA,H200,1.05*Q200),IF('Pre-Calculation'!$D$17="Type 4 c",H200,IF('Pre-Calculation'!$D$17="Type 4 d",SA+H200,IF('Pre-Calculation'!$D$17="Type 4 e",MAX(SA,H200),IF('Pre-Calculation'!$D$17="Type 4 f",SA,IF('Pre-Calculation'!$D$17="Type 4 g",1000+H200,IF('Pre-Calculation'!$D$17="Type 4 h",SA+X200,IF('Pre-Calculation'!$D$17="Type 4 i",MAX(H200,Q200),IF('Pre-Calculation'!$D$17="Type 4 k",MAX(H200,1.01*Q200),IF('Pre-Calculation'!$D$17="Type 4 m",MAX(105%*Q200,SA+H200),IF('Pre-Calculation'!$D$17="Type 4 o",MAX(SA,105%*Q200)+X200+Z200,IF('Pre-Calculation'!$D$17="Type 5",0)))))))))))))*IF(AND(A200&lt;Revival!$C$4,'Cashflows_8%'!C200&gt;=Revival!$D$12),PUP,1)</f>
        <v>2782629.957</v>
      </c>
      <c r="L200" s="175">
        <f>H200-I200*(1+Tax)</f>
        <v>2782629.957</v>
      </c>
      <c r="M200" s="175">
        <f>L200*(1+GROWTH_RATE_H)*(1-FMC*(1+Tax))</f>
        <v>2796817.796</v>
      </c>
      <c r="N200" s="175">
        <f>M200+IF(MOD(A200,B200)=0,VLOOKUP(B200,'Pre-Calculation'!$H$1:$L$31,5,FALSE),0)*IF('Pre-Calculation'!$D$16="% OF FV",M200,IF(OR('Pre-Calculation'!$D$16="% OF AFV(24M)",'Pre-Calculation'!$D$16="% OF AFV(8Q)"),AVERAGE( $M177:$M200),IF('Pre-Calculation'!$D$16="% OF AFV(12M)",AVERAGE($M189:M200),IF('Pre-Calculation'!$D$16="% OF AFV(36M)",AVERAGE($M165:M200)))))</f>
        <v>2796817.796</v>
      </c>
      <c r="O200" s="175">
        <f t="shared" si="4"/>
        <v>2796817.796</v>
      </c>
      <c r="P200" s="175">
        <f>IF('Pre-Calculation'!$D$17="Type 4 a",MAX(SA,N200,1.05*Q200),IF('Pre-Calculation'!$D$17="Type 4 c",N200,IF('Pre-Calculation'!$D$17="Type 4 d",SA+N200,IF('Pre-Calculation'!$D$17="Type 4 e",MAX(SA,N200),IF('Pre-Calculation'!$D$17="Type 4 f",SA,IF('Pre-Calculation'!$D$17="Type 4 g",1000+N200,IF('Pre-Calculation'!$D$17="Type 4 h",SA+X200,IF('Pre-Calculation'!$D$17="Type 4 i",MAX(N200,Q200),IF('Pre-Calculation'!$D$17="Type 4 k",MAX(N200,1.01*Q200),IF('Pre-Calculation'!$D$17="Type 4 m",MAX(105%*Q200,SA+N200),IF('Pre-Calculation'!$D$17="Type 4 o",MAX(SA,105%*Q200)+X200+Z200,IF('Pre-Calculation'!$D$17="Type 5",0))))))))))))</f>
        <v>2796817.796</v>
      </c>
      <c r="Q200" s="175">
        <f t="shared" si="5"/>
        <v>1000000</v>
      </c>
      <c r="R200" s="119">
        <f>L200*(1+GROWTH_RATE)*FMC</f>
        <v>3148.88682</v>
      </c>
      <c r="S200" s="178">
        <f>S199*(1+'Pre-Calculation'!$E$27)</f>
        <v>1133571.743</v>
      </c>
      <c r="T200" s="175">
        <f>-E200+IF(A199=INPUT!$C$11*12,N200,0)</f>
        <v>0</v>
      </c>
      <c r="U200" s="175">
        <f t="shared" si="6"/>
        <v>2743549.576</v>
      </c>
      <c r="V200" s="175">
        <f>U200*(1+GROWTH_RATE_H)*(1-'Pre-Calculation'!$E$31)</f>
        <v>2756603.361</v>
      </c>
      <c r="W200" s="175">
        <f>-E200+IF(A199=INPUT!$C$11*12,V200,0)</f>
        <v>0</v>
      </c>
      <c r="X200" s="179">
        <f t="array" ref="X200">NPV('Pre-Calculation'!$E$20,$E201:E$246)</f>
        <v>0</v>
      </c>
      <c r="Y200" s="171">
        <f>10%*SA</f>
        <v>100000</v>
      </c>
      <c r="Z200" s="179">
        <f t="array" ref="Z200">NPV('Pre-Calculation'!$E$20,Y201:Y210)</f>
        <v>969592.8037</v>
      </c>
    </row>
    <row r="201" ht="15.75" customHeight="1">
      <c r="A201" s="171">
        <f t="shared" si="1"/>
        <v>255</v>
      </c>
      <c r="B201" s="171">
        <f t="shared" si="2"/>
        <v>22</v>
      </c>
      <c r="C201" s="176">
        <f>EDATE(RCD,A200)</f>
        <v>50282</v>
      </c>
      <c r="D201" s="171">
        <f>Age_At_Entry+'Cashflows_8%'!B201-1</f>
        <v>56</v>
      </c>
      <c r="E201" s="175">
        <f>IF(AND(C201&lt;=Last_Prem,MOD(A200,Mode)=0,C201&gt;INPUT!$C$13,A201&lt;=Revival!$C$11),Mod_Prem,0)</f>
        <v>0</v>
      </c>
      <c r="F201" s="177">
        <f>E201*VLOOKUP(B201,'Pre-Calculation'!$H$1:$I$31,2,FALSE)</f>
        <v>0</v>
      </c>
      <c r="G201" s="177">
        <f>IF(B201&lt;PT+1,VLOOKUP(B201,'Pre-Calculation'!$H$1:$L$32,3,FALSE)+VLOOKUP(B201,'Pre-Calculation'!$H$1:$L$32,4,FALSE)*'Pre-Calculation'!$D$7,0)</f>
        <v>0</v>
      </c>
      <c r="H201" s="175">
        <f>(E201-(F201+G201)*(1+Tax)+N200)</f>
        <v>2796817.796</v>
      </c>
      <c r="I201" s="175">
        <f>IF(B201&lt;PT+1,VLOOKUP(D201,'Pre-Calculation'!$N$3:$P$79,IF(INPUT!$C$4="M",2,3),FALSE)*(J201/1000)*(1/12),0)</f>
        <v>0</v>
      </c>
      <c r="J201" s="175">
        <f t="shared" si="3"/>
        <v>0</v>
      </c>
      <c r="K201" s="175">
        <f>(IF('Pre-Calculation'!$D$17="Type 4 a",MAX(SA,H201,1.05*Q201),IF('Pre-Calculation'!$D$17="Type 4 c",H201,IF('Pre-Calculation'!$D$17="Type 4 d",SA+H201,IF('Pre-Calculation'!$D$17="Type 4 e",MAX(SA,H201),IF('Pre-Calculation'!$D$17="Type 4 f",SA,IF('Pre-Calculation'!$D$17="Type 4 g",1000+H201,IF('Pre-Calculation'!$D$17="Type 4 h",SA+X201,IF('Pre-Calculation'!$D$17="Type 4 i",MAX(H201,Q201),IF('Pre-Calculation'!$D$17="Type 4 k",MAX(H201,1.01*Q201),IF('Pre-Calculation'!$D$17="Type 4 m",MAX(105%*Q201,SA+H201),IF('Pre-Calculation'!$D$17="Type 4 o",MAX(SA,105%*Q201)+X201+Z201,IF('Pre-Calculation'!$D$17="Type 5",0)))))))))))))*IF(AND(A201&lt;Revival!$C$4,'Cashflows_8%'!C201&gt;=Revival!$D$12),PUP,1)</f>
        <v>2796817.796</v>
      </c>
      <c r="L201" s="175">
        <f>H201-I201*(1+Tax)</f>
        <v>2796817.796</v>
      </c>
      <c r="M201" s="175">
        <f>L201*(1+GROWTH_RATE_H)*(1-FMC*(1+Tax))</f>
        <v>2811077.974</v>
      </c>
      <c r="N201" s="175">
        <f>M201+IF(MOD(A201,B201)=0,VLOOKUP(B201,'Pre-Calculation'!$H$1:$L$31,5,FALSE),0)*IF('Pre-Calculation'!$D$16="% OF FV",M201,IF(OR('Pre-Calculation'!$D$16="% OF AFV(24M)",'Pre-Calculation'!$D$16="% OF AFV(8Q)"),AVERAGE( $M178:$M201),IF('Pre-Calculation'!$D$16="% OF AFV(12M)",AVERAGE($M190:M201),IF('Pre-Calculation'!$D$16="% OF AFV(36M)",AVERAGE($M166:M201)))))</f>
        <v>2811077.974</v>
      </c>
      <c r="O201" s="175">
        <f t="shared" si="4"/>
        <v>2811077.974</v>
      </c>
      <c r="P201" s="175">
        <f>IF('Pre-Calculation'!$D$17="Type 4 a",MAX(SA,N201,1.05*Q201),IF('Pre-Calculation'!$D$17="Type 4 c",N201,IF('Pre-Calculation'!$D$17="Type 4 d",SA+N201,IF('Pre-Calculation'!$D$17="Type 4 e",MAX(SA,N201),IF('Pre-Calculation'!$D$17="Type 4 f",SA,IF('Pre-Calculation'!$D$17="Type 4 g",1000+N201,IF('Pre-Calculation'!$D$17="Type 4 h",SA+X201,IF('Pre-Calculation'!$D$17="Type 4 i",MAX(N201,Q201),IF('Pre-Calculation'!$D$17="Type 4 k",MAX(N201,1.01*Q201),IF('Pre-Calculation'!$D$17="Type 4 m",MAX(105%*Q201,SA+N201),IF('Pre-Calculation'!$D$17="Type 4 o",MAX(SA,105%*Q201)+X201+Z201,IF('Pre-Calculation'!$D$17="Type 5",0))))))))))))</f>
        <v>2811077.974</v>
      </c>
      <c r="Q201" s="175">
        <f t="shared" si="5"/>
        <v>1000000</v>
      </c>
      <c r="R201" s="119">
        <f>L201*(1+GROWTH_RATE)*FMC</f>
        <v>3164.942098</v>
      </c>
      <c r="S201" s="178">
        <f>S200*(1+'Pre-Calculation'!$E$27)</f>
        <v>1136826.113</v>
      </c>
      <c r="T201" s="175">
        <f>-E201+IF(A200=INPUT!$C$11*12,N201,0)</f>
        <v>0</v>
      </c>
      <c r="U201" s="175">
        <f t="shared" si="6"/>
        <v>2756603.361</v>
      </c>
      <c r="V201" s="175">
        <f>U201*(1+GROWTH_RATE_H)*(1-'Pre-Calculation'!$E$31)</f>
        <v>2769719.256</v>
      </c>
      <c r="W201" s="175">
        <f>-E201+IF(A200=INPUT!$C$11*12,V201,0)</f>
        <v>0</v>
      </c>
      <c r="X201" s="179">
        <f t="array" ref="X201">NPV('Pre-Calculation'!$E$20,$E202:E$246)</f>
        <v>0</v>
      </c>
      <c r="Y201" s="171">
        <f>10%*SA</f>
        <v>100000</v>
      </c>
      <c r="Z201" s="179">
        <f t="array" ref="Z201">NPV('Pre-Calculation'!$E$20,Y202:Y211)</f>
        <v>969592.8037</v>
      </c>
    </row>
    <row r="202" ht="15.75" customHeight="1">
      <c r="A202" s="171">
        <f t="shared" si="1"/>
        <v>256</v>
      </c>
      <c r="B202" s="171">
        <f t="shared" si="2"/>
        <v>22</v>
      </c>
      <c r="C202" s="176">
        <f>EDATE(RCD,A201)</f>
        <v>50313</v>
      </c>
      <c r="D202" s="171">
        <f>Age_At_Entry+'Cashflows_8%'!B202-1</f>
        <v>56</v>
      </c>
      <c r="E202" s="175">
        <f>IF(AND(C202&lt;=Last_Prem,MOD(A201,Mode)=0,C202&gt;INPUT!$C$13,A202&lt;=Revival!$C$11),Mod_Prem,0)</f>
        <v>0</v>
      </c>
      <c r="F202" s="177">
        <f>E202*VLOOKUP(B202,'Pre-Calculation'!$H$1:$I$31,2,FALSE)</f>
        <v>0</v>
      </c>
      <c r="G202" s="177">
        <f>IF(B202&lt;PT+1,VLOOKUP(B202,'Pre-Calculation'!$H$1:$L$32,3,FALSE)+VLOOKUP(B202,'Pre-Calculation'!$H$1:$L$32,4,FALSE)*'Pre-Calculation'!$D$7,0)</f>
        <v>0</v>
      </c>
      <c r="H202" s="175">
        <f>(E202-(F202+G202)*(1+Tax)+N201)</f>
        <v>2811077.974</v>
      </c>
      <c r="I202" s="175">
        <f>IF(B202&lt;PT+1,VLOOKUP(D202,'Pre-Calculation'!$N$3:$P$79,IF(INPUT!$C$4="M",2,3),FALSE)*(J202/1000)*(1/12),0)</f>
        <v>0</v>
      </c>
      <c r="J202" s="175">
        <f t="shared" si="3"/>
        <v>0</v>
      </c>
      <c r="K202" s="175">
        <f>(IF('Pre-Calculation'!$D$17="Type 4 a",MAX(SA,H202,1.05*Q202),IF('Pre-Calculation'!$D$17="Type 4 c",H202,IF('Pre-Calculation'!$D$17="Type 4 d",SA+H202,IF('Pre-Calculation'!$D$17="Type 4 e",MAX(SA,H202),IF('Pre-Calculation'!$D$17="Type 4 f",SA,IF('Pre-Calculation'!$D$17="Type 4 g",1000+H202,IF('Pre-Calculation'!$D$17="Type 4 h",SA+X202,IF('Pre-Calculation'!$D$17="Type 4 i",MAX(H202,Q202),IF('Pre-Calculation'!$D$17="Type 4 k",MAX(H202,1.01*Q202),IF('Pre-Calculation'!$D$17="Type 4 m",MAX(105%*Q202,SA+H202),IF('Pre-Calculation'!$D$17="Type 4 o",MAX(SA,105%*Q202)+X202+Z202,IF('Pre-Calculation'!$D$17="Type 5",0)))))))))))))*IF(AND(A202&lt;Revival!$C$4,'Cashflows_8%'!C202&gt;=Revival!$D$12),PUP,1)</f>
        <v>2811077.974</v>
      </c>
      <c r="L202" s="175">
        <f>H202-I202*(1+Tax)</f>
        <v>2811077.974</v>
      </c>
      <c r="M202" s="175">
        <f>L202*(1+GROWTH_RATE_H)*(1-FMC*(1+Tax))</f>
        <v>2825410.861</v>
      </c>
      <c r="N202" s="175">
        <f>M202+IF(MOD(A202,B202)=0,VLOOKUP(B202,'Pre-Calculation'!$H$1:$L$31,5,FALSE),0)*IF('Pre-Calculation'!$D$16="% OF FV",M202,IF(OR('Pre-Calculation'!$D$16="% OF AFV(24M)",'Pre-Calculation'!$D$16="% OF AFV(8Q)"),AVERAGE( $M179:$M202),IF('Pre-Calculation'!$D$16="% OF AFV(12M)",AVERAGE($M191:M202),IF('Pre-Calculation'!$D$16="% OF AFV(36M)",AVERAGE($M167:M202)))))</f>
        <v>2825410.861</v>
      </c>
      <c r="O202" s="175">
        <f t="shared" si="4"/>
        <v>2825410.861</v>
      </c>
      <c r="P202" s="175">
        <f>IF('Pre-Calculation'!$D$17="Type 4 a",MAX(SA,N202,1.05*Q202),IF('Pre-Calculation'!$D$17="Type 4 c",N202,IF('Pre-Calculation'!$D$17="Type 4 d",SA+N202,IF('Pre-Calculation'!$D$17="Type 4 e",MAX(SA,N202),IF('Pre-Calculation'!$D$17="Type 4 f",SA,IF('Pre-Calculation'!$D$17="Type 4 g",1000+N202,IF('Pre-Calculation'!$D$17="Type 4 h",SA+X202,IF('Pre-Calculation'!$D$17="Type 4 i",MAX(N202,Q202),IF('Pre-Calculation'!$D$17="Type 4 k",MAX(N202,1.01*Q202),IF('Pre-Calculation'!$D$17="Type 4 m",MAX(105%*Q202,SA+N202),IF('Pre-Calculation'!$D$17="Type 4 o",MAX(SA,105%*Q202)+X202+Z202,IF('Pre-Calculation'!$D$17="Type 5",0))))))))))))</f>
        <v>2825410.861</v>
      </c>
      <c r="Q202" s="175">
        <f t="shared" si="5"/>
        <v>1000000</v>
      </c>
      <c r="R202" s="119">
        <f>L202*(1+GROWTH_RATE)*FMC</f>
        <v>3181.079237</v>
      </c>
      <c r="S202" s="178">
        <f>S201*(1+'Pre-Calculation'!$E$27)</f>
        <v>1140089.826</v>
      </c>
      <c r="T202" s="175">
        <f>-E202+IF(A201=INPUT!$C$11*12,N202,0)</f>
        <v>0</v>
      </c>
      <c r="U202" s="175">
        <f t="shared" si="6"/>
        <v>2769719.256</v>
      </c>
      <c r="V202" s="175">
        <f>U202*(1+GROWTH_RATE_H)*(1-'Pre-Calculation'!$E$31)</f>
        <v>2782897.555</v>
      </c>
      <c r="W202" s="175">
        <f>-E202+IF(A201=INPUT!$C$11*12,V202,0)</f>
        <v>0</v>
      </c>
      <c r="X202" s="179">
        <f t="array" ref="X202">NPV('Pre-Calculation'!$E$20,$E203:E$246)</f>
        <v>0</v>
      </c>
      <c r="Y202" s="171">
        <f>10%*SA</f>
        <v>100000</v>
      </c>
      <c r="Z202" s="179">
        <f t="array" ref="Z202">NPV('Pre-Calculation'!$E$20,Y203:Y212)</f>
        <v>969592.8037</v>
      </c>
    </row>
    <row r="203" ht="15.75" customHeight="1">
      <c r="A203" s="171">
        <f t="shared" si="1"/>
        <v>257</v>
      </c>
      <c r="B203" s="171">
        <f t="shared" si="2"/>
        <v>22</v>
      </c>
      <c r="C203" s="176">
        <f>EDATE(RCD,A202)</f>
        <v>50343</v>
      </c>
      <c r="D203" s="171">
        <f>Age_At_Entry+'Cashflows_8%'!B203-1</f>
        <v>56</v>
      </c>
      <c r="E203" s="175">
        <f>IF(AND(C203&lt;=Last_Prem,MOD(A202,Mode)=0,C203&gt;INPUT!$C$13,A203&lt;=Revival!$C$11),Mod_Prem,0)</f>
        <v>0</v>
      </c>
      <c r="F203" s="177">
        <f>E203*VLOOKUP(B203,'Pre-Calculation'!$H$1:$I$31,2,FALSE)</f>
        <v>0</v>
      </c>
      <c r="G203" s="177">
        <f>IF(B203&lt;PT+1,VLOOKUP(B203,'Pre-Calculation'!$H$1:$L$32,3,FALSE)+VLOOKUP(B203,'Pre-Calculation'!$H$1:$L$32,4,FALSE)*'Pre-Calculation'!$D$7,0)</f>
        <v>0</v>
      </c>
      <c r="H203" s="175">
        <f>(E203-(F203+G203)*(1+Tax)+N202)</f>
        <v>2825410.861</v>
      </c>
      <c r="I203" s="175">
        <f>IF(B203&lt;PT+1,VLOOKUP(D203,'Pre-Calculation'!$N$3:$P$79,IF(INPUT!$C$4="M",2,3),FALSE)*(J203/1000)*(1/12),0)</f>
        <v>0</v>
      </c>
      <c r="J203" s="175">
        <f t="shared" si="3"/>
        <v>0</v>
      </c>
      <c r="K203" s="175">
        <f>(IF('Pre-Calculation'!$D$17="Type 4 a",MAX(SA,H203,1.05*Q203),IF('Pre-Calculation'!$D$17="Type 4 c",H203,IF('Pre-Calculation'!$D$17="Type 4 d",SA+H203,IF('Pre-Calculation'!$D$17="Type 4 e",MAX(SA,H203),IF('Pre-Calculation'!$D$17="Type 4 f",SA,IF('Pre-Calculation'!$D$17="Type 4 g",1000+H203,IF('Pre-Calculation'!$D$17="Type 4 h",SA+X203,IF('Pre-Calculation'!$D$17="Type 4 i",MAX(H203,Q203),IF('Pre-Calculation'!$D$17="Type 4 k",MAX(H203,1.01*Q203),IF('Pre-Calculation'!$D$17="Type 4 m",MAX(105%*Q203,SA+H203),IF('Pre-Calculation'!$D$17="Type 4 o",MAX(SA,105%*Q203)+X203+Z203,IF('Pre-Calculation'!$D$17="Type 5",0)))))))))))))*IF(AND(A203&lt;Revival!$C$4,'Cashflows_8%'!C203&gt;=Revival!$D$12),PUP,1)</f>
        <v>2825410.861</v>
      </c>
      <c r="L203" s="175">
        <f>H203-I203*(1+Tax)</f>
        <v>2825410.861</v>
      </c>
      <c r="M203" s="175">
        <f>L203*(1+GROWTH_RATE_H)*(1-FMC*(1+Tax))</f>
        <v>2839816.827</v>
      </c>
      <c r="N203" s="175">
        <f>M203+IF(MOD(A203,B203)=0,VLOOKUP(B203,'Pre-Calculation'!$H$1:$L$31,5,FALSE),0)*IF('Pre-Calculation'!$D$16="% OF FV",M203,IF(OR('Pre-Calculation'!$D$16="% OF AFV(24M)",'Pre-Calculation'!$D$16="% OF AFV(8Q)"),AVERAGE( $M180:$M203),IF('Pre-Calculation'!$D$16="% OF AFV(12M)",AVERAGE($M192:M203),IF('Pre-Calculation'!$D$16="% OF AFV(36M)",AVERAGE($M168:M203)))))</f>
        <v>2839816.827</v>
      </c>
      <c r="O203" s="175">
        <f t="shared" si="4"/>
        <v>2839816.827</v>
      </c>
      <c r="P203" s="175">
        <f>IF('Pre-Calculation'!$D$17="Type 4 a",MAX(SA,N203,1.05*Q203),IF('Pre-Calculation'!$D$17="Type 4 c",N203,IF('Pre-Calculation'!$D$17="Type 4 d",SA+N203,IF('Pre-Calculation'!$D$17="Type 4 e",MAX(SA,N203),IF('Pre-Calculation'!$D$17="Type 4 f",SA,IF('Pre-Calculation'!$D$17="Type 4 g",1000+N203,IF('Pre-Calculation'!$D$17="Type 4 h",SA+X203,IF('Pre-Calculation'!$D$17="Type 4 i",MAX(N203,Q203),IF('Pre-Calculation'!$D$17="Type 4 k",MAX(N203,1.01*Q203),IF('Pre-Calculation'!$D$17="Type 4 m",MAX(105%*Q203,SA+N203),IF('Pre-Calculation'!$D$17="Type 4 o",MAX(SA,105%*Q203)+X203+Z203,IF('Pre-Calculation'!$D$17="Type 5",0))))))))))))</f>
        <v>2839816.827</v>
      </c>
      <c r="Q203" s="175">
        <f t="shared" si="5"/>
        <v>1000000</v>
      </c>
      <c r="R203" s="119">
        <f>L203*(1+GROWTH_RATE)*FMC</f>
        <v>3197.298655</v>
      </c>
      <c r="S203" s="178">
        <f>S202*(1+'Pre-Calculation'!$E$27)</f>
        <v>1143362.908</v>
      </c>
      <c r="T203" s="175">
        <f>-E203+IF(A202=INPUT!$C$11*12,N203,0)</f>
        <v>0</v>
      </c>
      <c r="U203" s="175">
        <f t="shared" si="6"/>
        <v>2782897.555</v>
      </c>
      <c r="V203" s="175">
        <f>U203*(1+GROWTH_RATE_H)*(1-'Pre-Calculation'!$E$31)</f>
        <v>2796138.558</v>
      </c>
      <c r="W203" s="175">
        <f>-E203+IF(A202=INPUT!$C$11*12,V203,0)</f>
        <v>0</v>
      </c>
      <c r="X203" s="179">
        <f t="array" ref="X203">NPV('Pre-Calculation'!$E$20,$E204:E$246)</f>
        <v>0</v>
      </c>
      <c r="Y203" s="171">
        <f>10%*SA</f>
        <v>100000</v>
      </c>
      <c r="Z203" s="179">
        <f t="array" ref="Z203">NPV('Pre-Calculation'!$E$20,Y204:Y213)</f>
        <v>969592.8037</v>
      </c>
    </row>
    <row r="204" ht="15.75" customHeight="1">
      <c r="A204" s="171">
        <f t="shared" si="1"/>
        <v>258</v>
      </c>
      <c r="B204" s="171">
        <f t="shared" si="2"/>
        <v>22</v>
      </c>
      <c r="C204" s="176">
        <f>EDATE(RCD,A203)</f>
        <v>50374</v>
      </c>
      <c r="D204" s="171">
        <f>Age_At_Entry+'Cashflows_8%'!B204-1</f>
        <v>56</v>
      </c>
      <c r="E204" s="175">
        <f>IF(AND(C204&lt;=Last_Prem,MOD(A203,Mode)=0,C204&gt;INPUT!$C$13,A204&lt;=Revival!$C$11),Mod_Prem,0)</f>
        <v>0</v>
      </c>
      <c r="F204" s="177">
        <f>E204*VLOOKUP(B204,'Pre-Calculation'!$H$1:$I$31,2,FALSE)</f>
        <v>0</v>
      </c>
      <c r="G204" s="177">
        <f>IF(B204&lt;PT+1,VLOOKUP(B204,'Pre-Calculation'!$H$1:$L$32,3,FALSE)+VLOOKUP(B204,'Pre-Calculation'!$H$1:$L$32,4,FALSE)*'Pre-Calculation'!$D$7,0)</f>
        <v>0</v>
      </c>
      <c r="H204" s="175">
        <f>(E204-(F204+G204)*(1+Tax)+N203)</f>
        <v>2839816.827</v>
      </c>
      <c r="I204" s="175">
        <f>IF(B204&lt;PT+1,VLOOKUP(D204,'Pre-Calculation'!$N$3:$P$79,IF(INPUT!$C$4="M",2,3),FALSE)*(J204/1000)*(1/12),0)</f>
        <v>0</v>
      </c>
      <c r="J204" s="175">
        <f t="shared" si="3"/>
        <v>0</v>
      </c>
      <c r="K204" s="175">
        <f>(IF('Pre-Calculation'!$D$17="Type 4 a",MAX(SA,H204,1.05*Q204),IF('Pre-Calculation'!$D$17="Type 4 c",H204,IF('Pre-Calculation'!$D$17="Type 4 d",SA+H204,IF('Pre-Calculation'!$D$17="Type 4 e",MAX(SA,H204),IF('Pre-Calculation'!$D$17="Type 4 f",SA,IF('Pre-Calculation'!$D$17="Type 4 g",1000+H204,IF('Pre-Calculation'!$D$17="Type 4 h",SA+X204,IF('Pre-Calculation'!$D$17="Type 4 i",MAX(H204,Q204),IF('Pre-Calculation'!$D$17="Type 4 k",MAX(H204,1.01*Q204),IF('Pre-Calculation'!$D$17="Type 4 m",MAX(105%*Q204,SA+H204),IF('Pre-Calculation'!$D$17="Type 4 o",MAX(SA,105%*Q204)+X204+Z204,IF('Pre-Calculation'!$D$17="Type 5",0)))))))))))))*IF(AND(A204&lt;Revival!$C$4,'Cashflows_8%'!C204&gt;=Revival!$D$12),PUP,1)</f>
        <v>2839816.827</v>
      </c>
      <c r="L204" s="175">
        <f>H204-I204*(1+Tax)</f>
        <v>2839816.827</v>
      </c>
      <c r="M204" s="175">
        <f>L204*(1+GROWTH_RATE_H)*(1-FMC*(1+Tax))</f>
        <v>2854296.245</v>
      </c>
      <c r="N204" s="175">
        <f>M204+IF(MOD(A204,B204)=0,VLOOKUP(B204,'Pre-Calculation'!$H$1:$L$31,5,FALSE),0)*IF('Pre-Calculation'!$D$16="% OF FV",M204,IF(OR('Pre-Calculation'!$D$16="% OF AFV(24M)",'Pre-Calculation'!$D$16="% OF AFV(8Q)"),AVERAGE( $M181:$M204),IF('Pre-Calculation'!$D$16="% OF AFV(12M)",AVERAGE($M193:M204),IF('Pre-Calculation'!$D$16="% OF AFV(36M)",AVERAGE($M169:M204)))))</f>
        <v>2854296.245</v>
      </c>
      <c r="O204" s="175">
        <f t="shared" si="4"/>
        <v>2854296.245</v>
      </c>
      <c r="P204" s="175">
        <f>IF('Pre-Calculation'!$D$17="Type 4 a",MAX(SA,N204,1.05*Q204),IF('Pre-Calculation'!$D$17="Type 4 c",N204,IF('Pre-Calculation'!$D$17="Type 4 d",SA+N204,IF('Pre-Calculation'!$D$17="Type 4 e",MAX(SA,N204),IF('Pre-Calculation'!$D$17="Type 4 f",SA,IF('Pre-Calculation'!$D$17="Type 4 g",1000+N204,IF('Pre-Calculation'!$D$17="Type 4 h",SA+X204,IF('Pre-Calculation'!$D$17="Type 4 i",MAX(N204,Q204),IF('Pre-Calculation'!$D$17="Type 4 k",MAX(N204,1.01*Q204),IF('Pre-Calculation'!$D$17="Type 4 m",MAX(105%*Q204,SA+N204),IF('Pre-Calculation'!$D$17="Type 4 o",MAX(SA,105%*Q204)+X204+Z204,IF('Pre-Calculation'!$D$17="Type 5",0))))))))))))</f>
        <v>2854296.245</v>
      </c>
      <c r="Q204" s="175">
        <f t="shared" si="5"/>
        <v>1000000</v>
      </c>
      <c r="R204" s="119">
        <f>L204*(1+GROWTH_RATE)*FMC</f>
        <v>3213.600771</v>
      </c>
      <c r="S204" s="178">
        <f>S203*(1+'Pre-Calculation'!$E$27)</f>
        <v>1146645.387</v>
      </c>
      <c r="T204" s="175">
        <f>-E204+IF(A203=INPUT!$C$11*12,N204,0)</f>
        <v>0</v>
      </c>
      <c r="U204" s="175">
        <f t="shared" si="6"/>
        <v>2796138.558</v>
      </c>
      <c r="V204" s="175">
        <f>U204*(1+GROWTH_RATE_H)*(1-'Pre-Calculation'!$E$31)</f>
        <v>2809442.56</v>
      </c>
      <c r="W204" s="175">
        <f>-E204+IF(A203=INPUT!$C$11*12,V204,0)</f>
        <v>0</v>
      </c>
      <c r="X204" s="179">
        <f t="array" ref="X204">NPV('Pre-Calculation'!$E$20,$E205:E$246)</f>
        <v>0</v>
      </c>
      <c r="Y204" s="171">
        <f>10%*SA</f>
        <v>100000</v>
      </c>
      <c r="Z204" s="179">
        <f t="array" ref="Z204">NPV('Pre-Calculation'!$E$20,Y205:Y214)</f>
        <v>969592.8037</v>
      </c>
    </row>
    <row r="205" ht="15.75" customHeight="1">
      <c r="A205" s="171">
        <f t="shared" si="1"/>
        <v>259</v>
      </c>
      <c r="B205" s="171">
        <f t="shared" si="2"/>
        <v>22</v>
      </c>
      <c r="C205" s="176">
        <f>EDATE(RCD,A204)</f>
        <v>50404</v>
      </c>
      <c r="D205" s="171">
        <f>Age_At_Entry+'Cashflows_8%'!B205-1</f>
        <v>56</v>
      </c>
      <c r="E205" s="175">
        <f>IF(AND(C205&lt;=Last_Prem,MOD(A204,Mode)=0,C205&gt;INPUT!$C$13,A205&lt;=Revival!$C$11),Mod_Prem,0)</f>
        <v>0</v>
      </c>
      <c r="F205" s="177">
        <f>E205*VLOOKUP(B205,'Pre-Calculation'!$H$1:$I$31,2,FALSE)</f>
        <v>0</v>
      </c>
      <c r="G205" s="177">
        <f>IF(B205&lt;PT+1,VLOOKUP(B205,'Pre-Calculation'!$H$1:$L$32,3,FALSE)+VLOOKUP(B205,'Pre-Calculation'!$H$1:$L$32,4,FALSE)*'Pre-Calculation'!$D$7,0)</f>
        <v>0</v>
      </c>
      <c r="H205" s="175">
        <f>(E205-(F205+G205)*(1+Tax)+N204)</f>
        <v>2854296.245</v>
      </c>
      <c r="I205" s="175">
        <f>IF(B205&lt;PT+1,VLOOKUP(D205,'Pre-Calculation'!$N$3:$P$79,IF(INPUT!$C$4="M",2,3),FALSE)*(J205/1000)*(1/12),0)</f>
        <v>0</v>
      </c>
      <c r="J205" s="175">
        <f t="shared" si="3"/>
        <v>0</v>
      </c>
      <c r="K205" s="175">
        <f>(IF('Pre-Calculation'!$D$17="Type 4 a",MAX(SA,H205,1.05*Q205),IF('Pre-Calculation'!$D$17="Type 4 c",H205,IF('Pre-Calculation'!$D$17="Type 4 d",SA+H205,IF('Pre-Calculation'!$D$17="Type 4 e",MAX(SA,H205),IF('Pre-Calculation'!$D$17="Type 4 f",SA,IF('Pre-Calculation'!$D$17="Type 4 g",1000+H205,IF('Pre-Calculation'!$D$17="Type 4 h",SA+X205,IF('Pre-Calculation'!$D$17="Type 4 i",MAX(H205,Q205),IF('Pre-Calculation'!$D$17="Type 4 k",MAX(H205,1.01*Q205),IF('Pre-Calculation'!$D$17="Type 4 m",MAX(105%*Q205,SA+H205),IF('Pre-Calculation'!$D$17="Type 4 o",MAX(SA,105%*Q205)+X205+Z205,IF('Pre-Calculation'!$D$17="Type 5",0)))))))))))))*IF(AND(A205&lt;Revival!$C$4,'Cashflows_8%'!C205&gt;=Revival!$D$12),PUP,1)</f>
        <v>2854296.245</v>
      </c>
      <c r="L205" s="175">
        <f>H205-I205*(1+Tax)</f>
        <v>2854296.245</v>
      </c>
      <c r="M205" s="175">
        <f>L205*(1+GROWTH_RATE_H)*(1-FMC*(1+Tax))</f>
        <v>2868849.489</v>
      </c>
      <c r="N205" s="175">
        <f>M205+IF(MOD(A205,B205)=0,VLOOKUP(B205,'Pre-Calculation'!$H$1:$L$31,5,FALSE),0)*IF('Pre-Calculation'!$D$16="% OF FV",M205,IF(OR('Pre-Calculation'!$D$16="% OF AFV(24M)",'Pre-Calculation'!$D$16="% OF AFV(8Q)"),AVERAGE( $M182:$M205),IF('Pre-Calculation'!$D$16="% OF AFV(12M)",AVERAGE($M194:M205),IF('Pre-Calculation'!$D$16="% OF AFV(36M)",AVERAGE($M170:M205)))))</f>
        <v>2868849.489</v>
      </c>
      <c r="O205" s="175">
        <f t="shared" si="4"/>
        <v>2868849.489</v>
      </c>
      <c r="P205" s="175">
        <f>IF('Pre-Calculation'!$D$17="Type 4 a",MAX(SA,N205,1.05*Q205),IF('Pre-Calculation'!$D$17="Type 4 c",N205,IF('Pre-Calculation'!$D$17="Type 4 d",SA+N205,IF('Pre-Calculation'!$D$17="Type 4 e",MAX(SA,N205),IF('Pre-Calculation'!$D$17="Type 4 f",SA,IF('Pre-Calculation'!$D$17="Type 4 g",1000+N205,IF('Pre-Calculation'!$D$17="Type 4 h",SA+X205,IF('Pre-Calculation'!$D$17="Type 4 i",MAX(N205,Q205),IF('Pre-Calculation'!$D$17="Type 4 k",MAX(N205,1.01*Q205),IF('Pre-Calculation'!$D$17="Type 4 m",MAX(105%*Q205,SA+N205),IF('Pre-Calculation'!$D$17="Type 4 o",MAX(SA,105%*Q205)+X205+Z205,IF('Pre-Calculation'!$D$17="Type 5",0))))))))))))</f>
        <v>2868849.489</v>
      </c>
      <c r="Q205" s="175">
        <f t="shared" si="5"/>
        <v>1000000</v>
      </c>
      <c r="R205" s="119">
        <f>L205*(1+GROWTH_RATE)*FMC</f>
        <v>3229.986007</v>
      </c>
      <c r="S205" s="178">
        <f>S204*(1+'Pre-Calculation'!$E$27)</f>
        <v>1149937.29</v>
      </c>
      <c r="T205" s="175">
        <f>-E205+IF(A204=INPUT!$C$11*12,N205,0)</f>
        <v>0</v>
      </c>
      <c r="U205" s="175">
        <f t="shared" si="6"/>
        <v>2809442.56</v>
      </c>
      <c r="V205" s="175">
        <f>U205*(1+GROWTH_RATE_H)*(1-'Pre-Calculation'!$E$31)</f>
        <v>2822809.863</v>
      </c>
      <c r="W205" s="175">
        <f>-E205+IF(A204=INPUT!$C$11*12,V205,0)</f>
        <v>0</v>
      </c>
      <c r="X205" s="179">
        <f t="array" ref="X205">NPV('Pre-Calculation'!$E$20,$E206:E$246)</f>
        <v>0</v>
      </c>
      <c r="Y205" s="171">
        <f>10%*SA</f>
        <v>100000</v>
      </c>
      <c r="Z205" s="179">
        <f t="array" ref="Z205">NPV('Pre-Calculation'!$E$20,Y206:Y215)</f>
        <v>969592.8037</v>
      </c>
    </row>
    <row r="206" ht="15.75" customHeight="1">
      <c r="A206" s="171">
        <f t="shared" si="1"/>
        <v>260</v>
      </c>
      <c r="B206" s="171">
        <f t="shared" si="2"/>
        <v>22</v>
      </c>
      <c r="C206" s="176">
        <f>EDATE(RCD,A205)</f>
        <v>50435</v>
      </c>
      <c r="D206" s="171">
        <f>Age_At_Entry+'Cashflows_8%'!B206-1</f>
        <v>56</v>
      </c>
      <c r="E206" s="175">
        <f>IF(AND(C206&lt;=Last_Prem,MOD(A205,Mode)=0,C206&gt;INPUT!$C$13,A206&lt;=Revival!$C$11),Mod_Prem,0)</f>
        <v>0</v>
      </c>
      <c r="F206" s="177">
        <f>E206*VLOOKUP(B206,'Pre-Calculation'!$H$1:$I$31,2,FALSE)</f>
        <v>0</v>
      </c>
      <c r="G206" s="177">
        <f>IF(B206&lt;PT+1,VLOOKUP(B206,'Pre-Calculation'!$H$1:$L$32,3,FALSE)+VLOOKUP(B206,'Pre-Calculation'!$H$1:$L$32,4,FALSE)*'Pre-Calculation'!$D$7,0)</f>
        <v>0</v>
      </c>
      <c r="H206" s="175">
        <f>(E206-(F206+G206)*(1+Tax)+N205)</f>
        <v>2868849.489</v>
      </c>
      <c r="I206" s="175">
        <f>IF(B206&lt;PT+1,VLOOKUP(D206,'Pre-Calculation'!$N$3:$P$79,IF(INPUT!$C$4="M",2,3),FALSE)*(J206/1000)*(1/12),0)</f>
        <v>0</v>
      </c>
      <c r="J206" s="175">
        <f t="shared" si="3"/>
        <v>0</v>
      </c>
      <c r="K206" s="175">
        <f>(IF('Pre-Calculation'!$D$17="Type 4 a",MAX(SA,H206,1.05*Q206),IF('Pre-Calculation'!$D$17="Type 4 c",H206,IF('Pre-Calculation'!$D$17="Type 4 d",SA+H206,IF('Pre-Calculation'!$D$17="Type 4 e",MAX(SA,H206),IF('Pre-Calculation'!$D$17="Type 4 f",SA,IF('Pre-Calculation'!$D$17="Type 4 g",1000+H206,IF('Pre-Calculation'!$D$17="Type 4 h",SA+X206,IF('Pre-Calculation'!$D$17="Type 4 i",MAX(H206,Q206),IF('Pre-Calculation'!$D$17="Type 4 k",MAX(H206,1.01*Q206),IF('Pre-Calculation'!$D$17="Type 4 m",MAX(105%*Q206,SA+H206),IF('Pre-Calculation'!$D$17="Type 4 o",MAX(SA,105%*Q206)+X206+Z206,IF('Pre-Calculation'!$D$17="Type 5",0)))))))))))))*IF(AND(A206&lt;Revival!$C$4,'Cashflows_8%'!C206&gt;=Revival!$D$12),PUP,1)</f>
        <v>2868849.489</v>
      </c>
      <c r="L206" s="175">
        <f>H206-I206*(1+Tax)</f>
        <v>2868849.489</v>
      </c>
      <c r="M206" s="175">
        <f>L206*(1+GROWTH_RATE_H)*(1-FMC*(1+Tax))</f>
        <v>2883476.937</v>
      </c>
      <c r="N206" s="175">
        <f>M206+IF(MOD(A206,B206)=0,VLOOKUP(B206,'Pre-Calculation'!$H$1:$L$31,5,FALSE),0)*IF('Pre-Calculation'!$D$16="% OF FV",M206,IF(OR('Pre-Calculation'!$D$16="% OF AFV(24M)",'Pre-Calculation'!$D$16="% OF AFV(8Q)"),AVERAGE( $M183:$M206),IF('Pre-Calculation'!$D$16="% OF AFV(12M)",AVERAGE($M195:M206),IF('Pre-Calculation'!$D$16="% OF AFV(36M)",AVERAGE($M171:M206)))))</f>
        <v>2883476.937</v>
      </c>
      <c r="O206" s="175">
        <f t="shared" si="4"/>
        <v>2883476.937</v>
      </c>
      <c r="P206" s="175">
        <f>IF('Pre-Calculation'!$D$17="Type 4 a",MAX(SA,N206,1.05*Q206),IF('Pre-Calculation'!$D$17="Type 4 c",N206,IF('Pre-Calculation'!$D$17="Type 4 d",SA+N206,IF('Pre-Calculation'!$D$17="Type 4 e",MAX(SA,N206),IF('Pre-Calculation'!$D$17="Type 4 f",SA,IF('Pre-Calculation'!$D$17="Type 4 g",1000+N206,IF('Pre-Calculation'!$D$17="Type 4 h",SA+X206,IF('Pre-Calculation'!$D$17="Type 4 i",MAX(N206,Q206),IF('Pre-Calculation'!$D$17="Type 4 k",MAX(N206,1.01*Q206),IF('Pre-Calculation'!$D$17="Type 4 m",MAX(105%*Q206,SA+N206),IF('Pre-Calculation'!$D$17="Type 4 o",MAX(SA,105%*Q206)+X206+Z206,IF('Pre-Calculation'!$D$17="Type 5",0))))))))))))</f>
        <v>2883476.937</v>
      </c>
      <c r="Q206" s="175">
        <f t="shared" si="5"/>
        <v>1000000</v>
      </c>
      <c r="R206" s="119">
        <f>L206*(1+GROWTH_RATE)*FMC</f>
        <v>3246.454787</v>
      </c>
      <c r="S206" s="178">
        <f>S205*(1+'Pre-Calculation'!$E$27)</f>
        <v>1153238.643</v>
      </c>
      <c r="T206" s="175">
        <f>-E206+IF(A205=INPUT!$C$11*12,N206,0)</f>
        <v>0</v>
      </c>
      <c r="U206" s="175">
        <f t="shared" si="6"/>
        <v>2822809.863</v>
      </c>
      <c r="V206" s="175">
        <f>U206*(1+GROWTH_RATE_H)*(1-'Pre-Calculation'!$E$31)</f>
        <v>2836240.768</v>
      </c>
      <c r="W206" s="175">
        <f>-E206+IF(A205=INPUT!$C$11*12,V206,0)</f>
        <v>0</v>
      </c>
      <c r="X206" s="179">
        <f t="array" ref="X206">NPV('Pre-Calculation'!$E$20,$E207:E$246)</f>
        <v>0</v>
      </c>
      <c r="Y206" s="171">
        <f>10%*SA</f>
        <v>100000</v>
      </c>
      <c r="Z206" s="179">
        <f t="array" ref="Z206">NPV('Pre-Calculation'!$E$20,Y207:Y216)</f>
        <v>969592.8037</v>
      </c>
    </row>
    <row r="207" ht="15.75" customHeight="1">
      <c r="A207" s="171">
        <f t="shared" si="1"/>
        <v>261</v>
      </c>
      <c r="B207" s="171">
        <f t="shared" si="2"/>
        <v>22</v>
      </c>
      <c r="C207" s="176">
        <f>EDATE(RCD,A206)</f>
        <v>50464</v>
      </c>
      <c r="D207" s="171">
        <f>Age_At_Entry+'Cashflows_8%'!B207-1</f>
        <v>56</v>
      </c>
      <c r="E207" s="175">
        <f>IF(AND(C207&lt;=Last_Prem,MOD(A206,Mode)=0,C207&gt;INPUT!$C$13,A207&lt;=Revival!$C$11),Mod_Prem,0)</f>
        <v>0</v>
      </c>
      <c r="F207" s="177">
        <f>E207*VLOOKUP(B207,'Pre-Calculation'!$H$1:$I$31,2,FALSE)</f>
        <v>0</v>
      </c>
      <c r="G207" s="177">
        <f>IF(B207&lt;PT+1,VLOOKUP(B207,'Pre-Calculation'!$H$1:$L$32,3,FALSE)+VLOOKUP(B207,'Pre-Calculation'!$H$1:$L$32,4,FALSE)*'Pre-Calculation'!$D$7,0)</f>
        <v>0</v>
      </c>
      <c r="H207" s="175">
        <f>(E207-(F207+G207)*(1+Tax)+N206)</f>
        <v>2883476.937</v>
      </c>
      <c r="I207" s="175">
        <f>IF(B207&lt;PT+1,VLOOKUP(D207,'Pre-Calculation'!$N$3:$P$79,IF(INPUT!$C$4="M",2,3),FALSE)*(J207/1000)*(1/12),0)</f>
        <v>0</v>
      </c>
      <c r="J207" s="175">
        <f t="shared" si="3"/>
        <v>0</v>
      </c>
      <c r="K207" s="175">
        <f>(IF('Pre-Calculation'!$D$17="Type 4 a",MAX(SA,H207,1.05*Q207),IF('Pre-Calculation'!$D$17="Type 4 c",H207,IF('Pre-Calculation'!$D$17="Type 4 d",SA+H207,IF('Pre-Calculation'!$D$17="Type 4 e",MAX(SA,H207),IF('Pre-Calculation'!$D$17="Type 4 f",SA,IF('Pre-Calculation'!$D$17="Type 4 g",1000+H207,IF('Pre-Calculation'!$D$17="Type 4 h",SA+X207,IF('Pre-Calculation'!$D$17="Type 4 i",MAX(H207,Q207),IF('Pre-Calculation'!$D$17="Type 4 k",MAX(H207,1.01*Q207),IF('Pre-Calculation'!$D$17="Type 4 m",MAX(105%*Q207,SA+H207),IF('Pre-Calculation'!$D$17="Type 4 o",MAX(SA,105%*Q207)+X207+Z207,IF('Pre-Calculation'!$D$17="Type 5",0)))))))))))))*IF(AND(A207&lt;Revival!$C$4,'Cashflows_8%'!C207&gt;=Revival!$D$12),PUP,1)</f>
        <v>2883476.937</v>
      </c>
      <c r="L207" s="175">
        <f>H207-I207*(1+Tax)</f>
        <v>2883476.937</v>
      </c>
      <c r="M207" s="175">
        <f>L207*(1+GROWTH_RATE_H)*(1-FMC*(1+Tax))</f>
        <v>2898178.965</v>
      </c>
      <c r="N207" s="175">
        <f>M207+IF(MOD(A207,B207)=0,VLOOKUP(B207,'Pre-Calculation'!$H$1:$L$31,5,FALSE),0)*IF('Pre-Calculation'!$D$16="% OF FV",M207,IF(OR('Pre-Calculation'!$D$16="% OF AFV(24M)",'Pre-Calculation'!$D$16="% OF AFV(8Q)"),AVERAGE( $M184:$M207),IF('Pre-Calculation'!$D$16="% OF AFV(12M)",AVERAGE($M196:M207),IF('Pre-Calculation'!$D$16="% OF AFV(36M)",AVERAGE($M172:M207)))))</f>
        <v>2898178.965</v>
      </c>
      <c r="O207" s="175">
        <f t="shared" si="4"/>
        <v>2898178.965</v>
      </c>
      <c r="P207" s="175">
        <f>IF('Pre-Calculation'!$D$17="Type 4 a",MAX(SA,N207,1.05*Q207),IF('Pre-Calculation'!$D$17="Type 4 c",N207,IF('Pre-Calculation'!$D$17="Type 4 d",SA+N207,IF('Pre-Calculation'!$D$17="Type 4 e",MAX(SA,N207),IF('Pre-Calculation'!$D$17="Type 4 f",SA,IF('Pre-Calculation'!$D$17="Type 4 g",1000+N207,IF('Pre-Calculation'!$D$17="Type 4 h",SA+X207,IF('Pre-Calculation'!$D$17="Type 4 i",MAX(N207,Q207),IF('Pre-Calculation'!$D$17="Type 4 k",MAX(N207,1.01*Q207),IF('Pre-Calculation'!$D$17="Type 4 m",MAX(105%*Q207,SA+N207),IF('Pre-Calculation'!$D$17="Type 4 o",MAX(SA,105%*Q207)+X207+Z207,IF('Pre-Calculation'!$D$17="Type 5",0))))))))))))</f>
        <v>2898178.965</v>
      </c>
      <c r="Q207" s="175">
        <f t="shared" si="5"/>
        <v>1000000</v>
      </c>
      <c r="R207" s="119">
        <f>L207*(1+GROWTH_RATE)*FMC</f>
        <v>3263.007536</v>
      </c>
      <c r="S207" s="178">
        <f>S206*(1+'Pre-Calculation'!$E$27)</f>
        <v>1156549.475</v>
      </c>
      <c r="T207" s="175">
        <f>-E207+IF(A206=INPUT!$C$11*12,N207,0)</f>
        <v>0</v>
      </c>
      <c r="U207" s="175">
        <f t="shared" si="6"/>
        <v>2836240.768</v>
      </c>
      <c r="V207" s="175">
        <f>U207*(1+GROWTH_RATE_H)*(1-'Pre-Calculation'!$E$31)</f>
        <v>2849735.577</v>
      </c>
      <c r="W207" s="175">
        <f>-E207+IF(A206=INPUT!$C$11*12,V207,0)</f>
        <v>0</v>
      </c>
      <c r="X207" s="179">
        <f t="array" ref="X207">NPV('Pre-Calculation'!$E$20,$E208:E$246)</f>
        <v>0</v>
      </c>
      <c r="Y207" s="171">
        <f>10%*SA</f>
        <v>100000</v>
      </c>
      <c r="Z207" s="179">
        <f t="array" ref="Z207">NPV('Pre-Calculation'!$E$20,Y208:Y217)</f>
        <v>969592.8037</v>
      </c>
    </row>
    <row r="208" ht="15.75" customHeight="1">
      <c r="A208" s="171">
        <f t="shared" si="1"/>
        <v>262</v>
      </c>
      <c r="B208" s="171">
        <f t="shared" si="2"/>
        <v>22</v>
      </c>
      <c r="C208" s="176">
        <f>EDATE(RCD,A207)</f>
        <v>50494</v>
      </c>
      <c r="D208" s="171">
        <f>Age_At_Entry+'Cashflows_8%'!B208-1</f>
        <v>56</v>
      </c>
      <c r="E208" s="175">
        <f>IF(AND(C208&lt;=Last_Prem,MOD(A207,Mode)=0,C208&gt;INPUT!$C$13,A208&lt;=Revival!$C$11),Mod_Prem,0)</f>
        <v>0</v>
      </c>
      <c r="F208" s="177">
        <f>E208*VLOOKUP(B208,'Pre-Calculation'!$H$1:$I$31,2,FALSE)</f>
        <v>0</v>
      </c>
      <c r="G208" s="177">
        <f>IF(B208&lt;PT+1,VLOOKUP(B208,'Pre-Calculation'!$H$1:$L$32,3,FALSE)+VLOOKUP(B208,'Pre-Calculation'!$H$1:$L$32,4,FALSE)*'Pre-Calculation'!$D$7,0)</f>
        <v>0</v>
      </c>
      <c r="H208" s="175">
        <f>(E208-(F208+G208)*(1+Tax)+N207)</f>
        <v>2898178.965</v>
      </c>
      <c r="I208" s="175">
        <f>IF(B208&lt;PT+1,VLOOKUP(D208,'Pre-Calculation'!$N$3:$P$79,IF(INPUT!$C$4="M",2,3),FALSE)*(J208/1000)*(1/12),0)</f>
        <v>0</v>
      </c>
      <c r="J208" s="175">
        <f t="shared" si="3"/>
        <v>0</v>
      </c>
      <c r="K208" s="175">
        <f>(IF('Pre-Calculation'!$D$17="Type 4 a",MAX(SA,H208,1.05*Q208),IF('Pre-Calculation'!$D$17="Type 4 c",H208,IF('Pre-Calculation'!$D$17="Type 4 d",SA+H208,IF('Pre-Calculation'!$D$17="Type 4 e",MAX(SA,H208),IF('Pre-Calculation'!$D$17="Type 4 f",SA,IF('Pre-Calculation'!$D$17="Type 4 g",1000+H208,IF('Pre-Calculation'!$D$17="Type 4 h",SA+X208,IF('Pre-Calculation'!$D$17="Type 4 i",MAX(H208,Q208),IF('Pre-Calculation'!$D$17="Type 4 k",MAX(H208,1.01*Q208),IF('Pre-Calculation'!$D$17="Type 4 m",MAX(105%*Q208,SA+H208),IF('Pre-Calculation'!$D$17="Type 4 o",MAX(SA,105%*Q208)+X208+Z208,IF('Pre-Calculation'!$D$17="Type 5",0)))))))))))))*IF(AND(A208&lt;Revival!$C$4,'Cashflows_8%'!C208&gt;=Revival!$D$12),PUP,1)</f>
        <v>2898178.965</v>
      </c>
      <c r="L208" s="175">
        <f>H208-I208*(1+Tax)</f>
        <v>2898178.965</v>
      </c>
      <c r="M208" s="175">
        <f>L208*(1+GROWTH_RATE_H)*(1-FMC*(1+Tax))</f>
        <v>2912955.955</v>
      </c>
      <c r="N208" s="175">
        <f>M208+IF(MOD(A208,B208)=0,VLOOKUP(B208,'Pre-Calculation'!$H$1:$L$31,5,FALSE),0)*IF('Pre-Calculation'!$D$16="% OF FV",M208,IF(OR('Pre-Calculation'!$D$16="% OF AFV(24M)",'Pre-Calculation'!$D$16="% OF AFV(8Q)"),AVERAGE( $M185:$M208),IF('Pre-Calculation'!$D$16="% OF AFV(12M)",AVERAGE($M197:M208),IF('Pre-Calculation'!$D$16="% OF AFV(36M)",AVERAGE($M173:M208)))))</f>
        <v>2912955.955</v>
      </c>
      <c r="O208" s="175">
        <f t="shared" si="4"/>
        <v>2912955.955</v>
      </c>
      <c r="P208" s="175">
        <f>IF('Pre-Calculation'!$D$17="Type 4 a",MAX(SA,N208,1.05*Q208),IF('Pre-Calculation'!$D$17="Type 4 c",N208,IF('Pre-Calculation'!$D$17="Type 4 d",SA+N208,IF('Pre-Calculation'!$D$17="Type 4 e",MAX(SA,N208),IF('Pre-Calculation'!$D$17="Type 4 f",SA,IF('Pre-Calculation'!$D$17="Type 4 g",1000+N208,IF('Pre-Calculation'!$D$17="Type 4 h",SA+X208,IF('Pre-Calculation'!$D$17="Type 4 i",MAX(N208,Q208),IF('Pre-Calculation'!$D$17="Type 4 k",MAX(N208,1.01*Q208),IF('Pre-Calculation'!$D$17="Type 4 m",MAX(105%*Q208,SA+N208),IF('Pre-Calculation'!$D$17="Type 4 o",MAX(SA,105%*Q208)+X208+Z208,IF('Pre-Calculation'!$D$17="Type 5",0))))))))))))</f>
        <v>2912955.955</v>
      </c>
      <c r="Q208" s="175">
        <f t="shared" si="5"/>
        <v>1000000</v>
      </c>
      <c r="R208" s="119">
        <f>L208*(1+GROWTH_RATE)*FMC</f>
        <v>3279.644683</v>
      </c>
      <c r="S208" s="178">
        <f>S207*(1+'Pre-Calculation'!$E$27)</f>
        <v>1159869.811</v>
      </c>
      <c r="T208" s="175">
        <f>-E208+IF(A207=INPUT!$C$11*12,N208,0)</f>
        <v>0</v>
      </c>
      <c r="U208" s="175">
        <f t="shared" si="6"/>
        <v>2849735.577</v>
      </c>
      <c r="V208" s="175">
        <f>U208*(1+GROWTH_RATE_H)*(1-'Pre-Calculation'!$E$31)</f>
        <v>2863294.594</v>
      </c>
      <c r="W208" s="175">
        <f>-E208+IF(A207=INPUT!$C$11*12,V208,0)</f>
        <v>0</v>
      </c>
      <c r="X208" s="179">
        <f t="array" ref="X208">NPV('Pre-Calculation'!$E$20,$E209:E$246)</f>
        <v>0</v>
      </c>
      <c r="Y208" s="171">
        <f>10%*SA</f>
        <v>100000</v>
      </c>
      <c r="Z208" s="179">
        <f t="array" ref="Z208">NPV('Pre-Calculation'!$E$20,Y209:Y218)</f>
        <v>969592.8037</v>
      </c>
    </row>
    <row r="209" ht="15.75" customHeight="1">
      <c r="A209" s="171">
        <f t="shared" si="1"/>
        <v>263</v>
      </c>
      <c r="B209" s="171">
        <f t="shared" si="2"/>
        <v>22</v>
      </c>
      <c r="C209" s="176">
        <f>EDATE(RCD,A208)</f>
        <v>50525</v>
      </c>
      <c r="D209" s="171">
        <f>Age_At_Entry+'Cashflows_8%'!B209-1</f>
        <v>56</v>
      </c>
      <c r="E209" s="175">
        <f>IF(AND(C209&lt;=Last_Prem,MOD(A208,Mode)=0,C209&gt;INPUT!$C$13,A209&lt;=Revival!$C$11),Mod_Prem,0)</f>
        <v>0</v>
      </c>
      <c r="F209" s="177">
        <f>E209*VLOOKUP(B209,'Pre-Calculation'!$H$1:$I$31,2,FALSE)</f>
        <v>0</v>
      </c>
      <c r="G209" s="177">
        <f>IF(B209&lt;PT+1,VLOOKUP(B209,'Pre-Calculation'!$H$1:$L$32,3,FALSE)+VLOOKUP(B209,'Pre-Calculation'!$H$1:$L$32,4,FALSE)*'Pre-Calculation'!$D$7,0)</f>
        <v>0</v>
      </c>
      <c r="H209" s="175">
        <f>(E209-(F209+G209)*(1+Tax)+N208)</f>
        <v>2912955.955</v>
      </c>
      <c r="I209" s="175">
        <f>IF(B209&lt;PT+1,VLOOKUP(D209,'Pre-Calculation'!$N$3:$P$79,IF(INPUT!$C$4="M",2,3),FALSE)*(J209/1000)*(1/12),0)</f>
        <v>0</v>
      </c>
      <c r="J209" s="175">
        <f t="shared" si="3"/>
        <v>0</v>
      </c>
      <c r="K209" s="175">
        <f>(IF('Pre-Calculation'!$D$17="Type 4 a",MAX(SA,H209,1.05*Q209),IF('Pre-Calculation'!$D$17="Type 4 c",H209,IF('Pre-Calculation'!$D$17="Type 4 d",SA+H209,IF('Pre-Calculation'!$D$17="Type 4 e",MAX(SA,H209),IF('Pre-Calculation'!$D$17="Type 4 f",SA,IF('Pre-Calculation'!$D$17="Type 4 g",1000+H209,IF('Pre-Calculation'!$D$17="Type 4 h",SA+X209,IF('Pre-Calculation'!$D$17="Type 4 i",MAX(H209,Q209),IF('Pre-Calculation'!$D$17="Type 4 k",MAX(H209,1.01*Q209),IF('Pre-Calculation'!$D$17="Type 4 m",MAX(105%*Q209,SA+H209),IF('Pre-Calculation'!$D$17="Type 4 o",MAX(SA,105%*Q209)+X209+Z209,IF('Pre-Calculation'!$D$17="Type 5",0)))))))))))))*IF(AND(A209&lt;Revival!$C$4,'Cashflows_8%'!C209&gt;=Revival!$D$12),PUP,1)</f>
        <v>2912955.955</v>
      </c>
      <c r="L209" s="175">
        <f>H209-I209*(1+Tax)</f>
        <v>2912955.955</v>
      </c>
      <c r="M209" s="175">
        <f>L209*(1+GROWTH_RATE_H)*(1-FMC*(1+Tax))</f>
        <v>2927808.289</v>
      </c>
      <c r="N209" s="175">
        <f>M209+IF(MOD(A209,B209)=0,VLOOKUP(B209,'Pre-Calculation'!$H$1:$L$31,5,FALSE),0)*IF('Pre-Calculation'!$D$16="% OF FV",M209,IF(OR('Pre-Calculation'!$D$16="% OF AFV(24M)",'Pre-Calculation'!$D$16="% OF AFV(8Q)"),AVERAGE( $M186:$M209),IF('Pre-Calculation'!$D$16="% OF AFV(12M)",AVERAGE($M198:M209),IF('Pre-Calculation'!$D$16="% OF AFV(36M)",AVERAGE($M174:M209)))))</f>
        <v>2927808.289</v>
      </c>
      <c r="O209" s="175">
        <f t="shared" si="4"/>
        <v>2927808.289</v>
      </c>
      <c r="P209" s="175">
        <f>IF('Pre-Calculation'!$D$17="Type 4 a",MAX(SA,N209,1.05*Q209),IF('Pre-Calculation'!$D$17="Type 4 c",N209,IF('Pre-Calculation'!$D$17="Type 4 d",SA+N209,IF('Pre-Calculation'!$D$17="Type 4 e",MAX(SA,N209),IF('Pre-Calculation'!$D$17="Type 4 f",SA,IF('Pre-Calculation'!$D$17="Type 4 g",1000+N209,IF('Pre-Calculation'!$D$17="Type 4 h",SA+X209,IF('Pre-Calculation'!$D$17="Type 4 i",MAX(N209,Q209),IF('Pre-Calculation'!$D$17="Type 4 k",MAX(N209,1.01*Q209),IF('Pre-Calculation'!$D$17="Type 4 m",MAX(105%*Q209,SA+N209),IF('Pre-Calculation'!$D$17="Type 4 o",MAX(SA,105%*Q209)+X209+Z209,IF('Pre-Calculation'!$D$17="Type 5",0))))))))))))</f>
        <v>2927808.289</v>
      </c>
      <c r="Q209" s="175">
        <f t="shared" si="5"/>
        <v>1000000</v>
      </c>
      <c r="R209" s="119">
        <f>L209*(1+GROWTH_RATE)*FMC</f>
        <v>3296.366659</v>
      </c>
      <c r="S209" s="178">
        <f>S208*(1+'Pre-Calculation'!$E$27)</f>
        <v>1163199.68</v>
      </c>
      <c r="T209" s="175">
        <f>-E209+IF(A208=INPUT!$C$11*12,N209,0)</f>
        <v>0</v>
      </c>
      <c r="U209" s="175">
        <f t="shared" si="6"/>
        <v>2863294.594</v>
      </c>
      <c r="V209" s="175">
        <f>U209*(1+GROWTH_RATE_H)*(1-'Pre-Calculation'!$E$31)</f>
        <v>2876918.124</v>
      </c>
      <c r="W209" s="175">
        <f>-E209+IF(A208=INPUT!$C$11*12,V209,0)</f>
        <v>0</v>
      </c>
      <c r="X209" s="179">
        <f t="array" ref="X209">NPV('Pre-Calculation'!$E$20,$E210:E$246)</f>
        <v>0</v>
      </c>
      <c r="Y209" s="171">
        <f>10%*SA</f>
        <v>100000</v>
      </c>
      <c r="Z209" s="179">
        <f t="array" ref="Z209">NPV('Pre-Calculation'!$E$20,Y210:Y219)</f>
        <v>969592.8037</v>
      </c>
    </row>
    <row r="210" ht="15.75" customHeight="1">
      <c r="A210" s="171">
        <f t="shared" si="1"/>
        <v>264</v>
      </c>
      <c r="B210" s="171">
        <f t="shared" si="2"/>
        <v>22</v>
      </c>
      <c r="C210" s="176">
        <f>EDATE(RCD,A209)</f>
        <v>50555</v>
      </c>
      <c r="D210" s="171">
        <f>Age_At_Entry+'Cashflows_8%'!B210-1</f>
        <v>56</v>
      </c>
      <c r="E210" s="175">
        <f>IF(AND(C210&lt;=Last_Prem,MOD(A209,Mode)=0,C210&gt;INPUT!$C$13,A210&lt;=Revival!$C$11),Mod_Prem,0)</f>
        <v>0</v>
      </c>
      <c r="F210" s="177">
        <f>E210*VLOOKUP(B210,'Pre-Calculation'!$H$1:$I$31,2,FALSE)</f>
        <v>0</v>
      </c>
      <c r="G210" s="177">
        <f>IF(B210&lt;PT+1,VLOOKUP(B210,'Pre-Calculation'!$H$1:$L$32,3,FALSE)+VLOOKUP(B210,'Pre-Calculation'!$H$1:$L$32,4,FALSE)*'Pre-Calculation'!$D$7,0)</f>
        <v>0</v>
      </c>
      <c r="H210" s="175">
        <f>(E210-(F210+G210)*(1+Tax)+N209)</f>
        <v>2927808.289</v>
      </c>
      <c r="I210" s="175">
        <f>IF(B210&lt;PT+1,VLOOKUP(D210,'Pre-Calculation'!$N$3:$P$79,IF(INPUT!$C$4="M",2,3),FALSE)*(J210/1000)*(1/12),0)</f>
        <v>0</v>
      </c>
      <c r="J210" s="175">
        <f t="shared" si="3"/>
        <v>0</v>
      </c>
      <c r="K210" s="175">
        <f>(IF('Pre-Calculation'!$D$17="Type 4 a",MAX(SA,H210,1.05*Q210),IF('Pre-Calculation'!$D$17="Type 4 c",H210,IF('Pre-Calculation'!$D$17="Type 4 d",SA+H210,IF('Pre-Calculation'!$D$17="Type 4 e",MAX(SA,H210),IF('Pre-Calculation'!$D$17="Type 4 f",SA,IF('Pre-Calculation'!$D$17="Type 4 g",1000+H210,IF('Pre-Calculation'!$D$17="Type 4 h",SA+X210,IF('Pre-Calculation'!$D$17="Type 4 i",MAX(H210,Q210),IF('Pre-Calculation'!$D$17="Type 4 k",MAX(H210,1.01*Q210),IF('Pre-Calculation'!$D$17="Type 4 m",MAX(105%*Q210,SA+H210),IF('Pre-Calculation'!$D$17="Type 4 o",MAX(SA,105%*Q210)+X210+Z210,IF('Pre-Calculation'!$D$17="Type 5",0)))))))))))))*IF(AND(A210&lt;Revival!$C$4,'Cashflows_8%'!C210&gt;=Revival!$D$12),PUP,1)</f>
        <v>2927808.289</v>
      </c>
      <c r="L210" s="175">
        <f>H210-I210*(1+Tax)</f>
        <v>2927808.289</v>
      </c>
      <c r="M210" s="175">
        <f>L210*(1+GROWTH_RATE_H)*(1-FMC*(1+Tax))</f>
        <v>2942736.351</v>
      </c>
      <c r="N210" s="175">
        <f>M210+IF(MOD(A210,B210)=0,VLOOKUP(B210,'Pre-Calculation'!$H$1:$L$31,5,FALSE),0)*IF('Pre-Calculation'!$D$16="% OF FV",M210,IF(OR('Pre-Calculation'!$D$16="% OF AFV(24M)",'Pre-Calculation'!$D$16="% OF AFV(8Q)"),AVERAGE( $M187:$M210),IF('Pre-Calculation'!$D$16="% OF AFV(12M)",AVERAGE($M199:M210),IF('Pre-Calculation'!$D$16="% OF AFV(36M)",AVERAGE($M175:M210)))))</f>
        <v>2942736.351</v>
      </c>
      <c r="O210" s="175">
        <f t="shared" si="4"/>
        <v>2942736.351</v>
      </c>
      <c r="P210" s="175">
        <f>IF('Pre-Calculation'!$D$17="Type 4 a",MAX(SA,N210,1.05*Q210),IF('Pre-Calculation'!$D$17="Type 4 c",N210,IF('Pre-Calculation'!$D$17="Type 4 d",SA+N210,IF('Pre-Calculation'!$D$17="Type 4 e",MAX(SA,N210),IF('Pre-Calculation'!$D$17="Type 4 f",SA,IF('Pre-Calculation'!$D$17="Type 4 g",1000+N210,IF('Pre-Calculation'!$D$17="Type 4 h",SA+X210,IF('Pre-Calculation'!$D$17="Type 4 i",MAX(N210,Q210),IF('Pre-Calculation'!$D$17="Type 4 k",MAX(N210,1.01*Q210),IF('Pre-Calculation'!$D$17="Type 4 m",MAX(105%*Q210,SA+N210),IF('Pre-Calculation'!$D$17="Type 4 o",MAX(SA,105%*Q210)+X210+Z210,IF('Pre-Calculation'!$D$17="Type 5",0))))))))))))</f>
        <v>2942736.351</v>
      </c>
      <c r="Q210" s="175">
        <f t="shared" si="5"/>
        <v>1000000</v>
      </c>
      <c r="R210" s="119">
        <f>L210*(1+GROWTH_RATE)*FMC</f>
        <v>3313.173894</v>
      </c>
      <c r="S210" s="178">
        <f>S209*(1+'Pre-Calculation'!$E$27)</f>
        <v>1166539.108</v>
      </c>
      <c r="T210" s="175">
        <f>-E210+IF(A209=INPUT!$C$11*12,N210,0)</f>
        <v>0</v>
      </c>
      <c r="U210" s="175">
        <f t="shared" si="6"/>
        <v>2876918.124</v>
      </c>
      <c r="V210" s="175">
        <f>U210*(1+GROWTH_RATE_H)*(1-'Pre-Calculation'!$E$31)</f>
        <v>2890606.475</v>
      </c>
      <c r="W210" s="175">
        <f>-E210+IF(A209=INPUT!$C$11*12,V210,0)</f>
        <v>0</v>
      </c>
      <c r="X210" s="179">
        <f t="array" ref="X210">NPV('Pre-Calculation'!$E$20,$E211:E$246)</f>
        <v>0</v>
      </c>
      <c r="Y210" s="171">
        <f>10%*SA</f>
        <v>100000</v>
      </c>
      <c r="Z210" s="179">
        <f t="array" ref="Z210">NPV('Pre-Calculation'!$E$20,Y211:Y220)</f>
        <v>969592.8037</v>
      </c>
    </row>
    <row r="211" ht="15.75" customHeight="1">
      <c r="A211" s="171">
        <f t="shared" si="1"/>
        <v>265</v>
      </c>
      <c r="B211" s="171">
        <f t="shared" si="2"/>
        <v>23</v>
      </c>
      <c r="C211" s="176">
        <f>EDATE(RCD,A210)</f>
        <v>50586</v>
      </c>
      <c r="D211" s="171">
        <f>Age_At_Entry+'Cashflows_8%'!B211-1</f>
        <v>57</v>
      </c>
      <c r="E211" s="175">
        <f>IF(AND(C211&lt;=Last_Prem,MOD(A210,Mode)=0,C211&gt;INPUT!$C$13,A211&lt;=Revival!$C$11),Mod_Prem,0)</f>
        <v>0</v>
      </c>
      <c r="F211" s="177">
        <f>E211*VLOOKUP(B211,'Pre-Calculation'!$H$1:$I$31,2,FALSE)</f>
        <v>0</v>
      </c>
      <c r="G211" s="177">
        <f>IF(B211&lt;PT+1,VLOOKUP(B211,'Pre-Calculation'!$H$1:$L$32,3,FALSE)+VLOOKUP(B211,'Pre-Calculation'!$H$1:$L$32,4,FALSE)*'Pre-Calculation'!$D$7,0)</f>
        <v>0</v>
      </c>
      <c r="H211" s="175">
        <f>(E211-(F211+G211)*(1+Tax)+N210)</f>
        <v>2942736.351</v>
      </c>
      <c r="I211" s="175">
        <f>IF(B211&lt;PT+1,VLOOKUP(D211,'Pre-Calculation'!$N$3:$P$79,IF(INPUT!$C$4="M",2,3),FALSE)*(J211/1000)*(1/12),0)</f>
        <v>0</v>
      </c>
      <c r="J211" s="175">
        <f t="shared" si="3"/>
        <v>0</v>
      </c>
      <c r="K211" s="175">
        <f>(IF('Pre-Calculation'!$D$17="Type 4 a",MAX(SA,H211,1.05*Q211),IF('Pre-Calculation'!$D$17="Type 4 c",H211,IF('Pre-Calculation'!$D$17="Type 4 d",SA+H211,IF('Pre-Calculation'!$D$17="Type 4 e",MAX(SA,H211),IF('Pre-Calculation'!$D$17="Type 4 f",SA,IF('Pre-Calculation'!$D$17="Type 4 g",1000+H211,IF('Pre-Calculation'!$D$17="Type 4 h",SA+X211,IF('Pre-Calculation'!$D$17="Type 4 i",MAX(H211,Q211),IF('Pre-Calculation'!$D$17="Type 4 k",MAX(H211,1.01*Q211),IF('Pre-Calculation'!$D$17="Type 4 m",MAX(105%*Q211,SA+H211),IF('Pre-Calculation'!$D$17="Type 4 o",MAX(SA,105%*Q211)+X211+Z211,IF('Pre-Calculation'!$D$17="Type 5",0)))))))))))))*IF(AND(A211&lt;Revival!$C$4,'Cashflows_8%'!C211&gt;=Revival!$D$12),PUP,1)</f>
        <v>2942736.351</v>
      </c>
      <c r="L211" s="175">
        <f>H211-I211*(1+Tax)</f>
        <v>2942736.351</v>
      </c>
      <c r="M211" s="175">
        <f>L211*(1+GROWTH_RATE_H)*(1-FMC*(1+Tax))</f>
        <v>2957740.526</v>
      </c>
      <c r="N211" s="175">
        <f>M211+IF(MOD(A211,B211)=0,VLOOKUP(B211,'Pre-Calculation'!$H$1:$L$31,5,FALSE),0)*IF('Pre-Calculation'!$D$16="% OF FV",M211,IF(OR('Pre-Calculation'!$D$16="% OF AFV(24M)",'Pre-Calculation'!$D$16="% OF AFV(8Q)"),AVERAGE( $M188:$M211),IF('Pre-Calculation'!$D$16="% OF AFV(12M)",AVERAGE($M200:M211),IF('Pre-Calculation'!$D$16="% OF AFV(36M)",AVERAGE($M176:M211)))))</f>
        <v>2957740.526</v>
      </c>
      <c r="O211" s="175">
        <f t="shared" si="4"/>
        <v>2957740.526</v>
      </c>
      <c r="P211" s="175">
        <f>IF('Pre-Calculation'!$D$17="Type 4 a",MAX(SA,N211,1.05*Q211),IF('Pre-Calculation'!$D$17="Type 4 c",N211,IF('Pre-Calculation'!$D$17="Type 4 d",SA+N211,IF('Pre-Calculation'!$D$17="Type 4 e",MAX(SA,N211),IF('Pre-Calculation'!$D$17="Type 4 f",SA,IF('Pre-Calculation'!$D$17="Type 4 g",1000+N211,IF('Pre-Calculation'!$D$17="Type 4 h",SA+X211,IF('Pre-Calculation'!$D$17="Type 4 i",MAX(N211,Q211),IF('Pre-Calculation'!$D$17="Type 4 k",MAX(N211,1.01*Q211),IF('Pre-Calculation'!$D$17="Type 4 m",MAX(105%*Q211,SA+N211),IF('Pre-Calculation'!$D$17="Type 4 o",MAX(SA,105%*Q211)+X211+Z211,IF('Pre-Calculation'!$D$17="Type 5",0))))))))))))</f>
        <v>2957740.526</v>
      </c>
      <c r="Q211" s="175">
        <f t="shared" si="5"/>
        <v>1000000</v>
      </c>
      <c r="R211" s="119">
        <f>L211*(1+GROWTH_RATE)*FMC</f>
        <v>3330.066825</v>
      </c>
      <c r="S211" s="178">
        <f>S210*(1+'Pre-Calculation'!$E$27)</f>
        <v>1169888.124</v>
      </c>
      <c r="T211" s="175">
        <f>-E211+IF(A210=INPUT!$C$11*12,N211,0)</f>
        <v>0</v>
      </c>
      <c r="U211" s="175">
        <f t="shared" si="6"/>
        <v>2890606.475</v>
      </c>
      <c r="V211" s="175">
        <f>U211*(1+GROWTH_RATE_H)*(1-'Pre-Calculation'!$E$31)</f>
        <v>2904359.956</v>
      </c>
      <c r="W211" s="175">
        <f>-E211+IF(A210=INPUT!$C$11*12,V211,0)</f>
        <v>0</v>
      </c>
      <c r="X211" s="179">
        <f t="array" ref="X211">NPV('Pre-Calculation'!$E$20,$E212:E$246)</f>
        <v>0</v>
      </c>
      <c r="Y211" s="171">
        <f>10%*SA</f>
        <v>100000</v>
      </c>
      <c r="Z211" s="179">
        <f t="array" ref="Z211">NPV('Pre-Calculation'!$E$20,Y212:Y221)</f>
        <v>969592.8037</v>
      </c>
    </row>
    <row r="212" ht="15.75" customHeight="1">
      <c r="A212" s="171">
        <f t="shared" si="1"/>
        <v>266</v>
      </c>
      <c r="B212" s="171">
        <f t="shared" si="2"/>
        <v>23</v>
      </c>
      <c r="C212" s="176">
        <f>EDATE(RCD,A211)</f>
        <v>50616</v>
      </c>
      <c r="D212" s="171">
        <f>Age_At_Entry+'Cashflows_8%'!B212-1</f>
        <v>57</v>
      </c>
      <c r="E212" s="175">
        <f>IF(AND(C212&lt;=Last_Prem,MOD(A211,Mode)=0,C212&gt;INPUT!$C$13,A212&lt;=Revival!$C$11),Mod_Prem,0)</f>
        <v>0</v>
      </c>
      <c r="F212" s="177">
        <f>E212*VLOOKUP(B212,'Pre-Calculation'!$H$1:$I$31,2,FALSE)</f>
        <v>0</v>
      </c>
      <c r="G212" s="177">
        <f>IF(B212&lt;PT+1,VLOOKUP(B212,'Pre-Calculation'!$H$1:$L$32,3,FALSE)+VLOOKUP(B212,'Pre-Calculation'!$H$1:$L$32,4,FALSE)*'Pre-Calculation'!$D$7,0)</f>
        <v>0</v>
      </c>
      <c r="H212" s="175">
        <f>(E212-(F212+G212)*(1+Tax)+N211)</f>
        <v>2957740.526</v>
      </c>
      <c r="I212" s="175">
        <f>IF(B212&lt;PT+1,VLOOKUP(D212,'Pre-Calculation'!$N$3:$P$79,IF(INPUT!$C$4="M",2,3),FALSE)*(J212/1000)*(1/12),0)</f>
        <v>0</v>
      </c>
      <c r="J212" s="175">
        <f t="shared" si="3"/>
        <v>0</v>
      </c>
      <c r="K212" s="175">
        <f>(IF('Pre-Calculation'!$D$17="Type 4 a",MAX(SA,H212,1.05*Q212),IF('Pre-Calculation'!$D$17="Type 4 c",H212,IF('Pre-Calculation'!$D$17="Type 4 d",SA+H212,IF('Pre-Calculation'!$D$17="Type 4 e",MAX(SA,H212),IF('Pre-Calculation'!$D$17="Type 4 f",SA,IF('Pre-Calculation'!$D$17="Type 4 g",1000+H212,IF('Pre-Calculation'!$D$17="Type 4 h",SA+X212,IF('Pre-Calculation'!$D$17="Type 4 i",MAX(H212,Q212),IF('Pre-Calculation'!$D$17="Type 4 k",MAX(H212,1.01*Q212),IF('Pre-Calculation'!$D$17="Type 4 m",MAX(105%*Q212,SA+H212),IF('Pre-Calculation'!$D$17="Type 4 o",MAX(SA,105%*Q212)+X212+Z212,IF('Pre-Calculation'!$D$17="Type 5",0)))))))))))))*IF(AND(A212&lt;Revival!$C$4,'Cashflows_8%'!C212&gt;=Revival!$D$12),PUP,1)</f>
        <v>2957740.526</v>
      </c>
      <c r="L212" s="175">
        <f>H212-I212*(1+Tax)</f>
        <v>2957740.526</v>
      </c>
      <c r="M212" s="175">
        <f>L212*(1+GROWTH_RATE_H)*(1-FMC*(1+Tax))</f>
        <v>2972821.203</v>
      </c>
      <c r="N212" s="175">
        <f>M212+IF(MOD(A212,B212)=0,VLOOKUP(B212,'Pre-Calculation'!$H$1:$L$31,5,FALSE),0)*IF('Pre-Calculation'!$D$16="% OF FV",M212,IF(OR('Pre-Calculation'!$D$16="% OF AFV(24M)",'Pre-Calculation'!$D$16="% OF AFV(8Q)"),AVERAGE( $M189:$M212),IF('Pre-Calculation'!$D$16="% OF AFV(12M)",AVERAGE($M201:M212),IF('Pre-Calculation'!$D$16="% OF AFV(36M)",AVERAGE($M177:M212)))))</f>
        <v>2972821.203</v>
      </c>
      <c r="O212" s="175">
        <f t="shared" si="4"/>
        <v>2972821.203</v>
      </c>
      <c r="P212" s="175">
        <f>IF('Pre-Calculation'!$D$17="Type 4 a",MAX(SA,N212,1.05*Q212),IF('Pre-Calculation'!$D$17="Type 4 c",N212,IF('Pre-Calculation'!$D$17="Type 4 d",SA+N212,IF('Pre-Calculation'!$D$17="Type 4 e",MAX(SA,N212),IF('Pre-Calculation'!$D$17="Type 4 f",SA,IF('Pre-Calculation'!$D$17="Type 4 g",1000+N212,IF('Pre-Calculation'!$D$17="Type 4 h",SA+X212,IF('Pre-Calculation'!$D$17="Type 4 i",MAX(N212,Q212),IF('Pre-Calculation'!$D$17="Type 4 k",MAX(N212,1.01*Q212),IF('Pre-Calculation'!$D$17="Type 4 m",MAX(105%*Q212,SA+N212),IF('Pre-Calculation'!$D$17="Type 4 o",MAX(SA,105%*Q212)+X212+Z212,IF('Pre-Calculation'!$D$17="Type 5",0))))))))))))</f>
        <v>2972821.203</v>
      </c>
      <c r="Q212" s="175">
        <f t="shared" si="5"/>
        <v>1000000</v>
      </c>
      <c r="R212" s="119">
        <f>L212*(1+GROWTH_RATE)*FMC</f>
        <v>3347.045889</v>
      </c>
      <c r="S212" s="178">
        <f>S211*(1+'Pre-Calculation'!$E$27)</f>
        <v>1173246.754</v>
      </c>
      <c r="T212" s="175">
        <f>-E212+IF(A211=INPUT!$C$11*12,N212,0)</f>
        <v>0</v>
      </c>
      <c r="U212" s="175">
        <f t="shared" si="6"/>
        <v>2904359.956</v>
      </c>
      <c r="V212" s="175">
        <f>U212*(1+GROWTH_RATE_H)*(1-'Pre-Calculation'!$E$31)</f>
        <v>2918178.875</v>
      </c>
      <c r="W212" s="175">
        <f>-E212+IF(A211=INPUT!$C$11*12,V212,0)</f>
        <v>0</v>
      </c>
      <c r="X212" s="179">
        <f t="array" ref="X212">NPV('Pre-Calculation'!$E$20,$E213:E$246)</f>
        <v>0</v>
      </c>
      <c r="Y212" s="171">
        <f>10%*SA</f>
        <v>100000</v>
      </c>
      <c r="Z212" s="179">
        <f t="array" ref="Z212">NPV('Pre-Calculation'!$E$20,Y213:Y222)</f>
        <v>969592.8037</v>
      </c>
    </row>
    <row r="213" ht="15.75" customHeight="1">
      <c r="A213" s="171">
        <f t="shared" si="1"/>
        <v>267</v>
      </c>
      <c r="B213" s="171">
        <f t="shared" si="2"/>
        <v>23</v>
      </c>
      <c r="C213" s="176">
        <f>EDATE(RCD,A212)</f>
        <v>50647</v>
      </c>
      <c r="D213" s="171">
        <f>Age_At_Entry+'Cashflows_8%'!B213-1</f>
        <v>57</v>
      </c>
      <c r="E213" s="175">
        <f>IF(AND(C213&lt;=Last_Prem,MOD(A212,Mode)=0,C213&gt;INPUT!$C$13,A213&lt;=Revival!$C$11),Mod_Prem,0)</f>
        <v>0</v>
      </c>
      <c r="F213" s="177">
        <f>E213*VLOOKUP(B213,'Pre-Calculation'!$H$1:$I$31,2,FALSE)</f>
        <v>0</v>
      </c>
      <c r="G213" s="177">
        <f>IF(B213&lt;PT+1,VLOOKUP(B213,'Pre-Calculation'!$H$1:$L$32,3,FALSE)+VLOOKUP(B213,'Pre-Calculation'!$H$1:$L$32,4,FALSE)*'Pre-Calculation'!$D$7,0)</f>
        <v>0</v>
      </c>
      <c r="H213" s="175">
        <f>(E213-(F213+G213)*(1+Tax)+N212)</f>
        <v>2972821.203</v>
      </c>
      <c r="I213" s="175">
        <f>IF(B213&lt;PT+1,VLOOKUP(D213,'Pre-Calculation'!$N$3:$P$79,IF(INPUT!$C$4="M",2,3),FALSE)*(J213/1000)*(1/12),0)</f>
        <v>0</v>
      </c>
      <c r="J213" s="175">
        <f t="shared" si="3"/>
        <v>0</v>
      </c>
      <c r="K213" s="175">
        <f>(IF('Pre-Calculation'!$D$17="Type 4 a",MAX(SA,H213,1.05*Q213),IF('Pre-Calculation'!$D$17="Type 4 c",H213,IF('Pre-Calculation'!$D$17="Type 4 d",SA+H213,IF('Pre-Calculation'!$D$17="Type 4 e",MAX(SA,H213),IF('Pre-Calculation'!$D$17="Type 4 f",SA,IF('Pre-Calculation'!$D$17="Type 4 g",1000+H213,IF('Pre-Calculation'!$D$17="Type 4 h",SA+X213,IF('Pre-Calculation'!$D$17="Type 4 i",MAX(H213,Q213),IF('Pre-Calculation'!$D$17="Type 4 k",MAX(H213,1.01*Q213),IF('Pre-Calculation'!$D$17="Type 4 m",MAX(105%*Q213,SA+H213),IF('Pre-Calculation'!$D$17="Type 4 o",MAX(SA,105%*Q213)+X213+Z213,IF('Pre-Calculation'!$D$17="Type 5",0)))))))))))))*IF(AND(A213&lt;Revival!$C$4,'Cashflows_8%'!C213&gt;=Revival!$D$12),PUP,1)</f>
        <v>2972821.203</v>
      </c>
      <c r="L213" s="175">
        <f>H213-I213*(1+Tax)</f>
        <v>2972821.203</v>
      </c>
      <c r="M213" s="175">
        <f>L213*(1+GROWTH_RATE_H)*(1-FMC*(1+Tax))</f>
        <v>2987978.773</v>
      </c>
      <c r="N213" s="175">
        <f>M213+IF(MOD(A213,B213)=0,VLOOKUP(B213,'Pre-Calculation'!$H$1:$L$31,5,FALSE),0)*IF('Pre-Calculation'!$D$16="% OF FV",M213,IF(OR('Pre-Calculation'!$D$16="% OF AFV(24M)",'Pre-Calculation'!$D$16="% OF AFV(8Q)"),AVERAGE( $M190:$M213),IF('Pre-Calculation'!$D$16="% OF AFV(12M)",AVERAGE($M202:M213),IF('Pre-Calculation'!$D$16="% OF AFV(36M)",AVERAGE($M178:M213)))))</f>
        <v>2987978.773</v>
      </c>
      <c r="O213" s="175">
        <f t="shared" si="4"/>
        <v>2987978.773</v>
      </c>
      <c r="P213" s="175">
        <f>IF('Pre-Calculation'!$D$17="Type 4 a",MAX(SA,N213,1.05*Q213),IF('Pre-Calculation'!$D$17="Type 4 c",N213,IF('Pre-Calculation'!$D$17="Type 4 d",SA+N213,IF('Pre-Calculation'!$D$17="Type 4 e",MAX(SA,N213),IF('Pre-Calculation'!$D$17="Type 4 f",SA,IF('Pre-Calculation'!$D$17="Type 4 g",1000+N213,IF('Pre-Calculation'!$D$17="Type 4 h",SA+X213,IF('Pre-Calculation'!$D$17="Type 4 i",MAX(N213,Q213),IF('Pre-Calculation'!$D$17="Type 4 k",MAX(N213,1.01*Q213),IF('Pre-Calculation'!$D$17="Type 4 m",MAX(105%*Q213,SA+N213),IF('Pre-Calculation'!$D$17="Type 4 o",MAX(SA,105%*Q213)+X213+Z213,IF('Pre-Calculation'!$D$17="Type 5",0))))))))))))</f>
        <v>2987978.773</v>
      </c>
      <c r="Q213" s="175">
        <f t="shared" si="5"/>
        <v>1000000</v>
      </c>
      <c r="R213" s="119">
        <f>L213*(1+GROWTH_RATE)*FMC</f>
        <v>3364.111523</v>
      </c>
      <c r="S213" s="178">
        <f>S212*(1+'Pre-Calculation'!$E$27)</f>
        <v>1176615.027</v>
      </c>
      <c r="T213" s="175">
        <f>-E213+IF(A212=INPUT!$C$11*12,N213,0)</f>
        <v>0</v>
      </c>
      <c r="U213" s="175">
        <f t="shared" si="6"/>
        <v>2918178.875</v>
      </c>
      <c r="V213" s="175">
        <f>U213*(1+GROWTH_RATE_H)*(1-'Pre-Calculation'!$E$31)</f>
        <v>2932063.544</v>
      </c>
      <c r="W213" s="175">
        <f>-E213+IF(A212=INPUT!$C$11*12,V213,0)</f>
        <v>0</v>
      </c>
      <c r="X213" s="179">
        <f t="array" ref="X213">NPV('Pre-Calculation'!$E$20,$E214:E$246)</f>
        <v>0</v>
      </c>
      <c r="Y213" s="171">
        <f>10%*SA</f>
        <v>100000</v>
      </c>
      <c r="Z213" s="179">
        <f t="array" ref="Z213">NPV('Pre-Calculation'!$E$20,Y214:Y223)</f>
        <v>969592.8037</v>
      </c>
    </row>
    <row r="214" ht="15.75" customHeight="1">
      <c r="A214" s="171">
        <f t="shared" si="1"/>
        <v>268</v>
      </c>
      <c r="B214" s="171">
        <f t="shared" si="2"/>
        <v>23</v>
      </c>
      <c r="C214" s="176">
        <f>EDATE(RCD,A213)</f>
        <v>50678</v>
      </c>
      <c r="D214" s="171">
        <f>Age_At_Entry+'Cashflows_8%'!B214-1</f>
        <v>57</v>
      </c>
      <c r="E214" s="175">
        <f>IF(AND(C214&lt;=Last_Prem,MOD(A213,Mode)=0,C214&gt;INPUT!$C$13,A214&lt;=Revival!$C$11),Mod_Prem,0)</f>
        <v>0</v>
      </c>
      <c r="F214" s="177">
        <f>E214*VLOOKUP(B214,'Pre-Calculation'!$H$1:$I$31,2,FALSE)</f>
        <v>0</v>
      </c>
      <c r="G214" s="177">
        <f>IF(B214&lt;PT+1,VLOOKUP(B214,'Pre-Calculation'!$H$1:$L$32,3,FALSE)+VLOOKUP(B214,'Pre-Calculation'!$H$1:$L$32,4,FALSE)*'Pre-Calculation'!$D$7,0)</f>
        <v>0</v>
      </c>
      <c r="H214" s="175">
        <f>(E214-(F214+G214)*(1+Tax)+N213)</f>
        <v>2987978.773</v>
      </c>
      <c r="I214" s="175">
        <f>IF(B214&lt;PT+1,VLOOKUP(D214,'Pre-Calculation'!$N$3:$P$79,IF(INPUT!$C$4="M",2,3),FALSE)*(J214/1000)*(1/12),0)</f>
        <v>0</v>
      </c>
      <c r="J214" s="175">
        <f t="shared" si="3"/>
        <v>0</v>
      </c>
      <c r="K214" s="175">
        <f>(IF('Pre-Calculation'!$D$17="Type 4 a",MAX(SA,H214,1.05*Q214),IF('Pre-Calculation'!$D$17="Type 4 c",H214,IF('Pre-Calculation'!$D$17="Type 4 d",SA+H214,IF('Pre-Calculation'!$D$17="Type 4 e",MAX(SA,H214),IF('Pre-Calculation'!$D$17="Type 4 f",SA,IF('Pre-Calculation'!$D$17="Type 4 g",1000+H214,IF('Pre-Calculation'!$D$17="Type 4 h",SA+X214,IF('Pre-Calculation'!$D$17="Type 4 i",MAX(H214,Q214),IF('Pre-Calculation'!$D$17="Type 4 k",MAX(H214,1.01*Q214),IF('Pre-Calculation'!$D$17="Type 4 m",MAX(105%*Q214,SA+H214),IF('Pre-Calculation'!$D$17="Type 4 o",MAX(SA,105%*Q214)+X214+Z214,IF('Pre-Calculation'!$D$17="Type 5",0)))))))))))))*IF(AND(A214&lt;Revival!$C$4,'Cashflows_8%'!C214&gt;=Revival!$D$12),PUP,1)</f>
        <v>2987978.773</v>
      </c>
      <c r="L214" s="175">
        <f>H214-I214*(1+Tax)</f>
        <v>2987978.773</v>
      </c>
      <c r="M214" s="175">
        <f>L214*(1+GROWTH_RATE_H)*(1-FMC*(1+Tax))</f>
        <v>3003213.627</v>
      </c>
      <c r="N214" s="175">
        <f>M214+IF(MOD(A214,B214)=0,VLOOKUP(B214,'Pre-Calculation'!$H$1:$L$31,5,FALSE),0)*IF('Pre-Calculation'!$D$16="% OF FV",M214,IF(OR('Pre-Calculation'!$D$16="% OF AFV(24M)",'Pre-Calculation'!$D$16="% OF AFV(8Q)"),AVERAGE( $M191:$M214),IF('Pre-Calculation'!$D$16="% OF AFV(12M)",AVERAGE($M203:M214),IF('Pre-Calculation'!$D$16="% OF AFV(36M)",AVERAGE($M179:M214)))))</f>
        <v>3003213.627</v>
      </c>
      <c r="O214" s="175">
        <f t="shared" si="4"/>
        <v>3003213.627</v>
      </c>
      <c r="P214" s="175">
        <f>IF('Pre-Calculation'!$D$17="Type 4 a",MAX(SA,N214,1.05*Q214),IF('Pre-Calculation'!$D$17="Type 4 c",N214,IF('Pre-Calculation'!$D$17="Type 4 d",SA+N214,IF('Pre-Calculation'!$D$17="Type 4 e",MAX(SA,N214),IF('Pre-Calculation'!$D$17="Type 4 f",SA,IF('Pre-Calculation'!$D$17="Type 4 g",1000+N214,IF('Pre-Calculation'!$D$17="Type 4 h",SA+X214,IF('Pre-Calculation'!$D$17="Type 4 i",MAX(N214,Q214),IF('Pre-Calculation'!$D$17="Type 4 k",MAX(N214,1.01*Q214),IF('Pre-Calculation'!$D$17="Type 4 m",MAX(105%*Q214,SA+N214),IF('Pre-Calculation'!$D$17="Type 4 o",MAX(SA,105%*Q214)+X214+Z214,IF('Pre-Calculation'!$D$17="Type 5",0))))))))))))</f>
        <v>3003213.627</v>
      </c>
      <c r="Q214" s="175">
        <f t="shared" si="5"/>
        <v>1000000</v>
      </c>
      <c r="R214" s="119">
        <f>L214*(1+GROWTH_RATE)*FMC</f>
        <v>3381.264171</v>
      </c>
      <c r="S214" s="178">
        <f>S213*(1+'Pre-Calculation'!$E$27)</f>
        <v>1179992.969</v>
      </c>
      <c r="T214" s="175">
        <f>-E214+IF(A213=INPUT!$C$11*12,N214,0)</f>
        <v>0</v>
      </c>
      <c r="U214" s="175">
        <f t="shared" si="6"/>
        <v>2932063.544</v>
      </c>
      <c r="V214" s="175">
        <f>U214*(1+GROWTH_RATE_H)*(1-'Pre-Calculation'!$E$31)</f>
        <v>2946014.277</v>
      </c>
      <c r="W214" s="175">
        <f>-E214+IF(A213=INPUT!$C$11*12,V214,0)</f>
        <v>0</v>
      </c>
      <c r="X214" s="179">
        <f t="array" ref="X214">NPV('Pre-Calculation'!$E$20,$E215:E$246)</f>
        <v>0</v>
      </c>
      <c r="Y214" s="171">
        <f>10%*SA</f>
        <v>100000</v>
      </c>
      <c r="Z214" s="179">
        <f t="array" ref="Z214">NPV('Pre-Calculation'!$E$20,Y215:Y224)</f>
        <v>969592.8037</v>
      </c>
    </row>
    <row r="215" ht="15.75" customHeight="1">
      <c r="A215" s="171">
        <f t="shared" si="1"/>
        <v>269</v>
      </c>
      <c r="B215" s="171">
        <f t="shared" si="2"/>
        <v>23</v>
      </c>
      <c r="C215" s="176">
        <f>EDATE(RCD,A214)</f>
        <v>50708</v>
      </c>
      <c r="D215" s="171">
        <f>Age_At_Entry+'Cashflows_8%'!B215-1</f>
        <v>57</v>
      </c>
      <c r="E215" s="175">
        <f>IF(AND(C215&lt;=Last_Prem,MOD(A214,Mode)=0,C215&gt;INPUT!$C$13,A215&lt;=Revival!$C$11),Mod_Prem,0)</f>
        <v>0</v>
      </c>
      <c r="F215" s="177">
        <f>E215*VLOOKUP(B215,'Pre-Calculation'!$H$1:$I$31,2,FALSE)</f>
        <v>0</v>
      </c>
      <c r="G215" s="177">
        <f>IF(B215&lt;PT+1,VLOOKUP(B215,'Pre-Calculation'!$H$1:$L$32,3,FALSE)+VLOOKUP(B215,'Pre-Calculation'!$H$1:$L$32,4,FALSE)*'Pre-Calculation'!$D$7,0)</f>
        <v>0</v>
      </c>
      <c r="H215" s="175">
        <f>(E215-(F215+G215)*(1+Tax)+N214)</f>
        <v>3003213.627</v>
      </c>
      <c r="I215" s="175">
        <f>IF(B215&lt;PT+1,VLOOKUP(D215,'Pre-Calculation'!$N$3:$P$79,IF(INPUT!$C$4="M",2,3),FALSE)*(J215/1000)*(1/12),0)</f>
        <v>0</v>
      </c>
      <c r="J215" s="175">
        <f t="shared" si="3"/>
        <v>0</v>
      </c>
      <c r="K215" s="175">
        <f>(IF('Pre-Calculation'!$D$17="Type 4 a",MAX(SA,H215,1.05*Q215),IF('Pre-Calculation'!$D$17="Type 4 c",H215,IF('Pre-Calculation'!$D$17="Type 4 d",SA+H215,IF('Pre-Calculation'!$D$17="Type 4 e",MAX(SA,H215),IF('Pre-Calculation'!$D$17="Type 4 f",SA,IF('Pre-Calculation'!$D$17="Type 4 g",1000+H215,IF('Pre-Calculation'!$D$17="Type 4 h",SA+X215,IF('Pre-Calculation'!$D$17="Type 4 i",MAX(H215,Q215),IF('Pre-Calculation'!$D$17="Type 4 k",MAX(H215,1.01*Q215),IF('Pre-Calculation'!$D$17="Type 4 m",MAX(105%*Q215,SA+H215),IF('Pre-Calculation'!$D$17="Type 4 o",MAX(SA,105%*Q215)+X215+Z215,IF('Pre-Calculation'!$D$17="Type 5",0)))))))))))))*IF(AND(A215&lt;Revival!$C$4,'Cashflows_8%'!C215&gt;=Revival!$D$12),PUP,1)</f>
        <v>3003213.627</v>
      </c>
      <c r="L215" s="175">
        <f>H215-I215*(1+Tax)</f>
        <v>3003213.627</v>
      </c>
      <c r="M215" s="175">
        <f>L215*(1+GROWTH_RATE_H)*(1-FMC*(1+Tax))</f>
        <v>3018526.158</v>
      </c>
      <c r="N215" s="175">
        <f>M215+IF(MOD(A215,B215)=0,VLOOKUP(B215,'Pre-Calculation'!$H$1:$L$31,5,FALSE),0)*IF('Pre-Calculation'!$D$16="% OF FV",M215,IF(OR('Pre-Calculation'!$D$16="% OF AFV(24M)",'Pre-Calculation'!$D$16="% OF AFV(8Q)"),AVERAGE( $M192:$M215),IF('Pre-Calculation'!$D$16="% OF AFV(12M)",AVERAGE($M204:M215),IF('Pre-Calculation'!$D$16="% OF AFV(36M)",AVERAGE($M180:M215)))))</f>
        <v>3018526.158</v>
      </c>
      <c r="O215" s="175">
        <f t="shared" si="4"/>
        <v>3018526.158</v>
      </c>
      <c r="P215" s="175">
        <f>IF('Pre-Calculation'!$D$17="Type 4 a",MAX(SA,N215,1.05*Q215),IF('Pre-Calculation'!$D$17="Type 4 c",N215,IF('Pre-Calculation'!$D$17="Type 4 d",SA+N215,IF('Pre-Calculation'!$D$17="Type 4 e",MAX(SA,N215),IF('Pre-Calculation'!$D$17="Type 4 f",SA,IF('Pre-Calculation'!$D$17="Type 4 g",1000+N215,IF('Pre-Calculation'!$D$17="Type 4 h",SA+X215,IF('Pre-Calculation'!$D$17="Type 4 i",MAX(N215,Q215),IF('Pre-Calculation'!$D$17="Type 4 k",MAX(N215,1.01*Q215),IF('Pre-Calculation'!$D$17="Type 4 m",MAX(105%*Q215,SA+N215),IF('Pre-Calculation'!$D$17="Type 4 o",MAX(SA,105%*Q215)+X215+Z215,IF('Pre-Calculation'!$D$17="Type 5",0))))))))))))</f>
        <v>3018526.158</v>
      </c>
      <c r="Q215" s="175">
        <f t="shared" si="5"/>
        <v>1000000</v>
      </c>
      <c r="R215" s="119">
        <f>L215*(1+GROWTH_RATE)*FMC</f>
        <v>3398.504275</v>
      </c>
      <c r="S215" s="178">
        <f>S214*(1+'Pre-Calculation'!$E$27)</f>
        <v>1183380.61</v>
      </c>
      <c r="T215" s="175">
        <f>-E215+IF(A214=INPUT!$C$11*12,N215,0)</f>
        <v>0</v>
      </c>
      <c r="U215" s="175">
        <f t="shared" si="6"/>
        <v>2946014.277</v>
      </c>
      <c r="V215" s="175">
        <f>U215*(1+GROWTH_RATE_H)*(1-'Pre-Calculation'!$E$31)</f>
        <v>2960031.387</v>
      </c>
      <c r="W215" s="175">
        <f>-E215+IF(A214=INPUT!$C$11*12,V215,0)</f>
        <v>0</v>
      </c>
      <c r="X215" s="179">
        <f t="array" ref="X215">NPV('Pre-Calculation'!$E$20,$E216:E$246)</f>
        <v>0</v>
      </c>
      <c r="Y215" s="171">
        <f>10%*SA</f>
        <v>100000</v>
      </c>
      <c r="Z215" s="179">
        <f t="array" ref="Z215">NPV('Pre-Calculation'!$E$20,Y216:Y225)</f>
        <v>969592.8037</v>
      </c>
    </row>
    <row r="216" ht="15.75" customHeight="1">
      <c r="A216" s="171">
        <f t="shared" si="1"/>
        <v>270</v>
      </c>
      <c r="B216" s="171">
        <f t="shared" si="2"/>
        <v>23</v>
      </c>
      <c r="C216" s="176">
        <f>EDATE(RCD,A215)</f>
        <v>50739</v>
      </c>
      <c r="D216" s="171">
        <f>Age_At_Entry+'Cashflows_8%'!B216-1</f>
        <v>57</v>
      </c>
      <c r="E216" s="175">
        <f>IF(AND(C216&lt;=Last_Prem,MOD(A215,Mode)=0,C216&gt;INPUT!$C$13,A216&lt;=Revival!$C$11),Mod_Prem,0)</f>
        <v>0</v>
      </c>
      <c r="F216" s="177">
        <f>E216*VLOOKUP(B216,'Pre-Calculation'!$H$1:$I$31,2,FALSE)</f>
        <v>0</v>
      </c>
      <c r="G216" s="177">
        <f>IF(B216&lt;PT+1,VLOOKUP(B216,'Pre-Calculation'!$H$1:$L$32,3,FALSE)+VLOOKUP(B216,'Pre-Calculation'!$H$1:$L$32,4,FALSE)*'Pre-Calculation'!$D$7,0)</f>
        <v>0</v>
      </c>
      <c r="H216" s="175">
        <f>(E216-(F216+G216)*(1+Tax)+N215)</f>
        <v>3018526.158</v>
      </c>
      <c r="I216" s="175">
        <f>IF(B216&lt;PT+1,VLOOKUP(D216,'Pre-Calculation'!$N$3:$P$79,IF(INPUT!$C$4="M",2,3),FALSE)*(J216/1000)*(1/12),0)</f>
        <v>0</v>
      </c>
      <c r="J216" s="175">
        <f t="shared" si="3"/>
        <v>0</v>
      </c>
      <c r="K216" s="175">
        <f>(IF('Pre-Calculation'!$D$17="Type 4 a",MAX(SA,H216,1.05*Q216),IF('Pre-Calculation'!$D$17="Type 4 c",H216,IF('Pre-Calculation'!$D$17="Type 4 d",SA+H216,IF('Pre-Calculation'!$D$17="Type 4 e",MAX(SA,H216),IF('Pre-Calculation'!$D$17="Type 4 f",SA,IF('Pre-Calculation'!$D$17="Type 4 g",1000+H216,IF('Pre-Calculation'!$D$17="Type 4 h",SA+X216,IF('Pre-Calculation'!$D$17="Type 4 i",MAX(H216,Q216),IF('Pre-Calculation'!$D$17="Type 4 k",MAX(H216,1.01*Q216),IF('Pre-Calculation'!$D$17="Type 4 m",MAX(105%*Q216,SA+H216),IF('Pre-Calculation'!$D$17="Type 4 o",MAX(SA,105%*Q216)+X216+Z216,IF('Pre-Calculation'!$D$17="Type 5",0)))))))))))))*IF(AND(A216&lt;Revival!$C$4,'Cashflows_8%'!C216&gt;=Revival!$D$12),PUP,1)</f>
        <v>3018526.158</v>
      </c>
      <c r="L216" s="175">
        <f>H216-I216*(1+Tax)</f>
        <v>3018526.158</v>
      </c>
      <c r="M216" s="175">
        <f>L216*(1+GROWTH_RATE_H)*(1-FMC*(1+Tax))</f>
        <v>3033916.765</v>
      </c>
      <c r="N216" s="175">
        <f>M216+IF(MOD(A216,B216)=0,VLOOKUP(B216,'Pre-Calculation'!$H$1:$L$31,5,FALSE),0)*IF('Pre-Calculation'!$D$16="% OF FV",M216,IF(OR('Pre-Calculation'!$D$16="% OF AFV(24M)",'Pre-Calculation'!$D$16="% OF AFV(8Q)"),AVERAGE( $M193:$M216),IF('Pre-Calculation'!$D$16="% OF AFV(12M)",AVERAGE($M205:M216),IF('Pre-Calculation'!$D$16="% OF AFV(36M)",AVERAGE($M181:M216)))))</f>
        <v>3033916.765</v>
      </c>
      <c r="O216" s="175">
        <f t="shared" si="4"/>
        <v>3033916.765</v>
      </c>
      <c r="P216" s="175">
        <f>IF('Pre-Calculation'!$D$17="Type 4 a",MAX(SA,N216,1.05*Q216),IF('Pre-Calculation'!$D$17="Type 4 c",N216,IF('Pre-Calculation'!$D$17="Type 4 d",SA+N216,IF('Pre-Calculation'!$D$17="Type 4 e",MAX(SA,N216),IF('Pre-Calculation'!$D$17="Type 4 f",SA,IF('Pre-Calculation'!$D$17="Type 4 g",1000+N216,IF('Pre-Calculation'!$D$17="Type 4 h",SA+X216,IF('Pre-Calculation'!$D$17="Type 4 i",MAX(N216,Q216),IF('Pre-Calculation'!$D$17="Type 4 k",MAX(N216,1.01*Q216),IF('Pre-Calculation'!$D$17="Type 4 m",MAX(105%*Q216,SA+N216),IF('Pre-Calculation'!$D$17="Type 4 o",MAX(SA,105%*Q216)+X216+Z216,IF('Pre-Calculation'!$D$17="Type 5",0))))))))))))</f>
        <v>3033916.765</v>
      </c>
      <c r="Q216" s="175">
        <f t="shared" si="5"/>
        <v>1000000</v>
      </c>
      <c r="R216" s="119">
        <f>L216*(1+GROWTH_RATE)*FMC</f>
        <v>3415.832281</v>
      </c>
      <c r="S216" s="178">
        <f>S215*(1+'Pre-Calculation'!$E$27)</f>
        <v>1186777.976</v>
      </c>
      <c r="T216" s="175">
        <f>-E216+IF(A215=INPUT!$C$11*12,N216,0)</f>
        <v>0</v>
      </c>
      <c r="U216" s="175">
        <f t="shared" si="6"/>
        <v>2960031.387</v>
      </c>
      <c r="V216" s="175">
        <f>U216*(1+GROWTH_RATE_H)*(1-'Pre-Calculation'!$E$31)</f>
        <v>2974115.19</v>
      </c>
      <c r="W216" s="175">
        <f>-E216+IF(A215=INPUT!$C$11*12,V216,0)</f>
        <v>0</v>
      </c>
      <c r="X216" s="179">
        <f t="array" ref="X216">NPV('Pre-Calculation'!$E$20,$E217:E$246)</f>
        <v>0</v>
      </c>
      <c r="Y216" s="171">
        <f>10%*SA</f>
        <v>100000</v>
      </c>
      <c r="Z216" s="179">
        <f t="array" ref="Z216">NPV('Pre-Calculation'!$E$20,Y217:Y226)</f>
        <v>969592.8037</v>
      </c>
    </row>
    <row r="217" ht="15.75" customHeight="1">
      <c r="A217" s="171">
        <f t="shared" si="1"/>
        <v>271</v>
      </c>
      <c r="B217" s="171">
        <f t="shared" si="2"/>
        <v>23</v>
      </c>
      <c r="C217" s="176">
        <f>EDATE(RCD,A216)</f>
        <v>50769</v>
      </c>
      <c r="D217" s="171">
        <f>Age_At_Entry+'Cashflows_8%'!B217-1</f>
        <v>57</v>
      </c>
      <c r="E217" s="175">
        <f>IF(AND(C217&lt;=Last_Prem,MOD(A216,Mode)=0,C217&gt;INPUT!$C$13,A217&lt;=Revival!$C$11),Mod_Prem,0)</f>
        <v>0</v>
      </c>
      <c r="F217" s="177">
        <f>E217*VLOOKUP(B217,'Pre-Calculation'!$H$1:$I$31,2,FALSE)</f>
        <v>0</v>
      </c>
      <c r="G217" s="177">
        <f>IF(B217&lt;PT+1,VLOOKUP(B217,'Pre-Calculation'!$H$1:$L$32,3,FALSE)+VLOOKUP(B217,'Pre-Calculation'!$H$1:$L$32,4,FALSE)*'Pre-Calculation'!$D$7,0)</f>
        <v>0</v>
      </c>
      <c r="H217" s="175">
        <f>(E217-(F217+G217)*(1+Tax)+N216)</f>
        <v>3033916.765</v>
      </c>
      <c r="I217" s="175">
        <f>IF(B217&lt;PT+1,VLOOKUP(D217,'Pre-Calculation'!$N$3:$P$79,IF(INPUT!$C$4="M",2,3),FALSE)*(J217/1000)*(1/12),0)</f>
        <v>0</v>
      </c>
      <c r="J217" s="175">
        <f t="shared" si="3"/>
        <v>0</v>
      </c>
      <c r="K217" s="175">
        <f>(IF('Pre-Calculation'!$D$17="Type 4 a",MAX(SA,H217,1.05*Q217),IF('Pre-Calculation'!$D$17="Type 4 c",H217,IF('Pre-Calculation'!$D$17="Type 4 d",SA+H217,IF('Pre-Calculation'!$D$17="Type 4 e",MAX(SA,H217),IF('Pre-Calculation'!$D$17="Type 4 f",SA,IF('Pre-Calculation'!$D$17="Type 4 g",1000+H217,IF('Pre-Calculation'!$D$17="Type 4 h",SA+X217,IF('Pre-Calculation'!$D$17="Type 4 i",MAX(H217,Q217),IF('Pre-Calculation'!$D$17="Type 4 k",MAX(H217,1.01*Q217),IF('Pre-Calculation'!$D$17="Type 4 m",MAX(105%*Q217,SA+H217),IF('Pre-Calculation'!$D$17="Type 4 o",MAX(SA,105%*Q217)+X217+Z217,IF('Pre-Calculation'!$D$17="Type 5",0)))))))))))))*IF(AND(A217&lt;Revival!$C$4,'Cashflows_8%'!C217&gt;=Revival!$D$12),PUP,1)</f>
        <v>3033916.765</v>
      </c>
      <c r="L217" s="175">
        <f>H217-I217*(1+Tax)</f>
        <v>3033916.765</v>
      </c>
      <c r="M217" s="175">
        <f>L217*(1+GROWTH_RATE_H)*(1-FMC*(1+Tax))</f>
        <v>3049385.843</v>
      </c>
      <c r="N217" s="175">
        <f>M217+IF(MOD(A217,B217)=0,VLOOKUP(B217,'Pre-Calculation'!$H$1:$L$31,5,FALSE),0)*IF('Pre-Calculation'!$D$16="% OF FV",M217,IF(OR('Pre-Calculation'!$D$16="% OF AFV(24M)",'Pre-Calculation'!$D$16="% OF AFV(8Q)"),AVERAGE( $M194:$M217),IF('Pre-Calculation'!$D$16="% OF AFV(12M)",AVERAGE($M206:M217),IF('Pre-Calculation'!$D$16="% OF AFV(36M)",AVERAGE($M182:M217)))))</f>
        <v>3049385.843</v>
      </c>
      <c r="O217" s="175">
        <f t="shared" si="4"/>
        <v>3049385.843</v>
      </c>
      <c r="P217" s="175">
        <f>IF('Pre-Calculation'!$D$17="Type 4 a",MAX(SA,N217,1.05*Q217),IF('Pre-Calculation'!$D$17="Type 4 c",N217,IF('Pre-Calculation'!$D$17="Type 4 d",SA+N217,IF('Pre-Calculation'!$D$17="Type 4 e",MAX(SA,N217),IF('Pre-Calculation'!$D$17="Type 4 f",SA,IF('Pre-Calculation'!$D$17="Type 4 g",1000+N217,IF('Pre-Calculation'!$D$17="Type 4 h",SA+X217,IF('Pre-Calculation'!$D$17="Type 4 i",MAX(N217,Q217),IF('Pre-Calculation'!$D$17="Type 4 k",MAX(N217,1.01*Q217),IF('Pre-Calculation'!$D$17="Type 4 m",MAX(105%*Q217,SA+N217),IF('Pre-Calculation'!$D$17="Type 4 o",MAX(SA,105%*Q217)+X217+Z217,IF('Pre-Calculation'!$D$17="Type 5",0))))))))))))</f>
        <v>3049385.843</v>
      </c>
      <c r="Q217" s="175">
        <f t="shared" si="5"/>
        <v>1000000</v>
      </c>
      <c r="R217" s="119">
        <f>L217*(1+GROWTH_RATE)*FMC</f>
        <v>3433.248638</v>
      </c>
      <c r="S217" s="178">
        <f>S216*(1+'Pre-Calculation'!$E$27)</f>
        <v>1190185.095</v>
      </c>
      <c r="T217" s="175">
        <f>-E217+IF(A216=INPUT!$C$11*12,N217,0)</f>
        <v>0</v>
      </c>
      <c r="U217" s="175">
        <f t="shared" si="6"/>
        <v>2974115.19</v>
      </c>
      <c r="V217" s="175">
        <f>U217*(1+GROWTH_RATE_H)*(1-'Pre-Calculation'!$E$31)</f>
        <v>2988266.004</v>
      </c>
      <c r="W217" s="175">
        <f>-E217+IF(A216=INPUT!$C$11*12,V217,0)</f>
        <v>0</v>
      </c>
      <c r="X217" s="179">
        <f t="array" ref="X217">NPV('Pre-Calculation'!$E$20,$E218:E$246)</f>
        <v>0</v>
      </c>
      <c r="Y217" s="171">
        <f>10%*SA</f>
        <v>100000</v>
      </c>
      <c r="Z217" s="179">
        <f t="array" ref="Z217">NPV('Pre-Calculation'!$E$20,Y218:Y227)</f>
        <v>969592.8037</v>
      </c>
    </row>
    <row r="218" ht="15.75" customHeight="1">
      <c r="A218" s="171">
        <f t="shared" si="1"/>
        <v>272</v>
      </c>
      <c r="B218" s="171">
        <f t="shared" si="2"/>
        <v>23</v>
      </c>
      <c r="C218" s="176">
        <f>EDATE(RCD,A217)</f>
        <v>50800</v>
      </c>
      <c r="D218" s="171">
        <f>Age_At_Entry+'Cashflows_8%'!B218-1</f>
        <v>57</v>
      </c>
      <c r="E218" s="175">
        <f>IF(AND(C218&lt;=Last_Prem,MOD(A217,Mode)=0,C218&gt;INPUT!$C$13,A218&lt;=Revival!$C$11),Mod_Prem,0)</f>
        <v>0</v>
      </c>
      <c r="F218" s="177">
        <f>E218*VLOOKUP(B218,'Pre-Calculation'!$H$1:$I$31,2,FALSE)</f>
        <v>0</v>
      </c>
      <c r="G218" s="177">
        <f>IF(B218&lt;PT+1,VLOOKUP(B218,'Pre-Calculation'!$H$1:$L$32,3,FALSE)+VLOOKUP(B218,'Pre-Calculation'!$H$1:$L$32,4,FALSE)*'Pre-Calculation'!$D$7,0)</f>
        <v>0</v>
      </c>
      <c r="H218" s="175">
        <f>(E218-(F218+G218)*(1+Tax)+N217)</f>
        <v>3049385.843</v>
      </c>
      <c r="I218" s="175">
        <f>IF(B218&lt;PT+1,VLOOKUP(D218,'Pre-Calculation'!$N$3:$P$79,IF(INPUT!$C$4="M",2,3),FALSE)*(J218/1000)*(1/12),0)</f>
        <v>0</v>
      </c>
      <c r="J218" s="175">
        <f t="shared" si="3"/>
        <v>0</v>
      </c>
      <c r="K218" s="175">
        <f>(IF('Pre-Calculation'!$D$17="Type 4 a",MAX(SA,H218,1.05*Q218),IF('Pre-Calculation'!$D$17="Type 4 c",H218,IF('Pre-Calculation'!$D$17="Type 4 d",SA+H218,IF('Pre-Calculation'!$D$17="Type 4 e",MAX(SA,H218),IF('Pre-Calculation'!$D$17="Type 4 f",SA,IF('Pre-Calculation'!$D$17="Type 4 g",1000+H218,IF('Pre-Calculation'!$D$17="Type 4 h",SA+X218,IF('Pre-Calculation'!$D$17="Type 4 i",MAX(H218,Q218),IF('Pre-Calculation'!$D$17="Type 4 k",MAX(H218,1.01*Q218),IF('Pre-Calculation'!$D$17="Type 4 m",MAX(105%*Q218,SA+H218),IF('Pre-Calculation'!$D$17="Type 4 o",MAX(SA,105%*Q218)+X218+Z218,IF('Pre-Calculation'!$D$17="Type 5",0)))))))))))))*IF(AND(A218&lt;Revival!$C$4,'Cashflows_8%'!C218&gt;=Revival!$D$12),PUP,1)</f>
        <v>3049385.843</v>
      </c>
      <c r="L218" s="175">
        <f>H218-I218*(1+Tax)</f>
        <v>3049385.843</v>
      </c>
      <c r="M218" s="175">
        <f>L218*(1+GROWTH_RATE_H)*(1-FMC*(1+Tax))</f>
        <v>3064933.794</v>
      </c>
      <c r="N218" s="175">
        <f>M218+IF(MOD(A218,B218)=0,VLOOKUP(B218,'Pre-Calculation'!$H$1:$L$31,5,FALSE),0)*IF('Pre-Calculation'!$D$16="% OF FV",M218,IF(OR('Pre-Calculation'!$D$16="% OF AFV(24M)",'Pre-Calculation'!$D$16="% OF AFV(8Q)"),AVERAGE( $M195:$M218),IF('Pre-Calculation'!$D$16="% OF AFV(12M)",AVERAGE($M207:M218),IF('Pre-Calculation'!$D$16="% OF AFV(36M)",AVERAGE($M183:M218)))))</f>
        <v>3064933.794</v>
      </c>
      <c r="O218" s="175">
        <f t="shared" si="4"/>
        <v>3064933.794</v>
      </c>
      <c r="P218" s="175">
        <f>IF('Pre-Calculation'!$D$17="Type 4 a",MAX(SA,N218,1.05*Q218),IF('Pre-Calculation'!$D$17="Type 4 c",N218,IF('Pre-Calculation'!$D$17="Type 4 d",SA+N218,IF('Pre-Calculation'!$D$17="Type 4 e",MAX(SA,N218),IF('Pre-Calculation'!$D$17="Type 4 f",SA,IF('Pre-Calculation'!$D$17="Type 4 g",1000+N218,IF('Pre-Calculation'!$D$17="Type 4 h",SA+X218,IF('Pre-Calculation'!$D$17="Type 4 i",MAX(N218,Q218),IF('Pre-Calculation'!$D$17="Type 4 k",MAX(N218,1.01*Q218),IF('Pre-Calculation'!$D$17="Type 4 m",MAX(105%*Q218,SA+N218),IF('Pre-Calculation'!$D$17="Type 4 o",MAX(SA,105%*Q218)+X218+Z218,IF('Pre-Calculation'!$D$17="Type 5",0))))))))))))</f>
        <v>3064933.794</v>
      </c>
      <c r="Q218" s="175">
        <f t="shared" si="5"/>
        <v>1000000</v>
      </c>
      <c r="R218" s="119">
        <f>L218*(1+GROWTH_RATE)*FMC</f>
        <v>3450.753797</v>
      </c>
      <c r="S218" s="178">
        <f>S217*(1+'Pre-Calculation'!$E$27)</f>
        <v>1193601.996</v>
      </c>
      <c r="T218" s="175">
        <f>-E218+IF(A217=INPUT!$C$11*12,N218,0)</f>
        <v>0</v>
      </c>
      <c r="U218" s="175">
        <f t="shared" si="6"/>
        <v>2988266.004</v>
      </c>
      <c r="V218" s="175">
        <f>U218*(1+GROWTH_RATE_H)*(1-'Pre-Calculation'!$E$31)</f>
        <v>3002484.148</v>
      </c>
      <c r="W218" s="175">
        <f>-E218+IF(A217=INPUT!$C$11*12,V218,0)</f>
        <v>0</v>
      </c>
      <c r="X218" s="179">
        <f t="array" ref="X218">NPV('Pre-Calculation'!$E$20,$E219:E$246)</f>
        <v>0</v>
      </c>
      <c r="Y218" s="171">
        <f>10%*SA</f>
        <v>100000</v>
      </c>
      <c r="Z218" s="179">
        <f t="array" ref="Z218">NPV('Pre-Calculation'!$E$20,Y219:Y228)</f>
        <v>969592.8037</v>
      </c>
    </row>
    <row r="219" ht="15.75" customHeight="1">
      <c r="A219" s="171">
        <f t="shared" si="1"/>
        <v>273</v>
      </c>
      <c r="B219" s="171">
        <f t="shared" si="2"/>
        <v>23</v>
      </c>
      <c r="C219" s="176">
        <f>EDATE(RCD,A218)</f>
        <v>50829</v>
      </c>
      <c r="D219" s="171">
        <f>Age_At_Entry+'Cashflows_8%'!B219-1</f>
        <v>57</v>
      </c>
      <c r="E219" s="175">
        <f>IF(AND(C219&lt;=Last_Prem,MOD(A218,Mode)=0,C219&gt;INPUT!$C$13,A219&lt;=Revival!$C$11),Mod_Prem,0)</f>
        <v>0</v>
      </c>
      <c r="F219" s="177">
        <f>E219*VLOOKUP(B219,'Pre-Calculation'!$H$1:$I$31,2,FALSE)</f>
        <v>0</v>
      </c>
      <c r="G219" s="177">
        <f>IF(B219&lt;PT+1,VLOOKUP(B219,'Pre-Calculation'!$H$1:$L$32,3,FALSE)+VLOOKUP(B219,'Pre-Calculation'!$H$1:$L$32,4,FALSE)*'Pre-Calculation'!$D$7,0)</f>
        <v>0</v>
      </c>
      <c r="H219" s="175">
        <f>(E219-(F219+G219)*(1+Tax)+N218)</f>
        <v>3064933.794</v>
      </c>
      <c r="I219" s="175">
        <f>IF(B219&lt;PT+1,VLOOKUP(D219,'Pre-Calculation'!$N$3:$P$79,IF(INPUT!$C$4="M",2,3),FALSE)*(J219/1000)*(1/12),0)</f>
        <v>0</v>
      </c>
      <c r="J219" s="175">
        <f t="shared" si="3"/>
        <v>0</v>
      </c>
      <c r="K219" s="175">
        <f>(IF('Pre-Calculation'!$D$17="Type 4 a",MAX(SA,H219,1.05*Q219),IF('Pre-Calculation'!$D$17="Type 4 c",H219,IF('Pre-Calculation'!$D$17="Type 4 d",SA+H219,IF('Pre-Calculation'!$D$17="Type 4 e",MAX(SA,H219),IF('Pre-Calculation'!$D$17="Type 4 f",SA,IF('Pre-Calculation'!$D$17="Type 4 g",1000+H219,IF('Pre-Calculation'!$D$17="Type 4 h",SA+X219,IF('Pre-Calculation'!$D$17="Type 4 i",MAX(H219,Q219),IF('Pre-Calculation'!$D$17="Type 4 k",MAX(H219,1.01*Q219),IF('Pre-Calculation'!$D$17="Type 4 m",MAX(105%*Q219,SA+H219),IF('Pre-Calculation'!$D$17="Type 4 o",MAX(SA,105%*Q219)+X219+Z219,IF('Pre-Calculation'!$D$17="Type 5",0)))))))))))))*IF(AND(A219&lt;Revival!$C$4,'Cashflows_8%'!C219&gt;=Revival!$D$12),PUP,1)</f>
        <v>3064933.794</v>
      </c>
      <c r="L219" s="175">
        <f>H219-I219*(1+Tax)</f>
        <v>3064933.794</v>
      </c>
      <c r="M219" s="175">
        <f>L219*(1+GROWTH_RATE_H)*(1-FMC*(1+Tax))</f>
        <v>3080561.019</v>
      </c>
      <c r="N219" s="175">
        <f>M219+IF(MOD(A219,B219)=0,VLOOKUP(B219,'Pre-Calculation'!$H$1:$L$31,5,FALSE),0)*IF('Pre-Calculation'!$D$16="% OF FV",M219,IF(OR('Pre-Calculation'!$D$16="% OF AFV(24M)",'Pre-Calculation'!$D$16="% OF AFV(8Q)"),AVERAGE( $M196:$M219),IF('Pre-Calculation'!$D$16="% OF AFV(12M)",AVERAGE($M208:M219),IF('Pre-Calculation'!$D$16="% OF AFV(36M)",AVERAGE($M184:M219)))))</f>
        <v>3080561.019</v>
      </c>
      <c r="O219" s="175">
        <f t="shared" si="4"/>
        <v>3080561.019</v>
      </c>
      <c r="P219" s="175">
        <f>IF('Pre-Calculation'!$D$17="Type 4 a",MAX(SA,N219,1.05*Q219),IF('Pre-Calculation'!$D$17="Type 4 c",N219,IF('Pre-Calculation'!$D$17="Type 4 d",SA+N219,IF('Pre-Calculation'!$D$17="Type 4 e",MAX(SA,N219),IF('Pre-Calculation'!$D$17="Type 4 f",SA,IF('Pre-Calculation'!$D$17="Type 4 g",1000+N219,IF('Pre-Calculation'!$D$17="Type 4 h",SA+X219,IF('Pre-Calculation'!$D$17="Type 4 i",MAX(N219,Q219),IF('Pre-Calculation'!$D$17="Type 4 k",MAX(N219,1.01*Q219),IF('Pre-Calculation'!$D$17="Type 4 m",MAX(105%*Q219,SA+N219),IF('Pre-Calculation'!$D$17="Type 4 o",MAX(SA,105%*Q219)+X219+Z219,IF('Pre-Calculation'!$D$17="Type 5",0))))))))))))</f>
        <v>3080561.019</v>
      </c>
      <c r="Q219" s="175">
        <f t="shared" si="5"/>
        <v>1000000</v>
      </c>
      <c r="R219" s="119">
        <f>L219*(1+GROWTH_RATE)*FMC</f>
        <v>3468.348208</v>
      </c>
      <c r="S219" s="178">
        <f>S218*(1+'Pre-Calculation'!$E$27)</f>
        <v>1197028.706</v>
      </c>
      <c r="T219" s="175">
        <f>-E219+IF(A218=INPUT!$C$11*12,N219,0)</f>
        <v>0</v>
      </c>
      <c r="U219" s="175">
        <f t="shared" si="6"/>
        <v>3002484.148</v>
      </c>
      <c r="V219" s="175">
        <f>U219*(1+GROWTH_RATE_H)*(1-'Pre-Calculation'!$E$31)</f>
        <v>3016769.941</v>
      </c>
      <c r="W219" s="175">
        <f>-E219+IF(A218=INPUT!$C$11*12,V219,0)</f>
        <v>0</v>
      </c>
      <c r="X219" s="179">
        <f t="array" ref="X219">NPV('Pre-Calculation'!$E$20,$E220:E$246)</f>
        <v>0</v>
      </c>
      <c r="Y219" s="171">
        <f>10%*SA</f>
        <v>100000</v>
      </c>
      <c r="Z219" s="179">
        <f t="array" ref="Z219">NPV('Pre-Calculation'!$E$20,Y220:Y229)</f>
        <v>969592.8037</v>
      </c>
    </row>
    <row r="220" ht="15.75" customHeight="1">
      <c r="A220" s="171">
        <f t="shared" si="1"/>
        <v>274</v>
      </c>
      <c r="B220" s="171">
        <f t="shared" si="2"/>
        <v>23</v>
      </c>
      <c r="C220" s="176">
        <f>EDATE(RCD,A219)</f>
        <v>50859</v>
      </c>
      <c r="D220" s="171">
        <f>Age_At_Entry+'Cashflows_8%'!B220-1</f>
        <v>57</v>
      </c>
      <c r="E220" s="175">
        <f>IF(AND(C220&lt;=Last_Prem,MOD(A219,Mode)=0,C220&gt;INPUT!$C$13,A220&lt;=Revival!$C$11),Mod_Prem,0)</f>
        <v>0</v>
      </c>
      <c r="F220" s="177">
        <f>E220*VLOOKUP(B220,'Pre-Calculation'!$H$1:$I$31,2,FALSE)</f>
        <v>0</v>
      </c>
      <c r="G220" s="177">
        <f>IF(B220&lt;PT+1,VLOOKUP(B220,'Pre-Calculation'!$H$1:$L$32,3,FALSE)+VLOOKUP(B220,'Pre-Calculation'!$H$1:$L$32,4,FALSE)*'Pre-Calculation'!$D$7,0)</f>
        <v>0</v>
      </c>
      <c r="H220" s="175">
        <f>(E220-(F220+G220)*(1+Tax)+N219)</f>
        <v>3080561.019</v>
      </c>
      <c r="I220" s="175">
        <f>IF(B220&lt;PT+1,VLOOKUP(D220,'Pre-Calculation'!$N$3:$P$79,IF(INPUT!$C$4="M",2,3),FALSE)*(J220/1000)*(1/12),0)</f>
        <v>0</v>
      </c>
      <c r="J220" s="175">
        <f t="shared" si="3"/>
        <v>0</v>
      </c>
      <c r="K220" s="175">
        <f>(IF('Pre-Calculation'!$D$17="Type 4 a",MAX(SA,H220,1.05*Q220),IF('Pre-Calculation'!$D$17="Type 4 c",H220,IF('Pre-Calculation'!$D$17="Type 4 d",SA+H220,IF('Pre-Calculation'!$D$17="Type 4 e",MAX(SA,H220),IF('Pre-Calculation'!$D$17="Type 4 f",SA,IF('Pre-Calculation'!$D$17="Type 4 g",1000+H220,IF('Pre-Calculation'!$D$17="Type 4 h",SA+X220,IF('Pre-Calculation'!$D$17="Type 4 i",MAX(H220,Q220),IF('Pre-Calculation'!$D$17="Type 4 k",MAX(H220,1.01*Q220),IF('Pre-Calculation'!$D$17="Type 4 m",MAX(105%*Q220,SA+H220),IF('Pre-Calculation'!$D$17="Type 4 o",MAX(SA,105%*Q220)+X220+Z220,IF('Pre-Calculation'!$D$17="Type 5",0)))))))))))))*IF(AND(A220&lt;Revival!$C$4,'Cashflows_8%'!C220&gt;=Revival!$D$12),PUP,1)</f>
        <v>3080561.019</v>
      </c>
      <c r="L220" s="175">
        <f>H220-I220*(1+Tax)</f>
        <v>3080561.019</v>
      </c>
      <c r="M220" s="175">
        <f>L220*(1+GROWTH_RATE_H)*(1-FMC*(1+Tax))</f>
        <v>3096267.924</v>
      </c>
      <c r="N220" s="175">
        <f>M220+IF(MOD(A220,B220)=0,VLOOKUP(B220,'Pre-Calculation'!$H$1:$L$31,5,FALSE),0)*IF('Pre-Calculation'!$D$16="% OF FV",M220,IF(OR('Pre-Calculation'!$D$16="% OF AFV(24M)",'Pre-Calculation'!$D$16="% OF AFV(8Q)"),AVERAGE( $M197:$M220),IF('Pre-Calculation'!$D$16="% OF AFV(12M)",AVERAGE($M209:M220),IF('Pre-Calculation'!$D$16="% OF AFV(36M)",AVERAGE($M185:M220)))))</f>
        <v>3096267.924</v>
      </c>
      <c r="O220" s="175">
        <f t="shared" si="4"/>
        <v>3096267.924</v>
      </c>
      <c r="P220" s="175">
        <f>IF('Pre-Calculation'!$D$17="Type 4 a",MAX(SA,N220,1.05*Q220),IF('Pre-Calculation'!$D$17="Type 4 c",N220,IF('Pre-Calculation'!$D$17="Type 4 d",SA+N220,IF('Pre-Calculation'!$D$17="Type 4 e",MAX(SA,N220),IF('Pre-Calculation'!$D$17="Type 4 f",SA,IF('Pre-Calculation'!$D$17="Type 4 g",1000+N220,IF('Pre-Calculation'!$D$17="Type 4 h",SA+X220,IF('Pre-Calculation'!$D$17="Type 4 i",MAX(N220,Q220),IF('Pre-Calculation'!$D$17="Type 4 k",MAX(N220,1.01*Q220),IF('Pre-Calculation'!$D$17="Type 4 m",MAX(105%*Q220,SA+N220),IF('Pre-Calculation'!$D$17="Type 4 o",MAX(SA,105%*Q220)+X220+Z220,IF('Pre-Calculation'!$D$17="Type 5",0))))))))))))</f>
        <v>3096267.924</v>
      </c>
      <c r="Q220" s="175">
        <f t="shared" si="5"/>
        <v>1000000</v>
      </c>
      <c r="R220" s="119">
        <f>L220*(1+GROWTH_RATE)*FMC</f>
        <v>3486.032329</v>
      </c>
      <c r="S220" s="178">
        <f>S219*(1+'Pre-Calculation'!$E$27)</f>
        <v>1200465.254</v>
      </c>
      <c r="T220" s="175">
        <f>-E220+IF(A219=INPUT!$C$11*12,N220,0)</f>
        <v>0</v>
      </c>
      <c r="U220" s="175">
        <f t="shared" si="6"/>
        <v>3016769.941</v>
      </c>
      <c r="V220" s="175">
        <f>U220*(1+GROWTH_RATE_H)*(1-'Pre-Calculation'!$E$31)</f>
        <v>3031123.706</v>
      </c>
      <c r="W220" s="175">
        <f>-E220+IF(A219=INPUT!$C$11*12,V220,0)</f>
        <v>0</v>
      </c>
      <c r="X220" s="179">
        <f t="array" ref="X220">NPV('Pre-Calculation'!$E$20,$E221:E$246)</f>
        <v>0</v>
      </c>
      <c r="Y220" s="171">
        <f>10%*SA</f>
        <v>100000</v>
      </c>
      <c r="Z220" s="179">
        <f t="array" ref="Z220">NPV('Pre-Calculation'!$E$20,Y221:Y230)</f>
        <v>969592.8037</v>
      </c>
    </row>
    <row r="221" ht="15.75" customHeight="1">
      <c r="A221" s="171">
        <f t="shared" si="1"/>
        <v>275</v>
      </c>
      <c r="B221" s="171">
        <f t="shared" si="2"/>
        <v>23</v>
      </c>
      <c r="C221" s="176">
        <f>EDATE(RCD,A220)</f>
        <v>50890</v>
      </c>
      <c r="D221" s="171">
        <f>Age_At_Entry+'Cashflows_8%'!B221-1</f>
        <v>57</v>
      </c>
      <c r="E221" s="175">
        <f>IF(AND(C221&lt;=Last_Prem,MOD(A220,Mode)=0,C221&gt;INPUT!$C$13,A221&lt;=Revival!$C$11),Mod_Prem,0)</f>
        <v>0</v>
      </c>
      <c r="F221" s="177">
        <f>E221*VLOOKUP(B221,'Pre-Calculation'!$H$1:$I$31,2,FALSE)</f>
        <v>0</v>
      </c>
      <c r="G221" s="177">
        <f>IF(B221&lt;PT+1,VLOOKUP(B221,'Pre-Calculation'!$H$1:$L$32,3,FALSE)+VLOOKUP(B221,'Pre-Calculation'!$H$1:$L$32,4,FALSE)*'Pre-Calculation'!$D$7,0)</f>
        <v>0</v>
      </c>
      <c r="H221" s="175">
        <f>(E221-(F221+G221)*(1+Tax)+N220)</f>
        <v>3096267.924</v>
      </c>
      <c r="I221" s="175">
        <f>IF(B221&lt;PT+1,VLOOKUP(D221,'Pre-Calculation'!$N$3:$P$79,IF(INPUT!$C$4="M",2,3),FALSE)*(J221/1000)*(1/12),0)</f>
        <v>0</v>
      </c>
      <c r="J221" s="175">
        <f t="shared" si="3"/>
        <v>0</v>
      </c>
      <c r="K221" s="175">
        <f>(IF('Pre-Calculation'!$D$17="Type 4 a",MAX(SA,H221,1.05*Q221),IF('Pre-Calculation'!$D$17="Type 4 c",H221,IF('Pre-Calculation'!$D$17="Type 4 d",SA+H221,IF('Pre-Calculation'!$D$17="Type 4 e",MAX(SA,H221),IF('Pre-Calculation'!$D$17="Type 4 f",SA,IF('Pre-Calculation'!$D$17="Type 4 g",1000+H221,IF('Pre-Calculation'!$D$17="Type 4 h",SA+X221,IF('Pre-Calculation'!$D$17="Type 4 i",MAX(H221,Q221),IF('Pre-Calculation'!$D$17="Type 4 k",MAX(H221,1.01*Q221),IF('Pre-Calculation'!$D$17="Type 4 m",MAX(105%*Q221,SA+H221),IF('Pre-Calculation'!$D$17="Type 4 o",MAX(SA,105%*Q221)+X221+Z221,IF('Pre-Calculation'!$D$17="Type 5",0)))))))))))))*IF(AND(A221&lt;Revival!$C$4,'Cashflows_8%'!C221&gt;=Revival!$D$12),PUP,1)</f>
        <v>3096267.924</v>
      </c>
      <c r="L221" s="175">
        <f>H221-I221*(1+Tax)</f>
        <v>3096267.924</v>
      </c>
      <c r="M221" s="175">
        <f>L221*(1+GROWTH_RATE_H)*(1-FMC*(1+Tax))</f>
        <v>3112054.913</v>
      </c>
      <c r="N221" s="175">
        <f>M221+IF(MOD(A221,B221)=0,VLOOKUP(B221,'Pre-Calculation'!$H$1:$L$31,5,FALSE),0)*IF('Pre-Calculation'!$D$16="% OF FV",M221,IF(OR('Pre-Calculation'!$D$16="% OF AFV(24M)",'Pre-Calculation'!$D$16="% OF AFV(8Q)"),AVERAGE( $M198:$M221),IF('Pre-Calculation'!$D$16="% OF AFV(12M)",AVERAGE($M210:M221),IF('Pre-Calculation'!$D$16="% OF AFV(36M)",AVERAGE($M186:M221)))))</f>
        <v>3112054.913</v>
      </c>
      <c r="O221" s="175">
        <f t="shared" si="4"/>
        <v>3112054.913</v>
      </c>
      <c r="P221" s="175">
        <f>IF('Pre-Calculation'!$D$17="Type 4 a",MAX(SA,N221,1.05*Q221),IF('Pre-Calculation'!$D$17="Type 4 c",N221,IF('Pre-Calculation'!$D$17="Type 4 d",SA+N221,IF('Pre-Calculation'!$D$17="Type 4 e",MAX(SA,N221),IF('Pre-Calculation'!$D$17="Type 4 f",SA,IF('Pre-Calculation'!$D$17="Type 4 g",1000+N221,IF('Pre-Calculation'!$D$17="Type 4 h",SA+X221,IF('Pre-Calculation'!$D$17="Type 4 i",MAX(N221,Q221),IF('Pre-Calculation'!$D$17="Type 4 k",MAX(N221,1.01*Q221),IF('Pre-Calculation'!$D$17="Type 4 m",MAX(105%*Q221,SA+N221),IF('Pre-Calculation'!$D$17="Type 4 o",MAX(SA,105%*Q221)+X221+Z221,IF('Pre-Calculation'!$D$17="Type 5",0))))))))))))</f>
        <v>3112054.913</v>
      </c>
      <c r="Q221" s="175">
        <f t="shared" si="5"/>
        <v>1000000</v>
      </c>
      <c r="R221" s="119">
        <f>L221*(1+GROWTH_RATE)*FMC</f>
        <v>3503.806616</v>
      </c>
      <c r="S221" s="178">
        <f>S220*(1+'Pre-Calculation'!$E$27)</f>
        <v>1203911.669</v>
      </c>
      <c r="T221" s="175">
        <f>-E221+IF(A220=INPUT!$C$11*12,N221,0)</f>
        <v>0</v>
      </c>
      <c r="U221" s="175">
        <f t="shared" si="6"/>
        <v>3031123.706</v>
      </c>
      <c r="V221" s="175">
        <f>U221*(1+GROWTH_RATE_H)*(1-'Pre-Calculation'!$E$31)</f>
        <v>3045545.766</v>
      </c>
      <c r="W221" s="175">
        <f>-E221+IF(A220=INPUT!$C$11*12,V221,0)</f>
        <v>0</v>
      </c>
      <c r="X221" s="179">
        <f t="array" ref="X221">NPV('Pre-Calculation'!$E$20,$E222:E$246)</f>
        <v>0</v>
      </c>
      <c r="Y221" s="171">
        <f>10%*SA</f>
        <v>100000</v>
      </c>
      <c r="Z221" s="179">
        <f t="array" ref="Z221">NPV('Pre-Calculation'!$E$20,Y222:Y231)</f>
        <v>969592.8037</v>
      </c>
    </row>
    <row r="222" ht="15.75" customHeight="1">
      <c r="A222" s="171">
        <f t="shared" si="1"/>
        <v>276</v>
      </c>
      <c r="B222" s="171">
        <f t="shared" si="2"/>
        <v>23</v>
      </c>
      <c r="C222" s="176">
        <f>EDATE(RCD,A221)</f>
        <v>50920</v>
      </c>
      <c r="D222" s="171">
        <f>Age_At_Entry+'Cashflows_8%'!B222-1</f>
        <v>57</v>
      </c>
      <c r="E222" s="175">
        <f>IF(AND(C222&lt;=Last_Prem,MOD(A221,Mode)=0,C222&gt;INPUT!$C$13,A222&lt;=Revival!$C$11),Mod_Prem,0)</f>
        <v>0</v>
      </c>
      <c r="F222" s="177">
        <f>E222*VLOOKUP(B222,'Pre-Calculation'!$H$1:$I$31,2,FALSE)</f>
        <v>0</v>
      </c>
      <c r="G222" s="177">
        <f>IF(B222&lt;PT+1,VLOOKUP(B222,'Pre-Calculation'!$H$1:$L$32,3,FALSE)+VLOOKUP(B222,'Pre-Calculation'!$H$1:$L$32,4,FALSE)*'Pre-Calculation'!$D$7,0)</f>
        <v>0</v>
      </c>
      <c r="H222" s="175">
        <f>(E222-(F222+G222)*(1+Tax)+N221)</f>
        <v>3112054.913</v>
      </c>
      <c r="I222" s="175">
        <f>IF(B222&lt;PT+1,VLOOKUP(D222,'Pre-Calculation'!$N$3:$P$79,IF(INPUT!$C$4="M",2,3),FALSE)*(J222/1000)*(1/12),0)</f>
        <v>0</v>
      </c>
      <c r="J222" s="175">
        <f t="shared" si="3"/>
        <v>0</v>
      </c>
      <c r="K222" s="175">
        <f>(IF('Pre-Calculation'!$D$17="Type 4 a",MAX(SA,H222,1.05*Q222),IF('Pre-Calculation'!$D$17="Type 4 c",H222,IF('Pre-Calculation'!$D$17="Type 4 d",SA+H222,IF('Pre-Calculation'!$D$17="Type 4 e",MAX(SA,H222),IF('Pre-Calculation'!$D$17="Type 4 f",SA,IF('Pre-Calculation'!$D$17="Type 4 g",1000+H222,IF('Pre-Calculation'!$D$17="Type 4 h",SA+X222,IF('Pre-Calculation'!$D$17="Type 4 i",MAX(H222,Q222),IF('Pre-Calculation'!$D$17="Type 4 k",MAX(H222,1.01*Q222),IF('Pre-Calculation'!$D$17="Type 4 m",MAX(105%*Q222,SA+H222),IF('Pre-Calculation'!$D$17="Type 4 o",MAX(SA,105%*Q222)+X222+Z222,IF('Pre-Calculation'!$D$17="Type 5",0)))))))))))))*IF(AND(A222&lt;Revival!$C$4,'Cashflows_8%'!C222&gt;=Revival!$D$12),PUP,1)</f>
        <v>3112054.913</v>
      </c>
      <c r="L222" s="175">
        <f>H222-I222*(1+Tax)</f>
        <v>3112054.913</v>
      </c>
      <c r="M222" s="175">
        <f>L222*(1+GROWTH_RATE_H)*(1-FMC*(1+Tax))</f>
        <v>3127922.395</v>
      </c>
      <c r="N222" s="175">
        <f>M222+IF(MOD(A222,B222)=0,VLOOKUP(B222,'Pre-Calculation'!$H$1:$L$31,5,FALSE),0)*IF('Pre-Calculation'!$D$16="% OF FV",M222,IF(OR('Pre-Calculation'!$D$16="% OF AFV(24M)",'Pre-Calculation'!$D$16="% OF AFV(8Q)"),AVERAGE( $M199:$M222),IF('Pre-Calculation'!$D$16="% OF AFV(12M)",AVERAGE($M211:M222),IF('Pre-Calculation'!$D$16="% OF AFV(36M)",AVERAGE($M187:M222)))))</f>
        <v>3127922.395</v>
      </c>
      <c r="O222" s="175">
        <f t="shared" si="4"/>
        <v>3127922.395</v>
      </c>
      <c r="P222" s="175">
        <f>IF('Pre-Calculation'!$D$17="Type 4 a",MAX(SA,N222,1.05*Q222),IF('Pre-Calculation'!$D$17="Type 4 c",N222,IF('Pre-Calculation'!$D$17="Type 4 d",SA+N222,IF('Pre-Calculation'!$D$17="Type 4 e",MAX(SA,N222),IF('Pre-Calculation'!$D$17="Type 4 f",SA,IF('Pre-Calculation'!$D$17="Type 4 g",1000+N222,IF('Pre-Calculation'!$D$17="Type 4 h",SA+X222,IF('Pre-Calculation'!$D$17="Type 4 i",MAX(N222,Q222),IF('Pre-Calculation'!$D$17="Type 4 k",MAX(N222,1.01*Q222),IF('Pre-Calculation'!$D$17="Type 4 m",MAX(105%*Q222,SA+N222),IF('Pre-Calculation'!$D$17="Type 4 o",MAX(SA,105%*Q222)+X222+Z222,IF('Pre-Calculation'!$D$17="Type 5",0))))))))))))</f>
        <v>3127922.395</v>
      </c>
      <c r="Q222" s="175">
        <f t="shared" si="5"/>
        <v>1000000</v>
      </c>
      <c r="R222" s="119">
        <f>L222*(1+GROWTH_RATE)*FMC</f>
        <v>3521.671529</v>
      </c>
      <c r="S222" s="178">
        <f>S221*(1+'Pre-Calculation'!$E$27)</f>
        <v>1207367.977</v>
      </c>
      <c r="T222" s="175">
        <f>-E222+IF(A221=INPUT!$C$11*12,N222,0)</f>
        <v>0</v>
      </c>
      <c r="U222" s="175">
        <f t="shared" si="6"/>
        <v>3045545.766</v>
      </c>
      <c r="V222" s="175">
        <f>U222*(1+GROWTH_RATE_H)*(1-'Pre-Calculation'!$E$31)</f>
        <v>3060036.446</v>
      </c>
      <c r="W222" s="175">
        <f>-E222+IF(A221=INPUT!$C$11*12,V222,0)</f>
        <v>0</v>
      </c>
      <c r="X222" s="179">
        <f t="array" ref="X222">NPV('Pre-Calculation'!$E$20,$E223:E$246)</f>
        <v>0</v>
      </c>
      <c r="Y222" s="171">
        <f>10%*SA</f>
        <v>100000</v>
      </c>
      <c r="Z222" s="179">
        <f t="array" ref="Z222">NPV('Pre-Calculation'!$E$20,Y223:Y232)</f>
        <v>969592.8037</v>
      </c>
    </row>
    <row r="223" ht="15.75" customHeight="1">
      <c r="A223" s="171">
        <f t="shared" si="1"/>
        <v>277</v>
      </c>
      <c r="B223" s="171">
        <f t="shared" si="2"/>
        <v>24</v>
      </c>
      <c r="C223" s="176">
        <f>EDATE(RCD,A222)</f>
        <v>50951</v>
      </c>
      <c r="D223" s="171">
        <f>Age_At_Entry+'Cashflows_8%'!B223-1</f>
        <v>58</v>
      </c>
      <c r="E223" s="175">
        <f>IF(AND(C223&lt;=Last_Prem,MOD(A222,Mode)=0,C223&gt;INPUT!$C$13,A223&lt;=Revival!$C$11),Mod_Prem,0)</f>
        <v>0</v>
      </c>
      <c r="F223" s="177">
        <f>E223*VLOOKUP(B223,'Pre-Calculation'!$H$1:$I$31,2,FALSE)</f>
        <v>0</v>
      </c>
      <c r="G223" s="177">
        <f>IF(B223&lt;PT+1,VLOOKUP(B223,'Pre-Calculation'!$H$1:$L$32,3,FALSE)+VLOOKUP(B223,'Pre-Calculation'!$H$1:$L$32,4,FALSE)*'Pre-Calculation'!$D$7,0)</f>
        <v>0</v>
      </c>
      <c r="H223" s="175">
        <f>(E223-(F223+G223)*(1+Tax)+N222)</f>
        <v>3127922.395</v>
      </c>
      <c r="I223" s="175">
        <f>IF(B223&lt;PT+1,VLOOKUP(D223,'Pre-Calculation'!$N$3:$P$79,IF(INPUT!$C$4="M",2,3),FALSE)*(J223/1000)*(1/12),0)</f>
        <v>0</v>
      </c>
      <c r="J223" s="175">
        <f t="shared" si="3"/>
        <v>0</v>
      </c>
      <c r="K223" s="175">
        <f>(IF('Pre-Calculation'!$D$17="Type 4 a",MAX(SA,H223,1.05*Q223),IF('Pre-Calculation'!$D$17="Type 4 c",H223,IF('Pre-Calculation'!$D$17="Type 4 d",SA+H223,IF('Pre-Calculation'!$D$17="Type 4 e",MAX(SA,H223),IF('Pre-Calculation'!$D$17="Type 4 f",SA,IF('Pre-Calculation'!$D$17="Type 4 g",1000+H223,IF('Pre-Calculation'!$D$17="Type 4 h",SA+X223,IF('Pre-Calculation'!$D$17="Type 4 i",MAX(H223,Q223),IF('Pre-Calculation'!$D$17="Type 4 k",MAX(H223,1.01*Q223),IF('Pre-Calculation'!$D$17="Type 4 m",MAX(105%*Q223,SA+H223),IF('Pre-Calculation'!$D$17="Type 4 o",MAX(SA,105%*Q223)+X223+Z223,IF('Pre-Calculation'!$D$17="Type 5",0)))))))))))))*IF(AND(A223&lt;Revival!$C$4,'Cashflows_8%'!C223&gt;=Revival!$D$12),PUP,1)</f>
        <v>3127922.395</v>
      </c>
      <c r="L223" s="175">
        <f>H223-I223*(1+Tax)</f>
        <v>3127922.395</v>
      </c>
      <c r="M223" s="175">
        <f>L223*(1+GROWTH_RATE_H)*(1-FMC*(1+Tax))</f>
        <v>3143870.782</v>
      </c>
      <c r="N223" s="175">
        <f>M223+IF(MOD(A223,B223)=0,VLOOKUP(B223,'Pre-Calculation'!$H$1:$L$31,5,FALSE),0)*IF('Pre-Calculation'!$D$16="% OF FV",M223,IF(OR('Pre-Calculation'!$D$16="% OF AFV(24M)",'Pre-Calculation'!$D$16="% OF AFV(8Q)"),AVERAGE( $M200:$M223),IF('Pre-Calculation'!$D$16="% OF AFV(12M)",AVERAGE($M212:M223),IF('Pre-Calculation'!$D$16="% OF AFV(36M)",AVERAGE($M188:M223)))))</f>
        <v>3143870.782</v>
      </c>
      <c r="O223" s="175">
        <f t="shared" si="4"/>
        <v>3143870.782</v>
      </c>
      <c r="P223" s="175">
        <f>IF('Pre-Calculation'!$D$17="Type 4 a",MAX(SA,N223,1.05*Q223),IF('Pre-Calculation'!$D$17="Type 4 c",N223,IF('Pre-Calculation'!$D$17="Type 4 d",SA+N223,IF('Pre-Calculation'!$D$17="Type 4 e",MAX(SA,N223),IF('Pre-Calculation'!$D$17="Type 4 f",SA,IF('Pre-Calculation'!$D$17="Type 4 g",1000+N223,IF('Pre-Calculation'!$D$17="Type 4 h",SA+X223,IF('Pre-Calculation'!$D$17="Type 4 i",MAX(N223,Q223),IF('Pre-Calculation'!$D$17="Type 4 k",MAX(N223,1.01*Q223),IF('Pre-Calculation'!$D$17="Type 4 m",MAX(105%*Q223,SA+N223),IF('Pre-Calculation'!$D$17="Type 4 o",MAX(SA,105%*Q223)+X223+Z223,IF('Pre-Calculation'!$D$17="Type 5",0))))))))))))</f>
        <v>3143870.782</v>
      </c>
      <c r="Q223" s="175">
        <f t="shared" si="5"/>
        <v>1000000</v>
      </c>
      <c r="R223" s="119">
        <f>L223*(1+GROWTH_RATE)*FMC</f>
        <v>3539.62753</v>
      </c>
      <c r="S223" s="178">
        <f>S222*(1+'Pre-Calculation'!$E$27)</f>
        <v>1210834.208</v>
      </c>
      <c r="T223" s="175">
        <f>-E223+IF(A222=INPUT!$C$11*12,N223,0)</f>
        <v>0</v>
      </c>
      <c r="U223" s="175">
        <f t="shared" si="6"/>
        <v>3060036.446</v>
      </c>
      <c r="V223" s="175">
        <f>U223*(1+GROWTH_RATE_H)*(1-'Pre-Calculation'!$E$31)</f>
        <v>3074596.073</v>
      </c>
      <c r="W223" s="175">
        <f>-E223+IF(A222=INPUT!$C$11*12,V223,0)</f>
        <v>0</v>
      </c>
      <c r="X223" s="179">
        <f t="array" ref="X223">NPV('Pre-Calculation'!$E$20,$E224:E$246)</f>
        <v>0</v>
      </c>
      <c r="Y223" s="171">
        <f>10%*SA</f>
        <v>100000</v>
      </c>
      <c r="Z223" s="179">
        <f t="array" ref="Z223">NPV('Pre-Calculation'!$E$20,Y224:Y233)</f>
        <v>969592.8037</v>
      </c>
    </row>
    <row r="224" ht="15.75" customHeight="1">
      <c r="A224" s="171">
        <f t="shared" si="1"/>
        <v>278</v>
      </c>
      <c r="B224" s="171">
        <f t="shared" si="2"/>
        <v>24</v>
      </c>
      <c r="C224" s="176">
        <f>EDATE(RCD,A223)</f>
        <v>50981</v>
      </c>
      <c r="D224" s="171">
        <f>Age_At_Entry+'Cashflows_8%'!B224-1</f>
        <v>58</v>
      </c>
      <c r="E224" s="175">
        <f>IF(AND(C224&lt;=Last_Prem,MOD(A223,Mode)=0,C224&gt;INPUT!$C$13,A224&lt;=Revival!$C$11),Mod_Prem,0)</f>
        <v>0</v>
      </c>
      <c r="F224" s="177">
        <f>E224*VLOOKUP(B224,'Pre-Calculation'!$H$1:$I$31,2,FALSE)</f>
        <v>0</v>
      </c>
      <c r="G224" s="177">
        <f>IF(B224&lt;PT+1,VLOOKUP(B224,'Pre-Calculation'!$H$1:$L$32,3,FALSE)+VLOOKUP(B224,'Pre-Calculation'!$H$1:$L$32,4,FALSE)*'Pre-Calculation'!$D$7,0)</f>
        <v>0</v>
      </c>
      <c r="H224" s="175">
        <f>(E224-(F224+G224)*(1+Tax)+N223)</f>
        <v>3143870.782</v>
      </c>
      <c r="I224" s="175">
        <f>IF(B224&lt;PT+1,VLOOKUP(D224,'Pre-Calculation'!$N$3:$P$79,IF(INPUT!$C$4="M",2,3),FALSE)*(J224/1000)*(1/12),0)</f>
        <v>0</v>
      </c>
      <c r="J224" s="175">
        <f t="shared" si="3"/>
        <v>0</v>
      </c>
      <c r="K224" s="175">
        <f>(IF('Pre-Calculation'!$D$17="Type 4 a",MAX(SA,H224,1.05*Q224),IF('Pre-Calculation'!$D$17="Type 4 c",H224,IF('Pre-Calculation'!$D$17="Type 4 d",SA+H224,IF('Pre-Calculation'!$D$17="Type 4 e",MAX(SA,H224),IF('Pre-Calculation'!$D$17="Type 4 f",SA,IF('Pre-Calculation'!$D$17="Type 4 g",1000+H224,IF('Pre-Calculation'!$D$17="Type 4 h",SA+X224,IF('Pre-Calculation'!$D$17="Type 4 i",MAX(H224,Q224),IF('Pre-Calculation'!$D$17="Type 4 k",MAX(H224,1.01*Q224),IF('Pre-Calculation'!$D$17="Type 4 m",MAX(105%*Q224,SA+H224),IF('Pre-Calculation'!$D$17="Type 4 o",MAX(SA,105%*Q224)+X224+Z224,IF('Pre-Calculation'!$D$17="Type 5",0)))))))))))))*IF(AND(A224&lt;Revival!$C$4,'Cashflows_8%'!C224&gt;=Revival!$D$12),PUP,1)</f>
        <v>3143870.782</v>
      </c>
      <c r="L224" s="175">
        <f>H224-I224*(1+Tax)</f>
        <v>3143870.782</v>
      </c>
      <c r="M224" s="175">
        <f>L224*(1+GROWTH_RATE_H)*(1-FMC*(1+Tax))</f>
        <v>3159900.484</v>
      </c>
      <c r="N224" s="175">
        <f>M224+IF(MOD(A224,B224)=0,VLOOKUP(B224,'Pre-Calculation'!$H$1:$L$31,5,FALSE),0)*IF('Pre-Calculation'!$D$16="% OF FV",M224,IF(OR('Pre-Calculation'!$D$16="% OF AFV(24M)",'Pre-Calculation'!$D$16="% OF AFV(8Q)"),AVERAGE( $M201:$M224),IF('Pre-Calculation'!$D$16="% OF AFV(12M)",AVERAGE($M213:M224),IF('Pre-Calculation'!$D$16="% OF AFV(36M)",AVERAGE($M189:M224)))))</f>
        <v>3159900.484</v>
      </c>
      <c r="O224" s="175">
        <f t="shared" si="4"/>
        <v>3159900.484</v>
      </c>
      <c r="P224" s="175">
        <f>IF('Pre-Calculation'!$D$17="Type 4 a",MAX(SA,N224,1.05*Q224),IF('Pre-Calculation'!$D$17="Type 4 c",N224,IF('Pre-Calculation'!$D$17="Type 4 d",SA+N224,IF('Pre-Calculation'!$D$17="Type 4 e",MAX(SA,N224),IF('Pre-Calculation'!$D$17="Type 4 f",SA,IF('Pre-Calculation'!$D$17="Type 4 g",1000+N224,IF('Pre-Calculation'!$D$17="Type 4 h",SA+X224,IF('Pre-Calculation'!$D$17="Type 4 i",MAX(N224,Q224),IF('Pre-Calculation'!$D$17="Type 4 k",MAX(N224,1.01*Q224),IF('Pre-Calculation'!$D$17="Type 4 m",MAX(105%*Q224,SA+N224),IF('Pre-Calculation'!$D$17="Type 4 o",MAX(SA,105%*Q224)+X224+Z224,IF('Pre-Calculation'!$D$17="Type 5",0))))))))))))</f>
        <v>3159900.484</v>
      </c>
      <c r="Q224" s="175">
        <f t="shared" si="5"/>
        <v>1000000</v>
      </c>
      <c r="R224" s="119">
        <f>L224*(1+GROWTH_RATE)*FMC</f>
        <v>3557.675084</v>
      </c>
      <c r="S224" s="178">
        <f>S223*(1+'Pre-Calculation'!$E$27)</f>
        <v>1214310.391</v>
      </c>
      <c r="T224" s="175">
        <f>-E224+IF(A223=INPUT!$C$11*12,N224,0)</f>
        <v>0</v>
      </c>
      <c r="U224" s="175">
        <f t="shared" si="6"/>
        <v>3074596.073</v>
      </c>
      <c r="V224" s="175">
        <f>U224*(1+GROWTH_RATE_H)*(1-'Pre-Calculation'!$E$31)</f>
        <v>3089224.974</v>
      </c>
      <c r="W224" s="175">
        <f>-E224+IF(A223=INPUT!$C$11*12,V224,0)</f>
        <v>0</v>
      </c>
      <c r="X224" s="179">
        <f t="array" ref="X224">NPV('Pre-Calculation'!$E$20,$E225:E$246)</f>
        <v>0</v>
      </c>
      <c r="Y224" s="171">
        <f>10%*SA</f>
        <v>100000</v>
      </c>
      <c r="Z224" s="179">
        <f t="array" ref="Z224">NPV('Pre-Calculation'!$E$20,Y225:Y234)</f>
        <v>969592.8037</v>
      </c>
    </row>
    <row r="225" ht="15.75" customHeight="1">
      <c r="A225" s="171">
        <f t="shared" si="1"/>
        <v>279</v>
      </c>
      <c r="B225" s="171">
        <f t="shared" si="2"/>
        <v>24</v>
      </c>
      <c r="C225" s="176">
        <f>EDATE(RCD,A224)</f>
        <v>51012</v>
      </c>
      <c r="D225" s="171">
        <f>Age_At_Entry+'Cashflows_8%'!B225-1</f>
        <v>58</v>
      </c>
      <c r="E225" s="175">
        <f>IF(AND(C225&lt;=Last_Prem,MOD(A224,Mode)=0,C225&gt;INPUT!$C$13,A225&lt;=Revival!$C$11),Mod_Prem,0)</f>
        <v>0</v>
      </c>
      <c r="F225" s="177">
        <f>E225*VLOOKUP(B225,'Pre-Calculation'!$H$1:$I$31,2,FALSE)</f>
        <v>0</v>
      </c>
      <c r="G225" s="177">
        <f>IF(B225&lt;PT+1,VLOOKUP(B225,'Pre-Calculation'!$H$1:$L$32,3,FALSE)+VLOOKUP(B225,'Pre-Calculation'!$H$1:$L$32,4,FALSE)*'Pre-Calculation'!$D$7,0)</f>
        <v>0</v>
      </c>
      <c r="H225" s="175">
        <f>(E225-(F225+G225)*(1+Tax)+N224)</f>
        <v>3159900.484</v>
      </c>
      <c r="I225" s="175">
        <f>IF(B225&lt;PT+1,VLOOKUP(D225,'Pre-Calculation'!$N$3:$P$79,IF(INPUT!$C$4="M",2,3),FALSE)*(J225/1000)*(1/12),0)</f>
        <v>0</v>
      </c>
      <c r="J225" s="175">
        <f t="shared" si="3"/>
        <v>0</v>
      </c>
      <c r="K225" s="175">
        <f>(IF('Pre-Calculation'!$D$17="Type 4 a",MAX(SA,H225,1.05*Q225),IF('Pre-Calculation'!$D$17="Type 4 c",H225,IF('Pre-Calculation'!$D$17="Type 4 d",SA+H225,IF('Pre-Calculation'!$D$17="Type 4 e",MAX(SA,H225),IF('Pre-Calculation'!$D$17="Type 4 f",SA,IF('Pre-Calculation'!$D$17="Type 4 g",1000+H225,IF('Pre-Calculation'!$D$17="Type 4 h",SA+X225,IF('Pre-Calculation'!$D$17="Type 4 i",MAX(H225,Q225),IF('Pre-Calculation'!$D$17="Type 4 k",MAX(H225,1.01*Q225),IF('Pre-Calculation'!$D$17="Type 4 m",MAX(105%*Q225,SA+H225),IF('Pre-Calculation'!$D$17="Type 4 o",MAX(SA,105%*Q225)+X225+Z225,IF('Pre-Calculation'!$D$17="Type 5",0)))))))))))))*IF(AND(A225&lt;Revival!$C$4,'Cashflows_8%'!C225&gt;=Revival!$D$12),PUP,1)</f>
        <v>3159900.484</v>
      </c>
      <c r="L225" s="175">
        <f>H225-I225*(1+Tax)</f>
        <v>3159900.484</v>
      </c>
      <c r="M225" s="175">
        <f>L225*(1+GROWTH_RATE_H)*(1-FMC*(1+Tax))</f>
        <v>3176011.918</v>
      </c>
      <c r="N225" s="175">
        <f>M225+IF(MOD(A225,B225)=0,VLOOKUP(B225,'Pre-Calculation'!$H$1:$L$31,5,FALSE),0)*IF('Pre-Calculation'!$D$16="% OF FV",M225,IF(OR('Pre-Calculation'!$D$16="% OF AFV(24M)",'Pre-Calculation'!$D$16="% OF AFV(8Q)"),AVERAGE( $M202:$M225),IF('Pre-Calculation'!$D$16="% OF AFV(12M)",AVERAGE($M214:M225),IF('Pre-Calculation'!$D$16="% OF AFV(36M)",AVERAGE($M190:M225)))))</f>
        <v>3176011.918</v>
      </c>
      <c r="O225" s="175">
        <f t="shared" si="4"/>
        <v>3176011.918</v>
      </c>
      <c r="P225" s="175">
        <f>IF('Pre-Calculation'!$D$17="Type 4 a",MAX(SA,N225,1.05*Q225),IF('Pre-Calculation'!$D$17="Type 4 c",N225,IF('Pre-Calculation'!$D$17="Type 4 d",SA+N225,IF('Pre-Calculation'!$D$17="Type 4 e",MAX(SA,N225),IF('Pre-Calculation'!$D$17="Type 4 f",SA,IF('Pre-Calculation'!$D$17="Type 4 g",1000+N225,IF('Pre-Calculation'!$D$17="Type 4 h",SA+X225,IF('Pre-Calculation'!$D$17="Type 4 i",MAX(N225,Q225),IF('Pre-Calculation'!$D$17="Type 4 k",MAX(N225,1.01*Q225),IF('Pre-Calculation'!$D$17="Type 4 m",MAX(105%*Q225,SA+N225),IF('Pre-Calculation'!$D$17="Type 4 o",MAX(SA,105%*Q225)+X225+Z225,IF('Pre-Calculation'!$D$17="Type 5",0))))))))))))</f>
        <v>3176011.918</v>
      </c>
      <c r="Q225" s="175">
        <f t="shared" si="5"/>
        <v>1000000</v>
      </c>
      <c r="R225" s="119">
        <f>L225*(1+GROWTH_RATE)*FMC</f>
        <v>3575.814657</v>
      </c>
      <c r="S225" s="178">
        <f>S224*(1+'Pre-Calculation'!$E$27)</f>
        <v>1217796.553</v>
      </c>
      <c r="T225" s="175">
        <f>-E225+IF(A224=INPUT!$C$11*12,N225,0)</f>
        <v>0</v>
      </c>
      <c r="U225" s="175">
        <f t="shared" si="6"/>
        <v>3089224.974</v>
      </c>
      <c r="V225" s="175">
        <f>U225*(1+GROWTH_RATE_H)*(1-'Pre-Calculation'!$E$31)</f>
        <v>3103923.479</v>
      </c>
      <c r="W225" s="175">
        <f>-E225+IF(A224=INPUT!$C$11*12,V225,0)</f>
        <v>0</v>
      </c>
      <c r="X225" s="179">
        <f t="array" ref="X225">NPV('Pre-Calculation'!$E$20,$E226:E$246)</f>
        <v>0</v>
      </c>
      <c r="Y225" s="171">
        <f>10%*SA</f>
        <v>100000</v>
      </c>
      <c r="Z225" s="179">
        <f t="array" ref="Z225">NPV('Pre-Calculation'!$E$20,Y226:Y235)</f>
        <v>969592.8037</v>
      </c>
    </row>
    <row r="226" ht="15.75" customHeight="1">
      <c r="A226" s="171">
        <f t="shared" si="1"/>
        <v>280</v>
      </c>
      <c r="B226" s="171">
        <f t="shared" si="2"/>
        <v>24</v>
      </c>
      <c r="C226" s="176">
        <f>EDATE(RCD,A225)</f>
        <v>51043</v>
      </c>
      <c r="D226" s="171">
        <f>Age_At_Entry+'Cashflows_8%'!B226-1</f>
        <v>58</v>
      </c>
      <c r="E226" s="175">
        <f>IF(AND(C226&lt;=Last_Prem,MOD(A225,Mode)=0,C226&gt;INPUT!$C$13,A226&lt;=Revival!$C$11),Mod_Prem,0)</f>
        <v>0</v>
      </c>
      <c r="F226" s="177">
        <f>E226*VLOOKUP(B226,'Pre-Calculation'!$H$1:$I$31,2,FALSE)</f>
        <v>0</v>
      </c>
      <c r="G226" s="177">
        <f>IF(B226&lt;PT+1,VLOOKUP(B226,'Pre-Calculation'!$H$1:$L$32,3,FALSE)+VLOOKUP(B226,'Pre-Calculation'!$H$1:$L$32,4,FALSE)*'Pre-Calculation'!$D$7,0)</f>
        <v>0</v>
      </c>
      <c r="H226" s="175">
        <f>(E226-(F226+G226)*(1+Tax)+N225)</f>
        <v>3176011.918</v>
      </c>
      <c r="I226" s="175">
        <f>IF(B226&lt;PT+1,VLOOKUP(D226,'Pre-Calculation'!$N$3:$P$79,IF(INPUT!$C$4="M",2,3),FALSE)*(J226/1000)*(1/12),0)</f>
        <v>0</v>
      </c>
      <c r="J226" s="175">
        <f t="shared" si="3"/>
        <v>0</v>
      </c>
      <c r="K226" s="175">
        <f>(IF('Pre-Calculation'!$D$17="Type 4 a",MAX(SA,H226,1.05*Q226),IF('Pre-Calculation'!$D$17="Type 4 c",H226,IF('Pre-Calculation'!$D$17="Type 4 d",SA+H226,IF('Pre-Calculation'!$D$17="Type 4 e",MAX(SA,H226),IF('Pre-Calculation'!$D$17="Type 4 f",SA,IF('Pre-Calculation'!$D$17="Type 4 g",1000+H226,IF('Pre-Calculation'!$D$17="Type 4 h",SA+X226,IF('Pre-Calculation'!$D$17="Type 4 i",MAX(H226,Q226),IF('Pre-Calculation'!$D$17="Type 4 k",MAX(H226,1.01*Q226),IF('Pre-Calculation'!$D$17="Type 4 m",MAX(105%*Q226,SA+H226),IF('Pre-Calculation'!$D$17="Type 4 o",MAX(SA,105%*Q226)+X226+Z226,IF('Pre-Calculation'!$D$17="Type 5",0)))))))))))))*IF(AND(A226&lt;Revival!$C$4,'Cashflows_8%'!C226&gt;=Revival!$D$12),PUP,1)</f>
        <v>3176011.918</v>
      </c>
      <c r="L226" s="175">
        <f>H226-I226*(1+Tax)</f>
        <v>3176011.918</v>
      </c>
      <c r="M226" s="175">
        <f>L226*(1+GROWTH_RATE_H)*(1-FMC*(1+Tax))</f>
        <v>3192205.499</v>
      </c>
      <c r="N226" s="175">
        <f>M226+IF(MOD(A226,B226)=0,VLOOKUP(B226,'Pre-Calculation'!$H$1:$L$31,5,FALSE),0)*IF('Pre-Calculation'!$D$16="% OF FV",M226,IF(OR('Pre-Calculation'!$D$16="% OF AFV(24M)",'Pre-Calculation'!$D$16="% OF AFV(8Q)"),AVERAGE( $M203:$M226),IF('Pre-Calculation'!$D$16="% OF AFV(12M)",AVERAGE($M215:M226),IF('Pre-Calculation'!$D$16="% OF AFV(36M)",AVERAGE($M191:M226)))))</f>
        <v>3192205.499</v>
      </c>
      <c r="O226" s="175">
        <f t="shared" si="4"/>
        <v>3192205.499</v>
      </c>
      <c r="P226" s="175">
        <f>IF('Pre-Calculation'!$D$17="Type 4 a",MAX(SA,N226,1.05*Q226),IF('Pre-Calculation'!$D$17="Type 4 c",N226,IF('Pre-Calculation'!$D$17="Type 4 d",SA+N226,IF('Pre-Calculation'!$D$17="Type 4 e",MAX(SA,N226),IF('Pre-Calculation'!$D$17="Type 4 f",SA,IF('Pre-Calculation'!$D$17="Type 4 g",1000+N226,IF('Pre-Calculation'!$D$17="Type 4 h",SA+X226,IF('Pre-Calculation'!$D$17="Type 4 i",MAX(N226,Q226),IF('Pre-Calculation'!$D$17="Type 4 k",MAX(N226,1.01*Q226),IF('Pre-Calculation'!$D$17="Type 4 m",MAX(105%*Q226,SA+N226),IF('Pre-Calculation'!$D$17="Type 4 o",MAX(SA,105%*Q226)+X226+Z226,IF('Pre-Calculation'!$D$17="Type 5",0))))))))))))</f>
        <v>3192205.499</v>
      </c>
      <c r="Q226" s="175">
        <f t="shared" si="5"/>
        <v>1000000</v>
      </c>
      <c r="R226" s="119">
        <f>L226*(1+GROWTH_RATE)*FMC</f>
        <v>3594.046719</v>
      </c>
      <c r="S226" s="178">
        <f>S225*(1+'Pre-Calculation'!$E$27)</f>
        <v>1221292.723</v>
      </c>
      <c r="T226" s="175">
        <f>-E226+IF(A225=INPUT!$C$11*12,N226,0)</f>
        <v>0</v>
      </c>
      <c r="U226" s="175">
        <f t="shared" si="6"/>
        <v>3103923.479</v>
      </c>
      <c r="V226" s="175">
        <f>U226*(1+GROWTH_RATE_H)*(1-'Pre-Calculation'!$E$31)</f>
        <v>3118691.92</v>
      </c>
      <c r="W226" s="175">
        <f>-E226+IF(A225=INPUT!$C$11*12,V226,0)</f>
        <v>0</v>
      </c>
      <c r="X226" s="179">
        <f t="array" ref="X226">NPV('Pre-Calculation'!$E$20,$E227:E$246)</f>
        <v>0</v>
      </c>
      <c r="Y226" s="171">
        <f>10%*SA</f>
        <v>100000</v>
      </c>
      <c r="Z226" s="179">
        <f t="array" ref="Z226">NPV('Pre-Calculation'!$E$20,Y227:Y236)</f>
        <v>969592.8037</v>
      </c>
    </row>
    <row r="227" ht="15.75" customHeight="1">
      <c r="A227" s="171">
        <f t="shared" si="1"/>
        <v>281</v>
      </c>
      <c r="B227" s="171">
        <f t="shared" si="2"/>
        <v>24</v>
      </c>
      <c r="C227" s="176">
        <f>EDATE(RCD,A226)</f>
        <v>51073</v>
      </c>
      <c r="D227" s="171">
        <f>Age_At_Entry+'Cashflows_8%'!B227-1</f>
        <v>58</v>
      </c>
      <c r="E227" s="175">
        <f>IF(AND(C227&lt;=Last_Prem,MOD(A226,Mode)=0,C227&gt;INPUT!$C$13,A227&lt;=Revival!$C$11),Mod_Prem,0)</f>
        <v>0</v>
      </c>
      <c r="F227" s="177">
        <f>E227*VLOOKUP(B227,'Pre-Calculation'!$H$1:$I$31,2,FALSE)</f>
        <v>0</v>
      </c>
      <c r="G227" s="177">
        <f>IF(B227&lt;PT+1,VLOOKUP(B227,'Pre-Calculation'!$H$1:$L$32,3,FALSE)+VLOOKUP(B227,'Pre-Calculation'!$H$1:$L$32,4,FALSE)*'Pre-Calculation'!$D$7,0)</f>
        <v>0</v>
      </c>
      <c r="H227" s="175">
        <f>(E227-(F227+G227)*(1+Tax)+N226)</f>
        <v>3192205.499</v>
      </c>
      <c r="I227" s="175">
        <f>IF(B227&lt;PT+1,VLOOKUP(D227,'Pre-Calculation'!$N$3:$P$79,IF(INPUT!$C$4="M",2,3),FALSE)*(J227/1000)*(1/12),0)</f>
        <v>0</v>
      </c>
      <c r="J227" s="175">
        <f t="shared" si="3"/>
        <v>0</v>
      </c>
      <c r="K227" s="175">
        <f>(IF('Pre-Calculation'!$D$17="Type 4 a",MAX(SA,H227,1.05*Q227),IF('Pre-Calculation'!$D$17="Type 4 c",H227,IF('Pre-Calculation'!$D$17="Type 4 d",SA+H227,IF('Pre-Calculation'!$D$17="Type 4 e",MAX(SA,H227),IF('Pre-Calculation'!$D$17="Type 4 f",SA,IF('Pre-Calculation'!$D$17="Type 4 g",1000+H227,IF('Pre-Calculation'!$D$17="Type 4 h",SA+X227,IF('Pre-Calculation'!$D$17="Type 4 i",MAX(H227,Q227),IF('Pre-Calculation'!$D$17="Type 4 k",MAX(H227,1.01*Q227),IF('Pre-Calculation'!$D$17="Type 4 m",MAX(105%*Q227,SA+H227),IF('Pre-Calculation'!$D$17="Type 4 o",MAX(SA,105%*Q227)+X227+Z227,IF('Pre-Calculation'!$D$17="Type 5",0)))))))))))))*IF(AND(A227&lt;Revival!$C$4,'Cashflows_8%'!C227&gt;=Revival!$D$12),PUP,1)</f>
        <v>3192205.499</v>
      </c>
      <c r="L227" s="175">
        <f>H227-I227*(1+Tax)</f>
        <v>3192205.499</v>
      </c>
      <c r="M227" s="175">
        <f>L227*(1+GROWTH_RATE_H)*(1-FMC*(1+Tax))</f>
        <v>3208481.647</v>
      </c>
      <c r="N227" s="175">
        <f>M227+IF(MOD(A227,B227)=0,VLOOKUP(B227,'Pre-Calculation'!$H$1:$L$31,5,FALSE),0)*IF('Pre-Calculation'!$D$16="% OF FV",M227,IF(OR('Pre-Calculation'!$D$16="% OF AFV(24M)",'Pre-Calculation'!$D$16="% OF AFV(8Q)"),AVERAGE( $M204:$M227),IF('Pre-Calculation'!$D$16="% OF AFV(12M)",AVERAGE($M216:M227),IF('Pre-Calculation'!$D$16="% OF AFV(36M)",AVERAGE($M192:M227)))))</f>
        <v>3208481.647</v>
      </c>
      <c r="O227" s="175">
        <f t="shared" si="4"/>
        <v>3208481.647</v>
      </c>
      <c r="P227" s="175">
        <f>IF('Pre-Calculation'!$D$17="Type 4 a",MAX(SA,N227,1.05*Q227),IF('Pre-Calculation'!$D$17="Type 4 c",N227,IF('Pre-Calculation'!$D$17="Type 4 d",SA+N227,IF('Pre-Calculation'!$D$17="Type 4 e",MAX(SA,N227),IF('Pre-Calculation'!$D$17="Type 4 f",SA,IF('Pre-Calculation'!$D$17="Type 4 g",1000+N227,IF('Pre-Calculation'!$D$17="Type 4 h",SA+X227,IF('Pre-Calculation'!$D$17="Type 4 i",MAX(N227,Q227),IF('Pre-Calculation'!$D$17="Type 4 k",MAX(N227,1.01*Q227),IF('Pre-Calculation'!$D$17="Type 4 m",MAX(105%*Q227,SA+N227),IF('Pre-Calculation'!$D$17="Type 4 o",MAX(SA,105%*Q227)+X227+Z227,IF('Pre-Calculation'!$D$17="Type 5",0))))))))))))</f>
        <v>3208481.647</v>
      </c>
      <c r="Q227" s="175">
        <f t="shared" si="5"/>
        <v>1000000</v>
      </c>
      <c r="R227" s="119">
        <f>L227*(1+GROWTH_RATE)*FMC</f>
        <v>3612.371741</v>
      </c>
      <c r="S227" s="178">
        <f>S226*(1+'Pre-Calculation'!$E$27)</f>
        <v>1224798.931</v>
      </c>
      <c r="T227" s="175">
        <f>-E227+IF(A226=INPUT!$C$11*12,N227,0)</f>
        <v>0</v>
      </c>
      <c r="U227" s="175">
        <f t="shared" si="6"/>
        <v>3118691.92</v>
      </c>
      <c r="V227" s="175">
        <f>U227*(1+GROWTH_RATE_H)*(1-'Pre-Calculation'!$E$31)</f>
        <v>3133530.628</v>
      </c>
      <c r="W227" s="175">
        <f>-E227+IF(A226=INPUT!$C$11*12,V227,0)</f>
        <v>0</v>
      </c>
      <c r="X227" s="179">
        <f t="array" ref="X227">NPV('Pre-Calculation'!$E$20,$E228:E$246)</f>
        <v>0</v>
      </c>
      <c r="Y227" s="171">
        <f>10%*SA</f>
        <v>100000</v>
      </c>
      <c r="Z227" s="179">
        <f t="array" ref="Z227">NPV('Pre-Calculation'!$E$20,Y228:Y237)</f>
        <v>969592.8037</v>
      </c>
    </row>
    <row r="228" ht="15.75" customHeight="1">
      <c r="A228" s="171">
        <f t="shared" si="1"/>
        <v>282</v>
      </c>
      <c r="B228" s="171">
        <f t="shared" si="2"/>
        <v>24</v>
      </c>
      <c r="C228" s="176">
        <f>EDATE(RCD,A227)</f>
        <v>51104</v>
      </c>
      <c r="D228" s="171">
        <f>Age_At_Entry+'Cashflows_8%'!B228-1</f>
        <v>58</v>
      </c>
      <c r="E228" s="175">
        <f>IF(AND(C228&lt;=Last_Prem,MOD(A227,Mode)=0,C228&gt;INPUT!$C$13,A228&lt;=Revival!$C$11),Mod_Prem,0)</f>
        <v>0</v>
      </c>
      <c r="F228" s="177">
        <f>E228*VLOOKUP(B228,'Pre-Calculation'!$H$1:$I$31,2,FALSE)</f>
        <v>0</v>
      </c>
      <c r="G228" s="177">
        <f>IF(B228&lt;PT+1,VLOOKUP(B228,'Pre-Calculation'!$H$1:$L$32,3,FALSE)+VLOOKUP(B228,'Pre-Calculation'!$H$1:$L$32,4,FALSE)*'Pre-Calculation'!$D$7,0)</f>
        <v>0</v>
      </c>
      <c r="H228" s="175">
        <f>(E228-(F228+G228)*(1+Tax)+N227)</f>
        <v>3208481.647</v>
      </c>
      <c r="I228" s="175">
        <f>IF(B228&lt;PT+1,VLOOKUP(D228,'Pre-Calculation'!$N$3:$P$79,IF(INPUT!$C$4="M",2,3),FALSE)*(J228/1000)*(1/12),0)</f>
        <v>0</v>
      </c>
      <c r="J228" s="175">
        <f t="shared" si="3"/>
        <v>0</v>
      </c>
      <c r="K228" s="175">
        <f>(IF('Pre-Calculation'!$D$17="Type 4 a",MAX(SA,H228,1.05*Q228),IF('Pre-Calculation'!$D$17="Type 4 c",H228,IF('Pre-Calculation'!$D$17="Type 4 d",SA+H228,IF('Pre-Calculation'!$D$17="Type 4 e",MAX(SA,H228),IF('Pre-Calculation'!$D$17="Type 4 f",SA,IF('Pre-Calculation'!$D$17="Type 4 g",1000+H228,IF('Pre-Calculation'!$D$17="Type 4 h",SA+X228,IF('Pre-Calculation'!$D$17="Type 4 i",MAX(H228,Q228),IF('Pre-Calculation'!$D$17="Type 4 k",MAX(H228,1.01*Q228),IF('Pre-Calculation'!$D$17="Type 4 m",MAX(105%*Q228,SA+H228),IF('Pre-Calculation'!$D$17="Type 4 o",MAX(SA,105%*Q228)+X228+Z228,IF('Pre-Calculation'!$D$17="Type 5",0)))))))))))))*IF(AND(A228&lt;Revival!$C$4,'Cashflows_8%'!C228&gt;=Revival!$D$12),PUP,1)</f>
        <v>3208481.647</v>
      </c>
      <c r="L228" s="175">
        <f>H228-I228*(1+Tax)</f>
        <v>3208481.647</v>
      </c>
      <c r="M228" s="175">
        <f>L228*(1+GROWTH_RATE_H)*(1-FMC*(1+Tax))</f>
        <v>3224840.782</v>
      </c>
      <c r="N228" s="175">
        <f>M228+IF(MOD(A228,B228)=0,VLOOKUP(B228,'Pre-Calculation'!$H$1:$L$31,5,FALSE),0)*IF('Pre-Calculation'!$D$16="% OF FV",M228,IF(OR('Pre-Calculation'!$D$16="% OF AFV(24M)",'Pre-Calculation'!$D$16="% OF AFV(8Q)"),AVERAGE( $M205:$M228),IF('Pre-Calculation'!$D$16="% OF AFV(12M)",AVERAGE($M217:M228),IF('Pre-Calculation'!$D$16="% OF AFV(36M)",AVERAGE($M193:M228)))))</f>
        <v>3224840.782</v>
      </c>
      <c r="O228" s="175">
        <f t="shared" si="4"/>
        <v>3224840.782</v>
      </c>
      <c r="P228" s="175">
        <f>IF('Pre-Calculation'!$D$17="Type 4 a",MAX(SA,N228,1.05*Q228),IF('Pre-Calculation'!$D$17="Type 4 c",N228,IF('Pre-Calculation'!$D$17="Type 4 d",SA+N228,IF('Pre-Calculation'!$D$17="Type 4 e",MAX(SA,N228),IF('Pre-Calculation'!$D$17="Type 4 f",SA,IF('Pre-Calculation'!$D$17="Type 4 g",1000+N228,IF('Pre-Calculation'!$D$17="Type 4 h",SA+X228,IF('Pre-Calculation'!$D$17="Type 4 i",MAX(N228,Q228),IF('Pre-Calculation'!$D$17="Type 4 k",MAX(N228,1.01*Q228),IF('Pre-Calculation'!$D$17="Type 4 m",MAX(105%*Q228,SA+N228),IF('Pre-Calculation'!$D$17="Type 4 o",MAX(SA,105%*Q228)+X228+Z228,IF('Pre-Calculation'!$D$17="Type 5",0))))))))))))</f>
        <v>3224840.782</v>
      </c>
      <c r="Q228" s="175">
        <f t="shared" si="5"/>
        <v>1000000</v>
      </c>
      <c r="R228" s="119">
        <f>L228*(1+GROWTH_RATE)*FMC</f>
        <v>3630.790196</v>
      </c>
      <c r="S228" s="178">
        <f>S227*(1+'Pre-Calculation'!$E$27)</f>
        <v>1228315.205</v>
      </c>
      <c r="T228" s="175">
        <f>-E228+IF(A227=INPUT!$C$11*12,N228,0)</f>
        <v>0</v>
      </c>
      <c r="U228" s="175">
        <f t="shared" si="6"/>
        <v>3133530.628</v>
      </c>
      <c r="V228" s="175">
        <f>U228*(1+GROWTH_RATE_H)*(1-'Pre-Calculation'!$E$31)</f>
        <v>3148439.94</v>
      </c>
      <c r="W228" s="175">
        <f>-E228+IF(A227=INPUT!$C$11*12,V228,0)</f>
        <v>0</v>
      </c>
      <c r="X228" s="179">
        <f t="array" ref="X228">NPV('Pre-Calculation'!$E$20,$E229:E$246)</f>
        <v>0</v>
      </c>
      <c r="Y228" s="171">
        <f>10%*SA</f>
        <v>100000</v>
      </c>
      <c r="Z228" s="179">
        <f t="array" ref="Z228">NPV('Pre-Calculation'!$E$20,Y229:Y238)</f>
        <v>969592.8037</v>
      </c>
    </row>
    <row r="229" ht="15.75" customHeight="1">
      <c r="A229" s="171">
        <f t="shared" si="1"/>
        <v>283</v>
      </c>
      <c r="B229" s="171">
        <f t="shared" si="2"/>
        <v>24</v>
      </c>
      <c r="C229" s="176">
        <f>EDATE(RCD,A228)</f>
        <v>51134</v>
      </c>
      <c r="D229" s="171">
        <f>Age_At_Entry+'Cashflows_8%'!B229-1</f>
        <v>58</v>
      </c>
      <c r="E229" s="175">
        <f>IF(AND(C229&lt;=Last_Prem,MOD(A228,Mode)=0,C229&gt;INPUT!$C$13,A229&lt;=Revival!$C$11),Mod_Prem,0)</f>
        <v>0</v>
      </c>
      <c r="F229" s="177">
        <f>E229*VLOOKUP(B229,'Pre-Calculation'!$H$1:$I$31,2,FALSE)</f>
        <v>0</v>
      </c>
      <c r="G229" s="177">
        <f>IF(B229&lt;PT+1,VLOOKUP(B229,'Pre-Calculation'!$H$1:$L$32,3,FALSE)+VLOOKUP(B229,'Pre-Calculation'!$H$1:$L$32,4,FALSE)*'Pre-Calculation'!$D$7,0)</f>
        <v>0</v>
      </c>
      <c r="H229" s="175">
        <f>(E229-(F229+G229)*(1+Tax)+N228)</f>
        <v>3224840.782</v>
      </c>
      <c r="I229" s="175">
        <f>IF(B229&lt;PT+1,VLOOKUP(D229,'Pre-Calculation'!$N$3:$P$79,IF(INPUT!$C$4="M",2,3),FALSE)*(J229/1000)*(1/12),0)</f>
        <v>0</v>
      </c>
      <c r="J229" s="175">
        <f t="shared" si="3"/>
        <v>0</v>
      </c>
      <c r="K229" s="175">
        <f>(IF('Pre-Calculation'!$D$17="Type 4 a",MAX(SA,H229,1.05*Q229),IF('Pre-Calculation'!$D$17="Type 4 c",H229,IF('Pre-Calculation'!$D$17="Type 4 d",SA+H229,IF('Pre-Calculation'!$D$17="Type 4 e",MAX(SA,H229),IF('Pre-Calculation'!$D$17="Type 4 f",SA,IF('Pre-Calculation'!$D$17="Type 4 g",1000+H229,IF('Pre-Calculation'!$D$17="Type 4 h",SA+X229,IF('Pre-Calculation'!$D$17="Type 4 i",MAX(H229,Q229),IF('Pre-Calculation'!$D$17="Type 4 k",MAX(H229,1.01*Q229),IF('Pre-Calculation'!$D$17="Type 4 m",MAX(105%*Q229,SA+H229),IF('Pre-Calculation'!$D$17="Type 4 o",MAX(SA,105%*Q229)+X229+Z229,IF('Pre-Calculation'!$D$17="Type 5",0)))))))))))))*IF(AND(A229&lt;Revival!$C$4,'Cashflows_8%'!C229&gt;=Revival!$D$12),PUP,1)</f>
        <v>3224840.782</v>
      </c>
      <c r="L229" s="175">
        <f>H229-I229*(1+Tax)</f>
        <v>3224840.782</v>
      </c>
      <c r="M229" s="175">
        <f>L229*(1+GROWTH_RATE_H)*(1-FMC*(1+Tax))</f>
        <v>3241283.328</v>
      </c>
      <c r="N229" s="175">
        <f>M229+IF(MOD(A229,B229)=0,VLOOKUP(B229,'Pre-Calculation'!$H$1:$L$31,5,FALSE),0)*IF('Pre-Calculation'!$D$16="% OF FV",M229,IF(OR('Pre-Calculation'!$D$16="% OF AFV(24M)",'Pre-Calculation'!$D$16="% OF AFV(8Q)"),AVERAGE( $M206:$M229),IF('Pre-Calculation'!$D$16="% OF AFV(12M)",AVERAGE($M218:M229),IF('Pre-Calculation'!$D$16="% OF AFV(36M)",AVERAGE($M194:M229)))))</f>
        <v>3241283.328</v>
      </c>
      <c r="O229" s="175">
        <f t="shared" si="4"/>
        <v>3241283.328</v>
      </c>
      <c r="P229" s="175">
        <f>IF('Pre-Calculation'!$D$17="Type 4 a",MAX(SA,N229,1.05*Q229),IF('Pre-Calculation'!$D$17="Type 4 c",N229,IF('Pre-Calculation'!$D$17="Type 4 d",SA+N229,IF('Pre-Calculation'!$D$17="Type 4 e",MAX(SA,N229),IF('Pre-Calculation'!$D$17="Type 4 f",SA,IF('Pre-Calculation'!$D$17="Type 4 g",1000+N229,IF('Pre-Calculation'!$D$17="Type 4 h",SA+X229,IF('Pre-Calculation'!$D$17="Type 4 i",MAX(N229,Q229),IF('Pre-Calculation'!$D$17="Type 4 k",MAX(N229,1.01*Q229),IF('Pre-Calculation'!$D$17="Type 4 m",MAX(105%*Q229,SA+N229),IF('Pre-Calculation'!$D$17="Type 4 o",MAX(SA,105%*Q229)+X229+Z229,IF('Pre-Calculation'!$D$17="Type 5",0))))))))))))</f>
        <v>3241283.328</v>
      </c>
      <c r="Q229" s="175">
        <f t="shared" si="5"/>
        <v>1000000</v>
      </c>
      <c r="R229" s="119">
        <f>L229*(1+GROWTH_RATE)*FMC</f>
        <v>3649.302563</v>
      </c>
      <c r="S229" s="178">
        <f>S228*(1+'Pre-Calculation'!$E$27)</f>
        <v>1231841.573</v>
      </c>
      <c r="T229" s="175">
        <f>-E229+IF(A228=INPUT!$C$11*12,N229,0)</f>
        <v>0</v>
      </c>
      <c r="U229" s="175">
        <f t="shared" si="6"/>
        <v>3148439.94</v>
      </c>
      <c r="V229" s="175">
        <f>U229*(1+GROWTH_RATE_H)*(1-'Pre-Calculation'!$E$31)</f>
        <v>3163420.189</v>
      </c>
      <c r="W229" s="175">
        <f>-E229+IF(A228=INPUT!$C$11*12,V229,0)</f>
        <v>0</v>
      </c>
      <c r="X229" s="179">
        <f t="array" ref="X229">NPV('Pre-Calculation'!$E$20,$E230:E$246)</f>
        <v>0</v>
      </c>
      <c r="Y229" s="171">
        <f>10%*SA</f>
        <v>100000</v>
      </c>
      <c r="Z229" s="179">
        <f t="array" ref="Z229">NPV('Pre-Calculation'!$E$20,Y230:Y239)</f>
        <v>969592.8037</v>
      </c>
    </row>
    <row r="230" ht="15.75" customHeight="1">
      <c r="A230" s="171">
        <f t="shared" si="1"/>
        <v>284</v>
      </c>
      <c r="B230" s="171">
        <f t="shared" si="2"/>
        <v>24</v>
      </c>
      <c r="C230" s="176">
        <f>EDATE(RCD,A229)</f>
        <v>51165</v>
      </c>
      <c r="D230" s="171">
        <f>Age_At_Entry+'Cashflows_8%'!B230-1</f>
        <v>58</v>
      </c>
      <c r="E230" s="175">
        <f>IF(AND(C230&lt;=Last_Prem,MOD(A229,Mode)=0,C230&gt;INPUT!$C$13,A230&lt;=Revival!$C$11),Mod_Prem,0)</f>
        <v>0</v>
      </c>
      <c r="F230" s="177">
        <f>E230*VLOOKUP(B230,'Pre-Calculation'!$H$1:$I$31,2,FALSE)</f>
        <v>0</v>
      </c>
      <c r="G230" s="177">
        <f>IF(B230&lt;PT+1,VLOOKUP(B230,'Pre-Calculation'!$H$1:$L$32,3,FALSE)+VLOOKUP(B230,'Pre-Calculation'!$H$1:$L$32,4,FALSE)*'Pre-Calculation'!$D$7,0)</f>
        <v>0</v>
      </c>
      <c r="H230" s="175">
        <f>(E230-(F230+G230)*(1+Tax)+N229)</f>
        <v>3241283.328</v>
      </c>
      <c r="I230" s="175">
        <f>IF(B230&lt;PT+1,VLOOKUP(D230,'Pre-Calculation'!$N$3:$P$79,IF(INPUT!$C$4="M",2,3),FALSE)*(J230/1000)*(1/12),0)</f>
        <v>0</v>
      </c>
      <c r="J230" s="175">
        <f t="shared" si="3"/>
        <v>0</v>
      </c>
      <c r="K230" s="175">
        <f>(IF('Pre-Calculation'!$D$17="Type 4 a",MAX(SA,H230,1.05*Q230),IF('Pre-Calculation'!$D$17="Type 4 c",H230,IF('Pre-Calculation'!$D$17="Type 4 d",SA+H230,IF('Pre-Calculation'!$D$17="Type 4 e",MAX(SA,H230),IF('Pre-Calculation'!$D$17="Type 4 f",SA,IF('Pre-Calculation'!$D$17="Type 4 g",1000+H230,IF('Pre-Calculation'!$D$17="Type 4 h",SA+X230,IF('Pre-Calculation'!$D$17="Type 4 i",MAX(H230,Q230),IF('Pre-Calculation'!$D$17="Type 4 k",MAX(H230,1.01*Q230),IF('Pre-Calculation'!$D$17="Type 4 m",MAX(105%*Q230,SA+H230),IF('Pre-Calculation'!$D$17="Type 4 o",MAX(SA,105%*Q230)+X230+Z230,IF('Pre-Calculation'!$D$17="Type 5",0)))))))))))))*IF(AND(A230&lt;Revival!$C$4,'Cashflows_8%'!C230&gt;=Revival!$D$12),PUP,1)</f>
        <v>3241283.328</v>
      </c>
      <c r="L230" s="175">
        <f>H230-I230*(1+Tax)</f>
        <v>3241283.328</v>
      </c>
      <c r="M230" s="175">
        <f>L230*(1+GROWTH_RATE_H)*(1-FMC*(1+Tax))</f>
        <v>3257809.709</v>
      </c>
      <c r="N230" s="175">
        <f>M230+IF(MOD(A230,B230)=0,VLOOKUP(B230,'Pre-Calculation'!$H$1:$L$31,5,FALSE),0)*IF('Pre-Calculation'!$D$16="% OF FV",M230,IF(OR('Pre-Calculation'!$D$16="% OF AFV(24M)",'Pre-Calculation'!$D$16="% OF AFV(8Q)"),AVERAGE( $M207:$M230),IF('Pre-Calculation'!$D$16="% OF AFV(12M)",AVERAGE($M219:M230),IF('Pre-Calculation'!$D$16="% OF AFV(36M)",AVERAGE($M195:M230)))))</f>
        <v>3257809.709</v>
      </c>
      <c r="O230" s="175">
        <f t="shared" si="4"/>
        <v>3257809.709</v>
      </c>
      <c r="P230" s="175">
        <f>IF('Pre-Calculation'!$D$17="Type 4 a",MAX(SA,N230,1.05*Q230),IF('Pre-Calculation'!$D$17="Type 4 c",N230,IF('Pre-Calculation'!$D$17="Type 4 d",SA+N230,IF('Pre-Calculation'!$D$17="Type 4 e",MAX(SA,N230),IF('Pre-Calculation'!$D$17="Type 4 f",SA,IF('Pre-Calculation'!$D$17="Type 4 g",1000+N230,IF('Pre-Calculation'!$D$17="Type 4 h",SA+X230,IF('Pre-Calculation'!$D$17="Type 4 i",MAX(N230,Q230),IF('Pre-Calculation'!$D$17="Type 4 k",MAX(N230,1.01*Q230),IF('Pre-Calculation'!$D$17="Type 4 m",MAX(105%*Q230,SA+N230),IF('Pre-Calculation'!$D$17="Type 4 o",MAX(SA,105%*Q230)+X230+Z230,IF('Pre-Calculation'!$D$17="Type 5",0))))))))))))</f>
        <v>3257809.709</v>
      </c>
      <c r="Q230" s="175">
        <f t="shared" si="5"/>
        <v>1000000</v>
      </c>
      <c r="R230" s="119">
        <f>L230*(1+GROWTH_RATE)*FMC</f>
        <v>3667.909318</v>
      </c>
      <c r="S230" s="178">
        <f>S229*(1+'Pre-Calculation'!$E$27)</f>
        <v>1235378.066</v>
      </c>
      <c r="T230" s="175">
        <f>-E230+IF(A229=INPUT!$C$11*12,N230,0)</f>
        <v>0</v>
      </c>
      <c r="U230" s="175">
        <f t="shared" si="6"/>
        <v>3163420.189</v>
      </c>
      <c r="V230" s="175">
        <f>U230*(1+GROWTH_RATE_H)*(1-'Pre-Calculation'!$E$31)</f>
        <v>3178471.715</v>
      </c>
      <c r="W230" s="175">
        <f>-E230+IF(A229=INPUT!$C$11*12,V230,0)</f>
        <v>0</v>
      </c>
      <c r="X230" s="179">
        <f t="array" ref="X230">NPV('Pre-Calculation'!$E$20,$E231:E$246)</f>
        <v>0</v>
      </c>
      <c r="Y230" s="171">
        <f>10%*SA</f>
        <v>100000</v>
      </c>
      <c r="Z230" s="179">
        <f t="array" ref="Z230">NPV('Pre-Calculation'!$E$20,Y231:Y240)</f>
        <v>969592.8037</v>
      </c>
    </row>
    <row r="231" ht="15.75" customHeight="1">
      <c r="A231" s="171">
        <f t="shared" si="1"/>
        <v>285</v>
      </c>
      <c r="B231" s="171">
        <f t="shared" si="2"/>
        <v>24</v>
      </c>
      <c r="C231" s="176">
        <f>EDATE(RCD,A230)</f>
        <v>51195</v>
      </c>
      <c r="D231" s="171">
        <f>Age_At_Entry+'Cashflows_8%'!B231-1</f>
        <v>58</v>
      </c>
      <c r="E231" s="175">
        <f>IF(AND(C231&lt;=Last_Prem,MOD(A230,Mode)=0,C231&gt;INPUT!$C$13,A231&lt;=Revival!$C$11),Mod_Prem,0)</f>
        <v>0</v>
      </c>
      <c r="F231" s="177">
        <f>E231*VLOOKUP(B231,'Pre-Calculation'!$H$1:$I$31,2,FALSE)</f>
        <v>0</v>
      </c>
      <c r="G231" s="177">
        <f>IF(B231&lt;PT+1,VLOOKUP(B231,'Pre-Calculation'!$H$1:$L$32,3,FALSE)+VLOOKUP(B231,'Pre-Calculation'!$H$1:$L$32,4,FALSE)*'Pre-Calculation'!$D$7,0)</f>
        <v>0</v>
      </c>
      <c r="H231" s="175">
        <f>(E231-(F231+G231)*(1+Tax)+N230)</f>
        <v>3257809.709</v>
      </c>
      <c r="I231" s="175">
        <f>IF(B231&lt;PT+1,VLOOKUP(D231,'Pre-Calculation'!$N$3:$P$79,IF(INPUT!$C$4="M",2,3),FALSE)*(J231/1000)*(1/12),0)</f>
        <v>0</v>
      </c>
      <c r="J231" s="175">
        <f t="shared" si="3"/>
        <v>0</v>
      </c>
      <c r="K231" s="175">
        <f>(IF('Pre-Calculation'!$D$17="Type 4 a",MAX(SA,H231,1.05*Q231),IF('Pre-Calculation'!$D$17="Type 4 c",H231,IF('Pre-Calculation'!$D$17="Type 4 d",SA+H231,IF('Pre-Calculation'!$D$17="Type 4 e",MAX(SA,H231),IF('Pre-Calculation'!$D$17="Type 4 f",SA,IF('Pre-Calculation'!$D$17="Type 4 g",1000+H231,IF('Pre-Calculation'!$D$17="Type 4 h",SA+X231,IF('Pre-Calculation'!$D$17="Type 4 i",MAX(H231,Q231),IF('Pre-Calculation'!$D$17="Type 4 k",MAX(H231,1.01*Q231),IF('Pre-Calculation'!$D$17="Type 4 m",MAX(105%*Q231,SA+H231),IF('Pre-Calculation'!$D$17="Type 4 o",MAX(SA,105%*Q231)+X231+Z231,IF('Pre-Calculation'!$D$17="Type 5",0)))))))))))))*IF(AND(A231&lt;Revival!$C$4,'Cashflows_8%'!C231&gt;=Revival!$D$12),PUP,1)</f>
        <v>3257809.709</v>
      </c>
      <c r="L231" s="175">
        <f>H231-I231*(1+Tax)</f>
        <v>3257809.709</v>
      </c>
      <c r="M231" s="175">
        <f>L231*(1+GROWTH_RATE_H)*(1-FMC*(1+Tax))</f>
        <v>3274420.354</v>
      </c>
      <c r="N231" s="175">
        <f>M231+IF(MOD(A231,B231)=0,VLOOKUP(B231,'Pre-Calculation'!$H$1:$L$31,5,FALSE),0)*IF('Pre-Calculation'!$D$16="% OF FV",M231,IF(OR('Pre-Calculation'!$D$16="% OF AFV(24M)",'Pre-Calculation'!$D$16="% OF AFV(8Q)"),AVERAGE( $M208:$M231),IF('Pre-Calculation'!$D$16="% OF AFV(12M)",AVERAGE($M220:M231),IF('Pre-Calculation'!$D$16="% OF AFV(36M)",AVERAGE($M196:M231)))))</f>
        <v>3274420.354</v>
      </c>
      <c r="O231" s="175">
        <f t="shared" si="4"/>
        <v>3274420.354</v>
      </c>
      <c r="P231" s="175">
        <f>IF('Pre-Calculation'!$D$17="Type 4 a",MAX(SA,N231,1.05*Q231),IF('Pre-Calculation'!$D$17="Type 4 c",N231,IF('Pre-Calculation'!$D$17="Type 4 d",SA+N231,IF('Pre-Calculation'!$D$17="Type 4 e",MAX(SA,N231),IF('Pre-Calculation'!$D$17="Type 4 f",SA,IF('Pre-Calculation'!$D$17="Type 4 g",1000+N231,IF('Pre-Calculation'!$D$17="Type 4 h",SA+X231,IF('Pre-Calculation'!$D$17="Type 4 i",MAX(N231,Q231),IF('Pre-Calculation'!$D$17="Type 4 k",MAX(N231,1.01*Q231),IF('Pre-Calculation'!$D$17="Type 4 m",MAX(105%*Q231,SA+N231),IF('Pre-Calculation'!$D$17="Type 4 o",MAX(SA,105%*Q231)+X231+Z231,IF('Pre-Calculation'!$D$17="Type 5",0))))))))))))</f>
        <v>3274420.354</v>
      </c>
      <c r="Q231" s="175">
        <f t="shared" si="5"/>
        <v>1000000</v>
      </c>
      <c r="R231" s="119">
        <f>L231*(1+GROWTH_RATE)*FMC</f>
        <v>3686.610944</v>
      </c>
      <c r="S231" s="178">
        <f>S230*(1+'Pre-Calculation'!$E$27)</f>
        <v>1238924.711</v>
      </c>
      <c r="T231" s="175">
        <f>-E231+IF(A230=INPUT!$C$11*12,N231,0)</f>
        <v>0</v>
      </c>
      <c r="U231" s="175">
        <f t="shared" si="6"/>
        <v>3178471.715</v>
      </c>
      <c r="V231" s="175">
        <f>U231*(1+GROWTH_RATE_H)*(1-'Pre-Calculation'!$E$31)</f>
        <v>3193594.855</v>
      </c>
      <c r="W231" s="175">
        <f>-E231+IF(A230=INPUT!$C$11*12,V231,0)</f>
        <v>0</v>
      </c>
      <c r="X231" s="179">
        <f t="array" ref="X231">NPV('Pre-Calculation'!$E$20,$E232:E$246)</f>
        <v>0</v>
      </c>
      <c r="Y231" s="171">
        <f>10%*SA</f>
        <v>100000</v>
      </c>
      <c r="Z231" s="179">
        <f t="array" ref="Z231">NPV('Pre-Calculation'!$E$20,Y232:Y241)</f>
        <v>969592.8037</v>
      </c>
    </row>
    <row r="232" ht="15.75" customHeight="1">
      <c r="A232" s="171">
        <f t="shared" si="1"/>
        <v>286</v>
      </c>
      <c r="B232" s="171">
        <f t="shared" si="2"/>
        <v>24</v>
      </c>
      <c r="C232" s="176">
        <f>EDATE(RCD,A231)</f>
        <v>51225</v>
      </c>
      <c r="D232" s="171">
        <f>Age_At_Entry+'Cashflows_8%'!B232-1</f>
        <v>58</v>
      </c>
      <c r="E232" s="175">
        <f>IF(AND(C232&lt;=Last_Prem,MOD(A231,Mode)=0,C232&gt;INPUT!$C$13,A232&lt;=Revival!$C$11),Mod_Prem,0)</f>
        <v>0</v>
      </c>
      <c r="F232" s="177">
        <f>E232*VLOOKUP(B232,'Pre-Calculation'!$H$1:$I$31,2,FALSE)</f>
        <v>0</v>
      </c>
      <c r="G232" s="177">
        <f>IF(B232&lt;PT+1,VLOOKUP(B232,'Pre-Calculation'!$H$1:$L$32,3,FALSE)+VLOOKUP(B232,'Pre-Calculation'!$H$1:$L$32,4,FALSE)*'Pre-Calculation'!$D$7,0)</f>
        <v>0</v>
      </c>
      <c r="H232" s="175">
        <f>(E232-(F232+G232)*(1+Tax)+N231)</f>
        <v>3274420.354</v>
      </c>
      <c r="I232" s="175">
        <f>IF(B232&lt;PT+1,VLOOKUP(D232,'Pre-Calculation'!$N$3:$P$79,IF(INPUT!$C$4="M",2,3),FALSE)*(J232/1000)*(1/12),0)</f>
        <v>0</v>
      </c>
      <c r="J232" s="175">
        <f t="shared" si="3"/>
        <v>0</v>
      </c>
      <c r="K232" s="175">
        <f>(IF('Pre-Calculation'!$D$17="Type 4 a",MAX(SA,H232,1.05*Q232),IF('Pre-Calculation'!$D$17="Type 4 c",H232,IF('Pre-Calculation'!$D$17="Type 4 d",SA+H232,IF('Pre-Calculation'!$D$17="Type 4 e",MAX(SA,H232),IF('Pre-Calculation'!$D$17="Type 4 f",SA,IF('Pre-Calculation'!$D$17="Type 4 g",1000+H232,IF('Pre-Calculation'!$D$17="Type 4 h",SA+X232,IF('Pre-Calculation'!$D$17="Type 4 i",MAX(H232,Q232),IF('Pre-Calculation'!$D$17="Type 4 k",MAX(H232,1.01*Q232),IF('Pre-Calculation'!$D$17="Type 4 m",MAX(105%*Q232,SA+H232),IF('Pre-Calculation'!$D$17="Type 4 o",MAX(SA,105%*Q232)+X232+Z232,IF('Pre-Calculation'!$D$17="Type 5",0)))))))))))))*IF(AND(A232&lt;Revival!$C$4,'Cashflows_8%'!C232&gt;=Revival!$D$12),PUP,1)</f>
        <v>3274420.354</v>
      </c>
      <c r="L232" s="175">
        <f>H232-I232*(1+Tax)</f>
        <v>3274420.354</v>
      </c>
      <c r="M232" s="175">
        <f>L232*(1+GROWTH_RATE_H)*(1-FMC*(1+Tax))</f>
        <v>3291115.692</v>
      </c>
      <c r="N232" s="175">
        <f>M232+IF(MOD(A232,B232)=0,VLOOKUP(B232,'Pre-Calculation'!$H$1:$L$31,5,FALSE),0)*IF('Pre-Calculation'!$D$16="% OF FV",M232,IF(OR('Pre-Calculation'!$D$16="% OF AFV(24M)",'Pre-Calculation'!$D$16="% OF AFV(8Q)"),AVERAGE( $M209:$M232),IF('Pre-Calculation'!$D$16="% OF AFV(12M)",AVERAGE($M221:M232),IF('Pre-Calculation'!$D$16="% OF AFV(36M)",AVERAGE($M197:M232)))))</f>
        <v>3291115.692</v>
      </c>
      <c r="O232" s="175">
        <f t="shared" si="4"/>
        <v>3291115.692</v>
      </c>
      <c r="P232" s="175">
        <f>IF('Pre-Calculation'!$D$17="Type 4 a",MAX(SA,N232,1.05*Q232),IF('Pre-Calculation'!$D$17="Type 4 c",N232,IF('Pre-Calculation'!$D$17="Type 4 d",SA+N232,IF('Pre-Calculation'!$D$17="Type 4 e",MAX(SA,N232),IF('Pre-Calculation'!$D$17="Type 4 f",SA,IF('Pre-Calculation'!$D$17="Type 4 g",1000+N232,IF('Pre-Calculation'!$D$17="Type 4 h",SA+X232,IF('Pre-Calculation'!$D$17="Type 4 i",MAX(N232,Q232),IF('Pre-Calculation'!$D$17="Type 4 k",MAX(N232,1.01*Q232),IF('Pre-Calculation'!$D$17="Type 4 m",MAX(105%*Q232,SA+N232),IF('Pre-Calculation'!$D$17="Type 4 o",MAX(SA,105%*Q232)+X232+Z232,IF('Pre-Calculation'!$D$17="Type 5",0))))))))))))</f>
        <v>3291115.692</v>
      </c>
      <c r="Q232" s="175">
        <f t="shared" si="5"/>
        <v>1000000</v>
      </c>
      <c r="R232" s="119">
        <f>L232*(1+GROWTH_RATE)*FMC</f>
        <v>3705.407925</v>
      </c>
      <c r="S232" s="178">
        <f>S231*(1+'Pre-Calculation'!$E$27)</f>
        <v>1242481.538</v>
      </c>
      <c r="T232" s="175">
        <f>-E232+IF(A231=INPUT!$C$11*12,N232,0)</f>
        <v>0</v>
      </c>
      <c r="U232" s="175">
        <f t="shared" si="6"/>
        <v>3193594.855</v>
      </c>
      <c r="V232" s="175">
        <f>U232*(1+GROWTH_RATE_H)*(1-'Pre-Calculation'!$E$31)</f>
        <v>3208789.952</v>
      </c>
      <c r="W232" s="175">
        <f>-E232+IF(A231=INPUT!$C$11*12,V232,0)</f>
        <v>0</v>
      </c>
      <c r="X232" s="179">
        <f t="array" ref="X232">NPV('Pre-Calculation'!$E$20,$E233:E$246)</f>
        <v>0</v>
      </c>
      <c r="Y232" s="171">
        <f>10%*SA</f>
        <v>100000</v>
      </c>
      <c r="Z232" s="179">
        <f t="array" ref="Z232">NPV('Pre-Calculation'!$E$20,Y233:Y242)</f>
        <v>969592.8037</v>
      </c>
    </row>
    <row r="233" ht="15.75" customHeight="1">
      <c r="A233" s="171">
        <f t="shared" si="1"/>
        <v>287</v>
      </c>
      <c r="B233" s="171">
        <f t="shared" si="2"/>
        <v>24</v>
      </c>
      <c r="C233" s="176">
        <f>EDATE(RCD,A232)</f>
        <v>51256</v>
      </c>
      <c r="D233" s="171">
        <f>Age_At_Entry+'Cashflows_8%'!B233-1</f>
        <v>58</v>
      </c>
      <c r="E233" s="175">
        <f>IF(AND(C233&lt;=Last_Prem,MOD(A232,Mode)=0,C233&gt;INPUT!$C$13,A233&lt;=Revival!$C$11),Mod_Prem,0)</f>
        <v>0</v>
      </c>
      <c r="F233" s="177">
        <f>E233*VLOOKUP(B233,'Pre-Calculation'!$H$1:$I$31,2,FALSE)</f>
        <v>0</v>
      </c>
      <c r="G233" s="177">
        <f>IF(B233&lt;PT+1,VLOOKUP(B233,'Pre-Calculation'!$H$1:$L$32,3,FALSE)+VLOOKUP(B233,'Pre-Calculation'!$H$1:$L$32,4,FALSE)*'Pre-Calculation'!$D$7,0)</f>
        <v>0</v>
      </c>
      <c r="H233" s="175">
        <f>(E233-(F233+G233)*(1+Tax)+N232)</f>
        <v>3291115.692</v>
      </c>
      <c r="I233" s="175">
        <f>IF(B233&lt;PT+1,VLOOKUP(D233,'Pre-Calculation'!$N$3:$P$79,IF(INPUT!$C$4="M",2,3),FALSE)*(J233/1000)*(1/12),0)</f>
        <v>0</v>
      </c>
      <c r="J233" s="175">
        <f t="shared" si="3"/>
        <v>0</v>
      </c>
      <c r="K233" s="175">
        <f>(IF('Pre-Calculation'!$D$17="Type 4 a",MAX(SA,H233,1.05*Q233),IF('Pre-Calculation'!$D$17="Type 4 c",H233,IF('Pre-Calculation'!$D$17="Type 4 d",SA+H233,IF('Pre-Calculation'!$D$17="Type 4 e",MAX(SA,H233),IF('Pre-Calculation'!$D$17="Type 4 f",SA,IF('Pre-Calculation'!$D$17="Type 4 g",1000+H233,IF('Pre-Calculation'!$D$17="Type 4 h",SA+X233,IF('Pre-Calculation'!$D$17="Type 4 i",MAX(H233,Q233),IF('Pre-Calculation'!$D$17="Type 4 k",MAX(H233,1.01*Q233),IF('Pre-Calculation'!$D$17="Type 4 m",MAX(105%*Q233,SA+H233),IF('Pre-Calculation'!$D$17="Type 4 o",MAX(SA,105%*Q233)+X233+Z233,IF('Pre-Calculation'!$D$17="Type 5",0)))))))))))))*IF(AND(A233&lt;Revival!$C$4,'Cashflows_8%'!C233&gt;=Revival!$D$12),PUP,1)</f>
        <v>3291115.692</v>
      </c>
      <c r="L233" s="175">
        <f>H233-I233*(1+Tax)</f>
        <v>3291115.692</v>
      </c>
      <c r="M233" s="175">
        <f>L233*(1+GROWTH_RATE_H)*(1-FMC*(1+Tax))</f>
        <v>3307896.154</v>
      </c>
      <c r="N233" s="175">
        <f>M233+IF(MOD(A233,B233)=0,VLOOKUP(B233,'Pre-Calculation'!$H$1:$L$31,5,FALSE),0)*IF('Pre-Calculation'!$D$16="% OF FV",M233,IF(OR('Pre-Calculation'!$D$16="% OF AFV(24M)",'Pre-Calculation'!$D$16="% OF AFV(8Q)"),AVERAGE( $M210:$M233),IF('Pre-Calculation'!$D$16="% OF AFV(12M)",AVERAGE($M222:M233),IF('Pre-Calculation'!$D$16="% OF AFV(36M)",AVERAGE($M198:M233)))))</f>
        <v>3307896.154</v>
      </c>
      <c r="O233" s="175">
        <f t="shared" si="4"/>
        <v>3307896.154</v>
      </c>
      <c r="P233" s="175">
        <f>IF('Pre-Calculation'!$D$17="Type 4 a",MAX(SA,N233,1.05*Q233),IF('Pre-Calculation'!$D$17="Type 4 c",N233,IF('Pre-Calculation'!$D$17="Type 4 d",SA+N233,IF('Pre-Calculation'!$D$17="Type 4 e",MAX(SA,N233),IF('Pre-Calculation'!$D$17="Type 4 f",SA,IF('Pre-Calculation'!$D$17="Type 4 g",1000+N233,IF('Pre-Calculation'!$D$17="Type 4 h",SA+X233,IF('Pre-Calculation'!$D$17="Type 4 i",MAX(N233,Q233),IF('Pre-Calculation'!$D$17="Type 4 k",MAX(N233,1.01*Q233),IF('Pre-Calculation'!$D$17="Type 4 m",MAX(105%*Q233,SA+N233),IF('Pre-Calculation'!$D$17="Type 4 o",MAX(SA,105%*Q233)+X233+Z233,IF('Pre-Calculation'!$D$17="Type 5",0))))))))))))</f>
        <v>3307896.154</v>
      </c>
      <c r="Q233" s="175">
        <f t="shared" si="5"/>
        <v>1000000</v>
      </c>
      <c r="R233" s="119">
        <f>L233*(1+GROWTH_RATE)*FMC</f>
        <v>3724.300745</v>
      </c>
      <c r="S233" s="178">
        <f>S232*(1+'Pre-Calculation'!$E$27)</f>
        <v>1246048.577</v>
      </c>
      <c r="T233" s="175">
        <f>-E233+IF(A232=INPUT!$C$11*12,N233,0)</f>
        <v>0</v>
      </c>
      <c r="U233" s="175">
        <f t="shared" si="6"/>
        <v>3208789.952</v>
      </c>
      <c r="V233" s="175">
        <f>U233*(1+GROWTH_RATE_H)*(1-'Pre-Calculation'!$E$31)</f>
        <v>3224057.346</v>
      </c>
      <c r="W233" s="175">
        <f>-E233+IF(A232=INPUT!$C$11*12,V233,0)</f>
        <v>0</v>
      </c>
      <c r="X233" s="179">
        <f t="array" ref="X233">NPV('Pre-Calculation'!$E$20,$E234:E$246)</f>
        <v>0</v>
      </c>
      <c r="Y233" s="171">
        <f>10%*SA</f>
        <v>100000</v>
      </c>
      <c r="Z233" s="179">
        <f t="array" ref="Z233">NPV('Pre-Calculation'!$E$20,Y234:Y243)</f>
        <v>969592.8037</v>
      </c>
    </row>
    <row r="234" ht="15.75" customHeight="1">
      <c r="A234" s="171">
        <f t="shared" si="1"/>
        <v>288</v>
      </c>
      <c r="B234" s="171">
        <f t="shared" si="2"/>
        <v>24</v>
      </c>
      <c r="C234" s="176">
        <f>EDATE(RCD,A233)</f>
        <v>51286</v>
      </c>
      <c r="D234" s="171">
        <f>Age_At_Entry+'Cashflows_8%'!B234-1</f>
        <v>58</v>
      </c>
      <c r="E234" s="175">
        <f>IF(AND(C234&lt;=Last_Prem,MOD(A233,Mode)=0,C234&gt;INPUT!$C$13,A234&lt;=Revival!$C$11),Mod_Prem,0)</f>
        <v>0</v>
      </c>
      <c r="F234" s="177">
        <f>E234*VLOOKUP(B234,'Pre-Calculation'!$H$1:$I$31,2,FALSE)</f>
        <v>0</v>
      </c>
      <c r="G234" s="177">
        <f>IF(B234&lt;PT+1,VLOOKUP(B234,'Pre-Calculation'!$H$1:$L$32,3,FALSE)+VLOOKUP(B234,'Pre-Calculation'!$H$1:$L$32,4,FALSE)*'Pre-Calculation'!$D$7,0)</f>
        <v>0</v>
      </c>
      <c r="H234" s="175">
        <f>(E234-(F234+G234)*(1+Tax)+N233)</f>
        <v>3307896.154</v>
      </c>
      <c r="I234" s="175">
        <f>IF(B234&lt;PT+1,VLOOKUP(D234,'Pre-Calculation'!$N$3:$P$79,IF(INPUT!$C$4="M",2,3),FALSE)*(J234/1000)*(1/12),0)</f>
        <v>0</v>
      </c>
      <c r="J234" s="175">
        <f t="shared" si="3"/>
        <v>0</v>
      </c>
      <c r="K234" s="175">
        <f>(IF('Pre-Calculation'!$D$17="Type 4 a",MAX(SA,H234,1.05*Q234),IF('Pre-Calculation'!$D$17="Type 4 c",H234,IF('Pre-Calculation'!$D$17="Type 4 d",SA+H234,IF('Pre-Calculation'!$D$17="Type 4 e",MAX(SA,H234),IF('Pre-Calculation'!$D$17="Type 4 f",SA,IF('Pre-Calculation'!$D$17="Type 4 g",1000+H234,IF('Pre-Calculation'!$D$17="Type 4 h",SA+X234,IF('Pre-Calculation'!$D$17="Type 4 i",MAX(H234,Q234),IF('Pre-Calculation'!$D$17="Type 4 k",MAX(H234,1.01*Q234),IF('Pre-Calculation'!$D$17="Type 4 m",MAX(105%*Q234,SA+H234),IF('Pre-Calculation'!$D$17="Type 4 o",MAX(SA,105%*Q234)+X234+Z234,IF('Pre-Calculation'!$D$17="Type 5",0)))))))))))))*IF(AND(A234&lt;Revival!$C$4,'Cashflows_8%'!C234&gt;=Revival!$D$12),PUP,1)</f>
        <v>3307896.154</v>
      </c>
      <c r="L234" s="175">
        <f>H234-I234*(1+Tax)</f>
        <v>3307896.154</v>
      </c>
      <c r="M234" s="175">
        <f>L234*(1+GROWTH_RATE_H)*(1-FMC*(1+Tax))</f>
        <v>3324762.176</v>
      </c>
      <c r="N234" s="175">
        <f>M234+IF(MOD(A234,B234)=0,VLOOKUP(B234,'Pre-Calculation'!$H$1:$L$31,5,FALSE),0)*IF('Pre-Calculation'!$D$16="% OF FV",M234,IF(OR('Pre-Calculation'!$D$16="% OF AFV(24M)",'Pre-Calculation'!$D$16="% OF AFV(8Q)"),AVERAGE( $M211:$M234),IF('Pre-Calculation'!$D$16="% OF AFV(12M)",AVERAGE($M223:M234),IF('Pre-Calculation'!$D$16="% OF AFV(36M)",AVERAGE($M199:M234)))))</f>
        <v>3324762.176</v>
      </c>
      <c r="O234" s="175">
        <f t="shared" si="4"/>
        <v>3324762.176</v>
      </c>
      <c r="P234" s="175">
        <f>IF('Pre-Calculation'!$D$17="Type 4 a",MAX(SA,N234,1.05*Q234),IF('Pre-Calculation'!$D$17="Type 4 c",N234,IF('Pre-Calculation'!$D$17="Type 4 d",SA+N234,IF('Pre-Calculation'!$D$17="Type 4 e",MAX(SA,N234),IF('Pre-Calculation'!$D$17="Type 4 f",SA,IF('Pre-Calculation'!$D$17="Type 4 g",1000+N234,IF('Pre-Calculation'!$D$17="Type 4 h",SA+X234,IF('Pre-Calculation'!$D$17="Type 4 i",MAX(N234,Q234),IF('Pre-Calculation'!$D$17="Type 4 k",MAX(N234,1.01*Q234),IF('Pre-Calculation'!$D$17="Type 4 m",MAX(105%*Q234,SA+N234),IF('Pre-Calculation'!$D$17="Type 4 o",MAX(SA,105%*Q234)+X234+Z234,IF('Pre-Calculation'!$D$17="Type 5",0))))))))))))</f>
        <v>3324762.176</v>
      </c>
      <c r="Q234" s="175">
        <f t="shared" si="5"/>
        <v>1000000</v>
      </c>
      <c r="R234" s="119">
        <f>L234*(1+GROWTH_RATE)*FMC</f>
        <v>3743.289895</v>
      </c>
      <c r="S234" s="178">
        <f>S233*(1+'Pre-Calculation'!$E$27)</f>
        <v>1249625.856</v>
      </c>
      <c r="T234" s="175">
        <f>-E234+IF(A233=INPUT!$C$11*12,N234,0)</f>
        <v>0</v>
      </c>
      <c r="U234" s="175">
        <f t="shared" si="6"/>
        <v>3224057.346</v>
      </c>
      <c r="V234" s="175">
        <f>U234*(1+GROWTH_RATE_H)*(1-'Pre-Calculation'!$E$31)</f>
        <v>3239397.383</v>
      </c>
      <c r="W234" s="175">
        <f>-E234+IF(A233=INPUT!$C$11*12,V234,0)</f>
        <v>0</v>
      </c>
      <c r="X234" s="179">
        <f t="array" ref="X234">NPV('Pre-Calculation'!$E$20,$E235:E$246)</f>
        <v>0</v>
      </c>
      <c r="Y234" s="171">
        <f>10%*SA</f>
        <v>100000</v>
      </c>
      <c r="Z234" s="179">
        <f t="array" ref="Z234">NPV('Pre-Calculation'!$E$20,Y235:Y244)</f>
        <v>969592.8037</v>
      </c>
    </row>
    <row r="235" ht="15.75" customHeight="1">
      <c r="A235" s="171">
        <f t="shared" si="1"/>
        <v>289</v>
      </c>
      <c r="B235" s="171">
        <f t="shared" si="2"/>
        <v>25</v>
      </c>
      <c r="C235" s="176">
        <f>EDATE(RCD,A234)</f>
        <v>51317</v>
      </c>
      <c r="D235" s="171">
        <f>Age_At_Entry+'Cashflows_8%'!B235-1</f>
        <v>59</v>
      </c>
      <c r="E235" s="175">
        <f>IF(AND(C235&lt;=Last_Prem,MOD(A234,Mode)=0,C235&gt;INPUT!$C$13,A235&lt;=Revival!$C$11),Mod_Prem,0)</f>
        <v>0</v>
      </c>
      <c r="F235" s="177">
        <f>E235*VLOOKUP(B235,'Pre-Calculation'!$H$1:$I$31,2,FALSE)</f>
        <v>0</v>
      </c>
      <c r="G235" s="177">
        <f>IF(B235&lt;PT+1,VLOOKUP(B235,'Pre-Calculation'!$H$1:$L$32,3,FALSE)+VLOOKUP(B235,'Pre-Calculation'!$H$1:$L$32,4,FALSE)*'Pre-Calculation'!$D$7,0)</f>
        <v>0</v>
      </c>
      <c r="H235" s="175">
        <f>(E235-(F235+G235)*(1+Tax)+N234)</f>
        <v>3324762.176</v>
      </c>
      <c r="I235" s="175">
        <f>IF(B235&lt;PT+1,VLOOKUP(D235,'Pre-Calculation'!$N$3:$P$79,IF(INPUT!$C$4="M",2,3),FALSE)*(J235/1000)*(1/12),0)</f>
        <v>0</v>
      </c>
      <c r="J235" s="175">
        <f t="shared" si="3"/>
        <v>0</v>
      </c>
      <c r="K235" s="175">
        <f>(IF('Pre-Calculation'!$D$17="Type 4 a",MAX(SA,H235,1.05*Q235),IF('Pre-Calculation'!$D$17="Type 4 c",H235,IF('Pre-Calculation'!$D$17="Type 4 d",SA+H235,IF('Pre-Calculation'!$D$17="Type 4 e",MAX(SA,H235),IF('Pre-Calculation'!$D$17="Type 4 f",SA,IF('Pre-Calculation'!$D$17="Type 4 g",1000+H235,IF('Pre-Calculation'!$D$17="Type 4 h",SA+X235,IF('Pre-Calculation'!$D$17="Type 4 i",MAX(H235,Q235),IF('Pre-Calculation'!$D$17="Type 4 k",MAX(H235,1.01*Q235),IF('Pre-Calculation'!$D$17="Type 4 m",MAX(105%*Q235,SA+H235),IF('Pre-Calculation'!$D$17="Type 4 o",MAX(SA,105%*Q235)+X235+Z235,IF('Pre-Calculation'!$D$17="Type 5",0)))))))))))))*IF(AND(A235&lt;Revival!$C$4,'Cashflows_8%'!C235&gt;=Revival!$D$12),PUP,1)</f>
        <v>3324762.176</v>
      </c>
      <c r="L235" s="175">
        <f>H235-I235*(1+Tax)</f>
        <v>3324762.176</v>
      </c>
      <c r="M235" s="175">
        <f>L235*(1+GROWTH_RATE_H)*(1-FMC*(1+Tax))</f>
        <v>3341714.192</v>
      </c>
      <c r="N235" s="175">
        <f>M235+IF(MOD(A235,B235)=0,VLOOKUP(B235,'Pre-Calculation'!$H$1:$L$31,5,FALSE),0)*IF('Pre-Calculation'!$D$16="% OF FV",M235,IF(OR('Pre-Calculation'!$D$16="% OF AFV(24M)",'Pre-Calculation'!$D$16="% OF AFV(8Q)"),AVERAGE( $M212:$M235),IF('Pre-Calculation'!$D$16="% OF AFV(12M)",AVERAGE($M224:M235),IF('Pre-Calculation'!$D$16="% OF AFV(36M)",AVERAGE($M200:M235)))))</f>
        <v>3341714.192</v>
      </c>
      <c r="O235" s="175">
        <f t="shared" si="4"/>
        <v>3341714.192</v>
      </c>
      <c r="P235" s="175">
        <f>IF('Pre-Calculation'!$D$17="Type 4 a",MAX(SA,N235,1.05*Q235),IF('Pre-Calculation'!$D$17="Type 4 c",N235,IF('Pre-Calculation'!$D$17="Type 4 d",SA+N235,IF('Pre-Calculation'!$D$17="Type 4 e",MAX(SA,N235),IF('Pre-Calculation'!$D$17="Type 4 f",SA,IF('Pre-Calculation'!$D$17="Type 4 g",1000+N235,IF('Pre-Calculation'!$D$17="Type 4 h",SA+X235,IF('Pre-Calculation'!$D$17="Type 4 i",MAX(N235,Q235),IF('Pre-Calculation'!$D$17="Type 4 k",MAX(N235,1.01*Q235),IF('Pre-Calculation'!$D$17="Type 4 m",MAX(105%*Q235,SA+N235),IF('Pre-Calculation'!$D$17="Type 4 o",MAX(SA,105%*Q235)+X235+Z235,IF('Pre-Calculation'!$D$17="Type 5",0))))))))))))</f>
        <v>3341714.192</v>
      </c>
      <c r="Q235" s="175">
        <f t="shared" si="5"/>
        <v>1000000</v>
      </c>
      <c r="R235" s="119">
        <f>L235*(1+GROWTH_RATE)*FMC</f>
        <v>3762.375865</v>
      </c>
      <c r="S235" s="178">
        <f>S234*(1+'Pre-Calculation'!$E$27)</f>
        <v>1253213.406</v>
      </c>
      <c r="T235" s="175">
        <f>-E235+IF(A234=INPUT!$C$11*12,N235,0)</f>
        <v>0</v>
      </c>
      <c r="U235" s="175">
        <f t="shared" si="6"/>
        <v>3239397.383</v>
      </c>
      <c r="V235" s="175">
        <f>U235*(1+GROWTH_RATE_H)*(1-'Pre-Calculation'!$E$31)</f>
        <v>3254810.407</v>
      </c>
      <c r="W235" s="175">
        <f>-E235+IF(A234=INPUT!$C$11*12,V235,0)</f>
        <v>0</v>
      </c>
      <c r="X235" s="179">
        <f t="array" ref="X235">NPV('Pre-Calculation'!$E$20,$E236:E$246)</f>
        <v>0</v>
      </c>
      <c r="Y235" s="171">
        <f>10%*SA</f>
        <v>100000</v>
      </c>
      <c r="Z235" s="179">
        <f t="array" ref="Z235">NPV('Pre-Calculation'!$E$20,Y236:Y245)</f>
        <v>969592.8037</v>
      </c>
    </row>
    <row r="236" ht="15.75" customHeight="1">
      <c r="A236" s="171">
        <f t="shared" si="1"/>
        <v>290</v>
      </c>
      <c r="B236" s="171">
        <f t="shared" si="2"/>
        <v>25</v>
      </c>
      <c r="C236" s="176">
        <f>EDATE(RCD,A235)</f>
        <v>51347</v>
      </c>
      <c r="D236" s="171">
        <f>Age_At_Entry+'Cashflows_8%'!B236-1</f>
        <v>59</v>
      </c>
      <c r="E236" s="175">
        <f>IF(AND(C236&lt;=Last_Prem,MOD(A235,Mode)=0,C236&gt;INPUT!$C$13,A236&lt;=Revival!$C$11),Mod_Prem,0)</f>
        <v>0</v>
      </c>
      <c r="F236" s="177">
        <f>E236*VLOOKUP(B236,'Pre-Calculation'!$H$1:$I$31,2,FALSE)</f>
        <v>0</v>
      </c>
      <c r="G236" s="177">
        <f>IF(B236&lt;PT+1,VLOOKUP(B236,'Pre-Calculation'!$H$1:$L$32,3,FALSE)+VLOOKUP(B236,'Pre-Calculation'!$H$1:$L$32,4,FALSE)*'Pre-Calculation'!$D$7,0)</f>
        <v>0</v>
      </c>
      <c r="H236" s="175">
        <f>(E236-(F236+G236)*(1+Tax)+N235)</f>
        <v>3341714.192</v>
      </c>
      <c r="I236" s="175">
        <f>IF(B236&lt;PT+1,VLOOKUP(D236,'Pre-Calculation'!$N$3:$P$79,IF(INPUT!$C$4="M",2,3),FALSE)*(J236/1000)*(1/12),0)</f>
        <v>0</v>
      </c>
      <c r="J236" s="175">
        <f t="shared" si="3"/>
        <v>0</v>
      </c>
      <c r="K236" s="175">
        <f>(IF('Pre-Calculation'!$D$17="Type 4 a",MAX(SA,H236,1.05*Q236),IF('Pre-Calculation'!$D$17="Type 4 c",H236,IF('Pre-Calculation'!$D$17="Type 4 d",SA+H236,IF('Pre-Calculation'!$D$17="Type 4 e",MAX(SA,H236),IF('Pre-Calculation'!$D$17="Type 4 f",SA,IF('Pre-Calculation'!$D$17="Type 4 g",1000+H236,IF('Pre-Calculation'!$D$17="Type 4 h",SA+X236,IF('Pre-Calculation'!$D$17="Type 4 i",MAX(H236,Q236),IF('Pre-Calculation'!$D$17="Type 4 k",MAX(H236,1.01*Q236),IF('Pre-Calculation'!$D$17="Type 4 m",MAX(105%*Q236,SA+H236),IF('Pre-Calculation'!$D$17="Type 4 o",MAX(SA,105%*Q236)+X236+Z236,IF('Pre-Calculation'!$D$17="Type 5",0)))))))))))))*IF(AND(A236&lt;Revival!$C$4,'Cashflows_8%'!C236&gt;=Revival!$D$12),PUP,1)</f>
        <v>3341714.192</v>
      </c>
      <c r="L236" s="175">
        <f>H236-I236*(1+Tax)</f>
        <v>3341714.192</v>
      </c>
      <c r="M236" s="175">
        <f>L236*(1+GROWTH_RATE_H)*(1-FMC*(1+Tax))</f>
        <v>3358752.642</v>
      </c>
      <c r="N236" s="175">
        <f>M236+IF(MOD(A236,B236)=0,VLOOKUP(B236,'Pre-Calculation'!$H$1:$L$31,5,FALSE),0)*IF('Pre-Calculation'!$D$16="% OF FV",M236,IF(OR('Pre-Calculation'!$D$16="% OF AFV(24M)",'Pre-Calculation'!$D$16="% OF AFV(8Q)"),AVERAGE( $M213:$M236),IF('Pre-Calculation'!$D$16="% OF AFV(12M)",AVERAGE($M225:M236),IF('Pre-Calculation'!$D$16="% OF AFV(36M)",AVERAGE($M201:M236)))))</f>
        <v>3358752.642</v>
      </c>
      <c r="O236" s="175">
        <f t="shared" si="4"/>
        <v>3358752.642</v>
      </c>
      <c r="P236" s="175">
        <f>IF('Pre-Calculation'!$D$17="Type 4 a",MAX(SA,N236,1.05*Q236),IF('Pre-Calculation'!$D$17="Type 4 c",N236,IF('Pre-Calculation'!$D$17="Type 4 d",SA+N236,IF('Pre-Calculation'!$D$17="Type 4 e",MAX(SA,N236),IF('Pre-Calculation'!$D$17="Type 4 f",SA,IF('Pre-Calculation'!$D$17="Type 4 g",1000+N236,IF('Pre-Calculation'!$D$17="Type 4 h",SA+X236,IF('Pre-Calculation'!$D$17="Type 4 i",MAX(N236,Q236),IF('Pre-Calculation'!$D$17="Type 4 k",MAX(N236,1.01*Q236),IF('Pre-Calculation'!$D$17="Type 4 m",MAX(105%*Q236,SA+N236),IF('Pre-Calculation'!$D$17="Type 4 o",MAX(SA,105%*Q236)+X236+Z236,IF('Pre-Calculation'!$D$17="Type 5",0))))))))))))</f>
        <v>3358752.642</v>
      </c>
      <c r="Q236" s="175">
        <f t="shared" si="5"/>
        <v>1000000</v>
      </c>
      <c r="R236" s="119">
        <f>L236*(1+GROWTH_RATE)*FMC</f>
        <v>3781.55915</v>
      </c>
      <c r="S236" s="178">
        <f>S235*(1+'Pre-Calculation'!$E$27)</f>
        <v>1256811.254</v>
      </c>
      <c r="T236" s="175">
        <f>-E236+IF(A235=INPUT!$C$11*12,N236,0)</f>
        <v>0</v>
      </c>
      <c r="U236" s="175">
        <f t="shared" si="6"/>
        <v>3254810.407</v>
      </c>
      <c r="V236" s="175">
        <f>U236*(1+GROWTH_RATE_H)*(1-'Pre-Calculation'!$E$31)</f>
        <v>3270296.766</v>
      </c>
      <c r="W236" s="175">
        <f>-E236+IF(A235=INPUT!$C$11*12,V236,0)</f>
        <v>0</v>
      </c>
      <c r="X236" s="179">
        <f t="array" ref="X236">NPV('Pre-Calculation'!$E$20,$E237:E$246)</f>
        <v>0</v>
      </c>
      <c r="Y236" s="171">
        <f>10%*SA</f>
        <v>100000</v>
      </c>
      <c r="Z236" s="179">
        <f t="array" ref="Z236">NPV('Pre-Calculation'!$E$20,Y237:Y246)</f>
        <v>969592.8037</v>
      </c>
    </row>
    <row r="237" ht="15.75" customHeight="1">
      <c r="A237" s="171">
        <f t="shared" si="1"/>
        <v>291</v>
      </c>
      <c r="B237" s="171">
        <f t="shared" si="2"/>
        <v>25</v>
      </c>
      <c r="C237" s="176">
        <f>EDATE(RCD,A236)</f>
        <v>51378</v>
      </c>
      <c r="D237" s="171">
        <f>Age_At_Entry+'Cashflows_8%'!B237-1</f>
        <v>59</v>
      </c>
      <c r="E237" s="175">
        <f>IF(AND(C237&lt;=Last_Prem,MOD(A236,Mode)=0,C237&gt;INPUT!$C$13,A237&lt;=Revival!$C$11),Mod_Prem,0)</f>
        <v>0</v>
      </c>
      <c r="F237" s="177">
        <f>E237*VLOOKUP(B237,'Pre-Calculation'!$H$1:$I$31,2,FALSE)</f>
        <v>0</v>
      </c>
      <c r="G237" s="177">
        <f>IF(B237&lt;PT+1,VLOOKUP(B237,'Pre-Calculation'!$H$1:$L$32,3,FALSE)+VLOOKUP(B237,'Pre-Calculation'!$H$1:$L$32,4,FALSE)*'Pre-Calculation'!$D$7,0)</f>
        <v>0</v>
      </c>
      <c r="H237" s="175">
        <f>(E237-(F237+G237)*(1+Tax)+N236)</f>
        <v>3358752.642</v>
      </c>
      <c r="I237" s="175">
        <f>IF(B237&lt;PT+1,VLOOKUP(D237,'Pre-Calculation'!$N$3:$P$79,IF(INPUT!$C$4="M",2,3),FALSE)*(J237/1000)*(1/12),0)</f>
        <v>0</v>
      </c>
      <c r="J237" s="175">
        <f t="shared" si="3"/>
        <v>0</v>
      </c>
      <c r="K237" s="175">
        <f>(IF('Pre-Calculation'!$D$17="Type 4 a",MAX(SA,H237,1.05*Q237),IF('Pre-Calculation'!$D$17="Type 4 c",H237,IF('Pre-Calculation'!$D$17="Type 4 d",SA+H237,IF('Pre-Calculation'!$D$17="Type 4 e",MAX(SA,H237),IF('Pre-Calculation'!$D$17="Type 4 f",SA,IF('Pre-Calculation'!$D$17="Type 4 g",1000+H237,IF('Pre-Calculation'!$D$17="Type 4 h",SA+X237,IF('Pre-Calculation'!$D$17="Type 4 i",MAX(H237,Q237),IF('Pre-Calculation'!$D$17="Type 4 k",MAX(H237,1.01*Q237),IF('Pre-Calculation'!$D$17="Type 4 m",MAX(105%*Q237,SA+H237),IF('Pre-Calculation'!$D$17="Type 4 o",MAX(SA,105%*Q237)+X237+Z237,IF('Pre-Calculation'!$D$17="Type 5",0)))))))))))))*IF(AND(A237&lt;Revival!$C$4,'Cashflows_8%'!C237&gt;=Revival!$D$12),PUP,1)</f>
        <v>3358752.642</v>
      </c>
      <c r="L237" s="175">
        <f>H237-I237*(1+Tax)</f>
        <v>3358752.642</v>
      </c>
      <c r="M237" s="175">
        <f>L237*(1+GROWTH_RATE_H)*(1-FMC*(1+Tax))</f>
        <v>3375877.966</v>
      </c>
      <c r="N237" s="175">
        <f>M237+IF(MOD(A237,B237)=0,VLOOKUP(B237,'Pre-Calculation'!$H$1:$L$31,5,FALSE),0)*IF('Pre-Calculation'!$D$16="% OF FV",M237,IF(OR('Pre-Calculation'!$D$16="% OF AFV(24M)",'Pre-Calculation'!$D$16="% OF AFV(8Q)"),AVERAGE( $M214:$M237),IF('Pre-Calculation'!$D$16="% OF AFV(12M)",AVERAGE($M226:M237),IF('Pre-Calculation'!$D$16="% OF AFV(36M)",AVERAGE($M202:M237)))))</f>
        <v>3375877.966</v>
      </c>
      <c r="O237" s="175">
        <f t="shared" si="4"/>
        <v>3375877.966</v>
      </c>
      <c r="P237" s="175">
        <f>IF('Pre-Calculation'!$D$17="Type 4 a",MAX(SA,N237,1.05*Q237),IF('Pre-Calculation'!$D$17="Type 4 c",N237,IF('Pre-Calculation'!$D$17="Type 4 d",SA+N237,IF('Pre-Calculation'!$D$17="Type 4 e",MAX(SA,N237),IF('Pre-Calculation'!$D$17="Type 4 f",SA,IF('Pre-Calculation'!$D$17="Type 4 g",1000+N237,IF('Pre-Calculation'!$D$17="Type 4 h",SA+X237,IF('Pre-Calculation'!$D$17="Type 4 i",MAX(N237,Q237),IF('Pre-Calculation'!$D$17="Type 4 k",MAX(N237,1.01*Q237),IF('Pre-Calculation'!$D$17="Type 4 m",MAX(105%*Q237,SA+N237),IF('Pre-Calculation'!$D$17="Type 4 o",MAX(SA,105%*Q237)+X237+Z237,IF('Pre-Calculation'!$D$17="Type 5",0))))))))))))</f>
        <v>3375877.966</v>
      </c>
      <c r="Q237" s="175">
        <f t="shared" si="5"/>
        <v>1000000</v>
      </c>
      <c r="R237" s="119">
        <f>L237*(1+GROWTH_RATE)*FMC</f>
        <v>3800.840244</v>
      </c>
      <c r="S237" s="178">
        <f>S236*(1+'Pre-Calculation'!$E$27)</f>
        <v>1260419.432</v>
      </c>
      <c r="T237" s="175">
        <f>-E237+IF(A236=INPUT!$C$11*12,N237,0)</f>
        <v>0</v>
      </c>
      <c r="U237" s="175">
        <f t="shared" si="6"/>
        <v>3270296.766</v>
      </c>
      <c r="V237" s="175">
        <f>U237*(1+GROWTH_RATE_H)*(1-'Pre-Calculation'!$E$31)</f>
        <v>3285856.81</v>
      </c>
      <c r="W237" s="175">
        <f>-E237+IF(A236=INPUT!$C$11*12,V237,0)</f>
        <v>0</v>
      </c>
      <c r="X237" s="179">
        <f t="array" ref="X237">NPV('Pre-Calculation'!$E$20,$E238:E$246)</f>
        <v>0</v>
      </c>
      <c r="Y237" s="171">
        <f>10%*SA</f>
        <v>100000</v>
      </c>
      <c r="Z237" s="179">
        <f t="array" ref="Z237">NPV('Pre-Calculation'!$E$20,Y238:Y247)</f>
        <v>969592.8037</v>
      </c>
    </row>
    <row r="238" ht="15.75" customHeight="1">
      <c r="A238" s="171">
        <f t="shared" si="1"/>
        <v>292</v>
      </c>
      <c r="B238" s="171">
        <f t="shared" si="2"/>
        <v>25</v>
      </c>
      <c r="C238" s="176">
        <f>EDATE(RCD,A237)</f>
        <v>51409</v>
      </c>
      <c r="D238" s="171">
        <f>Age_At_Entry+'Cashflows_8%'!B238-1</f>
        <v>59</v>
      </c>
      <c r="E238" s="175">
        <f>IF(AND(C238&lt;=Last_Prem,MOD(A237,Mode)=0,C238&gt;INPUT!$C$13,A238&lt;=Revival!$C$11),Mod_Prem,0)</f>
        <v>0</v>
      </c>
      <c r="F238" s="177">
        <f>E238*VLOOKUP(B238,'Pre-Calculation'!$H$1:$I$31,2,FALSE)</f>
        <v>0</v>
      </c>
      <c r="G238" s="177">
        <f>IF(B238&lt;PT+1,VLOOKUP(B238,'Pre-Calculation'!$H$1:$L$32,3,FALSE)+VLOOKUP(B238,'Pre-Calculation'!$H$1:$L$32,4,FALSE)*'Pre-Calculation'!$D$7,0)</f>
        <v>0</v>
      </c>
      <c r="H238" s="175">
        <f>(E238-(F238+G238)*(1+Tax)+N237)</f>
        <v>3375877.966</v>
      </c>
      <c r="I238" s="175">
        <f>IF(B238&lt;PT+1,VLOOKUP(D238,'Pre-Calculation'!$N$3:$P$79,IF(INPUT!$C$4="M",2,3),FALSE)*(J238/1000)*(1/12),0)</f>
        <v>0</v>
      </c>
      <c r="J238" s="175">
        <f t="shared" si="3"/>
        <v>0</v>
      </c>
      <c r="K238" s="175">
        <f>(IF('Pre-Calculation'!$D$17="Type 4 a",MAX(SA,H238,1.05*Q238),IF('Pre-Calculation'!$D$17="Type 4 c",H238,IF('Pre-Calculation'!$D$17="Type 4 d",SA+H238,IF('Pre-Calculation'!$D$17="Type 4 e",MAX(SA,H238),IF('Pre-Calculation'!$D$17="Type 4 f",SA,IF('Pre-Calculation'!$D$17="Type 4 g",1000+H238,IF('Pre-Calculation'!$D$17="Type 4 h",SA+X238,IF('Pre-Calculation'!$D$17="Type 4 i",MAX(H238,Q238),IF('Pre-Calculation'!$D$17="Type 4 k",MAX(H238,1.01*Q238),IF('Pre-Calculation'!$D$17="Type 4 m",MAX(105%*Q238,SA+H238),IF('Pre-Calculation'!$D$17="Type 4 o",MAX(SA,105%*Q238)+X238+Z238,IF('Pre-Calculation'!$D$17="Type 5",0)))))))))))))*IF(AND(A238&lt;Revival!$C$4,'Cashflows_8%'!C238&gt;=Revival!$D$12),PUP,1)</f>
        <v>3375877.966</v>
      </c>
      <c r="L238" s="175">
        <f>H238-I238*(1+Tax)</f>
        <v>3375877.966</v>
      </c>
      <c r="M238" s="175">
        <f>L238*(1+GROWTH_RATE_H)*(1-FMC*(1+Tax))</f>
        <v>3393090.607</v>
      </c>
      <c r="N238" s="175">
        <f>M238+IF(MOD(A238,B238)=0,VLOOKUP(B238,'Pre-Calculation'!$H$1:$L$31,5,FALSE),0)*IF('Pre-Calculation'!$D$16="% OF FV",M238,IF(OR('Pre-Calculation'!$D$16="% OF AFV(24M)",'Pre-Calculation'!$D$16="% OF AFV(8Q)"),AVERAGE( $M215:$M238),IF('Pre-Calculation'!$D$16="% OF AFV(12M)",AVERAGE($M227:M238),IF('Pre-Calculation'!$D$16="% OF AFV(36M)",AVERAGE($M203:M238)))))</f>
        <v>3393090.607</v>
      </c>
      <c r="O238" s="175">
        <f t="shared" si="4"/>
        <v>3393090.607</v>
      </c>
      <c r="P238" s="175">
        <f>IF('Pre-Calculation'!$D$17="Type 4 a",MAX(SA,N238,1.05*Q238),IF('Pre-Calculation'!$D$17="Type 4 c",N238,IF('Pre-Calculation'!$D$17="Type 4 d",SA+N238,IF('Pre-Calculation'!$D$17="Type 4 e",MAX(SA,N238),IF('Pre-Calculation'!$D$17="Type 4 f",SA,IF('Pre-Calculation'!$D$17="Type 4 g",1000+N238,IF('Pre-Calculation'!$D$17="Type 4 h",SA+X238,IF('Pre-Calculation'!$D$17="Type 4 i",MAX(N238,Q238),IF('Pre-Calculation'!$D$17="Type 4 k",MAX(N238,1.01*Q238),IF('Pre-Calculation'!$D$17="Type 4 m",MAX(105%*Q238,SA+N238),IF('Pre-Calculation'!$D$17="Type 4 o",MAX(SA,105%*Q238)+X238+Z238,IF('Pre-Calculation'!$D$17="Type 5",0))))))))))))</f>
        <v>3393090.607</v>
      </c>
      <c r="Q238" s="175">
        <f t="shared" si="5"/>
        <v>1000000</v>
      </c>
      <c r="R238" s="119">
        <f>L238*(1+GROWTH_RATE)*FMC</f>
        <v>3820.219647</v>
      </c>
      <c r="S238" s="178">
        <f>S237*(1+'Pre-Calculation'!$E$27)</f>
        <v>1264037.969</v>
      </c>
      <c r="T238" s="175">
        <f>-E238+IF(A237=INPUT!$C$11*12,N238,0)</f>
        <v>0</v>
      </c>
      <c r="U238" s="175">
        <f t="shared" si="6"/>
        <v>3285856.81</v>
      </c>
      <c r="V238" s="175">
        <f>U238*(1+GROWTH_RATE_H)*(1-'Pre-Calculation'!$E$31)</f>
        <v>3301490.888</v>
      </c>
      <c r="W238" s="175">
        <f>-E238+IF(A237=INPUT!$C$11*12,V238,0)</f>
        <v>0</v>
      </c>
      <c r="X238" s="179">
        <f t="array" ref="X238">NPV('Pre-Calculation'!$E$20,$E239:E$246)</f>
        <v>0</v>
      </c>
      <c r="Y238" s="171">
        <f>10%*SA</f>
        <v>100000</v>
      </c>
      <c r="Z238" s="179">
        <f t="array" ref="Z238">NPV('Pre-Calculation'!$E$20,Y239:Y248)</f>
        <v>969592.8037</v>
      </c>
    </row>
    <row r="239" ht="15.75" customHeight="1">
      <c r="A239" s="171">
        <f t="shared" si="1"/>
        <v>293</v>
      </c>
      <c r="B239" s="171">
        <f t="shared" si="2"/>
        <v>25</v>
      </c>
      <c r="C239" s="176">
        <f>EDATE(RCD,A238)</f>
        <v>51439</v>
      </c>
      <c r="D239" s="171">
        <f>Age_At_Entry+'Cashflows_8%'!B239-1</f>
        <v>59</v>
      </c>
      <c r="E239" s="175">
        <f>IF(AND(C239&lt;=Last_Prem,MOD(A238,Mode)=0,C239&gt;INPUT!$C$13,A239&lt;=Revival!$C$11),Mod_Prem,0)</f>
        <v>0</v>
      </c>
      <c r="F239" s="177">
        <f>E239*VLOOKUP(B239,'Pre-Calculation'!$H$1:$I$31,2,FALSE)</f>
        <v>0</v>
      </c>
      <c r="G239" s="177">
        <f>IF(B239&lt;PT+1,VLOOKUP(B239,'Pre-Calculation'!$H$1:$L$32,3,FALSE)+VLOOKUP(B239,'Pre-Calculation'!$H$1:$L$32,4,FALSE)*'Pre-Calculation'!$D$7,0)</f>
        <v>0</v>
      </c>
      <c r="H239" s="175">
        <f>(E239-(F239+G239)*(1+Tax)+N238)</f>
        <v>3393090.607</v>
      </c>
      <c r="I239" s="175">
        <f>IF(B239&lt;PT+1,VLOOKUP(D239,'Pre-Calculation'!$N$3:$P$79,IF(INPUT!$C$4="M",2,3),FALSE)*(J239/1000)*(1/12),0)</f>
        <v>0</v>
      </c>
      <c r="J239" s="175">
        <f t="shared" si="3"/>
        <v>0</v>
      </c>
      <c r="K239" s="175">
        <f>(IF('Pre-Calculation'!$D$17="Type 4 a",MAX(SA,H239,1.05*Q239),IF('Pre-Calculation'!$D$17="Type 4 c",H239,IF('Pre-Calculation'!$D$17="Type 4 d",SA+H239,IF('Pre-Calculation'!$D$17="Type 4 e",MAX(SA,H239),IF('Pre-Calculation'!$D$17="Type 4 f",SA,IF('Pre-Calculation'!$D$17="Type 4 g",1000+H239,IF('Pre-Calculation'!$D$17="Type 4 h",SA+X239,IF('Pre-Calculation'!$D$17="Type 4 i",MAX(H239,Q239),IF('Pre-Calculation'!$D$17="Type 4 k",MAX(H239,1.01*Q239),IF('Pre-Calculation'!$D$17="Type 4 m",MAX(105%*Q239,SA+H239),IF('Pre-Calculation'!$D$17="Type 4 o",MAX(SA,105%*Q239)+X239+Z239,IF('Pre-Calculation'!$D$17="Type 5",0)))))))))))))*IF(AND(A239&lt;Revival!$C$4,'Cashflows_8%'!C239&gt;=Revival!$D$12),PUP,1)</f>
        <v>3393090.607</v>
      </c>
      <c r="L239" s="175">
        <f>H239-I239*(1+Tax)</f>
        <v>3393090.607</v>
      </c>
      <c r="M239" s="175">
        <f>L239*(1+GROWTH_RATE_H)*(1-FMC*(1+Tax))</f>
        <v>3410391.011</v>
      </c>
      <c r="N239" s="175">
        <f>M239+IF(MOD(A239,B239)=0,VLOOKUP(B239,'Pre-Calculation'!$H$1:$L$31,5,FALSE),0)*IF('Pre-Calculation'!$D$16="% OF FV",M239,IF(OR('Pre-Calculation'!$D$16="% OF AFV(24M)",'Pre-Calculation'!$D$16="% OF AFV(8Q)"),AVERAGE( $M216:$M239),IF('Pre-Calculation'!$D$16="% OF AFV(12M)",AVERAGE($M228:M239),IF('Pre-Calculation'!$D$16="% OF AFV(36M)",AVERAGE($M204:M239)))))</f>
        <v>3410391.011</v>
      </c>
      <c r="O239" s="175">
        <f t="shared" si="4"/>
        <v>3410391.011</v>
      </c>
      <c r="P239" s="175">
        <f>IF('Pre-Calculation'!$D$17="Type 4 a",MAX(SA,N239,1.05*Q239),IF('Pre-Calculation'!$D$17="Type 4 c",N239,IF('Pre-Calculation'!$D$17="Type 4 d",SA+N239,IF('Pre-Calculation'!$D$17="Type 4 e",MAX(SA,N239),IF('Pre-Calculation'!$D$17="Type 4 f",SA,IF('Pre-Calculation'!$D$17="Type 4 g",1000+N239,IF('Pre-Calculation'!$D$17="Type 4 h",SA+X239,IF('Pre-Calculation'!$D$17="Type 4 i",MAX(N239,Q239),IF('Pre-Calculation'!$D$17="Type 4 k",MAX(N239,1.01*Q239),IF('Pre-Calculation'!$D$17="Type 4 m",MAX(105%*Q239,SA+N239),IF('Pre-Calculation'!$D$17="Type 4 o",MAX(SA,105%*Q239)+X239+Z239,IF('Pre-Calculation'!$D$17="Type 5",0))))))))))))</f>
        <v>3410391.011</v>
      </c>
      <c r="Q239" s="175">
        <f t="shared" si="5"/>
        <v>1000000</v>
      </c>
      <c r="R239" s="119">
        <f>L239*(1+GROWTH_RATE)*FMC</f>
        <v>3839.69786</v>
      </c>
      <c r="S239" s="178">
        <f>S238*(1+'Pre-Calculation'!$E$27)</f>
        <v>1267666.894</v>
      </c>
      <c r="T239" s="175">
        <f>-E239+IF(A238=INPUT!$C$11*12,N239,0)</f>
        <v>0</v>
      </c>
      <c r="U239" s="175">
        <f t="shared" si="6"/>
        <v>3301490.888</v>
      </c>
      <c r="V239" s="175">
        <f>U239*(1+GROWTH_RATE_H)*(1-'Pre-Calculation'!$E$31)</f>
        <v>3317199.352</v>
      </c>
      <c r="W239" s="175">
        <f>-E239+IF(A238=INPUT!$C$11*12,V239,0)</f>
        <v>0</v>
      </c>
      <c r="X239" s="179">
        <f t="array" ref="X239">NPV('Pre-Calculation'!$E$20,$E240:E$246)</f>
        <v>0</v>
      </c>
      <c r="Y239" s="171">
        <f>10%*SA</f>
        <v>100000</v>
      </c>
      <c r="Z239" s="179">
        <f t="array" ref="Z239">NPV('Pre-Calculation'!$E$20,Y240:Y249)</f>
        <v>969592.8037</v>
      </c>
    </row>
    <row r="240" ht="15.75" customHeight="1">
      <c r="A240" s="171">
        <f t="shared" si="1"/>
        <v>294</v>
      </c>
      <c r="B240" s="171">
        <f t="shared" si="2"/>
        <v>25</v>
      </c>
      <c r="C240" s="176">
        <f>EDATE(RCD,A239)</f>
        <v>51470</v>
      </c>
      <c r="D240" s="171">
        <f>Age_At_Entry+'Cashflows_8%'!B240-1</f>
        <v>59</v>
      </c>
      <c r="E240" s="175">
        <f>IF(AND(C240&lt;=Last_Prem,MOD(A239,Mode)=0,C240&gt;INPUT!$C$13,A240&lt;=Revival!$C$11),Mod_Prem,0)</f>
        <v>0</v>
      </c>
      <c r="F240" s="177">
        <f>E240*VLOOKUP(B240,'Pre-Calculation'!$H$1:$I$31,2,FALSE)</f>
        <v>0</v>
      </c>
      <c r="G240" s="177">
        <f>IF(B240&lt;PT+1,VLOOKUP(B240,'Pre-Calculation'!$H$1:$L$32,3,FALSE)+VLOOKUP(B240,'Pre-Calculation'!$H$1:$L$32,4,FALSE)*'Pre-Calculation'!$D$7,0)</f>
        <v>0</v>
      </c>
      <c r="H240" s="175">
        <f>(E240-(F240+G240)*(1+Tax)+N239)</f>
        <v>3410391.011</v>
      </c>
      <c r="I240" s="175">
        <f>IF(B240&lt;PT+1,VLOOKUP(D240,'Pre-Calculation'!$N$3:$P$79,IF(INPUT!$C$4="M",2,3),FALSE)*(J240/1000)*(1/12),0)</f>
        <v>0</v>
      </c>
      <c r="J240" s="175">
        <f t="shared" si="3"/>
        <v>0</v>
      </c>
      <c r="K240" s="175">
        <f>(IF('Pre-Calculation'!$D$17="Type 4 a",MAX(SA,H240,1.05*Q240),IF('Pre-Calculation'!$D$17="Type 4 c",H240,IF('Pre-Calculation'!$D$17="Type 4 d",SA+H240,IF('Pre-Calculation'!$D$17="Type 4 e",MAX(SA,H240),IF('Pre-Calculation'!$D$17="Type 4 f",SA,IF('Pre-Calculation'!$D$17="Type 4 g",1000+H240,IF('Pre-Calculation'!$D$17="Type 4 h",SA+X240,IF('Pre-Calculation'!$D$17="Type 4 i",MAX(H240,Q240),IF('Pre-Calculation'!$D$17="Type 4 k",MAX(H240,1.01*Q240),IF('Pre-Calculation'!$D$17="Type 4 m",MAX(105%*Q240,SA+H240),IF('Pre-Calculation'!$D$17="Type 4 o",MAX(SA,105%*Q240)+X240+Z240,IF('Pre-Calculation'!$D$17="Type 5",0)))))))))))))*IF(AND(A240&lt;Revival!$C$4,'Cashflows_8%'!C240&gt;=Revival!$D$12),PUP,1)</f>
        <v>3410391.011</v>
      </c>
      <c r="L240" s="175">
        <f>H240-I240*(1+Tax)</f>
        <v>3410391.011</v>
      </c>
      <c r="M240" s="175">
        <f>L240*(1+GROWTH_RATE_H)*(1-FMC*(1+Tax))</f>
        <v>3427779.625</v>
      </c>
      <c r="N240" s="175">
        <f>M240+IF(MOD(A240,B240)=0,VLOOKUP(B240,'Pre-Calculation'!$H$1:$L$31,5,FALSE),0)*IF('Pre-Calculation'!$D$16="% OF FV",M240,IF(OR('Pre-Calculation'!$D$16="% OF AFV(24M)",'Pre-Calculation'!$D$16="% OF AFV(8Q)"),AVERAGE( $M217:$M240),IF('Pre-Calculation'!$D$16="% OF AFV(12M)",AVERAGE($M229:M240),IF('Pre-Calculation'!$D$16="% OF AFV(36M)",AVERAGE($M205:M240)))))</f>
        <v>3427779.625</v>
      </c>
      <c r="O240" s="175">
        <f t="shared" si="4"/>
        <v>3427779.625</v>
      </c>
      <c r="P240" s="175">
        <f>IF('Pre-Calculation'!$D$17="Type 4 a",MAX(SA,N240,1.05*Q240),IF('Pre-Calculation'!$D$17="Type 4 c",N240,IF('Pre-Calculation'!$D$17="Type 4 d",SA+N240,IF('Pre-Calculation'!$D$17="Type 4 e",MAX(SA,N240),IF('Pre-Calculation'!$D$17="Type 4 f",SA,IF('Pre-Calculation'!$D$17="Type 4 g",1000+N240,IF('Pre-Calculation'!$D$17="Type 4 h",SA+X240,IF('Pre-Calculation'!$D$17="Type 4 i",MAX(N240,Q240),IF('Pre-Calculation'!$D$17="Type 4 k",MAX(N240,1.01*Q240),IF('Pre-Calculation'!$D$17="Type 4 m",MAX(105%*Q240,SA+N240),IF('Pre-Calculation'!$D$17="Type 4 o",MAX(SA,105%*Q240)+X240+Z240,IF('Pre-Calculation'!$D$17="Type 5",0))))))))))))</f>
        <v>3427779.625</v>
      </c>
      <c r="Q240" s="175">
        <f t="shared" si="5"/>
        <v>1000000</v>
      </c>
      <c r="R240" s="119">
        <f>L240*(1+GROWTH_RATE)*FMC</f>
        <v>3859.275387</v>
      </c>
      <c r="S240" s="178">
        <f>S239*(1+'Pre-Calculation'!$E$27)</f>
        <v>1271306.237</v>
      </c>
      <c r="T240" s="175">
        <f>-E240+IF(A239=INPUT!$C$11*12,N240,0)</f>
        <v>0</v>
      </c>
      <c r="U240" s="175">
        <f t="shared" si="6"/>
        <v>3317199.352</v>
      </c>
      <c r="V240" s="175">
        <f>U240*(1+GROWTH_RATE_H)*(1-'Pre-Calculation'!$E$31)</f>
        <v>3332982.558</v>
      </c>
      <c r="W240" s="175">
        <f>-E240+IF(A239=INPUT!$C$11*12,V240,0)</f>
        <v>0</v>
      </c>
      <c r="X240" s="179">
        <f t="array" ref="X240">NPV('Pre-Calculation'!$E$20,$E241:E$246)</f>
        <v>0</v>
      </c>
      <c r="Y240" s="171">
        <f>10%*SA</f>
        <v>100000</v>
      </c>
      <c r="Z240" s="179">
        <f t="array" ref="Z240">NPV('Pre-Calculation'!$E$20,Y241:Y250)</f>
        <v>969592.8037</v>
      </c>
    </row>
    <row r="241" ht="15.75" customHeight="1">
      <c r="A241" s="171">
        <f t="shared" si="1"/>
        <v>295</v>
      </c>
      <c r="B241" s="171">
        <f t="shared" si="2"/>
        <v>25</v>
      </c>
      <c r="C241" s="176">
        <f>EDATE(RCD,A240)</f>
        <v>51500</v>
      </c>
      <c r="D241" s="171">
        <f>Age_At_Entry+'Cashflows_8%'!B241-1</f>
        <v>59</v>
      </c>
      <c r="E241" s="175">
        <f>IF(AND(C241&lt;=Last_Prem,MOD(A240,Mode)=0,C241&gt;INPUT!$C$13,A241&lt;=Revival!$C$11),Mod_Prem,0)</f>
        <v>0</v>
      </c>
      <c r="F241" s="177">
        <f>E241*VLOOKUP(B241,'Pre-Calculation'!$H$1:$I$31,2,FALSE)</f>
        <v>0</v>
      </c>
      <c r="G241" s="177">
        <f>IF(B241&lt;PT+1,VLOOKUP(B241,'Pre-Calculation'!$H$1:$L$32,3,FALSE)+VLOOKUP(B241,'Pre-Calculation'!$H$1:$L$32,4,FALSE)*'Pre-Calculation'!$D$7,0)</f>
        <v>0</v>
      </c>
      <c r="H241" s="175">
        <f>(E241-(F241+G241)*(1+Tax)+N240)</f>
        <v>3427779.625</v>
      </c>
      <c r="I241" s="175">
        <f>IF(B241&lt;PT+1,VLOOKUP(D241,'Pre-Calculation'!$N$3:$P$79,IF(INPUT!$C$4="M",2,3),FALSE)*(J241/1000)*(1/12),0)</f>
        <v>0</v>
      </c>
      <c r="J241" s="175">
        <f t="shared" si="3"/>
        <v>0</v>
      </c>
      <c r="K241" s="175">
        <f>(IF('Pre-Calculation'!$D$17="Type 4 a",MAX(SA,H241,1.05*Q241),IF('Pre-Calculation'!$D$17="Type 4 c",H241,IF('Pre-Calculation'!$D$17="Type 4 d",SA+H241,IF('Pre-Calculation'!$D$17="Type 4 e",MAX(SA,H241),IF('Pre-Calculation'!$D$17="Type 4 f",SA,IF('Pre-Calculation'!$D$17="Type 4 g",1000+H241,IF('Pre-Calculation'!$D$17="Type 4 h",SA+X241,IF('Pre-Calculation'!$D$17="Type 4 i",MAX(H241,Q241),IF('Pre-Calculation'!$D$17="Type 4 k",MAX(H241,1.01*Q241),IF('Pre-Calculation'!$D$17="Type 4 m",MAX(105%*Q241,SA+H241),IF('Pre-Calculation'!$D$17="Type 4 o",MAX(SA,105%*Q241)+X241+Z241,IF('Pre-Calculation'!$D$17="Type 5",0)))))))))))))*IF(AND(A241&lt;Revival!$C$4,'Cashflows_8%'!C241&gt;=Revival!$D$12),PUP,1)</f>
        <v>3427779.625</v>
      </c>
      <c r="L241" s="175">
        <f>H241-I241*(1+Tax)</f>
        <v>3427779.625</v>
      </c>
      <c r="M241" s="175">
        <f>L241*(1+GROWTH_RATE_H)*(1-FMC*(1+Tax))</f>
        <v>3445256.898</v>
      </c>
      <c r="N241" s="175">
        <f>M241+IF(MOD(A241,B241)=0,VLOOKUP(B241,'Pre-Calculation'!$H$1:$L$31,5,FALSE),0)*IF('Pre-Calculation'!$D$16="% OF FV",M241,IF(OR('Pre-Calculation'!$D$16="% OF AFV(24M)",'Pre-Calculation'!$D$16="% OF AFV(8Q)"),AVERAGE( $M218:$M241),IF('Pre-Calculation'!$D$16="% OF AFV(12M)",AVERAGE($M230:M241),IF('Pre-Calculation'!$D$16="% OF AFV(36M)",AVERAGE($M206:M241)))))</f>
        <v>3445256.898</v>
      </c>
      <c r="O241" s="175">
        <f t="shared" si="4"/>
        <v>3445256.898</v>
      </c>
      <c r="P241" s="175">
        <f>IF('Pre-Calculation'!$D$17="Type 4 a",MAX(SA,N241,1.05*Q241),IF('Pre-Calculation'!$D$17="Type 4 c",N241,IF('Pre-Calculation'!$D$17="Type 4 d",SA+N241,IF('Pre-Calculation'!$D$17="Type 4 e",MAX(SA,N241),IF('Pre-Calculation'!$D$17="Type 4 f",SA,IF('Pre-Calculation'!$D$17="Type 4 g",1000+N241,IF('Pre-Calculation'!$D$17="Type 4 h",SA+X241,IF('Pre-Calculation'!$D$17="Type 4 i",MAX(N241,Q241),IF('Pre-Calculation'!$D$17="Type 4 k",MAX(N241,1.01*Q241),IF('Pre-Calculation'!$D$17="Type 4 m",MAX(105%*Q241,SA+N241),IF('Pre-Calculation'!$D$17="Type 4 o",MAX(SA,105%*Q241)+X241+Z241,IF('Pre-Calculation'!$D$17="Type 5",0))))))))))))</f>
        <v>3445256.898</v>
      </c>
      <c r="Q241" s="175">
        <f t="shared" si="5"/>
        <v>1000000</v>
      </c>
      <c r="R241" s="119">
        <f>L241*(1+GROWTH_RATE)*FMC</f>
        <v>3878.952734</v>
      </c>
      <c r="S241" s="178">
        <f>S240*(1+'Pre-Calculation'!$E$27)</f>
        <v>1274956.028</v>
      </c>
      <c r="T241" s="175">
        <f>-E241+IF(A240=INPUT!$C$11*12,N241,0)</f>
        <v>0</v>
      </c>
      <c r="U241" s="175">
        <f t="shared" si="6"/>
        <v>3332982.558</v>
      </c>
      <c r="V241" s="175">
        <f>U241*(1+GROWTH_RATE_H)*(1-'Pre-Calculation'!$E$31)</f>
        <v>3348840.859</v>
      </c>
      <c r="W241" s="175">
        <f>-E241+IF(A240=INPUT!$C$11*12,V241,0)</f>
        <v>0</v>
      </c>
      <c r="X241" s="179">
        <f t="array" ref="X241">NPV('Pre-Calculation'!$E$20,$E242:E$246)</f>
        <v>0</v>
      </c>
      <c r="Y241" s="171">
        <f>10%*SA</f>
        <v>100000</v>
      </c>
      <c r="Z241" s="179">
        <f t="array" ref="Z241">NPV('Pre-Calculation'!$E$20,Y242:Y251)</f>
        <v>969592.8037</v>
      </c>
    </row>
    <row r="242" ht="15.75" customHeight="1">
      <c r="A242" s="171">
        <f t="shared" si="1"/>
        <v>296</v>
      </c>
      <c r="B242" s="171">
        <f t="shared" si="2"/>
        <v>25</v>
      </c>
      <c r="C242" s="176">
        <f>EDATE(RCD,A241)</f>
        <v>51531</v>
      </c>
      <c r="D242" s="171">
        <f>Age_At_Entry+'Cashflows_8%'!B242-1</f>
        <v>59</v>
      </c>
      <c r="E242" s="175">
        <f>IF(AND(C242&lt;=Last_Prem,MOD(A241,Mode)=0,C242&gt;INPUT!$C$13,A242&lt;=Revival!$C$11),Mod_Prem,0)</f>
        <v>0</v>
      </c>
      <c r="F242" s="177">
        <f>E242*VLOOKUP(B242,'Pre-Calculation'!$H$1:$I$31,2,FALSE)</f>
        <v>0</v>
      </c>
      <c r="G242" s="177">
        <f>IF(B242&lt;PT+1,VLOOKUP(B242,'Pre-Calculation'!$H$1:$L$32,3,FALSE)+VLOOKUP(B242,'Pre-Calculation'!$H$1:$L$32,4,FALSE)*'Pre-Calculation'!$D$7,0)</f>
        <v>0</v>
      </c>
      <c r="H242" s="175">
        <f>(E242-(F242+G242)*(1+Tax)+N241)</f>
        <v>3445256.898</v>
      </c>
      <c r="I242" s="175">
        <f>IF(B242&lt;PT+1,VLOOKUP(D242,'Pre-Calculation'!$N$3:$P$79,IF(INPUT!$C$4="M",2,3),FALSE)*(J242/1000)*(1/12),0)</f>
        <v>0</v>
      </c>
      <c r="J242" s="175">
        <f t="shared" si="3"/>
        <v>0</v>
      </c>
      <c r="K242" s="175">
        <f>(IF('Pre-Calculation'!$D$17="Type 4 a",MAX(SA,H242,1.05*Q242),IF('Pre-Calculation'!$D$17="Type 4 c",H242,IF('Pre-Calculation'!$D$17="Type 4 d",SA+H242,IF('Pre-Calculation'!$D$17="Type 4 e",MAX(SA,H242),IF('Pre-Calculation'!$D$17="Type 4 f",SA,IF('Pre-Calculation'!$D$17="Type 4 g",1000+H242,IF('Pre-Calculation'!$D$17="Type 4 h",SA+X242,IF('Pre-Calculation'!$D$17="Type 4 i",MAX(H242,Q242),IF('Pre-Calculation'!$D$17="Type 4 k",MAX(H242,1.01*Q242),IF('Pre-Calculation'!$D$17="Type 4 m",MAX(105%*Q242,SA+H242),IF('Pre-Calculation'!$D$17="Type 4 o",MAX(SA,105%*Q242)+X242+Z242,IF('Pre-Calculation'!$D$17="Type 5",0)))))))))))))*IF(AND(A242&lt;Revival!$C$4,'Cashflows_8%'!C242&gt;=Revival!$D$12),PUP,1)</f>
        <v>3445256.898</v>
      </c>
      <c r="L242" s="175">
        <f>H242-I242*(1+Tax)</f>
        <v>3445256.898</v>
      </c>
      <c r="M242" s="175">
        <f>L242*(1+GROWTH_RATE_H)*(1-FMC*(1+Tax))</f>
        <v>3462823.282</v>
      </c>
      <c r="N242" s="175">
        <f>M242+IF(MOD(A242,B242)=0,VLOOKUP(B242,'Pre-Calculation'!$H$1:$L$31,5,FALSE),0)*IF('Pre-Calculation'!$D$16="% OF FV",M242,IF(OR('Pre-Calculation'!$D$16="% OF AFV(24M)",'Pre-Calculation'!$D$16="% OF AFV(8Q)"),AVERAGE( $M219:$M242),IF('Pre-Calculation'!$D$16="% OF AFV(12M)",AVERAGE($M231:M242),IF('Pre-Calculation'!$D$16="% OF AFV(36M)",AVERAGE($M207:M242)))))</f>
        <v>3462823.282</v>
      </c>
      <c r="O242" s="175">
        <f t="shared" si="4"/>
        <v>3462823.282</v>
      </c>
      <c r="P242" s="175">
        <f>IF('Pre-Calculation'!$D$17="Type 4 a",MAX(SA,N242,1.05*Q242),IF('Pre-Calculation'!$D$17="Type 4 c",N242,IF('Pre-Calculation'!$D$17="Type 4 d",SA+N242,IF('Pre-Calculation'!$D$17="Type 4 e",MAX(SA,N242),IF('Pre-Calculation'!$D$17="Type 4 f",SA,IF('Pre-Calculation'!$D$17="Type 4 g",1000+N242,IF('Pre-Calculation'!$D$17="Type 4 h",SA+X242,IF('Pre-Calculation'!$D$17="Type 4 i",MAX(N242,Q242),IF('Pre-Calculation'!$D$17="Type 4 k",MAX(N242,1.01*Q242),IF('Pre-Calculation'!$D$17="Type 4 m",MAX(105%*Q242,SA+N242),IF('Pre-Calculation'!$D$17="Type 4 o",MAX(SA,105%*Q242)+X242+Z242,IF('Pre-Calculation'!$D$17="Type 5",0))))))))))))</f>
        <v>3462823.282</v>
      </c>
      <c r="Q242" s="175">
        <f t="shared" si="5"/>
        <v>1000000</v>
      </c>
      <c r="R242" s="119">
        <f>L242*(1+GROWTH_RATE)*FMC</f>
        <v>3898.730411</v>
      </c>
      <c r="S242" s="178">
        <f>S241*(1+'Pre-Calculation'!$E$27)</f>
        <v>1278616.298</v>
      </c>
      <c r="T242" s="175">
        <f>-E242+IF(A241=INPUT!$C$11*12,N242,0)</f>
        <v>0</v>
      </c>
      <c r="U242" s="175">
        <f t="shared" si="6"/>
        <v>3348840.859</v>
      </c>
      <c r="V242" s="175">
        <f>U242*(1+GROWTH_RATE_H)*(1-'Pre-Calculation'!$E$31)</f>
        <v>3364774.615</v>
      </c>
      <c r="W242" s="175">
        <f>-E242+IF(A241=INPUT!$C$11*12,V242,0)</f>
        <v>0</v>
      </c>
      <c r="X242" s="179">
        <f t="array" ref="X242">NPV('Pre-Calculation'!$E$20,$E243:E$246)</f>
        <v>0</v>
      </c>
      <c r="Y242" s="171">
        <f>10%*SA</f>
        <v>100000</v>
      </c>
      <c r="Z242" s="179">
        <f t="array" ref="Z242">NPV('Pre-Calculation'!$E$20,Y243:Y252)</f>
        <v>969592.8037</v>
      </c>
    </row>
    <row r="243" ht="15.75" customHeight="1">
      <c r="A243" s="171">
        <f t="shared" si="1"/>
        <v>297</v>
      </c>
      <c r="B243" s="171">
        <f t="shared" si="2"/>
        <v>25</v>
      </c>
      <c r="C243" s="176">
        <f>EDATE(RCD,A242)</f>
        <v>51560</v>
      </c>
      <c r="D243" s="171">
        <f>Age_At_Entry+'Cashflows_8%'!B243-1</f>
        <v>59</v>
      </c>
      <c r="E243" s="175">
        <f>IF(AND(C243&lt;=Last_Prem,MOD(A242,Mode)=0,C243&gt;INPUT!$C$13,A243&lt;=Revival!$C$11),Mod_Prem,0)</f>
        <v>0</v>
      </c>
      <c r="F243" s="177">
        <f>E243*VLOOKUP(B243,'Pre-Calculation'!$H$1:$I$31,2,FALSE)</f>
        <v>0</v>
      </c>
      <c r="G243" s="177">
        <f>IF(B243&lt;PT+1,VLOOKUP(B243,'Pre-Calculation'!$H$1:$L$32,3,FALSE)+VLOOKUP(B243,'Pre-Calculation'!$H$1:$L$32,4,FALSE)*'Pre-Calculation'!$D$7,0)</f>
        <v>0</v>
      </c>
      <c r="H243" s="175">
        <f>(E243-(F243+G243)*(1+Tax)+N242)</f>
        <v>3462823.282</v>
      </c>
      <c r="I243" s="175">
        <f>IF(B243&lt;PT+1,VLOOKUP(D243,'Pre-Calculation'!$N$3:$P$79,IF(INPUT!$C$4="M",2,3),FALSE)*(J243/1000)*(1/12),0)</f>
        <v>0</v>
      </c>
      <c r="J243" s="175">
        <f t="shared" si="3"/>
        <v>0</v>
      </c>
      <c r="K243" s="175">
        <f>(IF('Pre-Calculation'!$D$17="Type 4 a",MAX(SA,H243,1.05*Q243),IF('Pre-Calculation'!$D$17="Type 4 c",H243,IF('Pre-Calculation'!$D$17="Type 4 d",SA+H243,IF('Pre-Calculation'!$D$17="Type 4 e",MAX(SA,H243),IF('Pre-Calculation'!$D$17="Type 4 f",SA,IF('Pre-Calculation'!$D$17="Type 4 g",1000+H243,IF('Pre-Calculation'!$D$17="Type 4 h",SA+X243,IF('Pre-Calculation'!$D$17="Type 4 i",MAX(H243,Q243),IF('Pre-Calculation'!$D$17="Type 4 k",MAX(H243,1.01*Q243),IF('Pre-Calculation'!$D$17="Type 4 m",MAX(105%*Q243,SA+H243),IF('Pre-Calculation'!$D$17="Type 4 o",MAX(SA,105%*Q243)+X243+Z243,IF('Pre-Calculation'!$D$17="Type 5",0)))))))))))))*IF(AND(A243&lt;Revival!$C$4,'Cashflows_8%'!C243&gt;=Revival!$D$12),PUP,1)</f>
        <v>3462823.282</v>
      </c>
      <c r="L243" s="175">
        <f>H243-I243*(1+Tax)</f>
        <v>3462823.282</v>
      </c>
      <c r="M243" s="175">
        <f>L243*(1+GROWTH_RATE_H)*(1-FMC*(1+Tax))</f>
        <v>3480479.233</v>
      </c>
      <c r="N243" s="175">
        <f>M243+IF(MOD(A243,B243)=0,VLOOKUP(B243,'Pre-Calculation'!$H$1:$L$31,5,FALSE),0)*IF('Pre-Calculation'!$D$16="% OF FV",M243,IF(OR('Pre-Calculation'!$D$16="% OF AFV(24M)",'Pre-Calculation'!$D$16="% OF AFV(8Q)"),AVERAGE( $M220:$M243),IF('Pre-Calculation'!$D$16="% OF AFV(12M)",AVERAGE($M232:M243),IF('Pre-Calculation'!$D$16="% OF AFV(36M)",AVERAGE($M208:M243)))))</f>
        <v>3480479.233</v>
      </c>
      <c r="O243" s="175">
        <f t="shared" si="4"/>
        <v>3480479.233</v>
      </c>
      <c r="P243" s="175">
        <f>IF('Pre-Calculation'!$D$17="Type 4 a",MAX(SA,N243,1.05*Q243),IF('Pre-Calculation'!$D$17="Type 4 c",N243,IF('Pre-Calculation'!$D$17="Type 4 d",SA+N243,IF('Pre-Calculation'!$D$17="Type 4 e",MAX(SA,N243),IF('Pre-Calculation'!$D$17="Type 4 f",SA,IF('Pre-Calculation'!$D$17="Type 4 g",1000+N243,IF('Pre-Calculation'!$D$17="Type 4 h",SA+X243,IF('Pre-Calculation'!$D$17="Type 4 i",MAX(N243,Q243),IF('Pre-Calculation'!$D$17="Type 4 k",MAX(N243,1.01*Q243),IF('Pre-Calculation'!$D$17="Type 4 m",MAX(105%*Q243,SA+N243),IF('Pre-Calculation'!$D$17="Type 4 o",MAX(SA,105%*Q243)+X243+Z243,IF('Pre-Calculation'!$D$17="Type 5",0))))))))))))</f>
        <v>3480479.233</v>
      </c>
      <c r="Q243" s="175">
        <f t="shared" si="5"/>
        <v>1000000</v>
      </c>
      <c r="R243" s="119">
        <f>L243*(1+GROWTH_RATE)*FMC</f>
        <v>3918.608928</v>
      </c>
      <c r="S243" s="178">
        <f>S242*(1+'Pre-Calculation'!$E$27)</f>
        <v>1282287.076</v>
      </c>
      <c r="T243" s="175">
        <f>-E243+IF(A242=INPUT!$C$11*12,N243,0)</f>
        <v>0</v>
      </c>
      <c r="U243" s="175">
        <f t="shared" si="6"/>
        <v>3364774.615</v>
      </c>
      <c r="V243" s="175">
        <f>U243*(1+GROWTH_RATE_H)*(1-'Pre-Calculation'!$E$31)</f>
        <v>3380784.183</v>
      </c>
      <c r="W243" s="175">
        <f>-E243+IF(A242=INPUT!$C$11*12,V243,0)</f>
        <v>0</v>
      </c>
      <c r="X243" s="179">
        <f t="array" ref="X243">NPV('Pre-Calculation'!$E$20,$E244:E$246)</f>
        <v>0</v>
      </c>
      <c r="Y243" s="171">
        <f>10%*SA</f>
        <v>100000</v>
      </c>
      <c r="Z243" s="179">
        <f t="array" ref="Z243">NPV('Pre-Calculation'!$E$20,Y244:Y253)</f>
        <v>969592.8037</v>
      </c>
    </row>
    <row r="244" ht="15.75" customHeight="1">
      <c r="A244" s="171">
        <f t="shared" si="1"/>
        <v>298</v>
      </c>
      <c r="B244" s="171">
        <f t="shared" si="2"/>
        <v>25</v>
      </c>
      <c r="C244" s="176">
        <f>EDATE(RCD,A243)</f>
        <v>51590</v>
      </c>
      <c r="D244" s="171">
        <f>Age_At_Entry+'Cashflows_8%'!B244-1</f>
        <v>59</v>
      </c>
      <c r="E244" s="175">
        <f>IF(AND(C244&lt;=Last_Prem,MOD(A243,Mode)=0,C244&gt;INPUT!$C$13,A244&lt;=Revival!$C$11),Mod_Prem,0)</f>
        <v>0</v>
      </c>
      <c r="F244" s="177">
        <f>E244*VLOOKUP(B244,'Pre-Calculation'!$H$1:$I$31,2,FALSE)</f>
        <v>0</v>
      </c>
      <c r="G244" s="177">
        <f>IF(B244&lt;PT+1,VLOOKUP(B244,'Pre-Calculation'!$H$1:$L$32,3,FALSE)+VLOOKUP(B244,'Pre-Calculation'!$H$1:$L$32,4,FALSE)*'Pre-Calculation'!$D$7,0)</f>
        <v>0</v>
      </c>
      <c r="H244" s="175">
        <f>(E244-(F244+G244)*(1+Tax)+N243)</f>
        <v>3480479.233</v>
      </c>
      <c r="I244" s="175">
        <f>IF(B244&lt;PT+1,VLOOKUP(D244,'Pre-Calculation'!$N$3:$P$79,IF(INPUT!$C$4="M",2,3),FALSE)*(J244/1000)*(1/12),0)</f>
        <v>0</v>
      </c>
      <c r="J244" s="175">
        <f t="shared" si="3"/>
        <v>0</v>
      </c>
      <c r="K244" s="175">
        <f>(IF('Pre-Calculation'!$D$17="Type 4 a",MAX(SA,H244,1.05*Q244),IF('Pre-Calculation'!$D$17="Type 4 c",H244,IF('Pre-Calculation'!$D$17="Type 4 d",SA+H244,IF('Pre-Calculation'!$D$17="Type 4 e",MAX(SA,H244),IF('Pre-Calculation'!$D$17="Type 4 f",SA,IF('Pre-Calculation'!$D$17="Type 4 g",1000+H244,IF('Pre-Calculation'!$D$17="Type 4 h",SA+X244,IF('Pre-Calculation'!$D$17="Type 4 i",MAX(H244,Q244),IF('Pre-Calculation'!$D$17="Type 4 k",MAX(H244,1.01*Q244),IF('Pre-Calculation'!$D$17="Type 4 m",MAX(105%*Q244,SA+H244),IF('Pre-Calculation'!$D$17="Type 4 o",MAX(SA,105%*Q244)+X244+Z244,IF('Pre-Calculation'!$D$17="Type 5",0)))))))))))))*IF(AND(A244&lt;Revival!$C$4,'Cashflows_8%'!C244&gt;=Revival!$D$12),PUP,1)</f>
        <v>3480479.233</v>
      </c>
      <c r="L244" s="175">
        <f>H244-I244*(1+Tax)</f>
        <v>3480479.233</v>
      </c>
      <c r="M244" s="175">
        <f>L244*(1+GROWTH_RATE_H)*(1-FMC*(1+Tax))</f>
        <v>3498225.207</v>
      </c>
      <c r="N244" s="175">
        <f>M244+IF(MOD(A244,B244)=0,VLOOKUP(B244,'Pre-Calculation'!$H$1:$L$31,5,FALSE),0)*IF('Pre-Calculation'!$D$16="% OF FV",M244,IF(OR('Pre-Calculation'!$D$16="% OF AFV(24M)",'Pre-Calculation'!$D$16="% OF AFV(8Q)"),AVERAGE( $M221:$M244),IF('Pre-Calculation'!$D$16="% OF AFV(12M)",AVERAGE($M233:M244),IF('Pre-Calculation'!$D$16="% OF AFV(36M)",AVERAGE($M209:M244)))))</f>
        <v>3498225.207</v>
      </c>
      <c r="O244" s="175">
        <f t="shared" si="4"/>
        <v>3498225.207</v>
      </c>
      <c r="P244" s="175">
        <f>IF('Pre-Calculation'!$D$17="Type 4 a",MAX(SA,N244,1.05*Q244),IF('Pre-Calculation'!$D$17="Type 4 c",N244,IF('Pre-Calculation'!$D$17="Type 4 d",SA+N244,IF('Pre-Calculation'!$D$17="Type 4 e",MAX(SA,N244),IF('Pre-Calculation'!$D$17="Type 4 f",SA,IF('Pre-Calculation'!$D$17="Type 4 g",1000+N244,IF('Pre-Calculation'!$D$17="Type 4 h",SA+X244,IF('Pre-Calculation'!$D$17="Type 4 i",MAX(N244,Q244),IF('Pre-Calculation'!$D$17="Type 4 k",MAX(N244,1.01*Q244),IF('Pre-Calculation'!$D$17="Type 4 m",MAX(105%*Q244,SA+N244),IF('Pre-Calculation'!$D$17="Type 4 o",MAX(SA,105%*Q244)+X244+Z244,IF('Pre-Calculation'!$D$17="Type 5",0))))))))))))</f>
        <v>3498225.207</v>
      </c>
      <c r="Q244" s="175">
        <f t="shared" si="5"/>
        <v>1000000</v>
      </c>
      <c r="R244" s="119">
        <f>L244*(1+GROWTH_RATE)*FMC</f>
        <v>3938.5888</v>
      </c>
      <c r="S244" s="178">
        <f>S243*(1+'Pre-Calculation'!$E$27)</f>
        <v>1285968.392</v>
      </c>
      <c r="T244" s="175">
        <f>-E244+IF(A243=INPUT!$C$11*12,N244,0)</f>
        <v>0</v>
      </c>
      <c r="U244" s="175">
        <f t="shared" si="6"/>
        <v>3380784.183</v>
      </c>
      <c r="V244" s="175">
        <f>U244*(1+GROWTH_RATE_H)*(1-'Pre-Calculation'!$E$31)</f>
        <v>3396869.924</v>
      </c>
      <c r="W244" s="175">
        <f>-E244+IF(A243=INPUT!$C$11*12,V244,0)</f>
        <v>0</v>
      </c>
      <c r="X244" s="179">
        <f t="array" ref="X244">NPV('Pre-Calculation'!$E$20,$E245:E$246)</f>
        <v>0</v>
      </c>
      <c r="Y244" s="171">
        <f>10%*SA</f>
        <v>100000</v>
      </c>
      <c r="Z244" s="179">
        <f t="array" ref="Z244">NPV('Pre-Calculation'!$E$20,Y245:Y254)</f>
        <v>969592.8037</v>
      </c>
    </row>
    <row r="245" ht="15.75" customHeight="1">
      <c r="A245" s="171">
        <f t="shared" si="1"/>
        <v>299</v>
      </c>
      <c r="B245" s="171">
        <f t="shared" si="2"/>
        <v>25</v>
      </c>
      <c r="C245" s="176">
        <f>EDATE(RCD,A244)</f>
        <v>51621</v>
      </c>
      <c r="D245" s="171">
        <f>Age_At_Entry+'Cashflows_8%'!B245-1</f>
        <v>59</v>
      </c>
      <c r="E245" s="175">
        <f>IF(AND(C245&lt;=Last_Prem,MOD(A244,Mode)=0,C245&gt;INPUT!$C$13,A245&lt;=Revival!$C$11),Mod_Prem,0)</f>
        <v>0</v>
      </c>
      <c r="F245" s="177">
        <f>E245*VLOOKUP(B245,'Pre-Calculation'!$H$1:$I$31,2,FALSE)</f>
        <v>0</v>
      </c>
      <c r="G245" s="177">
        <f>IF(B245&lt;PT+1,VLOOKUP(B245,'Pre-Calculation'!$H$1:$L$32,3,FALSE)+VLOOKUP(B245,'Pre-Calculation'!$H$1:$L$32,4,FALSE)*'Pre-Calculation'!$D$7,0)</f>
        <v>0</v>
      </c>
      <c r="H245" s="175">
        <f>(E245-(F245+G245)*(1+Tax)+N244)</f>
        <v>3498225.207</v>
      </c>
      <c r="I245" s="175">
        <f>IF(B245&lt;PT+1,VLOOKUP(D245,'Pre-Calculation'!$N$3:$P$79,IF(INPUT!$C$4="M",2,3),FALSE)*(J245/1000)*(1/12),0)</f>
        <v>0</v>
      </c>
      <c r="J245" s="175">
        <f t="shared" si="3"/>
        <v>0</v>
      </c>
      <c r="K245" s="175">
        <f>(IF('Pre-Calculation'!$D$17="Type 4 a",MAX(SA,H245,1.05*Q245),IF('Pre-Calculation'!$D$17="Type 4 c",H245,IF('Pre-Calculation'!$D$17="Type 4 d",SA+H245,IF('Pre-Calculation'!$D$17="Type 4 e",MAX(SA,H245),IF('Pre-Calculation'!$D$17="Type 4 f",SA,IF('Pre-Calculation'!$D$17="Type 4 g",1000+H245,IF('Pre-Calculation'!$D$17="Type 4 h",SA+X245,IF('Pre-Calculation'!$D$17="Type 4 i",MAX(H245,Q245),IF('Pre-Calculation'!$D$17="Type 4 k",MAX(H245,1.01*Q245),IF('Pre-Calculation'!$D$17="Type 4 m",MAX(105%*Q245,SA+H245),IF('Pre-Calculation'!$D$17="Type 4 o",MAX(SA,105%*Q245)+X245+Z245,IF('Pre-Calculation'!$D$17="Type 5",0)))))))))))))*IF(AND(A245&lt;Revival!$C$4,'Cashflows_8%'!C245&gt;=Revival!$D$12),PUP,1)</f>
        <v>3498225.207</v>
      </c>
      <c r="L245" s="175">
        <f>H245-I245*(1+Tax)</f>
        <v>3498225.207</v>
      </c>
      <c r="M245" s="175">
        <f>L245*(1+GROWTH_RATE_H)*(1-FMC*(1+Tax))</f>
        <v>3516061.662</v>
      </c>
      <c r="N245" s="175">
        <f>M245+IF(MOD(A245,B245)=0,VLOOKUP(B245,'Pre-Calculation'!$H$1:$L$31,5,FALSE),0)*IF('Pre-Calculation'!$D$16="% OF FV",M245,IF(OR('Pre-Calculation'!$D$16="% OF AFV(24M)",'Pre-Calculation'!$D$16="% OF AFV(8Q)"),AVERAGE( $M222:$M245),IF('Pre-Calculation'!$D$16="% OF AFV(12M)",AVERAGE($M234:M245),IF('Pre-Calculation'!$D$16="% OF AFV(36M)",AVERAGE($M210:M245)))))</f>
        <v>3516061.662</v>
      </c>
      <c r="O245" s="175">
        <f t="shared" si="4"/>
        <v>3516061.662</v>
      </c>
      <c r="P245" s="175">
        <f>IF('Pre-Calculation'!$D$17="Type 4 a",MAX(SA,N245,1.05*Q245),IF('Pre-Calculation'!$D$17="Type 4 c",N245,IF('Pre-Calculation'!$D$17="Type 4 d",SA+N245,IF('Pre-Calculation'!$D$17="Type 4 e",MAX(SA,N245),IF('Pre-Calculation'!$D$17="Type 4 f",SA,IF('Pre-Calculation'!$D$17="Type 4 g",1000+N245,IF('Pre-Calculation'!$D$17="Type 4 h",SA+X245,IF('Pre-Calculation'!$D$17="Type 4 i",MAX(N245,Q245),IF('Pre-Calculation'!$D$17="Type 4 k",MAX(N245,1.01*Q245),IF('Pre-Calculation'!$D$17="Type 4 m",MAX(105%*Q245,SA+N245),IF('Pre-Calculation'!$D$17="Type 4 o",MAX(SA,105%*Q245)+X245+Z245,IF('Pre-Calculation'!$D$17="Type 5",0))))))))))))</f>
        <v>3516061.662</v>
      </c>
      <c r="Q245" s="175">
        <f t="shared" si="5"/>
        <v>1000000</v>
      </c>
      <c r="R245" s="119">
        <f>L245*(1+GROWTH_RATE)*FMC</f>
        <v>3958.670544</v>
      </c>
      <c r="S245" s="178">
        <f>S244*(1+'Pre-Calculation'!$E$27)</f>
        <v>1289660.277</v>
      </c>
      <c r="T245" s="175">
        <f>-E245+IF(A244=INPUT!$C$11*12,N245,0)</f>
        <v>0</v>
      </c>
      <c r="U245" s="175">
        <f t="shared" si="6"/>
        <v>3396869.924</v>
      </c>
      <c r="V245" s="175">
        <f>U245*(1+GROWTH_RATE_H)*(1-'Pre-Calculation'!$E$31)</f>
        <v>3413032.202</v>
      </c>
      <c r="W245" s="175">
        <f>-E245+IF(A244=INPUT!$C$11*12,V245,0)</f>
        <v>0</v>
      </c>
      <c r="X245" s="179">
        <f t="array" ref="X245">NPV('Pre-Calculation'!$E$20,$E246:E$246)</f>
        <v>0</v>
      </c>
      <c r="Y245" s="171">
        <f>10%*SA</f>
        <v>100000</v>
      </c>
      <c r="Z245" s="179">
        <f t="array" ref="Z245">NPV('Pre-Calculation'!$E$20,Y246:Y255)</f>
        <v>969592.8037</v>
      </c>
    </row>
    <row r="246" ht="15.75" customHeight="1">
      <c r="A246" s="171">
        <f t="shared" si="1"/>
        <v>300</v>
      </c>
      <c r="B246" s="171">
        <f t="shared" si="2"/>
        <v>25</v>
      </c>
      <c r="C246" s="176">
        <f>EDATE(RCD,A245)</f>
        <v>51651</v>
      </c>
      <c r="D246" s="171">
        <f>Age_At_Entry+'Cashflows_8%'!B246-1</f>
        <v>59</v>
      </c>
      <c r="E246" s="175">
        <f>IF(AND(C246&lt;=Last_Prem,MOD(A245,Mode)=0,C246&gt;INPUT!$C$13,A246&lt;=Revival!$C$11),Mod_Prem,0)</f>
        <v>0</v>
      </c>
      <c r="F246" s="177">
        <f>E246*VLOOKUP(B246,'Pre-Calculation'!$H$1:$I$31,2,FALSE)</f>
        <v>0</v>
      </c>
      <c r="G246" s="177">
        <f>IF(B246&lt;PT+1,VLOOKUP(B246,'Pre-Calculation'!$H$1:$L$32,3,FALSE)+VLOOKUP(B246,'Pre-Calculation'!$H$1:$L$32,4,FALSE)*'Pre-Calculation'!$D$7,0)</f>
        <v>0</v>
      </c>
      <c r="H246" s="175">
        <f>(E246-(F246+G246)*(1+Tax)+N245)</f>
        <v>3516061.662</v>
      </c>
      <c r="I246" s="175">
        <f>IF(B246&lt;PT+1,VLOOKUP(D246,'Pre-Calculation'!$N$3:$P$79,IF(INPUT!$C$4="M",2,3),FALSE)*(J246/1000)*(1/12),0)</f>
        <v>0</v>
      </c>
      <c r="J246" s="175">
        <f t="shared" si="3"/>
        <v>0</v>
      </c>
      <c r="K246" s="175">
        <f>(IF('Pre-Calculation'!$D$17="Type 4 a",MAX(SA,H246,1.05*Q246),IF('Pre-Calculation'!$D$17="Type 4 c",H246,IF('Pre-Calculation'!$D$17="Type 4 d",SA+H246,IF('Pre-Calculation'!$D$17="Type 4 e",MAX(SA,H246),IF('Pre-Calculation'!$D$17="Type 4 f",SA,IF('Pre-Calculation'!$D$17="Type 4 g",1000+H246,IF('Pre-Calculation'!$D$17="Type 4 h",SA+X246,IF('Pre-Calculation'!$D$17="Type 4 i",MAX(H246,Q246),IF('Pre-Calculation'!$D$17="Type 4 k",MAX(H246,1.01*Q246),IF('Pre-Calculation'!$D$17="Type 4 m",MAX(105%*Q246,SA+H246),IF('Pre-Calculation'!$D$17="Type 4 o",MAX(SA,105%*Q246)+X246+Z246,IF('Pre-Calculation'!$D$17="Type 5",0)))))))))))))*IF(AND(A246&lt;Revival!$C$4,'Cashflows_8%'!C246&gt;=Revival!$D$12),PUP,1)</f>
        <v>3516061.662</v>
      </c>
      <c r="L246" s="175">
        <f>H246-I246*(1+Tax)</f>
        <v>3516061.662</v>
      </c>
      <c r="M246" s="175">
        <f>L246*(1+GROWTH_RATE_H)*(1-FMC*(1+Tax))</f>
        <v>3533989.06</v>
      </c>
      <c r="N246" s="175">
        <f>M246+IF(MOD(A246,B246)=0,VLOOKUP(B246,'Pre-Calculation'!$H$1:$L$31,5,FALSE),0)*IF('Pre-Calculation'!$D$16="% OF FV",M246,IF(OR('Pre-Calculation'!$D$16="% OF AFV(24M)",'Pre-Calculation'!$D$16="% OF AFV(8Q)"),AVERAGE( $M223:$M246),IF('Pre-Calculation'!$D$16="% OF AFV(12M)",AVERAGE($M235:M246),IF('Pre-Calculation'!$D$16="% OF AFV(36M)",AVERAGE($M211:M246)))))</f>
        <v>3533989.06</v>
      </c>
      <c r="O246" s="175">
        <f t="shared" si="4"/>
        <v>3533989.06</v>
      </c>
      <c r="P246" s="175">
        <f>IF('Pre-Calculation'!$D$17="Type 4 a",MAX(SA,N246,1.05*Q246),IF('Pre-Calculation'!$D$17="Type 4 c",N246,IF('Pre-Calculation'!$D$17="Type 4 d",SA+N246,IF('Pre-Calculation'!$D$17="Type 4 e",MAX(SA,N246),IF('Pre-Calculation'!$D$17="Type 4 f",SA,IF('Pre-Calculation'!$D$17="Type 4 g",1000+N246,IF('Pre-Calculation'!$D$17="Type 4 h",SA+X246,IF('Pre-Calculation'!$D$17="Type 4 i",MAX(N246,Q246),IF('Pre-Calculation'!$D$17="Type 4 k",MAX(N246,1.01*Q246),IF('Pre-Calculation'!$D$17="Type 4 m",MAX(105%*Q246,SA+N246),IF('Pre-Calculation'!$D$17="Type 4 o",MAX(SA,105%*Q246)+X246+Z246,IF('Pre-Calculation'!$D$17="Type 5",0))))))))))))</f>
        <v>3533989.06</v>
      </c>
      <c r="Q246" s="175">
        <f t="shared" si="5"/>
        <v>1000000</v>
      </c>
      <c r="R246" s="119">
        <f>L246*(1+GROWTH_RATE)*FMC</f>
        <v>3978.854678</v>
      </c>
      <c r="S246" s="178">
        <f>S245*(1+'Pre-Calculation'!$E$27)</f>
        <v>1293362.761</v>
      </c>
      <c r="T246" s="175">
        <f>-E246+IF(A245=INPUT!$C$11*12,N246,0)</f>
        <v>0</v>
      </c>
      <c r="U246" s="175">
        <f t="shared" si="6"/>
        <v>3413032.202</v>
      </c>
      <c r="V246" s="175">
        <f>U246*(1+GROWTH_RATE_H)*(1-'Pre-Calculation'!$E$31)</f>
        <v>3429271.379</v>
      </c>
      <c r="W246" s="175">
        <f>-E246+IF(A245=INPUT!$C$11*12,V246,0)</f>
        <v>0</v>
      </c>
      <c r="X246" s="179">
        <f t="array" ref="X246">NPV('Pre-Calculation'!$E$20,$E$246:E247)</f>
        <v>0</v>
      </c>
      <c r="Y246" s="171">
        <f>10%*SA</f>
        <v>100000</v>
      </c>
      <c r="Z246" s="179">
        <f t="array" ref="Z246">NPV('Pre-Calculation'!$E$20,Y247:Y256)</f>
        <v>969592.8037</v>
      </c>
    </row>
    <row r="247" ht="15.75" customHeight="1">
      <c r="K247" s="12"/>
      <c r="Y247" s="36">
        <f>10%*SA</f>
        <v>100000</v>
      </c>
    </row>
    <row r="248" ht="15.75" customHeight="1">
      <c r="K248" s="12"/>
      <c r="Y248" s="36">
        <f>10%*SA</f>
        <v>100000</v>
      </c>
    </row>
    <row r="249" ht="15.75" customHeight="1">
      <c r="K249" s="12"/>
      <c r="Y249" s="36">
        <f>10%*SA</f>
        <v>100000</v>
      </c>
    </row>
    <row r="250" ht="15.75" customHeight="1">
      <c r="K250" s="12"/>
      <c r="Y250" s="36">
        <f>10%*SA</f>
        <v>100000</v>
      </c>
    </row>
    <row r="251" ht="15.75" customHeight="1">
      <c r="K251" s="12"/>
      <c r="Y251" s="36">
        <f>10%*SA</f>
        <v>100000</v>
      </c>
    </row>
    <row r="252" ht="15.75" customHeight="1">
      <c r="K252" s="12"/>
      <c r="Y252" s="36">
        <f>10%*SA</f>
        <v>100000</v>
      </c>
    </row>
    <row r="253" ht="15.75" customHeight="1">
      <c r="K253" s="12"/>
      <c r="Y253" s="36">
        <f>10%*SA</f>
        <v>100000</v>
      </c>
    </row>
    <row r="254" ht="15.75" customHeight="1">
      <c r="K254" s="12"/>
      <c r="Y254" s="36">
        <f>10%*SA</f>
        <v>100000</v>
      </c>
    </row>
    <row r="255" ht="15.75" customHeight="1">
      <c r="K255" s="12"/>
      <c r="Y255" s="36">
        <f>10%*SA</f>
        <v>100000</v>
      </c>
    </row>
    <row r="256" ht="15.75" customHeight="1">
      <c r="K256" s="12"/>
      <c r="Y256" s="36">
        <f>10%*SA</f>
        <v>100000</v>
      </c>
    </row>
    <row r="257" ht="15.75" customHeight="1">
      <c r="K257" s="12"/>
    </row>
    <row r="258" ht="15.75" customHeight="1">
      <c r="K258" s="12"/>
    </row>
    <row r="259" ht="15.75" customHeight="1">
      <c r="K259" s="12"/>
    </row>
    <row r="260" ht="15.75" customHeight="1">
      <c r="K260" s="12"/>
    </row>
    <row r="261" ht="15.75" customHeight="1">
      <c r="K261" s="12"/>
    </row>
    <row r="262" ht="15.75" customHeight="1">
      <c r="K262" s="12"/>
    </row>
    <row r="263" ht="15.75" customHeight="1">
      <c r="K263" s="12"/>
    </row>
    <row r="264" ht="15.75" customHeight="1">
      <c r="K264" s="12"/>
    </row>
    <row r="265" ht="15.75" customHeight="1">
      <c r="K265" s="12"/>
    </row>
    <row r="266" ht="15.75" customHeight="1">
      <c r="K266" s="12"/>
    </row>
    <row r="267" ht="15.75" customHeight="1">
      <c r="K267" s="12"/>
    </row>
    <row r="268" ht="15.75" customHeight="1">
      <c r="K268" s="12"/>
    </row>
    <row r="269" ht="15.75" customHeight="1">
      <c r="K269" s="12"/>
    </row>
    <row r="270" ht="15.75" customHeight="1">
      <c r="K270" s="12"/>
    </row>
    <row r="271" ht="15.75" customHeight="1">
      <c r="K271" s="12"/>
    </row>
    <row r="272" ht="15.75" customHeight="1">
      <c r="K272" s="12"/>
    </row>
    <row r="273" ht="15.75" customHeight="1">
      <c r="K273" s="12"/>
    </row>
    <row r="274" ht="15.75" customHeight="1">
      <c r="K274" s="12"/>
    </row>
    <row r="275" ht="15.75" customHeight="1">
      <c r="K275" s="12"/>
    </row>
    <row r="276" ht="15.75" customHeight="1">
      <c r="K276" s="12"/>
    </row>
    <row r="277" ht="15.75" customHeight="1">
      <c r="K277" s="12"/>
    </row>
    <row r="278" ht="15.75" customHeight="1">
      <c r="K278" s="12"/>
    </row>
    <row r="279" ht="15.75" customHeight="1">
      <c r="K279" s="12"/>
    </row>
    <row r="280" ht="15.75" customHeight="1">
      <c r="K280" s="12"/>
    </row>
    <row r="281" ht="15.75" customHeight="1">
      <c r="K281" s="12"/>
    </row>
    <row r="282" ht="15.75" customHeight="1">
      <c r="K282" s="12"/>
    </row>
    <row r="283" ht="15.75" customHeight="1">
      <c r="K283" s="12"/>
    </row>
    <row r="284" ht="15.75" customHeight="1">
      <c r="K284" s="12"/>
    </row>
    <row r="285" ht="15.75" customHeight="1">
      <c r="K285" s="12"/>
    </row>
    <row r="286" ht="15.75" customHeight="1">
      <c r="K286" s="12"/>
    </row>
    <row r="287" ht="15.75" customHeight="1">
      <c r="K287" s="12"/>
    </row>
    <row r="288" ht="15.75" customHeight="1">
      <c r="K288" s="12"/>
    </row>
    <row r="289" ht="15.75" customHeight="1">
      <c r="K289" s="12"/>
    </row>
    <row r="290" ht="15.75" customHeight="1">
      <c r="K290" s="12"/>
    </row>
    <row r="291" ht="15.75" customHeight="1">
      <c r="K291" s="12"/>
    </row>
    <row r="292" ht="15.75" customHeight="1">
      <c r="K292" s="12"/>
    </row>
    <row r="293" ht="15.75" customHeight="1">
      <c r="K293" s="12"/>
    </row>
    <row r="294" ht="15.75" customHeight="1">
      <c r="K294" s="12"/>
    </row>
    <row r="295" ht="15.75" customHeight="1">
      <c r="K295" s="12"/>
    </row>
    <row r="296" ht="15.75" customHeight="1">
      <c r="K296" s="12"/>
    </row>
    <row r="297" ht="15.75" customHeight="1">
      <c r="K297" s="12"/>
    </row>
    <row r="298" ht="15.75" customHeight="1">
      <c r="K298" s="12"/>
    </row>
    <row r="299" ht="15.75" customHeight="1">
      <c r="K299" s="12"/>
    </row>
    <row r="300" ht="15.75" customHeight="1">
      <c r="K300" s="12"/>
    </row>
    <row r="301" ht="15.75" customHeight="1">
      <c r="K301" s="12"/>
    </row>
    <row r="302" ht="15.75" customHeight="1">
      <c r="K302" s="12"/>
    </row>
    <row r="303" ht="15.75" customHeight="1">
      <c r="K303" s="12"/>
    </row>
    <row r="304" ht="15.75" customHeight="1">
      <c r="K304" s="12"/>
    </row>
    <row r="305" ht="15.75" customHeight="1">
      <c r="K305" s="12"/>
    </row>
    <row r="306" ht="15.75" customHeight="1">
      <c r="K306" s="12"/>
    </row>
    <row r="307" ht="15.75" customHeight="1">
      <c r="K307" s="12"/>
    </row>
    <row r="308" ht="15.75" customHeight="1">
      <c r="K308" s="12"/>
    </row>
    <row r="309" ht="15.75" customHeight="1">
      <c r="K309" s="12"/>
    </row>
    <row r="310" ht="15.75" customHeight="1">
      <c r="K310" s="12"/>
    </row>
    <row r="311" ht="15.75" customHeight="1">
      <c r="K311" s="12"/>
    </row>
    <row r="312" ht="15.75" customHeight="1">
      <c r="K312" s="12"/>
    </row>
    <row r="313" ht="15.75" customHeight="1">
      <c r="K313" s="12"/>
    </row>
    <row r="314" ht="15.75" customHeight="1">
      <c r="K314" s="12"/>
    </row>
    <row r="315" ht="15.75" customHeight="1">
      <c r="K315" s="12"/>
    </row>
    <row r="316" ht="15.75" customHeight="1">
      <c r="K316" s="12"/>
    </row>
    <row r="317" ht="15.75" customHeight="1">
      <c r="K317" s="12"/>
    </row>
    <row r="318" ht="15.75" customHeight="1">
      <c r="K318" s="12"/>
    </row>
    <row r="319" ht="15.75" customHeight="1">
      <c r="K319" s="12"/>
    </row>
    <row r="320" ht="15.75" customHeight="1">
      <c r="K320" s="12"/>
    </row>
    <row r="321" ht="15.75" customHeight="1">
      <c r="K321" s="12"/>
    </row>
    <row r="322" ht="15.75" customHeight="1">
      <c r="K322" s="12"/>
    </row>
    <row r="323" ht="15.75" customHeight="1">
      <c r="K323" s="12"/>
    </row>
    <row r="324" ht="15.75" customHeight="1">
      <c r="K324" s="12"/>
    </row>
    <row r="325" ht="15.75" customHeight="1">
      <c r="K325" s="12"/>
    </row>
    <row r="326" ht="15.75" customHeight="1">
      <c r="K326" s="12"/>
    </row>
    <row r="327" ht="15.75" customHeight="1">
      <c r="K327" s="12"/>
    </row>
    <row r="328" ht="15.75" customHeight="1">
      <c r="K328" s="12"/>
    </row>
    <row r="329" ht="15.75" customHeight="1">
      <c r="K329" s="12"/>
    </row>
    <row r="330" ht="15.75" customHeight="1">
      <c r="K330" s="12"/>
    </row>
    <row r="331" ht="15.75" customHeight="1">
      <c r="K331" s="12"/>
    </row>
    <row r="332" ht="15.75" customHeight="1">
      <c r="K332" s="12"/>
    </row>
    <row r="333" ht="15.75" customHeight="1">
      <c r="K333" s="12"/>
    </row>
    <row r="334" ht="15.75" customHeight="1">
      <c r="K334" s="12"/>
    </row>
    <row r="335" ht="15.75" customHeight="1">
      <c r="K335" s="12"/>
    </row>
    <row r="336" ht="15.75" customHeight="1">
      <c r="K336" s="12"/>
    </row>
    <row r="337" ht="15.75" customHeight="1">
      <c r="K337" s="12"/>
    </row>
    <row r="338" ht="15.75" customHeight="1">
      <c r="K338" s="12"/>
    </row>
    <row r="339" ht="15.75" customHeight="1">
      <c r="K339" s="12"/>
    </row>
    <row r="340" ht="15.75" customHeight="1">
      <c r="K340" s="12"/>
    </row>
    <row r="341" ht="15.75" customHeight="1">
      <c r="K341" s="12"/>
    </row>
    <row r="342" ht="15.75" customHeight="1">
      <c r="K342" s="12"/>
    </row>
    <row r="343" ht="15.75" customHeight="1">
      <c r="K343" s="12"/>
    </row>
    <row r="344" ht="15.75" customHeight="1">
      <c r="K344" s="12"/>
    </row>
    <row r="345" ht="15.75" customHeight="1">
      <c r="K345" s="12"/>
    </row>
    <row r="346" ht="15.75" customHeight="1">
      <c r="K346" s="12"/>
    </row>
    <row r="347" ht="15.75" customHeight="1">
      <c r="K347" s="12"/>
    </row>
    <row r="348" ht="15.75" customHeight="1">
      <c r="K348" s="12"/>
    </row>
    <row r="349" ht="15.75" customHeight="1">
      <c r="K349" s="12"/>
    </row>
    <row r="350" ht="15.75" customHeight="1">
      <c r="K350" s="12"/>
    </row>
    <row r="351" ht="15.75" customHeight="1">
      <c r="K351" s="12"/>
    </row>
    <row r="352" ht="15.75" customHeight="1">
      <c r="K352" s="12"/>
    </row>
    <row r="353" ht="15.75" customHeight="1">
      <c r="K353" s="12"/>
    </row>
    <row r="354" ht="15.75" customHeight="1">
      <c r="K354" s="12"/>
    </row>
    <row r="355" ht="15.75" customHeight="1">
      <c r="K355" s="12"/>
    </row>
    <row r="356" ht="15.75" customHeight="1">
      <c r="K356" s="12"/>
    </row>
    <row r="357" ht="15.75" customHeight="1">
      <c r="K357" s="12"/>
    </row>
    <row r="358" ht="15.75" customHeight="1">
      <c r="K358" s="12"/>
    </row>
    <row r="359" ht="15.75" customHeight="1">
      <c r="K359" s="12"/>
    </row>
    <row r="360" ht="15.75" customHeight="1">
      <c r="K360" s="12"/>
    </row>
    <row r="361" ht="15.75" customHeight="1">
      <c r="K361" s="12"/>
    </row>
    <row r="362" ht="15.75" customHeight="1">
      <c r="K362" s="12"/>
    </row>
    <row r="363" ht="15.75" customHeight="1">
      <c r="K363" s="12"/>
    </row>
    <row r="364" ht="15.75" customHeight="1">
      <c r="K364" s="12"/>
    </row>
    <row r="365" ht="15.75" customHeight="1">
      <c r="K365" s="12"/>
    </row>
    <row r="366" ht="15.75" customHeight="1">
      <c r="K366" s="12"/>
    </row>
    <row r="367" ht="15.75" customHeight="1">
      <c r="K367" s="12"/>
    </row>
    <row r="368" ht="15.75" customHeight="1">
      <c r="K368" s="12"/>
    </row>
    <row r="369" ht="15.75" customHeight="1">
      <c r="K369" s="12"/>
    </row>
    <row r="370" ht="15.75" customHeight="1">
      <c r="K370" s="12"/>
    </row>
    <row r="371" ht="15.75" customHeight="1">
      <c r="K371" s="12"/>
    </row>
    <row r="372" ht="15.75" customHeight="1">
      <c r="K372" s="12"/>
    </row>
    <row r="373" ht="15.75" customHeight="1">
      <c r="K373" s="12"/>
    </row>
    <row r="374" ht="15.75" customHeight="1">
      <c r="K374" s="12"/>
    </row>
    <row r="375" ht="15.75" customHeight="1">
      <c r="K375" s="12"/>
    </row>
    <row r="376" ht="15.75" customHeight="1">
      <c r="K376" s="12"/>
    </row>
    <row r="377" ht="15.75" customHeight="1">
      <c r="K377" s="12"/>
    </row>
    <row r="378" ht="15.75" customHeight="1">
      <c r="K378" s="12"/>
    </row>
    <row r="379" ht="15.75" customHeight="1">
      <c r="K379" s="12"/>
    </row>
    <row r="380" ht="15.75" customHeight="1">
      <c r="K380" s="12"/>
    </row>
    <row r="381" ht="15.75" customHeight="1">
      <c r="K381" s="12"/>
    </row>
    <row r="382" ht="15.75" customHeight="1">
      <c r="K382" s="12"/>
    </row>
    <row r="383" ht="15.75" customHeight="1">
      <c r="K383" s="12"/>
    </row>
    <row r="384" ht="15.75" customHeight="1">
      <c r="K384" s="12"/>
    </row>
    <row r="385" ht="15.75" customHeight="1">
      <c r="K385" s="12"/>
    </row>
    <row r="386" ht="15.75" customHeight="1">
      <c r="K386" s="12"/>
    </row>
    <row r="387" ht="15.75" customHeight="1">
      <c r="K387" s="12"/>
    </row>
    <row r="388" ht="15.75" customHeight="1">
      <c r="K388" s="12"/>
    </row>
    <row r="389" ht="15.75" customHeight="1">
      <c r="K389" s="12"/>
    </row>
    <row r="390" ht="15.75" customHeight="1">
      <c r="K390" s="12"/>
    </row>
    <row r="391" ht="15.75" customHeight="1">
      <c r="K391" s="12"/>
    </row>
    <row r="392" ht="15.75" customHeight="1">
      <c r="K392" s="12"/>
    </row>
    <row r="393" ht="15.75" customHeight="1">
      <c r="K393" s="12"/>
    </row>
    <row r="394" ht="15.75" customHeight="1">
      <c r="K394" s="12"/>
    </row>
    <row r="395" ht="15.75" customHeight="1">
      <c r="K395" s="12"/>
    </row>
    <row r="396" ht="15.75" customHeight="1">
      <c r="K396" s="12"/>
    </row>
    <row r="397" ht="15.75" customHeight="1">
      <c r="K397" s="12"/>
    </row>
    <row r="398" ht="15.75" customHeight="1">
      <c r="K398" s="12"/>
    </row>
    <row r="399" ht="15.75" customHeight="1">
      <c r="K399" s="12"/>
    </row>
    <row r="400" ht="15.75" customHeight="1">
      <c r="K400" s="12"/>
    </row>
    <row r="401" ht="15.75" customHeight="1">
      <c r="K401" s="12"/>
    </row>
    <row r="402" ht="15.75" customHeight="1">
      <c r="K402" s="12"/>
    </row>
    <row r="403" ht="15.75" customHeight="1">
      <c r="K403" s="12"/>
    </row>
    <row r="404" ht="15.75" customHeight="1">
      <c r="K404" s="12"/>
    </row>
    <row r="405" ht="15.75" customHeight="1">
      <c r="K405" s="12"/>
    </row>
    <row r="406" ht="15.75" customHeight="1">
      <c r="K406" s="12"/>
    </row>
    <row r="407" ht="15.75" customHeight="1">
      <c r="K407" s="12"/>
    </row>
    <row r="408" ht="15.75" customHeight="1">
      <c r="K408" s="12"/>
    </row>
    <row r="409" ht="15.75" customHeight="1">
      <c r="K409" s="12"/>
    </row>
    <row r="410" ht="15.75" customHeight="1">
      <c r="K410" s="12"/>
    </row>
    <row r="411" ht="15.75" customHeight="1">
      <c r="K411" s="12"/>
    </row>
    <row r="412" ht="15.75" customHeight="1">
      <c r="K412" s="12"/>
    </row>
    <row r="413" ht="15.75" customHeight="1">
      <c r="K413" s="12"/>
    </row>
    <row r="414" ht="15.75" customHeight="1">
      <c r="K414" s="12"/>
    </row>
    <row r="415" ht="15.75" customHeight="1">
      <c r="K415" s="12"/>
    </row>
    <row r="416" ht="15.75" customHeight="1">
      <c r="K416" s="12"/>
    </row>
    <row r="417" ht="15.75" customHeight="1">
      <c r="K417" s="12"/>
    </row>
    <row r="418" ht="15.75" customHeight="1">
      <c r="K418" s="12"/>
    </row>
    <row r="419" ht="15.75" customHeight="1">
      <c r="K419" s="12"/>
    </row>
    <row r="420" ht="15.75" customHeight="1">
      <c r="K420" s="12"/>
    </row>
    <row r="421" ht="15.75" customHeight="1">
      <c r="K421" s="12"/>
    </row>
    <row r="422" ht="15.75" customHeight="1">
      <c r="K422" s="12"/>
    </row>
    <row r="423" ht="15.75" customHeight="1">
      <c r="K423" s="12"/>
    </row>
    <row r="424" ht="15.75" customHeight="1">
      <c r="K424" s="12"/>
    </row>
    <row r="425" ht="15.75" customHeight="1">
      <c r="K425" s="12"/>
    </row>
    <row r="426" ht="15.75" customHeight="1">
      <c r="K426" s="12"/>
    </row>
    <row r="427" ht="15.75" customHeight="1">
      <c r="K427" s="12"/>
    </row>
    <row r="428" ht="15.75" customHeight="1">
      <c r="K428" s="12"/>
    </row>
    <row r="429" ht="15.75" customHeight="1">
      <c r="K429" s="12"/>
    </row>
    <row r="430" ht="15.75" customHeight="1">
      <c r="K430" s="12"/>
    </row>
    <row r="431" ht="15.75" customHeight="1">
      <c r="K431" s="12"/>
    </row>
    <row r="432" ht="15.75" customHeight="1">
      <c r="K432" s="12"/>
    </row>
    <row r="433" ht="15.75" customHeight="1">
      <c r="K433" s="12"/>
    </row>
    <row r="434" ht="15.75" customHeight="1">
      <c r="K434" s="12"/>
    </row>
    <row r="435" ht="15.75" customHeight="1">
      <c r="K435" s="12"/>
    </row>
    <row r="436" ht="15.75" customHeight="1">
      <c r="K436" s="12"/>
    </row>
    <row r="437" ht="15.75" customHeight="1">
      <c r="K437" s="12"/>
    </row>
    <row r="438" ht="15.75" customHeight="1">
      <c r="K438" s="12"/>
    </row>
    <row r="439" ht="15.75" customHeight="1">
      <c r="K439" s="12"/>
    </row>
    <row r="440" ht="15.75" customHeight="1">
      <c r="K440" s="12"/>
    </row>
    <row r="441" ht="15.75" customHeight="1">
      <c r="K441" s="12"/>
    </row>
    <row r="442" ht="15.75" customHeight="1">
      <c r="K442" s="12"/>
    </row>
    <row r="443" ht="15.75" customHeight="1">
      <c r="K443" s="12"/>
    </row>
    <row r="444" ht="15.75" customHeight="1">
      <c r="K444" s="12"/>
    </row>
    <row r="445" ht="15.75" customHeight="1">
      <c r="K445" s="12"/>
    </row>
    <row r="446" ht="15.75" customHeight="1">
      <c r="K446" s="12"/>
    </row>
    <row r="447" ht="15.75" customHeight="1">
      <c r="K447" s="12"/>
    </row>
    <row r="448" ht="15.75" customHeight="1">
      <c r="K448" s="12"/>
    </row>
    <row r="449" ht="15.75" customHeight="1">
      <c r="K449" s="12"/>
    </row>
    <row r="450" ht="15.75" customHeight="1">
      <c r="K450" s="12"/>
    </row>
    <row r="451" ht="15.75" customHeight="1">
      <c r="K451" s="12"/>
    </row>
    <row r="452" ht="15.75" customHeight="1">
      <c r="K452" s="12"/>
    </row>
    <row r="453" ht="15.75" customHeight="1">
      <c r="K453" s="12"/>
    </row>
    <row r="454" ht="15.75" customHeight="1">
      <c r="K454" s="12"/>
    </row>
    <row r="455" ht="15.75" customHeight="1">
      <c r="K455" s="12"/>
    </row>
    <row r="456" ht="15.75" customHeight="1">
      <c r="K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0" width="12.63"/>
    <col customWidth="1" min="11" max="11" width="20.13"/>
    <col customWidth="1" min="12" max="12" width="12.63"/>
    <col customWidth="1" min="13" max="13" width="16.88"/>
    <col customWidth="1" min="14" max="23" width="12.63"/>
  </cols>
  <sheetData>
    <row r="1">
      <c r="A1" s="12"/>
      <c r="B1" s="36"/>
      <c r="C1" s="169"/>
      <c r="D1" s="36"/>
      <c r="E1" s="36"/>
      <c r="F1" s="170"/>
      <c r="G1" s="12"/>
      <c r="H1" s="36"/>
      <c r="I1" s="36"/>
      <c r="J1" s="170"/>
      <c r="K1" s="170"/>
      <c r="L1" s="12"/>
      <c r="M1" s="36"/>
      <c r="N1" s="12"/>
      <c r="O1" s="12"/>
      <c r="P1" s="12"/>
      <c r="Q1" s="12"/>
      <c r="R1" s="12"/>
      <c r="S1" s="12"/>
      <c r="T1" s="36"/>
      <c r="U1" s="12"/>
      <c r="V1" s="12"/>
      <c r="W1" s="12"/>
      <c r="X1" s="12"/>
      <c r="Y1" s="12"/>
      <c r="Z1" s="12"/>
    </row>
    <row r="2">
      <c r="A2" s="36"/>
      <c r="B2" s="36"/>
      <c r="C2" s="36"/>
      <c r="D2" s="36"/>
      <c r="E2" s="36"/>
      <c r="F2" s="36"/>
      <c r="G2" s="36"/>
      <c r="H2" s="36"/>
      <c r="I2" s="36"/>
      <c r="J2" s="36"/>
      <c r="K2" s="36"/>
      <c r="L2" s="12"/>
      <c r="M2" s="36"/>
      <c r="N2" s="12"/>
      <c r="O2" s="12"/>
      <c r="P2" s="12"/>
      <c r="Q2" s="12"/>
      <c r="R2" s="12"/>
      <c r="S2" s="12"/>
      <c r="T2" s="36"/>
      <c r="U2" s="12"/>
      <c r="V2" s="12"/>
      <c r="W2" s="12"/>
      <c r="X2" s="12"/>
      <c r="Y2" s="12"/>
      <c r="Z2" s="12"/>
    </row>
    <row r="3">
      <c r="A3" s="36"/>
      <c r="B3" s="36"/>
      <c r="C3" s="36"/>
      <c r="D3" s="36"/>
      <c r="E3" s="36"/>
      <c r="F3" s="36"/>
      <c r="G3" s="36"/>
      <c r="H3" s="36"/>
      <c r="I3" s="36"/>
      <c r="J3" s="36"/>
      <c r="K3" s="36"/>
      <c r="L3" s="12"/>
      <c r="M3" s="36"/>
      <c r="N3" s="12"/>
      <c r="O3" s="12"/>
      <c r="P3" s="12"/>
      <c r="Q3" s="12"/>
      <c r="R3" s="12"/>
      <c r="S3" s="12"/>
      <c r="T3" s="36"/>
      <c r="U3" s="12"/>
      <c r="V3" s="12"/>
      <c r="W3" s="12"/>
      <c r="X3" s="12"/>
      <c r="Y3" s="12"/>
      <c r="Z3" s="12"/>
    </row>
    <row r="4">
      <c r="A4" s="171" t="s">
        <v>251</v>
      </c>
      <c r="B4" s="171" t="s">
        <v>215</v>
      </c>
      <c r="C4" s="171" t="s">
        <v>252</v>
      </c>
      <c r="D4" s="171" t="s">
        <v>225</v>
      </c>
      <c r="E4" s="171" t="s">
        <v>253</v>
      </c>
      <c r="F4" s="171" t="s">
        <v>216</v>
      </c>
      <c r="G4" s="171" t="s">
        <v>254</v>
      </c>
      <c r="H4" s="171" t="s">
        <v>255</v>
      </c>
      <c r="I4" s="171" t="s">
        <v>256</v>
      </c>
      <c r="J4" s="171" t="s">
        <v>257</v>
      </c>
      <c r="K4" s="171" t="s">
        <v>258</v>
      </c>
      <c r="L4" s="171" t="s">
        <v>259</v>
      </c>
      <c r="M4" s="171" t="s">
        <v>260</v>
      </c>
      <c r="N4" s="171" t="s">
        <v>261</v>
      </c>
      <c r="O4" s="171" t="s">
        <v>262</v>
      </c>
      <c r="P4" s="171" t="s">
        <v>239</v>
      </c>
      <c r="Q4" s="171" t="s">
        <v>263</v>
      </c>
      <c r="R4" s="112" t="s">
        <v>221</v>
      </c>
      <c r="S4" s="171" t="s">
        <v>62</v>
      </c>
      <c r="T4" s="172">
        <f>(IRR(T7:T246)+1)^12-1</f>
        <v>0.01148090519</v>
      </c>
      <c r="U4" s="171" t="s">
        <v>265</v>
      </c>
      <c r="V4" s="171" t="s">
        <v>266</v>
      </c>
      <c r="W4" s="172">
        <f>(IRR(W7:W246)+1)^12-1</f>
        <v>0.01979808212</v>
      </c>
      <c r="X4" s="112" t="s">
        <v>267</v>
      </c>
      <c r="Y4" s="112" t="s">
        <v>268</v>
      </c>
      <c r="Z4" s="112" t="s">
        <v>269</v>
      </c>
    </row>
    <row r="5">
      <c r="A5" s="171"/>
      <c r="B5" s="171"/>
      <c r="C5" s="171"/>
      <c r="D5" s="171"/>
      <c r="E5" s="171"/>
      <c r="F5" s="171"/>
      <c r="G5" s="171"/>
      <c r="H5" s="171"/>
      <c r="I5" s="171"/>
      <c r="J5" s="171"/>
      <c r="K5" s="171"/>
      <c r="L5" s="171"/>
      <c r="M5" s="171"/>
      <c r="N5" s="171"/>
      <c r="O5" s="171"/>
      <c r="P5" s="171"/>
      <c r="Q5" s="171"/>
      <c r="R5" s="112"/>
      <c r="S5" s="112"/>
      <c r="T5" s="171"/>
      <c r="U5" s="171"/>
      <c r="V5" s="112"/>
      <c r="W5" s="112"/>
      <c r="X5" s="112"/>
      <c r="Y5" s="171"/>
      <c r="Z5" s="171"/>
    </row>
    <row r="6">
      <c r="A6" s="171">
        <f>'Pre-Calculation'!D12</f>
        <v>60</v>
      </c>
      <c r="B6" s="171"/>
      <c r="C6" s="171"/>
      <c r="D6" s="171"/>
      <c r="E6" s="171"/>
      <c r="F6" s="171"/>
      <c r="G6" s="173"/>
      <c r="H6" s="173"/>
      <c r="I6" s="173"/>
      <c r="J6" s="171"/>
      <c r="K6" s="171"/>
      <c r="L6" s="171"/>
      <c r="M6" s="171"/>
      <c r="N6" s="174">
        <f>SV+Revival!C14-SUM(Revival!D14:E14)*(1+Tax)-PW</f>
        <v>750000</v>
      </c>
      <c r="O6" s="171"/>
      <c r="P6" s="171"/>
      <c r="Q6" s="175">
        <f>Revival!C8+Revival!C14</f>
        <v>600000</v>
      </c>
      <c r="R6" s="112"/>
      <c r="S6" s="175">
        <f>SV</f>
        <v>650000</v>
      </c>
      <c r="T6" s="175"/>
      <c r="U6" s="171"/>
      <c r="V6" s="119">
        <f>N6</f>
        <v>750000</v>
      </c>
      <c r="W6" s="112"/>
      <c r="X6" s="112"/>
      <c r="Y6" s="171"/>
      <c r="Z6" s="171"/>
    </row>
    <row r="7">
      <c r="A7" s="171">
        <f t="shared" ref="A7:A246" si="1">A6+1</f>
        <v>61</v>
      </c>
      <c r="B7" s="171">
        <f t="shared" ref="B7:B246" si="2">_xlfn.CEILING.MATH(A7/12)</f>
        <v>6</v>
      </c>
      <c r="C7" s="176">
        <f>EDATE(RCD,A6)</f>
        <v>44377</v>
      </c>
      <c r="D7" s="171">
        <f>Age_At_Entry+'Cashflows_4%'!B7-1</f>
        <v>40</v>
      </c>
      <c r="E7" s="175">
        <f>IF(AND(C7&lt;=Last_Prem,MOD(A6,Mode)=0,C7&gt;INPUT!$C$13,A7&lt;=Revival!$C$11),Mod_Prem,0)</f>
        <v>0</v>
      </c>
      <c r="F7" s="177">
        <f>IF(B7&lt;PT+1,E7*VLOOKUP(B7,'Pre-Calculation'!$H$1:$I$31,2,FALSE),0)</f>
        <v>0</v>
      </c>
      <c r="G7" s="177">
        <f>IF(B7&lt;PT+1,VLOOKUP(B7,'Pre-Calculation'!$H$1:$L$32,3,FALSE)+VLOOKUP(B7,'Pre-Calculation'!$H$1:$L$32,4,FALSE)*'Pre-Calculation'!$D$7,0)</f>
        <v>830</v>
      </c>
      <c r="H7" s="175">
        <f>(E7-(F7+G7)*(1+Tax)+N6)</f>
        <v>749020.6</v>
      </c>
      <c r="I7" s="175">
        <f>IF(B7&lt;PT+1,VLOOKUP(D7,'Pre-Calculation'!$N$3:$P$79,IF(INPUT!$C$4="M",2,3),FALSE)*(J7/1000)*(1/12),0)</f>
        <v>37.69919738</v>
      </c>
      <c r="J7" s="175">
        <f t="shared" ref="J7:J246" si="3">MAX(0,(K7-H7))</f>
        <v>250979.4</v>
      </c>
      <c r="K7" s="175">
        <f>(IF('Pre-Calculation'!$D$17="Type 4 a",MAX(SA,H7,1.05*Q7),IF('Pre-Calculation'!$D$17="Type 4 c",H7,IF('Pre-Calculation'!$D$17="Type 4 d",SA+H7,IF('Pre-Calculation'!$D$17="Type 4 e",MAX(SA,H7),IF('Pre-Calculation'!$D$17="Type 4 f",SA,IF('Pre-Calculation'!$D$17="Type 4 g",1000+H7,IF('Pre-Calculation'!$D$17="Type 4 h",SA+X7,IF('Pre-Calculation'!$D$17="Type 4 i",MAX(H7,Q7),IF('Pre-Calculation'!$D$17="Type 4 k",MAX(H7,1.01*Q7),IF('Pre-Calculation'!$D$17="Type 4 m",MAX(105%*Q7,SA+H7),IF('Pre-Calculation'!$D$17="Type 4 o",MAX(SA,105%*Q7)+X7+Z7,IF('Pre-Calculation'!$D$17="Type 5",0)))))))))))))*IF(AND(A7&lt;Revival!$C$4,C7&gt;=Revival!$D$12),PUP,1)</f>
        <v>1000000</v>
      </c>
      <c r="L7" s="175">
        <f>H7-I7*(1+Tax)</f>
        <v>748976.1149</v>
      </c>
      <c r="M7" s="175">
        <f>L7*(1+GROWTH_RATE_L)*(1-FMC*(1+Tax))</f>
        <v>750431.0896</v>
      </c>
      <c r="N7" s="175">
        <f>M7+IF(MOD(A7,B7)=0,VLOOKUP(B7,'Pre-Calculation'!$H$1:$L$31,5,FALSE),0)*IF('Pre-Calculation'!$D$16="% OF FV",M7,IF(OR('Pre-Calculation'!$D$16="% OF AFV(24M)",'Pre-Calculation'!$D$16="% OF AFV(8Q)"),AVERAGE( $M$7:$M7),IF('Pre-Calculation'!$D$16="% OF AFV(12M)",AVERAGE($M$7:M7),IF('Pre-Calculation'!$D$16="% OF AFV(36M)",AVERAGE($M$7:M7)))))</f>
        <v>750431.0896</v>
      </c>
      <c r="O7" s="175">
        <f t="shared" ref="O7:O246" si="4">N7</f>
        <v>750431.0896</v>
      </c>
      <c r="P7" s="175">
        <f>IF('Pre-Calculation'!$D$17="Type 4 a",MAX(SA,N7,1.05*Q7),IF('Pre-Calculation'!$D$17="Type 4 c",N7,IF('Pre-Calculation'!$D$17="Type 4 d",SA+N7,IF('Pre-Calculation'!$D$17="Type 4 e",MAX(SA,N7),IF('Pre-Calculation'!$D$17="Type 4 f",SA,IF('Pre-Calculation'!$D$17="Type 4 g",1000+N7,IF('Pre-Calculation'!$D$17="Type 4 h",SA+X7,IF('Pre-Calculation'!$D$17="Type 4 i",MAX(N7,Q7),IF('Pre-Calculation'!$D$17="Type 4 k",MAX(N7,1.01*Q7),IF('Pre-Calculation'!$D$17="Type 4 m",MAX(105%*Q7,SA+N7),IF('Pre-Calculation'!$D$17="Type 4 o",MAX(SA,105%*Q7)+X7+Z7,IF('Pre-Calculation'!$D$17="Type 5",0))))))))))))</f>
        <v>1000000</v>
      </c>
      <c r="Q7" s="175">
        <f t="shared" ref="Q7:Q246" si="5">Q6+E7</f>
        <v>600000</v>
      </c>
      <c r="R7" s="119">
        <f>L7*(1+GROWTH_RATE)*FMC</f>
        <v>847.5582643</v>
      </c>
      <c r="S7" s="178">
        <f>S6*(1+'Pre-Calculation'!$E$27)</f>
        <v>651866.0842</v>
      </c>
      <c r="T7" s="174">
        <f>-E7+IF(A6=INPUT!$C$11*12,N7,0)-N6</f>
        <v>-750000</v>
      </c>
      <c r="U7" s="175">
        <f t="shared" ref="U7:U246" si="6">V6+E7</f>
        <v>750000</v>
      </c>
      <c r="V7" s="175">
        <f>U7*(1+GROWTH_RATE_L)*(1-'Pre-Calculation'!$E$31)</f>
        <v>751202.2229</v>
      </c>
      <c r="W7" s="174">
        <f>-E7+IF(A6=INPUT!$C$11*12,V7,0)-N6</f>
        <v>-750000</v>
      </c>
      <c r="X7" s="179">
        <f t="array" ref="X7">NPV('Pre-Calculation'!$E$20,$E8:E$246)</f>
        <v>338721.1256</v>
      </c>
      <c r="Y7" s="171">
        <f>10%*SA</f>
        <v>100000</v>
      </c>
      <c r="Z7" s="179">
        <f t="array" ref="Z7">NPV('Pre-Calculation'!$E$20,Y8:Y17)</f>
        <v>969592.8037</v>
      </c>
    </row>
    <row r="8">
      <c r="A8" s="171">
        <f t="shared" si="1"/>
        <v>62</v>
      </c>
      <c r="B8" s="171">
        <f t="shared" si="2"/>
        <v>6</v>
      </c>
      <c r="C8" s="176">
        <f>EDATE(RCD,A7)</f>
        <v>44407</v>
      </c>
      <c r="D8" s="171">
        <f>Age_At_Entry+'Cashflows_4%'!B8-1</f>
        <v>40</v>
      </c>
      <c r="E8" s="175">
        <f>IF(AND(C8&lt;=Last_Prem,MOD(A7,Mode)=0,C8&gt;INPUT!$C$13,A8&lt;=Revival!$C$11),Mod_Prem,0)</f>
        <v>0</v>
      </c>
      <c r="F8" s="177">
        <f>IF(B8&lt;PT+1,E8*VLOOKUP(B8,'Pre-Calculation'!$H$1:$I$31,2,FALSE),0)</f>
        <v>0</v>
      </c>
      <c r="G8" s="177">
        <f>IF(B8&lt;PT+1,VLOOKUP(B8,'Pre-Calculation'!$H$1:$L$32,3,FALSE)+VLOOKUP(B8,'Pre-Calculation'!$H$1:$L$32,4,FALSE)*'Pre-Calculation'!$D$7,0)</f>
        <v>830</v>
      </c>
      <c r="H8" s="175">
        <f>(E8-(F8+G8)*(1+Tax)+N7)</f>
        <v>749451.6896</v>
      </c>
      <c r="I8" s="175">
        <f>IF(B8&lt;PT+1,VLOOKUP(D8,'Pre-Calculation'!$N$3:$P$79,IF(INPUT!$C$4="M",2,3),FALSE)*(J8/1000)*(1/12),0)</f>
        <v>37.63444413</v>
      </c>
      <c r="J8" s="175">
        <f t="shared" si="3"/>
        <v>250548.3104</v>
      </c>
      <c r="K8" s="175">
        <f>(IF('Pre-Calculation'!$D$17="Type 4 a",MAX(SA,H8,1.05*Q8),IF('Pre-Calculation'!$D$17="Type 4 c",H8,IF('Pre-Calculation'!$D$17="Type 4 d",SA+H8,IF('Pre-Calculation'!$D$17="Type 4 e",MAX(SA,H8),IF('Pre-Calculation'!$D$17="Type 4 f",SA,IF('Pre-Calculation'!$D$17="Type 4 g",1000+H8,IF('Pre-Calculation'!$D$17="Type 4 h",SA+X8,IF('Pre-Calculation'!$D$17="Type 4 i",MAX(H8,Q8),IF('Pre-Calculation'!$D$17="Type 4 k",MAX(H8,1.01*Q8),IF('Pre-Calculation'!$D$17="Type 4 m",MAX(105%*Q8,SA+H8),IF('Pre-Calculation'!$D$17="Type 4 o",MAX(SA,105%*Q8)+X8+Z8,IF('Pre-Calculation'!$D$17="Type 5",0)))))))))))))*IF(AND(A8&lt;Revival!$C$4,C8&gt;=Revival!$D$12),PUP,1)</f>
        <v>1000000</v>
      </c>
      <c r="L8" s="175">
        <f>H8-I8*(1+Tax)</f>
        <v>749407.2809</v>
      </c>
      <c r="M8" s="175">
        <f>L8*(1+GROWTH_RATE_L)*(1-FMC*(1+Tax))</f>
        <v>750863.0931</v>
      </c>
      <c r="N8" s="175">
        <f>M8+IF(MOD(A8,B8)=0,VLOOKUP(B8,'Pre-Calculation'!$H$1:$L$31,5,FALSE),0)*IF('Pre-Calculation'!$D$16="% OF FV",M8,IF(OR('Pre-Calculation'!$D$16="% OF AFV(24M)",'Pre-Calculation'!$D$16="% OF AFV(8Q)"),AVERAGE( $M$7:$M8),IF('Pre-Calculation'!$D$16="% OF AFV(12M)",AVERAGE($M$7:M8),IF('Pre-Calculation'!$D$16="% OF AFV(36M)",AVERAGE($M$7:M8)))))</f>
        <v>750863.0931</v>
      </c>
      <c r="O8" s="175">
        <f t="shared" si="4"/>
        <v>750863.0931</v>
      </c>
      <c r="P8" s="175">
        <f>IF('Pre-Calculation'!$D$17="Type 4 a",MAX(SA,N8,1.05*Q8),IF('Pre-Calculation'!$D$17="Type 4 c",N8,IF('Pre-Calculation'!$D$17="Type 4 d",SA+N8,IF('Pre-Calculation'!$D$17="Type 4 e",MAX(SA,N8),IF('Pre-Calculation'!$D$17="Type 4 f",SA,IF('Pre-Calculation'!$D$17="Type 4 g",1000+N8,IF('Pre-Calculation'!$D$17="Type 4 h",SA+X8,IF('Pre-Calculation'!$D$17="Type 4 i",MAX(N8,Q8),IF('Pre-Calculation'!$D$17="Type 4 k",MAX(N8,1.01*Q8),IF('Pre-Calculation'!$D$17="Type 4 m",MAX(105%*Q8,SA+N8),IF('Pre-Calculation'!$D$17="Type 4 o",MAX(SA,105%*Q8)+X8+Z8,IF('Pre-Calculation'!$D$17="Type 5",0))))))))))))</f>
        <v>1000000</v>
      </c>
      <c r="Q8" s="175">
        <f t="shared" si="5"/>
        <v>600000</v>
      </c>
      <c r="R8" s="119">
        <f>L8*(1+GROWTH_RATE)*FMC</f>
        <v>848.0461814</v>
      </c>
      <c r="S8" s="178">
        <f>S7*(1+'Pre-Calculation'!$E$27)</f>
        <v>653737.5257</v>
      </c>
      <c r="T8" s="175">
        <f>-E8+IF(A7=INPUT!$C$11*12,N8,0)</f>
        <v>0</v>
      </c>
      <c r="U8" s="175">
        <f t="shared" si="6"/>
        <v>751202.2229</v>
      </c>
      <c r="V8" s="175">
        <f>U8*(1+GROWTH_RATE_L)*(1-'Pre-Calculation'!$E$31)</f>
        <v>752406.3728</v>
      </c>
      <c r="W8" s="175">
        <f>-E8+IF(A7=INPUT!$C$11*12,V8,0)</f>
        <v>0</v>
      </c>
      <c r="X8" s="179">
        <f t="array" ref="X8">NPV('Pre-Calculation'!$E$20,$E9:E$246)</f>
        <v>340636.3041</v>
      </c>
      <c r="Y8" s="171">
        <f>10%*SA</f>
        <v>100000</v>
      </c>
      <c r="Z8" s="179">
        <f t="array" ref="Z8">NPV('Pre-Calculation'!$E$20,Y9:Y18)</f>
        <v>969592.8037</v>
      </c>
    </row>
    <row r="9">
      <c r="A9" s="171">
        <f t="shared" si="1"/>
        <v>63</v>
      </c>
      <c r="B9" s="171">
        <f t="shared" si="2"/>
        <v>6</v>
      </c>
      <c r="C9" s="176">
        <f>EDATE(RCD,A8)</f>
        <v>44438</v>
      </c>
      <c r="D9" s="171">
        <f>Age_At_Entry+'Cashflows_4%'!B9-1</f>
        <v>40</v>
      </c>
      <c r="E9" s="175">
        <f>IF(AND(C9&lt;=Last_Prem,MOD(A8,Mode)=0,C9&gt;INPUT!$C$13,A9&lt;=Revival!$C$11),Mod_Prem,0)</f>
        <v>0</v>
      </c>
      <c r="F9" s="177">
        <f>IF(B9&lt;PT+1,E9*VLOOKUP(B9,'Pre-Calculation'!$H$1:$I$31,2,FALSE),0)</f>
        <v>0</v>
      </c>
      <c r="G9" s="177">
        <f>IF(B9&lt;PT+1,VLOOKUP(B9,'Pre-Calculation'!$H$1:$L$32,3,FALSE)+VLOOKUP(B9,'Pre-Calculation'!$H$1:$L$32,4,FALSE)*'Pre-Calculation'!$D$7,0)</f>
        <v>830</v>
      </c>
      <c r="H9" s="175">
        <f>(E9-(F9+G9)*(1+Tax)+N8)</f>
        <v>749883.6931</v>
      </c>
      <c r="I9" s="175">
        <f>IF(B9&lt;PT+1,VLOOKUP(D9,'Pre-Calculation'!$N$3:$P$79,IF(INPUT!$C$4="M",2,3),FALSE)*(J9/1000)*(1/12),0)</f>
        <v>37.5695536</v>
      </c>
      <c r="J9" s="175">
        <f t="shared" si="3"/>
        <v>250116.3069</v>
      </c>
      <c r="K9" s="175">
        <f>(IF('Pre-Calculation'!$D$17="Type 4 a",MAX(SA,H9,1.05*Q9),IF('Pre-Calculation'!$D$17="Type 4 c",H9,IF('Pre-Calculation'!$D$17="Type 4 d",SA+H9,IF('Pre-Calculation'!$D$17="Type 4 e",MAX(SA,H9),IF('Pre-Calculation'!$D$17="Type 4 f",SA,IF('Pre-Calculation'!$D$17="Type 4 g",1000+H9,IF('Pre-Calculation'!$D$17="Type 4 h",SA+X9,IF('Pre-Calculation'!$D$17="Type 4 i",MAX(H9,Q9),IF('Pre-Calculation'!$D$17="Type 4 k",MAX(H9,1.01*Q9),IF('Pre-Calculation'!$D$17="Type 4 m",MAX(105%*Q9,SA+H9),IF('Pre-Calculation'!$D$17="Type 4 o",MAX(SA,105%*Q9)+X9+Z9,IF('Pre-Calculation'!$D$17="Type 5",0)))))))))))))*IF(AND(A9&lt;Revival!$C$4,C9&gt;=Revival!$D$12),PUP,1)</f>
        <v>1000000</v>
      </c>
      <c r="L9" s="175">
        <f>H9-I9*(1+Tax)</f>
        <v>749839.361</v>
      </c>
      <c r="M9" s="175">
        <f>L9*(1+GROWTH_RATE_L)*(1-FMC*(1+Tax))</f>
        <v>751296.0126</v>
      </c>
      <c r="N9" s="175">
        <f>M9+IF(MOD(A9,B9)=0,VLOOKUP(B9,'Pre-Calculation'!$H$1:$L$31,5,FALSE),0)*IF('Pre-Calculation'!$D$16="% OF FV",M9,IF(OR('Pre-Calculation'!$D$16="% OF AFV(24M)",'Pre-Calculation'!$D$16="% OF AFV(8Q)"),AVERAGE( $M$7:$M9),IF('Pre-Calculation'!$D$16="% OF AFV(12M)",AVERAGE($M$7:M9),IF('Pre-Calculation'!$D$16="% OF AFV(36M)",AVERAGE($M$7:M9)))))</f>
        <v>751296.0126</v>
      </c>
      <c r="O9" s="175">
        <f t="shared" si="4"/>
        <v>751296.0126</v>
      </c>
      <c r="P9" s="175">
        <f>IF('Pre-Calculation'!$D$17="Type 4 a",MAX(SA,N9,1.05*Q9),IF('Pre-Calculation'!$D$17="Type 4 c",N9,IF('Pre-Calculation'!$D$17="Type 4 d",SA+N9,IF('Pre-Calculation'!$D$17="Type 4 e",MAX(SA,N9),IF('Pre-Calculation'!$D$17="Type 4 f",SA,IF('Pre-Calculation'!$D$17="Type 4 g",1000+N9,IF('Pre-Calculation'!$D$17="Type 4 h",SA+X9,IF('Pre-Calculation'!$D$17="Type 4 i",MAX(N9,Q9),IF('Pre-Calculation'!$D$17="Type 4 k",MAX(N9,1.01*Q9),IF('Pre-Calculation'!$D$17="Type 4 m",MAX(105%*Q9,SA+N9),IF('Pre-Calculation'!$D$17="Type 4 o",MAX(SA,105%*Q9)+X9+Z9,IF('Pre-Calculation'!$D$17="Type 5",0))))))))))))</f>
        <v>1000000</v>
      </c>
      <c r="Q9" s="175">
        <f t="shared" si="5"/>
        <v>600000</v>
      </c>
      <c r="R9" s="119">
        <f>L9*(1+GROWTH_RATE)*FMC</f>
        <v>848.535133</v>
      </c>
      <c r="S9" s="178">
        <f>S8*(1+'Pre-Calculation'!$E$27)</f>
        <v>655614.3399</v>
      </c>
      <c r="T9" s="175">
        <f>-E9+IF(A8=INPUT!$C$11*12,N9,0)</f>
        <v>0</v>
      </c>
      <c r="U9" s="175">
        <f t="shared" si="6"/>
        <v>752406.3728</v>
      </c>
      <c r="V9" s="175">
        <f>U9*(1+GROWTH_RATE_L)*(1-'Pre-Calculation'!$E$31)</f>
        <v>753612.453</v>
      </c>
      <c r="W9" s="175">
        <f>-E9+IF(A8=INPUT!$C$11*12,V9,0)</f>
        <v>0</v>
      </c>
      <c r="X9" s="179">
        <f t="array" ref="X9">NPV('Pre-Calculation'!$E$20,$E10:E$246)</f>
        <v>342562.3113</v>
      </c>
      <c r="Y9" s="171">
        <f>10%*SA</f>
        <v>100000</v>
      </c>
      <c r="Z9" s="179">
        <f t="array" ref="Z9">NPV('Pre-Calculation'!$E$20,Y10:Y19)</f>
        <v>969592.8037</v>
      </c>
    </row>
    <row r="10">
      <c r="A10" s="171">
        <f t="shared" si="1"/>
        <v>64</v>
      </c>
      <c r="B10" s="171">
        <f t="shared" si="2"/>
        <v>6</v>
      </c>
      <c r="C10" s="176">
        <f>EDATE(RCD,A9)</f>
        <v>44469</v>
      </c>
      <c r="D10" s="171">
        <f>Age_At_Entry+'Cashflows_4%'!B10-1</f>
        <v>40</v>
      </c>
      <c r="E10" s="175">
        <f>IF(AND(C10&lt;=Last_Prem,MOD(A9,Mode)=0,C10&gt;INPUT!$C$13,A10&lt;=Revival!$C$11),Mod_Prem,0)</f>
        <v>0</v>
      </c>
      <c r="F10" s="177">
        <f>IF(B10&lt;PT+1,E10*VLOOKUP(B10,'Pre-Calculation'!$H$1:$I$31,2,FALSE),0)</f>
        <v>0</v>
      </c>
      <c r="G10" s="177">
        <f>IF(B10&lt;PT+1,VLOOKUP(B10,'Pre-Calculation'!$H$1:$L$32,3,FALSE)+VLOOKUP(B10,'Pre-Calculation'!$H$1:$L$32,4,FALSE)*'Pre-Calculation'!$D$7,0)</f>
        <v>830</v>
      </c>
      <c r="H10" s="175">
        <f>(E10-(F10+G10)*(1+Tax)+N9)</f>
        <v>750316.6126</v>
      </c>
      <c r="I10" s="175">
        <f>IF(B10&lt;PT+1,VLOOKUP(D10,'Pre-Calculation'!$N$3:$P$79,IF(INPUT!$C$4="M",2,3),FALSE)*(J10/1000)*(1/12),0)</f>
        <v>37.50452548</v>
      </c>
      <c r="J10" s="175">
        <f t="shared" si="3"/>
        <v>249683.3874</v>
      </c>
      <c r="K10" s="175">
        <f>(IF('Pre-Calculation'!$D$17="Type 4 a",MAX(SA,H10,1.05*Q10),IF('Pre-Calculation'!$D$17="Type 4 c",H10,IF('Pre-Calculation'!$D$17="Type 4 d",SA+H10,IF('Pre-Calculation'!$D$17="Type 4 e",MAX(SA,H10),IF('Pre-Calculation'!$D$17="Type 4 f",SA,IF('Pre-Calculation'!$D$17="Type 4 g",1000+H10,IF('Pre-Calculation'!$D$17="Type 4 h",SA+X10,IF('Pre-Calculation'!$D$17="Type 4 i",MAX(H10,Q10),IF('Pre-Calculation'!$D$17="Type 4 k",MAX(H10,1.01*Q10),IF('Pre-Calculation'!$D$17="Type 4 m",MAX(105%*Q10,SA+H10),IF('Pre-Calculation'!$D$17="Type 4 o",MAX(SA,105%*Q10)+X10+Z10,IF('Pre-Calculation'!$D$17="Type 5",0)))))))))))))*IF(AND(A10&lt;Revival!$C$4,C10&gt;=Revival!$D$12),PUP,1)</f>
        <v>1000000</v>
      </c>
      <c r="L10" s="175">
        <f>H10-I10*(1+Tax)</f>
        <v>750272.3573</v>
      </c>
      <c r="M10" s="175">
        <f>L10*(1+GROWTH_RATE_L)*(1-FMC*(1+Tax))</f>
        <v>751729.85</v>
      </c>
      <c r="N10" s="175">
        <f>M10+IF(MOD(A10,B10)=0,VLOOKUP(B10,'Pre-Calculation'!$H$1:$L$31,5,FALSE),0)*IF('Pre-Calculation'!$D$16="% OF FV",M10,IF(OR('Pre-Calculation'!$D$16="% OF AFV(24M)",'Pre-Calculation'!$D$16="% OF AFV(8Q)"),AVERAGE( $M$7:$M10),IF('Pre-Calculation'!$D$16="% OF AFV(12M)",AVERAGE($M$7:M10),IF('Pre-Calculation'!$D$16="% OF AFV(36M)",AVERAGE($M$7:M10)))))</f>
        <v>751729.85</v>
      </c>
      <c r="O10" s="175">
        <f t="shared" si="4"/>
        <v>751729.85</v>
      </c>
      <c r="P10" s="175">
        <f>IF('Pre-Calculation'!$D$17="Type 4 a",MAX(SA,N10,1.05*Q10),IF('Pre-Calculation'!$D$17="Type 4 c",N10,IF('Pre-Calculation'!$D$17="Type 4 d",SA+N10,IF('Pre-Calculation'!$D$17="Type 4 e",MAX(SA,N10),IF('Pre-Calculation'!$D$17="Type 4 f",SA,IF('Pre-Calculation'!$D$17="Type 4 g",1000+N10,IF('Pre-Calculation'!$D$17="Type 4 h",SA+X10,IF('Pre-Calculation'!$D$17="Type 4 i",MAX(N10,Q10),IF('Pre-Calculation'!$D$17="Type 4 k",MAX(N10,1.01*Q10),IF('Pre-Calculation'!$D$17="Type 4 m",MAX(105%*Q10,SA+N10),IF('Pre-Calculation'!$D$17="Type 4 o",MAX(SA,105%*Q10)+X10+Z10,IF('Pre-Calculation'!$D$17="Type 5",0))))))))))))</f>
        <v>1000000</v>
      </c>
      <c r="Q10" s="175">
        <f t="shared" si="5"/>
        <v>600000</v>
      </c>
      <c r="R10" s="119">
        <f>L10*(1+GROWTH_RATE)*FMC</f>
        <v>849.0251213</v>
      </c>
      <c r="S10" s="178">
        <f>S9*(1+'Pre-Calculation'!$E$27)</f>
        <v>657496.5423</v>
      </c>
      <c r="T10" s="175">
        <f>-E10+IF(A9=INPUT!$C$11*12,N10,0)</f>
        <v>0</v>
      </c>
      <c r="U10" s="175">
        <f t="shared" si="6"/>
        <v>753612.453</v>
      </c>
      <c r="V10" s="175">
        <f>U10*(1+GROWTH_RATE_L)*(1-'Pre-Calculation'!$E$31)</f>
        <v>754820.4665</v>
      </c>
      <c r="W10" s="175">
        <f>-E10+IF(A9=INPUT!$C$11*12,V10,0)</f>
        <v>0</v>
      </c>
      <c r="X10" s="179">
        <f t="array" ref="X10">NPV('Pre-Calculation'!$E$20,$E11:E$246)</f>
        <v>344499.2084</v>
      </c>
      <c r="Y10" s="171">
        <f>10%*SA</f>
        <v>100000</v>
      </c>
      <c r="Z10" s="179">
        <f t="array" ref="Z10">NPV('Pre-Calculation'!$E$20,Y11:Y20)</f>
        <v>969592.8037</v>
      </c>
    </row>
    <row r="11">
      <c r="A11" s="171">
        <f t="shared" si="1"/>
        <v>65</v>
      </c>
      <c r="B11" s="171">
        <f t="shared" si="2"/>
        <v>6</v>
      </c>
      <c r="C11" s="176">
        <f>EDATE(RCD,A10)</f>
        <v>44499</v>
      </c>
      <c r="D11" s="171">
        <f>Age_At_Entry+'Cashflows_4%'!B11-1</f>
        <v>40</v>
      </c>
      <c r="E11" s="175">
        <f>IF(AND(C11&lt;=Last_Prem,MOD(A10,Mode)=0,C11&gt;INPUT!$C$13,A11&lt;=Revival!$C$11),Mod_Prem,0)</f>
        <v>0</v>
      </c>
      <c r="F11" s="177">
        <f>IF(B11&lt;PT+1,E11*VLOOKUP(B11,'Pre-Calculation'!$H$1:$I$31,2,FALSE),0)</f>
        <v>0</v>
      </c>
      <c r="G11" s="177">
        <f>IF(B11&lt;PT+1,VLOOKUP(B11,'Pre-Calculation'!$H$1:$L$32,3,FALSE)+VLOOKUP(B11,'Pre-Calculation'!$H$1:$L$32,4,FALSE)*'Pre-Calculation'!$D$7,0)</f>
        <v>830</v>
      </c>
      <c r="H11" s="175">
        <f>(E11-(F11+G11)*(1+Tax)+N10)</f>
        <v>750750.45</v>
      </c>
      <c r="I11" s="175">
        <f>IF(B11&lt;PT+1,VLOOKUP(D11,'Pre-Calculation'!$N$3:$P$79,IF(INPUT!$C$4="M",2,3),FALSE)*(J11/1000)*(1/12),0)</f>
        <v>37.43935949</v>
      </c>
      <c r="J11" s="175">
        <f t="shared" si="3"/>
        <v>249249.55</v>
      </c>
      <c r="K11" s="175">
        <f>(IF('Pre-Calculation'!$D$17="Type 4 a",MAX(SA,H11,1.05*Q11),IF('Pre-Calculation'!$D$17="Type 4 c",H11,IF('Pre-Calculation'!$D$17="Type 4 d",SA+H11,IF('Pre-Calculation'!$D$17="Type 4 e",MAX(SA,H11),IF('Pre-Calculation'!$D$17="Type 4 f",SA,IF('Pre-Calculation'!$D$17="Type 4 g",1000+H11,IF('Pre-Calculation'!$D$17="Type 4 h",SA+X11,IF('Pre-Calculation'!$D$17="Type 4 i",MAX(H11,Q11),IF('Pre-Calculation'!$D$17="Type 4 k",MAX(H11,1.01*Q11),IF('Pre-Calculation'!$D$17="Type 4 m",MAX(105%*Q11,SA+H11),IF('Pre-Calculation'!$D$17="Type 4 o",MAX(SA,105%*Q11)+X11+Z11,IF('Pre-Calculation'!$D$17="Type 5",0)))))))))))))*IF(AND(A11&lt;Revival!$C$4,C11&gt;=Revival!$D$12),PUP,1)</f>
        <v>1000000</v>
      </c>
      <c r="L11" s="175">
        <f>H11-I11*(1+Tax)</f>
        <v>750706.2715</v>
      </c>
      <c r="M11" s="175">
        <f>L11*(1+GROWTH_RATE_L)*(1-FMC*(1+Tax))</f>
        <v>752164.6072</v>
      </c>
      <c r="N11" s="175">
        <f>M11+IF(MOD(A11,B11)=0,VLOOKUP(B11,'Pre-Calculation'!$H$1:$L$31,5,FALSE),0)*IF('Pre-Calculation'!$D$16="% OF FV",M11,IF(OR('Pre-Calculation'!$D$16="% OF AFV(24M)",'Pre-Calculation'!$D$16="% OF AFV(8Q)"),AVERAGE( $M$7:$M11),IF('Pre-Calculation'!$D$16="% OF AFV(12M)",AVERAGE($M$7:M11),IF('Pre-Calculation'!$D$16="% OF AFV(36M)",AVERAGE($M$7:M11)))))</f>
        <v>752164.6072</v>
      </c>
      <c r="O11" s="175">
        <f t="shared" si="4"/>
        <v>752164.6072</v>
      </c>
      <c r="P11" s="175">
        <f>IF('Pre-Calculation'!$D$17="Type 4 a",MAX(SA,N11,1.05*Q11),IF('Pre-Calculation'!$D$17="Type 4 c",N11,IF('Pre-Calculation'!$D$17="Type 4 d",SA+N11,IF('Pre-Calculation'!$D$17="Type 4 e",MAX(SA,N11),IF('Pre-Calculation'!$D$17="Type 4 f",SA,IF('Pre-Calculation'!$D$17="Type 4 g",1000+N11,IF('Pre-Calculation'!$D$17="Type 4 h",SA+X11,IF('Pre-Calculation'!$D$17="Type 4 i",MAX(N11,Q11),IF('Pre-Calculation'!$D$17="Type 4 k",MAX(N11,1.01*Q11),IF('Pre-Calculation'!$D$17="Type 4 m",MAX(105%*Q11,SA+N11),IF('Pre-Calculation'!$D$17="Type 4 o",MAX(SA,105%*Q11)+X11+Z11,IF('Pre-Calculation'!$D$17="Type 5",0))))))))))))</f>
        <v>1000000</v>
      </c>
      <c r="Q11" s="175">
        <f t="shared" si="5"/>
        <v>600000</v>
      </c>
      <c r="R11" s="119">
        <f>L11*(1+GROWTH_RATE)*FMC</f>
        <v>849.5161485</v>
      </c>
      <c r="S11" s="178">
        <f>S10*(1+'Pre-Calculation'!$E$27)</f>
        <v>659384.1482</v>
      </c>
      <c r="T11" s="175">
        <f>-E11+IF(A10=INPUT!$C$11*12,N11,0)</f>
        <v>0</v>
      </c>
      <c r="U11" s="175">
        <f t="shared" si="6"/>
        <v>754820.4665</v>
      </c>
      <c r="V11" s="175">
        <f>U11*(1+GROWTH_RATE_L)*(1-'Pre-Calculation'!$E$31)</f>
        <v>756030.4164</v>
      </c>
      <c r="W11" s="175">
        <f>-E11+IF(A10=INPUT!$C$11*12,V11,0)</f>
        <v>0</v>
      </c>
      <c r="X11" s="179">
        <f t="array" ref="X11">NPV('Pre-Calculation'!$E$20,$E12:E$246)</f>
        <v>346447.057</v>
      </c>
      <c r="Y11" s="171">
        <f>10%*SA</f>
        <v>100000</v>
      </c>
      <c r="Z11" s="179">
        <f t="array" ref="Z11">NPV('Pre-Calculation'!$E$20,Y12:Y21)</f>
        <v>969592.8037</v>
      </c>
    </row>
    <row r="12">
      <c r="A12" s="171">
        <f t="shared" si="1"/>
        <v>66</v>
      </c>
      <c r="B12" s="171">
        <f t="shared" si="2"/>
        <v>6</v>
      </c>
      <c r="C12" s="176">
        <f>EDATE(RCD,A11)</f>
        <v>44530</v>
      </c>
      <c r="D12" s="171">
        <f>Age_At_Entry+'Cashflows_4%'!B12-1</f>
        <v>40</v>
      </c>
      <c r="E12" s="175">
        <f>IF(AND(C12&lt;=Last_Prem,MOD(A11,Mode)=0,C12&gt;INPUT!$C$13,A12&lt;=Revival!$C$11),Mod_Prem,0)</f>
        <v>0</v>
      </c>
      <c r="F12" s="177">
        <f>IF(B12&lt;PT+1,E12*VLOOKUP(B12,'Pre-Calculation'!$H$1:$I$31,2,FALSE),0)</f>
        <v>0</v>
      </c>
      <c r="G12" s="177">
        <f>IF(B12&lt;PT+1,VLOOKUP(B12,'Pre-Calculation'!$H$1:$L$32,3,FALSE)+VLOOKUP(B12,'Pre-Calculation'!$H$1:$L$32,4,FALSE)*'Pre-Calculation'!$D$7,0)</f>
        <v>830</v>
      </c>
      <c r="H12" s="175">
        <f>(E12-(F12+G12)*(1+Tax)+N11)</f>
        <v>751185.2072</v>
      </c>
      <c r="I12" s="175">
        <f>IF(B12&lt;PT+1,VLOOKUP(D12,'Pre-Calculation'!$N$3:$P$79,IF(INPUT!$C$4="M",2,3),FALSE)*(J12/1000)*(1/12),0)</f>
        <v>37.37405534</v>
      </c>
      <c r="J12" s="175">
        <f t="shared" si="3"/>
        <v>248814.7928</v>
      </c>
      <c r="K12" s="175">
        <f>(IF('Pre-Calculation'!$D$17="Type 4 a",MAX(SA,H12,1.05*Q12),IF('Pre-Calculation'!$D$17="Type 4 c",H12,IF('Pre-Calculation'!$D$17="Type 4 d",SA+H12,IF('Pre-Calculation'!$D$17="Type 4 e",MAX(SA,H12),IF('Pre-Calculation'!$D$17="Type 4 f",SA,IF('Pre-Calculation'!$D$17="Type 4 g",1000+H12,IF('Pre-Calculation'!$D$17="Type 4 h",SA+X12,IF('Pre-Calculation'!$D$17="Type 4 i",MAX(H12,Q12),IF('Pre-Calculation'!$D$17="Type 4 k",MAX(H12,1.01*Q12),IF('Pre-Calculation'!$D$17="Type 4 m",MAX(105%*Q12,SA+H12),IF('Pre-Calculation'!$D$17="Type 4 o",MAX(SA,105%*Q12)+X12+Z12,IF('Pre-Calculation'!$D$17="Type 5",0)))))))))))))*IF(AND(A12&lt;Revival!$C$4,C12&gt;=Revival!$D$12),PUP,1)</f>
        <v>1000000</v>
      </c>
      <c r="L12" s="175">
        <f>H12-I12*(1+Tax)</f>
        <v>751141.1058</v>
      </c>
      <c r="M12" s="175">
        <f>L12*(1+GROWTH_RATE_L)*(1-FMC*(1+Tax))</f>
        <v>752600.2862</v>
      </c>
      <c r="N12" s="175">
        <f>M12+IF(MOD(A12,B12)=0,VLOOKUP(B12,'Pre-Calculation'!$H$1:$L$31,5,FALSE),0)*IF('Pre-Calculation'!$D$16="% OF FV",M12,IF(OR('Pre-Calculation'!$D$16="% OF AFV(24M)",'Pre-Calculation'!$D$16="% OF AFV(8Q)"),AVERAGE( $M$7:$M12),IF('Pre-Calculation'!$D$16="% OF AFV(12M)",AVERAGE($M$7:M12),IF('Pre-Calculation'!$D$16="% OF AFV(36M)",AVERAGE($M$7:M12)))))</f>
        <v>752600.2862</v>
      </c>
      <c r="O12" s="175">
        <f t="shared" si="4"/>
        <v>752600.2862</v>
      </c>
      <c r="P12" s="175">
        <f>IF('Pre-Calculation'!$D$17="Type 4 a",MAX(SA,N12,1.05*Q12),IF('Pre-Calculation'!$D$17="Type 4 c",N12,IF('Pre-Calculation'!$D$17="Type 4 d",SA+N12,IF('Pre-Calculation'!$D$17="Type 4 e",MAX(SA,N12),IF('Pre-Calculation'!$D$17="Type 4 f",SA,IF('Pre-Calculation'!$D$17="Type 4 g",1000+N12,IF('Pre-Calculation'!$D$17="Type 4 h",SA+X12,IF('Pre-Calculation'!$D$17="Type 4 i",MAX(N12,Q12),IF('Pre-Calculation'!$D$17="Type 4 k",MAX(N12,1.01*Q12),IF('Pre-Calculation'!$D$17="Type 4 m",MAX(105%*Q12,SA+N12),IF('Pre-Calculation'!$D$17="Type 4 o",MAX(SA,105%*Q12)+X12+Z12,IF('Pre-Calculation'!$D$17="Type 5",0))))))))))))</f>
        <v>1000000</v>
      </c>
      <c r="Q12" s="175">
        <f t="shared" si="5"/>
        <v>600000</v>
      </c>
      <c r="R12" s="119">
        <f>L12*(1+GROWTH_RATE)*FMC</f>
        <v>850.0082167</v>
      </c>
      <c r="S12" s="178">
        <f>S11*(1+'Pre-Calculation'!$E$27)</f>
        <v>661277.1734</v>
      </c>
      <c r="T12" s="175">
        <f>-E12+IF(A11=INPUT!$C$11*12,N12,0)</f>
        <v>0</v>
      </c>
      <c r="U12" s="175">
        <f t="shared" si="6"/>
        <v>756030.4164</v>
      </c>
      <c r="V12" s="175">
        <f>U12*(1+GROWTH_RATE_L)*(1-'Pre-Calculation'!$E$31)</f>
        <v>757242.3058</v>
      </c>
      <c r="W12" s="175">
        <f>-E12+IF(A11=INPUT!$C$11*12,V12,0)</f>
        <v>0</v>
      </c>
      <c r="X12" s="179">
        <f t="array" ref="X12">NPV('Pre-Calculation'!$E$20,$E13:E$246)</f>
        <v>348405.9191</v>
      </c>
      <c r="Y12" s="171">
        <f>10%*SA</f>
        <v>100000</v>
      </c>
      <c r="Z12" s="179">
        <f t="array" ref="Z12">NPV('Pre-Calculation'!$E$20,Y13:Y22)</f>
        <v>969592.8037</v>
      </c>
    </row>
    <row r="13">
      <c r="A13" s="171">
        <f t="shared" si="1"/>
        <v>67</v>
      </c>
      <c r="B13" s="171">
        <f t="shared" si="2"/>
        <v>6</v>
      </c>
      <c r="C13" s="176">
        <f>EDATE(RCD,A12)</f>
        <v>44560</v>
      </c>
      <c r="D13" s="171">
        <f>Age_At_Entry+'Cashflows_4%'!B13-1</f>
        <v>40</v>
      </c>
      <c r="E13" s="175">
        <f>IF(AND(C13&lt;=Last_Prem,MOD(A12,Mode)=0,C13&gt;INPUT!$C$13,A13&lt;=Revival!$C$11),Mod_Prem,0)</f>
        <v>0</v>
      </c>
      <c r="F13" s="177">
        <f>IF(B13&lt;PT+1,E13*VLOOKUP(B13,'Pre-Calculation'!$H$1:$I$31,2,FALSE),0)</f>
        <v>0</v>
      </c>
      <c r="G13" s="177">
        <f>IF(B13&lt;PT+1,VLOOKUP(B13,'Pre-Calculation'!$H$1:$L$32,3,FALSE)+VLOOKUP(B13,'Pre-Calculation'!$H$1:$L$32,4,FALSE)*'Pre-Calculation'!$D$7,0)</f>
        <v>830</v>
      </c>
      <c r="H13" s="175">
        <f>(E13-(F13+G13)*(1+Tax)+N12)</f>
        <v>751620.8862</v>
      </c>
      <c r="I13" s="175">
        <f>IF(B13&lt;PT+1,VLOOKUP(D13,'Pre-Calculation'!$N$3:$P$79,IF(INPUT!$C$4="M",2,3),FALSE)*(J13/1000)*(1/12),0)</f>
        <v>37.30861272</v>
      </c>
      <c r="J13" s="175">
        <f t="shared" si="3"/>
        <v>248379.1138</v>
      </c>
      <c r="K13" s="175">
        <f>(IF('Pre-Calculation'!$D$17="Type 4 a",MAX(SA,H13,1.05*Q13),IF('Pre-Calculation'!$D$17="Type 4 c",H13,IF('Pre-Calculation'!$D$17="Type 4 d",SA+H13,IF('Pre-Calculation'!$D$17="Type 4 e",MAX(SA,H13),IF('Pre-Calculation'!$D$17="Type 4 f",SA,IF('Pre-Calculation'!$D$17="Type 4 g",1000+H13,IF('Pre-Calculation'!$D$17="Type 4 h",SA+X13,IF('Pre-Calculation'!$D$17="Type 4 i",MAX(H13,Q13),IF('Pre-Calculation'!$D$17="Type 4 k",MAX(H13,1.01*Q13),IF('Pre-Calculation'!$D$17="Type 4 m",MAX(105%*Q13,SA+H13),IF('Pre-Calculation'!$D$17="Type 4 o",MAX(SA,105%*Q13)+X13+Z13,IF('Pre-Calculation'!$D$17="Type 5",0)))))))))))))*IF(AND(A13&lt;Revival!$C$4,C13&gt;=Revival!$D$12),PUP,1)</f>
        <v>1000000</v>
      </c>
      <c r="L13" s="175">
        <f>H13-I13*(1+Tax)</f>
        <v>751576.862</v>
      </c>
      <c r="M13" s="175">
        <f>L13*(1+GROWTH_RATE_L)*(1-FMC*(1+Tax))</f>
        <v>753036.8889</v>
      </c>
      <c r="N13" s="175">
        <f>M13+IF(MOD(A13,B13)=0,VLOOKUP(B13,'Pre-Calculation'!$H$1:$L$31,5,FALSE),0)*IF('Pre-Calculation'!$D$16="% OF FV",M13,IF(OR('Pre-Calculation'!$D$16="% OF AFV(24M)",'Pre-Calculation'!$D$16="% OF AFV(8Q)"),AVERAGE( $M$7:$M13),IF('Pre-Calculation'!$D$16="% OF AFV(12M)",AVERAGE($M$7:M13),IF('Pre-Calculation'!$D$16="% OF AFV(36M)",AVERAGE($M$7:M13)))))</f>
        <v>753036.8889</v>
      </c>
      <c r="O13" s="175">
        <f t="shared" si="4"/>
        <v>753036.8889</v>
      </c>
      <c r="P13" s="175">
        <f>IF('Pre-Calculation'!$D$17="Type 4 a",MAX(SA,N13,1.05*Q13),IF('Pre-Calculation'!$D$17="Type 4 c",N13,IF('Pre-Calculation'!$D$17="Type 4 d",SA+N13,IF('Pre-Calculation'!$D$17="Type 4 e",MAX(SA,N13),IF('Pre-Calculation'!$D$17="Type 4 f",SA,IF('Pre-Calculation'!$D$17="Type 4 g",1000+N13,IF('Pre-Calculation'!$D$17="Type 4 h",SA+X13,IF('Pre-Calculation'!$D$17="Type 4 i",MAX(N13,Q13),IF('Pre-Calculation'!$D$17="Type 4 k",MAX(N13,1.01*Q13),IF('Pre-Calculation'!$D$17="Type 4 m",MAX(105%*Q13,SA+N13),IF('Pre-Calculation'!$D$17="Type 4 o",MAX(SA,105%*Q13)+X13+Z13,IF('Pre-Calculation'!$D$17="Type 5",0))))))))))))</f>
        <v>1000000</v>
      </c>
      <c r="Q13" s="175">
        <f t="shared" si="5"/>
        <v>600000</v>
      </c>
      <c r="R13" s="119">
        <f>L13*(1+GROWTH_RATE)*FMC</f>
        <v>850.5013283</v>
      </c>
      <c r="S13" s="178">
        <f>S12*(1+'Pre-Calculation'!$E$27)</f>
        <v>663175.6331</v>
      </c>
      <c r="T13" s="175">
        <f>-E13+IF(A12=INPUT!$C$11*12,N13,0)</f>
        <v>0</v>
      </c>
      <c r="U13" s="175">
        <f t="shared" si="6"/>
        <v>757242.3058</v>
      </c>
      <c r="V13" s="175">
        <f>U13*(1+GROWTH_RATE_L)*(1-'Pre-Calculation'!$E$31)</f>
        <v>758456.1378</v>
      </c>
      <c r="W13" s="175">
        <f>-E13+IF(A12=INPUT!$C$11*12,V13,0)</f>
        <v>0</v>
      </c>
      <c r="X13" s="179">
        <f t="array" ref="X13">NPV('Pre-Calculation'!$E$20,$E14:E$246)</f>
        <v>350375.8568</v>
      </c>
      <c r="Y13" s="171">
        <f>10%*SA</f>
        <v>100000</v>
      </c>
      <c r="Z13" s="179">
        <f t="array" ref="Z13">NPV('Pre-Calculation'!$E$20,Y14:Y23)</f>
        <v>969592.8037</v>
      </c>
    </row>
    <row r="14">
      <c r="A14" s="171">
        <f t="shared" si="1"/>
        <v>68</v>
      </c>
      <c r="B14" s="171">
        <f t="shared" si="2"/>
        <v>6</v>
      </c>
      <c r="C14" s="176">
        <f>EDATE(RCD,A13)</f>
        <v>44591</v>
      </c>
      <c r="D14" s="171">
        <f>Age_At_Entry+'Cashflows_4%'!B14-1</f>
        <v>40</v>
      </c>
      <c r="E14" s="175">
        <f>IF(AND(C14&lt;=Last_Prem,MOD(A13,Mode)=0,C14&gt;INPUT!$C$13,A14&lt;=Revival!$C$11),Mod_Prem,0)</f>
        <v>0</v>
      </c>
      <c r="F14" s="177">
        <f>IF(B14&lt;PT+1,E14*VLOOKUP(B14,'Pre-Calculation'!$H$1:$I$31,2,FALSE),0)</f>
        <v>0</v>
      </c>
      <c r="G14" s="177">
        <f>IF(B14&lt;PT+1,VLOOKUP(B14,'Pre-Calculation'!$H$1:$L$32,3,FALSE)+VLOOKUP(B14,'Pre-Calculation'!$H$1:$L$32,4,FALSE)*'Pre-Calculation'!$D$7,0)</f>
        <v>830</v>
      </c>
      <c r="H14" s="175">
        <f>(E14-(F14+G14)*(1+Tax)+N13)</f>
        <v>752057.4889</v>
      </c>
      <c r="I14" s="175">
        <f>IF(B14&lt;PT+1,VLOOKUP(D14,'Pre-Calculation'!$N$3:$P$79,IF(INPUT!$C$4="M",2,3),FALSE)*(J14/1000)*(1/12),0)</f>
        <v>37.24303136</v>
      </c>
      <c r="J14" s="175">
        <f t="shared" si="3"/>
        <v>247942.5111</v>
      </c>
      <c r="K14" s="175">
        <f>(IF('Pre-Calculation'!$D$17="Type 4 a",MAX(SA,H14,1.05*Q14),IF('Pre-Calculation'!$D$17="Type 4 c",H14,IF('Pre-Calculation'!$D$17="Type 4 d",SA+H14,IF('Pre-Calculation'!$D$17="Type 4 e",MAX(SA,H14),IF('Pre-Calculation'!$D$17="Type 4 f",SA,IF('Pre-Calculation'!$D$17="Type 4 g",1000+H14,IF('Pre-Calculation'!$D$17="Type 4 h",SA+X14,IF('Pre-Calculation'!$D$17="Type 4 i",MAX(H14,Q14),IF('Pre-Calculation'!$D$17="Type 4 k",MAX(H14,1.01*Q14),IF('Pre-Calculation'!$D$17="Type 4 m",MAX(105%*Q14,SA+H14),IF('Pre-Calculation'!$D$17="Type 4 o",MAX(SA,105%*Q14)+X14+Z14,IF('Pre-Calculation'!$D$17="Type 5",0)))))))))))))*IF(AND(A14&lt;Revival!$C$4,C14&gt;=Revival!$D$12),PUP,1)</f>
        <v>1000000</v>
      </c>
      <c r="L14" s="175">
        <f>H14-I14*(1+Tax)</f>
        <v>752013.5421</v>
      </c>
      <c r="M14" s="175">
        <f>L14*(1+GROWTH_RATE_L)*(1-FMC*(1+Tax))</f>
        <v>753474.4173</v>
      </c>
      <c r="N14" s="175">
        <f>M14+IF(MOD(A14,B14)=0,VLOOKUP(B14,'Pre-Calculation'!$H$1:$L$31,5,FALSE),0)*IF('Pre-Calculation'!$D$16="% OF FV",M14,IF(OR('Pre-Calculation'!$D$16="% OF AFV(24M)",'Pre-Calculation'!$D$16="% OF AFV(8Q)"),AVERAGE( $M$7:$M14),IF('Pre-Calculation'!$D$16="% OF AFV(12M)",AVERAGE($M$7:M14),IF('Pre-Calculation'!$D$16="% OF AFV(36M)",AVERAGE($M$7:M14)))))</f>
        <v>753474.4173</v>
      </c>
      <c r="O14" s="175">
        <f t="shared" si="4"/>
        <v>753474.4173</v>
      </c>
      <c r="P14" s="175">
        <f>IF('Pre-Calculation'!$D$17="Type 4 a",MAX(SA,N14,1.05*Q14),IF('Pre-Calculation'!$D$17="Type 4 c",N14,IF('Pre-Calculation'!$D$17="Type 4 d",SA+N14,IF('Pre-Calculation'!$D$17="Type 4 e",MAX(SA,N14),IF('Pre-Calculation'!$D$17="Type 4 f",SA,IF('Pre-Calculation'!$D$17="Type 4 g",1000+N14,IF('Pre-Calculation'!$D$17="Type 4 h",SA+X14,IF('Pre-Calculation'!$D$17="Type 4 i",MAX(N14,Q14),IF('Pre-Calculation'!$D$17="Type 4 k",MAX(N14,1.01*Q14),IF('Pre-Calculation'!$D$17="Type 4 m",MAX(105%*Q14,SA+N14),IF('Pre-Calculation'!$D$17="Type 4 o",MAX(SA,105%*Q14)+X14+Z14,IF('Pre-Calculation'!$D$17="Type 5",0))))))))))))</f>
        <v>1000000</v>
      </c>
      <c r="Q14" s="175">
        <f t="shared" si="5"/>
        <v>600000</v>
      </c>
      <c r="R14" s="119">
        <f>L14*(1+GROWTH_RATE)*FMC</f>
        <v>850.9954853</v>
      </c>
      <c r="S14" s="178">
        <f>S13*(1+'Pre-Calculation'!$E$27)</f>
        <v>665079.5432</v>
      </c>
      <c r="T14" s="175">
        <f>-E14+IF(A13=INPUT!$C$11*12,N14,0)</f>
        <v>0</v>
      </c>
      <c r="U14" s="175">
        <f t="shared" si="6"/>
        <v>758456.1378</v>
      </c>
      <c r="V14" s="175">
        <f>U14*(1+GROWTH_RATE_L)*(1-'Pre-Calculation'!$E$31)</f>
        <v>759671.9155</v>
      </c>
      <c r="W14" s="175">
        <f>-E14+IF(A13=INPUT!$C$11*12,V14,0)</f>
        <v>0</v>
      </c>
      <c r="X14" s="179">
        <f t="array" ref="X14">NPV('Pre-Calculation'!$E$20,$E15:E$246)</f>
        <v>352356.9328</v>
      </c>
      <c r="Y14" s="171">
        <f>10%*SA</f>
        <v>100000</v>
      </c>
      <c r="Z14" s="179">
        <f t="array" ref="Z14">NPV('Pre-Calculation'!$E$20,Y15:Y24)</f>
        <v>969592.8037</v>
      </c>
    </row>
    <row r="15">
      <c r="A15" s="171">
        <f t="shared" si="1"/>
        <v>69</v>
      </c>
      <c r="B15" s="171">
        <f t="shared" si="2"/>
        <v>6</v>
      </c>
      <c r="C15" s="176">
        <f>EDATE(RCD,A14)</f>
        <v>44620</v>
      </c>
      <c r="D15" s="171">
        <f>Age_At_Entry+'Cashflows_4%'!B15-1</f>
        <v>40</v>
      </c>
      <c r="E15" s="175">
        <f>IF(AND(C15&lt;=Last_Prem,MOD(A14,Mode)=0,C15&gt;INPUT!$C$13,A15&lt;=Revival!$C$11),Mod_Prem,0)</f>
        <v>0</v>
      </c>
      <c r="F15" s="177">
        <f>IF(B15&lt;PT+1,E15*VLOOKUP(B15,'Pre-Calculation'!$H$1:$I$31,2,FALSE),0)</f>
        <v>0</v>
      </c>
      <c r="G15" s="177">
        <f>IF(B15&lt;PT+1,VLOOKUP(B15,'Pre-Calculation'!$H$1:$L$32,3,FALSE)+VLOOKUP(B15,'Pre-Calculation'!$H$1:$L$32,4,FALSE)*'Pre-Calculation'!$D$7,0)</f>
        <v>830</v>
      </c>
      <c r="H15" s="175">
        <f>(E15-(F15+G15)*(1+Tax)+N14)</f>
        <v>752495.0173</v>
      </c>
      <c r="I15" s="175">
        <f>IF(B15&lt;PT+1,VLOOKUP(D15,'Pre-Calculation'!$N$3:$P$79,IF(INPUT!$C$4="M",2,3),FALSE)*(J15/1000)*(1/12),0)</f>
        <v>37.17731095</v>
      </c>
      <c r="J15" s="175">
        <f t="shared" si="3"/>
        <v>247504.9827</v>
      </c>
      <c r="K15" s="175">
        <f>(IF('Pre-Calculation'!$D$17="Type 4 a",MAX(SA,H15,1.05*Q15),IF('Pre-Calculation'!$D$17="Type 4 c",H15,IF('Pre-Calculation'!$D$17="Type 4 d",SA+H15,IF('Pre-Calculation'!$D$17="Type 4 e",MAX(SA,H15),IF('Pre-Calculation'!$D$17="Type 4 f",SA,IF('Pre-Calculation'!$D$17="Type 4 g",1000+H15,IF('Pre-Calculation'!$D$17="Type 4 h",SA+X15,IF('Pre-Calculation'!$D$17="Type 4 i",MAX(H15,Q15),IF('Pre-Calculation'!$D$17="Type 4 k",MAX(H15,1.01*Q15),IF('Pre-Calculation'!$D$17="Type 4 m",MAX(105%*Q15,SA+H15),IF('Pre-Calculation'!$D$17="Type 4 o",MAX(SA,105%*Q15)+X15+Z15,IF('Pre-Calculation'!$D$17="Type 5",0)))))))))))))*IF(AND(A15&lt;Revival!$C$4,C15&gt;=Revival!$D$12),PUP,1)</f>
        <v>1000000</v>
      </c>
      <c r="L15" s="175">
        <f>H15-I15*(1+Tax)</f>
        <v>752451.148</v>
      </c>
      <c r="M15" s="175">
        <f>L15*(1+GROWTH_RATE_L)*(1-FMC*(1+Tax))</f>
        <v>753912.8733</v>
      </c>
      <c r="N15" s="175">
        <f>M15+IF(MOD(A15,B15)=0,VLOOKUP(B15,'Pre-Calculation'!$H$1:$L$31,5,FALSE),0)*IF('Pre-Calculation'!$D$16="% OF FV",M15,IF(OR('Pre-Calculation'!$D$16="% OF AFV(24M)",'Pre-Calculation'!$D$16="% OF AFV(8Q)"),AVERAGE( $M$7:$M15),IF('Pre-Calculation'!$D$16="% OF AFV(12M)",AVERAGE($M$7:M15),IF('Pre-Calculation'!$D$16="% OF AFV(36M)",AVERAGE($M$7:M15)))))</f>
        <v>753912.8733</v>
      </c>
      <c r="O15" s="175">
        <f t="shared" si="4"/>
        <v>753912.8733</v>
      </c>
      <c r="P15" s="175">
        <f>IF('Pre-Calculation'!$D$17="Type 4 a",MAX(SA,N15,1.05*Q15),IF('Pre-Calculation'!$D$17="Type 4 c",N15,IF('Pre-Calculation'!$D$17="Type 4 d",SA+N15,IF('Pre-Calculation'!$D$17="Type 4 e",MAX(SA,N15),IF('Pre-Calculation'!$D$17="Type 4 f",SA,IF('Pre-Calculation'!$D$17="Type 4 g",1000+N15,IF('Pre-Calculation'!$D$17="Type 4 h",SA+X15,IF('Pre-Calculation'!$D$17="Type 4 i",MAX(N15,Q15),IF('Pre-Calculation'!$D$17="Type 4 k",MAX(N15,1.01*Q15),IF('Pre-Calculation'!$D$17="Type 4 m",MAX(105%*Q15,SA+N15),IF('Pre-Calculation'!$D$17="Type 4 o",MAX(SA,105%*Q15)+X15+Z15,IF('Pre-Calculation'!$D$17="Type 5",0))))))))))))</f>
        <v>1000000</v>
      </c>
      <c r="Q15" s="175">
        <f t="shared" si="5"/>
        <v>600000</v>
      </c>
      <c r="R15" s="119">
        <f>L15*(1+GROWTH_RATE)*FMC</f>
        <v>851.4906901</v>
      </c>
      <c r="S15" s="178">
        <f>S14*(1+'Pre-Calculation'!$E$27)</f>
        <v>666988.9192</v>
      </c>
      <c r="T15" s="175">
        <f>-E15+IF(A14=INPUT!$C$11*12,N15,0)</f>
        <v>0</v>
      </c>
      <c r="U15" s="175">
        <f t="shared" si="6"/>
        <v>759671.9155</v>
      </c>
      <c r="V15" s="175">
        <f>U15*(1+GROWTH_RATE_L)*(1-'Pre-Calculation'!$E$31)</f>
        <v>760889.6421</v>
      </c>
      <c r="W15" s="175">
        <f>-E15+IF(A14=INPUT!$C$11*12,V15,0)</f>
        <v>0</v>
      </c>
      <c r="X15" s="179">
        <f t="array" ref="X15">NPV('Pre-Calculation'!$E$20,$E16:E$246)</f>
        <v>354349.2102</v>
      </c>
      <c r="Y15" s="171">
        <f>10%*SA</f>
        <v>100000</v>
      </c>
      <c r="Z15" s="179">
        <f t="array" ref="Z15">NPV('Pre-Calculation'!$E$20,Y16:Y25)</f>
        <v>969592.8037</v>
      </c>
    </row>
    <row r="16">
      <c r="A16" s="171">
        <f t="shared" si="1"/>
        <v>70</v>
      </c>
      <c r="B16" s="171">
        <f t="shared" si="2"/>
        <v>6</v>
      </c>
      <c r="C16" s="176">
        <f>EDATE(RCD,A15)</f>
        <v>44650</v>
      </c>
      <c r="D16" s="171">
        <f>Age_At_Entry+'Cashflows_4%'!B16-1</f>
        <v>40</v>
      </c>
      <c r="E16" s="175">
        <f>IF(AND(C16&lt;=Last_Prem,MOD(A15,Mode)=0,C16&gt;INPUT!$C$13,A16&lt;=Revival!$C$11),Mod_Prem,0)</f>
        <v>0</v>
      </c>
      <c r="F16" s="177">
        <f>IF(B16&lt;PT+1,E16*VLOOKUP(B16,'Pre-Calculation'!$H$1:$I$31,2,FALSE),0)</f>
        <v>0</v>
      </c>
      <c r="G16" s="177">
        <f>IF(B16&lt;PT+1,VLOOKUP(B16,'Pre-Calculation'!$H$1:$L$32,3,FALSE)+VLOOKUP(B16,'Pre-Calculation'!$H$1:$L$32,4,FALSE)*'Pre-Calculation'!$D$7,0)</f>
        <v>830</v>
      </c>
      <c r="H16" s="175">
        <f>(E16-(F16+G16)*(1+Tax)+N15)</f>
        <v>752933.4733</v>
      </c>
      <c r="I16" s="175">
        <f>IF(B16&lt;PT+1,VLOOKUP(D16,'Pre-Calculation'!$N$3:$P$79,IF(INPUT!$C$4="M",2,3),FALSE)*(J16/1000)*(1/12),0)</f>
        <v>37.1114512</v>
      </c>
      <c r="J16" s="175">
        <f t="shared" si="3"/>
        <v>247066.5267</v>
      </c>
      <c r="K16" s="175">
        <f>(IF('Pre-Calculation'!$D$17="Type 4 a",MAX(SA,H16,1.05*Q16),IF('Pre-Calculation'!$D$17="Type 4 c",H16,IF('Pre-Calculation'!$D$17="Type 4 d",SA+H16,IF('Pre-Calculation'!$D$17="Type 4 e",MAX(SA,H16),IF('Pre-Calculation'!$D$17="Type 4 f",SA,IF('Pre-Calculation'!$D$17="Type 4 g",1000+H16,IF('Pre-Calculation'!$D$17="Type 4 h",SA+X16,IF('Pre-Calculation'!$D$17="Type 4 i",MAX(H16,Q16),IF('Pre-Calculation'!$D$17="Type 4 k",MAX(H16,1.01*Q16),IF('Pre-Calculation'!$D$17="Type 4 m",MAX(105%*Q16,SA+H16),IF('Pre-Calculation'!$D$17="Type 4 o",MAX(SA,105%*Q16)+X16+Z16,IF('Pre-Calculation'!$D$17="Type 5",0)))))))))))))*IF(AND(A16&lt;Revival!$C$4,C16&gt;=Revival!$D$12),PUP,1)</f>
        <v>1000000</v>
      </c>
      <c r="L16" s="175">
        <f>H16-I16*(1+Tax)</f>
        <v>752889.6818</v>
      </c>
      <c r="M16" s="175">
        <f>L16*(1+GROWTH_RATE_L)*(1-FMC*(1+Tax))</f>
        <v>754352.259</v>
      </c>
      <c r="N16" s="175">
        <f>M16+IF(MOD(A16,B16)=0,VLOOKUP(B16,'Pre-Calculation'!$H$1:$L$31,5,FALSE),0)*IF('Pre-Calculation'!$D$16="% OF FV",M16,IF(OR('Pre-Calculation'!$D$16="% OF AFV(24M)",'Pre-Calculation'!$D$16="% OF AFV(8Q)"),AVERAGE( $M$7:$M16),IF('Pre-Calculation'!$D$16="% OF AFV(12M)",AVERAGE($M$7:M16),IF('Pre-Calculation'!$D$16="% OF AFV(36M)",AVERAGE($M$7:M16)))))</f>
        <v>754352.259</v>
      </c>
      <c r="O16" s="175">
        <f t="shared" si="4"/>
        <v>754352.259</v>
      </c>
      <c r="P16" s="175">
        <f>IF('Pre-Calculation'!$D$17="Type 4 a",MAX(SA,N16,1.05*Q16),IF('Pre-Calculation'!$D$17="Type 4 c",N16,IF('Pre-Calculation'!$D$17="Type 4 d",SA+N16,IF('Pre-Calculation'!$D$17="Type 4 e",MAX(SA,N16),IF('Pre-Calculation'!$D$17="Type 4 f",SA,IF('Pre-Calculation'!$D$17="Type 4 g",1000+N16,IF('Pre-Calculation'!$D$17="Type 4 h",SA+X16,IF('Pre-Calculation'!$D$17="Type 4 i",MAX(N16,Q16),IF('Pre-Calculation'!$D$17="Type 4 k",MAX(N16,1.01*Q16),IF('Pre-Calculation'!$D$17="Type 4 m",MAX(105%*Q16,SA+N16),IF('Pre-Calculation'!$D$17="Type 4 o",MAX(SA,105%*Q16)+X16+Z16,IF('Pre-Calculation'!$D$17="Type 5",0))))))))))))</f>
        <v>1000000</v>
      </c>
      <c r="Q16" s="175">
        <f t="shared" si="5"/>
        <v>600000</v>
      </c>
      <c r="R16" s="119">
        <f>L16*(1+GROWTH_RATE)*FMC</f>
        <v>851.9869448</v>
      </c>
      <c r="S16" s="178">
        <f>S15*(1+'Pre-Calculation'!$E$27)</f>
        <v>668903.7769</v>
      </c>
      <c r="T16" s="175">
        <f>-E16+IF(A15=INPUT!$C$11*12,N16,0)</f>
        <v>0</v>
      </c>
      <c r="U16" s="175">
        <f t="shared" si="6"/>
        <v>760889.6421</v>
      </c>
      <c r="V16" s="175">
        <f>U16*(1+GROWTH_RATE_L)*(1-'Pre-Calculation'!$E$31)</f>
        <v>762109.3207</v>
      </c>
      <c r="W16" s="175">
        <f>-E16+IF(A15=INPUT!$C$11*12,V16,0)</f>
        <v>0</v>
      </c>
      <c r="X16" s="179">
        <f t="array" ref="X16">NPV('Pre-Calculation'!$E$20,$E17:E$246)</f>
        <v>356352.7521</v>
      </c>
      <c r="Y16" s="171">
        <f>10%*SA</f>
        <v>100000</v>
      </c>
      <c r="Z16" s="179">
        <f t="array" ref="Z16">NPV('Pre-Calculation'!$E$20,Y17:Y26)</f>
        <v>969592.8037</v>
      </c>
    </row>
    <row r="17">
      <c r="A17" s="171">
        <f t="shared" si="1"/>
        <v>71</v>
      </c>
      <c r="B17" s="171">
        <f t="shared" si="2"/>
        <v>6</v>
      </c>
      <c r="C17" s="176">
        <f>EDATE(RCD,A16)</f>
        <v>44681</v>
      </c>
      <c r="D17" s="171">
        <f>Age_At_Entry+'Cashflows_4%'!B17-1</f>
        <v>40</v>
      </c>
      <c r="E17" s="175">
        <f>IF(AND(C17&lt;=Last_Prem,MOD(A16,Mode)=0,C17&gt;INPUT!$C$13,A17&lt;=Revival!$C$11),Mod_Prem,0)</f>
        <v>0</v>
      </c>
      <c r="F17" s="177">
        <f>IF(B17&lt;PT+1,E17*VLOOKUP(B17,'Pre-Calculation'!$H$1:$I$31,2,FALSE),0)</f>
        <v>0</v>
      </c>
      <c r="G17" s="177">
        <f>IF(B17&lt;PT+1,VLOOKUP(B17,'Pre-Calculation'!$H$1:$L$32,3,FALSE)+VLOOKUP(B17,'Pre-Calculation'!$H$1:$L$32,4,FALSE)*'Pre-Calculation'!$D$7,0)</f>
        <v>830</v>
      </c>
      <c r="H17" s="175">
        <f>(E17-(F17+G17)*(1+Tax)+N16)</f>
        <v>753372.859</v>
      </c>
      <c r="I17" s="175">
        <f>IF(B17&lt;PT+1,VLOOKUP(D17,'Pre-Calculation'!$N$3:$P$79,IF(INPUT!$C$4="M",2,3),FALSE)*(J17/1000)*(1/12),0)</f>
        <v>37.04545181</v>
      </c>
      <c r="J17" s="175">
        <f t="shared" si="3"/>
        <v>246627.141</v>
      </c>
      <c r="K17" s="175">
        <f>(IF('Pre-Calculation'!$D$17="Type 4 a",MAX(SA,H17,1.05*Q17),IF('Pre-Calculation'!$D$17="Type 4 c",H17,IF('Pre-Calculation'!$D$17="Type 4 d",SA+H17,IF('Pre-Calculation'!$D$17="Type 4 e",MAX(SA,H17),IF('Pre-Calculation'!$D$17="Type 4 f",SA,IF('Pre-Calculation'!$D$17="Type 4 g",1000+H17,IF('Pre-Calculation'!$D$17="Type 4 h",SA+X17,IF('Pre-Calculation'!$D$17="Type 4 i",MAX(H17,Q17),IF('Pre-Calculation'!$D$17="Type 4 k",MAX(H17,1.01*Q17),IF('Pre-Calculation'!$D$17="Type 4 m",MAX(105%*Q17,SA+H17),IF('Pre-Calculation'!$D$17="Type 4 o",MAX(SA,105%*Q17)+X17+Z17,IF('Pre-Calculation'!$D$17="Type 5",0)))))))))))))*IF(AND(A17&lt;Revival!$C$4,C17&gt;=Revival!$D$12),PUP,1)</f>
        <v>1000000</v>
      </c>
      <c r="L17" s="175">
        <f>H17-I17*(1+Tax)</f>
        <v>753329.1453</v>
      </c>
      <c r="M17" s="175">
        <f>L17*(1+GROWTH_RATE_L)*(1-FMC*(1+Tax))</f>
        <v>754792.5762</v>
      </c>
      <c r="N17" s="175">
        <f>M17+IF(MOD(A17,B17)=0,VLOOKUP(B17,'Pre-Calculation'!$H$1:$L$31,5,FALSE),0)*IF('Pre-Calculation'!$D$16="% OF FV",M17,IF(OR('Pre-Calculation'!$D$16="% OF AFV(24M)",'Pre-Calculation'!$D$16="% OF AFV(8Q)"),AVERAGE( $M$7:$M17),IF('Pre-Calculation'!$D$16="% OF AFV(12M)",AVERAGE($M$7:M17),IF('Pre-Calculation'!$D$16="% OF AFV(36M)",AVERAGE($M$7:M17)))))</f>
        <v>754792.5762</v>
      </c>
      <c r="O17" s="175">
        <f t="shared" si="4"/>
        <v>754792.5762</v>
      </c>
      <c r="P17" s="175">
        <f>IF('Pre-Calculation'!$D$17="Type 4 a",MAX(SA,N17,1.05*Q17),IF('Pre-Calculation'!$D$17="Type 4 c",N17,IF('Pre-Calculation'!$D$17="Type 4 d",SA+N17,IF('Pre-Calculation'!$D$17="Type 4 e",MAX(SA,N17),IF('Pre-Calculation'!$D$17="Type 4 f",SA,IF('Pre-Calculation'!$D$17="Type 4 g",1000+N17,IF('Pre-Calculation'!$D$17="Type 4 h",SA+X17,IF('Pre-Calculation'!$D$17="Type 4 i",MAX(N17,Q17),IF('Pre-Calculation'!$D$17="Type 4 k",MAX(N17,1.01*Q17),IF('Pre-Calculation'!$D$17="Type 4 m",MAX(105%*Q17,SA+N17),IF('Pre-Calculation'!$D$17="Type 4 o",MAX(SA,105%*Q17)+X17+Z17,IF('Pre-Calculation'!$D$17="Type 5",0))))))))))))</f>
        <v>1000000</v>
      </c>
      <c r="Q17" s="175">
        <f t="shared" si="5"/>
        <v>600000</v>
      </c>
      <c r="R17" s="119">
        <f>L17*(1+GROWTH_RATE)*FMC</f>
        <v>852.4842516</v>
      </c>
      <c r="S17" s="178">
        <f>S16*(1+'Pre-Calculation'!$E$27)</f>
        <v>670824.1319</v>
      </c>
      <c r="T17" s="175">
        <f>-E17+IF(A16=INPUT!$C$11*12,N17,0)</f>
        <v>0</v>
      </c>
      <c r="U17" s="175">
        <f t="shared" si="6"/>
        <v>762109.3207</v>
      </c>
      <c r="V17" s="175">
        <f>U17*(1+GROWTH_RATE_L)*(1-'Pre-Calculation'!$E$31)</f>
        <v>763330.9543</v>
      </c>
      <c r="W17" s="175">
        <f>-E17+IF(A16=INPUT!$C$11*12,V17,0)</f>
        <v>0</v>
      </c>
      <c r="X17" s="179">
        <f t="array" ref="X17">NPV('Pre-Calculation'!$E$20,$E18:E$246)</f>
        <v>358367.6224</v>
      </c>
      <c r="Y17" s="171">
        <f>10%*SA</f>
        <v>100000</v>
      </c>
      <c r="Z17" s="179">
        <f t="array" ref="Z17">NPV('Pre-Calculation'!$E$20,Y18:Y27)</f>
        <v>969592.8037</v>
      </c>
    </row>
    <row r="18">
      <c r="A18" s="171">
        <f t="shared" si="1"/>
        <v>72</v>
      </c>
      <c r="B18" s="171">
        <f t="shared" si="2"/>
        <v>6</v>
      </c>
      <c r="C18" s="176">
        <f>EDATE(RCD,A17)</f>
        <v>44711</v>
      </c>
      <c r="D18" s="171">
        <f>Age_At_Entry+'Cashflows_4%'!B18-1</f>
        <v>40</v>
      </c>
      <c r="E18" s="175">
        <f>IF(AND(C18&lt;=Last_Prem,MOD(A17,Mode)=0,C18&gt;INPUT!$C$13,A18&lt;=Revival!$C$11),Mod_Prem,0)</f>
        <v>0</v>
      </c>
      <c r="F18" s="177">
        <f>IF(B18&lt;PT+1,E18*VLOOKUP(B18,'Pre-Calculation'!$H$1:$I$31,2,FALSE),0)</f>
        <v>0</v>
      </c>
      <c r="G18" s="177">
        <f>IF(B18&lt;PT+1,VLOOKUP(B18,'Pre-Calculation'!$H$1:$L$32,3,FALSE)+VLOOKUP(B18,'Pre-Calculation'!$H$1:$L$32,4,FALSE)*'Pre-Calculation'!$D$7,0)</f>
        <v>830</v>
      </c>
      <c r="H18" s="175">
        <f>(E18-(F18+G18)*(1+Tax)+N17)</f>
        <v>753813.1762</v>
      </c>
      <c r="I18" s="175">
        <f>IF(B18&lt;PT+1,VLOOKUP(D18,'Pre-Calculation'!$N$3:$P$79,IF(INPUT!$C$4="M",2,3),FALSE)*(J18/1000)*(1/12),0)</f>
        <v>36.97931249</v>
      </c>
      <c r="J18" s="175">
        <f t="shared" si="3"/>
        <v>246186.8238</v>
      </c>
      <c r="K18" s="175">
        <f>(IF('Pre-Calculation'!$D$17="Type 4 a",MAX(SA,H18,1.05*Q18),IF('Pre-Calculation'!$D$17="Type 4 c",H18,IF('Pre-Calculation'!$D$17="Type 4 d",SA+H18,IF('Pre-Calculation'!$D$17="Type 4 e",MAX(SA,H18),IF('Pre-Calculation'!$D$17="Type 4 f",SA,IF('Pre-Calculation'!$D$17="Type 4 g",1000+H18,IF('Pre-Calculation'!$D$17="Type 4 h",SA+X18,IF('Pre-Calculation'!$D$17="Type 4 i",MAX(H18,Q18),IF('Pre-Calculation'!$D$17="Type 4 k",MAX(H18,1.01*Q18),IF('Pre-Calculation'!$D$17="Type 4 m",MAX(105%*Q18,SA+H18),IF('Pre-Calculation'!$D$17="Type 4 o",MAX(SA,105%*Q18)+X18+Z18,IF('Pre-Calculation'!$D$17="Type 5",0)))))))))))))*IF(AND(A18&lt;Revival!$C$4,C18&gt;=Revival!$D$12),PUP,1)</f>
        <v>1000000</v>
      </c>
      <c r="L18" s="175">
        <f>H18-I18*(1+Tax)</f>
        <v>753769.5406</v>
      </c>
      <c r="M18" s="175">
        <f>L18*(1+GROWTH_RATE_L)*(1-FMC*(1+Tax))</f>
        <v>755233.8271</v>
      </c>
      <c r="N18" s="175">
        <f>M18+IF(MOD(A18,B18)=0,VLOOKUP(B18,'Pre-Calculation'!$H$1:$L$31,5,FALSE),0)*IF('Pre-Calculation'!$D$16="% OF FV",M18,IF(OR('Pre-Calculation'!$D$16="% OF AFV(24M)",'Pre-Calculation'!$D$16="% OF AFV(8Q)"),AVERAGE( $M$7:$M18),IF('Pre-Calculation'!$D$16="% OF AFV(12M)",AVERAGE($M7:M18),IF('Pre-Calculation'!$D$16="% OF AFV(36M)",AVERAGE($M$7:M18)))))</f>
        <v>755233.8271</v>
      </c>
      <c r="O18" s="175">
        <f t="shared" si="4"/>
        <v>755233.8271</v>
      </c>
      <c r="P18" s="175">
        <f>IF('Pre-Calculation'!$D$17="Type 4 a",MAX(SA,N18,1.05*Q18),IF('Pre-Calculation'!$D$17="Type 4 c",N18,IF('Pre-Calculation'!$D$17="Type 4 d",SA+N18,IF('Pre-Calculation'!$D$17="Type 4 e",MAX(SA,N18),IF('Pre-Calculation'!$D$17="Type 4 f",SA,IF('Pre-Calculation'!$D$17="Type 4 g",1000+N18,IF('Pre-Calculation'!$D$17="Type 4 h",SA+X18,IF('Pre-Calculation'!$D$17="Type 4 i",MAX(N18,Q18),IF('Pre-Calculation'!$D$17="Type 4 k",MAX(N18,1.01*Q18),IF('Pre-Calculation'!$D$17="Type 4 m",MAX(105%*Q18,SA+N18),IF('Pre-Calculation'!$D$17="Type 4 o",MAX(SA,105%*Q18)+X18+Z18,IF('Pre-Calculation'!$D$17="Type 5",0))))))))))))</f>
        <v>1000000</v>
      </c>
      <c r="Q18" s="175">
        <f t="shared" si="5"/>
        <v>600000</v>
      </c>
      <c r="R18" s="119">
        <f>L18*(1+GROWTH_RATE)*FMC</f>
        <v>852.9826129</v>
      </c>
      <c r="S18" s="178">
        <f>S17*(1+'Pre-Calculation'!$E$27)</f>
        <v>672750</v>
      </c>
      <c r="T18" s="175">
        <f>-E18+IF(A17=INPUT!$C$11*12,N18,0)</f>
        <v>0</v>
      </c>
      <c r="U18" s="175">
        <f t="shared" si="6"/>
        <v>763330.9543</v>
      </c>
      <c r="V18" s="175">
        <f>U18*(1+GROWTH_RATE_L)*(1-'Pre-Calculation'!$E$31)</f>
        <v>764554.5462</v>
      </c>
      <c r="W18" s="175">
        <f>-E18+IF(A17=INPUT!$C$11*12,V18,0)</f>
        <v>0</v>
      </c>
      <c r="X18" s="179">
        <f t="array" ref="X18">NPV('Pre-Calculation'!$E$20,$E19:E$246)</f>
        <v>360393.885</v>
      </c>
      <c r="Y18" s="171">
        <f>10%*SA</f>
        <v>100000</v>
      </c>
      <c r="Z18" s="179">
        <f t="array" ref="Z18">NPV('Pre-Calculation'!$E$20,Y19:Y28)</f>
        <v>969592.8037</v>
      </c>
    </row>
    <row r="19">
      <c r="A19" s="171">
        <f t="shared" si="1"/>
        <v>73</v>
      </c>
      <c r="B19" s="171">
        <f t="shared" si="2"/>
        <v>7</v>
      </c>
      <c r="C19" s="176">
        <f>EDATE(RCD,A18)</f>
        <v>44742</v>
      </c>
      <c r="D19" s="171">
        <f>Age_At_Entry+'Cashflows_4%'!B19-1</f>
        <v>41</v>
      </c>
      <c r="E19" s="175">
        <f>IF(AND(C19&lt;=Last_Prem,MOD(A18,Mode)=0,C19&gt;INPUT!$C$13,A19&lt;=Revival!$C$11),Mod_Prem,0)</f>
        <v>100000</v>
      </c>
      <c r="F19" s="177">
        <f>IF(B19&lt;PT+1,E19*VLOOKUP(B19,'Pre-Calculation'!$H$1:$I$31,2,FALSE),0)</f>
        <v>0</v>
      </c>
      <c r="G19" s="177">
        <f>IF(B19&lt;PT+1,VLOOKUP(B19,'Pre-Calculation'!$H$1:$L$32,3,FALSE)+VLOOKUP(B19,'Pre-Calculation'!$H$1:$L$32,4,FALSE)*'Pre-Calculation'!$D$7,0)</f>
        <v>830</v>
      </c>
      <c r="H19" s="175">
        <f>(E19-(F19+G19)*(1+Tax)+N18)</f>
        <v>854254.4271</v>
      </c>
      <c r="I19" s="175">
        <f>IF(B19&lt;PT+1,VLOOKUP(D19,'Pre-Calculation'!$N$3:$P$79,IF(INPUT!$C$4="M",2,3),FALSE)*(J19/1000)*(1/12),0)</f>
        <v>23.79296478</v>
      </c>
      <c r="J19" s="175">
        <f t="shared" si="3"/>
        <v>145745.5729</v>
      </c>
      <c r="K19" s="175">
        <f>(IF('Pre-Calculation'!$D$17="Type 4 a",MAX(SA,H19,1.05*Q19),IF('Pre-Calculation'!$D$17="Type 4 c",H19,IF('Pre-Calculation'!$D$17="Type 4 d",SA+H19,IF('Pre-Calculation'!$D$17="Type 4 e",MAX(SA,H19),IF('Pre-Calculation'!$D$17="Type 4 f",SA,IF('Pre-Calculation'!$D$17="Type 4 g",1000+H19,IF('Pre-Calculation'!$D$17="Type 4 h",SA+X19,IF('Pre-Calculation'!$D$17="Type 4 i",MAX(H19,Q19),IF('Pre-Calculation'!$D$17="Type 4 k",MAX(H19,1.01*Q19),IF('Pre-Calculation'!$D$17="Type 4 m",MAX(105%*Q19,SA+H19),IF('Pre-Calculation'!$D$17="Type 4 o",MAX(SA,105%*Q19)+X19+Z19,IF('Pre-Calculation'!$D$17="Type 5",0)))))))))))))*IF(AND(A19&lt;Revival!$C$4,C19&gt;=Revival!$D$12),PUP,1)</f>
        <v>1000000</v>
      </c>
      <c r="L19" s="175">
        <f>H19-I19*(1+Tax)</f>
        <v>854226.3514</v>
      </c>
      <c r="M19" s="175">
        <f>L19*(1+GROWTH_RATE_L)*(1-FMC*(1+Tax))</f>
        <v>855885.787</v>
      </c>
      <c r="N19" s="175">
        <f>M19+IF(MOD(A19,B19)=0,VLOOKUP(B19,'Pre-Calculation'!$H$1:$L$31,5,FALSE),0)*IF('Pre-Calculation'!$D$16="% OF FV",M19,IF(OR('Pre-Calculation'!$D$16="% OF AFV(24M)",'Pre-Calculation'!$D$16="% OF AFV(8Q)"),AVERAGE( $M$7:$M19),IF('Pre-Calculation'!$D$16="% OF AFV(12M)",AVERAGE($M8:M19),IF('Pre-Calculation'!$D$16="% OF AFV(36M)",AVERAGE($M$7:M19)))))</f>
        <v>855885.787</v>
      </c>
      <c r="O19" s="175">
        <f t="shared" si="4"/>
        <v>855885.787</v>
      </c>
      <c r="P19" s="175">
        <f>IF('Pre-Calculation'!$D$17="Type 4 a",MAX(SA,N19,1.05*Q19),IF('Pre-Calculation'!$D$17="Type 4 c",N19,IF('Pre-Calculation'!$D$17="Type 4 d",SA+N19,IF('Pre-Calculation'!$D$17="Type 4 e",MAX(SA,N19),IF('Pre-Calculation'!$D$17="Type 4 f",SA,IF('Pre-Calculation'!$D$17="Type 4 g",1000+N19,IF('Pre-Calculation'!$D$17="Type 4 h",SA+X19,IF('Pre-Calculation'!$D$17="Type 4 i",MAX(N19,Q19),IF('Pre-Calculation'!$D$17="Type 4 k",MAX(N19,1.01*Q19),IF('Pre-Calculation'!$D$17="Type 4 m",MAX(105%*Q19,SA+N19),IF('Pre-Calculation'!$D$17="Type 4 o",MAX(SA,105%*Q19)+X19+Z19,IF('Pre-Calculation'!$D$17="Type 5",0))))))))))))</f>
        <v>1000000</v>
      </c>
      <c r="Q19" s="175">
        <f t="shared" si="5"/>
        <v>700000</v>
      </c>
      <c r="R19" s="119">
        <f>L19*(1+GROWTH_RATE)*FMC</f>
        <v>966.6618056</v>
      </c>
      <c r="S19" s="178">
        <f>S18*(1+'Pre-Calculation'!$E$27)</f>
        <v>674681.3971</v>
      </c>
      <c r="T19" s="175">
        <f>-E19+IF(A18=INPUT!$C$11*12,N19,0)</f>
        <v>-100000</v>
      </c>
      <c r="U19" s="175">
        <f t="shared" si="6"/>
        <v>864554.5462</v>
      </c>
      <c r="V19" s="175">
        <f>U19*(1+GROWTH_RATE_L)*(1-'Pre-Calculation'!$E$31)</f>
        <v>865940.3959</v>
      </c>
      <c r="W19" s="175">
        <f>-E19+IF(A18=INPUT!$C$11*12,V19,0)</f>
        <v>-100000</v>
      </c>
      <c r="X19" s="179">
        <f t="array" ref="X19">NPV('Pre-Calculation'!$E$20,$E20:E$246)</f>
        <v>262431.6044</v>
      </c>
      <c r="Y19" s="171">
        <f>10%*SA</f>
        <v>100000</v>
      </c>
      <c r="Z19" s="179">
        <f t="array" ref="Z19">NPV('Pre-Calculation'!$E$20,Y20:Y29)</f>
        <v>969592.8037</v>
      </c>
    </row>
    <row r="20">
      <c r="A20" s="171">
        <f t="shared" si="1"/>
        <v>74</v>
      </c>
      <c r="B20" s="171">
        <f t="shared" si="2"/>
        <v>7</v>
      </c>
      <c r="C20" s="176">
        <f>EDATE(RCD,A19)</f>
        <v>44772</v>
      </c>
      <c r="D20" s="171">
        <f>Age_At_Entry+'Cashflows_4%'!B20-1</f>
        <v>41</v>
      </c>
      <c r="E20" s="175">
        <f>IF(AND(C20&lt;=Last_Prem,MOD(A19,Mode)=0,C20&gt;INPUT!$C$13,A20&lt;=Revival!$C$11),Mod_Prem,0)</f>
        <v>0</v>
      </c>
      <c r="F20" s="177">
        <f>IF(B20&lt;PT+1,E20*VLOOKUP(B20,'Pre-Calculation'!$H$1:$I$31,2,FALSE),0)</f>
        <v>0</v>
      </c>
      <c r="G20" s="177">
        <f>IF(B20&lt;PT+1,VLOOKUP(B20,'Pre-Calculation'!$H$1:$L$32,3,FALSE)+VLOOKUP(B20,'Pre-Calculation'!$H$1:$L$32,4,FALSE)*'Pre-Calculation'!$D$7,0)</f>
        <v>830</v>
      </c>
      <c r="H20" s="175">
        <f>(E20-(F20+G20)*(1+Tax)+N19)</f>
        <v>854906.387</v>
      </c>
      <c r="I20" s="175">
        <f>IF(B20&lt;PT+1,VLOOKUP(D20,'Pre-Calculation'!$N$3:$P$79,IF(INPUT!$C$4="M",2,3),FALSE)*(J20/1000)*(1/12),0)</f>
        <v>23.68653232</v>
      </c>
      <c r="J20" s="175">
        <f t="shared" si="3"/>
        <v>145093.613</v>
      </c>
      <c r="K20" s="175">
        <f>(IF('Pre-Calculation'!$D$17="Type 4 a",MAX(SA,H20,1.05*Q20),IF('Pre-Calculation'!$D$17="Type 4 c",H20,IF('Pre-Calculation'!$D$17="Type 4 d",SA+H20,IF('Pre-Calculation'!$D$17="Type 4 e",MAX(SA,H20),IF('Pre-Calculation'!$D$17="Type 4 f",SA,IF('Pre-Calculation'!$D$17="Type 4 g",1000+H20,IF('Pre-Calculation'!$D$17="Type 4 h",SA+X20,IF('Pre-Calculation'!$D$17="Type 4 i",MAX(H20,Q20),IF('Pre-Calculation'!$D$17="Type 4 k",MAX(H20,1.01*Q20),IF('Pre-Calculation'!$D$17="Type 4 m",MAX(105%*Q20,SA+H20),IF('Pre-Calculation'!$D$17="Type 4 o",MAX(SA,105%*Q20)+X20+Z20,IF('Pre-Calculation'!$D$17="Type 5",0)))))))))))))*IF(AND(A20&lt;Revival!$C$4,C20&gt;=Revival!$D$12),PUP,1)</f>
        <v>1000000</v>
      </c>
      <c r="L20" s="175">
        <f>H20-I20*(1+Tax)</f>
        <v>854878.4369</v>
      </c>
      <c r="M20" s="175">
        <f>L20*(1+GROWTH_RATE_L)*(1-FMC*(1+Tax))</f>
        <v>856539.1393</v>
      </c>
      <c r="N20" s="175">
        <f>M20+IF(MOD(A20,B20)=0,VLOOKUP(B20,'Pre-Calculation'!$H$1:$L$31,5,FALSE),0)*IF('Pre-Calculation'!$D$16="% OF FV",M20,IF(OR('Pre-Calculation'!$D$16="% OF AFV(24M)",'Pre-Calculation'!$D$16="% OF AFV(8Q)"),AVERAGE( $M$7:$M20),IF('Pre-Calculation'!$D$16="% OF AFV(12M)",AVERAGE($M9:M20),IF('Pre-Calculation'!$D$16="% OF AFV(36M)",AVERAGE($M$7:M20)))))</f>
        <v>856539.1393</v>
      </c>
      <c r="O20" s="175">
        <f t="shared" si="4"/>
        <v>856539.1393</v>
      </c>
      <c r="P20" s="175">
        <f>IF('Pre-Calculation'!$D$17="Type 4 a",MAX(SA,N20,1.05*Q20),IF('Pre-Calculation'!$D$17="Type 4 c",N20,IF('Pre-Calculation'!$D$17="Type 4 d",SA+N20,IF('Pre-Calculation'!$D$17="Type 4 e",MAX(SA,N20),IF('Pre-Calculation'!$D$17="Type 4 f",SA,IF('Pre-Calculation'!$D$17="Type 4 g",1000+N20,IF('Pre-Calculation'!$D$17="Type 4 h",SA+X20,IF('Pre-Calculation'!$D$17="Type 4 i",MAX(N20,Q20),IF('Pre-Calculation'!$D$17="Type 4 k",MAX(N20,1.01*Q20),IF('Pre-Calculation'!$D$17="Type 4 m",MAX(105%*Q20,SA+N20),IF('Pre-Calculation'!$D$17="Type 4 o",MAX(SA,105%*Q20)+X20+Z20,IF('Pre-Calculation'!$D$17="Type 5",0))))))))))))</f>
        <v>1000000</v>
      </c>
      <c r="Q20" s="175">
        <f t="shared" si="5"/>
        <v>700000</v>
      </c>
      <c r="R20" s="119">
        <f>L20*(1+GROWTH_RATE)*FMC</f>
        <v>967.3997203</v>
      </c>
      <c r="S20" s="178">
        <f>S19*(1+'Pre-Calculation'!$E$27)</f>
        <v>676618.3391</v>
      </c>
      <c r="T20" s="175">
        <f>-E20+IF(A19=INPUT!$C$11*12,N20,0)</f>
        <v>0</v>
      </c>
      <c r="U20" s="175">
        <f t="shared" si="6"/>
        <v>865940.3959</v>
      </c>
      <c r="V20" s="175">
        <f>U20*(1+GROWTH_RATE_L)*(1-'Pre-Calculation'!$E$31)</f>
        <v>867328.467</v>
      </c>
      <c r="W20" s="175">
        <f>-E20+IF(A19=INPUT!$C$11*12,V20,0)</f>
        <v>0</v>
      </c>
      <c r="X20" s="179">
        <f t="array" ref="X20">NPV('Pre-Calculation'!$E$20,$E21:E$246)</f>
        <v>263915.4309</v>
      </c>
      <c r="Y20" s="171">
        <f>10%*SA</f>
        <v>100000</v>
      </c>
      <c r="Z20" s="179">
        <f t="array" ref="Z20">NPV('Pre-Calculation'!$E$20,Y21:Y30)</f>
        <v>969592.8037</v>
      </c>
    </row>
    <row r="21" ht="15.75" customHeight="1">
      <c r="A21" s="171">
        <f t="shared" si="1"/>
        <v>75</v>
      </c>
      <c r="B21" s="171">
        <f t="shared" si="2"/>
        <v>7</v>
      </c>
      <c r="C21" s="176">
        <f>EDATE(RCD,A20)</f>
        <v>44803</v>
      </c>
      <c r="D21" s="171">
        <f>Age_At_Entry+'Cashflows_4%'!B21-1</f>
        <v>41</v>
      </c>
      <c r="E21" s="175">
        <f>IF(AND(C21&lt;=Last_Prem,MOD(A20,Mode)=0,C21&gt;INPUT!$C$13,A21&lt;=Revival!$C$11),Mod_Prem,0)</f>
        <v>0</v>
      </c>
      <c r="F21" s="177">
        <f>IF(B21&lt;PT+1,E21*VLOOKUP(B21,'Pre-Calculation'!$H$1:$I$31,2,FALSE),0)</f>
        <v>0</v>
      </c>
      <c r="G21" s="177">
        <f>IF(B21&lt;PT+1,VLOOKUP(B21,'Pre-Calculation'!$H$1:$L$32,3,FALSE)+VLOOKUP(B21,'Pre-Calculation'!$H$1:$L$32,4,FALSE)*'Pre-Calculation'!$D$7,0)</f>
        <v>830</v>
      </c>
      <c r="H21" s="175">
        <f>(E21-(F21+G21)*(1+Tax)+N20)</f>
        <v>855559.7393</v>
      </c>
      <c r="I21" s="175">
        <f>IF(B21&lt;PT+1,VLOOKUP(D21,'Pre-Calculation'!$N$3:$P$79,IF(INPUT!$C$4="M",2,3),FALSE)*(J21/1000)*(1/12),0)</f>
        <v>23.57987256</v>
      </c>
      <c r="J21" s="175">
        <f t="shared" si="3"/>
        <v>144440.2607</v>
      </c>
      <c r="K21" s="175">
        <f>(IF('Pre-Calculation'!$D$17="Type 4 a",MAX(SA,H21,1.05*Q21),IF('Pre-Calculation'!$D$17="Type 4 c",H21,IF('Pre-Calculation'!$D$17="Type 4 d",SA+H21,IF('Pre-Calculation'!$D$17="Type 4 e",MAX(SA,H21),IF('Pre-Calculation'!$D$17="Type 4 f",SA,IF('Pre-Calculation'!$D$17="Type 4 g",1000+H21,IF('Pre-Calculation'!$D$17="Type 4 h",SA+X21,IF('Pre-Calculation'!$D$17="Type 4 i",MAX(H21,Q21),IF('Pre-Calculation'!$D$17="Type 4 k",MAX(H21,1.01*Q21),IF('Pre-Calculation'!$D$17="Type 4 m",MAX(105%*Q21,SA+H21),IF('Pre-Calculation'!$D$17="Type 4 o",MAX(SA,105%*Q21)+X21+Z21,IF('Pre-Calculation'!$D$17="Type 5",0)))))))))))))*IF(AND(A21&lt;Revival!$C$4,C21&gt;=Revival!$D$12),PUP,1)</f>
        <v>1000000</v>
      </c>
      <c r="L21" s="175">
        <f>H21-I21*(1+Tax)</f>
        <v>855531.915</v>
      </c>
      <c r="M21" s="175">
        <f>L21*(1+GROWTH_RATE_L)*(1-FMC*(1+Tax))</f>
        <v>857193.8869</v>
      </c>
      <c r="N21" s="175">
        <f>M21+IF(MOD(A21,B21)=0,VLOOKUP(B21,'Pre-Calculation'!$H$1:$L$31,5,FALSE),0)*IF('Pre-Calculation'!$D$16="% OF FV",M21,IF(OR('Pre-Calculation'!$D$16="% OF AFV(24M)",'Pre-Calculation'!$D$16="% OF AFV(8Q)"),AVERAGE( $M$7:$M21),IF('Pre-Calculation'!$D$16="% OF AFV(12M)",AVERAGE($M10:M21),IF('Pre-Calculation'!$D$16="% OF AFV(36M)",AVERAGE($M$7:M21)))))</f>
        <v>857193.8869</v>
      </c>
      <c r="O21" s="175">
        <f t="shared" si="4"/>
        <v>857193.8869</v>
      </c>
      <c r="P21" s="175">
        <f>IF('Pre-Calculation'!$D$17="Type 4 a",MAX(SA,N21,1.05*Q21),IF('Pre-Calculation'!$D$17="Type 4 c",N21,IF('Pre-Calculation'!$D$17="Type 4 d",SA+N21,IF('Pre-Calculation'!$D$17="Type 4 e",MAX(SA,N21),IF('Pre-Calculation'!$D$17="Type 4 f",SA,IF('Pre-Calculation'!$D$17="Type 4 g",1000+N21,IF('Pre-Calculation'!$D$17="Type 4 h",SA+X21,IF('Pre-Calculation'!$D$17="Type 4 i",MAX(N21,Q21),IF('Pre-Calculation'!$D$17="Type 4 k",MAX(N21,1.01*Q21),IF('Pre-Calculation'!$D$17="Type 4 m",MAX(105%*Q21,SA+N21),IF('Pre-Calculation'!$D$17="Type 4 o",MAX(SA,105%*Q21)+X21+Z21,IF('Pre-Calculation'!$D$17="Type 5",0))))))))))))</f>
        <v>1000000</v>
      </c>
      <c r="Q21" s="175">
        <f t="shared" si="5"/>
        <v>700000</v>
      </c>
      <c r="R21" s="119">
        <f>L21*(1+GROWTH_RATE)*FMC</f>
        <v>968.1392109</v>
      </c>
      <c r="S21" s="178">
        <f>S20*(1+'Pre-Calculation'!$E$27)</f>
        <v>678560.8418</v>
      </c>
      <c r="T21" s="175">
        <f>-E21+IF(A20=INPUT!$C$11*12,N21,0)</f>
        <v>0</v>
      </c>
      <c r="U21" s="175">
        <f t="shared" si="6"/>
        <v>867328.467</v>
      </c>
      <c r="V21" s="175">
        <f>U21*(1+GROWTH_RATE_L)*(1-'Pre-Calculation'!$E$31)</f>
        <v>868718.7631</v>
      </c>
      <c r="W21" s="175">
        <f>-E21+IF(A20=INPUT!$C$11*12,V21,0)</f>
        <v>0</v>
      </c>
      <c r="X21" s="179">
        <f t="array" ref="X21">NPV('Pre-Calculation'!$E$20,$E22:E$246)</f>
        <v>265407.6471</v>
      </c>
      <c r="Y21" s="171">
        <f>10%*SA</f>
        <v>100000</v>
      </c>
      <c r="Z21" s="179">
        <f t="array" ref="Z21">NPV('Pre-Calculation'!$E$20,Y22:Y31)</f>
        <v>969592.8037</v>
      </c>
    </row>
    <row r="22" ht="15.75" customHeight="1">
      <c r="A22" s="171">
        <f t="shared" si="1"/>
        <v>76</v>
      </c>
      <c r="B22" s="171">
        <f t="shared" si="2"/>
        <v>7</v>
      </c>
      <c r="C22" s="176">
        <f>EDATE(RCD,A21)</f>
        <v>44834</v>
      </c>
      <c r="D22" s="171">
        <f>Age_At_Entry+'Cashflows_4%'!B22-1</f>
        <v>41</v>
      </c>
      <c r="E22" s="175">
        <f>IF(AND(C22&lt;=Last_Prem,MOD(A21,Mode)=0,C22&gt;INPUT!$C$13,A22&lt;=Revival!$C$11),Mod_Prem,0)</f>
        <v>0</v>
      </c>
      <c r="F22" s="177">
        <f>IF(B22&lt;PT+1,E22*VLOOKUP(B22,'Pre-Calculation'!$H$1:$I$31,2,FALSE),0)</f>
        <v>0</v>
      </c>
      <c r="G22" s="177">
        <f>IF(B22&lt;PT+1,VLOOKUP(B22,'Pre-Calculation'!$H$1:$L$32,3,FALSE)+VLOOKUP(B22,'Pre-Calculation'!$H$1:$L$32,4,FALSE)*'Pre-Calculation'!$D$7,0)</f>
        <v>830</v>
      </c>
      <c r="H22" s="175">
        <f>(E22-(F22+G22)*(1+Tax)+N21)</f>
        <v>856214.4869</v>
      </c>
      <c r="I22" s="175">
        <f>IF(B22&lt;PT+1,VLOOKUP(D22,'Pre-Calculation'!$N$3:$P$79,IF(INPUT!$C$4="M",2,3),FALSE)*(J22/1000)*(1/12),0)</f>
        <v>23.47298502</v>
      </c>
      <c r="J22" s="175">
        <f t="shared" si="3"/>
        <v>143785.5131</v>
      </c>
      <c r="K22" s="175">
        <f>(IF('Pre-Calculation'!$D$17="Type 4 a",MAX(SA,H22,1.05*Q22),IF('Pre-Calculation'!$D$17="Type 4 c",H22,IF('Pre-Calculation'!$D$17="Type 4 d",SA+H22,IF('Pre-Calculation'!$D$17="Type 4 e",MAX(SA,H22),IF('Pre-Calculation'!$D$17="Type 4 f",SA,IF('Pre-Calculation'!$D$17="Type 4 g",1000+H22,IF('Pre-Calculation'!$D$17="Type 4 h",SA+X22,IF('Pre-Calculation'!$D$17="Type 4 i",MAX(H22,Q22),IF('Pre-Calculation'!$D$17="Type 4 k",MAX(H22,1.01*Q22),IF('Pre-Calculation'!$D$17="Type 4 m",MAX(105%*Q22,SA+H22),IF('Pre-Calculation'!$D$17="Type 4 o",MAX(SA,105%*Q22)+X22+Z22,IF('Pre-Calculation'!$D$17="Type 5",0)))))))))))))*IF(AND(A22&lt;Revival!$C$4,C22&gt;=Revival!$D$12),PUP,1)</f>
        <v>1000000</v>
      </c>
      <c r="L22" s="175">
        <f>H22-I22*(1+Tax)</f>
        <v>856186.7887</v>
      </c>
      <c r="M22" s="175">
        <f>L22*(1+GROWTH_RATE_L)*(1-FMC*(1+Tax))</f>
        <v>857850.0328</v>
      </c>
      <c r="N22" s="175">
        <f>M22+IF(MOD(A22,B22)=0,VLOOKUP(B22,'Pre-Calculation'!$H$1:$L$31,5,FALSE),0)*IF('Pre-Calculation'!$D$16="% OF FV",M22,IF(OR('Pre-Calculation'!$D$16="% OF AFV(24M)",'Pre-Calculation'!$D$16="% OF AFV(8Q)"),AVERAGE( $M$7:$M22),IF('Pre-Calculation'!$D$16="% OF AFV(12M)",AVERAGE($M11:M22),IF('Pre-Calculation'!$D$16="% OF AFV(36M)",AVERAGE($M$7:M22)))))</f>
        <v>857850.0328</v>
      </c>
      <c r="O22" s="175">
        <f t="shared" si="4"/>
        <v>857850.0328</v>
      </c>
      <c r="P22" s="175">
        <f>IF('Pre-Calculation'!$D$17="Type 4 a",MAX(SA,N22,1.05*Q22),IF('Pre-Calculation'!$D$17="Type 4 c",N22,IF('Pre-Calculation'!$D$17="Type 4 d",SA+N22,IF('Pre-Calculation'!$D$17="Type 4 e",MAX(SA,N22),IF('Pre-Calculation'!$D$17="Type 4 f",SA,IF('Pre-Calculation'!$D$17="Type 4 g",1000+N22,IF('Pre-Calculation'!$D$17="Type 4 h",SA+X22,IF('Pre-Calculation'!$D$17="Type 4 i",MAX(N22,Q22),IF('Pre-Calculation'!$D$17="Type 4 k",MAX(N22,1.01*Q22),IF('Pre-Calculation'!$D$17="Type 4 m",MAX(105%*Q22,SA+N22),IF('Pre-Calculation'!$D$17="Type 4 o",MAX(SA,105%*Q22)+X22+Z22,IF('Pre-Calculation'!$D$17="Type 5",0))))))))))))</f>
        <v>1000000</v>
      </c>
      <c r="Q22" s="175">
        <f t="shared" si="5"/>
        <v>700000</v>
      </c>
      <c r="R22" s="119">
        <f>L22*(1+GROWTH_RATE)*FMC</f>
        <v>968.8802808</v>
      </c>
      <c r="S22" s="178">
        <f>S21*(1+'Pre-Calculation'!$E$27)</f>
        <v>680508.9212</v>
      </c>
      <c r="T22" s="175">
        <f>-E22+IF(A21=INPUT!$C$11*12,N22,0)</f>
        <v>0</v>
      </c>
      <c r="U22" s="175">
        <f t="shared" si="6"/>
        <v>868718.7631</v>
      </c>
      <c r="V22" s="175">
        <f>U22*(1+GROWTH_RATE_L)*(1-'Pre-Calculation'!$E$31)</f>
        <v>870111.2879</v>
      </c>
      <c r="W22" s="175">
        <f>-E22+IF(A21=INPUT!$C$11*12,V22,0)</f>
        <v>0</v>
      </c>
      <c r="X22" s="179">
        <f t="array" ref="X22">NPV('Pre-Calculation'!$E$20,$E23:E$246)</f>
        <v>266908.3005</v>
      </c>
      <c r="Y22" s="171">
        <f>10%*SA</f>
        <v>100000</v>
      </c>
      <c r="Z22" s="179">
        <f t="array" ref="Z22">NPV('Pre-Calculation'!$E$20,Y23:Y32)</f>
        <v>969592.8037</v>
      </c>
    </row>
    <row r="23" ht="15.75" customHeight="1">
      <c r="A23" s="171">
        <f t="shared" si="1"/>
        <v>77</v>
      </c>
      <c r="B23" s="171">
        <f t="shared" si="2"/>
        <v>7</v>
      </c>
      <c r="C23" s="176">
        <f>EDATE(RCD,A22)</f>
        <v>44864</v>
      </c>
      <c r="D23" s="171">
        <f>Age_At_Entry+'Cashflows_4%'!B23-1</f>
        <v>41</v>
      </c>
      <c r="E23" s="175">
        <f>IF(AND(C23&lt;=Last_Prem,MOD(A22,Mode)=0,C23&gt;INPUT!$C$13,A23&lt;=Revival!$C$11),Mod_Prem,0)</f>
        <v>0</v>
      </c>
      <c r="F23" s="177">
        <f>IF(B23&lt;PT+1,E23*VLOOKUP(B23,'Pre-Calculation'!$H$1:$I$31,2,FALSE),0)</f>
        <v>0</v>
      </c>
      <c r="G23" s="177">
        <f>IF(B23&lt;PT+1,VLOOKUP(B23,'Pre-Calculation'!$H$1:$L$32,3,FALSE)+VLOOKUP(B23,'Pre-Calculation'!$H$1:$L$32,4,FALSE)*'Pre-Calculation'!$D$7,0)</f>
        <v>830</v>
      </c>
      <c r="H23" s="175">
        <f>(E23-(F23+G23)*(1+Tax)+N22)</f>
        <v>856870.6328</v>
      </c>
      <c r="I23" s="175">
        <f>IF(B23&lt;PT+1,VLOOKUP(D23,'Pre-Calculation'!$N$3:$P$79,IF(INPUT!$C$4="M",2,3),FALSE)*(J23/1000)*(1/12),0)</f>
        <v>23.3658692</v>
      </c>
      <c r="J23" s="175">
        <f t="shared" si="3"/>
        <v>143129.3672</v>
      </c>
      <c r="K23" s="175">
        <f>(IF('Pre-Calculation'!$D$17="Type 4 a",MAX(SA,H23,1.05*Q23),IF('Pre-Calculation'!$D$17="Type 4 c",H23,IF('Pre-Calculation'!$D$17="Type 4 d",SA+H23,IF('Pre-Calculation'!$D$17="Type 4 e",MAX(SA,H23),IF('Pre-Calculation'!$D$17="Type 4 f",SA,IF('Pre-Calculation'!$D$17="Type 4 g",1000+H23,IF('Pre-Calculation'!$D$17="Type 4 h",SA+X23,IF('Pre-Calculation'!$D$17="Type 4 i",MAX(H23,Q23),IF('Pre-Calculation'!$D$17="Type 4 k",MAX(H23,1.01*Q23),IF('Pre-Calculation'!$D$17="Type 4 m",MAX(105%*Q23,SA+H23),IF('Pre-Calculation'!$D$17="Type 4 o",MAX(SA,105%*Q23)+X23+Z23,IF('Pre-Calculation'!$D$17="Type 5",0)))))))))))))*IF(AND(A23&lt;Revival!$C$4,C23&gt;=Revival!$D$12),PUP,1)</f>
        <v>1000000</v>
      </c>
      <c r="L23" s="175">
        <f>H23-I23*(1+Tax)</f>
        <v>856843.061</v>
      </c>
      <c r="M23" s="175">
        <f>L23*(1+GROWTH_RATE_L)*(1-FMC*(1+Tax))</f>
        <v>858507.5799</v>
      </c>
      <c r="N23" s="175">
        <f>M23+IF(MOD(A23,B23)=0,VLOOKUP(B23,'Pre-Calculation'!$H$1:$L$31,5,FALSE),0)*IF('Pre-Calculation'!$D$16="% OF FV",M23,IF(OR('Pre-Calculation'!$D$16="% OF AFV(24M)",'Pre-Calculation'!$D$16="% OF AFV(8Q)"),AVERAGE( $M$7:$M23),IF('Pre-Calculation'!$D$16="% OF AFV(12M)",AVERAGE($M12:M23),IF('Pre-Calculation'!$D$16="% OF AFV(36M)",AVERAGE($M$7:M23)))))</f>
        <v>858507.5799</v>
      </c>
      <c r="O23" s="175">
        <f t="shared" si="4"/>
        <v>858507.5799</v>
      </c>
      <c r="P23" s="175">
        <f>IF('Pre-Calculation'!$D$17="Type 4 a",MAX(SA,N23,1.05*Q23),IF('Pre-Calculation'!$D$17="Type 4 c",N23,IF('Pre-Calculation'!$D$17="Type 4 d",SA+N23,IF('Pre-Calculation'!$D$17="Type 4 e",MAX(SA,N23),IF('Pre-Calculation'!$D$17="Type 4 f",SA,IF('Pre-Calculation'!$D$17="Type 4 g",1000+N23,IF('Pre-Calculation'!$D$17="Type 4 h",SA+X23,IF('Pre-Calculation'!$D$17="Type 4 i",MAX(N23,Q23),IF('Pre-Calculation'!$D$17="Type 4 k",MAX(N23,1.01*Q23),IF('Pre-Calculation'!$D$17="Type 4 m",MAX(105%*Q23,SA+N23),IF('Pre-Calculation'!$D$17="Type 4 o",MAX(SA,105%*Q23)+X23+Z23,IF('Pre-Calculation'!$D$17="Type 5",0))))))))))))</f>
        <v>1000000</v>
      </c>
      <c r="Q23" s="175">
        <f t="shared" si="5"/>
        <v>700000</v>
      </c>
      <c r="R23" s="119">
        <f>L23*(1+GROWTH_RATE)*FMC</f>
        <v>969.6229333</v>
      </c>
      <c r="S23" s="178">
        <f>S22*(1+'Pre-Calculation'!$E$27)</f>
        <v>682462.5934</v>
      </c>
      <c r="T23" s="175">
        <f>-E23+IF(A22=INPUT!$C$11*12,N23,0)</f>
        <v>0</v>
      </c>
      <c r="U23" s="175">
        <f t="shared" si="6"/>
        <v>870111.2879</v>
      </c>
      <c r="V23" s="175">
        <f>U23*(1+GROWTH_RATE_L)*(1-'Pre-Calculation'!$E$31)</f>
        <v>871506.0448</v>
      </c>
      <c r="W23" s="175">
        <f>-E23+IF(A22=INPUT!$C$11*12,V23,0)</f>
        <v>0</v>
      </c>
      <c r="X23" s="179">
        <f t="array" ref="X23">NPV('Pre-Calculation'!$E$20,$E24:E$246)</f>
        <v>268417.4389</v>
      </c>
      <c r="Y23" s="171">
        <f>10%*SA</f>
        <v>100000</v>
      </c>
      <c r="Z23" s="179">
        <f t="array" ref="Z23">NPV('Pre-Calculation'!$E$20,Y24:Y33)</f>
        <v>969592.8037</v>
      </c>
    </row>
    <row r="24" ht="15.75" customHeight="1">
      <c r="A24" s="171">
        <f t="shared" si="1"/>
        <v>78</v>
      </c>
      <c r="B24" s="171">
        <f t="shared" si="2"/>
        <v>7</v>
      </c>
      <c r="C24" s="176">
        <f>EDATE(RCD,A23)</f>
        <v>44895</v>
      </c>
      <c r="D24" s="171">
        <f>Age_At_Entry+'Cashflows_4%'!B24-1</f>
        <v>41</v>
      </c>
      <c r="E24" s="175">
        <f>IF(AND(C24&lt;=Last_Prem,MOD(A23,Mode)=0,C24&gt;INPUT!$C$13,A24&lt;=Revival!$C$11),Mod_Prem,0)</f>
        <v>0</v>
      </c>
      <c r="F24" s="177">
        <f>IF(B24&lt;PT+1,E24*VLOOKUP(B24,'Pre-Calculation'!$H$1:$I$31,2,FALSE),0)</f>
        <v>0</v>
      </c>
      <c r="G24" s="177">
        <f>IF(B24&lt;PT+1,VLOOKUP(B24,'Pre-Calculation'!$H$1:$L$32,3,FALSE)+VLOOKUP(B24,'Pre-Calculation'!$H$1:$L$32,4,FALSE)*'Pre-Calculation'!$D$7,0)</f>
        <v>830</v>
      </c>
      <c r="H24" s="175">
        <f>(E24-(F24+G24)*(1+Tax)+N23)</f>
        <v>857528.1799</v>
      </c>
      <c r="I24" s="175">
        <f>IF(B24&lt;PT+1,VLOOKUP(D24,'Pre-Calculation'!$N$3:$P$79,IF(INPUT!$C$4="M",2,3),FALSE)*(J24/1000)*(1/12),0)</f>
        <v>23.25852463</v>
      </c>
      <c r="J24" s="175">
        <f t="shared" si="3"/>
        <v>142471.8201</v>
      </c>
      <c r="K24" s="175">
        <f>(IF('Pre-Calculation'!$D$17="Type 4 a",MAX(SA,H24,1.05*Q24),IF('Pre-Calculation'!$D$17="Type 4 c",H24,IF('Pre-Calculation'!$D$17="Type 4 d",SA+H24,IF('Pre-Calculation'!$D$17="Type 4 e",MAX(SA,H24),IF('Pre-Calculation'!$D$17="Type 4 f",SA,IF('Pre-Calculation'!$D$17="Type 4 g",1000+H24,IF('Pre-Calculation'!$D$17="Type 4 h",SA+X24,IF('Pre-Calculation'!$D$17="Type 4 i",MAX(H24,Q24),IF('Pre-Calculation'!$D$17="Type 4 k",MAX(H24,1.01*Q24),IF('Pre-Calculation'!$D$17="Type 4 m",MAX(105%*Q24,SA+H24),IF('Pre-Calculation'!$D$17="Type 4 o",MAX(SA,105%*Q24)+X24+Z24,IF('Pre-Calculation'!$D$17="Type 5",0)))))))))))))*IF(AND(A24&lt;Revival!$C$4,C24&gt;=Revival!$D$12),PUP,1)</f>
        <v>1000000</v>
      </c>
      <c r="L24" s="175">
        <f>H24-I24*(1+Tax)</f>
        <v>857500.7349</v>
      </c>
      <c r="M24" s="175">
        <f>L24*(1+GROWTH_RATE_L)*(1-FMC*(1+Tax))</f>
        <v>859166.5314</v>
      </c>
      <c r="N24" s="175">
        <f>M24+IF(MOD(A24,B24)=0,VLOOKUP(B24,'Pre-Calculation'!$H$1:$L$31,5,FALSE),0)*IF('Pre-Calculation'!$D$16="% OF FV",M24,IF(OR('Pre-Calculation'!$D$16="% OF AFV(24M)",'Pre-Calculation'!$D$16="% OF AFV(8Q)"),AVERAGE( $M$7:$M24),IF('Pre-Calculation'!$D$16="% OF AFV(12M)",AVERAGE($M13:M24),IF('Pre-Calculation'!$D$16="% OF AFV(36M)",AVERAGE($M$7:M24)))))</f>
        <v>859166.5314</v>
      </c>
      <c r="O24" s="175">
        <f t="shared" si="4"/>
        <v>859166.5314</v>
      </c>
      <c r="P24" s="175">
        <f>IF('Pre-Calculation'!$D$17="Type 4 a",MAX(SA,N24,1.05*Q24),IF('Pre-Calculation'!$D$17="Type 4 c",N24,IF('Pre-Calculation'!$D$17="Type 4 d",SA+N24,IF('Pre-Calculation'!$D$17="Type 4 e",MAX(SA,N24),IF('Pre-Calculation'!$D$17="Type 4 f",SA,IF('Pre-Calculation'!$D$17="Type 4 g",1000+N24,IF('Pre-Calculation'!$D$17="Type 4 h",SA+X24,IF('Pre-Calculation'!$D$17="Type 4 i",MAX(N24,Q24),IF('Pre-Calculation'!$D$17="Type 4 k",MAX(N24,1.01*Q24),IF('Pre-Calculation'!$D$17="Type 4 m",MAX(105%*Q24,SA+N24),IF('Pre-Calculation'!$D$17="Type 4 o",MAX(SA,105%*Q24)+X24+Z24,IF('Pre-Calculation'!$D$17="Type 5",0))))))))))))</f>
        <v>1000000</v>
      </c>
      <c r="Q24" s="175">
        <f t="shared" si="5"/>
        <v>700000</v>
      </c>
      <c r="R24" s="119">
        <f>L24*(1+GROWTH_RATE)*FMC</f>
        <v>970.3671718</v>
      </c>
      <c r="S24" s="178">
        <f>S23*(1+'Pre-Calculation'!$E$27)</f>
        <v>684421.8744</v>
      </c>
      <c r="T24" s="175">
        <f>-E24+IF(A23=INPUT!$C$11*12,N24,0)</f>
        <v>0</v>
      </c>
      <c r="U24" s="175">
        <f t="shared" si="6"/>
        <v>871506.0448</v>
      </c>
      <c r="V24" s="175">
        <f>U24*(1+GROWTH_RATE_L)*(1-'Pre-Calculation'!$E$31)</f>
        <v>872903.0374</v>
      </c>
      <c r="W24" s="175">
        <f>-E24+IF(A23=INPUT!$C$11*12,V24,0)</f>
        <v>0</v>
      </c>
      <c r="X24" s="179">
        <f t="array" ref="X24">NPV('Pre-Calculation'!$E$20,$E25:E$246)</f>
        <v>269935.1101</v>
      </c>
      <c r="Y24" s="171">
        <f>10%*SA</f>
        <v>100000</v>
      </c>
      <c r="Z24" s="179">
        <f t="array" ref="Z24">NPV('Pre-Calculation'!$E$20,Y25:Y34)</f>
        <v>969592.8037</v>
      </c>
    </row>
    <row r="25" ht="15.75" customHeight="1">
      <c r="A25" s="171">
        <f t="shared" si="1"/>
        <v>79</v>
      </c>
      <c r="B25" s="171">
        <f t="shared" si="2"/>
        <v>7</v>
      </c>
      <c r="C25" s="176">
        <f>EDATE(RCD,A24)</f>
        <v>44925</v>
      </c>
      <c r="D25" s="171">
        <f>Age_At_Entry+'Cashflows_4%'!B25-1</f>
        <v>41</v>
      </c>
      <c r="E25" s="175">
        <f>IF(AND(C25&lt;=Last_Prem,MOD(A24,Mode)=0,C25&gt;INPUT!$C$13,A25&lt;=Revival!$C$11),Mod_Prem,0)</f>
        <v>0</v>
      </c>
      <c r="F25" s="177">
        <f>IF(B25&lt;PT+1,E25*VLOOKUP(B25,'Pre-Calculation'!$H$1:$I$31,2,FALSE),0)</f>
        <v>0</v>
      </c>
      <c r="G25" s="177">
        <f>IF(B25&lt;PT+1,VLOOKUP(B25,'Pre-Calculation'!$H$1:$L$32,3,FALSE)+VLOOKUP(B25,'Pre-Calculation'!$H$1:$L$32,4,FALSE)*'Pre-Calculation'!$D$7,0)</f>
        <v>830</v>
      </c>
      <c r="H25" s="175">
        <f>(E25-(F25+G25)*(1+Tax)+N24)</f>
        <v>858187.1314</v>
      </c>
      <c r="I25" s="175">
        <f>IF(B25&lt;PT+1,VLOOKUP(D25,'Pre-Calculation'!$N$3:$P$79,IF(INPUT!$C$4="M",2,3),FALSE)*(J25/1000)*(1/12),0)</f>
        <v>23.1509508</v>
      </c>
      <c r="J25" s="175">
        <f t="shared" si="3"/>
        <v>141812.8686</v>
      </c>
      <c r="K25" s="175">
        <f>(IF('Pre-Calculation'!$D$17="Type 4 a",MAX(SA,H25,1.05*Q25),IF('Pre-Calculation'!$D$17="Type 4 c",H25,IF('Pre-Calculation'!$D$17="Type 4 d",SA+H25,IF('Pre-Calculation'!$D$17="Type 4 e",MAX(SA,H25),IF('Pre-Calculation'!$D$17="Type 4 f",SA,IF('Pre-Calculation'!$D$17="Type 4 g",1000+H25,IF('Pre-Calculation'!$D$17="Type 4 h",SA+X25,IF('Pre-Calculation'!$D$17="Type 4 i",MAX(H25,Q25),IF('Pre-Calculation'!$D$17="Type 4 k",MAX(H25,1.01*Q25),IF('Pre-Calculation'!$D$17="Type 4 m",MAX(105%*Q25,SA+H25),IF('Pre-Calculation'!$D$17="Type 4 o",MAX(SA,105%*Q25)+X25+Z25,IF('Pre-Calculation'!$D$17="Type 5",0)))))))))))))*IF(AND(A25&lt;Revival!$C$4,C25&gt;=Revival!$D$12),PUP,1)</f>
        <v>1000000</v>
      </c>
      <c r="L25" s="175">
        <f>H25-I25*(1+Tax)</f>
        <v>858159.8133</v>
      </c>
      <c r="M25" s="175">
        <f>L25*(1+GROWTH_RATE_L)*(1-FMC*(1+Tax))</f>
        <v>859826.8901</v>
      </c>
      <c r="N25" s="175">
        <f>M25+IF(MOD(A25,B25)=0,VLOOKUP(B25,'Pre-Calculation'!$H$1:$L$31,5,FALSE),0)*IF('Pre-Calculation'!$D$16="% OF FV",M25,IF(OR('Pre-Calculation'!$D$16="% OF AFV(24M)",'Pre-Calculation'!$D$16="% OF AFV(8Q)"),AVERAGE( $M$7:$M25),IF('Pre-Calculation'!$D$16="% OF AFV(12M)",AVERAGE($M14:M25),IF('Pre-Calculation'!$D$16="% OF AFV(36M)",AVERAGE($M$7:M25)))))</f>
        <v>859826.8901</v>
      </c>
      <c r="O25" s="175">
        <f t="shared" si="4"/>
        <v>859826.8901</v>
      </c>
      <c r="P25" s="175">
        <f>IF('Pre-Calculation'!$D$17="Type 4 a",MAX(SA,N25,1.05*Q25),IF('Pre-Calculation'!$D$17="Type 4 c",N25,IF('Pre-Calculation'!$D$17="Type 4 d",SA+N25,IF('Pre-Calculation'!$D$17="Type 4 e",MAX(SA,N25),IF('Pre-Calculation'!$D$17="Type 4 f",SA,IF('Pre-Calculation'!$D$17="Type 4 g",1000+N25,IF('Pre-Calculation'!$D$17="Type 4 h",SA+X25,IF('Pre-Calculation'!$D$17="Type 4 i",MAX(N25,Q25),IF('Pre-Calculation'!$D$17="Type 4 k",MAX(N25,1.01*Q25),IF('Pre-Calculation'!$D$17="Type 4 m",MAX(105%*Q25,SA+N25),IF('Pre-Calculation'!$D$17="Type 4 o",MAX(SA,105%*Q25)+X25+Z25,IF('Pre-Calculation'!$D$17="Type 5",0))))))))))))</f>
        <v>1000000</v>
      </c>
      <c r="Q25" s="175">
        <f t="shared" si="5"/>
        <v>700000</v>
      </c>
      <c r="R25" s="119">
        <f>L25*(1+GROWTH_RATE)*FMC</f>
        <v>971.1129998</v>
      </c>
      <c r="S25" s="178">
        <f>S24*(1+'Pre-Calculation'!$E$27)</f>
        <v>686386.7803</v>
      </c>
      <c r="T25" s="175">
        <f>-E25+IF(A24=INPUT!$C$11*12,N25,0)</f>
        <v>0</v>
      </c>
      <c r="U25" s="175">
        <f t="shared" si="6"/>
        <v>872903.0374</v>
      </c>
      <c r="V25" s="175">
        <f>U25*(1+GROWTH_RATE_L)*(1-'Pre-Calculation'!$E$31)</f>
        <v>874302.2694</v>
      </c>
      <c r="W25" s="175">
        <f>-E25+IF(A24=INPUT!$C$11*12,V25,0)</f>
        <v>0</v>
      </c>
      <c r="X25" s="179">
        <f t="array" ref="X25">NPV('Pre-Calculation'!$E$20,$E26:E$246)</f>
        <v>271461.3624</v>
      </c>
      <c r="Y25" s="171">
        <f>10%*SA</f>
        <v>100000</v>
      </c>
      <c r="Z25" s="179">
        <f t="array" ref="Z25">NPV('Pre-Calculation'!$E$20,Y26:Y35)</f>
        <v>969592.8037</v>
      </c>
    </row>
    <row r="26" ht="15.75" customHeight="1">
      <c r="A26" s="171">
        <f t="shared" si="1"/>
        <v>80</v>
      </c>
      <c r="B26" s="171">
        <f t="shared" si="2"/>
        <v>7</v>
      </c>
      <c r="C26" s="176">
        <f>EDATE(RCD,A25)</f>
        <v>44956</v>
      </c>
      <c r="D26" s="171">
        <f>Age_At_Entry+'Cashflows_4%'!B26-1</f>
        <v>41</v>
      </c>
      <c r="E26" s="175">
        <f>IF(AND(C26&lt;=Last_Prem,MOD(A25,Mode)=0,C26&gt;INPUT!$C$13,A26&lt;=Revival!$C$11),Mod_Prem,0)</f>
        <v>0</v>
      </c>
      <c r="F26" s="177">
        <f>IF(B26&lt;PT+1,E26*VLOOKUP(B26,'Pre-Calculation'!$H$1:$I$31,2,FALSE),0)</f>
        <v>0</v>
      </c>
      <c r="G26" s="177">
        <f>IF(B26&lt;PT+1,VLOOKUP(B26,'Pre-Calculation'!$H$1:$L$32,3,FALSE)+VLOOKUP(B26,'Pre-Calculation'!$H$1:$L$32,4,FALSE)*'Pre-Calculation'!$D$7,0)</f>
        <v>830</v>
      </c>
      <c r="H26" s="175">
        <f>(E26-(F26+G26)*(1+Tax)+N25)</f>
        <v>858847.4901</v>
      </c>
      <c r="I26" s="175">
        <f>IF(B26&lt;PT+1,VLOOKUP(D26,'Pre-Calculation'!$N$3:$P$79,IF(INPUT!$C$4="M",2,3),FALSE)*(J26/1000)*(1/12),0)</f>
        <v>23.04314724</v>
      </c>
      <c r="J26" s="175">
        <f t="shared" si="3"/>
        <v>141152.5099</v>
      </c>
      <c r="K26" s="175">
        <f>(IF('Pre-Calculation'!$D$17="Type 4 a",MAX(SA,H26,1.05*Q26),IF('Pre-Calculation'!$D$17="Type 4 c",H26,IF('Pre-Calculation'!$D$17="Type 4 d",SA+H26,IF('Pre-Calculation'!$D$17="Type 4 e",MAX(SA,H26),IF('Pre-Calculation'!$D$17="Type 4 f",SA,IF('Pre-Calculation'!$D$17="Type 4 g",1000+H26,IF('Pre-Calculation'!$D$17="Type 4 h",SA+X26,IF('Pre-Calculation'!$D$17="Type 4 i",MAX(H26,Q26),IF('Pre-Calculation'!$D$17="Type 4 k",MAX(H26,1.01*Q26),IF('Pre-Calculation'!$D$17="Type 4 m",MAX(105%*Q26,SA+H26),IF('Pre-Calculation'!$D$17="Type 4 o",MAX(SA,105%*Q26)+X26+Z26,IF('Pre-Calculation'!$D$17="Type 5",0)))))))))))))*IF(AND(A26&lt;Revival!$C$4,C26&gt;=Revival!$D$12),PUP,1)</f>
        <v>1000000</v>
      </c>
      <c r="L26" s="175">
        <f>H26-I26*(1+Tax)</f>
        <v>858820.2992</v>
      </c>
      <c r="M26" s="175">
        <f>L26*(1+GROWTH_RATE_L)*(1-FMC*(1+Tax))</f>
        <v>860488.6591</v>
      </c>
      <c r="N26" s="175">
        <f>M26+IF(MOD(A26,B26)=0,VLOOKUP(B26,'Pre-Calculation'!$H$1:$L$31,5,FALSE),0)*IF('Pre-Calculation'!$D$16="% OF FV",M26,IF(OR('Pre-Calculation'!$D$16="% OF AFV(24M)",'Pre-Calculation'!$D$16="% OF AFV(8Q)"),AVERAGE( $M$7:$M26),IF('Pre-Calculation'!$D$16="% OF AFV(12M)",AVERAGE($M15:M26),IF('Pre-Calculation'!$D$16="% OF AFV(36M)",AVERAGE($M$7:M26)))))</f>
        <v>860488.6591</v>
      </c>
      <c r="O26" s="175">
        <f t="shared" si="4"/>
        <v>860488.6591</v>
      </c>
      <c r="P26" s="175">
        <f>IF('Pre-Calculation'!$D$17="Type 4 a",MAX(SA,N26,1.05*Q26),IF('Pre-Calculation'!$D$17="Type 4 c",N26,IF('Pre-Calculation'!$D$17="Type 4 d",SA+N26,IF('Pre-Calculation'!$D$17="Type 4 e",MAX(SA,N26),IF('Pre-Calculation'!$D$17="Type 4 f",SA,IF('Pre-Calculation'!$D$17="Type 4 g",1000+N26,IF('Pre-Calculation'!$D$17="Type 4 h",SA+X26,IF('Pre-Calculation'!$D$17="Type 4 i",MAX(N26,Q26),IF('Pre-Calculation'!$D$17="Type 4 k",MAX(N26,1.01*Q26),IF('Pre-Calculation'!$D$17="Type 4 m",MAX(105%*Q26,SA+N26),IF('Pre-Calculation'!$D$17="Type 4 o",MAX(SA,105%*Q26)+X26+Z26,IF('Pre-Calculation'!$D$17="Type 5",0))))))))))))</f>
        <v>1000000</v>
      </c>
      <c r="Q26" s="175">
        <f t="shared" si="5"/>
        <v>700000</v>
      </c>
      <c r="R26" s="119">
        <f>L26*(1+GROWTH_RATE)*FMC</f>
        <v>971.8604206</v>
      </c>
      <c r="S26" s="178">
        <f>S25*(1+'Pre-Calculation'!$E$27)</f>
        <v>688357.3272</v>
      </c>
      <c r="T26" s="175">
        <f>-E26+IF(A25=INPUT!$C$11*12,N26,0)</f>
        <v>0</v>
      </c>
      <c r="U26" s="175">
        <f t="shared" si="6"/>
        <v>874302.2694</v>
      </c>
      <c r="V26" s="175">
        <f>U26*(1+GROWTH_RATE_L)*(1-'Pre-Calculation'!$E$31)</f>
        <v>875703.7443</v>
      </c>
      <c r="W26" s="175">
        <f>-E26+IF(A25=INPUT!$C$11*12,V26,0)</f>
        <v>0</v>
      </c>
      <c r="X26" s="179">
        <f t="array" ref="X26">NPV('Pre-Calculation'!$E$20,$E27:E$246)</f>
        <v>272996.2445</v>
      </c>
      <c r="Y26" s="171">
        <f>10%*SA</f>
        <v>100000</v>
      </c>
      <c r="Z26" s="179">
        <f t="array" ref="Z26">NPV('Pre-Calculation'!$E$20,Y27:Y36)</f>
        <v>969592.8037</v>
      </c>
    </row>
    <row r="27" ht="15.75" customHeight="1">
      <c r="A27" s="171">
        <f t="shared" si="1"/>
        <v>81</v>
      </c>
      <c r="B27" s="171">
        <f t="shared" si="2"/>
        <v>7</v>
      </c>
      <c r="C27" s="176">
        <f>EDATE(RCD,A26)</f>
        <v>44985</v>
      </c>
      <c r="D27" s="171">
        <f>Age_At_Entry+'Cashflows_4%'!B27-1</f>
        <v>41</v>
      </c>
      <c r="E27" s="175">
        <f>IF(AND(C27&lt;=Last_Prem,MOD(A26,Mode)=0,C27&gt;INPUT!$C$13,A27&lt;=Revival!$C$11),Mod_Prem,0)</f>
        <v>0</v>
      </c>
      <c r="F27" s="177">
        <f>IF(B27&lt;PT+1,E27*VLOOKUP(B27,'Pre-Calculation'!$H$1:$I$31,2,FALSE),0)</f>
        <v>0</v>
      </c>
      <c r="G27" s="177">
        <f>IF(B27&lt;PT+1,VLOOKUP(B27,'Pre-Calculation'!$H$1:$L$32,3,FALSE)+VLOOKUP(B27,'Pre-Calculation'!$H$1:$L$32,4,FALSE)*'Pre-Calculation'!$D$7,0)</f>
        <v>830</v>
      </c>
      <c r="H27" s="175">
        <f>(E27-(F27+G27)*(1+Tax)+N26)</f>
        <v>859509.2591</v>
      </c>
      <c r="I27" s="175">
        <f>IF(B27&lt;PT+1,VLOOKUP(D27,'Pre-Calculation'!$N$3:$P$79,IF(INPUT!$C$4="M",2,3),FALSE)*(J27/1000)*(1/12),0)</f>
        <v>22.93511345</v>
      </c>
      <c r="J27" s="175">
        <f t="shared" si="3"/>
        <v>140490.7409</v>
      </c>
      <c r="K27" s="175">
        <f>(IF('Pre-Calculation'!$D$17="Type 4 a",MAX(SA,H27,1.05*Q27),IF('Pre-Calculation'!$D$17="Type 4 c",H27,IF('Pre-Calculation'!$D$17="Type 4 d",SA+H27,IF('Pre-Calculation'!$D$17="Type 4 e",MAX(SA,H27),IF('Pre-Calculation'!$D$17="Type 4 f",SA,IF('Pre-Calculation'!$D$17="Type 4 g",1000+H27,IF('Pre-Calculation'!$D$17="Type 4 h",SA+X27,IF('Pre-Calculation'!$D$17="Type 4 i",MAX(H27,Q27),IF('Pre-Calculation'!$D$17="Type 4 k",MAX(H27,1.01*Q27),IF('Pre-Calculation'!$D$17="Type 4 m",MAX(105%*Q27,SA+H27),IF('Pre-Calculation'!$D$17="Type 4 o",MAX(SA,105%*Q27)+X27+Z27,IF('Pre-Calculation'!$D$17="Type 5",0)))))))))))))*IF(AND(A27&lt;Revival!$C$4,C27&gt;=Revival!$D$12),PUP,1)</f>
        <v>1000000</v>
      </c>
      <c r="L27" s="175">
        <f>H27-I27*(1+Tax)</f>
        <v>859482.1957</v>
      </c>
      <c r="M27" s="175">
        <f>L27*(1+GROWTH_RATE_L)*(1-FMC*(1+Tax))</f>
        <v>861151.8414</v>
      </c>
      <c r="N27" s="175">
        <f>M27+IF(MOD(A27,B27)=0,VLOOKUP(B27,'Pre-Calculation'!$H$1:$L$31,5,FALSE),0)*IF('Pre-Calculation'!$D$16="% OF FV",M27,IF(OR('Pre-Calculation'!$D$16="% OF AFV(24M)",'Pre-Calculation'!$D$16="% OF AFV(8Q)"),AVERAGE( $M$7:$M27),IF('Pre-Calculation'!$D$16="% OF AFV(12M)",AVERAGE($M16:M27),IF('Pre-Calculation'!$D$16="% OF AFV(36M)",AVERAGE($M$7:M27)))))</f>
        <v>861151.8414</v>
      </c>
      <c r="O27" s="175">
        <f t="shared" si="4"/>
        <v>861151.8414</v>
      </c>
      <c r="P27" s="175">
        <f>IF('Pre-Calculation'!$D$17="Type 4 a",MAX(SA,N27,1.05*Q27),IF('Pre-Calculation'!$D$17="Type 4 c",N27,IF('Pre-Calculation'!$D$17="Type 4 d",SA+N27,IF('Pre-Calculation'!$D$17="Type 4 e",MAX(SA,N27),IF('Pre-Calculation'!$D$17="Type 4 f",SA,IF('Pre-Calculation'!$D$17="Type 4 g",1000+N27,IF('Pre-Calculation'!$D$17="Type 4 h",SA+X27,IF('Pre-Calculation'!$D$17="Type 4 i",MAX(N27,Q27),IF('Pre-Calculation'!$D$17="Type 4 k",MAX(N27,1.01*Q27),IF('Pre-Calculation'!$D$17="Type 4 m",MAX(105%*Q27,SA+N27),IF('Pre-Calculation'!$D$17="Type 4 o",MAX(SA,105%*Q27)+X27+Z27,IF('Pre-Calculation'!$D$17="Type 5",0))))))))))))</f>
        <v>1000000</v>
      </c>
      <c r="Q27" s="175">
        <f t="shared" si="5"/>
        <v>700000</v>
      </c>
      <c r="R27" s="119">
        <f>L27*(1+GROWTH_RATE)*FMC</f>
        <v>972.6094376</v>
      </c>
      <c r="S27" s="178">
        <f>S26*(1+'Pre-Calculation'!$E$27)</f>
        <v>690333.5314</v>
      </c>
      <c r="T27" s="175">
        <f>-E27+IF(A26=INPUT!$C$11*12,N27,0)</f>
        <v>0</v>
      </c>
      <c r="U27" s="175">
        <f t="shared" si="6"/>
        <v>875703.7443</v>
      </c>
      <c r="V27" s="175">
        <f>U27*(1+GROWTH_RATE_L)*(1-'Pre-Calculation'!$E$31)</f>
        <v>877107.4657</v>
      </c>
      <c r="W27" s="175">
        <f>-E27+IF(A26=INPUT!$C$11*12,V27,0)</f>
        <v>0</v>
      </c>
      <c r="X27" s="179">
        <f t="array" ref="X27">NPV('Pre-Calculation'!$E$20,$E28:E$246)</f>
        <v>274539.8049</v>
      </c>
      <c r="Y27" s="171">
        <f>10%*SA</f>
        <v>100000</v>
      </c>
      <c r="Z27" s="179">
        <f t="array" ref="Z27">NPV('Pre-Calculation'!$E$20,Y28:Y37)</f>
        <v>969592.8037</v>
      </c>
    </row>
    <row r="28" ht="15.75" customHeight="1">
      <c r="A28" s="171">
        <f t="shared" si="1"/>
        <v>82</v>
      </c>
      <c r="B28" s="171">
        <f t="shared" si="2"/>
        <v>7</v>
      </c>
      <c r="C28" s="176">
        <f>EDATE(RCD,A27)</f>
        <v>45015</v>
      </c>
      <c r="D28" s="171">
        <f>Age_At_Entry+'Cashflows_4%'!B28-1</f>
        <v>41</v>
      </c>
      <c r="E28" s="175">
        <f>IF(AND(C28&lt;=Last_Prem,MOD(A27,Mode)=0,C28&gt;INPUT!$C$13,A28&lt;=Revival!$C$11),Mod_Prem,0)</f>
        <v>0</v>
      </c>
      <c r="F28" s="177">
        <f>IF(B28&lt;PT+1,E28*VLOOKUP(B28,'Pre-Calculation'!$H$1:$I$31,2,FALSE),0)</f>
        <v>0</v>
      </c>
      <c r="G28" s="177">
        <f>IF(B28&lt;PT+1,VLOOKUP(B28,'Pre-Calculation'!$H$1:$L$32,3,FALSE)+VLOOKUP(B28,'Pre-Calculation'!$H$1:$L$32,4,FALSE)*'Pre-Calculation'!$D$7,0)</f>
        <v>830</v>
      </c>
      <c r="H28" s="175">
        <f>(E28-(F28+G28)*(1+Tax)+N27)</f>
        <v>860172.4414</v>
      </c>
      <c r="I28" s="175">
        <f>IF(B28&lt;PT+1,VLOOKUP(D28,'Pre-Calculation'!$N$3:$P$79,IF(INPUT!$C$4="M",2,3),FALSE)*(J28/1000)*(1/12),0)</f>
        <v>22.82684894</v>
      </c>
      <c r="J28" s="175">
        <f t="shared" si="3"/>
        <v>139827.5586</v>
      </c>
      <c r="K28" s="175">
        <f>(IF('Pre-Calculation'!$D$17="Type 4 a",MAX(SA,H28,1.05*Q28),IF('Pre-Calculation'!$D$17="Type 4 c",H28,IF('Pre-Calculation'!$D$17="Type 4 d",SA+H28,IF('Pre-Calculation'!$D$17="Type 4 e",MAX(SA,H28),IF('Pre-Calculation'!$D$17="Type 4 f",SA,IF('Pre-Calculation'!$D$17="Type 4 g",1000+H28,IF('Pre-Calculation'!$D$17="Type 4 h",SA+X28,IF('Pre-Calculation'!$D$17="Type 4 i",MAX(H28,Q28),IF('Pre-Calculation'!$D$17="Type 4 k",MAX(H28,1.01*Q28),IF('Pre-Calculation'!$D$17="Type 4 m",MAX(105%*Q28,SA+H28),IF('Pre-Calculation'!$D$17="Type 4 o",MAX(SA,105%*Q28)+X28+Z28,IF('Pre-Calculation'!$D$17="Type 5",0)))))))))))))*IF(AND(A28&lt;Revival!$C$4,C28&gt;=Revival!$D$12),PUP,1)</f>
        <v>1000000</v>
      </c>
      <c r="L28" s="175">
        <f>H28-I28*(1+Tax)</f>
        <v>860145.5057</v>
      </c>
      <c r="M28" s="175">
        <f>L28*(1+GROWTH_RATE_L)*(1-FMC*(1+Tax))</f>
        <v>861816.44</v>
      </c>
      <c r="N28" s="175">
        <f>M28+IF(MOD(A28,B28)=0,VLOOKUP(B28,'Pre-Calculation'!$H$1:$L$31,5,FALSE),0)*IF('Pre-Calculation'!$D$16="% OF FV",M28,IF(OR('Pre-Calculation'!$D$16="% OF AFV(24M)",'Pre-Calculation'!$D$16="% OF AFV(8Q)"),AVERAGE( $M$7:$M28),IF('Pre-Calculation'!$D$16="% OF AFV(12M)",AVERAGE($M17:M28),IF('Pre-Calculation'!$D$16="% OF AFV(36M)",AVERAGE($M$7:M28)))))</f>
        <v>861816.44</v>
      </c>
      <c r="O28" s="175">
        <f t="shared" si="4"/>
        <v>861816.44</v>
      </c>
      <c r="P28" s="175">
        <f>IF('Pre-Calculation'!$D$17="Type 4 a",MAX(SA,N28,1.05*Q28),IF('Pre-Calculation'!$D$17="Type 4 c",N28,IF('Pre-Calculation'!$D$17="Type 4 d",SA+N28,IF('Pre-Calculation'!$D$17="Type 4 e",MAX(SA,N28),IF('Pre-Calculation'!$D$17="Type 4 f",SA,IF('Pre-Calculation'!$D$17="Type 4 g",1000+N28,IF('Pre-Calculation'!$D$17="Type 4 h",SA+X28,IF('Pre-Calculation'!$D$17="Type 4 i",MAX(N28,Q28),IF('Pre-Calculation'!$D$17="Type 4 k",MAX(N28,1.01*Q28),IF('Pre-Calculation'!$D$17="Type 4 m",MAX(105%*Q28,SA+N28),IF('Pre-Calculation'!$D$17="Type 4 o",MAX(SA,105%*Q28)+X28+Z28,IF('Pre-Calculation'!$D$17="Type 5",0))))))))))))</f>
        <v>1000000</v>
      </c>
      <c r="Q28" s="175">
        <f t="shared" si="5"/>
        <v>700000</v>
      </c>
      <c r="R28" s="119">
        <f>L28*(1+GROWTH_RATE)*FMC</f>
        <v>973.3600542</v>
      </c>
      <c r="S28" s="178">
        <f>S27*(1+'Pre-Calculation'!$E$27)</f>
        <v>692315.4091</v>
      </c>
      <c r="T28" s="175">
        <f>-E28+IF(A27=INPUT!$C$11*12,N28,0)</f>
        <v>0</v>
      </c>
      <c r="U28" s="175">
        <f t="shared" si="6"/>
        <v>877107.4657</v>
      </c>
      <c r="V28" s="175">
        <f>U28*(1+GROWTH_RATE_L)*(1-'Pre-Calculation'!$E$31)</f>
        <v>878513.4372</v>
      </c>
      <c r="W28" s="175">
        <f>-E28+IF(A27=INPUT!$C$11*12,V28,0)</f>
        <v>0</v>
      </c>
      <c r="X28" s="179">
        <f t="array" ref="X28">NPV('Pre-Calculation'!$E$20,$E29:E$246)</f>
        <v>276092.0929</v>
      </c>
      <c r="Y28" s="171">
        <f>10%*SA</f>
        <v>100000</v>
      </c>
      <c r="Z28" s="179">
        <f t="array" ref="Z28">NPV('Pre-Calculation'!$E$20,Y29:Y38)</f>
        <v>969592.8037</v>
      </c>
    </row>
    <row r="29" ht="15.75" customHeight="1">
      <c r="A29" s="171">
        <f t="shared" si="1"/>
        <v>83</v>
      </c>
      <c r="B29" s="171">
        <f t="shared" si="2"/>
        <v>7</v>
      </c>
      <c r="C29" s="176">
        <f>EDATE(RCD,A28)</f>
        <v>45046</v>
      </c>
      <c r="D29" s="171">
        <f>Age_At_Entry+'Cashflows_4%'!B29-1</f>
        <v>41</v>
      </c>
      <c r="E29" s="175">
        <f>IF(AND(C29&lt;=Last_Prem,MOD(A28,Mode)=0,C29&gt;INPUT!$C$13,A29&lt;=Revival!$C$11),Mod_Prem,0)</f>
        <v>0</v>
      </c>
      <c r="F29" s="177">
        <f>IF(B29&lt;PT+1,E29*VLOOKUP(B29,'Pre-Calculation'!$H$1:$I$31,2,FALSE),0)</f>
        <v>0</v>
      </c>
      <c r="G29" s="177">
        <f>IF(B29&lt;PT+1,VLOOKUP(B29,'Pre-Calculation'!$H$1:$L$32,3,FALSE)+VLOOKUP(B29,'Pre-Calculation'!$H$1:$L$32,4,FALSE)*'Pre-Calculation'!$D$7,0)</f>
        <v>830</v>
      </c>
      <c r="H29" s="175">
        <f>(E29-(F29+G29)*(1+Tax)+N28)</f>
        <v>860837.04</v>
      </c>
      <c r="I29" s="175">
        <f>IF(B29&lt;PT+1,VLOOKUP(D29,'Pre-Calculation'!$N$3:$P$79,IF(INPUT!$C$4="M",2,3),FALSE)*(J29/1000)*(1/12),0)</f>
        <v>22.71835322</v>
      </c>
      <c r="J29" s="175">
        <f t="shared" si="3"/>
        <v>139162.96</v>
      </c>
      <c r="K29" s="175">
        <f>(IF('Pre-Calculation'!$D$17="Type 4 a",MAX(SA,H29,1.05*Q29),IF('Pre-Calculation'!$D$17="Type 4 c",H29,IF('Pre-Calculation'!$D$17="Type 4 d",SA+H29,IF('Pre-Calculation'!$D$17="Type 4 e",MAX(SA,H29),IF('Pre-Calculation'!$D$17="Type 4 f",SA,IF('Pre-Calculation'!$D$17="Type 4 g",1000+H29,IF('Pre-Calculation'!$D$17="Type 4 h",SA+X29,IF('Pre-Calculation'!$D$17="Type 4 i",MAX(H29,Q29),IF('Pre-Calculation'!$D$17="Type 4 k",MAX(H29,1.01*Q29),IF('Pre-Calculation'!$D$17="Type 4 m",MAX(105%*Q29,SA+H29),IF('Pre-Calculation'!$D$17="Type 4 o",MAX(SA,105%*Q29)+X29+Z29,IF('Pre-Calculation'!$D$17="Type 5",0)))))))))))))*IF(AND(A29&lt;Revival!$C$4,C29&gt;=Revival!$D$12),PUP,1)</f>
        <v>1000000</v>
      </c>
      <c r="L29" s="175">
        <f>H29-I29*(1+Tax)</f>
        <v>860810.2324</v>
      </c>
      <c r="M29" s="175">
        <f>L29*(1+GROWTH_RATE_L)*(1-FMC*(1+Tax))</f>
        <v>862482.458</v>
      </c>
      <c r="N29" s="175">
        <f>M29+IF(MOD(A29,B29)=0,VLOOKUP(B29,'Pre-Calculation'!$H$1:$L$31,5,FALSE),0)*IF('Pre-Calculation'!$D$16="% OF FV",M29,IF(OR('Pre-Calculation'!$D$16="% OF AFV(24M)",'Pre-Calculation'!$D$16="% OF AFV(8Q)"),AVERAGE( $M$7:$M29),IF('Pre-Calculation'!$D$16="% OF AFV(12M)",AVERAGE($M18:M29),IF('Pre-Calculation'!$D$16="% OF AFV(36M)",AVERAGE($M$7:M29)))))</f>
        <v>862482.458</v>
      </c>
      <c r="O29" s="175">
        <f t="shared" si="4"/>
        <v>862482.458</v>
      </c>
      <c r="P29" s="175">
        <f>IF('Pre-Calculation'!$D$17="Type 4 a",MAX(SA,N29,1.05*Q29),IF('Pre-Calculation'!$D$17="Type 4 c",N29,IF('Pre-Calculation'!$D$17="Type 4 d",SA+N29,IF('Pre-Calculation'!$D$17="Type 4 e",MAX(SA,N29),IF('Pre-Calculation'!$D$17="Type 4 f",SA,IF('Pre-Calculation'!$D$17="Type 4 g",1000+N29,IF('Pre-Calculation'!$D$17="Type 4 h",SA+X29,IF('Pre-Calculation'!$D$17="Type 4 i",MAX(N29,Q29),IF('Pre-Calculation'!$D$17="Type 4 k",MAX(N29,1.01*Q29),IF('Pre-Calculation'!$D$17="Type 4 m",MAX(105%*Q29,SA+N29),IF('Pre-Calculation'!$D$17="Type 4 o",MAX(SA,105%*Q29)+X29+Z29,IF('Pre-Calculation'!$D$17="Type 5",0))))))))))))</f>
        <v>1000000</v>
      </c>
      <c r="Q29" s="175">
        <f t="shared" si="5"/>
        <v>700000</v>
      </c>
      <c r="R29" s="119">
        <f>L29*(1+GROWTH_RATE)*FMC</f>
        <v>974.1122739</v>
      </c>
      <c r="S29" s="178">
        <f>S28*(1+'Pre-Calculation'!$E$27)</f>
        <v>694302.9765</v>
      </c>
      <c r="T29" s="175">
        <f>-E29+IF(A28=INPUT!$C$11*12,N29,0)</f>
        <v>0</v>
      </c>
      <c r="U29" s="175">
        <f t="shared" si="6"/>
        <v>878513.4372</v>
      </c>
      <c r="V29" s="175">
        <f>U29*(1+GROWTH_RATE_L)*(1-'Pre-Calculation'!$E$31)</f>
        <v>879921.6625</v>
      </c>
      <c r="W29" s="175">
        <f>-E29+IF(A28=INPUT!$C$11*12,V29,0)</f>
        <v>0</v>
      </c>
      <c r="X29" s="179">
        <f t="array" ref="X29">NPV('Pre-Calculation'!$E$20,$E30:E$246)</f>
        <v>277653.1577</v>
      </c>
      <c r="Y29" s="171">
        <f>10%*SA</f>
        <v>100000</v>
      </c>
      <c r="Z29" s="179">
        <f t="array" ref="Z29">NPV('Pre-Calculation'!$E$20,Y30:Y39)</f>
        <v>969592.8037</v>
      </c>
    </row>
    <row r="30" ht="15.75" customHeight="1">
      <c r="A30" s="171">
        <f t="shared" si="1"/>
        <v>84</v>
      </c>
      <c r="B30" s="171">
        <f t="shared" si="2"/>
        <v>7</v>
      </c>
      <c r="C30" s="176">
        <f>EDATE(RCD,A29)</f>
        <v>45076</v>
      </c>
      <c r="D30" s="171">
        <f>Age_At_Entry+'Cashflows_4%'!B30-1</f>
        <v>41</v>
      </c>
      <c r="E30" s="175">
        <f>IF(AND(C30&lt;=Last_Prem,MOD(A29,Mode)=0,C30&gt;INPUT!$C$13,A30&lt;=Revival!$C$11),Mod_Prem,0)</f>
        <v>0</v>
      </c>
      <c r="F30" s="177">
        <f>IF(B30&lt;PT+1,E30*VLOOKUP(B30,'Pre-Calculation'!$H$1:$I$31,2,FALSE),0)</f>
        <v>0</v>
      </c>
      <c r="G30" s="177">
        <f>IF(B30&lt;PT+1,VLOOKUP(B30,'Pre-Calculation'!$H$1:$L$32,3,FALSE)+VLOOKUP(B30,'Pre-Calculation'!$H$1:$L$32,4,FALSE)*'Pre-Calculation'!$D$7,0)</f>
        <v>830</v>
      </c>
      <c r="H30" s="175">
        <f>(E30-(F30+G30)*(1+Tax)+N29)</f>
        <v>861503.058</v>
      </c>
      <c r="I30" s="175">
        <f>IF(B30&lt;PT+1,VLOOKUP(D30,'Pre-Calculation'!$N$3:$P$79,IF(INPUT!$C$4="M",2,3),FALSE)*(J30/1000)*(1/12),0)</f>
        <v>22.60962579</v>
      </c>
      <c r="J30" s="175">
        <f t="shared" si="3"/>
        <v>138496.942</v>
      </c>
      <c r="K30" s="175">
        <f>(IF('Pre-Calculation'!$D$17="Type 4 a",MAX(SA,H30,1.05*Q30),IF('Pre-Calculation'!$D$17="Type 4 c",H30,IF('Pre-Calculation'!$D$17="Type 4 d",SA+H30,IF('Pre-Calculation'!$D$17="Type 4 e",MAX(SA,H30),IF('Pre-Calculation'!$D$17="Type 4 f",SA,IF('Pre-Calculation'!$D$17="Type 4 g",1000+H30,IF('Pre-Calculation'!$D$17="Type 4 h",SA+X30,IF('Pre-Calculation'!$D$17="Type 4 i",MAX(H30,Q30),IF('Pre-Calculation'!$D$17="Type 4 k",MAX(H30,1.01*Q30),IF('Pre-Calculation'!$D$17="Type 4 m",MAX(105%*Q30,SA+H30),IF('Pre-Calculation'!$D$17="Type 4 o",MAX(SA,105%*Q30)+X30+Z30,IF('Pre-Calculation'!$D$17="Type 5",0)))))))))))))*IF(AND(A30&lt;Revival!$C$4,C30&gt;=Revival!$D$12),PUP,1)</f>
        <v>1000000</v>
      </c>
      <c r="L30" s="175">
        <f>H30-I30*(1+Tax)</f>
        <v>861476.3786</v>
      </c>
      <c r="M30" s="175">
        <f>L30*(1+GROWTH_RATE_L)*(1-FMC*(1+Tax))</f>
        <v>863149.8983</v>
      </c>
      <c r="N30" s="175">
        <f>M30+IF(MOD(A30,B30)=0,VLOOKUP(B30,'Pre-Calculation'!$H$1:$L$31,5,FALSE),0)*IF('Pre-Calculation'!$D$16="% OF FV",M30,IF(OR('Pre-Calculation'!$D$16="% OF AFV(24M)",'Pre-Calculation'!$D$16="% OF AFV(8Q)"),AVERAGE( $M7:$M30),IF('Pre-Calculation'!$D$16="% OF AFV(12M)",AVERAGE($M19:M30),IF('Pre-Calculation'!$D$16="% OF AFV(36M)",AVERAGE($M$7:M30)))))</f>
        <v>863149.8983</v>
      </c>
      <c r="O30" s="175">
        <f t="shared" si="4"/>
        <v>863149.8983</v>
      </c>
      <c r="P30" s="175">
        <f>IF('Pre-Calculation'!$D$17="Type 4 a",MAX(SA,N30,1.05*Q30),IF('Pre-Calculation'!$D$17="Type 4 c",N30,IF('Pre-Calculation'!$D$17="Type 4 d",SA+N30,IF('Pre-Calculation'!$D$17="Type 4 e",MAX(SA,N30),IF('Pre-Calculation'!$D$17="Type 4 f",SA,IF('Pre-Calculation'!$D$17="Type 4 g",1000+N30,IF('Pre-Calculation'!$D$17="Type 4 h",SA+X30,IF('Pre-Calculation'!$D$17="Type 4 i",MAX(N30,Q30),IF('Pre-Calculation'!$D$17="Type 4 k",MAX(N30,1.01*Q30),IF('Pre-Calculation'!$D$17="Type 4 m",MAX(105%*Q30,SA+N30),IF('Pre-Calculation'!$D$17="Type 4 o",MAX(SA,105%*Q30)+X30+Z30,IF('Pre-Calculation'!$D$17="Type 5",0))))))))))))</f>
        <v>1000000</v>
      </c>
      <c r="Q30" s="175">
        <f t="shared" si="5"/>
        <v>700000</v>
      </c>
      <c r="R30" s="119">
        <f>L30*(1+GROWTH_RATE)*FMC</f>
        <v>974.8661</v>
      </c>
      <c r="S30" s="178">
        <f>S29*(1+'Pre-Calculation'!$E$27)</f>
        <v>696296.25</v>
      </c>
      <c r="T30" s="175">
        <f>-E30+IF(A29=INPUT!$C$11*12,N30,0)</f>
        <v>0</v>
      </c>
      <c r="U30" s="175">
        <f t="shared" si="6"/>
        <v>879921.6625</v>
      </c>
      <c r="V30" s="175">
        <f>U30*(1+GROWTH_RATE_L)*(1-'Pre-Calculation'!$E$31)</f>
        <v>881332.145</v>
      </c>
      <c r="W30" s="175">
        <f>-E30+IF(A29=INPUT!$C$11*12,V30,0)</f>
        <v>0</v>
      </c>
      <c r="X30" s="179">
        <f t="array" ref="X30">NPV('Pre-Calculation'!$E$20,$E31:E$246)</f>
        <v>279223.049</v>
      </c>
      <c r="Y30" s="171">
        <f>10%*SA</f>
        <v>100000</v>
      </c>
      <c r="Z30" s="179">
        <f t="array" ref="Z30">NPV('Pre-Calculation'!$E$20,Y31:Y40)</f>
        <v>969592.8037</v>
      </c>
    </row>
    <row r="31" ht="15.75" customHeight="1">
      <c r="A31" s="171">
        <f t="shared" si="1"/>
        <v>85</v>
      </c>
      <c r="B31" s="171">
        <f t="shared" si="2"/>
        <v>8</v>
      </c>
      <c r="C31" s="176">
        <f>EDATE(RCD,A30)</f>
        <v>45107</v>
      </c>
      <c r="D31" s="171">
        <f>Age_At_Entry+'Cashflows_4%'!B31-1</f>
        <v>42</v>
      </c>
      <c r="E31" s="175">
        <f>IF(AND(C31&lt;=Last_Prem,MOD(A30,Mode)=0,C31&gt;INPUT!$C$13,A31&lt;=Revival!$C$11),Mod_Prem,0)</f>
        <v>100000</v>
      </c>
      <c r="F31" s="177">
        <f>IF(B31&lt;PT+1,E31*VLOOKUP(B31,'Pre-Calculation'!$H$1:$I$31,2,FALSE),0)</f>
        <v>0</v>
      </c>
      <c r="G31" s="177">
        <f>IF(B31&lt;PT+1,VLOOKUP(B31,'Pre-Calculation'!$H$1:$L$32,3,FALSE)+VLOOKUP(B31,'Pre-Calculation'!$H$1:$L$32,4,FALSE)*'Pre-Calculation'!$D$7,0)</f>
        <v>830</v>
      </c>
      <c r="H31" s="175">
        <f>(E31-(F31+G31)*(1+Tax)+N30)</f>
        <v>962170.4983</v>
      </c>
      <c r="I31" s="175">
        <f>IF(B31&lt;PT+1,VLOOKUP(D31,'Pre-Calculation'!$N$3:$P$79,IF(INPUT!$C$4="M",2,3),FALSE)*(J31/1000)*(1/12),0)</f>
        <v>6.746261142</v>
      </c>
      <c r="J31" s="175">
        <f t="shared" si="3"/>
        <v>37829.50173</v>
      </c>
      <c r="K31" s="175">
        <f>(IF('Pre-Calculation'!$D$17="Type 4 a",MAX(SA,H31,1.05*Q31),IF('Pre-Calculation'!$D$17="Type 4 c",H31,IF('Pre-Calculation'!$D$17="Type 4 d",SA+H31,IF('Pre-Calculation'!$D$17="Type 4 e",MAX(SA,H31),IF('Pre-Calculation'!$D$17="Type 4 f",SA,IF('Pre-Calculation'!$D$17="Type 4 g",1000+H31,IF('Pre-Calculation'!$D$17="Type 4 h",SA+X31,IF('Pre-Calculation'!$D$17="Type 4 i",MAX(H31,Q31),IF('Pre-Calculation'!$D$17="Type 4 k",MAX(H31,1.01*Q31),IF('Pre-Calculation'!$D$17="Type 4 m",MAX(105%*Q31,SA+H31),IF('Pre-Calculation'!$D$17="Type 4 o",MAX(SA,105%*Q31)+X31+Z31,IF('Pre-Calculation'!$D$17="Type 5",0)))))))))))))*IF(AND(A31&lt;Revival!$C$4,C31&gt;=Revival!$D$12),PUP,1)</f>
        <v>1000000</v>
      </c>
      <c r="L31" s="175">
        <f>H31-I31*(1+Tax)</f>
        <v>962162.5377</v>
      </c>
      <c r="M31" s="175">
        <f>L31*(1+GROWTH_RATE_L)*(1-FMC*(1+Tax))</f>
        <v>964031.6521</v>
      </c>
      <c r="N31" s="175">
        <f>M31+IF(MOD(A31,B31)=0,VLOOKUP(B31,'Pre-Calculation'!$H$1:$L$31,5,FALSE),0)*IF('Pre-Calculation'!$D$16="% OF FV",M31,IF(OR('Pre-Calculation'!$D$16="% OF AFV(24M)",'Pre-Calculation'!$D$16="% OF AFV(8Q)"),AVERAGE( $M8:$M31),IF('Pre-Calculation'!$D$16="% OF AFV(12M)",AVERAGE($M20:M31),IF('Pre-Calculation'!$D$16="% OF AFV(36M)",AVERAGE($M$7:M31)))))</f>
        <v>964031.6521</v>
      </c>
      <c r="O31" s="175">
        <f t="shared" si="4"/>
        <v>964031.6521</v>
      </c>
      <c r="P31" s="175">
        <f>IF('Pre-Calculation'!$D$17="Type 4 a",MAX(SA,N31,1.05*Q31),IF('Pre-Calculation'!$D$17="Type 4 c",N31,IF('Pre-Calculation'!$D$17="Type 4 d",SA+N31,IF('Pre-Calculation'!$D$17="Type 4 e",MAX(SA,N31),IF('Pre-Calculation'!$D$17="Type 4 f",SA,IF('Pre-Calculation'!$D$17="Type 4 g",1000+N31,IF('Pre-Calculation'!$D$17="Type 4 h",SA+X31,IF('Pre-Calculation'!$D$17="Type 4 i",MAX(N31,Q31),IF('Pre-Calculation'!$D$17="Type 4 k",MAX(N31,1.01*Q31),IF('Pre-Calculation'!$D$17="Type 4 m",MAX(105%*Q31,SA+N31),IF('Pre-Calculation'!$D$17="Type 4 o",MAX(SA,105%*Q31)+X31+Z31,IF('Pre-Calculation'!$D$17="Type 5",0))))))))))))</f>
        <v>1000000</v>
      </c>
      <c r="Q31" s="175">
        <f t="shared" si="5"/>
        <v>800000</v>
      </c>
      <c r="R31" s="119">
        <f>L31*(1+GROWTH_RATE)*FMC</f>
        <v>1088.804828</v>
      </c>
      <c r="S31" s="178">
        <f>S30*(1+'Pre-Calculation'!$E$27)</f>
        <v>698295.246</v>
      </c>
      <c r="T31" s="175">
        <f>-E31+IF(A30=INPUT!$C$11*12,N31,0)</f>
        <v>-100000</v>
      </c>
      <c r="U31" s="175">
        <f t="shared" si="6"/>
        <v>981332.145</v>
      </c>
      <c r="V31" s="175">
        <f>U31*(1+GROWTH_RATE_L)*(1-'Pre-Calculation'!$E$31)</f>
        <v>982905.185</v>
      </c>
      <c r="W31" s="175">
        <f>-E31+IF(A30=INPUT!$C$11*12,V31,0)</f>
        <v>-100000</v>
      </c>
      <c r="X31" s="179">
        <f t="array" ref="X31">NPV('Pre-Calculation'!$E$20,$E32:E$246)</f>
        <v>180801.8168</v>
      </c>
      <c r="Y31" s="171">
        <f>10%*SA</f>
        <v>100000</v>
      </c>
      <c r="Z31" s="179">
        <f t="array" ref="Z31">NPV('Pre-Calculation'!$E$20,Y32:Y41)</f>
        <v>969592.8037</v>
      </c>
    </row>
    <row r="32" ht="15.75" customHeight="1">
      <c r="A32" s="171">
        <f t="shared" si="1"/>
        <v>86</v>
      </c>
      <c r="B32" s="171">
        <f t="shared" si="2"/>
        <v>8</v>
      </c>
      <c r="C32" s="176">
        <f>EDATE(RCD,A31)</f>
        <v>45137</v>
      </c>
      <c r="D32" s="171">
        <f>Age_At_Entry+'Cashflows_4%'!B32-1</f>
        <v>42</v>
      </c>
      <c r="E32" s="175">
        <f>IF(AND(C32&lt;=Last_Prem,MOD(A31,Mode)=0,C32&gt;INPUT!$C$13,A32&lt;=Revival!$C$11),Mod_Prem,0)</f>
        <v>0</v>
      </c>
      <c r="F32" s="177">
        <f>IF(B32&lt;PT+1,E32*VLOOKUP(B32,'Pre-Calculation'!$H$1:$I$31,2,FALSE),0)</f>
        <v>0</v>
      </c>
      <c r="G32" s="177">
        <f>IF(B32&lt;PT+1,VLOOKUP(B32,'Pre-Calculation'!$H$1:$L$32,3,FALSE)+VLOOKUP(B32,'Pre-Calculation'!$H$1:$L$32,4,FALSE)*'Pre-Calculation'!$D$7,0)</f>
        <v>830</v>
      </c>
      <c r="H32" s="175">
        <f>(E32-(F32+G32)*(1+Tax)+N31)</f>
        <v>963052.2521</v>
      </c>
      <c r="I32" s="175">
        <f>IF(B32&lt;PT+1,VLOOKUP(D32,'Pre-Calculation'!$N$3:$P$79,IF(INPUT!$C$4="M",2,3),FALSE)*(J32/1000)*(1/12),0)</f>
        <v>6.58901504</v>
      </c>
      <c r="J32" s="175">
        <f t="shared" si="3"/>
        <v>36947.74789</v>
      </c>
      <c r="K32" s="175">
        <f>(IF('Pre-Calculation'!$D$17="Type 4 a",MAX(SA,H32,1.05*Q32),IF('Pre-Calculation'!$D$17="Type 4 c",H32,IF('Pre-Calculation'!$D$17="Type 4 d",SA+H32,IF('Pre-Calculation'!$D$17="Type 4 e",MAX(SA,H32),IF('Pre-Calculation'!$D$17="Type 4 f",SA,IF('Pre-Calculation'!$D$17="Type 4 g",1000+H32,IF('Pre-Calculation'!$D$17="Type 4 h",SA+X32,IF('Pre-Calculation'!$D$17="Type 4 i",MAX(H32,Q32),IF('Pre-Calculation'!$D$17="Type 4 k",MAX(H32,1.01*Q32),IF('Pre-Calculation'!$D$17="Type 4 m",MAX(105%*Q32,SA+H32),IF('Pre-Calculation'!$D$17="Type 4 o",MAX(SA,105%*Q32)+X32+Z32,IF('Pre-Calculation'!$D$17="Type 5",0)))))))))))))*IF(AND(A32&lt;Revival!$C$4,C32&gt;=Revival!$D$12),PUP,1)</f>
        <v>1000000</v>
      </c>
      <c r="L32" s="175">
        <f>H32-I32*(1+Tax)</f>
        <v>963044.4771</v>
      </c>
      <c r="M32" s="175">
        <f>L32*(1+GROWTH_RATE_L)*(1-FMC*(1+Tax))</f>
        <v>964915.3048</v>
      </c>
      <c r="N32" s="175">
        <f>M32+IF(MOD(A32,B32)=0,VLOOKUP(B32,'Pre-Calculation'!$H$1:$L$31,5,FALSE),0)*IF('Pre-Calculation'!$D$16="% OF FV",M32,IF(OR('Pre-Calculation'!$D$16="% OF AFV(24M)",'Pre-Calculation'!$D$16="% OF AFV(8Q)"),AVERAGE( $M9:$M32),IF('Pre-Calculation'!$D$16="% OF AFV(12M)",AVERAGE($M21:M32),IF('Pre-Calculation'!$D$16="% OF AFV(36M)",AVERAGE($M$7:M32)))))</f>
        <v>964915.3048</v>
      </c>
      <c r="O32" s="175">
        <f t="shared" si="4"/>
        <v>964915.3048</v>
      </c>
      <c r="P32" s="175">
        <f>IF('Pre-Calculation'!$D$17="Type 4 a",MAX(SA,N32,1.05*Q32),IF('Pre-Calculation'!$D$17="Type 4 c",N32,IF('Pre-Calculation'!$D$17="Type 4 d",SA+N32,IF('Pre-Calculation'!$D$17="Type 4 e",MAX(SA,N32),IF('Pre-Calculation'!$D$17="Type 4 f",SA,IF('Pre-Calculation'!$D$17="Type 4 g",1000+N32,IF('Pre-Calculation'!$D$17="Type 4 h",SA+X32,IF('Pre-Calculation'!$D$17="Type 4 i",MAX(N32,Q32),IF('Pre-Calculation'!$D$17="Type 4 k",MAX(N32,1.01*Q32),IF('Pre-Calculation'!$D$17="Type 4 m",MAX(105%*Q32,SA+N32),IF('Pre-Calculation'!$D$17="Type 4 o",MAX(SA,105%*Q32)+X32+Z32,IF('Pre-Calculation'!$D$17="Type 5",0))))))))))))</f>
        <v>1000000</v>
      </c>
      <c r="Q32" s="175">
        <f t="shared" si="5"/>
        <v>800000</v>
      </c>
      <c r="R32" s="119">
        <f>L32*(1+GROWTH_RATE)*FMC</f>
        <v>1089.802851</v>
      </c>
      <c r="S32" s="178">
        <f>S31*(1+'Pre-Calculation'!$E$27)</f>
        <v>700299.9809</v>
      </c>
      <c r="T32" s="175">
        <f>-E32+IF(A31=INPUT!$C$11*12,N32,0)</f>
        <v>0</v>
      </c>
      <c r="U32" s="175">
        <f t="shared" si="6"/>
        <v>982905.185</v>
      </c>
      <c r="V32" s="175">
        <f>U32*(1+GROWTH_RATE_L)*(1-'Pre-Calculation'!$E$31)</f>
        <v>984480.7464</v>
      </c>
      <c r="W32" s="175">
        <f>-E32+IF(A31=INPUT!$C$11*12,V32,0)</f>
        <v>0</v>
      </c>
      <c r="X32" s="179">
        <f t="array" ref="X32">NPV('Pre-Calculation'!$E$20,$E33:E$246)</f>
        <v>181824.0965</v>
      </c>
      <c r="Y32" s="171">
        <f>10%*SA</f>
        <v>100000</v>
      </c>
      <c r="Z32" s="179">
        <f t="array" ref="Z32">NPV('Pre-Calculation'!$E$20,Y33:Y42)</f>
        <v>969592.8037</v>
      </c>
    </row>
    <row r="33" ht="15.75" customHeight="1">
      <c r="A33" s="171">
        <f t="shared" si="1"/>
        <v>87</v>
      </c>
      <c r="B33" s="171">
        <f t="shared" si="2"/>
        <v>8</v>
      </c>
      <c r="C33" s="176">
        <f>EDATE(RCD,A32)</f>
        <v>45168</v>
      </c>
      <c r="D33" s="171">
        <f>Age_At_Entry+'Cashflows_4%'!B33-1</f>
        <v>42</v>
      </c>
      <c r="E33" s="175">
        <f>IF(AND(C33&lt;=Last_Prem,MOD(A32,Mode)=0,C33&gt;INPUT!$C$13,A33&lt;=Revival!$C$11),Mod_Prem,0)</f>
        <v>0</v>
      </c>
      <c r="F33" s="177">
        <f>IF(B33&lt;PT+1,E33*VLOOKUP(B33,'Pre-Calculation'!$H$1:$I$31,2,FALSE),0)</f>
        <v>0</v>
      </c>
      <c r="G33" s="177">
        <f>IF(B33&lt;PT+1,VLOOKUP(B33,'Pre-Calculation'!$H$1:$L$32,3,FALSE)+VLOOKUP(B33,'Pre-Calculation'!$H$1:$L$32,4,FALSE)*'Pre-Calculation'!$D$7,0)</f>
        <v>830</v>
      </c>
      <c r="H33" s="175">
        <f>(E33-(F33+G33)*(1+Tax)+N32)</f>
        <v>963935.9048</v>
      </c>
      <c r="I33" s="175">
        <f>IF(B33&lt;PT+1,VLOOKUP(D33,'Pre-Calculation'!$N$3:$P$79,IF(INPUT!$C$4="M",2,3),FALSE)*(J33/1000)*(1/12),0)</f>
        <v>6.431430315</v>
      </c>
      <c r="J33" s="175">
        <f t="shared" si="3"/>
        <v>36064.09522</v>
      </c>
      <c r="K33" s="175">
        <f>(IF('Pre-Calculation'!$D$17="Type 4 a",MAX(SA,H33,1.05*Q33),IF('Pre-Calculation'!$D$17="Type 4 c",H33,IF('Pre-Calculation'!$D$17="Type 4 d",SA+H33,IF('Pre-Calculation'!$D$17="Type 4 e",MAX(SA,H33),IF('Pre-Calculation'!$D$17="Type 4 f",SA,IF('Pre-Calculation'!$D$17="Type 4 g",1000+H33,IF('Pre-Calculation'!$D$17="Type 4 h",SA+X33,IF('Pre-Calculation'!$D$17="Type 4 i",MAX(H33,Q33),IF('Pre-Calculation'!$D$17="Type 4 k",MAX(H33,1.01*Q33),IF('Pre-Calculation'!$D$17="Type 4 m",MAX(105%*Q33,SA+H33),IF('Pre-Calculation'!$D$17="Type 4 o",MAX(SA,105%*Q33)+X33+Z33,IF('Pre-Calculation'!$D$17="Type 5",0)))))))))))))*IF(AND(A33&lt;Revival!$C$4,C33&gt;=Revival!$D$12),PUP,1)</f>
        <v>1000000</v>
      </c>
      <c r="L33" s="175">
        <f>H33-I33*(1+Tax)</f>
        <v>963928.3157</v>
      </c>
      <c r="M33" s="175">
        <f>L33*(1+GROWTH_RATE_L)*(1-FMC*(1+Tax))</f>
        <v>965800.8604</v>
      </c>
      <c r="N33" s="175">
        <f>M33+IF(MOD(A33,B33)=0,VLOOKUP(B33,'Pre-Calculation'!$H$1:$L$31,5,FALSE),0)*IF('Pre-Calculation'!$D$16="% OF FV",M33,IF(OR('Pre-Calculation'!$D$16="% OF AFV(24M)",'Pre-Calculation'!$D$16="% OF AFV(8Q)"),AVERAGE( $M10:$M33),IF('Pre-Calculation'!$D$16="% OF AFV(12M)",AVERAGE($M22:M33),IF('Pre-Calculation'!$D$16="% OF AFV(36M)",AVERAGE($M$7:M33)))))</f>
        <v>965800.8604</v>
      </c>
      <c r="O33" s="175">
        <f t="shared" si="4"/>
        <v>965800.8604</v>
      </c>
      <c r="P33" s="175">
        <f>IF('Pre-Calculation'!$D$17="Type 4 a",MAX(SA,N33,1.05*Q33),IF('Pre-Calculation'!$D$17="Type 4 c",N33,IF('Pre-Calculation'!$D$17="Type 4 d",SA+N33,IF('Pre-Calculation'!$D$17="Type 4 e",MAX(SA,N33),IF('Pre-Calculation'!$D$17="Type 4 f",SA,IF('Pre-Calculation'!$D$17="Type 4 g",1000+N33,IF('Pre-Calculation'!$D$17="Type 4 h",SA+X33,IF('Pre-Calculation'!$D$17="Type 4 i",MAX(N33,Q33),IF('Pre-Calculation'!$D$17="Type 4 k",MAX(N33,1.01*Q33),IF('Pre-Calculation'!$D$17="Type 4 m",MAX(105%*Q33,SA+N33),IF('Pre-Calculation'!$D$17="Type 4 o",MAX(SA,105%*Q33)+X33+Z33,IF('Pre-Calculation'!$D$17="Type 5",0))))))))))))</f>
        <v>1000000</v>
      </c>
      <c r="Q33" s="175">
        <f t="shared" si="5"/>
        <v>800000</v>
      </c>
      <c r="R33" s="119">
        <f>L33*(1+GROWTH_RATE)*FMC</f>
        <v>1090.803023</v>
      </c>
      <c r="S33" s="178">
        <f>S32*(1+'Pre-Calculation'!$E$27)</f>
        <v>702310.4713</v>
      </c>
      <c r="T33" s="175">
        <f>-E33+IF(A32=INPUT!$C$11*12,N33,0)</f>
        <v>0</v>
      </c>
      <c r="U33" s="175">
        <f t="shared" si="6"/>
        <v>984480.7464</v>
      </c>
      <c r="V33" s="175">
        <f>U33*(1+GROWTH_RATE_L)*(1-'Pre-Calculation'!$E$31)</f>
        <v>986058.8334</v>
      </c>
      <c r="W33" s="175">
        <f>-E33+IF(A32=INPUT!$C$11*12,V33,0)</f>
        <v>0</v>
      </c>
      <c r="X33" s="179">
        <f t="array" ref="X33">NPV('Pre-Calculation'!$E$20,$E34:E$246)</f>
        <v>182852.1564</v>
      </c>
      <c r="Y33" s="171">
        <f>10%*SA</f>
        <v>100000</v>
      </c>
      <c r="Z33" s="179">
        <f t="array" ref="Z33">NPV('Pre-Calculation'!$E$20,Y34:Y43)</f>
        <v>969592.8037</v>
      </c>
    </row>
    <row r="34" ht="15.75" customHeight="1">
      <c r="A34" s="171">
        <f t="shared" si="1"/>
        <v>88</v>
      </c>
      <c r="B34" s="171">
        <f t="shared" si="2"/>
        <v>8</v>
      </c>
      <c r="C34" s="176">
        <f>EDATE(RCD,A33)</f>
        <v>45199</v>
      </c>
      <c r="D34" s="171">
        <f>Age_At_Entry+'Cashflows_4%'!B34-1</f>
        <v>42</v>
      </c>
      <c r="E34" s="175">
        <f>IF(AND(C34&lt;=Last_Prem,MOD(A33,Mode)=0,C34&gt;INPUT!$C$13,A34&lt;=Revival!$C$11),Mod_Prem,0)</f>
        <v>0</v>
      </c>
      <c r="F34" s="177">
        <f>IF(B34&lt;PT+1,E34*VLOOKUP(B34,'Pre-Calculation'!$H$1:$I$31,2,FALSE),0)</f>
        <v>0</v>
      </c>
      <c r="G34" s="177">
        <f>IF(B34&lt;PT+1,VLOOKUP(B34,'Pre-Calculation'!$H$1:$L$32,3,FALSE)+VLOOKUP(B34,'Pre-Calculation'!$H$1:$L$32,4,FALSE)*'Pre-Calculation'!$D$7,0)</f>
        <v>830</v>
      </c>
      <c r="H34" s="175">
        <f>(E34-(F34+G34)*(1+Tax)+N33)</f>
        <v>964821.4604</v>
      </c>
      <c r="I34" s="175">
        <f>IF(B34&lt;PT+1,VLOOKUP(D34,'Pre-Calculation'!$N$3:$P$79,IF(INPUT!$C$4="M",2,3),FALSE)*(J34/1000)*(1/12),0)</f>
        <v>6.273506237</v>
      </c>
      <c r="J34" s="175">
        <f t="shared" si="3"/>
        <v>35178.53965</v>
      </c>
      <c r="K34" s="175">
        <f>(IF('Pre-Calculation'!$D$17="Type 4 a",MAX(SA,H34,1.05*Q34),IF('Pre-Calculation'!$D$17="Type 4 c",H34,IF('Pre-Calculation'!$D$17="Type 4 d",SA+H34,IF('Pre-Calculation'!$D$17="Type 4 e",MAX(SA,H34),IF('Pre-Calculation'!$D$17="Type 4 f",SA,IF('Pre-Calculation'!$D$17="Type 4 g",1000+H34,IF('Pre-Calculation'!$D$17="Type 4 h",SA+X34,IF('Pre-Calculation'!$D$17="Type 4 i",MAX(H34,Q34),IF('Pre-Calculation'!$D$17="Type 4 k",MAX(H34,1.01*Q34),IF('Pre-Calculation'!$D$17="Type 4 m",MAX(105%*Q34,SA+H34),IF('Pre-Calculation'!$D$17="Type 4 o",MAX(SA,105%*Q34)+X34+Z34,IF('Pre-Calculation'!$D$17="Type 5",0)))))))))))))*IF(AND(A34&lt;Revival!$C$4,C34&gt;=Revival!$D$12),PUP,1)</f>
        <v>1000000</v>
      </c>
      <c r="L34" s="175">
        <f>H34-I34*(1+Tax)</f>
        <v>964814.0576</v>
      </c>
      <c r="M34" s="175">
        <f>L34*(1+GROWTH_RATE_L)*(1-FMC*(1+Tax))</f>
        <v>966688.3229</v>
      </c>
      <c r="N34" s="175">
        <f>M34+IF(MOD(A34,B34)=0,VLOOKUP(B34,'Pre-Calculation'!$H$1:$L$31,5,FALSE),0)*IF('Pre-Calculation'!$D$16="% OF FV",M34,IF(OR('Pre-Calculation'!$D$16="% OF AFV(24M)",'Pre-Calculation'!$D$16="% OF AFV(8Q)"),AVERAGE( $M11:$M34),IF('Pre-Calculation'!$D$16="% OF AFV(12M)",AVERAGE($M23:M34),IF('Pre-Calculation'!$D$16="% OF AFV(36M)",AVERAGE($M$7:M34)))))</f>
        <v>966688.3229</v>
      </c>
      <c r="O34" s="175">
        <f t="shared" si="4"/>
        <v>966688.3229</v>
      </c>
      <c r="P34" s="175">
        <f>IF('Pre-Calculation'!$D$17="Type 4 a",MAX(SA,N34,1.05*Q34),IF('Pre-Calculation'!$D$17="Type 4 c",N34,IF('Pre-Calculation'!$D$17="Type 4 d",SA+N34,IF('Pre-Calculation'!$D$17="Type 4 e",MAX(SA,N34),IF('Pre-Calculation'!$D$17="Type 4 f",SA,IF('Pre-Calculation'!$D$17="Type 4 g",1000+N34,IF('Pre-Calculation'!$D$17="Type 4 h",SA+X34,IF('Pre-Calculation'!$D$17="Type 4 i",MAX(N34,Q34),IF('Pre-Calculation'!$D$17="Type 4 k",MAX(N34,1.01*Q34),IF('Pre-Calculation'!$D$17="Type 4 m",MAX(105%*Q34,SA+N34),IF('Pre-Calculation'!$D$17="Type 4 o",MAX(SA,105%*Q34)+X34+Z34,IF('Pre-Calculation'!$D$17="Type 5",0))))))))))))</f>
        <v>1000000</v>
      </c>
      <c r="Q34" s="175">
        <f t="shared" si="5"/>
        <v>800000</v>
      </c>
      <c r="R34" s="119">
        <f>L34*(1+GROWTH_RATE)*FMC</f>
        <v>1091.805348</v>
      </c>
      <c r="S34" s="178">
        <f>S33*(1+'Pre-Calculation'!$E$27)</f>
        <v>704326.7335</v>
      </c>
      <c r="T34" s="175">
        <f>-E34+IF(A33=INPUT!$C$11*12,N34,0)</f>
        <v>0</v>
      </c>
      <c r="U34" s="175">
        <f t="shared" si="6"/>
        <v>986058.8334</v>
      </c>
      <c r="V34" s="175">
        <f>U34*(1+GROWTH_RATE_L)*(1-'Pre-Calculation'!$E$31)</f>
        <v>987639.45</v>
      </c>
      <c r="W34" s="175">
        <f>-E34+IF(A33=INPUT!$C$11*12,V34,0)</f>
        <v>0</v>
      </c>
      <c r="X34" s="179">
        <f t="array" ref="X34">NPV('Pre-Calculation'!$E$20,$E35:E$246)</f>
        <v>183886.0291</v>
      </c>
      <c r="Y34" s="171">
        <f>10%*SA</f>
        <v>100000</v>
      </c>
      <c r="Z34" s="179">
        <f t="array" ref="Z34">NPV('Pre-Calculation'!$E$20,Y35:Y44)</f>
        <v>969592.8037</v>
      </c>
    </row>
    <row r="35" ht="15.75" customHeight="1">
      <c r="A35" s="171">
        <f t="shared" si="1"/>
        <v>89</v>
      </c>
      <c r="B35" s="171">
        <f t="shared" si="2"/>
        <v>8</v>
      </c>
      <c r="C35" s="176">
        <f>EDATE(RCD,A34)</f>
        <v>45229</v>
      </c>
      <c r="D35" s="171">
        <f>Age_At_Entry+'Cashflows_4%'!B35-1</f>
        <v>42</v>
      </c>
      <c r="E35" s="175">
        <f>IF(AND(C35&lt;=Last_Prem,MOD(A34,Mode)=0,C35&gt;INPUT!$C$13,A35&lt;=Revival!$C$11),Mod_Prem,0)</f>
        <v>0</v>
      </c>
      <c r="F35" s="177">
        <f>IF(B35&lt;PT+1,E35*VLOOKUP(B35,'Pre-Calculation'!$H$1:$I$31,2,FALSE),0)</f>
        <v>0</v>
      </c>
      <c r="G35" s="177">
        <f>IF(B35&lt;PT+1,VLOOKUP(B35,'Pre-Calculation'!$H$1:$L$32,3,FALSE)+VLOOKUP(B35,'Pre-Calculation'!$H$1:$L$32,4,FALSE)*'Pre-Calculation'!$D$7,0)</f>
        <v>830</v>
      </c>
      <c r="H35" s="175">
        <f>(E35-(F35+G35)*(1+Tax)+N34)</f>
        <v>965708.9229</v>
      </c>
      <c r="I35" s="175">
        <f>IF(B35&lt;PT+1,VLOOKUP(D35,'Pre-Calculation'!$N$3:$P$79,IF(INPUT!$C$4="M",2,3),FALSE)*(J35/1000)*(1/12),0)</f>
        <v>6.115242076</v>
      </c>
      <c r="J35" s="175">
        <f t="shared" si="3"/>
        <v>34291.07706</v>
      </c>
      <c r="K35" s="175">
        <f>(IF('Pre-Calculation'!$D$17="Type 4 a",MAX(SA,H35,1.05*Q35),IF('Pre-Calculation'!$D$17="Type 4 c",H35,IF('Pre-Calculation'!$D$17="Type 4 d",SA+H35,IF('Pre-Calculation'!$D$17="Type 4 e",MAX(SA,H35),IF('Pre-Calculation'!$D$17="Type 4 f",SA,IF('Pre-Calculation'!$D$17="Type 4 g",1000+H35,IF('Pre-Calculation'!$D$17="Type 4 h",SA+X35,IF('Pre-Calculation'!$D$17="Type 4 i",MAX(H35,Q35),IF('Pre-Calculation'!$D$17="Type 4 k",MAX(H35,1.01*Q35),IF('Pre-Calculation'!$D$17="Type 4 m",MAX(105%*Q35,SA+H35),IF('Pre-Calculation'!$D$17="Type 4 o",MAX(SA,105%*Q35)+X35+Z35,IF('Pre-Calculation'!$D$17="Type 5",0)))))))))))))*IF(AND(A35&lt;Revival!$C$4,C35&gt;=Revival!$D$12),PUP,1)</f>
        <v>1000000</v>
      </c>
      <c r="L35" s="175">
        <f>H35-I35*(1+Tax)</f>
        <v>965701.707</v>
      </c>
      <c r="M35" s="175">
        <f>L35*(1+GROWTH_RATE_L)*(1-FMC*(1+Tax))</f>
        <v>967577.6966</v>
      </c>
      <c r="N35" s="175">
        <f>M35+IF(MOD(A35,B35)=0,VLOOKUP(B35,'Pre-Calculation'!$H$1:$L$31,5,FALSE),0)*IF('Pre-Calculation'!$D$16="% OF FV",M35,IF(OR('Pre-Calculation'!$D$16="% OF AFV(24M)",'Pre-Calculation'!$D$16="% OF AFV(8Q)"),AVERAGE( $M12:$M35),IF('Pre-Calculation'!$D$16="% OF AFV(12M)",AVERAGE($M24:M35),IF('Pre-Calculation'!$D$16="% OF AFV(36M)",AVERAGE($M$7:M35)))))</f>
        <v>967577.6966</v>
      </c>
      <c r="O35" s="175">
        <f t="shared" si="4"/>
        <v>967577.6966</v>
      </c>
      <c r="P35" s="175">
        <f>IF('Pre-Calculation'!$D$17="Type 4 a",MAX(SA,N35,1.05*Q35),IF('Pre-Calculation'!$D$17="Type 4 c",N35,IF('Pre-Calculation'!$D$17="Type 4 d",SA+N35,IF('Pre-Calculation'!$D$17="Type 4 e",MAX(SA,N35),IF('Pre-Calculation'!$D$17="Type 4 f",SA,IF('Pre-Calculation'!$D$17="Type 4 g",1000+N35,IF('Pre-Calculation'!$D$17="Type 4 h",SA+X35,IF('Pre-Calculation'!$D$17="Type 4 i",MAX(N35,Q35),IF('Pre-Calculation'!$D$17="Type 4 k",MAX(N35,1.01*Q35),IF('Pre-Calculation'!$D$17="Type 4 m",MAX(105%*Q35,SA+N35),IF('Pre-Calculation'!$D$17="Type 4 o",MAX(SA,105%*Q35)+X35+Z35,IF('Pre-Calculation'!$D$17="Type 5",0))))))))))))</f>
        <v>1000000</v>
      </c>
      <c r="Q35" s="175">
        <f t="shared" si="5"/>
        <v>800000</v>
      </c>
      <c r="R35" s="119">
        <f>L35*(1+GROWTH_RATE)*FMC</f>
        <v>1092.809832</v>
      </c>
      <c r="S35" s="178">
        <f>S34*(1+'Pre-Calculation'!$E$27)</f>
        <v>706348.7842</v>
      </c>
      <c r="T35" s="175">
        <f>-E35+IF(A34=INPUT!$C$11*12,N35,0)</f>
        <v>0</v>
      </c>
      <c r="U35" s="175">
        <f t="shared" si="6"/>
        <v>987639.45</v>
      </c>
      <c r="V35" s="175">
        <f>U35*(1+GROWTH_RATE_L)*(1-'Pre-Calculation'!$E$31)</f>
        <v>989222.6003</v>
      </c>
      <c r="W35" s="175">
        <f>-E35+IF(A34=INPUT!$C$11*12,V35,0)</f>
        <v>0</v>
      </c>
      <c r="X35" s="179">
        <f t="array" ref="X35">NPV('Pre-Calculation'!$E$20,$E36:E$246)</f>
        <v>184925.7474</v>
      </c>
      <c r="Y35" s="171">
        <f>10%*SA</f>
        <v>100000</v>
      </c>
      <c r="Z35" s="179">
        <f t="array" ref="Z35">NPV('Pre-Calculation'!$E$20,Y36:Y45)</f>
        <v>969592.8037</v>
      </c>
    </row>
    <row r="36" ht="15.75" customHeight="1">
      <c r="A36" s="171">
        <f t="shared" si="1"/>
        <v>90</v>
      </c>
      <c r="B36" s="171">
        <f t="shared" si="2"/>
        <v>8</v>
      </c>
      <c r="C36" s="176">
        <f>EDATE(RCD,A35)</f>
        <v>45260</v>
      </c>
      <c r="D36" s="171">
        <f>Age_At_Entry+'Cashflows_4%'!B36-1</f>
        <v>42</v>
      </c>
      <c r="E36" s="175">
        <f>IF(AND(C36&lt;=Last_Prem,MOD(A35,Mode)=0,C36&gt;INPUT!$C$13,A36&lt;=Revival!$C$11),Mod_Prem,0)</f>
        <v>0</v>
      </c>
      <c r="F36" s="177">
        <f>IF(B36&lt;PT+1,E36*VLOOKUP(B36,'Pre-Calculation'!$H$1:$I$31,2,FALSE),0)</f>
        <v>0</v>
      </c>
      <c r="G36" s="177">
        <f>IF(B36&lt;PT+1,VLOOKUP(B36,'Pre-Calculation'!$H$1:$L$32,3,FALSE)+VLOOKUP(B36,'Pre-Calculation'!$H$1:$L$32,4,FALSE)*'Pre-Calculation'!$D$7,0)</f>
        <v>830</v>
      </c>
      <c r="H36" s="175">
        <f>(E36-(F36+G36)*(1+Tax)+N35)</f>
        <v>966598.2966</v>
      </c>
      <c r="I36" s="175">
        <f>IF(B36&lt;PT+1,VLOOKUP(D36,'Pre-Calculation'!$N$3:$P$79,IF(INPUT!$C$4="M",2,3),FALSE)*(J36/1000)*(1/12),0)</f>
        <v>5.9566371</v>
      </c>
      <c r="J36" s="175">
        <f t="shared" si="3"/>
        <v>33401.70337</v>
      </c>
      <c r="K36" s="175">
        <f>(IF('Pre-Calculation'!$D$17="Type 4 a",MAX(SA,H36,1.05*Q36),IF('Pre-Calculation'!$D$17="Type 4 c",H36,IF('Pre-Calculation'!$D$17="Type 4 d",SA+H36,IF('Pre-Calculation'!$D$17="Type 4 e",MAX(SA,H36),IF('Pre-Calculation'!$D$17="Type 4 f",SA,IF('Pre-Calculation'!$D$17="Type 4 g",1000+H36,IF('Pre-Calculation'!$D$17="Type 4 h",SA+X36,IF('Pre-Calculation'!$D$17="Type 4 i",MAX(H36,Q36),IF('Pre-Calculation'!$D$17="Type 4 k",MAX(H36,1.01*Q36),IF('Pre-Calculation'!$D$17="Type 4 m",MAX(105%*Q36,SA+H36),IF('Pre-Calculation'!$D$17="Type 4 o",MAX(SA,105%*Q36)+X36+Z36,IF('Pre-Calculation'!$D$17="Type 5",0)))))))))))))*IF(AND(A36&lt;Revival!$C$4,C36&gt;=Revival!$D$12),PUP,1)</f>
        <v>1000000</v>
      </c>
      <c r="L36" s="175">
        <f>H36-I36*(1+Tax)</f>
        <v>966591.2678</v>
      </c>
      <c r="M36" s="175">
        <f>L36*(1+GROWTH_RATE_L)*(1-FMC*(1+Tax))</f>
        <v>968468.9856</v>
      </c>
      <c r="N36" s="175">
        <f>M36+IF(MOD(A36,B36)=0,VLOOKUP(B36,'Pre-Calculation'!$H$1:$L$31,5,FALSE),0)*IF('Pre-Calculation'!$D$16="% OF FV",M36,IF(OR('Pre-Calculation'!$D$16="% OF AFV(24M)",'Pre-Calculation'!$D$16="% OF AFV(8Q)"),AVERAGE( $M13:$M36),IF('Pre-Calculation'!$D$16="% OF AFV(12M)",AVERAGE($M25:M36),IF('Pre-Calculation'!$D$16="% OF AFV(36M)",AVERAGE($M$7:M36)))))</f>
        <v>968468.9856</v>
      </c>
      <c r="O36" s="175">
        <f t="shared" si="4"/>
        <v>968468.9856</v>
      </c>
      <c r="P36" s="175">
        <f>IF('Pre-Calculation'!$D$17="Type 4 a",MAX(SA,N36,1.05*Q36),IF('Pre-Calculation'!$D$17="Type 4 c",N36,IF('Pre-Calculation'!$D$17="Type 4 d",SA+N36,IF('Pre-Calculation'!$D$17="Type 4 e",MAX(SA,N36),IF('Pre-Calculation'!$D$17="Type 4 f",SA,IF('Pre-Calculation'!$D$17="Type 4 g",1000+N36,IF('Pre-Calculation'!$D$17="Type 4 h",SA+X36,IF('Pre-Calculation'!$D$17="Type 4 i",MAX(N36,Q36),IF('Pre-Calculation'!$D$17="Type 4 k",MAX(N36,1.01*Q36),IF('Pre-Calculation'!$D$17="Type 4 m",MAX(105%*Q36,SA+N36),IF('Pre-Calculation'!$D$17="Type 4 o",MAX(SA,105%*Q36)+X36+Z36,IF('Pre-Calculation'!$D$17="Type 5",0))))))))))))</f>
        <v>1000000</v>
      </c>
      <c r="Q36" s="175">
        <f t="shared" si="5"/>
        <v>800000</v>
      </c>
      <c r="R36" s="119">
        <f>L36*(1+GROWTH_RATE)*FMC</f>
        <v>1093.816479</v>
      </c>
      <c r="S36" s="178">
        <f>S35*(1+'Pre-Calculation'!$E$27)</f>
        <v>708376.64</v>
      </c>
      <c r="T36" s="175">
        <f>-E36+IF(A35=INPUT!$C$11*12,N36,0)</f>
        <v>0</v>
      </c>
      <c r="U36" s="175">
        <f t="shared" si="6"/>
        <v>989222.6003</v>
      </c>
      <c r="V36" s="175">
        <f>U36*(1+GROWTH_RATE_L)*(1-'Pre-Calculation'!$E$31)</f>
        <v>990808.2883</v>
      </c>
      <c r="W36" s="175">
        <f>-E36+IF(A35=INPUT!$C$11*12,V36,0)</f>
        <v>0</v>
      </c>
      <c r="X36" s="179">
        <f t="array" ref="X36">NPV('Pre-Calculation'!$E$20,$E37:E$246)</f>
        <v>185971.3445</v>
      </c>
      <c r="Y36" s="171">
        <f>10%*SA</f>
        <v>100000</v>
      </c>
      <c r="Z36" s="179">
        <f t="array" ref="Z36">NPV('Pre-Calculation'!$E$20,Y37:Y46)</f>
        <v>969592.8037</v>
      </c>
    </row>
    <row r="37" ht="15.75" customHeight="1">
      <c r="A37" s="171">
        <f t="shared" si="1"/>
        <v>91</v>
      </c>
      <c r="B37" s="171">
        <f t="shared" si="2"/>
        <v>8</v>
      </c>
      <c r="C37" s="176">
        <f>EDATE(RCD,A36)</f>
        <v>45290</v>
      </c>
      <c r="D37" s="171">
        <f>Age_At_Entry+'Cashflows_4%'!B37-1</f>
        <v>42</v>
      </c>
      <c r="E37" s="175">
        <f>IF(AND(C37&lt;=Last_Prem,MOD(A36,Mode)=0,C37&gt;INPUT!$C$13,A37&lt;=Revival!$C$11),Mod_Prem,0)</f>
        <v>0</v>
      </c>
      <c r="F37" s="177">
        <f>IF(B37&lt;PT+1,E37*VLOOKUP(B37,'Pre-Calculation'!$H$1:$I$31,2,FALSE),0)</f>
        <v>0</v>
      </c>
      <c r="G37" s="177">
        <f>IF(B37&lt;PT+1,VLOOKUP(B37,'Pre-Calculation'!$H$1:$L$32,3,FALSE)+VLOOKUP(B37,'Pre-Calculation'!$H$1:$L$32,4,FALSE)*'Pre-Calculation'!$D$7,0)</f>
        <v>830</v>
      </c>
      <c r="H37" s="175">
        <f>(E37-(F37+G37)*(1+Tax)+N36)</f>
        <v>967489.5856</v>
      </c>
      <c r="I37" s="175">
        <f>IF(B37&lt;PT+1,VLOOKUP(D37,'Pre-Calculation'!$N$3:$P$79,IF(INPUT!$C$4="M",2,3),FALSE)*(J37/1000)*(1/12),0)</f>
        <v>5.797690574</v>
      </c>
      <c r="J37" s="175">
        <f t="shared" si="3"/>
        <v>32510.41443</v>
      </c>
      <c r="K37" s="175">
        <f>(IF('Pre-Calculation'!$D$17="Type 4 a",MAX(SA,H37,1.05*Q37),IF('Pre-Calculation'!$D$17="Type 4 c",H37,IF('Pre-Calculation'!$D$17="Type 4 d",SA+H37,IF('Pre-Calculation'!$D$17="Type 4 e",MAX(SA,H37),IF('Pre-Calculation'!$D$17="Type 4 f",SA,IF('Pre-Calculation'!$D$17="Type 4 g",1000+H37,IF('Pre-Calculation'!$D$17="Type 4 h",SA+X37,IF('Pre-Calculation'!$D$17="Type 4 i",MAX(H37,Q37),IF('Pre-Calculation'!$D$17="Type 4 k",MAX(H37,1.01*Q37),IF('Pre-Calculation'!$D$17="Type 4 m",MAX(105%*Q37,SA+H37),IF('Pre-Calculation'!$D$17="Type 4 o",MAX(SA,105%*Q37)+X37+Z37,IF('Pre-Calculation'!$D$17="Type 5",0)))))))))))))*IF(AND(A37&lt;Revival!$C$4,C37&gt;=Revival!$D$12),PUP,1)</f>
        <v>1000000</v>
      </c>
      <c r="L37" s="175">
        <f>H37-I37*(1+Tax)</f>
        <v>967482.7443</v>
      </c>
      <c r="M37" s="175">
        <f>L37*(1+GROWTH_RATE_L)*(1-FMC*(1+Tax))</f>
        <v>969362.1939</v>
      </c>
      <c r="N37" s="175">
        <f>M37+IF(MOD(A37,B37)=0,VLOOKUP(B37,'Pre-Calculation'!$H$1:$L$31,5,FALSE),0)*IF('Pre-Calculation'!$D$16="% OF FV",M37,IF(OR('Pre-Calculation'!$D$16="% OF AFV(24M)",'Pre-Calculation'!$D$16="% OF AFV(8Q)"),AVERAGE( $M14:$M37),IF('Pre-Calculation'!$D$16="% OF AFV(12M)",AVERAGE($M26:M37),IF('Pre-Calculation'!$D$16="% OF AFV(36M)",AVERAGE($M$7:M37)))))</f>
        <v>969362.1939</v>
      </c>
      <c r="O37" s="175">
        <f t="shared" si="4"/>
        <v>969362.1939</v>
      </c>
      <c r="P37" s="175">
        <f>IF('Pre-Calculation'!$D$17="Type 4 a",MAX(SA,N37,1.05*Q37),IF('Pre-Calculation'!$D$17="Type 4 c",N37,IF('Pre-Calculation'!$D$17="Type 4 d",SA+N37,IF('Pre-Calculation'!$D$17="Type 4 e",MAX(SA,N37),IF('Pre-Calculation'!$D$17="Type 4 f",SA,IF('Pre-Calculation'!$D$17="Type 4 g",1000+N37,IF('Pre-Calculation'!$D$17="Type 4 h",SA+X37,IF('Pre-Calculation'!$D$17="Type 4 i",MAX(N37,Q37),IF('Pre-Calculation'!$D$17="Type 4 k",MAX(N37,1.01*Q37),IF('Pre-Calculation'!$D$17="Type 4 m",MAX(105%*Q37,SA+N37),IF('Pre-Calculation'!$D$17="Type 4 o",MAX(SA,105%*Q37)+X37+Z37,IF('Pre-Calculation'!$D$17="Type 5",0))))))))))))</f>
        <v>1000000</v>
      </c>
      <c r="Q37" s="175">
        <f t="shared" si="5"/>
        <v>800000</v>
      </c>
      <c r="R37" s="119">
        <f>L37*(1+GROWTH_RATE)*FMC</f>
        <v>1094.825294</v>
      </c>
      <c r="S37" s="178">
        <f>S36*(1+'Pre-Calculation'!$E$27)</f>
        <v>710410.3176</v>
      </c>
      <c r="T37" s="175">
        <f>-E37+IF(A36=INPUT!$C$11*12,N37,0)</f>
        <v>0</v>
      </c>
      <c r="U37" s="175">
        <f t="shared" si="6"/>
        <v>990808.2883</v>
      </c>
      <c r="V37" s="175">
        <f>U37*(1+GROWTH_RATE_L)*(1-'Pre-Calculation'!$E$31)</f>
        <v>992396.5182</v>
      </c>
      <c r="W37" s="175">
        <f>-E37+IF(A36=INPUT!$C$11*12,V37,0)</f>
        <v>0</v>
      </c>
      <c r="X37" s="179">
        <f t="array" ref="X37">NPV('Pre-Calculation'!$E$20,$E38:E$246)</f>
        <v>187022.8535</v>
      </c>
      <c r="Y37" s="171">
        <f>10%*SA</f>
        <v>100000</v>
      </c>
      <c r="Z37" s="179">
        <f t="array" ref="Z37">NPV('Pre-Calculation'!$E$20,Y38:Y47)</f>
        <v>969592.8037</v>
      </c>
    </row>
    <row r="38" ht="15.75" customHeight="1">
      <c r="A38" s="171">
        <f t="shared" si="1"/>
        <v>92</v>
      </c>
      <c r="B38" s="171">
        <f t="shared" si="2"/>
        <v>8</v>
      </c>
      <c r="C38" s="176">
        <f>EDATE(RCD,A37)</f>
        <v>45321</v>
      </c>
      <c r="D38" s="171">
        <f>Age_At_Entry+'Cashflows_4%'!B38-1</f>
        <v>42</v>
      </c>
      <c r="E38" s="175">
        <f>IF(AND(C38&lt;=Last_Prem,MOD(A37,Mode)=0,C38&gt;INPUT!$C$13,A38&lt;=Revival!$C$11),Mod_Prem,0)</f>
        <v>0</v>
      </c>
      <c r="F38" s="177">
        <f>IF(B38&lt;PT+1,E38*VLOOKUP(B38,'Pre-Calculation'!$H$1:$I$31,2,FALSE),0)</f>
        <v>0</v>
      </c>
      <c r="G38" s="177">
        <f>IF(B38&lt;PT+1,VLOOKUP(B38,'Pre-Calculation'!$H$1:$L$32,3,FALSE)+VLOOKUP(B38,'Pre-Calculation'!$H$1:$L$32,4,FALSE)*'Pre-Calculation'!$D$7,0)</f>
        <v>830</v>
      </c>
      <c r="H38" s="175">
        <f>(E38-(F38+G38)*(1+Tax)+N37)</f>
        <v>968382.7939</v>
      </c>
      <c r="I38" s="175">
        <f>IF(B38&lt;PT+1,VLOOKUP(D38,'Pre-Calculation'!$N$3:$P$79,IF(INPUT!$C$4="M",2,3),FALSE)*(J38/1000)*(1/12),0)</f>
        <v>5.638401763</v>
      </c>
      <c r="J38" s="175">
        <f t="shared" si="3"/>
        <v>31617.20615</v>
      </c>
      <c r="K38" s="175">
        <f>(IF('Pre-Calculation'!$D$17="Type 4 a",MAX(SA,H38,1.05*Q38),IF('Pre-Calculation'!$D$17="Type 4 c",H38,IF('Pre-Calculation'!$D$17="Type 4 d",SA+H38,IF('Pre-Calculation'!$D$17="Type 4 e",MAX(SA,H38),IF('Pre-Calculation'!$D$17="Type 4 f",SA,IF('Pre-Calculation'!$D$17="Type 4 g",1000+H38,IF('Pre-Calculation'!$D$17="Type 4 h",SA+X38,IF('Pre-Calculation'!$D$17="Type 4 i",MAX(H38,Q38),IF('Pre-Calculation'!$D$17="Type 4 k",MAX(H38,1.01*Q38),IF('Pre-Calculation'!$D$17="Type 4 m",MAX(105%*Q38,SA+H38),IF('Pre-Calculation'!$D$17="Type 4 o",MAX(SA,105%*Q38)+X38+Z38,IF('Pre-Calculation'!$D$17="Type 5",0)))))))))))))*IF(AND(A38&lt;Revival!$C$4,C38&gt;=Revival!$D$12),PUP,1)</f>
        <v>1000000</v>
      </c>
      <c r="L38" s="175">
        <f>H38-I38*(1+Tax)</f>
        <v>968376.1405</v>
      </c>
      <c r="M38" s="175">
        <f>L38*(1+GROWTH_RATE_L)*(1-FMC*(1+Tax))</f>
        <v>970257.3256</v>
      </c>
      <c r="N38" s="175">
        <f>M38+IF(MOD(A38,B38)=0,VLOOKUP(B38,'Pre-Calculation'!$H$1:$L$31,5,FALSE),0)*IF('Pre-Calculation'!$D$16="% OF FV",M38,IF(OR('Pre-Calculation'!$D$16="% OF AFV(24M)",'Pre-Calculation'!$D$16="% OF AFV(8Q)"),AVERAGE( $M15:$M38),IF('Pre-Calculation'!$D$16="% OF AFV(12M)",AVERAGE($M27:M38),IF('Pre-Calculation'!$D$16="% OF AFV(36M)",AVERAGE($M$7:M38)))))</f>
        <v>970257.3256</v>
      </c>
      <c r="O38" s="175">
        <f t="shared" si="4"/>
        <v>970257.3256</v>
      </c>
      <c r="P38" s="175">
        <f>IF('Pre-Calculation'!$D$17="Type 4 a",MAX(SA,N38,1.05*Q38),IF('Pre-Calculation'!$D$17="Type 4 c",N38,IF('Pre-Calculation'!$D$17="Type 4 d",SA+N38,IF('Pre-Calculation'!$D$17="Type 4 e",MAX(SA,N38),IF('Pre-Calculation'!$D$17="Type 4 f",SA,IF('Pre-Calculation'!$D$17="Type 4 g",1000+N38,IF('Pre-Calculation'!$D$17="Type 4 h",SA+X38,IF('Pre-Calculation'!$D$17="Type 4 i",MAX(N38,Q38),IF('Pre-Calculation'!$D$17="Type 4 k",MAX(N38,1.01*Q38),IF('Pre-Calculation'!$D$17="Type 4 m",MAX(105%*Q38,SA+N38),IF('Pre-Calculation'!$D$17="Type 4 o",MAX(SA,105%*Q38)+X38+Z38,IF('Pre-Calculation'!$D$17="Type 5",0))))))))))))</f>
        <v>1000000</v>
      </c>
      <c r="Q38" s="175">
        <f t="shared" si="5"/>
        <v>800000</v>
      </c>
      <c r="R38" s="119">
        <f>L38*(1+GROWTH_RATE)*FMC</f>
        <v>1095.836282</v>
      </c>
      <c r="S38" s="178">
        <f>S37*(1+'Pre-Calculation'!$E$27)</f>
        <v>712449.8337</v>
      </c>
      <c r="T38" s="175">
        <f>-E38+IF(A37=INPUT!$C$11*12,N38,0)</f>
        <v>0</v>
      </c>
      <c r="U38" s="175">
        <f t="shared" si="6"/>
        <v>992396.5182</v>
      </c>
      <c r="V38" s="175">
        <f>U38*(1+GROWTH_RATE_L)*(1-'Pre-Calculation'!$E$31)</f>
        <v>993987.2939</v>
      </c>
      <c r="W38" s="175">
        <f>-E38+IF(A37=INPUT!$C$11*12,V38,0)</f>
        <v>0</v>
      </c>
      <c r="X38" s="179">
        <f t="array" ref="X38">NPV('Pre-Calculation'!$E$20,$E39:E$246)</f>
        <v>188080.3079</v>
      </c>
      <c r="Y38" s="171">
        <f>10%*SA</f>
        <v>100000</v>
      </c>
      <c r="Z38" s="179">
        <f t="array" ref="Z38">NPV('Pre-Calculation'!$E$20,Y39:Y48)</f>
        <v>969592.8037</v>
      </c>
    </row>
    <row r="39" ht="15.75" customHeight="1">
      <c r="A39" s="171">
        <f t="shared" si="1"/>
        <v>93</v>
      </c>
      <c r="B39" s="171">
        <f t="shared" si="2"/>
        <v>8</v>
      </c>
      <c r="C39" s="176">
        <f>EDATE(RCD,A38)</f>
        <v>45351</v>
      </c>
      <c r="D39" s="171">
        <f>Age_At_Entry+'Cashflows_4%'!B39-1</f>
        <v>42</v>
      </c>
      <c r="E39" s="175">
        <f>IF(AND(C39&lt;=Last_Prem,MOD(A38,Mode)=0,C39&gt;INPUT!$C$13,A39&lt;=Revival!$C$11),Mod_Prem,0)</f>
        <v>0</v>
      </c>
      <c r="F39" s="177">
        <f>IF(B39&lt;PT+1,E39*VLOOKUP(B39,'Pre-Calculation'!$H$1:$I$31,2,FALSE),0)</f>
        <v>0</v>
      </c>
      <c r="G39" s="177">
        <f>IF(B39&lt;PT+1,VLOOKUP(B39,'Pre-Calculation'!$H$1:$L$32,3,FALSE)+VLOOKUP(B39,'Pre-Calculation'!$H$1:$L$32,4,FALSE)*'Pre-Calculation'!$D$7,0)</f>
        <v>830</v>
      </c>
      <c r="H39" s="175">
        <f>(E39-(F39+G39)*(1+Tax)+N38)</f>
        <v>969277.9256</v>
      </c>
      <c r="I39" s="175">
        <f>IF(B39&lt;PT+1,VLOOKUP(D39,'Pre-Calculation'!$N$3:$P$79,IF(INPUT!$C$4="M",2,3),FALSE)*(J39/1000)*(1/12),0)</f>
        <v>5.47876993</v>
      </c>
      <c r="J39" s="175">
        <f t="shared" si="3"/>
        <v>30722.07438</v>
      </c>
      <c r="K39" s="175">
        <f>(IF('Pre-Calculation'!$D$17="Type 4 a",MAX(SA,H39,1.05*Q39),IF('Pre-Calculation'!$D$17="Type 4 c",H39,IF('Pre-Calculation'!$D$17="Type 4 d",SA+H39,IF('Pre-Calculation'!$D$17="Type 4 e",MAX(SA,H39),IF('Pre-Calculation'!$D$17="Type 4 f",SA,IF('Pre-Calculation'!$D$17="Type 4 g",1000+H39,IF('Pre-Calculation'!$D$17="Type 4 h",SA+X39,IF('Pre-Calculation'!$D$17="Type 4 i",MAX(H39,Q39),IF('Pre-Calculation'!$D$17="Type 4 k",MAX(H39,1.01*Q39),IF('Pre-Calculation'!$D$17="Type 4 m",MAX(105%*Q39,SA+H39),IF('Pre-Calculation'!$D$17="Type 4 o",MAX(SA,105%*Q39)+X39+Z39,IF('Pre-Calculation'!$D$17="Type 5",0)))))))))))))*IF(AND(A39&lt;Revival!$C$4,C39&gt;=Revival!$D$12),PUP,1)</f>
        <v>1000000</v>
      </c>
      <c r="L39" s="175">
        <f>H39-I39*(1+Tax)</f>
        <v>969271.4607</v>
      </c>
      <c r="M39" s="175">
        <f>L39*(1+GROWTH_RATE_L)*(1-FMC*(1+Tax))</f>
        <v>971154.385</v>
      </c>
      <c r="N39" s="175">
        <f>M39+IF(MOD(A39,B39)=0,VLOOKUP(B39,'Pre-Calculation'!$H$1:$L$31,5,FALSE),0)*IF('Pre-Calculation'!$D$16="% OF FV",M39,IF(OR('Pre-Calculation'!$D$16="% OF AFV(24M)",'Pre-Calculation'!$D$16="% OF AFV(8Q)"),AVERAGE( $M16:$M39),IF('Pre-Calculation'!$D$16="% OF AFV(12M)",AVERAGE($M28:M39),IF('Pre-Calculation'!$D$16="% OF AFV(36M)",AVERAGE($M$7:M39)))))</f>
        <v>971154.385</v>
      </c>
      <c r="O39" s="175">
        <f t="shared" si="4"/>
        <v>971154.385</v>
      </c>
      <c r="P39" s="175">
        <f>IF('Pre-Calculation'!$D$17="Type 4 a",MAX(SA,N39,1.05*Q39),IF('Pre-Calculation'!$D$17="Type 4 c",N39,IF('Pre-Calculation'!$D$17="Type 4 d",SA+N39,IF('Pre-Calculation'!$D$17="Type 4 e",MAX(SA,N39),IF('Pre-Calculation'!$D$17="Type 4 f",SA,IF('Pre-Calculation'!$D$17="Type 4 g",1000+N39,IF('Pre-Calculation'!$D$17="Type 4 h",SA+X39,IF('Pre-Calculation'!$D$17="Type 4 i",MAX(N39,Q39),IF('Pre-Calculation'!$D$17="Type 4 k",MAX(N39,1.01*Q39),IF('Pre-Calculation'!$D$17="Type 4 m",MAX(105%*Q39,SA+N39),IF('Pre-Calculation'!$D$17="Type 4 o",MAX(SA,105%*Q39)+X39+Z39,IF('Pre-Calculation'!$D$17="Type 5",0))))))))))))</f>
        <v>1000000</v>
      </c>
      <c r="Q39" s="175">
        <f t="shared" si="5"/>
        <v>800000</v>
      </c>
      <c r="R39" s="119">
        <f>L39*(1+GROWTH_RATE)*FMC</f>
        <v>1096.849446</v>
      </c>
      <c r="S39" s="178">
        <f>S38*(1+'Pre-Calculation'!$E$27)</f>
        <v>714495.205</v>
      </c>
      <c r="T39" s="175">
        <f>-E39+IF(A38=INPUT!$C$11*12,N39,0)</f>
        <v>0</v>
      </c>
      <c r="U39" s="175">
        <f t="shared" si="6"/>
        <v>993987.2939</v>
      </c>
      <c r="V39" s="175">
        <f>U39*(1+GROWTH_RATE_L)*(1-'Pre-Calculation'!$E$31)</f>
        <v>995580.6195</v>
      </c>
      <c r="W39" s="175">
        <f>-E39+IF(A38=INPUT!$C$11*12,V39,0)</f>
        <v>0</v>
      </c>
      <c r="X39" s="179">
        <f t="array" ref="X39">NPV('Pre-Calculation'!$E$20,$E40:E$246)</f>
        <v>189143.7413</v>
      </c>
      <c r="Y39" s="171">
        <f>10%*SA</f>
        <v>100000</v>
      </c>
      <c r="Z39" s="179">
        <f t="array" ref="Z39">NPV('Pre-Calculation'!$E$20,Y40:Y49)</f>
        <v>969592.8037</v>
      </c>
    </row>
    <row r="40" ht="15.75" customHeight="1">
      <c r="A40" s="171">
        <f t="shared" si="1"/>
        <v>94</v>
      </c>
      <c r="B40" s="171">
        <f t="shared" si="2"/>
        <v>8</v>
      </c>
      <c r="C40" s="176">
        <f>EDATE(RCD,A39)</f>
        <v>45381</v>
      </c>
      <c r="D40" s="171">
        <f>Age_At_Entry+'Cashflows_4%'!B40-1</f>
        <v>42</v>
      </c>
      <c r="E40" s="175">
        <f>IF(AND(C40&lt;=Last_Prem,MOD(A39,Mode)=0,C40&gt;INPUT!$C$13,A40&lt;=Revival!$C$11),Mod_Prem,0)</f>
        <v>0</v>
      </c>
      <c r="F40" s="177">
        <f>IF(B40&lt;PT+1,E40*VLOOKUP(B40,'Pre-Calculation'!$H$1:$I$31,2,FALSE),0)</f>
        <v>0</v>
      </c>
      <c r="G40" s="177">
        <f>IF(B40&lt;PT+1,VLOOKUP(B40,'Pre-Calculation'!$H$1:$L$32,3,FALSE)+VLOOKUP(B40,'Pre-Calculation'!$H$1:$L$32,4,FALSE)*'Pre-Calculation'!$D$7,0)</f>
        <v>830</v>
      </c>
      <c r="H40" s="175">
        <f>(E40-(F40+G40)*(1+Tax)+N39)</f>
        <v>970174.985</v>
      </c>
      <c r="I40" s="175">
        <f>IF(B40&lt;PT+1,VLOOKUP(D40,'Pre-Calculation'!$N$3:$P$79,IF(INPUT!$C$4="M",2,3),FALSE)*(J40/1000)*(1/12),0)</f>
        <v>5.318794336</v>
      </c>
      <c r="J40" s="175">
        <f t="shared" si="3"/>
        <v>29825.01497</v>
      </c>
      <c r="K40" s="175">
        <f>(IF('Pre-Calculation'!$D$17="Type 4 a",MAX(SA,H40,1.05*Q40),IF('Pre-Calculation'!$D$17="Type 4 c",H40,IF('Pre-Calculation'!$D$17="Type 4 d",SA+H40,IF('Pre-Calculation'!$D$17="Type 4 e",MAX(SA,H40),IF('Pre-Calculation'!$D$17="Type 4 f",SA,IF('Pre-Calculation'!$D$17="Type 4 g",1000+H40,IF('Pre-Calculation'!$D$17="Type 4 h",SA+X40,IF('Pre-Calculation'!$D$17="Type 4 i",MAX(H40,Q40),IF('Pre-Calculation'!$D$17="Type 4 k",MAX(H40,1.01*Q40),IF('Pre-Calculation'!$D$17="Type 4 m",MAX(105%*Q40,SA+H40),IF('Pre-Calculation'!$D$17="Type 4 o",MAX(SA,105%*Q40)+X40+Z40,IF('Pre-Calculation'!$D$17="Type 5",0)))))))))))))*IF(AND(A40&lt;Revival!$C$4,C40&gt;=Revival!$D$12),PUP,1)</f>
        <v>1000000</v>
      </c>
      <c r="L40" s="175">
        <f>H40-I40*(1+Tax)</f>
        <v>970168.7089</v>
      </c>
      <c r="M40" s="175">
        <f>L40*(1+GROWTH_RATE_L)*(1-FMC*(1+Tax))</f>
        <v>972053.3762</v>
      </c>
      <c r="N40" s="175">
        <f>M40+IF(MOD(A40,B40)=0,VLOOKUP(B40,'Pre-Calculation'!$H$1:$L$31,5,FALSE),0)*IF('Pre-Calculation'!$D$16="% OF FV",M40,IF(OR('Pre-Calculation'!$D$16="% OF AFV(24M)",'Pre-Calculation'!$D$16="% OF AFV(8Q)"),AVERAGE( $M17:$M40),IF('Pre-Calculation'!$D$16="% OF AFV(12M)",AVERAGE($M29:M40),IF('Pre-Calculation'!$D$16="% OF AFV(36M)",AVERAGE($M$7:M40)))))</f>
        <v>972053.3762</v>
      </c>
      <c r="O40" s="175">
        <f t="shared" si="4"/>
        <v>972053.3762</v>
      </c>
      <c r="P40" s="175">
        <f>IF('Pre-Calculation'!$D$17="Type 4 a",MAX(SA,N40,1.05*Q40),IF('Pre-Calculation'!$D$17="Type 4 c",N40,IF('Pre-Calculation'!$D$17="Type 4 d",SA+N40,IF('Pre-Calculation'!$D$17="Type 4 e",MAX(SA,N40),IF('Pre-Calculation'!$D$17="Type 4 f",SA,IF('Pre-Calculation'!$D$17="Type 4 g",1000+N40,IF('Pre-Calculation'!$D$17="Type 4 h",SA+X40,IF('Pre-Calculation'!$D$17="Type 4 i",MAX(N40,Q40),IF('Pre-Calculation'!$D$17="Type 4 k",MAX(N40,1.01*Q40),IF('Pre-Calculation'!$D$17="Type 4 m",MAX(105%*Q40,SA+N40),IF('Pre-Calculation'!$D$17="Type 4 o",MAX(SA,105%*Q40)+X40+Z40,IF('Pre-Calculation'!$D$17="Type 5",0))))))))))))</f>
        <v>1000000</v>
      </c>
      <c r="Q40" s="175">
        <f t="shared" si="5"/>
        <v>800000</v>
      </c>
      <c r="R40" s="119">
        <f>L40*(1+GROWTH_RATE)*FMC</f>
        <v>1097.864792</v>
      </c>
      <c r="S40" s="178">
        <f>S39*(1+'Pre-Calculation'!$E$27)</f>
        <v>716546.4484</v>
      </c>
      <c r="T40" s="175">
        <f>-E40+IF(A39=INPUT!$C$11*12,N40,0)</f>
        <v>0</v>
      </c>
      <c r="U40" s="175">
        <f t="shared" si="6"/>
        <v>995580.6195</v>
      </c>
      <c r="V40" s="175">
        <f>U40*(1+GROWTH_RATE_L)*(1-'Pre-Calculation'!$E$31)</f>
        <v>997176.4992</v>
      </c>
      <c r="W40" s="175">
        <f>-E40+IF(A39=INPUT!$C$11*12,V40,0)</f>
        <v>0</v>
      </c>
      <c r="X40" s="179">
        <f t="array" ref="X40">NPV('Pre-Calculation'!$E$20,$E41:E$246)</f>
        <v>190213.1875</v>
      </c>
      <c r="Y40" s="171">
        <f>10%*SA</f>
        <v>100000</v>
      </c>
      <c r="Z40" s="179">
        <f t="array" ref="Z40">NPV('Pre-Calculation'!$E$20,Y41:Y50)</f>
        <v>969592.8037</v>
      </c>
    </row>
    <row r="41" ht="15.75" customHeight="1">
      <c r="A41" s="171">
        <f t="shared" si="1"/>
        <v>95</v>
      </c>
      <c r="B41" s="171">
        <f t="shared" si="2"/>
        <v>8</v>
      </c>
      <c r="C41" s="176">
        <f>EDATE(RCD,A40)</f>
        <v>45412</v>
      </c>
      <c r="D41" s="171">
        <f>Age_At_Entry+'Cashflows_4%'!B41-1</f>
        <v>42</v>
      </c>
      <c r="E41" s="175">
        <f>IF(AND(C41&lt;=Last_Prem,MOD(A40,Mode)=0,C41&gt;INPUT!$C$13,A41&lt;=Revival!$C$11),Mod_Prem,0)</f>
        <v>0</v>
      </c>
      <c r="F41" s="177">
        <f>IF(B41&lt;PT+1,E41*VLOOKUP(B41,'Pre-Calculation'!$H$1:$I$31,2,FALSE),0)</f>
        <v>0</v>
      </c>
      <c r="G41" s="177">
        <f>IF(B41&lt;PT+1,VLOOKUP(B41,'Pre-Calculation'!$H$1:$L$32,3,FALSE)+VLOOKUP(B41,'Pre-Calculation'!$H$1:$L$32,4,FALSE)*'Pre-Calculation'!$D$7,0)</f>
        <v>830</v>
      </c>
      <c r="H41" s="175">
        <f>(E41-(F41+G41)*(1+Tax)+N40)</f>
        <v>971073.9762</v>
      </c>
      <c r="I41" s="175">
        <f>IF(B41&lt;PT+1,VLOOKUP(D41,'Pre-Calculation'!$N$3:$P$79,IF(INPUT!$C$4="M",2,3),FALSE)*(J41/1000)*(1/12),0)</f>
        <v>5.158474242</v>
      </c>
      <c r="J41" s="175">
        <f t="shared" si="3"/>
        <v>28926.02378</v>
      </c>
      <c r="K41" s="175">
        <f>(IF('Pre-Calculation'!$D$17="Type 4 a",MAX(SA,H41,1.05*Q41),IF('Pre-Calculation'!$D$17="Type 4 c",H41,IF('Pre-Calculation'!$D$17="Type 4 d",SA+H41,IF('Pre-Calculation'!$D$17="Type 4 e",MAX(SA,H41),IF('Pre-Calculation'!$D$17="Type 4 f",SA,IF('Pre-Calculation'!$D$17="Type 4 g",1000+H41,IF('Pre-Calculation'!$D$17="Type 4 h",SA+X41,IF('Pre-Calculation'!$D$17="Type 4 i",MAX(H41,Q41),IF('Pre-Calculation'!$D$17="Type 4 k",MAX(H41,1.01*Q41),IF('Pre-Calculation'!$D$17="Type 4 m",MAX(105%*Q41,SA+H41),IF('Pre-Calculation'!$D$17="Type 4 o",MAX(SA,105%*Q41)+X41+Z41,IF('Pre-Calculation'!$D$17="Type 5",0)))))))))))))*IF(AND(A41&lt;Revival!$C$4,C41&gt;=Revival!$D$12),PUP,1)</f>
        <v>1000000</v>
      </c>
      <c r="L41" s="175">
        <f>H41-I41*(1+Tax)</f>
        <v>971067.8892</v>
      </c>
      <c r="M41" s="175">
        <f>L41*(1+GROWTH_RATE_L)*(1-FMC*(1+Tax))</f>
        <v>972954.3033</v>
      </c>
      <c r="N41" s="175">
        <f>M41+IF(MOD(A41,B41)=0,VLOOKUP(B41,'Pre-Calculation'!$H$1:$L$31,5,FALSE),0)*IF('Pre-Calculation'!$D$16="% OF FV",M41,IF(OR('Pre-Calculation'!$D$16="% OF AFV(24M)",'Pre-Calculation'!$D$16="% OF AFV(8Q)"),AVERAGE( $M18:$M41),IF('Pre-Calculation'!$D$16="% OF AFV(12M)",AVERAGE($M30:M41),IF('Pre-Calculation'!$D$16="% OF AFV(36M)",AVERAGE($M$7:M41)))))</f>
        <v>972954.3033</v>
      </c>
      <c r="O41" s="175">
        <f t="shared" si="4"/>
        <v>972954.3033</v>
      </c>
      <c r="P41" s="175">
        <f>IF('Pre-Calculation'!$D$17="Type 4 a",MAX(SA,N41,1.05*Q41),IF('Pre-Calculation'!$D$17="Type 4 c",N41,IF('Pre-Calculation'!$D$17="Type 4 d",SA+N41,IF('Pre-Calculation'!$D$17="Type 4 e",MAX(SA,N41),IF('Pre-Calculation'!$D$17="Type 4 f",SA,IF('Pre-Calculation'!$D$17="Type 4 g",1000+N41,IF('Pre-Calculation'!$D$17="Type 4 h",SA+X41,IF('Pre-Calculation'!$D$17="Type 4 i",MAX(N41,Q41),IF('Pre-Calculation'!$D$17="Type 4 k",MAX(N41,1.01*Q41),IF('Pre-Calculation'!$D$17="Type 4 m",MAX(105%*Q41,SA+N41),IF('Pre-Calculation'!$D$17="Type 4 o",MAX(SA,105%*Q41)+X41+Z41,IF('Pre-Calculation'!$D$17="Type 5",0))))))))))))</f>
        <v>1000000</v>
      </c>
      <c r="Q41" s="175">
        <f t="shared" si="5"/>
        <v>800000</v>
      </c>
      <c r="R41" s="119">
        <f>L41*(1+GROWTH_RATE)*FMC</f>
        <v>1098.882325</v>
      </c>
      <c r="S41" s="178">
        <f>S40*(1+'Pre-Calculation'!$E$27)</f>
        <v>718603.5807</v>
      </c>
      <c r="T41" s="175">
        <f>-E41+IF(A40=INPUT!$C$11*12,N41,0)</f>
        <v>0</v>
      </c>
      <c r="U41" s="175">
        <f t="shared" si="6"/>
        <v>997176.4992</v>
      </c>
      <c r="V41" s="175">
        <f>U41*(1+GROWTH_RATE_L)*(1-'Pre-Calculation'!$E$31)</f>
        <v>998774.9371</v>
      </c>
      <c r="W41" s="175">
        <f>-E41+IF(A40=INPUT!$C$11*12,V41,0)</f>
        <v>0</v>
      </c>
      <c r="X41" s="179">
        <f t="array" ref="X41">NPV('Pre-Calculation'!$E$20,$E42:E$246)</f>
        <v>191288.6805</v>
      </c>
      <c r="Y41" s="171">
        <f>10%*SA</f>
        <v>100000</v>
      </c>
      <c r="Z41" s="179">
        <f t="array" ref="Z41">NPV('Pre-Calculation'!$E$20,Y42:Y51)</f>
        <v>969592.8037</v>
      </c>
    </row>
    <row r="42" ht="15.75" customHeight="1">
      <c r="A42" s="171">
        <f t="shared" si="1"/>
        <v>96</v>
      </c>
      <c r="B42" s="171">
        <f t="shared" si="2"/>
        <v>8</v>
      </c>
      <c r="C42" s="176">
        <f>EDATE(RCD,A41)</f>
        <v>45442</v>
      </c>
      <c r="D42" s="171">
        <f>Age_At_Entry+'Cashflows_4%'!B42-1</f>
        <v>42</v>
      </c>
      <c r="E42" s="175">
        <f>IF(AND(C42&lt;=Last_Prem,MOD(A41,Mode)=0,C42&gt;INPUT!$C$13,A42&lt;=Revival!$C$11),Mod_Prem,0)</f>
        <v>0</v>
      </c>
      <c r="F42" s="177">
        <f>IF(B42&lt;PT+1,E42*VLOOKUP(B42,'Pre-Calculation'!$H$1:$I$31,2,FALSE),0)</f>
        <v>0</v>
      </c>
      <c r="G42" s="177">
        <f>IF(B42&lt;PT+1,VLOOKUP(B42,'Pre-Calculation'!$H$1:$L$32,3,FALSE)+VLOOKUP(B42,'Pre-Calculation'!$H$1:$L$32,4,FALSE)*'Pre-Calculation'!$D$7,0)</f>
        <v>830</v>
      </c>
      <c r="H42" s="175">
        <f>(E42-(F42+G42)*(1+Tax)+N41)</f>
        <v>971974.9033</v>
      </c>
      <c r="I42" s="175">
        <f>IF(B42&lt;PT+1,VLOOKUP(D42,'Pre-Calculation'!$N$3:$P$79,IF(INPUT!$C$4="M",2,3),FALSE)*(J42/1000)*(1/12),0)</f>
        <v>4.997808904</v>
      </c>
      <c r="J42" s="175">
        <f t="shared" si="3"/>
        <v>28025.09666</v>
      </c>
      <c r="K42" s="175">
        <f>(IF('Pre-Calculation'!$D$17="Type 4 a",MAX(SA,H42,1.05*Q42),IF('Pre-Calculation'!$D$17="Type 4 c",H42,IF('Pre-Calculation'!$D$17="Type 4 d",SA+H42,IF('Pre-Calculation'!$D$17="Type 4 e",MAX(SA,H42),IF('Pre-Calculation'!$D$17="Type 4 f",SA,IF('Pre-Calculation'!$D$17="Type 4 g",1000+H42,IF('Pre-Calculation'!$D$17="Type 4 h",SA+X42,IF('Pre-Calculation'!$D$17="Type 4 i",MAX(H42,Q42),IF('Pre-Calculation'!$D$17="Type 4 k",MAX(H42,1.01*Q42),IF('Pre-Calculation'!$D$17="Type 4 m",MAX(105%*Q42,SA+H42),IF('Pre-Calculation'!$D$17="Type 4 o",MAX(SA,105%*Q42)+X42+Z42,IF('Pre-Calculation'!$D$17="Type 5",0)))))))))))))*IF(AND(A42&lt;Revival!$C$4,C42&gt;=Revival!$D$12),PUP,1)</f>
        <v>1000000</v>
      </c>
      <c r="L42" s="175">
        <f>H42-I42*(1+Tax)</f>
        <v>971969.0059</v>
      </c>
      <c r="M42" s="175">
        <f>L42*(1+GROWTH_RATE_L)*(1-FMC*(1+Tax))</f>
        <v>973857.1706</v>
      </c>
      <c r="N42" s="175">
        <f>M42+IF(MOD(A42,B42)=0,VLOOKUP(B42,'Pre-Calculation'!$H$1:$L$31,5,FALSE),0)*IF('Pre-Calculation'!$D$16="% OF FV",M42,IF(OR('Pre-Calculation'!$D$16="% OF AFV(24M)",'Pre-Calculation'!$D$16="% OF AFV(8Q)"),AVERAGE( $M19:$M42),IF('Pre-Calculation'!$D$16="% OF AFV(12M)",AVERAGE($M31:M42),IF('Pre-Calculation'!$D$16="% OF AFV(36M)",AVERAGE($M7:M42)))))</f>
        <v>973857.1706</v>
      </c>
      <c r="O42" s="175">
        <f t="shared" si="4"/>
        <v>973857.1706</v>
      </c>
      <c r="P42" s="175">
        <f>IF('Pre-Calculation'!$D$17="Type 4 a",MAX(SA,N42,1.05*Q42),IF('Pre-Calculation'!$D$17="Type 4 c",N42,IF('Pre-Calculation'!$D$17="Type 4 d",SA+N42,IF('Pre-Calculation'!$D$17="Type 4 e",MAX(SA,N42),IF('Pre-Calculation'!$D$17="Type 4 f",SA,IF('Pre-Calculation'!$D$17="Type 4 g",1000+N42,IF('Pre-Calculation'!$D$17="Type 4 h",SA+X42,IF('Pre-Calculation'!$D$17="Type 4 i",MAX(N42,Q42),IF('Pre-Calculation'!$D$17="Type 4 k",MAX(N42,1.01*Q42),IF('Pre-Calculation'!$D$17="Type 4 m",MAX(105%*Q42,SA+N42),IF('Pre-Calculation'!$D$17="Type 4 o",MAX(SA,105%*Q42)+X42+Z42,IF('Pre-Calculation'!$D$17="Type 5",0))))))))))))</f>
        <v>1000000</v>
      </c>
      <c r="Q42" s="175">
        <f t="shared" si="5"/>
        <v>800000</v>
      </c>
      <c r="R42" s="119">
        <f>L42*(1+GROWTH_RATE)*FMC</f>
        <v>1099.902049</v>
      </c>
      <c r="S42" s="178">
        <f>S41*(1+'Pre-Calculation'!$E$27)</f>
        <v>720666.6188</v>
      </c>
      <c r="T42" s="175">
        <f>-E42+IF(A41=INPUT!$C$11*12,N42,0)</f>
        <v>0</v>
      </c>
      <c r="U42" s="175">
        <f t="shared" si="6"/>
        <v>998774.9371</v>
      </c>
      <c r="V42" s="175">
        <f>U42*(1+GROWTH_RATE_L)*(1-'Pre-Calculation'!$E$31)</f>
        <v>1000375.937</v>
      </c>
      <c r="W42" s="175">
        <f>-E42+IF(A41=INPUT!$C$11*12,V42,0)</f>
        <v>0</v>
      </c>
      <c r="X42" s="179">
        <f t="array" ref="X42">NPV('Pre-Calculation'!$E$20,$E43:E$246)</f>
        <v>192370.2545</v>
      </c>
      <c r="Y42" s="171">
        <f>10%*SA</f>
        <v>100000</v>
      </c>
      <c r="Z42" s="179">
        <f t="array" ref="Z42">NPV('Pre-Calculation'!$E$20,Y43:Y52)</f>
        <v>969592.8037</v>
      </c>
    </row>
    <row r="43" ht="15.75" customHeight="1">
      <c r="A43" s="171">
        <f t="shared" si="1"/>
        <v>97</v>
      </c>
      <c r="B43" s="171">
        <f t="shared" si="2"/>
        <v>9</v>
      </c>
      <c r="C43" s="176">
        <f>EDATE(RCD,A42)</f>
        <v>45473</v>
      </c>
      <c r="D43" s="171">
        <f>Age_At_Entry+'Cashflows_4%'!B43-1</f>
        <v>43</v>
      </c>
      <c r="E43" s="175">
        <f>IF(AND(C43&lt;=Last_Prem,MOD(A42,Mode)=0,C43&gt;INPUT!$C$13,A43&lt;=Revival!$C$11),Mod_Prem,0)</f>
        <v>100000</v>
      </c>
      <c r="F43" s="177">
        <f>IF(B43&lt;PT+1,E43*VLOOKUP(B43,'Pre-Calculation'!$H$1:$I$31,2,FALSE),0)</f>
        <v>0</v>
      </c>
      <c r="G43" s="177">
        <f>IF(B43&lt;PT+1,VLOOKUP(B43,'Pre-Calculation'!$H$1:$L$32,3,FALSE)+VLOOKUP(B43,'Pre-Calculation'!$H$1:$L$32,4,FALSE)*'Pre-Calculation'!$D$7,0)</f>
        <v>830</v>
      </c>
      <c r="H43" s="175">
        <f>(E43-(F43+G43)*(1+Tax)+N42)</f>
        <v>1072877.771</v>
      </c>
      <c r="I43" s="175">
        <f>IF(B43&lt;PT+1,VLOOKUP(D43,'Pre-Calculation'!$N$3:$P$79,IF(INPUT!$C$4="M",2,3),FALSE)*(J43/1000)*(1/12),0)</f>
        <v>0</v>
      </c>
      <c r="J43" s="175">
        <f t="shared" si="3"/>
        <v>0</v>
      </c>
      <c r="K43" s="175">
        <f>(IF('Pre-Calculation'!$D$17="Type 4 a",MAX(SA,H43,1.05*Q43),IF('Pre-Calculation'!$D$17="Type 4 c",H43,IF('Pre-Calculation'!$D$17="Type 4 d",SA+H43,IF('Pre-Calculation'!$D$17="Type 4 e",MAX(SA,H43),IF('Pre-Calculation'!$D$17="Type 4 f",SA,IF('Pre-Calculation'!$D$17="Type 4 g",1000+H43,IF('Pre-Calculation'!$D$17="Type 4 h",SA+X43,IF('Pre-Calculation'!$D$17="Type 4 i",MAX(H43,Q43),IF('Pre-Calculation'!$D$17="Type 4 k",MAX(H43,1.01*Q43),IF('Pre-Calculation'!$D$17="Type 4 m",MAX(105%*Q43,SA+H43),IF('Pre-Calculation'!$D$17="Type 4 o",MAX(SA,105%*Q43)+X43+Z43,IF('Pre-Calculation'!$D$17="Type 5",0)))))))))))))*IF(AND(A43&lt;Revival!$C$4,C43&gt;=Revival!$D$12),PUP,1)</f>
        <v>1072877.771</v>
      </c>
      <c r="L43" s="175">
        <f>H43-I43*(1+Tax)</f>
        <v>1072877.771</v>
      </c>
      <c r="M43" s="175">
        <f>L43*(1+GROWTH_RATE_L)*(1-FMC*(1+Tax))</f>
        <v>1074961.962</v>
      </c>
      <c r="N43" s="175">
        <f>M43+IF(MOD(A43,B43)=0,VLOOKUP(B43,'Pre-Calculation'!$H$1:$L$31,5,FALSE),0)*IF('Pre-Calculation'!$D$16="% OF FV",M43,IF(OR('Pre-Calculation'!$D$16="% OF AFV(24M)",'Pre-Calculation'!$D$16="% OF AFV(8Q)"),AVERAGE( $M20:$M43),IF('Pre-Calculation'!$D$16="% OF AFV(12M)",AVERAGE($M32:M43),IF('Pre-Calculation'!$D$16="% OF AFV(36M)",AVERAGE($M8:M43)))))</f>
        <v>1074961.962</v>
      </c>
      <c r="O43" s="175">
        <f t="shared" si="4"/>
        <v>1074961.962</v>
      </c>
      <c r="P43" s="175">
        <f>IF('Pre-Calculation'!$D$17="Type 4 a",MAX(SA,N43,1.05*Q43),IF('Pre-Calculation'!$D$17="Type 4 c",N43,IF('Pre-Calculation'!$D$17="Type 4 d",SA+N43,IF('Pre-Calculation'!$D$17="Type 4 e",MAX(SA,N43),IF('Pre-Calculation'!$D$17="Type 4 f",SA,IF('Pre-Calculation'!$D$17="Type 4 g",1000+N43,IF('Pre-Calculation'!$D$17="Type 4 h",SA+X43,IF('Pre-Calculation'!$D$17="Type 4 i",MAX(N43,Q43),IF('Pre-Calculation'!$D$17="Type 4 k",MAX(N43,1.01*Q43),IF('Pre-Calculation'!$D$17="Type 4 m",MAX(105%*Q43,SA+N43),IF('Pre-Calculation'!$D$17="Type 4 o",MAX(SA,105%*Q43)+X43+Z43,IF('Pre-Calculation'!$D$17="Type 5",0))))))))))))</f>
        <v>1074961.962</v>
      </c>
      <c r="Q43" s="175">
        <f t="shared" si="5"/>
        <v>900000</v>
      </c>
      <c r="R43" s="119">
        <f>L43*(1+GROWTH_RATE)*FMC</f>
        <v>1214.092683</v>
      </c>
      <c r="S43" s="178">
        <f>S42*(1+'Pre-Calculation'!$E$27)</f>
        <v>722735.5796</v>
      </c>
      <c r="T43" s="175">
        <f>-E43+IF(A42=INPUT!$C$11*12,N43,0)</f>
        <v>-100000</v>
      </c>
      <c r="U43" s="175">
        <f t="shared" si="6"/>
        <v>1100375.937</v>
      </c>
      <c r="V43" s="175">
        <f>U43*(1+GROWTH_RATE_L)*(1-'Pre-Calculation'!$E$31)</f>
        <v>1102139.8</v>
      </c>
      <c r="W43" s="175">
        <f>-E43+IF(A42=INPUT!$C$11*12,V43,0)</f>
        <v>-100000</v>
      </c>
      <c r="X43" s="179">
        <f t="array" ref="X43">NPV('Pre-Calculation'!$E$20,$E44:E$246)</f>
        <v>93457.94393</v>
      </c>
      <c r="Y43" s="171">
        <f>10%*SA</f>
        <v>100000</v>
      </c>
      <c r="Z43" s="179">
        <f t="array" ref="Z43">NPV('Pre-Calculation'!$E$20,Y44:Y53)</f>
        <v>969592.8037</v>
      </c>
    </row>
    <row r="44" ht="15.75" customHeight="1">
      <c r="A44" s="171">
        <f t="shared" si="1"/>
        <v>98</v>
      </c>
      <c r="B44" s="171">
        <f t="shared" si="2"/>
        <v>9</v>
      </c>
      <c r="C44" s="176">
        <f>EDATE(RCD,A43)</f>
        <v>45503</v>
      </c>
      <c r="D44" s="171">
        <f>Age_At_Entry+'Cashflows_4%'!B44-1</f>
        <v>43</v>
      </c>
      <c r="E44" s="175">
        <f>IF(AND(C44&lt;=Last_Prem,MOD(A43,Mode)=0,C44&gt;INPUT!$C$13,A44&lt;=Revival!$C$11),Mod_Prem,0)</f>
        <v>0</v>
      </c>
      <c r="F44" s="177">
        <f>IF(B44&lt;PT+1,E44*VLOOKUP(B44,'Pre-Calculation'!$H$1:$I$31,2,FALSE),0)</f>
        <v>0</v>
      </c>
      <c r="G44" s="177">
        <f>IF(B44&lt;PT+1,VLOOKUP(B44,'Pre-Calculation'!$H$1:$L$32,3,FALSE)+VLOOKUP(B44,'Pre-Calculation'!$H$1:$L$32,4,FALSE)*'Pre-Calculation'!$D$7,0)</f>
        <v>830</v>
      </c>
      <c r="H44" s="175">
        <f>(E44-(F44+G44)*(1+Tax)+N43)</f>
        <v>1073982.562</v>
      </c>
      <c r="I44" s="175">
        <f>IF(B44&lt;PT+1,VLOOKUP(D44,'Pre-Calculation'!$N$3:$P$79,IF(INPUT!$C$4="M",2,3),FALSE)*(J44/1000)*(1/12),0)</f>
        <v>0</v>
      </c>
      <c r="J44" s="175">
        <f t="shared" si="3"/>
        <v>0</v>
      </c>
      <c r="K44" s="175">
        <f>(IF('Pre-Calculation'!$D$17="Type 4 a",MAX(SA,H44,1.05*Q44),IF('Pre-Calculation'!$D$17="Type 4 c",H44,IF('Pre-Calculation'!$D$17="Type 4 d",SA+H44,IF('Pre-Calculation'!$D$17="Type 4 e",MAX(SA,H44),IF('Pre-Calculation'!$D$17="Type 4 f",SA,IF('Pre-Calculation'!$D$17="Type 4 g",1000+H44,IF('Pre-Calculation'!$D$17="Type 4 h",SA+X44,IF('Pre-Calculation'!$D$17="Type 4 i",MAX(H44,Q44),IF('Pre-Calculation'!$D$17="Type 4 k",MAX(H44,1.01*Q44),IF('Pre-Calculation'!$D$17="Type 4 m",MAX(105%*Q44,SA+H44),IF('Pre-Calculation'!$D$17="Type 4 o",MAX(SA,105%*Q44)+X44+Z44,IF('Pre-Calculation'!$D$17="Type 5",0)))))))))))))*IF(AND(A44&lt;Revival!$C$4,C44&gt;=Revival!$D$12),PUP,1)</f>
        <v>1073982.562</v>
      </c>
      <c r="L44" s="175">
        <f>H44-I44*(1+Tax)</f>
        <v>1073982.562</v>
      </c>
      <c r="M44" s="175">
        <f>L44*(1+GROWTH_RATE_L)*(1-FMC*(1+Tax))</f>
        <v>1076068.9</v>
      </c>
      <c r="N44" s="175">
        <f>M44+IF(MOD(A44,B44)=0,VLOOKUP(B44,'Pre-Calculation'!$H$1:$L$31,5,FALSE),0)*IF('Pre-Calculation'!$D$16="% OF FV",M44,IF(OR('Pre-Calculation'!$D$16="% OF AFV(24M)",'Pre-Calculation'!$D$16="% OF AFV(8Q)"),AVERAGE( $M21:$M44),IF('Pre-Calculation'!$D$16="% OF AFV(12M)",AVERAGE($M33:M44),IF('Pre-Calculation'!$D$16="% OF AFV(36M)",AVERAGE($M9:M44)))))</f>
        <v>1076068.9</v>
      </c>
      <c r="O44" s="175">
        <f t="shared" si="4"/>
        <v>1076068.9</v>
      </c>
      <c r="P44" s="175">
        <f>IF('Pre-Calculation'!$D$17="Type 4 a",MAX(SA,N44,1.05*Q44),IF('Pre-Calculation'!$D$17="Type 4 c",N44,IF('Pre-Calculation'!$D$17="Type 4 d",SA+N44,IF('Pre-Calculation'!$D$17="Type 4 e",MAX(SA,N44),IF('Pre-Calculation'!$D$17="Type 4 f",SA,IF('Pre-Calculation'!$D$17="Type 4 g",1000+N44,IF('Pre-Calculation'!$D$17="Type 4 h",SA+X44,IF('Pre-Calculation'!$D$17="Type 4 i",MAX(N44,Q44),IF('Pre-Calculation'!$D$17="Type 4 k",MAX(N44,1.01*Q44),IF('Pre-Calculation'!$D$17="Type 4 m",MAX(105%*Q44,SA+N44),IF('Pre-Calculation'!$D$17="Type 4 o",MAX(SA,105%*Q44)+X44+Z44,IF('Pre-Calculation'!$D$17="Type 5",0))))))))))))</f>
        <v>1076068.9</v>
      </c>
      <c r="Q44" s="175">
        <f t="shared" si="5"/>
        <v>900000</v>
      </c>
      <c r="R44" s="119">
        <f>L44*(1+GROWTH_RATE)*FMC</f>
        <v>1215.342891</v>
      </c>
      <c r="S44" s="178">
        <f>S43*(1+'Pre-Calculation'!$E$27)</f>
        <v>724810.4803</v>
      </c>
      <c r="T44" s="175">
        <f>-E44+IF(A43=INPUT!$C$11*12,N44,0)</f>
        <v>0</v>
      </c>
      <c r="U44" s="175">
        <f t="shared" si="6"/>
        <v>1102139.8</v>
      </c>
      <c r="V44" s="175">
        <f>U44*(1+GROWTH_RATE_L)*(1-'Pre-Calculation'!$E$31)</f>
        <v>1103906.49</v>
      </c>
      <c r="W44" s="175">
        <f>-E44+IF(A43=INPUT!$C$11*12,V44,0)</f>
        <v>0</v>
      </c>
      <c r="X44" s="179">
        <f t="array" ref="X44">NPV('Pre-Calculation'!$E$20,$E45:E$246)</f>
        <v>93986.36873</v>
      </c>
      <c r="Y44" s="171">
        <f>10%*SA</f>
        <v>100000</v>
      </c>
      <c r="Z44" s="179">
        <f t="array" ref="Z44">NPV('Pre-Calculation'!$E$20,Y45:Y54)</f>
        <v>969592.8037</v>
      </c>
    </row>
    <row r="45" ht="15.75" customHeight="1">
      <c r="A45" s="171">
        <f t="shared" si="1"/>
        <v>99</v>
      </c>
      <c r="B45" s="171">
        <f t="shared" si="2"/>
        <v>9</v>
      </c>
      <c r="C45" s="176">
        <f>EDATE(RCD,A44)</f>
        <v>45534</v>
      </c>
      <c r="D45" s="171">
        <f>Age_At_Entry+'Cashflows_4%'!B45-1</f>
        <v>43</v>
      </c>
      <c r="E45" s="175">
        <f>IF(AND(C45&lt;=Last_Prem,MOD(A44,Mode)=0,C45&gt;INPUT!$C$13,A45&lt;=Revival!$C$11),Mod_Prem,0)</f>
        <v>0</v>
      </c>
      <c r="F45" s="177">
        <f>IF(B45&lt;PT+1,E45*VLOOKUP(B45,'Pre-Calculation'!$H$1:$I$31,2,FALSE),0)</f>
        <v>0</v>
      </c>
      <c r="G45" s="177">
        <f>IF(B45&lt;PT+1,VLOOKUP(B45,'Pre-Calculation'!$H$1:$L$32,3,FALSE)+VLOOKUP(B45,'Pre-Calculation'!$H$1:$L$32,4,FALSE)*'Pre-Calculation'!$D$7,0)</f>
        <v>830</v>
      </c>
      <c r="H45" s="175">
        <f>(E45-(F45+G45)*(1+Tax)+N44)</f>
        <v>1075089.5</v>
      </c>
      <c r="I45" s="175">
        <f>IF(B45&lt;PT+1,VLOOKUP(D45,'Pre-Calculation'!$N$3:$P$79,IF(INPUT!$C$4="M",2,3),FALSE)*(J45/1000)*(1/12),0)</f>
        <v>0</v>
      </c>
      <c r="J45" s="175">
        <f t="shared" si="3"/>
        <v>0</v>
      </c>
      <c r="K45" s="175">
        <f>(IF('Pre-Calculation'!$D$17="Type 4 a",MAX(SA,H45,1.05*Q45),IF('Pre-Calculation'!$D$17="Type 4 c",H45,IF('Pre-Calculation'!$D$17="Type 4 d",SA+H45,IF('Pre-Calculation'!$D$17="Type 4 e",MAX(SA,H45),IF('Pre-Calculation'!$D$17="Type 4 f",SA,IF('Pre-Calculation'!$D$17="Type 4 g",1000+H45,IF('Pre-Calculation'!$D$17="Type 4 h",SA+X45,IF('Pre-Calculation'!$D$17="Type 4 i",MAX(H45,Q45),IF('Pre-Calculation'!$D$17="Type 4 k",MAX(H45,1.01*Q45),IF('Pre-Calculation'!$D$17="Type 4 m",MAX(105%*Q45,SA+H45),IF('Pre-Calculation'!$D$17="Type 4 o",MAX(SA,105%*Q45)+X45+Z45,IF('Pre-Calculation'!$D$17="Type 5",0)))))))))))))*IF(AND(A45&lt;Revival!$C$4,C45&gt;=Revival!$D$12),PUP,1)</f>
        <v>1075089.5</v>
      </c>
      <c r="L45" s="175">
        <f>H45-I45*(1+Tax)</f>
        <v>1075089.5</v>
      </c>
      <c r="M45" s="175">
        <f>L45*(1+GROWTH_RATE_L)*(1-FMC*(1+Tax))</f>
        <v>1077177.989</v>
      </c>
      <c r="N45" s="175">
        <f>M45+IF(MOD(A45,B45)=0,VLOOKUP(B45,'Pre-Calculation'!$H$1:$L$31,5,FALSE),0)*IF('Pre-Calculation'!$D$16="% OF FV",M45,IF(OR('Pre-Calculation'!$D$16="% OF AFV(24M)",'Pre-Calculation'!$D$16="% OF AFV(8Q)"),AVERAGE( $M22:$M45),IF('Pre-Calculation'!$D$16="% OF AFV(12M)",AVERAGE($M34:M45),IF('Pre-Calculation'!$D$16="% OF AFV(36M)",AVERAGE($M10:M45)))))</f>
        <v>1077177.989</v>
      </c>
      <c r="O45" s="175">
        <f t="shared" si="4"/>
        <v>1077177.989</v>
      </c>
      <c r="P45" s="175">
        <f>IF('Pre-Calculation'!$D$17="Type 4 a",MAX(SA,N45,1.05*Q45),IF('Pre-Calculation'!$D$17="Type 4 c",N45,IF('Pre-Calculation'!$D$17="Type 4 d",SA+N45,IF('Pre-Calculation'!$D$17="Type 4 e",MAX(SA,N45),IF('Pre-Calculation'!$D$17="Type 4 f",SA,IF('Pre-Calculation'!$D$17="Type 4 g",1000+N45,IF('Pre-Calculation'!$D$17="Type 4 h",SA+X45,IF('Pre-Calculation'!$D$17="Type 4 i",MAX(N45,Q45),IF('Pre-Calculation'!$D$17="Type 4 k",MAX(N45,1.01*Q45),IF('Pre-Calculation'!$D$17="Type 4 m",MAX(105%*Q45,SA+N45),IF('Pre-Calculation'!$D$17="Type 4 o",MAX(SA,105%*Q45)+X45+Z45,IF('Pre-Calculation'!$D$17="Type 5",0))))))))))))</f>
        <v>1077177.989</v>
      </c>
      <c r="Q45" s="175">
        <f t="shared" si="5"/>
        <v>900000</v>
      </c>
      <c r="R45" s="119">
        <f>L45*(1+GROWTH_RATE)*FMC</f>
        <v>1216.595527</v>
      </c>
      <c r="S45" s="178">
        <f>S44*(1+'Pre-Calculation'!$E$27)</f>
        <v>726891.3378</v>
      </c>
      <c r="T45" s="175">
        <f>-E45+IF(A44=INPUT!$C$11*12,N45,0)</f>
        <v>0</v>
      </c>
      <c r="U45" s="175">
        <f t="shared" si="6"/>
        <v>1103906.49</v>
      </c>
      <c r="V45" s="175">
        <f>U45*(1+GROWTH_RATE_L)*(1-'Pre-Calculation'!$E$31)</f>
        <v>1105676.012</v>
      </c>
      <c r="W45" s="175">
        <f>-E45+IF(A44=INPUT!$C$11*12,V45,0)</f>
        <v>0</v>
      </c>
      <c r="X45" s="179">
        <f t="array" ref="X45">NPV('Pre-Calculation'!$E$20,$E46:E$246)</f>
        <v>94517.78132</v>
      </c>
      <c r="Y45" s="171">
        <f>10%*SA</f>
        <v>100000</v>
      </c>
      <c r="Z45" s="179">
        <f t="array" ref="Z45">NPV('Pre-Calculation'!$E$20,Y46:Y55)</f>
        <v>969592.8037</v>
      </c>
    </row>
    <row r="46" ht="15.75" customHeight="1">
      <c r="A46" s="171">
        <f t="shared" si="1"/>
        <v>100</v>
      </c>
      <c r="B46" s="171">
        <f t="shared" si="2"/>
        <v>9</v>
      </c>
      <c r="C46" s="176">
        <f>EDATE(RCD,A45)</f>
        <v>45565</v>
      </c>
      <c r="D46" s="171">
        <f>Age_At_Entry+'Cashflows_4%'!B46-1</f>
        <v>43</v>
      </c>
      <c r="E46" s="175">
        <f>IF(AND(C46&lt;=Last_Prem,MOD(A45,Mode)=0,C46&gt;INPUT!$C$13,A46&lt;=Revival!$C$11),Mod_Prem,0)</f>
        <v>0</v>
      </c>
      <c r="F46" s="177">
        <f>IF(B46&lt;PT+1,E46*VLOOKUP(B46,'Pre-Calculation'!$H$1:$I$31,2,FALSE),0)</f>
        <v>0</v>
      </c>
      <c r="G46" s="177">
        <f>IF(B46&lt;PT+1,VLOOKUP(B46,'Pre-Calculation'!$H$1:$L$32,3,FALSE)+VLOOKUP(B46,'Pre-Calculation'!$H$1:$L$32,4,FALSE)*'Pre-Calculation'!$D$7,0)</f>
        <v>830</v>
      </c>
      <c r="H46" s="175">
        <f>(E46-(F46+G46)*(1+Tax)+N45)</f>
        <v>1076198.589</v>
      </c>
      <c r="I46" s="175">
        <f>IF(B46&lt;PT+1,VLOOKUP(D46,'Pre-Calculation'!$N$3:$P$79,IF(INPUT!$C$4="M",2,3),FALSE)*(J46/1000)*(1/12),0)</f>
        <v>0</v>
      </c>
      <c r="J46" s="175">
        <f t="shared" si="3"/>
        <v>0</v>
      </c>
      <c r="K46" s="175">
        <f>(IF('Pre-Calculation'!$D$17="Type 4 a",MAX(SA,H46,1.05*Q46),IF('Pre-Calculation'!$D$17="Type 4 c",H46,IF('Pre-Calculation'!$D$17="Type 4 d",SA+H46,IF('Pre-Calculation'!$D$17="Type 4 e",MAX(SA,H46),IF('Pre-Calculation'!$D$17="Type 4 f",SA,IF('Pre-Calculation'!$D$17="Type 4 g",1000+H46,IF('Pre-Calculation'!$D$17="Type 4 h",SA+X46,IF('Pre-Calculation'!$D$17="Type 4 i",MAX(H46,Q46),IF('Pre-Calculation'!$D$17="Type 4 k",MAX(H46,1.01*Q46),IF('Pre-Calculation'!$D$17="Type 4 m",MAX(105%*Q46,SA+H46),IF('Pre-Calculation'!$D$17="Type 4 o",MAX(SA,105%*Q46)+X46+Z46,IF('Pre-Calculation'!$D$17="Type 5",0)))))))))))))*IF(AND(A46&lt;Revival!$C$4,C46&gt;=Revival!$D$12),PUP,1)</f>
        <v>1076198.589</v>
      </c>
      <c r="L46" s="175">
        <f>H46-I46*(1+Tax)</f>
        <v>1076198.589</v>
      </c>
      <c r="M46" s="175">
        <f>L46*(1+GROWTH_RATE_L)*(1-FMC*(1+Tax))</f>
        <v>1078289.232</v>
      </c>
      <c r="N46" s="175">
        <f>M46+IF(MOD(A46,B46)=0,VLOOKUP(B46,'Pre-Calculation'!$H$1:$L$31,5,FALSE),0)*IF('Pre-Calculation'!$D$16="% OF FV",M46,IF(OR('Pre-Calculation'!$D$16="% OF AFV(24M)",'Pre-Calculation'!$D$16="% OF AFV(8Q)"),AVERAGE( $M23:$M46),IF('Pre-Calculation'!$D$16="% OF AFV(12M)",AVERAGE($M35:M46),IF('Pre-Calculation'!$D$16="% OF AFV(36M)",AVERAGE($M11:M46)))))</f>
        <v>1078289.232</v>
      </c>
      <c r="O46" s="175">
        <f t="shared" si="4"/>
        <v>1078289.232</v>
      </c>
      <c r="P46" s="175">
        <f>IF('Pre-Calculation'!$D$17="Type 4 a",MAX(SA,N46,1.05*Q46),IF('Pre-Calculation'!$D$17="Type 4 c",N46,IF('Pre-Calculation'!$D$17="Type 4 d",SA+N46,IF('Pre-Calculation'!$D$17="Type 4 e",MAX(SA,N46),IF('Pre-Calculation'!$D$17="Type 4 f",SA,IF('Pre-Calculation'!$D$17="Type 4 g",1000+N46,IF('Pre-Calculation'!$D$17="Type 4 h",SA+X46,IF('Pre-Calculation'!$D$17="Type 4 i",MAX(N46,Q46),IF('Pre-Calculation'!$D$17="Type 4 k",MAX(N46,1.01*Q46),IF('Pre-Calculation'!$D$17="Type 4 m",MAX(105%*Q46,SA+N46),IF('Pre-Calculation'!$D$17="Type 4 o",MAX(SA,105%*Q46)+X46+Z46,IF('Pre-Calculation'!$D$17="Type 5",0))))))))))))</f>
        <v>1078289.232</v>
      </c>
      <c r="Q46" s="175">
        <f t="shared" si="5"/>
        <v>900000</v>
      </c>
      <c r="R46" s="119">
        <f>L46*(1+GROWTH_RATE)*FMC</f>
        <v>1217.850596</v>
      </c>
      <c r="S46" s="178">
        <f>S45*(1+'Pre-Calculation'!$E$27)</f>
        <v>728978.1692</v>
      </c>
      <c r="T46" s="175">
        <f>-E46+IF(A45=INPUT!$C$11*12,N46,0)</f>
        <v>0</v>
      </c>
      <c r="U46" s="175">
        <f t="shared" si="6"/>
        <v>1105676.012</v>
      </c>
      <c r="V46" s="175">
        <f>U46*(1+GROWTH_RATE_L)*(1-'Pre-Calculation'!$E$31)</f>
        <v>1107448.371</v>
      </c>
      <c r="W46" s="175">
        <f>-E46+IF(A45=INPUT!$C$11*12,V46,0)</f>
        <v>0</v>
      </c>
      <c r="X46" s="179">
        <f t="array" ref="X46">NPV('Pre-Calculation'!$E$20,$E47:E$246)</f>
        <v>95052.1986</v>
      </c>
      <c r="Y46" s="171">
        <f>10%*SA</f>
        <v>100000</v>
      </c>
      <c r="Z46" s="179">
        <f t="array" ref="Z46">NPV('Pre-Calculation'!$E$20,Y47:Y56)</f>
        <v>969592.8037</v>
      </c>
    </row>
    <row r="47" ht="15.75" customHeight="1">
      <c r="A47" s="171">
        <f t="shared" si="1"/>
        <v>101</v>
      </c>
      <c r="B47" s="171">
        <f t="shared" si="2"/>
        <v>9</v>
      </c>
      <c r="C47" s="176">
        <f>EDATE(RCD,A46)</f>
        <v>45595</v>
      </c>
      <c r="D47" s="171">
        <f>Age_At_Entry+'Cashflows_4%'!B47-1</f>
        <v>43</v>
      </c>
      <c r="E47" s="175">
        <f>IF(AND(C47&lt;=Last_Prem,MOD(A46,Mode)=0,C47&gt;INPUT!$C$13,A47&lt;=Revival!$C$11),Mod_Prem,0)</f>
        <v>0</v>
      </c>
      <c r="F47" s="177">
        <f>IF(B47&lt;PT+1,E47*VLOOKUP(B47,'Pre-Calculation'!$H$1:$I$31,2,FALSE),0)</f>
        <v>0</v>
      </c>
      <c r="G47" s="177">
        <f>IF(B47&lt;PT+1,VLOOKUP(B47,'Pre-Calculation'!$H$1:$L$32,3,FALSE)+VLOOKUP(B47,'Pre-Calculation'!$H$1:$L$32,4,FALSE)*'Pre-Calculation'!$D$7,0)</f>
        <v>830</v>
      </c>
      <c r="H47" s="175">
        <f>(E47-(F47+G47)*(1+Tax)+N46)</f>
        <v>1077309.832</v>
      </c>
      <c r="I47" s="175">
        <f>IF(B47&lt;PT+1,VLOOKUP(D47,'Pre-Calculation'!$N$3:$P$79,IF(INPUT!$C$4="M",2,3),FALSE)*(J47/1000)*(1/12),0)</f>
        <v>0</v>
      </c>
      <c r="J47" s="175">
        <f t="shared" si="3"/>
        <v>0</v>
      </c>
      <c r="K47" s="175">
        <f>(IF('Pre-Calculation'!$D$17="Type 4 a",MAX(SA,H47,1.05*Q47),IF('Pre-Calculation'!$D$17="Type 4 c",H47,IF('Pre-Calculation'!$D$17="Type 4 d",SA+H47,IF('Pre-Calculation'!$D$17="Type 4 e",MAX(SA,H47),IF('Pre-Calculation'!$D$17="Type 4 f",SA,IF('Pre-Calculation'!$D$17="Type 4 g",1000+H47,IF('Pre-Calculation'!$D$17="Type 4 h",SA+X47,IF('Pre-Calculation'!$D$17="Type 4 i",MAX(H47,Q47),IF('Pre-Calculation'!$D$17="Type 4 k",MAX(H47,1.01*Q47),IF('Pre-Calculation'!$D$17="Type 4 m",MAX(105%*Q47,SA+H47),IF('Pre-Calculation'!$D$17="Type 4 o",MAX(SA,105%*Q47)+X47+Z47,IF('Pre-Calculation'!$D$17="Type 5",0)))))))))))))*IF(AND(A47&lt;Revival!$C$4,C47&gt;=Revival!$D$12),PUP,1)</f>
        <v>1077309.832</v>
      </c>
      <c r="L47" s="175">
        <f>H47-I47*(1+Tax)</f>
        <v>1077309.832</v>
      </c>
      <c r="M47" s="175">
        <f>L47*(1+GROWTH_RATE_L)*(1-FMC*(1+Tax))</f>
        <v>1079402.633</v>
      </c>
      <c r="N47" s="175">
        <f>M47+IF(MOD(A47,B47)=0,VLOOKUP(B47,'Pre-Calculation'!$H$1:$L$31,5,FALSE),0)*IF('Pre-Calculation'!$D$16="% OF FV",M47,IF(OR('Pre-Calculation'!$D$16="% OF AFV(24M)",'Pre-Calculation'!$D$16="% OF AFV(8Q)"),AVERAGE( $M24:$M47),IF('Pre-Calculation'!$D$16="% OF AFV(12M)",AVERAGE($M36:M47),IF('Pre-Calculation'!$D$16="% OF AFV(36M)",AVERAGE($M12:M47)))))</f>
        <v>1079402.633</v>
      </c>
      <c r="O47" s="175">
        <f t="shared" si="4"/>
        <v>1079402.633</v>
      </c>
      <c r="P47" s="175">
        <f>IF('Pre-Calculation'!$D$17="Type 4 a",MAX(SA,N47,1.05*Q47),IF('Pre-Calculation'!$D$17="Type 4 c",N47,IF('Pre-Calculation'!$D$17="Type 4 d",SA+N47,IF('Pre-Calculation'!$D$17="Type 4 e",MAX(SA,N47),IF('Pre-Calculation'!$D$17="Type 4 f",SA,IF('Pre-Calculation'!$D$17="Type 4 g",1000+N47,IF('Pre-Calculation'!$D$17="Type 4 h",SA+X47,IF('Pre-Calculation'!$D$17="Type 4 i",MAX(N47,Q47),IF('Pre-Calculation'!$D$17="Type 4 k",MAX(N47,1.01*Q47),IF('Pre-Calculation'!$D$17="Type 4 m",MAX(105%*Q47,SA+N47),IF('Pre-Calculation'!$D$17="Type 4 o",MAX(SA,105%*Q47)+X47+Z47,IF('Pre-Calculation'!$D$17="Type 5",0))))))))))))</f>
        <v>1079402.633</v>
      </c>
      <c r="Q47" s="175">
        <f t="shared" si="5"/>
        <v>900000</v>
      </c>
      <c r="R47" s="119">
        <f>L47*(1+GROWTH_RATE)*FMC</f>
        <v>1219.108104</v>
      </c>
      <c r="S47" s="178">
        <f>S46*(1+'Pre-Calculation'!$E$27)</f>
        <v>731070.9917</v>
      </c>
      <c r="T47" s="175">
        <f>-E47+IF(A46=INPUT!$C$11*12,N47,0)</f>
        <v>0</v>
      </c>
      <c r="U47" s="175">
        <f t="shared" si="6"/>
        <v>1107448.371</v>
      </c>
      <c r="V47" s="175">
        <f>U47*(1+GROWTH_RATE_L)*(1-'Pre-Calculation'!$E$31)</f>
        <v>1109223.571</v>
      </c>
      <c r="W47" s="175">
        <f>-E47+IF(A46=INPUT!$C$11*12,V47,0)</f>
        <v>0</v>
      </c>
      <c r="X47" s="179">
        <f t="array" ref="X47">NPV('Pre-Calculation'!$E$20,$E48:E$246)</f>
        <v>95589.63755</v>
      </c>
      <c r="Y47" s="171">
        <f>10%*SA</f>
        <v>100000</v>
      </c>
      <c r="Z47" s="179">
        <f t="array" ref="Z47">NPV('Pre-Calculation'!$E$20,Y48:Y57)</f>
        <v>969592.8037</v>
      </c>
    </row>
    <row r="48" ht="15.75" customHeight="1">
      <c r="A48" s="171">
        <f t="shared" si="1"/>
        <v>102</v>
      </c>
      <c r="B48" s="171">
        <f t="shared" si="2"/>
        <v>9</v>
      </c>
      <c r="C48" s="176">
        <f>EDATE(RCD,A47)</f>
        <v>45626</v>
      </c>
      <c r="D48" s="171">
        <f>Age_At_Entry+'Cashflows_4%'!B48-1</f>
        <v>43</v>
      </c>
      <c r="E48" s="175">
        <f>IF(AND(C48&lt;=Last_Prem,MOD(A47,Mode)=0,C48&gt;INPUT!$C$13,A48&lt;=Revival!$C$11),Mod_Prem,0)</f>
        <v>0</v>
      </c>
      <c r="F48" s="177">
        <f>IF(B48&lt;PT+1,E48*VLOOKUP(B48,'Pre-Calculation'!$H$1:$I$31,2,FALSE),0)</f>
        <v>0</v>
      </c>
      <c r="G48" s="177">
        <f>IF(B48&lt;PT+1,VLOOKUP(B48,'Pre-Calculation'!$H$1:$L$32,3,FALSE)+VLOOKUP(B48,'Pre-Calculation'!$H$1:$L$32,4,FALSE)*'Pre-Calculation'!$D$7,0)</f>
        <v>830</v>
      </c>
      <c r="H48" s="175">
        <f>(E48-(F48+G48)*(1+Tax)+N47)</f>
        <v>1078423.233</v>
      </c>
      <c r="I48" s="175">
        <f>IF(B48&lt;PT+1,VLOOKUP(D48,'Pre-Calculation'!$N$3:$P$79,IF(INPUT!$C$4="M",2,3),FALSE)*(J48/1000)*(1/12),0)</f>
        <v>0</v>
      </c>
      <c r="J48" s="175">
        <f t="shared" si="3"/>
        <v>0</v>
      </c>
      <c r="K48" s="175">
        <f>(IF('Pre-Calculation'!$D$17="Type 4 a",MAX(SA,H48,1.05*Q48),IF('Pre-Calculation'!$D$17="Type 4 c",H48,IF('Pre-Calculation'!$D$17="Type 4 d",SA+H48,IF('Pre-Calculation'!$D$17="Type 4 e",MAX(SA,H48),IF('Pre-Calculation'!$D$17="Type 4 f",SA,IF('Pre-Calculation'!$D$17="Type 4 g",1000+H48,IF('Pre-Calculation'!$D$17="Type 4 h",SA+X48,IF('Pre-Calculation'!$D$17="Type 4 i",MAX(H48,Q48),IF('Pre-Calculation'!$D$17="Type 4 k",MAX(H48,1.01*Q48),IF('Pre-Calculation'!$D$17="Type 4 m",MAX(105%*Q48,SA+H48),IF('Pre-Calculation'!$D$17="Type 4 o",MAX(SA,105%*Q48)+X48+Z48,IF('Pre-Calculation'!$D$17="Type 5",0)))))))))))))*IF(AND(A48&lt;Revival!$C$4,C48&gt;=Revival!$D$12),PUP,1)</f>
        <v>1078423.233</v>
      </c>
      <c r="L48" s="175">
        <f>H48-I48*(1+Tax)</f>
        <v>1078423.233</v>
      </c>
      <c r="M48" s="175">
        <f>L48*(1+GROWTH_RATE_L)*(1-FMC*(1+Tax))</f>
        <v>1080518.198</v>
      </c>
      <c r="N48" s="175">
        <f>M48+IF(MOD(A48,B48)=0,VLOOKUP(B48,'Pre-Calculation'!$H$1:$L$31,5,FALSE),0)*IF('Pre-Calculation'!$D$16="% OF FV",M48,IF(OR('Pre-Calculation'!$D$16="% OF AFV(24M)",'Pre-Calculation'!$D$16="% OF AFV(8Q)"),AVERAGE( $M25:$M48),IF('Pre-Calculation'!$D$16="% OF AFV(12M)",AVERAGE($M37:M48),IF('Pre-Calculation'!$D$16="% OF AFV(36M)",AVERAGE($M13:M48)))))</f>
        <v>1080518.198</v>
      </c>
      <c r="O48" s="175">
        <f t="shared" si="4"/>
        <v>1080518.198</v>
      </c>
      <c r="P48" s="175">
        <f>IF('Pre-Calculation'!$D$17="Type 4 a",MAX(SA,N48,1.05*Q48),IF('Pre-Calculation'!$D$17="Type 4 c",N48,IF('Pre-Calculation'!$D$17="Type 4 d",SA+N48,IF('Pre-Calculation'!$D$17="Type 4 e",MAX(SA,N48),IF('Pre-Calculation'!$D$17="Type 4 f",SA,IF('Pre-Calculation'!$D$17="Type 4 g",1000+N48,IF('Pre-Calculation'!$D$17="Type 4 h",SA+X48,IF('Pre-Calculation'!$D$17="Type 4 i",MAX(N48,Q48),IF('Pre-Calculation'!$D$17="Type 4 k",MAX(N48,1.01*Q48),IF('Pre-Calculation'!$D$17="Type 4 m",MAX(105%*Q48,SA+N48),IF('Pre-Calculation'!$D$17="Type 4 o",MAX(SA,105%*Q48)+X48+Z48,IF('Pre-Calculation'!$D$17="Type 5",0))))))))))))</f>
        <v>1080518.198</v>
      </c>
      <c r="Q48" s="175">
        <f t="shared" si="5"/>
        <v>900000</v>
      </c>
      <c r="R48" s="119">
        <f>L48*(1+GROWTH_RATE)*FMC</f>
        <v>1220.368054</v>
      </c>
      <c r="S48" s="178">
        <f>S47*(1+'Pre-Calculation'!$E$27)</f>
        <v>733169.8224</v>
      </c>
      <c r="T48" s="175">
        <f>-E48+IF(A47=INPUT!$C$11*12,N48,0)</f>
        <v>0</v>
      </c>
      <c r="U48" s="175">
        <f t="shared" si="6"/>
        <v>1109223.571</v>
      </c>
      <c r="V48" s="175">
        <f>U48*(1+GROWTH_RATE_L)*(1-'Pre-Calculation'!$E$31)</f>
        <v>1111001.616</v>
      </c>
      <c r="W48" s="175">
        <f>-E48+IF(A47=INPUT!$C$11*12,V48,0)</f>
        <v>0</v>
      </c>
      <c r="X48" s="179">
        <f t="array" ref="X48">NPV('Pre-Calculation'!$E$20,$E49:E$246)</f>
        <v>96130.11526</v>
      </c>
      <c r="Y48" s="171">
        <f>10%*SA</f>
        <v>100000</v>
      </c>
      <c r="Z48" s="179">
        <f t="array" ref="Z48">NPV('Pre-Calculation'!$E$20,Y49:Y58)</f>
        <v>969592.8037</v>
      </c>
    </row>
    <row r="49" ht="15.75" customHeight="1">
      <c r="A49" s="171">
        <f t="shared" si="1"/>
        <v>103</v>
      </c>
      <c r="B49" s="171">
        <f t="shared" si="2"/>
        <v>9</v>
      </c>
      <c r="C49" s="176">
        <f>EDATE(RCD,A48)</f>
        <v>45656</v>
      </c>
      <c r="D49" s="171">
        <f>Age_At_Entry+'Cashflows_4%'!B49-1</f>
        <v>43</v>
      </c>
      <c r="E49" s="175">
        <f>IF(AND(C49&lt;=Last_Prem,MOD(A48,Mode)=0,C49&gt;INPUT!$C$13,A49&lt;=Revival!$C$11),Mod_Prem,0)</f>
        <v>0</v>
      </c>
      <c r="F49" s="177">
        <f>IF(B49&lt;PT+1,E49*VLOOKUP(B49,'Pre-Calculation'!$H$1:$I$31,2,FALSE),0)</f>
        <v>0</v>
      </c>
      <c r="G49" s="177">
        <f>IF(B49&lt;PT+1,VLOOKUP(B49,'Pre-Calculation'!$H$1:$L$32,3,FALSE)+VLOOKUP(B49,'Pre-Calculation'!$H$1:$L$32,4,FALSE)*'Pre-Calculation'!$D$7,0)</f>
        <v>830</v>
      </c>
      <c r="H49" s="175">
        <f>(E49-(F49+G49)*(1+Tax)+N48)</f>
        <v>1079538.798</v>
      </c>
      <c r="I49" s="175">
        <f>IF(B49&lt;PT+1,VLOOKUP(D49,'Pre-Calculation'!$N$3:$P$79,IF(INPUT!$C$4="M",2,3),FALSE)*(J49/1000)*(1/12),0)</f>
        <v>0</v>
      </c>
      <c r="J49" s="175">
        <f t="shared" si="3"/>
        <v>0</v>
      </c>
      <c r="K49" s="175">
        <f>(IF('Pre-Calculation'!$D$17="Type 4 a",MAX(SA,H49,1.05*Q49),IF('Pre-Calculation'!$D$17="Type 4 c",H49,IF('Pre-Calculation'!$D$17="Type 4 d",SA+H49,IF('Pre-Calculation'!$D$17="Type 4 e",MAX(SA,H49),IF('Pre-Calculation'!$D$17="Type 4 f",SA,IF('Pre-Calculation'!$D$17="Type 4 g",1000+H49,IF('Pre-Calculation'!$D$17="Type 4 h",SA+X49,IF('Pre-Calculation'!$D$17="Type 4 i",MAX(H49,Q49),IF('Pre-Calculation'!$D$17="Type 4 k",MAX(H49,1.01*Q49),IF('Pre-Calculation'!$D$17="Type 4 m",MAX(105%*Q49,SA+H49),IF('Pre-Calculation'!$D$17="Type 4 o",MAX(SA,105%*Q49)+X49+Z49,IF('Pre-Calculation'!$D$17="Type 5",0)))))))))))))*IF(AND(A49&lt;Revival!$C$4,C49&gt;=Revival!$D$12),PUP,1)</f>
        <v>1079538.798</v>
      </c>
      <c r="L49" s="175">
        <f>H49-I49*(1+Tax)</f>
        <v>1079538.798</v>
      </c>
      <c r="M49" s="175">
        <f>L49*(1+GROWTH_RATE_L)*(1-FMC*(1+Tax))</f>
        <v>1081635.93</v>
      </c>
      <c r="N49" s="175">
        <f>M49+IF(MOD(A49,B49)=0,VLOOKUP(B49,'Pre-Calculation'!$H$1:$L$31,5,FALSE),0)*IF('Pre-Calculation'!$D$16="% OF FV",M49,IF(OR('Pre-Calculation'!$D$16="% OF AFV(24M)",'Pre-Calculation'!$D$16="% OF AFV(8Q)"),AVERAGE( $M26:$M49),IF('Pre-Calculation'!$D$16="% OF AFV(12M)",AVERAGE($M38:M49),IF('Pre-Calculation'!$D$16="% OF AFV(36M)",AVERAGE($M14:M49)))))</f>
        <v>1081635.93</v>
      </c>
      <c r="O49" s="175">
        <f t="shared" si="4"/>
        <v>1081635.93</v>
      </c>
      <c r="P49" s="175">
        <f>IF('Pre-Calculation'!$D$17="Type 4 a",MAX(SA,N49,1.05*Q49),IF('Pre-Calculation'!$D$17="Type 4 c",N49,IF('Pre-Calculation'!$D$17="Type 4 d",SA+N49,IF('Pre-Calculation'!$D$17="Type 4 e",MAX(SA,N49),IF('Pre-Calculation'!$D$17="Type 4 f",SA,IF('Pre-Calculation'!$D$17="Type 4 g",1000+N49,IF('Pre-Calculation'!$D$17="Type 4 h",SA+X49,IF('Pre-Calculation'!$D$17="Type 4 i",MAX(N49,Q49),IF('Pre-Calculation'!$D$17="Type 4 k",MAX(N49,1.01*Q49),IF('Pre-Calculation'!$D$17="Type 4 m",MAX(105%*Q49,SA+N49),IF('Pre-Calculation'!$D$17="Type 4 o",MAX(SA,105%*Q49)+X49+Z49,IF('Pre-Calculation'!$D$17="Type 5",0))))))))))))</f>
        <v>1081635.93</v>
      </c>
      <c r="Q49" s="175">
        <f t="shared" si="5"/>
        <v>900000</v>
      </c>
      <c r="R49" s="119">
        <f>L49*(1+GROWTH_RATE)*FMC</f>
        <v>1221.630452</v>
      </c>
      <c r="S49" s="178">
        <f>S48*(1+'Pre-Calculation'!$E$27)</f>
        <v>735274.6787</v>
      </c>
      <c r="T49" s="175">
        <f>-E49+IF(A48=INPUT!$C$11*12,N49,0)</f>
        <v>0</v>
      </c>
      <c r="U49" s="175">
        <f t="shared" si="6"/>
        <v>1111001.616</v>
      </c>
      <c r="V49" s="175">
        <f>U49*(1+GROWTH_RATE_L)*(1-'Pre-Calculation'!$E$31)</f>
        <v>1112782.511</v>
      </c>
      <c r="W49" s="175">
        <f>-E49+IF(A48=INPUT!$C$11*12,V49,0)</f>
        <v>0</v>
      </c>
      <c r="X49" s="179">
        <f t="array" ref="X49">NPV('Pre-Calculation'!$E$20,$E50:E$246)</f>
        <v>96673.6489</v>
      </c>
      <c r="Y49" s="171">
        <f>10%*SA</f>
        <v>100000</v>
      </c>
      <c r="Z49" s="179">
        <f t="array" ref="Z49">NPV('Pre-Calculation'!$E$20,Y50:Y59)</f>
        <v>969592.8037</v>
      </c>
    </row>
    <row r="50" ht="15.75" customHeight="1">
      <c r="A50" s="171">
        <f t="shared" si="1"/>
        <v>104</v>
      </c>
      <c r="B50" s="171">
        <f t="shared" si="2"/>
        <v>9</v>
      </c>
      <c r="C50" s="176">
        <f>EDATE(RCD,A49)</f>
        <v>45687</v>
      </c>
      <c r="D50" s="171">
        <f>Age_At_Entry+'Cashflows_4%'!B50-1</f>
        <v>43</v>
      </c>
      <c r="E50" s="175">
        <f>IF(AND(C50&lt;=Last_Prem,MOD(A49,Mode)=0,C50&gt;INPUT!$C$13,A50&lt;=Revival!$C$11),Mod_Prem,0)</f>
        <v>0</v>
      </c>
      <c r="F50" s="177">
        <f>IF(B50&lt;PT+1,E50*VLOOKUP(B50,'Pre-Calculation'!$H$1:$I$31,2,FALSE),0)</f>
        <v>0</v>
      </c>
      <c r="G50" s="177">
        <f>IF(B50&lt;PT+1,VLOOKUP(B50,'Pre-Calculation'!$H$1:$L$32,3,FALSE)+VLOOKUP(B50,'Pre-Calculation'!$H$1:$L$32,4,FALSE)*'Pre-Calculation'!$D$7,0)</f>
        <v>830</v>
      </c>
      <c r="H50" s="175">
        <f>(E50-(F50+G50)*(1+Tax)+N49)</f>
        <v>1080656.53</v>
      </c>
      <c r="I50" s="175">
        <f>IF(B50&lt;PT+1,VLOOKUP(D50,'Pre-Calculation'!$N$3:$P$79,IF(INPUT!$C$4="M",2,3),FALSE)*(J50/1000)*(1/12),0)</f>
        <v>0</v>
      </c>
      <c r="J50" s="175">
        <f t="shared" si="3"/>
        <v>0</v>
      </c>
      <c r="K50" s="175">
        <f>(IF('Pre-Calculation'!$D$17="Type 4 a",MAX(SA,H50,1.05*Q50),IF('Pre-Calculation'!$D$17="Type 4 c",H50,IF('Pre-Calculation'!$D$17="Type 4 d",SA+H50,IF('Pre-Calculation'!$D$17="Type 4 e",MAX(SA,H50),IF('Pre-Calculation'!$D$17="Type 4 f",SA,IF('Pre-Calculation'!$D$17="Type 4 g",1000+H50,IF('Pre-Calculation'!$D$17="Type 4 h",SA+X50,IF('Pre-Calculation'!$D$17="Type 4 i",MAX(H50,Q50),IF('Pre-Calculation'!$D$17="Type 4 k",MAX(H50,1.01*Q50),IF('Pre-Calculation'!$D$17="Type 4 m",MAX(105%*Q50,SA+H50),IF('Pre-Calculation'!$D$17="Type 4 o",MAX(SA,105%*Q50)+X50+Z50,IF('Pre-Calculation'!$D$17="Type 5",0)))))))))))))*IF(AND(A50&lt;Revival!$C$4,C50&gt;=Revival!$D$12),PUP,1)</f>
        <v>1080656.53</v>
      </c>
      <c r="L50" s="175">
        <f>H50-I50*(1+Tax)</f>
        <v>1080656.53</v>
      </c>
      <c r="M50" s="175">
        <f>L50*(1+GROWTH_RATE_L)*(1-FMC*(1+Tax))</f>
        <v>1082755.833</v>
      </c>
      <c r="N50" s="175">
        <f>M50+IF(MOD(A50,B50)=0,VLOOKUP(B50,'Pre-Calculation'!$H$1:$L$31,5,FALSE),0)*IF('Pre-Calculation'!$D$16="% OF FV",M50,IF(OR('Pre-Calculation'!$D$16="% OF AFV(24M)",'Pre-Calculation'!$D$16="% OF AFV(8Q)"),AVERAGE( $M27:$M50),IF('Pre-Calculation'!$D$16="% OF AFV(12M)",AVERAGE($M39:M50),IF('Pre-Calculation'!$D$16="% OF AFV(36M)",AVERAGE($M15:M50)))))</f>
        <v>1082755.833</v>
      </c>
      <c r="O50" s="175">
        <f t="shared" si="4"/>
        <v>1082755.833</v>
      </c>
      <c r="P50" s="175">
        <f>IF('Pre-Calculation'!$D$17="Type 4 a",MAX(SA,N50,1.05*Q50),IF('Pre-Calculation'!$D$17="Type 4 c",N50,IF('Pre-Calculation'!$D$17="Type 4 d",SA+N50,IF('Pre-Calculation'!$D$17="Type 4 e",MAX(SA,N50),IF('Pre-Calculation'!$D$17="Type 4 f",SA,IF('Pre-Calculation'!$D$17="Type 4 g",1000+N50,IF('Pre-Calculation'!$D$17="Type 4 h",SA+X50,IF('Pre-Calculation'!$D$17="Type 4 i",MAX(N50,Q50),IF('Pre-Calculation'!$D$17="Type 4 k",MAX(N50,1.01*Q50),IF('Pre-Calculation'!$D$17="Type 4 m",MAX(105%*Q50,SA+N50),IF('Pre-Calculation'!$D$17="Type 4 o",MAX(SA,105%*Q50)+X50+Z50,IF('Pre-Calculation'!$D$17="Type 5",0))))))))))))</f>
        <v>1082755.833</v>
      </c>
      <c r="Q50" s="175">
        <f t="shared" si="5"/>
        <v>900000</v>
      </c>
      <c r="R50" s="119">
        <f>L50*(1+GROWTH_RATE)*FMC</f>
        <v>1222.895302</v>
      </c>
      <c r="S50" s="178">
        <f>S49*(1+'Pre-Calculation'!$E$27)</f>
        <v>737385.5779</v>
      </c>
      <c r="T50" s="175">
        <f>-E50+IF(A49=INPUT!$C$11*12,N50,0)</f>
        <v>0</v>
      </c>
      <c r="U50" s="175">
        <f t="shared" si="6"/>
        <v>1112782.511</v>
      </c>
      <c r="V50" s="175">
        <f>U50*(1+GROWTH_RATE_L)*(1-'Pre-Calculation'!$E$31)</f>
        <v>1114566.261</v>
      </c>
      <c r="W50" s="175">
        <f>-E50+IF(A49=INPUT!$C$11*12,V50,0)</f>
        <v>0</v>
      </c>
      <c r="X50" s="179">
        <f t="array" ref="X50">NPV('Pre-Calculation'!$E$20,$E51:E$246)</f>
        <v>97220.25577</v>
      </c>
      <c r="Y50" s="171">
        <f>10%*SA</f>
        <v>100000</v>
      </c>
      <c r="Z50" s="179">
        <f t="array" ref="Z50">NPV('Pre-Calculation'!$E$20,Y51:Y60)</f>
        <v>969592.8037</v>
      </c>
    </row>
    <row r="51" ht="15.75" customHeight="1">
      <c r="A51" s="171">
        <f t="shared" si="1"/>
        <v>105</v>
      </c>
      <c r="B51" s="171">
        <f t="shared" si="2"/>
        <v>9</v>
      </c>
      <c r="C51" s="176">
        <f>EDATE(RCD,A50)</f>
        <v>45716</v>
      </c>
      <c r="D51" s="171">
        <f>Age_At_Entry+'Cashflows_4%'!B51-1</f>
        <v>43</v>
      </c>
      <c r="E51" s="175">
        <f>IF(AND(C51&lt;=Last_Prem,MOD(A50,Mode)=0,C51&gt;INPUT!$C$13,A51&lt;=Revival!$C$11),Mod_Prem,0)</f>
        <v>0</v>
      </c>
      <c r="F51" s="177">
        <f>IF(B51&lt;PT+1,E51*VLOOKUP(B51,'Pre-Calculation'!$H$1:$I$31,2,FALSE),0)</f>
        <v>0</v>
      </c>
      <c r="G51" s="177">
        <f>IF(B51&lt;PT+1,VLOOKUP(B51,'Pre-Calculation'!$H$1:$L$32,3,FALSE)+VLOOKUP(B51,'Pre-Calculation'!$H$1:$L$32,4,FALSE)*'Pre-Calculation'!$D$7,0)</f>
        <v>830</v>
      </c>
      <c r="H51" s="175">
        <f>(E51-(F51+G51)*(1+Tax)+N50)</f>
        <v>1081776.433</v>
      </c>
      <c r="I51" s="175">
        <f>IF(B51&lt;PT+1,VLOOKUP(D51,'Pre-Calculation'!$N$3:$P$79,IF(INPUT!$C$4="M",2,3),FALSE)*(J51/1000)*(1/12),0)</f>
        <v>0</v>
      </c>
      <c r="J51" s="175">
        <f t="shared" si="3"/>
        <v>0</v>
      </c>
      <c r="K51" s="175">
        <f>(IF('Pre-Calculation'!$D$17="Type 4 a",MAX(SA,H51,1.05*Q51),IF('Pre-Calculation'!$D$17="Type 4 c",H51,IF('Pre-Calculation'!$D$17="Type 4 d",SA+H51,IF('Pre-Calculation'!$D$17="Type 4 e",MAX(SA,H51),IF('Pre-Calculation'!$D$17="Type 4 f",SA,IF('Pre-Calculation'!$D$17="Type 4 g",1000+H51,IF('Pre-Calculation'!$D$17="Type 4 h",SA+X51,IF('Pre-Calculation'!$D$17="Type 4 i",MAX(H51,Q51),IF('Pre-Calculation'!$D$17="Type 4 k",MAX(H51,1.01*Q51),IF('Pre-Calculation'!$D$17="Type 4 m",MAX(105%*Q51,SA+H51),IF('Pre-Calculation'!$D$17="Type 4 o",MAX(SA,105%*Q51)+X51+Z51,IF('Pre-Calculation'!$D$17="Type 5",0)))))))))))))*IF(AND(A51&lt;Revival!$C$4,C51&gt;=Revival!$D$12),PUP,1)</f>
        <v>1081776.433</v>
      </c>
      <c r="L51" s="175">
        <f>H51-I51*(1+Tax)</f>
        <v>1081776.433</v>
      </c>
      <c r="M51" s="175">
        <f>L51*(1+GROWTH_RATE_L)*(1-FMC*(1+Tax))</f>
        <v>1083877.911</v>
      </c>
      <c r="N51" s="175">
        <f>M51+IF(MOD(A51,B51)=0,VLOOKUP(B51,'Pre-Calculation'!$H$1:$L$31,5,FALSE),0)*IF('Pre-Calculation'!$D$16="% OF FV",M51,IF(OR('Pre-Calculation'!$D$16="% OF AFV(24M)",'Pre-Calculation'!$D$16="% OF AFV(8Q)"),AVERAGE( $M28:$M51),IF('Pre-Calculation'!$D$16="% OF AFV(12M)",AVERAGE($M40:M51),IF('Pre-Calculation'!$D$16="% OF AFV(36M)",AVERAGE($M16:M51)))))</f>
        <v>1083877.911</v>
      </c>
      <c r="O51" s="175">
        <f t="shared" si="4"/>
        <v>1083877.911</v>
      </c>
      <c r="P51" s="175">
        <f>IF('Pre-Calculation'!$D$17="Type 4 a",MAX(SA,N51,1.05*Q51),IF('Pre-Calculation'!$D$17="Type 4 c",N51,IF('Pre-Calculation'!$D$17="Type 4 d",SA+N51,IF('Pre-Calculation'!$D$17="Type 4 e",MAX(SA,N51),IF('Pre-Calculation'!$D$17="Type 4 f",SA,IF('Pre-Calculation'!$D$17="Type 4 g",1000+N51,IF('Pre-Calculation'!$D$17="Type 4 h",SA+X51,IF('Pre-Calculation'!$D$17="Type 4 i",MAX(N51,Q51),IF('Pre-Calculation'!$D$17="Type 4 k",MAX(N51,1.01*Q51),IF('Pre-Calculation'!$D$17="Type 4 m",MAX(105%*Q51,SA+N51),IF('Pre-Calculation'!$D$17="Type 4 o",MAX(SA,105%*Q51)+X51+Z51,IF('Pre-Calculation'!$D$17="Type 5",0))))))))))))</f>
        <v>1083877.911</v>
      </c>
      <c r="Q51" s="175">
        <f t="shared" si="5"/>
        <v>900000</v>
      </c>
      <c r="R51" s="119">
        <f>L51*(1+GROWTH_RATE)*FMC</f>
        <v>1224.16261</v>
      </c>
      <c r="S51" s="178">
        <f>S50*(1+'Pre-Calculation'!$E$27)</f>
        <v>739502.5372</v>
      </c>
      <c r="T51" s="175">
        <f>-E51+IF(A50=INPUT!$C$11*12,N51,0)</f>
        <v>0</v>
      </c>
      <c r="U51" s="175">
        <f t="shared" si="6"/>
        <v>1114566.261</v>
      </c>
      <c r="V51" s="175">
        <f>U51*(1+GROWTH_RATE_L)*(1-'Pre-Calculation'!$E$31)</f>
        <v>1116352.871</v>
      </c>
      <c r="W51" s="175">
        <f>-E51+IF(A50=INPUT!$C$11*12,V51,0)</f>
        <v>0</v>
      </c>
      <c r="X51" s="179">
        <f t="array" ref="X51">NPV('Pre-Calculation'!$E$20,$E52:E$246)</f>
        <v>97769.95323</v>
      </c>
      <c r="Y51" s="171">
        <f>10%*SA</f>
        <v>100000</v>
      </c>
      <c r="Z51" s="179">
        <f t="array" ref="Z51">NPV('Pre-Calculation'!$E$20,Y52:Y61)</f>
        <v>969592.8037</v>
      </c>
    </row>
    <row r="52" ht="15.75" customHeight="1">
      <c r="A52" s="171">
        <f t="shared" si="1"/>
        <v>106</v>
      </c>
      <c r="B52" s="171">
        <f t="shared" si="2"/>
        <v>9</v>
      </c>
      <c r="C52" s="176">
        <f>EDATE(RCD,A51)</f>
        <v>45746</v>
      </c>
      <c r="D52" s="171">
        <f>Age_At_Entry+'Cashflows_4%'!B52-1</f>
        <v>43</v>
      </c>
      <c r="E52" s="175">
        <f>IF(AND(C52&lt;=Last_Prem,MOD(A51,Mode)=0,C52&gt;INPUT!$C$13,A52&lt;=Revival!$C$11),Mod_Prem,0)</f>
        <v>0</v>
      </c>
      <c r="F52" s="177">
        <f>IF(B52&lt;PT+1,E52*VLOOKUP(B52,'Pre-Calculation'!$H$1:$I$31,2,FALSE),0)</f>
        <v>0</v>
      </c>
      <c r="G52" s="177">
        <f>IF(B52&lt;PT+1,VLOOKUP(B52,'Pre-Calculation'!$H$1:$L$32,3,FALSE)+VLOOKUP(B52,'Pre-Calculation'!$H$1:$L$32,4,FALSE)*'Pre-Calculation'!$D$7,0)</f>
        <v>830</v>
      </c>
      <c r="H52" s="175">
        <f>(E52-(F52+G52)*(1+Tax)+N51)</f>
        <v>1082898.511</v>
      </c>
      <c r="I52" s="175">
        <f>IF(B52&lt;PT+1,VLOOKUP(D52,'Pre-Calculation'!$N$3:$P$79,IF(INPUT!$C$4="M",2,3),FALSE)*(J52/1000)*(1/12),0)</f>
        <v>0</v>
      </c>
      <c r="J52" s="175">
        <f t="shared" si="3"/>
        <v>0</v>
      </c>
      <c r="K52" s="175">
        <f>(IF('Pre-Calculation'!$D$17="Type 4 a",MAX(SA,H52,1.05*Q52),IF('Pre-Calculation'!$D$17="Type 4 c",H52,IF('Pre-Calculation'!$D$17="Type 4 d",SA+H52,IF('Pre-Calculation'!$D$17="Type 4 e",MAX(SA,H52),IF('Pre-Calculation'!$D$17="Type 4 f",SA,IF('Pre-Calculation'!$D$17="Type 4 g",1000+H52,IF('Pre-Calculation'!$D$17="Type 4 h",SA+X52,IF('Pre-Calculation'!$D$17="Type 4 i",MAX(H52,Q52),IF('Pre-Calculation'!$D$17="Type 4 k",MAX(H52,1.01*Q52),IF('Pre-Calculation'!$D$17="Type 4 m",MAX(105%*Q52,SA+H52),IF('Pre-Calculation'!$D$17="Type 4 o",MAX(SA,105%*Q52)+X52+Z52,IF('Pre-Calculation'!$D$17="Type 5",0)))))))))))))*IF(AND(A52&lt;Revival!$C$4,C52&gt;=Revival!$D$12),PUP,1)</f>
        <v>1082898.511</v>
      </c>
      <c r="L52" s="175">
        <f>H52-I52*(1+Tax)</f>
        <v>1082898.511</v>
      </c>
      <c r="M52" s="175">
        <f>L52*(1+GROWTH_RATE_L)*(1-FMC*(1+Tax))</f>
        <v>1085002.17</v>
      </c>
      <c r="N52" s="175">
        <f>M52+IF(MOD(A52,B52)=0,VLOOKUP(B52,'Pre-Calculation'!$H$1:$L$31,5,FALSE),0)*IF('Pre-Calculation'!$D$16="% OF FV",M52,IF(OR('Pre-Calculation'!$D$16="% OF AFV(24M)",'Pre-Calculation'!$D$16="% OF AFV(8Q)"),AVERAGE( $M29:$M52),IF('Pre-Calculation'!$D$16="% OF AFV(12M)",AVERAGE($M41:M52),IF('Pre-Calculation'!$D$16="% OF AFV(36M)",AVERAGE($M17:M52)))))</f>
        <v>1085002.17</v>
      </c>
      <c r="O52" s="175">
        <f t="shared" si="4"/>
        <v>1085002.17</v>
      </c>
      <c r="P52" s="175">
        <f>IF('Pre-Calculation'!$D$17="Type 4 a",MAX(SA,N52,1.05*Q52),IF('Pre-Calculation'!$D$17="Type 4 c",N52,IF('Pre-Calculation'!$D$17="Type 4 d",SA+N52,IF('Pre-Calculation'!$D$17="Type 4 e",MAX(SA,N52),IF('Pre-Calculation'!$D$17="Type 4 f",SA,IF('Pre-Calculation'!$D$17="Type 4 g",1000+N52,IF('Pre-Calculation'!$D$17="Type 4 h",SA+X52,IF('Pre-Calculation'!$D$17="Type 4 i",MAX(N52,Q52),IF('Pre-Calculation'!$D$17="Type 4 k",MAX(N52,1.01*Q52),IF('Pre-Calculation'!$D$17="Type 4 m",MAX(105%*Q52,SA+N52),IF('Pre-Calculation'!$D$17="Type 4 o",MAX(SA,105%*Q52)+X52+Z52,IF('Pre-Calculation'!$D$17="Type 5",0))))))))))))</f>
        <v>1085002.17</v>
      </c>
      <c r="Q52" s="175">
        <f t="shared" si="5"/>
        <v>900000</v>
      </c>
      <c r="R52" s="119">
        <f>L52*(1+GROWTH_RATE)*FMC</f>
        <v>1225.432379</v>
      </c>
      <c r="S52" s="178">
        <f>S51*(1+'Pre-Calculation'!$E$27)</f>
        <v>741625.5741</v>
      </c>
      <c r="T52" s="175">
        <f>-E52+IF(A51=INPUT!$C$11*12,N52,0)</f>
        <v>0</v>
      </c>
      <c r="U52" s="175">
        <f t="shared" si="6"/>
        <v>1116352.871</v>
      </c>
      <c r="V52" s="175">
        <f>U52*(1+GROWTH_RATE_L)*(1-'Pre-Calculation'!$E$31)</f>
        <v>1118142.344</v>
      </c>
      <c r="W52" s="175">
        <f>-E52+IF(A51=INPUT!$C$11*12,V52,0)</f>
        <v>0</v>
      </c>
      <c r="X52" s="179">
        <f t="array" ref="X52">NPV('Pre-Calculation'!$E$20,$E53:E$246)</f>
        <v>98322.75876</v>
      </c>
      <c r="Y52" s="171">
        <f>10%*SA</f>
        <v>100000</v>
      </c>
      <c r="Z52" s="179">
        <f t="array" ref="Z52">NPV('Pre-Calculation'!$E$20,Y53:Y62)</f>
        <v>969592.8037</v>
      </c>
    </row>
    <row r="53" ht="15.75" customHeight="1">
      <c r="A53" s="171">
        <f t="shared" si="1"/>
        <v>107</v>
      </c>
      <c r="B53" s="171">
        <f t="shared" si="2"/>
        <v>9</v>
      </c>
      <c r="C53" s="176">
        <f>EDATE(RCD,A52)</f>
        <v>45777</v>
      </c>
      <c r="D53" s="171">
        <f>Age_At_Entry+'Cashflows_4%'!B53-1</f>
        <v>43</v>
      </c>
      <c r="E53" s="175">
        <f>IF(AND(C53&lt;=Last_Prem,MOD(A52,Mode)=0,C53&gt;INPUT!$C$13,A53&lt;=Revival!$C$11),Mod_Prem,0)</f>
        <v>0</v>
      </c>
      <c r="F53" s="177">
        <f>IF(B53&lt;PT+1,E53*VLOOKUP(B53,'Pre-Calculation'!$H$1:$I$31,2,FALSE),0)</f>
        <v>0</v>
      </c>
      <c r="G53" s="177">
        <f>IF(B53&lt;PT+1,VLOOKUP(B53,'Pre-Calculation'!$H$1:$L$32,3,FALSE)+VLOOKUP(B53,'Pre-Calculation'!$H$1:$L$32,4,FALSE)*'Pre-Calculation'!$D$7,0)</f>
        <v>830</v>
      </c>
      <c r="H53" s="175">
        <f>(E53-(F53+G53)*(1+Tax)+N52)</f>
        <v>1084022.77</v>
      </c>
      <c r="I53" s="175">
        <f>IF(B53&lt;PT+1,VLOOKUP(D53,'Pre-Calculation'!$N$3:$P$79,IF(INPUT!$C$4="M",2,3),FALSE)*(J53/1000)*(1/12),0)</f>
        <v>0</v>
      </c>
      <c r="J53" s="175">
        <f t="shared" si="3"/>
        <v>0</v>
      </c>
      <c r="K53" s="175">
        <f>(IF('Pre-Calculation'!$D$17="Type 4 a",MAX(SA,H53,1.05*Q53),IF('Pre-Calculation'!$D$17="Type 4 c",H53,IF('Pre-Calculation'!$D$17="Type 4 d",SA+H53,IF('Pre-Calculation'!$D$17="Type 4 e",MAX(SA,H53),IF('Pre-Calculation'!$D$17="Type 4 f",SA,IF('Pre-Calculation'!$D$17="Type 4 g",1000+H53,IF('Pre-Calculation'!$D$17="Type 4 h",SA+X53,IF('Pre-Calculation'!$D$17="Type 4 i",MAX(H53,Q53),IF('Pre-Calculation'!$D$17="Type 4 k",MAX(H53,1.01*Q53),IF('Pre-Calculation'!$D$17="Type 4 m",MAX(105%*Q53,SA+H53),IF('Pre-Calculation'!$D$17="Type 4 o",MAX(SA,105%*Q53)+X53+Z53,IF('Pre-Calculation'!$D$17="Type 5",0)))))))))))))*IF(AND(A53&lt;Revival!$C$4,C53&gt;=Revival!$D$12),PUP,1)</f>
        <v>1084022.77</v>
      </c>
      <c r="L53" s="175">
        <f>H53-I53*(1+Tax)</f>
        <v>1084022.77</v>
      </c>
      <c r="M53" s="175">
        <f>L53*(1+GROWTH_RATE_L)*(1-FMC*(1+Tax))</f>
        <v>1086128.612</v>
      </c>
      <c r="N53" s="175">
        <f>M53+IF(MOD(A53,B53)=0,VLOOKUP(B53,'Pre-Calculation'!$H$1:$L$31,5,FALSE),0)*IF('Pre-Calculation'!$D$16="% OF FV",M53,IF(OR('Pre-Calculation'!$D$16="% OF AFV(24M)",'Pre-Calculation'!$D$16="% OF AFV(8Q)"),AVERAGE( $M30:$M53),IF('Pre-Calculation'!$D$16="% OF AFV(12M)",AVERAGE($M42:M53),IF('Pre-Calculation'!$D$16="% OF AFV(36M)",AVERAGE($M18:M53)))))</f>
        <v>1086128.612</v>
      </c>
      <c r="O53" s="175">
        <f t="shared" si="4"/>
        <v>1086128.612</v>
      </c>
      <c r="P53" s="175">
        <f>IF('Pre-Calculation'!$D$17="Type 4 a",MAX(SA,N53,1.05*Q53),IF('Pre-Calculation'!$D$17="Type 4 c",N53,IF('Pre-Calculation'!$D$17="Type 4 d",SA+N53,IF('Pre-Calculation'!$D$17="Type 4 e",MAX(SA,N53),IF('Pre-Calculation'!$D$17="Type 4 f",SA,IF('Pre-Calculation'!$D$17="Type 4 g",1000+N53,IF('Pre-Calculation'!$D$17="Type 4 h",SA+X53,IF('Pre-Calculation'!$D$17="Type 4 i",MAX(N53,Q53),IF('Pre-Calculation'!$D$17="Type 4 k",MAX(N53,1.01*Q53),IF('Pre-Calculation'!$D$17="Type 4 m",MAX(105%*Q53,SA+N53),IF('Pre-Calculation'!$D$17="Type 4 o",MAX(SA,105%*Q53)+X53+Z53,IF('Pre-Calculation'!$D$17="Type 5",0))))))))))))</f>
        <v>1086128.612</v>
      </c>
      <c r="Q53" s="175">
        <f t="shared" si="5"/>
        <v>900000</v>
      </c>
      <c r="R53" s="119">
        <f>L53*(1+GROWTH_RATE)*FMC</f>
        <v>1226.704615</v>
      </c>
      <c r="S53" s="178">
        <f>S52*(1+'Pre-Calculation'!$E$27)</f>
        <v>743754.706</v>
      </c>
      <c r="T53" s="175">
        <f>-E53+IF(A52=INPUT!$C$11*12,N53,0)</f>
        <v>0</v>
      </c>
      <c r="U53" s="175">
        <f t="shared" si="6"/>
        <v>1118142.344</v>
      </c>
      <c r="V53" s="175">
        <f>U53*(1+GROWTH_RATE_L)*(1-'Pre-Calculation'!$E$31)</f>
        <v>1119934.686</v>
      </c>
      <c r="W53" s="175">
        <f>-E53+IF(A52=INPUT!$C$11*12,V53,0)</f>
        <v>0</v>
      </c>
      <c r="X53" s="179">
        <f t="array" ref="X53">NPV('Pre-Calculation'!$E$20,$E54:E$246)</f>
        <v>98878.68993</v>
      </c>
      <c r="Y53" s="171">
        <f>10%*SA</f>
        <v>100000</v>
      </c>
      <c r="Z53" s="179">
        <f t="array" ref="Z53">NPV('Pre-Calculation'!$E$20,Y54:Y63)</f>
        <v>969592.8037</v>
      </c>
    </row>
    <row r="54" ht="15.75" customHeight="1">
      <c r="A54" s="171">
        <f t="shared" si="1"/>
        <v>108</v>
      </c>
      <c r="B54" s="171">
        <f t="shared" si="2"/>
        <v>9</v>
      </c>
      <c r="C54" s="176">
        <f>EDATE(RCD,A53)</f>
        <v>45807</v>
      </c>
      <c r="D54" s="171">
        <f>Age_At_Entry+'Cashflows_4%'!B54-1</f>
        <v>43</v>
      </c>
      <c r="E54" s="175">
        <f>IF(AND(C54&lt;=Last_Prem,MOD(A53,Mode)=0,C54&gt;INPUT!$C$13,A54&lt;=Revival!$C$11),Mod_Prem,0)</f>
        <v>0</v>
      </c>
      <c r="F54" s="177">
        <f>IF(B54&lt;PT+1,E54*VLOOKUP(B54,'Pre-Calculation'!$H$1:$I$31,2,FALSE),0)</f>
        <v>0</v>
      </c>
      <c r="G54" s="177">
        <f>IF(B54&lt;PT+1,VLOOKUP(B54,'Pre-Calculation'!$H$1:$L$32,3,FALSE)+VLOOKUP(B54,'Pre-Calculation'!$H$1:$L$32,4,FALSE)*'Pre-Calculation'!$D$7,0)</f>
        <v>830</v>
      </c>
      <c r="H54" s="175">
        <f>(E54-(F54+G54)*(1+Tax)+N53)</f>
        <v>1085149.212</v>
      </c>
      <c r="I54" s="175">
        <f>IF(B54&lt;PT+1,VLOOKUP(D54,'Pre-Calculation'!$N$3:$P$79,IF(INPUT!$C$4="M",2,3),FALSE)*(J54/1000)*(1/12),0)</f>
        <v>0</v>
      </c>
      <c r="J54" s="175">
        <f t="shared" si="3"/>
        <v>0</v>
      </c>
      <c r="K54" s="175">
        <f>(IF('Pre-Calculation'!$D$17="Type 4 a",MAX(SA,H54,1.05*Q54),IF('Pre-Calculation'!$D$17="Type 4 c",H54,IF('Pre-Calculation'!$D$17="Type 4 d",SA+H54,IF('Pre-Calculation'!$D$17="Type 4 e",MAX(SA,H54),IF('Pre-Calculation'!$D$17="Type 4 f",SA,IF('Pre-Calculation'!$D$17="Type 4 g",1000+H54,IF('Pre-Calculation'!$D$17="Type 4 h",SA+X54,IF('Pre-Calculation'!$D$17="Type 4 i",MAX(H54,Q54),IF('Pre-Calculation'!$D$17="Type 4 k",MAX(H54,1.01*Q54),IF('Pre-Calculation'!$D$17="Type 4 m",MAX(105%*Q54,SA+H54),IF('Pre-Calculation'!$D$17="Type 4 o",MAX(SA,105%*Q54)+X54+Z54,IF('Pre-Calculation'!$D$17="Type 5",0)))))))))))))*IF(AND(A54&lt;Revival!$C$4,C54&gt;=Revival!$D$12),PUP,1)</f>
        <v>1085149.212</v>
      </c>
      <c r="L54" s="175">
        <f>H54-I54*(1+Tax)</f>
        <v>1085149.212</v>
      </c>
      <c r="M54" s="175">
        <f>L54*(1+GROWTH_RATE_L)*(1-FMC*(1+Tax))</f>
        <v>1087257.243</v>
      </c>
      <c r="N54" s="175">
        <f>M54+IF(MOD(A54,B54)=0,VLOOKUP(B54,'Pre-Calculation'!$H$1:$L$31,5,FALSE),0)*IF('Pre-Calculation'!$D$16="% OF FV",M54,IF(OR('Pre-Calculation'!$D$16="% OF AFV(24M)",'Pre-Calculation'!$D$16="% OF AFV(8Q)"),AVERAGE( $M31:$M54),IF('Pre-Calculation'!$D$16="% OF AFV(12M)",AVERAGE($M43:M54),IF('Pre-Calculation'!$D$16="% OF AFV(36M)",AVERAGE($M19:M54)))))</f>
        <v>1087257.243</v>
      </c>
      <c r="O54" s="175">
        <f t="shared" si="4"/>
        <v>1087257.243</v>
      </c>
      <c r="P54" s="175">
        <f>IF('Pre-Calculation'!$D$17="Type 4 a",MAX(SA,N54,1.05*Q54),IF('Pre-Calculation'!$D$17="Type 4 c",N54,IF('Pre-Calculation'!$D$17="Type 4 d",SA+N54,IF('Pre-Calculation'!$D$17="Type 4 e",MAX(SA,N54),IF('Pre-Calculation'!$D$17="Type 4 f",SA,IF('Pre-Calculation'!$D$17="Type 4 g",1000+N54,IF('Pre-Calculation'!$D$17="Type 4 h",SA+X54,IF('Pre-Calculation'!$D$17="Type 4 i",MAX(N54,Q54),IF('Pre-Calculation'!$D$17="Type 4 k",MAX(N54,1.01*Q54),IF('Pre-Calculation'!$D$17="Type 4 m",MAX(105%*Q54,SA+N54),IF('Pre-Calculation'!$D$17="Type 4 o",MAX(SA,105%*Q54)+X54+Z54,IF('Pre-Calculation'!$D$17="Type 5",0))))))))))))</f>
        <v>1087257.243</v>
      </c>
      <c r="Q54" s="175">
        <f t="shared" si="5"/>
        <v>900000</v>
      </c>
      <c r="R54" s="119">
        <f>L54*(1+GROWTH_RATE)*FMC</f>
        <v>1227.979323</v>
      </c>
      <c r="S54" s="178">
        <f>S53*(1+'Pre-Calculation'!$E$27)</f>
        <v>745889.9504</v>
      </c>
      <c r="T54" s="175">
        <f>-E54+IF(A53=INPUT!$C$11*12,N54,0)</f>
        <v>0</v>
      </c>
      <c r="U54" s="175">
        <f t="shared" si="6"/>
        <v>1119934.686</v>
      </c>
      <c r="V54" s="175">
        <f>U54*(1+GROWTH_RATE_L)*(1-'Pre-Calculation'!$E$31)</f>
        <v>1121729.9</v>
      </c>
      <c r="W54" s="175">
        <f>-E54+IF(A53=INPUT!$C$11*12,V54,0)</f>
        <v>0</v>
      </c>
      <c r="X54" s="179">
        <f t="array" ref="X54">NPV('Pre-Calculation'!$E$20,$E55:E$246)</f>
        <v>99437.76442</v>
      </c>
      <c r="Y54" s="171">
        <f>10%*SA</f>
        <v>100000</v>
      </c>
      <c r="Z54" s="179">
        <f t="array" ref="Z54">NPV('Pre-Calculation'!$E$20,Y55:Y64)</f>
        <v>969592.8037</v>
      </c>
    </row>
    <row r="55" ht="15.75" customHeight="1">
      <c r="A55" s="171">
        <f t="shared" si="1"/>
        <v>109</v>
      </c>
      <c r="B55" s="171">
        <f t="shared" si="2"/>
        <v>10</v>
      </c>
      <c r="C55" s="176">
        <f>EDATE(RCD,A54)</f>
        <v>45838</v>
      </c>
      <c r="D55" s="171">
        <f>Age_At_Entry+'Cashflows_4%'!B55-1</f>
        <v>44</v>
      </c>
      <c r="E55" s="175">
        <f>IF(AND(C55&lt;=Last_Prem,MOD(A54,Mode)=0,C55&gt;INPUT!$C$13,A55&lt;=Revival!$C$11),Mod_Prem,0)</f>
        <v>100000</v>
      </c>
      <c r="F55" s="177">
        <f>IF(B55&lt;PT+1,E55*VLOOKUP(B55,'Pre-Calculation'!$H$1:$I$31,2,FALSE),0)</f>
        <v>0</v>
      </c>
      <c r="G55" s="177">
        <f>IF(B55&lt;PT+1,VLOOKUP(B55,'Pre-Calculation'!$H$1:$L$32,3,FALSE)+VLOOKUP(B55,'Pre-Calculation'!$H$1:$L$32,4,FALSE)*'Pre-Calculation'!$D$7,0)</f>
        <v>830</v>
      </c>
      <c r="H55" s="175">
        <f>(E55-(F55+G55)*(1+Tax)+N54)</f>
        <v>1186277.843</v>
      </c>
      <c r="I55" s="175">
        <f>IF(B55&lt;PT+1,VLOOKUP(D55,'Pre-Calculation'!$N$3:$P$79,IF(INPUT!$C$4="M",2,3),FALSE)*(J55/1000)*(1/12),0)</f>
        <v>0</v>
      </c>
      <c r="J55" s="175">
        <f t="shared" si="3"/>
        <v>0</v>
      </c>
      <c r="K55" s="175">
        <f>(IF('Pre-Calculation'!$D$17="Type 4 a",MAX(SA,H55,1.05*Q55),IF('Pre-Calculation'!$D$17="Type 4 c",H55,IF('Pre-Calculation'!$D$17="Type 4 d",SA+H55,IF('Pre-Calculation'!$D$17="Type 4 e",MAX(SA,H55),IF('Pre-Calculation'!$D$17="Type 4 f",SA,IF('Pre-Calculation'!$D$17="Type 4 g",1000+H55,IF('Pre-Calculation'!$D$17="Type 4 h",SA+X55,IF('Pre-Calculation'!$D$17="Type 4 i",MAX(H55,Q55),IF('Pre-Calculation'!$D$17="Type 4 k",MAX(H55,1.01*Q55),IF('Pre-Calculation'!$D$17="Type 4 m",MAX(105%*Q55,SA+H55),IF('Pre-Calculation'!$D$17="Type 4 o",MAX(SA,105%*Q55)+X55+Z55,IF('Pre-Calculation'!$D$17="Type 5",0)))))))))))))*IF(AND(A55&lt;Revival!$C$4,C55&gt;=Revival!$D$12),PUP,1)</f>
        <v>1186277.843</v>
      </c>
      <c r="L55" s="175">
        <f>H55-I55*(1+Tax)</f>
        <v>1186277.843</v>
      </c>
      <c r="M55" s="175">
        <f>L55*(1+GROWTH_RATE_L)*(1-FMC*(1+Tax))</f>
        <v>1188582.327</v>
      </c>
      <c r="N55" s="175">
        <f>M55+IF(MOD(A55,B55)=0,VLOOKUP(B55,'Pre-Calculation'!$H$1:$L$31,5,FALSE),0)*IF('Pre-Calculation'!$D$16="% OF FV",M55,IF(OR('Pre-Calculation'!$D$16="% OF AFV(24M)",'Pre-Calculation'!$D$16="% OF AFV(8Q)"),AVERAGE( $M32:$M55),IF('Pre-Calculation'!$D$16="% OF AFV(12M)",AVERAGE($M44:M55),IF('Pre-Calculation'!$D$16="% OF AFV(36M)",AVERAGE($M20:M55)))))</f>
        <v>1188582.327</v>
      </c>
      <c r="O55" s="175">
        <f t="shared" si="4"/>
        <v>1188582.327</v>
      </c>
      <c r="P55" s="175">
        <f>IF('Pre-Calculation'!$D$17="Type 4 a",MAX(SA,N55,1.05*Q55),IF('Pre-Calculation'!$D$17="Type 4 c",N55,IF('Pre-Calculation'!$D$17="Type 4 d",SA+N55,IF('Pre-Calculation'!$D$17="Type 4 e",MAX(SA,N55),IF('Pre-Calculation'!$D$17="Type 4 f",SA,IF('Pre-Calculation'!$D$17="Type 4 g",1000+N55,IF('Pre-Calculation'!$D$17="Type 4 h",SA+X55,IF('Pre-Calculation'!$D$17="Type 4 i",MAX(N55,Q55),IF('Pre-Calculation'!$D$17="Type 4 k",MAX(N55,1.01*Q55),IF('Pre-Calculation'!$D$17="Type 4 m",MAX(105%*Q55,SA+N55),IF('Pre-Calculation'!$D$17="Type 4 o",MAX(SA,105%*Q55)+X55+Z55,IF('Pre-Calculation'!$D$17="Type 5",0))))))))))))</f>
        <v>1188582.327</v>
      </c>
      <c r="Q55" s="175">
        <f t="shared" si="5"/>
        <v>1000000</v>
      </c>
      <c r="R55" s="119">
        <f>L55*(1+GROWTH_RATE)*FMC</f>
        <v>1342.418762</v>
      </c>
      <c r="S55" s="178">
        <f>S54*(1+'Pre-Calculation'!$E$27)</f>
        <v>748031.3249</v>
      </c>
      <c r="T55" s="175">
        <f>-E55+IF(A54=INPUT!$C$11*12,N55,0)</f>
        <v>-100000</v>
      </c>
      <c r="U55" s="175">
        <f t="shared" si="6"/>
        <v>1221729.9</v>
      </c>
      <c r="V55" s="175">
        <f>U55*(1+GROWTH_RATE_L)*(1-'Pre-Calculation'!$E$31)</f>
        <v>1223688.289</v>
      </c>
      <c r="W55" s="175">
        <f>-E55+IF(A54=INPUT!$C$11*12,V55,0)</f>
        <v>-100000</v>
      </c>
      <c r="X55" s="179">
        <f t="array" ref="X55">NPV('Pre-Calculation'!$E$20,$E56:E$246)</f>
        <v>0</v>
      </c>
      <c r="Y55" s="171">
        <f>10%*SA</f>
        <v>100000</v>
      </c>
      <c r="Z55" s="179">
        <f t="array" ref="Z55">NPV('Pre-Calculation'!$E$20,Y56:Y65)</f>
        <v>969592.8037</v>
      </c>
    </row>
    <row r="56" ht="15.75" customHeight="1">
      <c r="A56" s="171">
        <f t="shared" si="1"/>
        <v>110</v>
      </c>
      <c r="B56" s="171">
        <f t="shared" si="2"/>
        <v>10</v>
      </c>
      <c r="C56" s="176">
        <f>EDATE(RCD,A55)</f>
        <v>45868</v>
      </c>
      <c r="D56" s="171">
        <f>Age_At_Entry+'Cashflows_4%'!B56-1</f>
        <v>44</v>
      </c>
      <c r="E56" s="175">
        <f>IF(AND(C56&lt;=Last_Prem,MOD(A55,Mode)=0,C56&gt;INPUT!$C$13,A56&lt;=Revival!$C$11),Mod_Prem,0)</f>
        <v>0</v>
      </c>
      <c r="F56" s="177">
        <f>IF(B56&lt;PT+1,E56*VLOOKUP(B56,'Pre-Calculation'!$H$1:$I$31,2,FALSE),0)</f>
        <v>0</v>
      </c>
      <c r="G56" s="177">
        <f>IF(B56&lt;PT+1,VLOOKUP(B56,'Pre-Calculation'!$H$1:$L$32,3,FALSE)+VLOOKUP(B56,'Pre-Calculation'!$H$1:$L$32,4,FALSE)*'Pre-Calculation'!$D$7,0)</f>
        <v>830</v>
      </c>
      <c r="H56" s="175">
        <f>(E56-(F56+G56)*(1+Tax)+N55)</f>
        <v>1187602.927</v>
      </c>
      <c r="I56" s="175">
        <f>IF(B56&lt;PT+1,VLOOKUP(D56,'Pre-Calculation'!$N$3:$P$79,IF(INPUT!$C$4="M",2,3),FALSE)*(J56/1000)*(1/12),0)</f>
        <v>0</v>
      </c>
      <c r="J56" s="175">
        <f t="shared" si="3"/>
        <v>0</v>
      </c>
      <c r="K56" s="175">
        <f>(IF('Pre-Calculation'!$D$17="Type 4 a",MAX(SA,H56,1.05*Q56),IF('Pre-Calculation'!$D$17="Type 4 c",H56,IF('Pre-Calculation'!$D$17="Type 4 d",SA+H56,IF('Pre-Calculation'!$D$17="Type 4 e",MAX(SA,H56),IF('Pre-Calculation'!$D$17="Type 4 f",SA,IF('Pre-Calculation'!$D$17="Type 4 g",1000+H56,IF('Pre-Calculation'!$D$17="Type 4 h",SA+X56,IF('Pre-Calculation'!$D$17="Type 4 i",MAX(H56,Q56),IF('Pre-Calculation'!$D$17="Type 4 k",MAX(H56,1.01*Q56),IF('Pre-Calculation'!$D$17="Type 4 m",MAX(105%*Q56,SA+H56),IF('Pre-Calculation'!$D$17="Type 4 o",MAX(SA,105%*Q56)+X56+Z56,IF('Pre-Calculation'!$D$17="Type 5",0)))))))))))))*IF(AND(A56&lt;Revival!$C$4,C56&gt;=Revival!$D$12),PUP,1)</f>
        <v>1187602.927</v>
      </c>
      <c r="L56" s="175">
        <f>H56-I56*(1+Tax)</f>
        <v>1187602.927</v>
      </c>
      <c r="M56" s="175">
        <f>L56*(1+GROWTH_RATE_L)*(1-FMC*(1+Tax))</f>
        <v>1189909.986</v>
      </c>
      <c r="N56" s="175">
        <f>M56+IF(MOD(A56,B56)=0,VLOOKUP(B56,'Pre-Calculation'!$H$1:$L$31,5,FALSE),0)*IF('Pre-Calculation'!$D$16="% OF FV",M56,IF(OR('Pre-Calculation'!$D$16="% OF AFV(24M)",'Pre-Calculation'!$D$16="% OF AFV(8Q)"),AVERAGE( $M33:$M56),IF('Pre-Calculation'!$D$16="% OF AFV(12M)",AVERAGE($M45:M56),IF('Pre-Calculation'!$D$16="% OF AFV(36M)",AVERAGE($M21:M56)))))</f>
        <v>1189909.986</v>
      </c>
      <c r="O56" s="175">
        <f t="shared" si="4"/>
        <v>1189909.986</v>
      </c>
      <c r="P56" s="175">
        <f>IF('Pre-Calculation'!$D$17="Type 4 a",MAX(SA,N56,1.05*Q56),IF('Pre-Calculation'!$D$17="Type 4 c",N56,IF('Pre-Calculation'!$D$17="Type 4 d",SA+N56,IF('Pre-Calculation'!$D$17="Type 4 e",MAX(SA,N56),IF('Pre-Calculation'!$D$17="Type 4 f",SA,IF('Pre-Calculation'!$D$17="Type 4 g",1000+N56,IF('Pre-Calculation'!$D$17="Type 4 h",SA+X56,IF('Pre-Calculation'!$D$17="Type 4 i",MAX(N56,Q56),IF('Pre-Calculation'!$D$17="Type 4 k",MAX(N56,1.01*Q56),IF('Pre-Calculation'!$D$17="Type 4 m",MAX(105%*Q56,SA+N56),IF('Pre-Calculation'!$D$17="Type 4 o",MAX(SA,105%*Q56)+X56+Z56,IF('Pre-Calculation'!$D$17="Type 5",0))))))))))))</f>
        <v>1189909.986</v>
      </c>
      <c r="Q56" s="175">
        <f t="shared" si="5"/>
        <v>1000000</v>
      </c>
      <c r="R56" s="119">
        <f>L56*(1+GROWTH_RATE)*FMC</f>
        <v>1343.918258</v>
      </c>
      <c r="S56" s="178">
        <f>S55*(1+'Pre-Calculation'!$E$27)</f>
        <v>750178.8471</v>
      </c>
      <c r="T56" s="175">
        <f>-E56+IF(A55=INPUT!$C$11*12,N56,0)</f>
        <v>0</v>
      </c>
      <c r="U56" s="175">
        <f t="shared" si="6"/>
        <v>1223688.289</v>
      </c>
      <c r="V56" s="175">
        <f>U56*(1+GROWTH_RATE_L)*(1-'Pre-Calculation'!$E$31)</f>
        <v>1225649.817</v>
      </c>
      <c r="W56" s="175">
        <f>-E56+IF(A55=INPUT!$C$11*12,V56,0)</f>
        <v>0</v>
      </c>
      <c r="X56" s="179">
        <f t="array" ref="X56">NPV('Pre-Calculation'!$E$20,$E57:E$246)</f>
        <v>0</v>
      </c>
      <c r="Y56" s="171">
        <f>10%*SA</f>
        <v>100000</v>
      </c>
      <c r="Z56" s="179">
        <f t="array" ref="Z56">NPV('Pre-Calculation'!$E$20,Y57:Y66)</f>
        <v>969592.8037</v>
      </c>
    </row>
    <row r="57" ht="15.75" customHeight="1">
      <c r="A57" s="171">
        <f t="shared" si="1"/>
        <v>111</v>
      </c>
      <c r="B57" s="171">
        <f t="shared" si="2"/>
        <v>10</v>
      </c>
      <c r="C57" s="176">
        <f>EDATE(RCD,A56)</f>
        <v>45899</v>
      </c>
      <c r="D57" s="171">
        <f>Age_At_Entry+'Cashflows_4%'!B57-1</f>
        <v>44</v>
      </c>
      <c r="E57" s="175">
        <f>IF(AND(C57&lt;=Last_Prem,MOD(A56,Mode)=0,C57&gt;INPUT!$C$13,A57&lt;=Revival!$C$11),Mod_Prem,0)</f>
        <v>0</v>
      </c>
      <c r="F57" s="177">
        <f>IF(B57&lt;PT+1,E57*VLOOKUP(B57,'Pre-Calculation'!$H$1:$I$31,2,FALSE),0)</f>
        <v>0</v>
      </c>
      <c r="G57" s="177">
        <f>IF(B57&lt;PT+1,VLOOKUP(B57,'Pre-Calculation'!$H$1:$L$32,3,FALSE)+VLOOKUP(B57,'Pre-Calculation'!$H$1:$L$32,4,FALSE)*'Pre-Calculation'!$D$7,0)</f>
        <v>830</v>
      </c>
      <c r="H57" s="175">
        <f>(E57-(F57+G57)*(1+Tax)+N56)</f>
        <v>1188930.586</v>
      </c>
      <c r="I57" s="175">
        <f>IF(B57&lt;PT+1,VLOOKUP(D57,'Pre-Calculation'!$N$3:$P$79,IF(INPUT!$C$4="M",2,3),FALSE)*(J57/1000)*(1/12),0)</f>
        <v>0</v>
      </c>
      <c r="J57" s="175">
        <f t="shared" si="3"/>
        <v>0</v>
      </c>
      <c r="K57" s="175">
        <f>(IF('Pre-Calculation'!$D$17="Type 4 a",MAX(SA,H57,1.05*Q57),IF('Pre-Calculation'!$D$17="Type 4 c",H57,IF('Pre-Calculation'!$D$17="Type 4 d",SA+H57,IF('Pre-Calculation'!$D$17="Type 4 e",MAX(SA,H57),IF('Pre-Calculation'!$D$17="Type 4 f",SA,IF('Pre-Calculation'!$D$17="Type 4 g",1000+H57,IF('Pre-Calculation'!$D$17="Type 4 h",SA+X57,IF('Pre-Calculation'!$D$17="Type 4 i",MAX(H57,Q57),IF('Pre-Calculation'!$D$17="Type 4 k",MAX(H57,1.01*Q57),IF('Pre-Calculation'!$D$17="Type 4 m",MAX(105%*Q57,SA+H57),IF('Pre-Calculation'!$D$17="Type 4 o",MAX(SA,105%*Q57)+X57+Z57,IF('Pre-Calculation'!$D$17="Type 5",0)))))))))))))*IF(AND(A57&lt;Revival!$C$4,C57&gt;=Revival!$D$12),PUP,1)</f>
        <v>1188930.586</v>
      </c>
      <c r="L57" s="175">
        <f>H57-I57*(1+Tax)</f>
        <v>1188930.586</v>
      </c>
      <c r="M57" s="175">
        <f>L57*(1+GROWTH_RATE_L)*(1-FMC*(1+Tax))</f>
        <v>1191240.225</v>
      </c>
      <c r="N57" s="175">
        <f>M57+IF(MOD(A57,B57)=0,VLOOKUP(B57,'Pre-Calculation'!$H$1:$L$31,5,FALSE),0)*IF('Pre-Calculation'!$D$16="% OF FV",M57,IF(OR('Pre-Calculation'!$D$16="% OF AFV(24M)",'Pre-Calculation'!$D$16="% OF AFV(8Q)"),AVERAGE( $M34:$M57),IF('Pre-Calculation'!$D$16="% OF AFV(12M)",AVERAGE($M46:M57),IF('Pre-Calculation'!$D$16="% OF AFV(36M)",AVERAGE($M22:M57)))))</f>
        <v>1191240.225</v>
      </c>
      <c r="O57" s="175">
        <f t="shared" si="4"/>
        <v>1191240.225</v>
      </c>
      <c r="P57" s="175">
        <f>IF('Pre-Calculation'!$D$17="Type 4 a",MAX(SA,N57,1.05*Q57),IF('Pre-Calculation'!$D$17="Type 4 c",N57,IF('Pre-Calculation'!$D$17="Type 4 d",SA+N57,IF('Pre-Calculation'!$D$17="Type 4 e",MAX(SA,N57),IF('Pre-Calculation'!$D$17="Type 4 f",SA,IF('Pre-Calculation'!$D$17="Type 4 g",1000+N57,IF('Pre-Calculation'!$D$17="Type 4 h",SA+X57,IF('Pre-Calculation'!$D$17="Type 4 i",MAX(N57,Q57),IF('Pre-Calculation'!$D$17="Type 4 k",MAX(N57,1.01*Q57),IF('Pre-Calculation'!$D$17="Type 4 m",MAX(105%*Q57,SA+N57),IF('Pre-Calculation'!$D$17="Type 4 o",MAX(SA,105%*Q57)+X57+Z57,IF('Pre-Calculation'!$D$17="Type 5",0))))))))))))</f>
        <v>1191240.225</v>
      </c>
      <c r="Q57" s="175">
        <f t="shared" si="5"/>
        <v>1000000</v>
      </c>
      <c r="R57" s="119">
        <f>L57*(1+GROWTH_RATE)*FMC</f>
        <v>1345.420667</v>
      </c>
      <c r="S57" s="178">
        <f>S56*(1+'Pre-Calculation'!$E$27)</f>
        <v>752332.5346</v>
      </c>
      <c r="T57" s="175">
        <f>-E57+IF(A56=INPUT!$C$11*12,N57,0)</f>
        <v>0</v>
      </c>
      <c r="U57" s="175">
        <f t="shared" si="6"/>
        <v>1225649.817</v>
      </c>
      <c r="V57" s="175">
        <f>U57*(1+GROWTH_RATE_L)*(1-'Pre-Calculation'!$E$31)</f>
        <v>1227614.49</v>
      </c>
      <c r="W57" s="175">
        <f>-E57+IF(A56=INPUT!$C$11*12,V57,0)</f>
        <v>0</v>
      </c>
      <c r="X57" s="179">
        <f t="array" ref="X57">NPV('Pre-Calculation'!$E$20,$E58:E$246)</f>
        <v>0</v>
      </c>
      <c r="Y57" s="171">
        <f>10%*SA</f>
        <v>100000</v>
      </c>
      <c r="Z57" s="179">
        <f t="array" ref="Z57">NPV('Pre-Calculation'!$E$20,Y58:Y67)</f>
        <v>969592.8037</v>
      </c>
    </row>
    <row r="58" ht="15.75" customHeight="1">
      <c r="A58" s="171">
        <f t="shared" si="1"/>
        <v>112</v>
      </c>
      <c r="B58" s="171">
        <f t="shared" si="2"/>
        <v>10</v>
      </c>
      <c r="C58" s="176">
        <f>EDATE(RCD,A57)</f>
        <v>45930</v>
      </c>
      <c r="D58" s="171">
        <f>Age_At_Entry+'Cashflows_4%'!B58-1</f>
        <v>44</v>
      </c>
      <c r="E58" s="175">
        <f>IF(AND(C58&lt;=Last_Prem,MOD(A57,Mode)=0,C58&gt;INPUT!$C$13,A58&lt;=Revival!$C$11),Mod_Prem,0)</f>
        <v>0</v>
      </c>
      <c r="F58" s="177">
        <f>IF(B58&lt;PT+1,E58*VLOOKUP(B58,'Pre-Calculation'!$H$1:$I$31,2,FALSE),0)</f>
        <v>0</v>
      </c>
      <c r="G58" s="177">
        <f>IF(B58&lt;PT+1,VLOOKUP(B58,'Pre-Calculation'!$H$1:$L$32,3,FALSE)+VLOOKUP(B58,'Pre-Calculation'!$H$1:$L$32,4,FALSE)*'Pre-Calculation'!$D$7,0)</f>
        <v>830</v>
      </c>
      <c r="H58" s="175">
        <f>(E58-(F58+G58)*(1+Tax)+N57)</f>
        <v>1190260.825</v>
      </c>
      <c r="I58" s="175">
        <f>IF(B58&lt;PT+1,VLOOKUP(D58,'Pre-Calculation'!$N$3:$P$79,IF(INPUT!$C$4="M",2,3),FALSE)*(J58/1000)*(1/12),0)</f>
        <v>0</v>
      </c>
      <c r="J58" s="175">
        <f t="shared" si="3"/>
        <v>0</v>
      </c>
      <c r="K58" s="175">
        <f>(IF('Pre-Calculation'!$D$17="Type 4 a",MAX(SA,H58,1.05*Q58),IF('Pre-Calculation'!$D$17="Type 4 c",H58,IF('Pre-Calculation'!$D$17="Type 4 d",SA+H58,IF('Pre-Calculation'!$D$17="Type 4 e",MAX(SA,H58),IF('Pre-Calculation'!$D$17="Type 4 f",SA,IF('Pre-Calculation'!$D$17="Type 4 g",1000+H58,IF('Pre-Calculation'!$D$17="Type 4 h",SA+X58,IF('Pre-Calculation'!$D$17="Type 4 i",MAX(H58,Q58),IF('Pre-Calculation'!$D$17="Type 4 k",MAX(H58,1.01*Q58),IF('Pre-Calculation'!$D$17="Type 4 m",MAX(105%*Q58,SA+H58),IF('Pre-Calculation'!$D$17="Type 4 o",MAX(SA,105%*Q58)+X58+Z58,IF('Pre-Calculation'!$D$17="Type 5",0)))))))))))))*IF(AND(A58&lt;Revival!$C$4,C58&gt;=Revival!$D$12),PUP,1)</f>
        <v>1190260.825</v>
      </c>
      <c r="L58" s="175">
        <f>H58-I58*(1+Tax)</f>
        <v>1190260.825</v>
      </c>
      <c r="M58" s="175">
        <f>L58*(1+GROWTH_RATE_L)*(1-FMC*(1+Tax))</f>
        <v>1192573.047</v>
      </c>
      <c r="N58" s="175">
        <f>M58+IF(MOD(A58,B58)=0,VLOOKUP(B58,'Pre-Calculation'!$H$1:$L$31,5,FALSE),0)*IF('Pre-Calculation'!$D$16="% OF FV",M58,IF(OR('Pre-Calculation'!$D$16="% OF AFV(24M)",'Pre-Calculation'!$D$16="% OF AFV(8Q)"),AVERAGE( $M35:$M58),IF('Pre-Calculation'!$D$16="% OF AFV(12M)",AVERAGE($M47:M58),IF('Pre-Calculation'!$D$16="% OF AFV(36M)",AVERAGE($M23:M58)))))</f>
        <v>1192573.047</v>
      </c>
      <c r="O58" s="175">
        <f t="shared" si="4"/>
        <v>1192573.047</v>
      </c>
      <c r="P58" s="175">
        <f>IF('Pre-Calculation'!$D$17="Type 4 a",MAX(SA,N58,1.05*Q58),IF('Pre-Calculation'!$D$17="Type 4 c",N58,IF('Pre-Calculation'!$D$17="Type 4 d",SA+N58,IF('Pre-Calculation'!$D$17="Type 4 e",MAX(SA,N58),IF('Pre-Calculation'!$D$17="Type 4 f",SA,IF('Pre-Calculation'!$D$17="Type 4 g",1000+N58,IF('Pre-Calculation'!$D$17="Type 4 h",SA+X58,IF('Pre-Calculation'!$D$17="Type 4 i",MAX(N58,Q58),IF('Pre-Calculation'!$D$17="Type 4 k",MAX(N58,1.01*Q58),IF('Pre-Calculation'!$D$17="Type 4 m",MAX(105%*Q58,SA+N58),IF('Pre-Calculation'!$D$17="Type 4 o",MAX(SA,105%*Q58)+X58+Z58,IF('Pre-Calculation'!$D$17="Type 5",0))))))))))))</f>
        <v>1192573.047</v>
      </c>
      <c r="Q58" s="175">
        <f t="shared" si="5"/>
        <v>1000000</v>
      </c>
      <c r="R58" s="119">
        <f>L58*(1+GROWTH_RATE)*FMC</f>
        <v>1346.925995</v>
      </c>
      <c r="S58" s="178">
        <f>S57*(1+'Pre-Calculation'!$E$27)</f>
        <v>754492.4051</v>
      </c>
      <c r="T58" s="175">
        <f>-E58+IF(A57=INPUT!$C$11*12,N58,0)</f>
        <v>0</v>
      </c>
      <c r="U58" s="175">
        <f t="shared" si="6"/>
        <v>1227614.49</v>
      </c>
      <c r="V58" s="175">
        <f>U58*(1+GROWTH_RATE_L)*(1-'Pre-Calculation'!$E$31)</f>
        <v>1229582.311</v>
      </c>
      <c r="W58" s="175">
        <f>-E58+IF(A57=INPUT!$C$11*12,V58,0)</f>
        <v>0</v>
      </c>
      <c r="X58" s="179">
        <f t="array" ref="X58">NPV('Pre-Calculation'!$E$20,$E59:E$246)</f>
        <v>0</v>
      </c>
      <c r="Y58" s="171">
        <f>10%*SA</f>
        <v>100000</v>
      </c>
      <c r="Z58" s="179">
        <f t="array" ref="Z58">NPV('Pre-Calculation'!$E$20,Y59:Y68)</f>
        <v>969592.8037</v>
      </c>
    </row>
    <row r="59" ht="15.75" customHeight="1">
      <c r="A59" s="171">
        <f t="shared" si="1"/>
        <v>113</v>
      </c>
      <c r="B59" s="171">
        <f t="shared" si="2"/>
        <v>10</v>
      </c>
      <c r="C59" s="176">
        <f>EDATE(RCD,A58)</f>
        <v>45960</v>
      </c>
      <c r="D59" s="171">
        <f>Age_At_Entry+'Cashflows_4%'!B59-1</f>
        <v>44</v>
      </c>
      <c r="E59" s="175">
        <f>IF(AND(C59&lt;=Last_Prem,MOD(A58,Mode)=0,C59&gt;INPUT!$C$13,A59&lt;=Revival!$C$11),Mod_Prem,0)</f>
        <v>0</v>
      </c>
      <c r="F59" s="177">
        <f>IF(B59&lt;PT+1,E59*VLOOKUP(B59,'Pre-Calculation'!$H$1:$I$31,2,FALSE),0)</f>
        <v>0</v>
      </c>
      <c r="G59" s="177">
        <f>IF(B59&lt;PT+1,VLOOKUP(B59,'Pre-Calculation'!$H$1:$L$32,3,FALSE)+VLOOKUP(B59,'Pre-Calculation'!$H$1:$L$32,4,FALSE)*'Pre-Calculation'!$D$7,0)</f>
        <v>830</v>
      </c>
      <c r="H59" s="175">
        <f>(E59-(F59+G59)*(1+Tax)+N58)</f>
        <v>1191593.647</v>
      </c>
      <c r="I59" s="175">
        <f>IF(B59&lt;PT+1,VLOOKUP(D59,'Pre-Calculation'!$N$3:$P$79,IF(INPUT!$C$4="M",2,3),FALSE)*(J59/1000)*(1/12),0)</f>
        <v>0</v>
      </c>
      <c r="J59" s="175">
        <f t="shared" si="3"/>
        <v>0</v>
      </c>
      <c r="K59" s="175">
        <f>(IF('Pre-Calculation'!$D$17="Type 4 a",MAX(SA,H59,1.05*Q59),IF('Pre-Calculation'!$D$17="Type 4 c",H59,IF('Pre-Calculation'!$D$17="Type 4 d",SA+H59,IF('Pre-Calculation'!$D$17="Type 4 e",MAX(SA,H59),IF('Pre-Calculation'!$D$17="Type 4 f",SA,IF('Pre-Calculation'!$D$17="Type 4 g",1000+H59,IF('Pre-Calculation'!$D$17="Type 4 h",SA+X59,IF('Pre-Calculation'!$D$17="Type 4 i",MAX(H59,Q59),IF('Pre-Calculation'!$D$17="Type 4 k",MAX(H59,1.01*Q59),IF('Pre-Calculation'!$D$17="Type 4 m",MAX(105%*Q59,SA+H59),IF('Pre-Calculation'!$D$17="Type 4 o",MAX(SA,105%*Q59)+X59+Z59,IF('Pre-Calculation'!$D$17="Type 5",0)))))))))))))*IF(AND(A59&lt;Revival!$C$4,C59&gt;=Revival!$D$12),PUP,1)</f>
        <v>1191593.647</v>
      </c>
      <c r="L59" s="175">
        <f>H59-I59*(1+Tax)</f>
        <v>1191593.647</v>
      </c>
      <c r="M59" s="175">
        <f>L59*(1+GROWTH_RATE_L)*(1-FMC*(1+Tax))</f>
        <v>1193908.458</v>
      </c>
      <c r="N59" s="175">
        <f>M59+IF(MOD(A59,B59)=0,VLOOKUP(B59,'Pre-Calculation'!$H$1:$L$31,5,FALSE),0)*IF('Pre-Calculation'!$D$16="% OF FV",M59,IF(OR('Pre-Calculation'!$D$16="% OF AFV(24M)",'Pre-Calculation'!$D$16="% OF AFV(8Q)"),AVERAGE( $M36:$M59),IF('Pre-Calculation'!$D$16="% OF AFV(12M)",AVERAGE($M48:M59),IF('Pre-Calculation'!$D$16="% OF AFV(36M)",AVERAGE($M24:M59)))))</f>
        <v>1193908.458</v>
      </c>
      <c r="O59" s="175">
        <f t="shared" si="4"/>
        <v>1193908.458</v>
      </c>
      <c r="P59" s="175">
        <f>IF('Pre-Calculation'!$D$17="Type 4 a",MAX(SA,N59,1.05*Q59),IF('Pre-Calculation'!$D$17="Type 4 c",N59,IF('Pre-Calculation'!$D$17="Type 4 d",SA+N59,IF('Pre-Calculation'!$D$17="Type 4 e",MAX(SA,N59),IF('Pre-Calculation'!$D$17="Type 4 f",SA,IF('Pre-Calculation'!$D$17="Type 4 g",1000+N59,IF('Pre-Calculation'!$D$17="Type 4 h",SA+X59,IF('Pre-Calculation'!$D$17="Type 4 i",MAX(N59,Q59),IF('Pre-Calculation'!$D$17="Type 4 k",MAX(N59,1.01*Q59),IF('Pre-Calculation'!$D$17="Type 4 m",MAX(105%*Q59,SA+N59),IF('Pre-Calculation'!$D$17="Type 4 o",MAX(SA,105%*Q59)+X59+Z59,IF('Pre-Calculation'!$D$17="Type 5",0))))))))))))</f>
        <v>1193908.458</v>
      </c>
      <c r="Q59" s="175">
        <f t="shared" si="5"/>
        <v>1000000</v>
      </c>
      <c r="R59" s="119">
        <f>L59*(1+GROWTH_RATE)*FMC</f>
        <v>1348.434246</v>
      </c>
      <c r="S59" s="178">
        <f>S58*(1+'Pre-Calculation'!$E$27)</f>
        <v>756658.4764</v>
      </c>
      <c r="T59" s="175">
        <f>-E59+IF(A58=INPUT!$C$11*12,N59,0)</f>
        <v>0</v>
      </c>
      <c r="U59" s="175">
        <f t="shared" si="6"/>
        <v>1229582.311</v>
      </c>
      <c r="V59" s="175">
        <f>U59*(1+GROWTH_RATE_L)*(1-'Pre-Calculation'!$E$31)</f>
        <v>1231553.287</v>
      </c>
      <c r="W59" s="175">
        <f>-E59+IF(A58=INPUT!$C$11*12,V59,0)</f>
        <v>0</v>
      </c>
      <c r="X59" s="179">
        <f t="array" ref="X59">NPV('Pre-Calculation'!$E$20,$E60:E$246)</f>
        <v>0</v>
      </c>
      <c r="Y59" s="171">
        <f>10%*SA</f>
        <v>100000</v>
      </c>
      <c r="Z59" s="179">
        <f t="array" ref="Z59">NPV('Pre-Calculation'!$E$20,Y60:Y69)</f>
        <v>969592.8037</v>
      </c>
    </row>
    <row r="60" ht="15.75" customHeight="1">
      <c r="A60" s="171">
        <f t="shared" si="1"/>
        <v>114</v>
      </c>
      <c r="B60" s="171">
        <f t="shared" si="2"/>
        <v>10</v>
      </c>
      <c r="C60" s="176">
        <f>EDATE(RCD,A59)</f>
        <v>45991</v>
      </c>
      <c r="D60" s="171">
        <f>Age_At_Entry+'Cashflows_4%'!B60-1</f>
        <v>44</v>
      </c>
      <c r="E60" s="175">
        <f>IF(AND(C60&lt;=Last_Prem,MOD(A59,Mode)=0,C60&gt;INPUT!$C$13,A60&lt;=Revival!$C$11),Mod_Prem,0)</f>
        <v>0</v>
      </c>
      <c r="F60" s="177">
        <f>IF(B60&lt;PT+1,E60*VLOOKUP(B60,'Pre-Calculation'!$H$1:$I$31,2,FALSE),0)</f>
        <v>0</v>
      </c>
      <c r="G60" s="177">
        <f>IF(B60&lt;PT+1,VLOOKUP(B60,'Pre-Calculation'!$H$1:$L$32,3,FALSE)+VLOOKUP(B60,'Pre-Calculation'!$H$1:$L$32,4,FALSE)*'Pre-Calculation'!$D$7,0)</f>
        <v>830</v>
      </c>
      <c r="H60" s="175">
        <f>(E60-(F60+G60)*(1+Tax)+N59)</f>
        <v>1192929.058</v>
      </c>
      <c r="I60" s="175">
        <f>IF(B60&lt;PT+1,VLOOKUP(D60,'Pre-Calculation'!$N$3:$P$79,IF(INPUT!$C$4="M",2,3),FALSE)*(J60/1000)*(1/12),0)</f>
        <v>0</v>
      </c>
      <c r="J60" s="175">
        <f t="shared" si="3"/>
        <v>0</v>
      </c>
      <c r="K60" s="175">
        <f>(IF('Pre-Calculation'!$D$17="Type 4 a",MAX(SA,H60,1.05*Q60),IF('Pre-Calculation'!$D$17="Type 4 c",H60,IF('Pre-Calculation'!$D$17="Type 4 d",SA+H60,IF('Pre-Calculation'!$D$17="Type 4 e",MAX(SA,H60),IF('Pre-Calculation'!$D$17="Type 4 f",SA,IF('Pre-Calculation'!$D$17="Type 4 g",1000+H60,IF('Pre-Calculation'!$D$17="Type 4 h",SA+X60,IF('Pre-Calculation'!$D$17="Type 4 i",MAX(H60,Q60),IF('Pre-Calculation'!$D$17="Type 4 k",MAX(H60,1.01*Q60),IF('Pre-Calculation'!$D$17="Type 4 m",MAX(105%*Q60,SA+H60),IF('Pre-Calculation'!$D$17="Type 4 o",MAX(SA,105%*Q60)+X60+Z60,IF('Pre-Calculation'!$D$17="Type 5",0)))))))))))))*IF(AND(A60&lt;Revival!$C$4,C60&gt;=Revival!$D$12),PUP,1)</f>
        <v>1192929.058</v>
      </c>
      <c r="L60" s="175">
        <f>H60-I60*(1+Tax)</f>
        <v>1192929.058</v>
      </c>
      <c r="M60" s="175">
        <f>L60*(1+GROWTH_RATE_L)*(1-FMC*(1+Tax))</f>
        <v>1195246.464</v>
      </c>
      <c r="N60" s="175">
        <f>M60+IF(MOD(A60,B60)=0,VLOOKUP(B60,'Pre-Calculation'!$H$1:$L$31,5,FALSE),0)*IF('Pre-Calculation'!$D$16="% OF FV",M60,IF(OR('Pre-Calculation'!$D$16="% OF AFV(24M)",'Pre-Calculation'!$D$16="% OF AFV(8Q)"),AVERAGE( $M37:$M60),IF('Pre-Calculation'!$D$16="% OF AFV(12M)",AVERAGE($M49:M60),IF('Pre-Calculation'!$D$16="% OF AFV(36M)",AVERAGE($M25:M60)))))</f>
        <v>1195246.464</v>
      </c>
      <c r="O60" s="175">
        <f t="shared" si="4"/>
        <v>1195246.464</v>
      </c>
      <c r="P60" s="175">
        <f>IF('Pre-Calculation'!$D$17="Type 4 a",MAX(SA,N60,1.05*Q60),IF('Pre-Calculation'!$D$17="Type 4 c",N60,IF('Pre-Calculation'!$D$17="Type 4 d",SA+N60,IF('Pre-Calculation'!$D$17="Type 4 e",MAX(SA,N60),IF('Pre-Calculation'!$D$17="Type 4 f",SA,IF('Pre-Calculation'!$D$17="Type 4 g",1000+N60,IF('Pre-Calculation'!$D$17="Type 4 h",SA+X60,IF('Pre-Calculation'!$D$17="Type 4 i",MAX(N60,Q60),IF('Pre-Calculation'!$D$17="Type 4 k",MAX(N60,1.01*Q60),IF('Pre-Calculation'!$D$17="Type 4 m",MAX(105%*Q60,SA+N60),IF('Pre-Calculation'!$D$17="Type 4 o",MAX(SA,105%*Q60)+X60+Z60,IF('Pre-Calculation'!$D$17="Type 5",0))))))))))))</f>
        <v>1195246.464</v>
      </c>
      <c r="Q60" s="175">
        <f t="shared" si="5"/>
        <v>1000000</v>
      </c>
      <c r="R60" s="119">
        <f>L60*(1+GROWTH_RATE)*FMC</f>
        <v>1349.945428</v>
      </c>
      <c r="S60" s="178">
        <f>S59*(1+'Pre-Calculation'!$E$27)</f>
        <v>758830.7662</v>
      </c>
      <c r="T60" s="175">
        <f>-E60+IF(A59=INPUT!$C$11*12,N60,0)</f>
        <v>0</v>
      </c>
      <c r="U60" s="175">
        <f t="shared" si="6"/>
        <v>1231553.287</v>
      </c>
      <c r="V60" s="175">
        <f>U60*(1+GROWTH_RATE_L)*(1-'Pre-Calculation'!$E$31)</f>
        <v>1233527.422</v>
      </c>
      <c r="W60" s="175">
        <f>-E60+IF(A59=INPUT!$C$11*12,V60,0)</f>
        <v>0</v>
      </c>
      <c r="X60" s="179">
        <f t="array" ref="X60">NPV('Pre-Calculation'!$E$20,$E61:E$246)</f>
        <v>0</v>
      </c>
      <c r="Y60" s="171">
        <f>10%*SA</f>
        <v>100000</v>
      </c>
      <c r="Z60" s="179">
        <f t="array" ref="Z60">NPV('Pre-Calculation'!$E$20,Y61:Y70)</f>
        <v>969592.8037</v>
      </c>
    </row>
    <row r="61" ht="15.75" customHeight="1">
      <c r="A61" s="171">
        <f t="shared" si="1"/>
        <v>115</v>
      </c>
      <c r="B61" s="171">
        <f t="shared" si="2"/>
        <v>10</v>
      </c>
      <c r="C61" s="176">
        <f>EDATE(RCD,A60)</f>
        <v>46021</v>
      </c>
      <c r="D61" s="171">
        <f>Age_At_Entry+'Cashflows_4%'!B61-1</f>
        <v>44</v>
      </c>
      <c r="E61" s="175">
        <f>IF(AND(C61&lt;=Last_Prem,MOD(A60,Mode)=0,C61&gt;INPUT!$C$13,A61&lt;=Revival!$C$11),Mod_Prem,0)</f>
        <v>0</v>
      </c>
      <c r="F61" s="177">
        <f>IF(B61&lt;PT+1,E61*VLOOKUP(B61,'Pre-Calculation'!$H$1:$I$31,2,FALSE),0)</f>
        <v>0</v>
      </c>
      <c r="G61" s="177">
        <f>IF(B61&lt;PT+1,VLOOKUP(B61,'Pre-Calculation'!$H$1:$L$32,3,FALSE)+VLOOKUP(B61,'Pre-Calculation'!$H$1:$L$32,4,FALSE)*'Pre-Calculation'!$D$7,0)</f>
        <v>830</v>
      </c>
      <c r="H61" s="175">
        <f>(E61-(F61+G61)*(1+Tax)+N60)</f>
        <v>1194267.064</v>
      </c>
      <c r="I61" s="175">
        <f>IF(B61&lt;PT+1,VLOOKUP(D61,'Pre-Calculation'!$N$3:$P$79,IF(INPUT!$C$4="M",2,3),FALSE)*(J61/1000)*(1/12),0)</f>
        <v>0</v>
      </c>
      <c r="J61" s="175">
        <f t="shared" si="3"/>
        <v>0</v>
      </c>
      <c r="K61" s="175">
        <f>(IF('Pre-Calculation'!$D$17="Type 4 a",MAX(SA,H61,1.05*Q61),IF('Pre-Calculation'!$D$17="Type 4 c",H61,IF('Pre-Calculation'!$D$17="Type 4 d",SA+H61,IF('Pre-Calculation'!$D$17="Type 4 e",MAX(SA,H61),IF('Pre-Calculation'!$D$17="Type 4 f",SA,IF('Pre-Calculation'!$D$17="Type 4 g",1000+H61,IF('Pre-Calculation'!$D$17="Type 4 h",SA+X61,IF('Pre-Calculation'!$D$17="Type 4 i",MAX(H61,Q61),IF('Pre-Calculation'!$D$17="Type 4 k",MAX(H61,1.01*Q61),IF('Pre-Calculation'!$D$17="Type 4 m",MAX(105%*Q61,SA+H61),IF('Pre-Calculation'!$D$17="Type 4 o",MAX(SA,105%*Q61)+X61+Z61,IF('Pre-Calculation'!$D$17="Type 5",0)))))))))))))*IF(AND(A61&lt;Revival!$C$4,C61&gt;=Revival!$D$12),PUP,1)</f>
        <v>1194267.064</v>
      </c>
      <c r="L61" s="175">
        <f>H61-I61*(1+Tax)</f>
        <v>1194267.064</v>
      </c>
      <c r="M61" s="175">
        <f>L61*(1+GROWTH_RATE_L)*(1-FMC*(1+Tax))</f>
        <v>1196587.069</v>
      </c>
      <c r="N61" s="175">
        <f>M61+IF(MOD(A61,B61)=0,VLOOKUP(B61,'Pre-Calculation'!$H$1:$L$31,5,FALSE),0)*IF('Pre-Calculation'!$D$16="% OF FV",M61,IF(OR('Pre-Calculation'!$D$16="% OF AFV(24M)",'Pre-Calculation'!$D$16="% OF AFV(8Q)"),AVERAGE( $M38:$M61),IF('Pre-Calculation'!$D$16="% OF AFV(12M)",AVERAGE($M50:M61),IF('Pre-Calculation'!$D$16="% OF AFV(36M)",AVERAGE($M26:M61)))))</f>
        <v>1196587.069</v>
      </c>
      <c r="O61" s="175">
        <f t="shared" si="4"/>
        <v>1196587.069</v>
      </c>
      <c r="P61" s="175">
        <f>IF('Pre-Calculation'!$D$17="Type 4 a",MAX(SA,N61,1.05*Q61),IF('Pre-Calculation'!$D$17="Type 4 c",N61,IF('Pre-Calculation'!$D$17="Type 4 d",SA+N61,IF('Pre-Calculation'!$D$17="Type 4 e",MAX(SA,N61),IF('Pre-Calculation'!$D$17="Type 4 f",SA,IF('Pre-Calculation'!$D$17="Type 4 g",1000+N61,IF('Pre-Calculation'!$D$17="Type 4 h",SA+X61,IF('Pre-Calculation'!$D$17="Type 4 i",MAX(N61,Q61),IF('Pre-Calculation'!$D$17="Type 4 k",MAX(N61,1.01*Q61),IF('Pre-Calculation'!$D$17="Type 4 m",MAX(105%*Q61,SA+N61),IF('Pre-Calculation'!$D$17="Type 4 o",MAX(SA,105%*Q61)+X61+Z61,IF('Pre-Calculation'!$D$17="Type 5",0))))))))))))</f>
        <v>1196587.069</v>
      </c>
      <c r="Q61" s="175">
        <f t="shared" si="5"/>
        <v>1000000</v>
      </c>
      <c r="R61" s="119">
        <f>L61*(1+GROWTH_RATE)*FMC</f>
        <v>1351.459545</v>
      </c>
      <c r="S61" s="178">
        <f>S60*(1+'Pre-Calculation'!$E$27)</f>
        <v>761009.2925</v>
      </c>
      <c r="T61" s="175">
        <f>-E61+IF(A60=INPUT!$C$11*12,N61,0)</f>
        <v>0</v>
      </c>
      <c r="U61" s="175">
        <f t="shared" si="6"/>
        <v>1233527.422</v>
      </c>
      <c r="V61" s="175">
        <f>U61*(1+GROWTH_RATE_L)*(1-'Pre-Calculation'!$E$31)</f>
        <v>1235504.722</v>
      </c>
      <c r="W61" s="175">
        <f>-E61+IF(A60=INPUT!$C$11*12,V61,0)</f>
        <v>0</v>
      </c>
      <c r="X61" s="179">
        <f t="array" ref="X61">NPV('Pre-Calculation'!$E$20,$E62:E$246)</f>
        <v>0</v>
      </c>
      <c r="Y61" s="171">
        <f>10%*SA</f>
        <v>100000</v>
      </c>
      <c r="Z61" s="179">
        <f t="array" ref="Z61">NPV('Pre-Calculation'!$E$20,Y62:Y71)</f>
        <v>969592.8037</v>
      </c>
    </row>
    <row r="62" ht="15.75" customHeight="1">
      <c r="A62" s="171">
        <f t="shared" si="1"/>
        <v>116</v>
      </c>
      <c r="B62" s="171">
        <f t="shared" si="2"/>
        <v>10</v>
      </c>
      <c r="C62" s="176">
        <f>EDATE(RCD,A61)</f>
        <v>46052</v>
      </c>
      <c r="D62" s="171">
        <f>Age_At_Entry+'Cashflows_4%'!B62-1</f>
        <v>44</v>
      </c>
      <c r="E62" s="175">
        <f>IF(AND(C62&lt;=Last_Prem,MOD(A61,Mode)=0,C62&gt;INPUT!$C$13,A62&lt;=Revival!$C$11),Mod_Prem,0)</f>
        <v>0</v>
      </c>
      <c r="F62" s="177">
        <f>IF(B62&lt;PT+1,E62*VLOOKUP(B62,'Pre-Calculation'!$H$1:$I$31,2,FALSE),0)</f>
        <v>0</v>
      </c>
      <c r="G62" s="177">
        <f>IF(B62&lt;PT+1,VLOOKUP(B62,'Pre-Calculation'!$H$1:$L$32,3,FALSE)+VLOOKUP(B62,'Pre-Calculation'!$H$1:$L$32,4,FALSE)*'Pre-Calculation'!$D$7,0)</f>
        <v>830</v>
      </c>
      <c r="H62" s="175">
        <f>(E62-(F62+G62)*(1+Tax)+N61)</f>
        <v>1195607.669</v>
      </c>
      <c r="I62" s="175">
        <f>IF(B62&lt;PT+1,VLOOKUP(D62,'Pre-Calculation'!$N$3:$P$79,IF(INPUT!$C$4="M",2,3),FALSE)*(J62/1000)*(1/12),0)</f>
        <v>0</v>
      </c>
      <c r="J62" s="175">
        <f t="shared" si="3"/>
        <v>0</v>
      </c>
      <c r="K62" s="175">
        <f>(IF('Pre-Calculation'!$D$17="Type 4 a",MAX(SA,H62,1.05*Q62),IF('Pre-Calculation'!$D$17="Type 4 c",H62,IF('Pre-Calculation'!$D$17="Type 4 d",SA+H62,IF('Pre-Calculation'!$D$17="Type 4 e",MAX(SA,H62),IF('Pre-Calculation'!$D$17="Type 4 f",SA,IF('Pre-Calculation'!$D$17="Type 4 g",1000+H62,IF('Pre-Calculation'!$D$17="Type 4 h",SA+X62,IF('Pre-Calculation'!$D$17="Type 4 i",MAX(H62,Q62),IF('Pre-Calculation'!$D$17="Type 4 k",MAX(H62,1.01*Q62),IF('Pre-Calculation'!$D$17="Type 4 m",MAX(105%*Q62,SA+H62),IF('Pre-Calculation'!$D$17="Type 4 o",MAX(SA,105%*Q62)+X62+Z62,IF('Pre-Calculation'!$D$17="Type 5",0)))))))))))))*IF(AND(A62&lt;Revival!$C$4,C62&gt;=Revival!$D$12),PUP,1)</f>
        <v>1195607.669</v>
      </c>
      <c r="L62" s="175">
        <f>H62-I62*(1+Tax)</f>
        <v>1195607.669</v>
      </c>
      <c r="M62" s="175">
        <f>L62*(1+GROWTH_RATE_L)*(1-FMC*(1+Tax))</f>
        <v>1197930.278</v>
      </c>
      <c r="N62" s="175">
        <f>M62+IF(MOD(A62,B62)=0,VLOOKUP(B62,'Pre-Calculation'!$H$1:$L$31,5,FALSE),0)*IF('Pre-Calculation'!$D$16="% OF FV",M62,IF(OR('Pre-Calculation'!$D$16="% OF AFV(24M)",'Pre-Calculation'!$D$16="% OF AFV(8Q)"),AVERAGE( $M39:$M62),IF('Pre-Calculation'!$D$16="% OF AFV(12M)",AVERAGE($M51:M62),IF('Pre-Calculation'!$D$16="% OF AFV(36M)",AVERAGE($M27:M62)))))</f>
        <v>1197930.278</v>
      </c>
      <c r="O62" s="175">
        <f t="shared" si="4"/>
        <v>1197930.278</v>
      </c>
      <c r="P62" s="175">
        <f>IF('Pre-Calculation'!$D$17="Type 4 a",MAX(SA,N62,1.05*Q62),IF('Pre-Calculation'!$D$17="Type 4 c",N62,IF('Pre-Calculation'!$D$17="Type 4 d",SA+N62,IF('Pre-Calculation'!$D$17="Type 4 e",MAX(SA,N62),IF('Pre-Calculation'!$D$17="Type 4 f",SA,IF('Pre-Calculation'!$D$17="Type 4 g",1000+N62,IF('Pre-Calculation'!$D$17="Type 4 h",SA+X62,IF('Pre-Calculation'!$D$17="Type 4 i",MAX(N62,Q62),IF('Pre-Calculation'!$D$17="Type 4 k",MAX(N62,1.01*Q62),IF('Pre-Calculation'!$D$17="Type 4 m",MAX(105%*Q62,SA+N62),IF('Pre-Calculation'!$D$17="Type 4 o",MAX(SA,105%*Q62)+X62+Z62,IF('Pre-Calculation'!$D$17="Type 5",0))))))))))))</f>
        <v>1197930.278</v>
      </c>
      <c r="Q62" s="175">
        <f t="shared" si="5"/>
        <v>1000000</v>
      </c>
      <c r="R62" s="119">
        <f>L62*(1+GROWTH_RATE)*FMC</f>
        <v>1352.976604</v>
      </c>
      <c r="S62" s="178">
        <f>S61*(1+'Pre-Calculation'!$E$27)</f>
        <v>763194.0731</v>
      </c>
      <c r="T62" s="175">
        <f>-E62+IF(A61=INPUT!$C$11*12,N62,0)</f>
        <v>0</v>
      </c>
      <c r="U62" s="175">
        <f t="shared" si="6"/>
        <v>1235504.722</v>
      </c>
      <c r="V62" s="175">
        <f>U62*(1+GROWTH_RATE_L)*(1-'Pre-Calculation'!$E$31)</f>
        <v>1237485.192</v>
      </c>
      <c r="W62" s="175">
        <f>-E62+IF(A61=INPUT!$C$11*12,V62,0)</f>
        <v>0</v>
      </c>
      <c r="X62" s="179">
        <f t="array" ref="X62">NPV('Pre-Calculation'!$E$20,$E63:E$246)</f>
        <v>0</v>
      </c>
      <c r="Y62" s="171">
        <f>10%*SA</f>
        <v>100000</v>
      </c>
      <c r="Z62" s="179">
        <f t="array" ref="Z62">NPV('Pre-Calculation'!$E$20,Y63:Y72)</f>
        <v>969592.8037</v>
      </c>
    </row>
    <row r="63" ht="15.75" customHeight="1">
      <c r="A63" s="171">
        <f t="shared" si="1"/>
        <v>117</v>
      </c>
      <c r="B63" s="171">
        <f t="shared" si="2"/>
        <v>10</v>
      </c>
      <c r="C63" s="176">
        <f>EDATE(RCD,A62)</f>
        <v>46081</v>
      </c>
      <c r="D63" s="171">
        <f>Age_At_Entry+'Cashflows_4%'!B63-1</f>
        <v>44</v>
      </c>
      <c r="E63" s="175">
        <f>IF(AND(C63&lt;=Last_Prem,MOD(A62,Mode)=0,C63&gt;INPUT!$C$13,A63&lt;=Revival!$C$11),Mod_Prem,0)</f>
        <v>0</v>
      </c>
      <c r="F63" s="177">
        <f>IF(B63&lt;PT+1,E63*VLOOKUP(B63,'Pre-Calculation'!$H$1:$I$31,2,FALSE),0)</f>
        <v>0</v>
      </c>
      <c r="G63" s="177">
        <f>IF(B63&lt;PT+1,VLOOKUP(B63,'Pre-Calculation'!$H$1:$L$32,3,FALSE)+VLOOKUP(B63,'Pre-Calculation'!$H$1:$L$32,4,FALSE)*'Pre-Calculation'!$D$7,0)</f>
        <v>830</v>
      </c>
      <c r="H63" s="175">
        <f>(E63-(F63+G63)*(1+Tax)+N62)</f>
        <v>1196950.878</v>
      </c>
      <c r="I63" s="175">
        <f>IF(B63&lt;PT+1,VLOOKUP(D63,'Pre-Calculation'!$N$3:$P$79,IF(INPUT!$C$4="M",2,3),FALSE)*(J63/1000)*(1/12),0)</f>
        <v>0</v>
      </c>
      <c r="J63" s="175">
        <f t="shared" si="3"/>
        <v>0</v>
      </c>
      <c r="K63" s="175">
        <f>(IF('Pre-Calculation'!$D$17="Type 4 a",MAX(SA,H63,1.05*Q63),IF('Pre-Calculation'!$D$17="Type 4 c",H63,IF('Pre-Calculation'!$D$17="Type 4 d",SA+H63,IF('Pre-Calculation'!$D$17="Type 4 e",MAX(SA,H63),IF('Pre-Calculation'!$D$17="Type 4 f",SA,IF('Pre-Calculation'!$D$17="Type 4 g",1000+H63,IF('Pre-Calculation'!$D$17="Type 4 h",SA+X63,IF('Pre-Calculation'!$D$17="Type 4 i",MAX(H63,Q63),IF('Pre-Calculation'!$D$17="Type 4 k",MAX(H63,1.01*Q63),IF('Pre-Calculation'!$D$17="Type 4 m",MAX(105%*Q63,SA+H63),IF('Pre-Calculation'!$D$17="Type 4 o",MAX(SA,105%*Q63)+X63+Z63,IF('Pre-Calculation'!$D$17="Type 5",0)))))))))))))*IF(AND(A63&lt;Revival!$C$4,C63&gt;=Revival!$D$12),PUP,1)</f>
        <v>1196950.878</v>
      </c>
      <c r="L63" s="175">
        <f>H63-I63*(1+Tax)</f>
        <v>1196950.878</v>
      </c>
      <c r="M63" s="175">
        <f>L63*(1+GROWTH_RATE_L)*(1-FMC*(1+Tax))</f>
        <v>1199276.097</v>
      </c>
      <c r="N63" s="175">
        <f>M63+IF(MOD(A63,B63)=0,VLOOKUP(B63,'Pre-Calculation'!$H$1:$L$31,5,FALSE),0)*IF('Pre-Calculation'!$D$16="% OF FV",M63,IF(OR('Pre-Calculation'!$D$16="% OF AFV(24M)",'Pre-Calculation'!$D$16="% OF AFV(8Q)"),AVERAGE( $M40:$M63),IF('Pre-Calculation'!$D$16="% OF AFV(12M)",AVERAGE($M52:M63),IF('Pre-Calculation'!$D$16="% OF AFV(36M)",AVERAGE($M28:M63)))))</f>
        <v>1199276.097</v>
      </c>
      <c r="O63" s="175">
        <f t="shared" si="4"/>
        <v>1199276.097</v>
      </c>
      <c r="P63" s="175">
        <f>IF('Pre-Calculation'!$D$17="Type 4 a",MAX(SA,N63,1.05*Q63),IF('Pre-Calculation'!$D$17="Type 4 c",N63,IF('Pre-Calculation'!$D$17="Type 4 d",SA+N63,IF('Pre-Calculation'!$D$17="Type 4 e",MAX(SA,N63),IF('Pre-Calculation'!$D$17="Type 4 f",SA,IF('Pre-Calculation'!$D$17="Type 4 g",1000+N63,IF('Pre-Calculation'!$D$17="Type 4 h",SA+X63,IF('Pre-Calculation'!$D$17="Type 4 i",MAX(N63,Q63),IF('Pre-Calculation'!$D$17="Type 4 k",MAX(N63,1.01*Q63),IF('Pre-Calculation'!$D$17="Type 4 m",MAX(105%*Q63,SA+N63),IF('Pre-Calculation'!$D$17="Type 4 o",MAX(SA,105%*Q63)+X63+Z63,IF('Pre-Calculation'!$D$17="Type 5",0))))))))))))</f>
        <v>1199276.097</v>
      </c>
      <c r="Q63" s="175">
        <f t="shared" si="5"/>
        <v>1000000</v>
      </c>
      <c r="R63" s="119">
        <f>L63*(1+GROWTH_RATE)*FMC</f>
        <v>1354.49661</v>
      </c>
      <c r="S63" s="178">
        <f>S62*(1+'Pre-Calculation'!$E$27)</f>
        <v>765385.126</v>
      </c>
      <c r="T63" s="175">
        <f>-E63+IF(A62=INPUT!$C$11*12,N63,0)</f>
        <v>0</v>
      </c>
      <c r="U63" s="175">
        <f t="shared" si="6"/>
        <v>1237485.192</v>
      </c>
      <c r="V63" s="175">
        <f>U63*(1+GROWTH_RATE_L)*(1-'Pre-Calculation'!$E$31)</f>
        <v>1239468.836</v>
      </c>
      <c r="W63" s="175">
        <f>-E63+IF(A62=INPUT!$C$11*12,V63,0)</f>
        <v>0</v>
      </c>
      <c r="X63" s="179">
        <f t="array" ref="X63">NPV('Pre-Calculation'!$E$20,$E64:E$246)</f>
        <v>0</v>
      </c>
      <c r="Y63" s="171">
        <f>10%*SA</f>
        <v>100000</v>
      </c>
      <c r="Z63" s="179">
        <f t="array" ref="Z63">NPV('Pre-Calculation'!$E$20,Y64:Y73)</f>
        <v>969592.8037</v>
      </c>
    </row>
    <row r="64" ht="15.75" customHeight="1">
      <c r="A64" s="171">
        <f t="shared" si="1"/>
        <v>118</v>
      </c>
      <c r="B64" s="171">
        <f t="shared" si="2"/>
        <v>10</v>
      </c>
      <c r="C64" s="176">
        <f>EDATE(RCD,A63)</f>
        <v>46111</v>
      </c>
      <c r="D64" s="171">
        <f>Age_At_Entry+'Cashflows_4%'!B64-1</f>
        <v>44</v>
      </c>
      <c r="E64" s="175">
        <f>IF(AND(C64&lt;=Last_Prem,MOD(A63,Mode)=0,C64&gt;INPUT!$C$13,A64&lt;=Revival!$C$11),Mod_Prem,0)</f>
        <v>0</v>
      </c>
      <c r="F64" s="177">
        <f>IF(B64&lt;PT+1,E64*VLOOKUP(B64,'Pre-Calculation'!$H$1:$I$31,2,FALSE),0)</f>
        <v>0</v>
      </c>
      <c r="G64" s="177">
        <f>IF(B64&lt;PT+1,VLOOKUP(B64,'Pre-Calculation'!$H$1:$L$32,3,FALSE)+VLOOKUP(B64,'Pre-Calculation'!$H$1:$L$32,4,FALSE)*'Pre-Calculation'!$D$7,0)</f>
        <v>830</v>
      </c>
      <c r="H64" s="175">
        <f>(E64-(F64+G64)*(1+Tax)+N63)</f>
        <v>1198296.697</v>
      </c>
      <c r="I64" s="175">
        <f>IF(B64&lt;PT+1,VLOOKUP(D64,'Pre-Calculation'!$N$3:$P$79,IF(INPUT!$C$4="M",2,3),FALSE)*(J64/1000)*(1/12),0)</f>
        <v>0</v>
      </c>
      <c r="J64" s="175">
        <f t="shared" si="3"/>
        <v>0</v>
      </c>
      <c r="K64" s="175">
        <f>(IF('Pre-Calculation'!$D$17="Type 4 a",MAX(SA,H64,1.05*Q64),IF('Pre-Calculation'!$D$17="Type 4 c",H64,IF('Pre-Calculation'!$D$17="Type 4 d",SA+H64,IF('Pre-Calculation'!$D$17="Type 4 e",MAX(SA,H64),IF('Pre-Calculation'!$D$17="Type 4 f",SA,IF('Pre-Calculation'!$D$17="Type 4 g",1000+H64,IF('Pre-Calculation'!$D$17="Type 4 h",SA+X64,IF('Pre-Calculation'!$D$17="Type 4 i",MAX(H64,Q64),IF('Pre-Calculation'!$D$17="Type 4 k",MAX(H64,1.01*Q64),IF('Pre-Calculation'!$D$17="Type 4 m",MAX(105%*Q64,SA+H64),IF('Pre-Calculation'!$D$17="Type 4 o",MAX(SA,105%*Q64)+X64+Z64,IF('Pre-Calculation'!$D$17="Type 5",0)))))))))))))*IF(AND(A64&lt;Revival!$C$4,C64&gt;=Revival!$D$12),PUP,1)</f>
        <v>1198296.697</v>
      </c>
      <c r="L64" s="175">
        <f>H64-I64*(1+Tax)</f>
        <v>1198296.697</v>
      </c>
      <c r="M64" s="175">
        <f>L64*(1+GROWTH_RATE_L)*(1-FMC*(1+Tax))</f>
        <v>1200624.53</v>
      </c>
      <c r="N64" s="175">
        <f>M64+IF(MOD(A64,B64)=0,VLOOKUP(B64,'Pre-Calculation'!$H$1:$L$31,5,FALSE),0)*IF('Pre-Calculation'!$D$16="% OF FV",M64,IF(OR('Pre-Calculation'!$D$16="% OF AFV(24M)",'Pre-Calculation'!$D$16="% OF AFV(8Q)"),AVERAGE( $M41:$M64),IF('Pre-Calculation'!$D$16="% OF AFV(12M)",AVERAGE($M53:M64),IF('Pre-Calculation'!$D$16="% OF AFV(36M)",AVERAGE($M29:M64)))))</f>
        <v>1200624.53</v>
      </c>
      <c r="O64" s="175">
        <f t="shared" si="4"/>
        <v>1200624.53</v>
      </c>
      <c r="P64" s="175">
        <f>IF('Pre-Calculation'!$D$17="Type 4 a",MAX(SA,N64,1.05*Q64),IF('Pre-Calculation'!$D$17="Type 4 c",N64,IF('Pre-Calculation'!$D$17="Type 4 d",SA+N64,IF('Pre-Calculation'!$D$17="Type 4 e",MAX(SA,N64),IF('Pre-Calculation'!$D$17="Type 4 f",SA,IF('Pre-Calculation'!$D$17="Type 4 g",1000+N64,IF('Pre-Calculation'!$D$17="Type 4 h",SA+X64,IF('Pre-Calculation'!$D$17="Type 4 i",MAX(N64,Q64),IF('Pre-Calculation'!$D$17="Type 4 k",MAX(N64,1.01*Q64),IF('Pre-Calculation'!$D$17="Type 4 m",MAX(105%*Q64,SA+N64),IF('Pre-Calculation'!$D$17="Type 4 o",MAX(SA,105%*Q64)+X64+Z64,IF('Pre-Calculation'!$D$17="Type 5",0))))))))))))</f>
        <v>1200624.53</v>
      </c>
      <c r="Q64" s="175">
        <f t="shared" si="5"/>
        <v>1000000</v>
      </c>
      <c r="R64" s="119">
        <f>L64*(1+GROWTH_RATE)*FMC</f>
        <v>1356.019569</v>
      </c>
      <c r="S64" s="178">
        <f>S63*(1+'Pre-Calculation'!$E$27)</f>
        <v>767582.4692</v>
      </c>
      <c r="T64" s="175">
        <f>-E64+IF(A63=INPUT!$C$11*12,N64,0)</f>
        <v>0</v>
      </c>
      <c r="U64" s="175">
        <f t="shared" si="6"/>
        <v>1239468.836</v>
      </c>
      <c r="V64" s="175">
        <f>U64*(1+GROWTH_RATE_L)*(1-'Pre-Calculation'!$E$31)</f>
        <v>1241455.659</v>
      </c>
      <c r="W64" s="175">
        <f>-E64+IF(A63=INPUT!$C$11*12,V64,0)</f>
        <v>0</v>
      </c>
      <c r="X64" s="179">
        <f t="array" ref="X64">NPV('Pre-Calculation'!$E$20,$E65:E$246)</f>
        <v>0</v>
      </c>
      <c r="Y64" s="171">
        <f>10%*SA</f>
        <v>100000</v>
      </c>
      <c r="Z64" s="179">
        <f t="array" ref="Z64">NPV('Pre-Calculation'!$E$20,Y65:Y74)</f>
        <v>969592.8037</v>
      </c>
    </row>
    <row r="65" ht="15.75" customHeight="1">
      <c r="A65" s="171">
        <f t="shared" si="1"/>
        <v>119</v>
      </c>
      <c r="B65" s="171">
        <f t="shared" si="2"/>
        <v>10</v>
      </c>
      <c r="C65" s="176">
        <f>EDATE(RCD,A64)</f>
        <v>46142</v>
      </c>
      <c r="D65" s="171">
        <f>Age_At_Entry+'Cashflows_4%'!B65-1</f>
        <v>44</v>
      </c>
      <c r="E65" s="175">
        <f>IF(AND(C65&lt;=Last_Prem,MOD(A64,Mode)=0,C65&gt;INPUT!$C$13,A65&lt;=Revival!$C$11),Mod_Prem,0)</f>
        <v>0</v>
      </c>
      <c r="F65" s="177">
        <f>IF(B65&lt;PT+1,E65*VLOOKUP(B65,'Pre-Calculation'!$H$1:$I$31,2,FALSE),0)</f>
        <v>0</v>
      </c>
      <c r="G65" s="177">
        <f>IF(B65&lt;PT+1,VLOOKUP(B65,'Pre-Calculation'!$H$1:$L$32,3,FALSE)+VLOOKUP(B65,'Pre-Calculation'!$H$1:$L$32,4,FALSE)*'Pre-Calculation'!$D$7,0)</f>
        <v>830</v>
      </c>
      <c r="H65" s="175">
        <f>(E65-(F65+G65)*(1+Tax)+N64)</f>
        <v>1199645.13</v>
      </c>
      <c r="I65" s="175">
        <f>IF(B65&lt;PT+1,VLOOKUP(D65,'Pre-Calculation'!$N$3:$P$79,IF(INPUT!$C$4="M",2,3),FALSE)*(J65/1000)*(1/12),0)</f>
        <v>0</v>
      </c>
      <c r="J65" s="175">
        <f t="shared" si="3"/>
        <v>0</v>
      </c>
      <c r="K65" s="175">
        <f>(IF('Pre-Calculation'!$D$17="Type 4 a",MAX(SA,H65,1.05*Q65),IF('Pre-Calculation'!$D$17="Type 4 c",H65,IF('Pre-Calculation'!$D$17="Type 4 d",SA+H65,IF('Pre-Calculation'!$D$17="Type 4 e",MAX(SA,H65),IF('Pre-Calculation'!$D$17="Type 4 f",SA,IF('Pre-Calculation'!$D$17="Type 4 g",1000+H65,IF('Pre-Calculation'!$D$17="Type 4 h",SA+X65,IF('Pre-Calculation'!$D$17="Type 4 i",MAX(H65,Q65),IF('Pre-Calculation'!$D$17="Type 4 k",MAX(H65,1.01*Q65),IF('Pre-Calculation'!$D$17="Type 4 m",MAX(105%*Q65,SA+H65),IF('Pre-Calculation'!$D$17="Type 4 o",MAX(SA,105%*Q65)+X65+Z65,IF('Pre-Calculation'!$D$17="Type 5",0)))))))))))))*IF(AND(A65&lt;Revival!$C$4,C65&gt;=Revival!$D$12),PUP,1)</f>
        <v>1199645.13</v>
      </c>
      <c r="L65" s="175">
        <f>H65-I65*(1+Tax)</f>
        <v>1199645.13</v>
      </c>
      <c r="M65" s="175">
        <f>L65*(1+GROWTH_RATE_L)*(1-FMC*(1+Tax))</f>
        <v>1201975.582</v>
      </c>
      <c r="N65" s="175">
        <f>M65+IF(MOD(A65,B65)=0,VLOOKUP(B65,'Pre-Calculation'!$H$1:$L$31,5,FALSE),0)*IF('Pre-Calculation'!$D$16="% OF FV",M65,IF(OR('Pre-Calculation'!$D$16="% OF AFV(24M)",'Pre-Calculation'!$D$16="% OF AFV(8Q)"),AVERAGE( $M42:$M65),IF('Pre-Calculation'!$D$16="% OF AFV(12M)",AVERAGE($M54:M65),IF('Pre-Calculation'!$D$16="% OF AFV(36M)",AVERAGE($M30:M65)))))</f>
        <v>1201975.582</v>
      </c>
      <c r="O65" s="175">
        <f t="shared" si="4"/>
        <v>1201975.582</v>
      </c>
      <c r="P65" s="175">
        <f>IF('Pre-Calculation'!$D$17="Type 4 a",MAX(SA,N65,1.05*Q65),IF('Pre-Calculation'!$D$17="Type 4 c",N65,IF('Pre-Calculation'!$D$17="Type 4 d",SA+N65,IF('Pre-Calculation'!$D$17="Type 4 e",MAX(SA,N65),IF('Pre-Calculation'!$D$17="Type 4 f",SA,IF('Pre-Calculation'!$D$17="Type 4 g",1000+N65,IF('Pre-Calculation'!$D$17="Type 4 h",SA+X65,IF('Pre-Calculation'!$D$17="Type 4 i",MAX(N65,Q65),IF('Pre-Calculation'!$D$17="Type 4 k",MAX(N65,1.01*Q65),IF('Pre-Calculation'!$D$17="Type 4 m",MAX(105%*Q65,SA+N65),IF('Pre-Calculation'!$D$17="Type 4 o",MAX(SA,105%*Q65)+X65+Z65,IF('Pre-Calculation'!$D$17="Type 5",0))))))))))))</f>
        <v>1201975.582</v>
      </c>
      <c r="Q65" s="175">
        <f t="shared" si="5"/>
        <v>1000000</v>
      </c>
      <c r="R65" s="119">
        <f>L65*(1+GROWTH_RATE)*FMC</f>
        <v>1357.545486</v>
      </c>
      <c r="S65" s="178">
        <f>S64*(1+'Pre-Calculation'!$E$27)</f>
        <v>769786.1207</v>
      </c>
      <c r="T65" s="175">
        <f>-E65+IF(A64=INPUT!$C$11*12,N65,0)</f>
        <v>0</v>
      </c>
      <c r="U65" s="175">
        <f t="shared" si="6"/>
        <v>1241455.659</v>
      </c>
      <c r="V65" s="175">
        <f>U65*(1+GROWTH_RATE_L)*(1-'Pre-Calculation'!$E$31)</f>
        <v>1243445.668</v>
      </c>
      <c r="W65" s="175">
        <f>-E65+IF(A64=INPUT!$C$11*12,V65,0)</f>
        <v>0</v>
      </c>
      <c r="X65" s="179">
        <f t="array" ref="X65">NPV('Pre-Calculation'!$E$20,$E66:E$246)</f>
        <v>0</v>
      </c>
      <c r="Y65" s="171">
        <f>10%*SA</f>
        <v>100000</v>
      </c>
      <c r="Z65" s="179">
        <f t="array" ref="Z65">NPV('Pre-Calculation'!$E$20,Y66:Y75)</f>
        <v>969592.8037</v>
      </c>
    </row>
    <row r="66" ht="15.75" customHeight="1">
      <c r="A66" s="171">
        <f t="shared" si="1"/>
        <v>120</v>
      </c>
      <c r="B66" s="171">
        <f t="shared" si="2"/>
        <v>10</v>
      </c>
      <c r="C66" s="176">
        <f>EDATE(RCD,A65)</f>
        <v>46172</v>
      </c>
      <c r="D66" s="171">
        <f>Age_At_Entry+'Cashflows_4%'!B66-1</f>
        <v>44</v>
      </c>
      <c r="E66" s="175">
        <f>IF(AND(C66&lt;=Last_Prem,MOD(A65,Mode)=0,C66&gt;INPUT!$C$13,A66&lt;=Revival!$C$11),Mod_Prem,0)</f>
        <v>0</v>
      </c>
      <c r="F66" s="177">
        <f>IF(B66&lt;PT+1,E66*VLOOKUP(B66,'Pre-Calculation'!$H$1:$I$31,2,FALSE),0)</f>
        <v>0</v>
      </c>
      <c r="G66" s="177">
        <f>IF(B66&lt;PT+1,VLOOKUP(B66,'Pre-Calculation'!$H$1:$L$32,3,FALSE)+VLOOKUP(B66,'Pre-Calculation'!$H$1:$L$32,4,FALSE)*'Pre-Calculation'!$D$7,0)</f>
        <v>830</v>
      </c>
      <c r="H66" s="175">
        <f>(E66-(F66+G66)*(1+Tax)+N65)</f>
        <v>1200996.182</v>
      </c>
      <c r="I66" s="175">
        <f>IF(B66&lt;PT+1,VLOOKUP(D66,'Pre-Calculation'!$N$3:$P$79,IF(INPUT!$C$4="M",2,3),FALSE)*(J66/1000)*(1/12),0)</f>
        <v>0</v>
      </c>
      <c r="J66" s="175">
        <f t="shared" si="3"/>
        <v>0</v>
      </c>
      <c r="K66" s="175">
        <f>(IF('Pre-Calculation'!$D$17="Type 4 a",MAX(SA,H66,1.05*Q66),IF('Pre-Calculation'!$D$17="Type 4 c",H66,IF('Pre-Calculation'!$D$17="Type 4 d",SA+H66,IF('Pre-Calculation'!$D$17="Type 4 e",MAX(SA,H66),IF('Pre-Calculation'!$D$17="Type 4 f",SA,IF('Pre-Calculation'!$D$17="Type 4 g",1000+H66,IF('Pre-Calculation'!$D$17="Type 4 h",SA+X66,IF('Pre-Calculation'!$D$17="Type 4 i",MAX(H66,Q66),IF('Pre-Calculation'!$D$17="Type 4 k",MAX(H66,1.01*Q66),IF('Pre-Calculation'!$D$17="Type 4 m",MAX(105%*Q66,SA+H66),IF('Pre-Calculation'!$D$17="Type 4 o",MAX(SA,105%*Q66)+X66+Z66,IF('Pre-Calculation'!$D$17="Type 5",0)))))))))))))*IF(AND(A66&lt;Revival!$C$4,C66&gt;=Revival!$D$12),PUP,1)</f>
        <v>1200996.182</v>
      </c>
      <c r="L66" s="175">
        <f>H66-I66*(1+Tax)</f>
        <v>1200996.182</v>
      </c>
      <c r="M66" s="175">
        <f>L66*(1+GROWTH_RATE_L)*(1-FMC*(1+Tax))</f>
        <v>1203329.259</v>
      </c>
      <c r="N66" s="175">
        <f>M66+IF(MOD(A66,B66)=0,VLOOKUP(B66,'Pre-Calculation'!$H$1:$L$31,5,FALSE),0)*IF('Pre-Calculation'!$D$16="% OF FV",M66,IF(OR('Pre-Calculation'!$D$16="% OF AFV(24M)",'Pre-Calculation'!$D$16="% OF AFV(8Q)"),AVERAGE( $M43:$M66),IF('Pre-Calculation'!$D$16="% OF AFV(12M)",AVERAGE($M55:M66),IF('Pre-Calculation'!$D$16="% OF AFV(36M)",AVERAGE($M31:M66)))))</f>
        <v>1203329.259</v>
      </c>
      <c r="O66" s="175">
        <f t="shared" si="4"/>
        <v>1203329.259</v>
      </c>
      <c r="P66" s="175">
        <f>IF('Pre-Calculation'!$D$17="Type 4 a",MAX(SA,N66,1.05*Q66),IF('Pre-Calculation'!$D$17="Type 4 c",N66,IF('Pre-Calculation'!$D$17="Type 4 d",SA+N66,IF('Pre-Calculation'!$D$17="Type 4 e",MAX(SA,N66),IF('Pre-Calculation'!$D$17="Type 4 f",SA,IF('Pre-Calculation'!$D$17="Type 4 g",1000+N66,IF('Pre-Calculation'!$D$17="Type 4 h",SA+X66,IF('Pre-Calculation'!$D$17="Type 4 i",MAX(N66,Q66),IF('Pre-Calculation'!$D$17="Type 4 k",MAX(N66,1.01*Q66),IF('Pre-Calculation'!$D$17="Type 4 m",MAX(105%*Q66,SA+N66),IF('Pre-Calculation'!$D$17="Type 4 o",MAX(SA,105%*Q66)+X66+Z66,IF('Pre-Calculation'!$D$17="Type 5",0))))))))))))</f>
        <v>1203329.259</v>
      </c>
      <c r="Q66" s="175">
        <f t="shared" si="5"/>
        <v>1000000</v>
      </c>
      <c r="R66" s="119">
        <f>L66*(1+GROWTH_RATE)*FMC</f>
        <v>1359.074367</v>
      </c>
      <c r="S66" s="178">
        <f>S65*(1+'Pre-Calculation'!$E$27)</f>
        <v>771996.0987</v>
      </c>
      <c r="T66" s="175">
        <f>-E66+IF(A65=INPUT!$C$11*12,N66,0)</f>
        <v>0</v>
      </c>
      <c r="U66" s="175">
        <f t="shared" si="6"/>
        <v>1243445.668</v>
      </c>
      <c r="V66" s="175">
        <f>U66*(1+GROWTH_RATE_L)*(1-'Pre-Calculation'!$E$31)</f>
        <v>1245438.866</v>
      </c>
      <c r="W66" s="175">
        <f>-E66+IF(A65=INPUT!$C$11*12,V66,0)</f>
        <v>0</v>
      </c>
      <c r="X66" s="179">
        <f t="array" ref="X66">NPV('Pre-Calculation'!$E$20,$E67:E$246)</f>
        <v>0</v>
      </c>
      <c r="Y66" s="171">
        <f>10%*SA</f>
        <v>100000</v>
      </c>
      <c r="Z66" s="179">
        <f t="array" ref="Z66">NPV('Pre-Calculation'!$E$20,Y67:Y76)</f>
        <v>969592.8037</v>
      </c>
    </row>
    <row r="67" ht="15.75" customHeight="1">
      <c r="A67" s="171">
        <f t="shared" si="1"/>
        <v>121</v>
      </c>
      <c r="B67" s="171">
        <f t="shared" si="2"/>
        <v>11</v>
      </c>
      <c r="C67" s="176">
        <f>EDATE(RCD,A66)</f>
        <v>46203</v>
      </c>
      <c r="D67" s="171">
        <f>Age_At_Entry+'Cashflows_4%'!B67-1</f>
        <v>45</v>
      </c>
      <c r="E67" s="175">
        <f>IF(AND(C67&lt;=Last_Prem,MOD(A66,Mode)=0,C67&gt;INPUT!$C$13,A67&lt;=Revival!$C$11),Mod_Prem,0)</f>
        <v>0</v>
      </c>
      <c r="F67" s="177">
        <f>IF(B67&lt;PT+1,E67*VLOOKUP(B67,'Pre-Calculation'!$H$1:$I$31,2,FALSE),0)</f>
        <v>0</v>
      </c>
      <c r="G67" s="177">
        <f>IF(B67&lt;PT+1,VLOOKUP(B67,'Pre-Calculation'!$H$1:$L$32,3,FALSE)+VLOOKUP(B67,'Pre-Calculation'!$H$1:$L$32,4,FALSE)*'Pre-Calculation'!$D$7,0)</f>
        <v>0</v>
      </c>
      <c r="H67" s="175">
        <f>(E67-(F67+G67)*(1+Tax)+N66)</f>
        <v>1203329.259</v>
      </c>
      <c r="I67" s="175">
        <f>IF(B67&lt;PT+1,VLOOKUP(D67,'Pre-Calculation'!$N$3:$P$79,IF(INPUT!$C$4="M",2,3),FALSE)*(J67/1000)*(1/12),0)</f>
        <v>0</v>
      </c>
      <c r="J67" s="175">
        <f t="shared" si="3"/>
        <v>0</v>
      </c>
      <c r="K67" s="175">
        <f>(IF('Pre-Calculation'!$D$17="Type 4 a",MAX(SA,H67,1.05*Q67),IF('Pre-Calculation'!$D$17="Type 4 c",H67,IF('Pre-Calculation'!$D$17="Type 4 d",SA+H67,IF('Pre-Calculation'!$D$17="Type 4 e",MAX(SA,H67),IF('Pre-Calculation'!$D$17="Type 4 f",SA,IF('Pre-Calculation'!$D$17="Type 4 g",1000+H67,IF('Pre-Calculation'!$D$17="Type 4 h",SA+X67,IF('Pre-Calculation'!$D$17="Type 4 i",MAX(H67,Q67),IF('Pre-Calculation'!$D$17="Type 4 k",MAX(H67,1.01*Q67),IF('Pre-Calculation'!$D$17="Type 4 m",MAX(105%*Q67,SA+H67),IF('Pre-Calculation'!$D$17="Type 4 o",MAX(SA,105%*Q67)+X67+Z67,IF('Pre-Calculation'!$D$17="Type 5",0)))))))))))))*IF(AND(A67&lt;Revival!$C$4,C67&gt;=Revival!$D$12),PUP,1)</f>
        <v>1203329.259</v>
      </c>
      <c r="L67" s="175">
        <f>H67-I67*(1+Tax)</f>
        <v>1203329.259</v>
      </c>
      <c r="M67" s="175">
        <f>L67*(1+GROWTH_RATE_L)*(1-FMC*(1+Tax))</f>
        <v>1205666.868</v>
      </c>
      <c r="N67" s="175">
        <f>M67+IF(MOD(A67,B67)=0,VLOOKUP(B67,'Pre-Calculation'!$H$1:$L$31,5,FALSE),0)*IF('Pre-Calculation'!$D$16="% OF FV",M67,IF(OR('Pre-Calculation'!$D$16="% OF AFV(24M)",'Pre-Calculation'!$D$16="% OF AFV(8Q)"),AVERAGE( $M44:$M67),IF('Pre-Calculation'!$D$16="% OF AFV(12M)",AVERAGE($M56:M67),IF('Pre-Calculation'!$D$16="% OF AFV(36M)",AVERAGE($M32:M67)))))</f>
        <v>1205666.868</v>
      </c>
      <c r="O67" s="175">
        <f t="shared" si="4"/>
        <v>1205666.868</v>
      </c>
      <c r="P67" s="175">
        <f>IF('Pre-Calculation'!$D$17="Type 4 a",MAX(SA,N67,1.05*Q67),IF('Pre-Calculation'!$D$17="Type 4 c",N67,IF('Pre-Calculation'!$D$17="Type 4 d",SA+N67,IF('Pre-Calculation'!$D$17="Type 4 e",MAX(SA,N67),IF('Pre-Calculation'!$D$17="Type 4 f",SA,IF('Pre-Calculation'!$D$17="Type 4 g",1000+N67,IF('Pre-Calculation'!$D$17="Type 4 h",SA+X67,IF('Pre-Calculation'!$D$17="Type 4 i",MAX(N67,Q67),IF('Pre-Calculation'!$D$17="Type 4 k",MAX(N67,1.01*Q67),IF('Pre-Calculation'!$D$17="Type 4 m",MAX(105%*Q67,SA+N67),IF('Pre-Calculation'!$D$17="Type 4 o",MAX(SA,105%*Q67)+X67+Z67,IF('Pre-Calculation'!$D$17="Type 5",0))))))))))))</f>
        <v>1205666.868</v>
      </c>
      <c r="Q67" s="175">
        <f t="shared" si="5"/>
        <v>1000000</v>
      </c>
      <c r="R67" s="119">
        <f>L67*(1+GROWTH_RATE)*FMC</f>
        <v>1361.71453</v>
      </c>
      <c r="S67" s="178">
        <f>S66*(1+'Pre-Calculation'!$E$27)</f>
        <v>774212.4213</v>
      </c>
      <c r="T67" s="175">
        <f>-E67+IF(A66=INPUT!$C$11*12,N67,0)</f>
        <v>1205666.868</v>
      </c>
      <c r="U67" s="175">
        <f t="shared" si="6"/>
        <v>1245438.866</v>
      </c>
      <c r="V67" s="175">
        <f>U67*(1+GROWTH_RATE_L)*(1-'Pre-Calculation'!$E$31)</f>
        <v>1247435.26</v>
      </c>
      <c r="W67" s="175">
        <f>-E67+IF(A66=INPUT!$C$11*12,V67,0)</f>
        <v>1247435.26</v>
      </c>
      <c r="X67" s="179">
        <f t="array" ref="X67">NPV('Pre-Calculation'!$E$20,$E68:E$246)</f>
        <v>0</v>
      </c>
      <c r="Y67" s="171">
        <f>10%*SA</f>
        <v>100000</v>
      </c>
      <c r="Z67" s="179">
        <f t="array" ref="Z67">NPV('Pre-Calculation'!$E$20,Y68:Y77)</f>
        <v>969592.8037</v>
      </c>
    </row>
    <row r="68" ht="15.75" customHeight="1">
      <c r="A68" s="171">
        <f t="shared" si="1"/>
        <v>122</v>
      </c>
      <c r="B68" s="171">
        <f t="shared" si="2"/>
        <v>11</v>
      </c>
      <c r="C68" s="176">
        <f>EDATE(RCD,A67)</f>
        <v>46233</v>
      </c>
      <c r="D68" s="171">
        <f>Age_At_Entry+'Cashflows_4%'!B68-1</f>
        <v>45</v>
      </c>
      <c r="E68" s="175">
        <f>IF(AND(C68&lt;=Last_Prem,MOD(A67,Mode)=0,C68&gt;INPUT!$C$13,A68&lt;=Revival!$C$11),Mod_Prem,0)</f>
        <v>0</v>
      </c>
      <c r="F68" s="177">
        <f>IF(B68&lt;PT+1,E68*VLOOKUP(B68,'Pre-Calculation'!$H$1:$I$31,2,FALSE),0)</f>
        <v>0</v>
      </c>
      <c r="G68" s="177">
        <f>IF(B68&lt;PT+1,VLOOKUP(B68,'Pre-Calculation'!$H$1:$L$32,3,FALSE)+VLOOKUP(B68,'Pre-Calculation'!$H$1:$L$32,4,FALSE)*'Pre-Calculation'!$D$7,0)</f>
        <v>0</v>
      </c>
      <c r="H68" s="175">
        <f>(E68-(F68+G68)*(1+Tax)+N67)</f>
        <v>1205666.868</v>
      </c>
      <c r="I68" s="175">
        <f>IF(B68&lt;PT+1,VLOOKUP(D68,'Pre-Calculation'!$N$3:$P$79,IF(INPUT!$C$4="M",2,3),FALSE)*(J68/1000)*(1/12),0)</f>
        <v>0</v>
      </c>
      <c r="J68" s="175">
        <f t="shared" si="3"/>
        <v>0</v>
      </c>
      <c r="K68" s="175">
        <f>(IF('Pre-Calculation'!$D$17="Type 4 a",MAX(SA,H68,1.05*Q68),IF('Pre-Calculation'!$D$17="Type 4 c",H68,IF('Pre-Calculation'!$D$17="Type 4 d",SA+H68,IF('Pre-Calculation'!$D$17="Type 4 e",MAX(SA,H68),IF('Pre-Calculation'!$D$17="Type 4 f",SA,IF('Pre-Calculation'!$D$17="Type 4 g",1000+H68,IF('Pre-Calculation'!$D$17="Type 4 h",SA+X68,IF('Pre-Calculation'!$D$17="Type 4 i",MAX(H68,Q68),IF('Pre-Calculation'!$D$17="Type 4 k",MAX(H68,1.01*Q68),IF('Pre-Calculation'!$D$17="Type 4 m",MAX(105%*Q68,SA+H68),IF('Pre-Calculation'!$D$17="Type 4 o",MAX(SA,105%*Q68)+X68+Z68,IF('Pre-Calculation'!$D$17="Type 5",0)))))))))))))*IF(AND(A68&lt;Revival!$C$4,C68&gt;=Revival!$D$12),PUP,1)</f>
        <v>1205666.868</v>
      </c>
      <c r="L68" s="175">
        <f>H68-I68*(1+Tax)</f>
        <v>1205666.868</v>
      </c>
      <c r="M68" s="175">
        <f>L68*(1+GROWTH_RATE_L)*(1-FMC*(1+Tax))</f>
        <v>1208009.019</v>
      </c>
      <c r="N68" s="175">
        <f>M68+IF(MOD(A68,B68)=0,VLOOKUP(B68,'Pre-Calculation'!$H$1:$L$31,5,FALSE),0)*IF('Pre-Calculation'!$D$16="% OF FV",M68,IF(OR('Pre-Calculation'!$D$16="% OF AFV(24M)",'Pre-Calculation'!$D$16="% OF AFV(8Q)"),AVERAGE( $M45:$M68),IF('Pre-Calculation'!$D$16="% OF AFV(12M)",AVERAGE($M57:M68),IF('Pre-Calculation'!$D$16="% OF AFV(36M)",AVERAGE($M33:M68)))))</f>
        <v>1208009.019</v>
      </c>
      <c r="O68" s="175">
        <f t="shared" si="4"/>
        <v>1208009.019</v>
      </c>
      <c r="P68" s="175">
        <f>IF('Pre-Calculation'!$D$17="Type 4 a",MAX(SA,N68,1.05*Q68),IF('Pre-Calculation'!$D$17="Type 4 c",N68,IF('Pre-Calculation'!$D$17="Type 4 d",SA+N68,IF('Pre-Calculation'!$D$17="Type 4 e",MAX(SA,N68),IF('Pre-Calculation'!$D$17="Type 4 f",SA,IF('Pre-Calculation'!$D$17="Type 4 g",1000+N68,IF('Pre-Calculation'!$D$17="Type 4 h",SA+X68,IF('Pre-Calculation'!$D$17="Type 4 i",MAX(N68,Q68),IF('Pre-Calculation'!$D$17="Type 4 k",MAX(N68,1.01*Q68),IF('Pre-Calculation'!$D$17="Type 4 m",MAX(105%*Q68,SA+N68),IF('Pre-Calculation'!$D$17="Type 4 o",MAX(SA,105%*Q68)+X68+Z68,IF('Pre-Calculation'!$D$17="Type 5",0))))))))))))</f>
        <v>1208009.019</v>
      </c>
      <c r="Q68" s="175">
        <f t="shared" si="5"/>
        <v>1000000</v>
      </c>
      <c r="R68" s="119">
        <f>L68*(1+GROWTH_RATE)*FMC</f>
        <v>1364.359821</v>
      </c>
      <c r="S68" s="178">
        <f>S67*(1+'Pre-Calculation'!$E$27)</f>
        <v>776435.1067</v>
      </c>
      <c r="T68" s="175">
        <f>-E68+IF(A67=INPUT!$C$11*12,N68,0)</f>
        <v>0</v>
      </c>
      <c r="U68" s="175">
        <f t="shared" si="6"/>
        <v>1247435.26</v>
      </c>
      <c r="V68" s="175">
        <f>U68*(1+GROWTH_RATE_L)*(1-'Pre-Calculation'!$E$31)</f>
        <v>1249434.853</v>
      </c>
      <c r="W68" s="175">
        <f>-E68+IF(A67=INPUT!$C$11*12,V68,0)</f>
        <v>0</v>
      </c>
      <c r="X68" s="179">
        <f t="array" ref="X68">NPV('Pre-Calculation'!$E$20,$E69:E$246)</f>
        <v>0</v>
      </c>
      <c r="Y68" s="171">
        <f>10%*SA</f>
        <v>100000</v>
      </c>
      <c r="Z68" s="179">
        <f t="array" ref="Z68">NPV('Pre-Calculation'!$E$20,Y69:Y78)</f>
        <v>969592.8037</v>
      </c>
    </row>
    <row r="69" ht="15.75" customHeight="1">
      <c r="A69" s="171">
        <f t="shared" si="1"/>
        <v>123</v>
      </c>
      <c r="B69" s="171">
        <f t="shared" si="2"/>
        <v>11</v>
      </c>
      <c r="C69" s="176">
        <f>EDATE(RCD,A68)</f>
        <v>46264</v>
      </c>
      <c r="D69" s="171">
        <f>Age_At_Entry+'Cashflows_4%'!B69-1</f>
        <v>45</v>
      </c>
      <c r="E69" s="175">
        <f>IF(AND(C69&lt;=Last_Prem,MOD(A68,Mode)=0,C69&gt;INPUT!$C$13,A69&lt;=Revival!$C$11),Mod_Prem,0)</f>
        <v>0</v>
      </c>
      <c r="F69" s="177">
        <f>IF(B69&lt;PT+1,E69*VLOOKUP(B69,'Pre-Calculation'!$H$1:$I$31,2,FALSE),0)</f>
        <v>0</v>
      </c>
      <c r="G69" s="177">
        <f>IF(B69&lt;PT+1,VLOOKUP(B69,'Pre-Calculation'!$H$1:$L$32,3,FALSE)+VLOOKUP(B69,'Pre-Calculation'!$H$1:$L$32,4,FALSE)*'Pre-Calculation'!$D$7,0)</f>
        <v>0</v>
      </c>
      <c r="H69" s="175">
        <f>(E69-(F69+G69)*(1+Tax)+N68)</f>
        <v>1208009.019</v>
      </c>
      <c r="I69" s="175">
        <f>IF(B69&lt;PT+1,VLOOKUP(D69,'Pre-Calculation'!$N$3:$P$79,IF(INPUT!$C$4="M",2,3),FALSE)*(J69/1000)*(1/12),0)</f>
        <v>0</v>
      </c>
      <c r="J69" s="175">
        <f t="shared" si="3"/>
        <v>0</v>
      </c>
      <c r="K69" s="175">
        <f>(IF('Pre-Calculation'!$D$17="Type 4 a",MAX(SA,H69,1.05*Q69),IF('Pre-Calculation'!$D$17="Type 4 c",H69,IF('Pre-Calculation'!$D$17="Type 4 d",SA+H69,IF('Pre-Calculation'!$D$17="Type 4 e",MAX(SA,H69),IF('Pre-Calculation'!$D$17="Type 4 f",SA,IF('Pre-Calculation'!$D$17="Type 4 g",1000+H69,IF('Pre-Calculation'!$D$17="Type 4 h",SA+X69,IF('Pre-Calculation'!$D$17="Type 4 i",MAX(H69,Q69),IF('Pre-Calculation'!$D$17="Type 4 k",MAX(H69,1.01*Q69),IF('Pre-Calculation'!$D$17="Type 4 m",MAX(105%*Q69,SA+H69),IF('Pre-Calculation'!$D$17="Type 4 o",MAX(SA,105%*Q69)+X69+Z69,IF('Pre-Calculation'!$D$17="Type 5",0)))))))))))))*IF(AND(A69&lt;Revival!$C$4,C69&gt;=Revival!$D$12),PUP,1)</f>
        <v>1208009.019</v>
      </c>
      <c r="L69" s="175">
        <f>H69-I69*(1+Tax)</f>
        <v>1208009.019</v>
      </c>
      <c r="M69" s="175">
        <f>L69*(1+GROWTH_RATE_L)*(1-FMC*(1+Tax))</f>
        <v>1210355.719</v>
      </c>
      <c r="N69" s="175">
        <f>M69+IF(MOD(A69,B69)=0,VLOOKUP(B69,'Pre-Calculation'!$H$1:$L$31,5,FALSE),0)*IF('Pre-Calculation'!$D$16="% OF FV",M69,IF(OR('Pre-Calculation'!$D$16="% OF AFV(24M)",'Pre-Calculation'!$D$16="% OF AFV(8Q)"),AVERAGE( $M46:$M69),IF('Pre-Calculation'!$D$16="% OF AFV(12M)",AVERAGE($M58:M69),IF('Pre-Calculation'!$D$16="% OF AFV(36M)",AVERAGE($M34:M69)))))</f>
        <v>1210355.719</v>
      </c>
      <c r="O69" s="175">
        <f t="shared" si="4"/>
        <v>1210355.719</v>
      </c>
      <c r="P69" s="175">
        <f>IF('Pre-Calculation'!$D$17="Type 4 a",MAX(SA,N69,1.05*Q69),IF('Pre-Calculation'!$D$17="Type 4 c",N69,IF('Pre-Calculation'!$D$17="Type 4 d",SA+N69,IF('Pre-Calculation'!$D$17="Type 4 e",MAX(SA,N69),IF('Pre-Calculation'!$D$17="Type 4 f",SA,IF('Pre-Calculation'!$D$17="Type 4 g",1000+N69,IF('Pre-Calculation'!$D$17="Type 4 h",SA+X69,IF('Pre-Calculation'!$D$17="Type 4 i",MAX(N69,Q69),IF('Pre-Calculation'!$D$17="Type 4 k",MAX(N69,1.01*Q69),IF('Pre-Calculation'!$D$17="Type 4 m",MAX(105%*Q69,SA+N69),IF('Pre-Calculation'!$D$17="Type 4 o",MAX(SA,105%*Q69)+X69+Z69,IF('Pre-Calculation'!$D$17="Type 5",0))))))))))))</f>
        <v>1210355.719</v>
      </c>
      <c r="Q69" s="175">
        <f t="shared" si="5"/>
        <v>1000000</v>
      </c>
      <c r="R69" s="119">
        <f>L69*(1+GROWTH_RATE)*FMC</f>
        <v>1367.010251</v>
      </c>
      <c r="S69" s="178">
        <f>S68*(1+'Pre-Calculation'!$E$27)</f>
        <v>778664.1733</v>
      </c>
      <c r="T69" s="175">
        <f>-E69+IF(A68=INPUT!$C$11*12,N69,0)</f>
        <v>0</v>
      </c>
      <c r="U69" s="175">
        <f t="shared" si="6"/>
        <v>1249434.853</v>
      </c>
      <c r="V69" s="175">
        <f>U69*(1+GROWTH_RATE_L)*(1-'Pre-Calculation'!$E$31)</f>
        <v>1251437.652</v>
      </c>
      <c r="W69" s="175">
        <f>-E69+IF(A68=INPUT!$C$11*12,V69,0)</f>
        <v>0</v>
      </c>
      <c r="X69" s="179">
        <f t="array" ref="X69">NPV('Pre-Calculation'!$E$20,$E70:E$246)</f>
        <v>0</v>
      </c>
      <c r="Y69" s="171">
        <f>10%*SA</f>
        <v>100000</v>
      </c>
      <c r="Z69" s="179">
        <f t="array" ref="Z69">NPV('Pre-Calculation'!$E$20,Y70:Y79)</f>
        <v>969592.8037</v>
      </c>
    </row>
    <row r="70" ht="15.75" customHeight="1">
      <c r="A70" s="171">
        <f t="shared" si="1"/>
        <v>124</v>
      </c>
      <c r="B70" s="171">
        <f t="shared" si="2"/>
        <v>11</v>
      </c>
      <c r="C70" s="176">
        <f>EDATE(RCD,A69)</f>
        <v>46295</v>
      </c>
      <c r="D70" s="171">
        <f>Age_At_Entry+'Cashflows_4%'!B70-1</f>
        <v>45</v>
      </c>
      <c r="E70" s="175">
        <f>IF(AND(C70&lt;=Last_Prem,MOD(A69,Mode)=0,C70&gt;INPUT!$C$13,A70&lt;=Revival!$C$11),Mod_Prem,0)</f>
        <v>0</v>
      </c>
      <c r="F70" s="177">
        <f>IF(B70&lt;PT+1,E70*VLOOKUP(B70,'Pre-Calculation'!$H$1:$I$31,2,FALSE),0)</f>
        <v>0</v>
      </c>
      <c r="G70" s="177">
        <f>IF(B70&lt;PT+1,VLOOKUP(B70,'Pre-Calculation'!$H$1:$L$32,3,FALSE)+VLOOKUP(B70,'Pre-Calculation'!$H$1:$L$32,4,FALSE)*'Pre-Calculation'!$D$7,0)</f>
        <v>0</v>
      </c>
      <c r="H70" s="175">
        <f>(E70-(F70+G70)*(1+Tax)+N69)</f>
        <v>1210355.719</v>
      </c>
      <c r="I70" s="175">
        <f>IF(B70&lt;PT+1,VLOOKUP(D70,'Pre-Calculation'!$N$3:$P$79,IF(INPUT!$C$4="M",2,3),FALSE)*(J70/1000)*(1/12),0)</f>
        <v>0</v>
      </c>
      <c r="J70" s="175">
        <f t="shared" si="3"/>
        <v>0</v>
      </c>
      <c r="K70" s="175">
        <f>(IF('Pre-Calculation'!$D$17="Type 4 a",MAX(SA,H70,1.05*Q70),IF('Pre-Calculation'!$D$17="Type 4 c",H70,IF('Pre-Calculation'!$D$17="Type 4 d",SA+H70,IF('Pre-Calculation'!$D$17="Type 4 e",MAX(SA,H70),IF('Pre-Calculation'!$D$17="Type 4 f",SA,IF('Pre-Calculation'!$D$17="Type 4 g",1000+H70,IF('Pre-Calculation'!$D$17="Type 4 h",SA+X70,IF('Pre-Calculation'!$D$17="Type 4 i",MAX(H70,Q70),IF('Pre-Calculation'!$D$17="Type 4 k",MAX(H70,1.01*Q70),IF('Pre-Calculation'!$D$17="Type 4 m",MAX(105%*Q70,SA+H70),IF('Pre-Calculation'!$D$17="Type 4 o",MAX(SA,105%*Q70)+X70+Z70,IF('Pre-Calculation'!$D$17="Type 5",0)))))))))))))*IF(AND(A70&lt;Revival!$C$4,C70&gt;=Revival!$D$12),PUP,1)</f>
        <v>1210355.719</v>
      </c>
      <c r="L70" s="175">
        <f>H70-I70*(1+Tax)</f>
        <v>1210355.719</v>
      </c>
      <c r="M70" s="175">
        <f>L70*(1+GROWTH_RATE_L)*(1-FMC*(1+Tax))</f>
        <v>1212706.978</v>
      </c>
      <c r="N70" s="175">
        <f>M70+IF(MOD(A70,B70)=0,VLOOKUP(B70,'Pre-Calculation'!$H$1:$L$31,5,FALSE),0)*IF('Pre-Calculation'!$D$16="% OF FV",M70,IF(OR('Pre-Calculation'!$D$16="% OF AFV(24M)",'Pre-Calculation'!$D$16="% OF AFV(8Q)"),AVERAGE( $M47:$M70),IF('Pre-Calculation'!$D$16="% OF AFV(12M)",AVERAGE($M59:M70),IF('Pre-Calculation'!$D$16="% OF AFV(36M)",AVERAGE($M35:M70)))))</f>
        <v>1212706.978</v>
      </c>
      <c r="O70" s="175">
        <f t="shared" si="4"/>
        <v>1212706.978</v>
      </c>
      <c r="P70" s="175">
        <f>IF('Pre-Calculation'!$D$17="Type 4 a",MAX(SA,N70,1.05*Q70),IF('Pre-Calculation'!$D$17="Type 4 c",N70,IF('Pre-Calculation'!$D$17="Type 4 d",SA+N70,IF('Pre-Calculation'!$D$17="Type 4 e",MAX(SA,N70),IF('Pre-Calculation'!$D$17="Type 4 f",SA,IF('Pre-Calculation'!$D$17="Type 4 g",1000+N70,IF('Pre-Calculation'!$D$17="Type 4 h",SA+X70,IF('Pre-Calculation'!$D$17="Type 4 i",MAX(N70,Q70),IF('Pre-Calculation'!$D$17="Type 4 k",MAX(N70,1.01*Q70),IF('Pre-Calculation'!$D$17="Type 4 m",MAX(105%*Q70,SA+N70),IF('Pre-Calculation'!$D$17="Type 4 o",MAX(SA,105%*Q70)+X70+Z70,IF('Pre-Calculation'!$D$17="Type 5",0))))))))))))</f>
        <v>1212706.978</v>
      </c>
      <c r="Q70" s="175">
        <f t="shared" si="5"/>
        <v>1000000</v>
      </c>
      <c r="R70" s="119">
        <f>L70*(1+GROWTH_RATE)*FMC</f>
        <v>1369.66583</v>
      </c>
      <c r="S70" s="178">
        <f>S69*(1+'Pre-Calculation'!$E$27)</f>
        <v>780899.6393</v>
      </c>
      <c r="T70" s="175">
        <f>-E70+IF(A69=INPUT!$C$11*12,N70,0)</f>
        <v>0</v>
      </c>
      <c r="U70" s="175">
        <f t="shared" si="6"/>
        <v>1251437.652</v>
      </c>
      <c r="V70" s="175">
        <f>U70*(1+GROWTH_RATE_L)*(1-'Pre-Calculation'!$E$31)</f>
        <v>1253443.661</v>
      </c>
      <c r="W70" s="175">
        <f>-E70+IF(A69=INPUT!$C$11*12,V70,0)</f>
        <v>0</v>
      </c>
      <c r="X70" s="179">
        <f t="array" ref="X70">NPV('Pre-Calculation'!$E$20,$E71:E$246)</f>
        <v>0</v>
      </c>
      <c r="Y70" s="171">
        <f>10%*SA</f>
        <v>100000</v>
      </c>
      <c r="Z70" s="179">
        <f t="array" ref="Z70">NPV('Pre-Calculation'!$E$20,Y71:Y80)</f>
        <v>969592.8037</v>
      </c>
    </row>
    <row r="71" ht="15.75" customHeight="1">
      <c r="A71" s="171">
        <f t="shared" si="1"/>
        <v>125</v>
      </c>
      <c r="B71" s="171">
        <f t="shared" si="2"/>
        <v>11</v>
      </c>
      <c r="C71" s="176">
        <f>EDATE(RCD,A70)</f>
        <v>46325</v>
      </c>
      <c r="D71" s="171">
        <f>Age_At_Entry+'Cashflows_4%'!B71-1</f>
        <v>45</v>
      </c>
      <c r="E71" s="175">
        <f>IF(AND(C71&lt;=Last_Prem,MOD(A70,Mode)=0,C71&gt;INPUT!$C$13,A71&lt;=Revival!$C$11),Mod_Prem,0)</f>
        <v>0</v>
      </c>
      <c r="F71" s="177">
        <f>IF(B71&lt;PT+1,E71*VLOOKUP(B71,'Pre-Calculation'!$H$1:$I$31,2,FALSE),0)</f>
        <v>0</v>
      </c>
      <c r="G71" s="177">
        <f>IF(B71&lt;PT+1,VLOOKUP(B71,'Pre-Calculation'!$H$1:$L$32,3,FALSE)+VLOOKUP(B71,'Pre-Calculation'!$H$1:$L$32,4,FALSE)*'Pre-Calculation'!$D$7,0)</f>
        <v>0</v>
      </c>
      <c r="H71" s="175">
        <f>(E71-(F71+G71)*(1+Tax)+N70)</f>
        <v>1212706.978</v>
      </c>
      <c r="I71" s="175">
        <f>IF(B71&lt;PT+1,VLOOKUP(D71,'Pre-Calculation'!$N$3:$P$79,IF(INPUT!$C$4="M",2,3),FALSE)*(J71/1000)*(1/12),0)</f>
        <v>0</v>
      </c>
      <c r="J71" s="175">
        <f t="shared" si="3"/>
        <v>0</v>
      </c>
      <c r="K71" s="175">
        <f>(IF('Pre-Calculation'!$D$17="Type 4 a",MAX(SA,H71,1.05*Q71),IF('Pre-Calculation'!$D$17="Type 4 c",H71,IF('Pre-Calculation'!$D$17="Type 4 d",SA+H71,IF('Pre-Calculation'!$D$17="Type 4 e",MAX(SA,H71),IF('Pre-Calculation'!$D$17="Type 4 f",SA,IF('Pre-Calculation'!$D$17="Type 4 g",1000+H71,IF('Pre-Calculation'!$D$17="Type 4 h",SA+X71,IF('Pre-Calculation'!$D$17="Type 4 i",MAX(H71,Q71),IF('Pre-Calculation'!$D$17="Type 4 k",MAX(H71,1.01*Q71),IF('Pre-Calculation'!$D$17="Type 4 m",MAX(105%*Q71,SA+H71),IF('Pre-Calculation'!$D$17="Type 4 o",MAX(SA,105%*Q71)+X71+Z71,IF('Pre-Calculation'!$D$17="Type 5",0)))))))))))))*IF(AND(A71&lt;Revival!$C$4,C71&gt;=Revival!$D$12),PUP,1)</f>
        <v>1212706.978</v>
      </c>
      <c r="L71" s="175">
        <f>H71-I71*(1+Tax)</f>
        <v>1212706.978</v>
      </c>
      <c r="M71" s="175">
        <f>L71*(1+GROWTH_RATE_L)*(1-FMC*(1+Tax))</f>
        <v>1215062.805</v>
      </c>
      <c r="N71" s="175">
        <f>M71+IF(MOD(A71,B71)=0,VLOOKUP(B71,'Pre-Calculation'!$H$1:$L$31,5,FALSE),0)*IF('Pre-Calculation'!$D$16="% OF FV",M71,IF(OR('Pre-Calculation'!$D$16="% OF AFV(24M)",'Pre-Calculation'!$D$16="% OF AFV(8Q)"),AVERAGE( $M48:$M71),IF('Pre-Calculation'!$D$16="% OF AFV(12M)",AVERAGE($M60:M71),IF('Pre-Calculation'!$D$16="% OF AFV(36M)",AVERAGE($M36:M71)))))</f>
        <v>1215062.805</v>
      </c>
      <c r="O71" s="175">
        <f t="shared" si="4"/>
        <v>1215062.805</v>
      </c>
      <c r="P71" s="175">
        <f>IF('Pre-Calculation'!$D$17="Type 4 a",MAX(SA,N71,1.05*Q71),IF('Pre-Calculation'!$D$17="Type 4 c",N71,IF('Pre-Calculation'!$D$17="Type 4 d",SA+N71,IF('Pre-Calculation'!$D$17="Type 4 e",MAX(SA,N71),IF('Pre-Calculation'!$D$17="Type 4 f",SA,IF('Pre-Calculation'!$D$17="Type 4 g",1000+N71,IF('Pre-Calculation'!$D$17="Type 4 h",SA+X71,IF('Pre-Calculation'!$D$17="Type 4 i",MAX(N71,Q71),IF('Pre-Calculation'!$D$17="Type 4 k",MAX(N71,1.01*Q71),IF('Pre-Calculation'!$D$17="Type 4 m",MAX(105%*Q71,SA+N71),IF('Pre-Calculation'!$D$17="Type 4 o",MAX(SA,105%*Q71)+X71+Z71,IF('Pre-Calculation'!$D$17="Type 5",0))))))))))))</f>
        <v>1215062.805</v>
      </c>
      <c r="Q71" s="175">
        <f t="shared" si="5"/>
        <v>1000000</v>
      </c>
      <c r="R71" s="119">
        <f>L71*(1+GROWTH_RATE)*FMC</f>
        <v>1372.326568</v>
      </c>
      <c r="S71" s="178">
        <f>S70*(1+'Pre-Calculation'!$E$27)</f>
        <v>783141.523</v>
      </c>
      <c r="T71" s="175">
        <f>-E71+IF(A70=INPUT!$C$11*12,N71,0)</f>
        <v>0</v>
      </c>
      <c r="U71" s="175">
        <f t="shared" si="6"/>
        <v>1253443.661</v>
      </c>
      <c r="V71" s="175">
        <f>U71*(1+GROWTH_RATE_L)*(1-'Pre-Calculation'!$E$31)</f>
        <v>1255452.886</v>
      </c>
      <c r="W71" s="175">
        <f>-E71+IF(A70=INPUT!$C$11*12,V71,0)</f>
        <v>0</v>
      </c>
      <c r="X71" s="179">
        <f t="array" ref="X71">NPV('Pre-Calculation'!$E$20,$E72:E$246)</f>
        <v>0</v>
      </c>
      <c r="Y71" s="171">
        <f>10%*SA</f>
        <v>100000</v>
      </c>
      <c r="Z71" s="179">
        <f t="array" ref="Z71">NPV('Pre-Calculation'!$E$20,Y72:Y81)</f>
        <v>969592.8037</v>
      </c>
    </row>
    <row r="72" ht="15.75" customHeight="1">
      <c r="A72" s="171">
        <f t="shared" si="1"/>
        <v>126</v>
      </c>
      <c r="B72" s="171">
        <f t="shared" si="2"/>
        <v>11</v>
      </c>
      <c r="C72" s="176">
        <f>EDATE(RCD,A71)</f>
        <v>46356</v>
      </c>
      <c r="D72" s="171">
        <f>Age_At_Entry+'Cashflows_4%'!B72-1</f>
        <v>45</v>
      </c>
      <c r="E72" s="175">
        <f>IF(AND(C72&lt;=Last_Prem,MOD(A71,Mode)=0,C72&gt;INPUT!$C$13,A72&lt;=Revival!$C$11),Mod_Prem,0)</f>
        <v>0</v>
      </c>
      <c r="F72" s="177">
        <f>IF(B72&lt;PT+1,E72*VLOOKUP(B72,'Pre-Calculation'!$H$1:$I$31,2,FALSE),0)</f>
        <v>0</v>
      </c>
      <c r="G72" s="177">
        <f>IF(B72&lt;PT+1,VLOOKUP(B72,'Pre-Calculation'!$H$1:$L$32,3,FALSE)+VLOOKUP(B72,'Pre-Calculation'!$H$1:$L$32,4,FALSE)*'Pre-Calculation'!$D$7,0)</f>
        <v>0</v>
      </c>
      <c r="H72" s="175">
        <f>(E72-(F72+G72)*(1+Tax)+N71)</f>
        <v>1215062.805</v>
      </c>
      <c r="I72" s="175">
        <f>IF(B72&lt;PT+1,VLOOKUP(D72,'Pre-Calculation'!$N$3:$P$79,IF(INPUT!$C$4="M",2,3),FALSE)*(J72/1000)*(1/12),0)</f>
        <v>0</v>
      </c>
      <c r="J72" s="175">
        <f t="shared" si="3"/>
        <v>0</v>
      </c>
      <c r="K72" s="175">
        <f>(IF('Pre-Calculation'!$D$17="Type 4 a",MAX(SA,H72,1.05*Q72),IF('Pre-Calculation'!$D$17="Type 4 c",H72,IF('Pre-Calculation'!$D$17="Type 4 d",SA+H72,IF('Pre-Calculation'!$D$17="Type 4 e",MAX(SA,H72),IF('Pre-Calculation'!$D$17="Type 4 f",SA,IF('Pre-Calculation'!$D$17="Type 4 g",1000+H72,IF('Pre-Calculation'!$D$17="Type 4 h",SA+X72,IF('Pre-Calculation'!$D$17="Type 4 i",MAX(H72,Q72),IF('Pre-Calculation'!$D$17="Type 4 k",MAX(H72,1.01*Q72),IF('Pre-Calculation'!$D$17="Type 4 m",MAX(105%*Q72,SA+H72),IF('Pre-Calculation'!$D$17="Type 4 o",MAX(SA,105%*Q72)+X72+Z72,IF('Pre-Calculation'!$D$17="Type 5",0)))))))))))))*IF(AND(A72&lt;Revival!$C$4,C72&gt;=Revival!$D$12),PUP,1)</f>
        <v>1215062.805</v>
      </c>
      <c r="L72" s="175">
        <f>H72-I72*(1+Tax)</f>
        <v>1215062.805</v>
      </c>
      <c r="M72" s="175">
        <f>L72*(1+GROWTH_RATE_L)*(1-FMC*(1+Tax))</f>
        <v>1217423.208</v>
      </c>
      <c r="N72" s="175">
        <f>M72+IF(MOD(A72,B72)=0,VLOOKUP(B72,'Pre-Calculation'!$H$1:$L$31,5,FALSE),0)*IF('Pre-Calculation'!$D$16="% OF FV",M72,IF(OR('Pre-Calculation'!$D$16="% OF AFV(24M)",'Pre-Calculation'!$D$16="% OF AFV(8Q)"),AVERAGE( $M49:$M72),IF('Pre-Calculation'!$D$16="% OF AFV(12M)",AVERAGE($M61:M72),IF('Pre-Calculation'!$D$16="% OF AFV(36M)",AVERAGE($M37:M72)))))</f>
        <v>1217423.208</v>
      </c>
      <c r="O72" s="175">
        <f t="shared" si="4"/>
        <v>1217423.208</v>
      </c>
      <c r="P72" s="175">
        <f>IF('Pre-Calculation'!$D$17="Type 4 a",MAX(SA,N72,1.05*Q72),IF('Pre-Calculation'!$D$17="Type 4 c",N72,IF('Pre-Calculation'!$D$17="Type 4 d",SA+N72,IF('Pre-Calculation'!$D$17="Type 4 e",MAX(SA,N72),IF('Pre-Calculation'!$D$17="Type 4 f",SA,IF('Pre-Calculation'!$D$17="Type 4 g",1000+N72,IF('Pre-Calculation'!$D$17="Type 4 h",SA+X72,IF('Pre-Calculation'!$D$17="Type 4 i",MAX(N72,Q72),IF('Pre-Calculation'!$D$17="Type 4 k",MAX(N72,1.01*Q72),IF('Pre-Calculation'!$D$17="Type 4 m",MAX(105%*Q72,SA+N72),IF('Pre-Calculation'!$D$17="Type 4 o",MAX(SA,105%*Q72)+X72+Z72,IF('Pre-Calculation'!$D$17="Type 5",0))))))))))))</f>
        <v>1217423.208</v>
      </c>
      <c r="Q72" s="175">
        <f t="shared" si="5"/>
        <v>1000000</v>
      </c>
      <c r="R72" s="119">
        <f>L72*(1+GROWTH_RATE)*FMC</f>
        <v>1374.992474</v>
      </c>
      <c r="S72" s="178">
        <f>S71*(1+'Pre-Calculation'!$E$27)</f>
        <v>785389.843</v>
      </c>
      <c r="T72" s="175">
        <f>-E72+IF(A71=INPUT!$C$11*12,N72,0)</f>
        <v>0</v>
      </c>
      <c r="U72" s="175">
        <f t="shared" si="6"/>
        <v>1255452.886</v>
      </c>
      <c r="V72" s="175">
        <f>U72*(1+GROWTH_RATE_L)*(1-'Pre-Calculation'!$E$31)</f>
        <v>1257465.332</v>
      </c>
      <c r="W72" s="175">
        <f>-E72+IF(A71=INPUT!$C$11*12,V72,0)</f>
        <v>0</v>
      </c>
      <c r="X72" s="179">
        <f t="array" ref="X72">NPV('Pre-Calculation'!$E$20,$E73:E$246)</f>
        <v>0</v>
      </c>
      <c r="Y72" s="171">
        <f>10%*SA</f>
        <v>100000</v>
      </c>
      <c r="Z72" s="179">
        <f t="array" ref="Z72">NPV('Pre-Calculation'!$E$20,Y73:Y82)</f>
        <v>969592.8037</v>
      </c>
    </row>
    <row r="73" ht="15.75" customHeight="1">
      <c r="A73" s="171">
        <f t="shared" si="1"/>
        <v>127</v>
      </c>
      <c r="B73" s="171">
        <f t="shared" si="2"/>
        <v>11</v>
      </c>
      <c r="C73" s="176">
        <f>EDATE(RCD,A72)</f>
        <v>46386</v>
      </c>
      <c r="D73" s="171">
        <f>Age_At_Entry+'Cashflows_4%'!B73-1</f>
        <v>45</v>
      </c>
      <c r="E73" s="175">
        <f>IF(AND(C73&lt;=Last_Prem,MOD(A72,Mode)=0,C73&gt;INPUT!$C$13,A73&lt;=Revival!$C$11),Mod_Prem,0)</f>
        <v>0</v>
      </c>
      <c r="F73" s="177">
        <f>IF(B73&lt;PT+1,E73*VLOOKUP(B73,'Pre-Calculation'!$H$1:$I$31,2,FALSE),0)</f>
        <v>0</v>
      </c>
      <c r="G73" s="177">
        <f>IF(B73&lt;PT+1,VLOOKUP(B73,'Pre-Calculation'!$H$1:$L$32,3,FALSE)+VLOOKUP(B73,'Pre-Calculation'!$H$1:$L$32,4,FALSE)*'Pre-Calculation'!$D$7,0)</f>
        <v>0</v>
      </c>
      <c r="H73" s="175">
        <f>(E73-(F73+G73)*(1+Tax)+N72)</f>
        <v>1217423.208</v>
      </c>
      <c r="I73" s="175">
        <f>IF(B73&lt;PT+1,VLOOKUP(D73,'Pre-Calculation'!$N$3:$P$79,IF(INPUT!$C$4="M",2,3),FALSE)*(J73/1000)*(1/12),0)</f>
        <v>0</v>
      </c>
      <c r="J73" s="175">
        <f t="shared" si="3"/>
        <v>0</v>
      </c>
      <c r="K73" s="175">
        <f>(IF('Pre-Calculation'!$D$17="Type 4 a",MAX(SA,H73,1.05*Q73),IF('Pre-Calculation'!$D$17="Type 4 c",H73,IF('Pre-Calculation'!$D$17="Type 4 d",SA+H73,IF('Pre-Calculation'!$D$17="Type 4 e",MAX(SA,H73),IF('Pre-Calculation'!$D$17="Type 4 f",SA,IF('Pre-Calculation'!$D$17="Type 4 g",1000+H73,IF('Pre-Calculation'!$D$17="Type 4 h",SA+X73,IF('Pre-Calculation'!$D$17="Type 4 i",MAX(H73,Q73),IF('Pre-Calculation'!$D$17="Type 4 k",MAX(H73,1.01*Q73),IF('Pre-Calculation'!$D$17="Type 4 m",MAX(105%*Q73,SA+H73),IF('Pre-Calculation'!$D$17="Type 4 o",MAX(SA,105%*Q73)+X73+Z73,IF('Pre-Calculation'!$D$17="Type 5",0)))))))))))))*IF(AND(A73&lt;Revival!$C$4,C73&gt;=Revival!$D$12),PUP,1)</f>
        <v>1217423.208</v>
      </c>
      <c r="L73" s="175">
        <f>H73-I73*(1+Tax)</f>
        <v>1217423.208</v>
      </c>
      <c r="M73" s="175">
        <f>L73*(1+GROWTH_RATE_L)*(1-FMC*(1+Tax))</f>
        <v>1219788.196</v>
      </c>
      <c r="N73" s="175">
        <f>M73+IF(MOD(A73,B73)=0,VLOOKUP(B73,'Pre-Calculation'!$H$1:$L$31,5,FALSE),0)*IF('Pre-Calculation'!$D$16="% OF FV",M73,IF(OR('Pre-Calculation'!$D$16="% OF AFV(24M)",'Pre-Calculation'!$D$16="% OF AFV(8Q)"),AVERAGE( $M50:$M73),IF('Pre-Calculation'!$D$16="% OF AFV(12M)",AVERAGE($M62:M73),IF('Pre-Calculation'!$D$16="% OF AFV(36M)",AVERAGE($M38:M73)))))</f>
        <v>1219788.196</v>
      </c>
      <c r="O73" s="175">
        <f t="shared" si="4"/>
        <v>1219788.196</v>
      </c>
      <c r="P73" s="175">
        <f>IF('Pre-Calculation'!$D$17="Type 4 a",MAX(SA,N73,1.05*Q73),IF('Pre-Calculation'!$D$17="Type 4 c",N73,IF('Pre-Calculation'!$D$17="Type 4 d",SA+N73,IF('Pre-Calculation'!$D$17="Type 4 e",MAX(SA,N73),IF('Pre-Calculation'!$D$17="Type 4 f",SA,IF('Pre-Calculation'!$D$17="Type 4 g",1000+N73,IF('Pre-Calculation'!$D$17="Type 4 h",SA+X73,IF('Pre-Calculation'!$D$17="Type 4 i",MAX(N73,Q73),IF('Pre-Calculation'!$D$17="Type 4 k",MAX(N73,1.01*Q73),IF('Pre-Calculation'!$D$17="Type 4 m",MAX(105%*Q73,SA+N73),IF('Pre-Calculation'!$D$17="Type 4 o",MAX(SA,105%*Q73)+X73+Z73,IF('Pre-Calculation'!$D$17="Type 5",0))))))))))))</f>
        <v>1219788.196</v>
      </c>
      <c r="Q73" s="175">
        <f t="shared" si="5"/>
        <v>1000000</v>
      </c>
      <c r="R73" s="119">
        <f>L73*(1+GROWTH_RATE)*FMC</f>
        <v>1377.66356</v>
      </c>
      <c r="S73" s="178">
        <f>S72*(1+'Pre-Calculation'!$E$27)</f>
        <v>787644.6177</v>
      </c>
      <c r="T73" s="175">
        <f>-E73+IF(A72=INPUT!$C$11*12,N73,0)</f>
        <v>0</v>
      </c>
      <c r="U73" s="175">
        <f t="shared" si="6"/>
        <v>1257465.332</v>
      </c>
      <c r="V73" s="175">
        <f>U73*(1+GROWTH_RATE_L)*(1-'Pre-Calculation'!$E$31)</f>
        <v>1259481.003</v>
      </c>
      <c r="W73" s="175">
        <f>-E73+IF(A72=INPUT!$C$11*12,V73,0)</f>
        <v>0</v>
      </c>
      <c r="X73" s="179">
        <f t="array" ref="X73">NPV('Pre-Calculation'!$E$20,$E74:E$246)</f>
        <v>0</v>
      </c>
      <c r="Y73" s="171">
        <f>10%*SA</f>
        <v>100000</v>
      </c>
      <c r="Z73" s="179">
        <f t="array" ref="Z73">NPV('Pre-Calculation'!$E$20,Y74:Y83)</f>
        <v>969592.8037</v>
      </c>
    </row>
    <row r="74" ht="15.75" customHeight="1">
      <c r="A74" s="171">
        <f t="shared" si="1"/>
        <v>128</v>
      </c>
      <c r="B74" s="171">
        <f t="shared" si="2"/>
        <v>11</v>
      </c>
      <c r="C74" s="176">
        <f>EDATE(RCD,A73)</f>
        <v>46417</v>
      </c>
      <c r="D74" s="171">
        <f>Age_At_Entry+'Cashflows_4%'!B74-1</f>
        <v>45</v>
      </c>
      <c r="E74" s="175">
        <f>IF(AND(C74&lt;=Last_Prem,MOD(A73,Mode)=0,C74&gt;INPUT!$C$13,A74&lt;=Revival!$C$11),Mod_Prem,0)</f>
        <v>0</v>
      </c>
      <c r="F74" s="177">
        <f>IF(B74&lt;PT+1,E74*VLOOKUP(B74,'Pre-Calculation'!$H$1:$I$31,2,FALSE),0)</f>
        <v>0</v>
      </c>
      <c r="G74" s="177">
        <f>IF(B74&lt;PT+1,VLOOKUP(B74,'Pre-Calculation'!$H$1:$L$32,3,FALSE)+VLOOKUP(B74,'Pre-Calculation'!$H$1:$L$32,4,FALSE)*'Pre-Calculation'!$D$7,0)</f>
        <v>0</v>
      </c>
      <c r="H74" s="175">
        <f>(E74-(F74+G74)*(1+Tax)+N73)</f>
        <v>1219788.196</v>
      </c>
      <c r="I74" s="175">
        <f>IF(B74&lt;PT+1,VLOOKUP(D74,'Pre-Calculation'!$N$3:$P$79,IF(INPUT!$C$4="M",2,3),FALSE)*(J74/1000)*(1/12),0)</f>
        <v>0</v>
      </c>
      <c r="J74" s="175">
        <f t="shared" si="3"/>
        <v>0</v>
      </c>
      <c r="K74" s="175">
        <f>(IF('Pre-Calculation'!$D$17="Type 4 a",MAX(SA,H74,1.05*Q74),IF('Pre-Calculation'!$D$17="Type 4 c",H74,IF('Pre-Calculation'!$D$17="Type 4 d",SA+H74,IF('Pre-Calculation'!$D$17="Type 4 e",MAX(SA,H74),IF('Pre-Calculation'!$D$17="Type 4 f",SA,IF('Pre-Calculation'!$D$17="Type 4 g",1000+H74,IF('Pre-Calculation'!$D$17="Type 4 h",SA+X74,IF('Pre-Calculation'!$D$17="Type 4 i",MAX(H74,Q74),IF('Pre-Calculation'!$D$17="Type 4 k",MAX(H74,1.01*Q74),IF('Pre-Calculation'!$D$17="Type 4 m",MAX(105%*Q74,SA+H74),IF('Pre-Calculation'!$D$17="Type 4 o",MAX(SA,105%*Q74)+X74+Z74,IF('Pre-Calculation'!$D$17="Type 5",0)))))))))))))*IF(AND(A74&lt;Revival!$C$4,C74&gt;=Revival!$D$12),PUP,1)</f>
        <v>1219788.196</v>
      </c>
      <c r="L74" s="175">
        <f>H74-I74*(1+Tax)</f>
        <v>1219788.196</v>
      </c>
      <c r="M74" s="175">
        <f>L74*(1+GROWTH_RATE_L)*(1-FMC*(1+Tax))</f>
        <v>1222157.779</v>
      </c>
      <c r="N74" s="175">
        <f>M74+IF(MOD(A74,B74)=0,VLOOKUP(B74,'Pre-Calculation'!$H$1:$L$31,5,FALSE),0)*IF('Pre-Calculation'!$D$16="% OF FV",M74,IF(OR('Pre-Calculation'!$D$16="% OF AFV(24M)",'Pre-Calculation'!$D$16="% OF AFV(8Q)"),AVERAGE( $M51:$M74),IF('Pre-Calculation'!$D$16="% OF AFV(12M)",AVERAGE($M63:M74),IF('Pre-Calculation'!$D$16="% OF AFV(36M)",AVERAGE($M39:M74)))))</f>
        <v>1222157.779</v>
      </c>
      <c r="O74" s="175">
        <f t="shared" si="4"/>
        <v>1222157.779</v>
      </c>
      <c r="P74" s="175">
        <f>IF('Pre-Calculation'!$D$17="Type 4 a",MAX(SA,N74,1.05*Q74),IF('Pre-Calculation'!$D$17="Type 4 c",N74,IF('Pre-Calculation'!$D$17="Type 4 d",SA+N74,IF('Pre-Calculation'!$D$17="Type 4 e",MAX(SA,N74),IF('Pre-Calculation'!$D$17="Type 4 f",SA,IF('Pre-Calculation'!$D$17="Type 4 g",1000+N74,IF('Pre-Calculation'!$D$17="Type 4 h",SA+X74,IF('Pre-Calculation'!$D$17="Type 4 i",MAX(N74,Q74),IF('Pre-Calculation'!$D$17="Type 4 k",MAX(N74,1.01*Q74),IF('Pre-Calculation'!$D$17="Type 4 m",MAX(105%*Q74,SA+N74),IF('Pre-Calculation'!$D$17="Type 4 o",MAX(SA,105%*Q74)+X74+Z74,IF('Pre-Calculation'!$D$17="Type 5",0))))))))))))</f>
        <v>1222157.779</v>
      </c>
      <c r="Q74" s="175">
        <f t="shared" si="5"/>
        <v>1000000</v>
      </c>
      <c r="R74" s="119">
        <f>L74*(1+GROWTH_RATE)*FMC</f>
        <v>1380.339834</v>
      </c>
      <c r="S74" s="178">
        <f>S73*(1+'Pre-Calculation'!$E$27)</f>
        <v>789905.8656</v>
      </c>
      <c r="T74" s="175">
        <f>-E74+IF(A73=INPUT!$C$11*12,N74,0)</f>
        <v>0</v>
      </c>
      <c r="U74" s="175">
        <f t="shared" si="6"/>
        <v>1259481.003</v>
      </c>
      <c r="V74" s="175">
        <f>U74*(1+GROWTH_RATE_L)*(1-'Pre-Calculation'!$E$31)</f>
        <v>1261499.906</v>
      </c>
      <c r="W74" s="175">
        <f>-E74+IF(A73=INPUT!$C$11*12,V74,0)</f>
        <v>0</v>
      </c>
      <c r="X74" s="179">
        <f t="array" ref="X74">NPV('Pre-Calculation'!$E$20,$E75:E$246)</f>
        <v>0</v>
      </c>
      <c r="Y74" s="171">
        <f>10%*SA</f>
        <v>100000</v>
      </c>
      <c r="Z74" s="179">
        <f t="array" ref="Z74">NPV('Pre-Calculation'!$E$20,Y75:Y84)</f>
        <v>969592.8037</v>
      </c>
    </row>
    <row r="75" ht="15.75" customHeight="1">
      <c r="A75" s="171">
        <f t="shared" si="1"/>
        <v>129</v>
      </c>
      <c r="B75" s="171">
        <f t="shared" si="2"/>
        <v>11</v>
      </c>
      <c r="C75" s="176">
        <f>EDATE(RCD,A74)</f>
        <v>46446</v>
      </c>
      <c r="D75" s="171">
        <f>Age_At_Entry+'Cashflows_4%'!B75-1</f>
        <v>45</v>
      </c>
      <c r="E75" s="175">
        <f>IF(AND(C75&lt;=Last_Prem,MOD(A74,Mode)=0,C75&gt;INPUT!$C$13,A75&lt;=Revival!$C$11),Mod_Prem,0)</f>
        <v>0</v>
      </c>
      <c r="F75" s="177">
        <f>IF(B75&lt;PT+1,E75*VLOOKUP(B75,'Pre-Calculation'!$H$1:$I$31,2,FALSE),0)</f>
        <v>0</v>
      </c>
      <c r="G75" s="177">
        <f>IF(B75&lt;PT+1,VLOOKUP(B75,'Pre-Calculation'!$H$1:$L$32,3,FALSE)+VLOOKUP(B75,'Pre-Calculation'!$H$1:$L$32,4,FALSE)*'Pre-Calculation'!$D$7,0)</f>
        <v>0</v>
      </c>
      <c r="H75" s="175">
        <f>(E75-(F75+G75)*(1+Tax)+N74)</f>
        <v>1222157.779</v>
      </c>
      <c r="I75" s="175">
        <f>IF(B75&lt;PT+1,VLOOKUP(D75,'Pre-Calculation'!$N$3:$P$79,IF(INPUT!$C$4="M",2,3),FALSE)*(J75/1000)*(1/12),0)</f>
        <v>0</v>
      </c>
      <c r="J75" s="175">
        <f t="shared" si="3"/>
        <v>0</v>
      </c>
      <c r="K75" s="175">
        <f>(IF('Pre-Calculation'!$D$17="Type 4 a",MAX(SA,H75,1.05*Q75),IF('Pre-Calculation'!$D$17="Type 4 c",H75,IF('Pre-Calculation'!$D$17="Type 4 d",SA+H75,IF('Pre-Calculation'!$D$17="Type 4 e",MAX(SA,H75),IF('Pre-Calculation'!$D$17="Type 4 f",SA,IF('Pre-Calculation'!$D$17="Type 4 g",1000+H75,IF('Pre-Calculation'!$D$17="Type 4 h",SA+X75,IF('Pre-Calculation'!$D$17="Type 4 i",MAX(H75,Q75),IF('Pre-Calculation'!$D$17="Type 4 k",MAX(H75,1.01*Q75),IF('Pre-Calculation'!$D$17="Type 4 m",MAX(105%*Q75,SA+H75),IF('Pre-Calculation'!$D$17="Type 4 o",MAX(SA,105%*Q75)+X75+Z75,IF('Pre-Calculation'!$D$17="Type 5",0)))))))))))))*IF(AND(A75&lt;Revival!$C$4,C75&gt;=Revival!$D$12),PUP,1)</f>
        <v>1222157.779</v>
      </c>
      <c r="L75" s="175">
        <f>H75-I75*(1+Tax)</f>
        <v>1222157.779</v>
      </c>
      <c r="M75" s="175">
        <f>L75*(1+GROWTH_RATE_L)*(1-FMC*(1+Tax))</f>
        <v>1224531.965</v>
      </c>
      <c r="N75" s="175">
        <f>M75+IF(MOD(A75,B75)=0,VLOOKUP(B75,'Pre-Calculation'!$H$1:$L$31,5,FALSE),0)*IF('Pre-Calculation'!$D$16="% OF FV",M75,IF(OR('Pre-Calculation'!$D$16="% OF AFV(24M)",'Pre-Calculation'!$D$16="% OF AFV(8Q)"),AVERAGE( $M52:$M75),IF('Pre-Calculation'!$D$16="% OF AFV(12M)",AVERAGE($M64:M75),IF('Pre-Calculation'!$D$16="% OF AFV(36M)",AVERAGE($M40:M75)))))</f>
        <v>1224531.965</v>
      </c>
      <c r="O75" s="175">
        <f t="shared" si="4"/>
        <v>1224531.965</v>
      </c>
      <c r="P75" s="175">
        <f>IF('Pre-Calculation'!$D$17="Type 4 a",MAX(SA,N75,1.05*Q75),IF('Pre-Calculation'!$D$17="Type 4 c",N75,IF('Pre-Calculation'!$D$17="Type 4 d",SA+N75,IF('Pre-Calculation'!$D$17="Type 4 e",MAX(SA,N75),IF('Pre-Calculation'!$D$17="Type 4 f",SA,IF('Pre-Calculation'!$D$17="Type 4 g",1000+N75,IF('Pre-Calculation'!$D$17="Type 4 h",SA+X75,IF('Pre-Calculation'!$D$17="Type 4 i",MAX(N75,Q75),IF('Pre-Calculation'!$D$17="Type 4 k",MAX(N75,1.01*Q75),IF('Pre-Calculation'!$D$17="Type 4 m",MAX(105%*Q75,SA+N75),IF('Pre-Calculation'!$D$17="Type 4 o",MAX(SA,105%*Q75)+X75+Z75,IF('Pre-Calculation'!$D$17="Type 5",0))))))))))))</f>
        <v>1224531.965</v>
      </c>
      <c r="Q75" s="175">
        <f t="shared" si="5"/>
        <v>1000000</v>
      </c>
      <c r="R75" s="119">
        <f>L75*(1+GROWTH_RATE)*FMC</f>
        <v>1383.021307</v>
      </c>
      <c r="S75" s="178">
        <f>S74*(1+'Pre-Calculation'!$E$27)</f>
        <v>792173.6054</v>
      </c>
      <c r="T75" s="175">
        <f>-E75+IF(A74=INPUT!$C$11*12,N75,0)</f>
        <v>0</v>
      </c>
      <c r="U75" s="175">
        <f t="shared" si="6"/>
        <v>1261499.906</v>
      </c>
      <c r="V75" s="175">
        <f>U75*(1+GROWTH_RATE_L)*(1-'Pre-Calculation'!$E$31)</f>
        <v>1263522.044</v>
      </c>
      <c r="W75" s="175">
        <f>-E75+IF(A74=INPUT!$C$11*12,V75,0)</f>
        <v>0</v>
      </c>
      <c r="X75" s="179">
        <f t="array" ref="X75">NPV('Pre-Calculation'!$E$20,$E76:E$246)</f>
        <v>0</v>
      </c>
      <c r="Y75" s="171">
        <f>10%*SA</f>
        <v>100000</v>
      </c>
      <c r="Z75" s="179">
        <f t="array" ref="Z75">NPV('Pre-Calculation'!$E$20,Y76:Y85)</f>
        <v>969592.8037</v>
      </c>
    </row>
    <row r="76" ht="15.75" customHeight="1">
      <c r="A76" s="171">
        <f t="shared" si="1"/>
        <v>130</v>
      </c>
      <c r="B76" s="171">
        <f t="shared" si="2"/>
        <v>11</v>
      </c>
      <c r="C76" s="176">
        <f>EDATE(RCD,A75)</f>
        <v>46476</v>
      </c>
      <c r="D76" s="171">
        <f>Age_At_Entry+'Cashflows_4%'!B76-1</f>
        <v>45</v>
      </c>
      <c r="E76" s="175">
        <f>IF(AND(C76&lt;=Last_Prem,MOD(A75,Mode)=0,C76&gt;INPUT!$C$13,A76&lt;=Revival!$C$11),Mod_Prem,0)</f>
        <v>0</v>
      </c>
      <c r="F76" s="177">
        <f>IF(B76&lt;PT+1,E76*VLOOKUP(B76,'Pre-Calculation'!$H$1:$I$31,2,FALSE),0)</f>
        <v>0</v>
      </c>
      <c r="G76" s="177">
        <f>IF(B76&lt;PT+1,VLOOKUP(B76,'Pre-Calculation'!$H$1:$L$32,3,FALSE)+VLOOKUP(B76,'Pre-Calculation'!$H$1:$L$32,4,FALSE)*'Pre-Calculation'!$D$7,0)</f>
        <v>0</v>
      </c>
      <c r="H76" s="175">
        <f>(E76-(F76+G76)*(1+Tax)+N75)</f>
        <v>1224531.965</v>
      </c>
      <c r="I76" s="175">
        <f>IF(B76&lt;PT+1,VLOOKUP(D76,'Pre-Calculation'!$N$3:$P$79,IF(INPUT!$C$4="M",2,3),FALSE)*(J76/1000)*(1/12),0)</f>
        <v>0</v>
      </c>
      <c r="J76" s="175">
        <f t="shared" si="3"/>
        <v>0</v>
      </c>
      <c r="K76" s="175">
        <f>(IF('Pre-Calculation'!$D$17="Type 4 a",MAX(SA,H76,1.05*Q76),IF('Pre-Calculation'!$D$17="Type 4 c",H76,IF('Pre-Calculation'!$D$17="Type 4 d",SA+H76,IF('Pre-Calculation'!$D$17="Type 4 e",MAX(SA,H76),IF('Pre-Calculation'!$D$17="Type 4 f",SA,IF('Pre-Calculation'!$D$17="Type 4 g",1000+H76,IF('Pre-Calculation'!$D$17="Type 4 h",SA+X76,IF('Pre-Calculation'!$D$17="Type 4 i",MAX(H76,Q76),IF('Pre-Calculation'!$D$17="Type 4 k",MAX(H76,1.01*Q76),IF('Pre-Calculation'!$D$17="Type 4 m",MAX(105%*Q76,SA+H76),IF('Pre-Calculation'!$D$17="Type 4 o",MAX(SA,105%*Q76)+X76+Z76,IF('Pre-Calculation'!$D$17="Type 5",0)))))))))))))*IF(AND(A76&lt;Revival!$C$4,C76&gt;=Revival!$D$12),PUP,1)</f>
        <v>1224531.965</v>
      </c>
      <c r="L76" s="175">
        <f>H76-I76*(1+Tax)</f>
        <v>1224531.965</v>
      </c>
      <c r="M76" s="175">
        <f>L76*(1+GROWTH_RATE_L)*(1-FMC*(1+Tax))</f>
        <v>1226910.763</v>
      </c>
      <c r="N76" s="175">
        <f>M76+IF(MOD(A76,B76)=0,VLOOKUP(B76,'Pre-Calculation'!$H$1:$L$31,5,FALSE),0)*IF('Pre-Calculation'!$D$16="% OF FV",M76,IF(OR('Pre-Calculation'!$D$16="% OF AFV(24M)",'Pre-Calculation'!$D$16="% OF AFV(8Q)"),AVERAGE( $M53:$M76),IF('Pre-Calculation'!$D$16="% OF AFV(12M)",AVERAGE($M65:M76),IF('Pre-Calculation'!$D$16="% OF AFV(36M)",AVERAGE($M41:M76)))))</f>
        <v>1226910.763</v>
      </c>
      <c r="O76" s="175">
        <f t="shared" si="4"/>
        <v>1226910.763</v>
      </c>
      <c r="P76" s="175">
        <f>IF('Pre-Calculation'!$D$17="Type 4 a",MAX(SA,N76,1.05*Q76),IF('Pre-Calculation'!$D$17="Type 4 c",N76,IF('Pre-Calculation'!$D$17="Type 4 d",SA+N76,IF('Pre-Calculation'!$D$17="Type 4 e",MAX(SA,N76),IF('Pre-Calculation'!$D$17="Type 4 f",SA,IF('Pre-Calculation'!$D$17="Type 4 g",1000+N76,IF('Pre-Calculation'!$D$17="Type 4 h",SA+X76,IF('Pre-Calculation'!$D$17="Type 4 i",MAX(N76,Q76),IF('Pre-Calculation'!$D$17="Type 4 k",MAX(N76,1.01*Q76),IF('Pre-Calculation'!$D$17="Type 4 m",MAX(105%*Q76,SA+N76),IF('Pre-Calculation'!$D$17="Type 4 o",MAX(SA,105%*Q76)+X76+Z76,IF('Pre-Calculation'!$D$17="Type 5",0))))))))))))</f>
        <v>1226910.763</v>
      </c>
      <c r="Q76" s="175">
        <f t="shared" si="5"/>
        <v>1000000</v>
      </c>
      <c r="R76" s="119">
        <f>L76*(1+GROWTH_RATE)*FMC</f>
        <v>1385.70799</v>
      </c>
      <c r="S76" s="178">
        <f>S75*(1+'Pre-Calculation'!$E$27)</f>
        <v>794447.8556</v>
      </c>
      <c r="T76" s="175">
        <f>-E76+IF(A75=INPUT!$C$11*12,N76,0)</f>
        <v>0</v>
      </c>
      <c r="U76" s="175">
        <f t="shared" si="6"/>
        <v>1263522.044</v>
      </c>
      <c r="V76" s="175">
        <f>U76*(1+GROWTH_RATE_L)*(1-'Pre-Calculation'!$E$31)</f>
        <v>1265547.424</v>
      </c>
      <c r="W76" s="175">
        <f>-E76+IF(A75=INPUT!$C$11*12,V76,0)</f>
        <v>0</v>
      </c>
      <c r="X76" s="179">
        <f t="array" ref="X76">NPV('Pre-Calculation'!$E$20,$E77:E$246)</f>
        <v>0</v>
      </c>
      <c r="Y76" s="171">
        <f>10%*SA</f>
        <v>100000</v>
      </c>
      <c r="Z76" s="179">
        <f t="array" ref="Z76">NPV('Pre-Calculation'!$E$20,Y77:Y86)</f>
        <v>969592.8037</v>
      </c>
    </row>
    <row r="77" ht="15.75" customHeight="1">
      <c r="A77" s="171">
        <f t="shared" si="1"/>
        <v>131</v>
      </c>
      <c r="B77" s="171">
        <f t="shared" si="2"/>
        <v>11</v>
      </c>
      <c r="C77" s="176">
        <f>EDATE(RCD,A76)</f>
        <v>46507</v>
      </c>
      <c r="D77" s="171">
        <f>Age_At_Entry+'Cashflows_4%'!B77-1</f>
        <v>45</v>
      </c>
      <c r="E77" s="175">
        <f>IF(AND(C77&lt;=Last_Prem,MOD(A76,Mode)=0,C77&gt;INPUT!$C$13,A77&lt;=Revival!$C$11),Mod_Prem,0)</f>
        <v>0</v>
      </c>
      <c r="F77" s="177">
        <f>IF(B77&lt;PT+1,E77*VLOOKUP(B77,'Pre-Calculation'!$H$1:$I$31,2,FALSE),0)</f>
        <v>0</v>
      </c>
      <c r="G77" s="177">
        <f>IF(B77&lt;PT+1,VLOOKUP(B77,'Pre-Calculation'!$H$1:$L$32,3,FALSE)+VLOOKUP(B77,'Pre-Calculation'!$H$1:$L$32,4,FALSE)*'Pre-Calculation'!$D$7,0)</f>
        <v>0</v>
      </c>
      <c r="H77" s="175">
        <f>(E77-(F77+G77)*(1+Tax)+N76)</f>
        <v>1226910.763</v>
      </c>
      <c r="I77" s="175">
        <f>IF(B77&lt;PT+1,VLOOKUP(D77,'Pre-Calculation'!$N$3:$P$79,IF(INPUT!$C$4="M",2,3),FALSE)*(J77/1000)*(1/12),0)</f>
        <v>0</v>
      </c>
      <c r="J77" s="175">
        <f t="shared" si="3"/>
        <v>0</v>
      </c>
      <c r="K77" s="175">
        <f>(IF('Pre-Calculation'!$D$17="Type 4 a",MAX(SA,H77,1.05*Q77),IF('Pre-Calculation'!$D$17="Type 4 c",H77,IF('Pre-Calculation'!$D$17="Type 4 d",SA+H77,IF('Pre-Calculation'!$D$17="Type 4 e",MAX(SA,H77),IF('Pre-Calculation'!$D$17="Type 4 f",SA,IF('Pre-Calculation'!$D$17="Type 4 g",1000+H77,IF('Pre-Calculation'!$D$17="Type 4 h",SA+X77,IF('Pre-Calculation'!$D$17="Type 4 i",MAX(H77,Q77),IF('Pre-Calculation'!$D$17="Type 4 k",MAX(H77,1.01*Q77),IF('Pre-Calculation'!$D$17="Type 4 m",MAX(105%*Q77,SA+H77),IF('Pre-Calculation'!$D$17="Type 4 o",MAX(SA,105%*Q77)+X77+Z77,IF('Pre-Calculation'!$D$17="Type 5",0)))))))))))))*IF(AND(A77&lt;Revival!$C$4,C77&gt;=Revival!$D$12),PUP,1)</f>
        <v>1226910.763</v>
      </c>
      <c r="L77" s="175">
        <f>H77-I77*(1+Tax)</f>
        <v>1226910.763</v>
      </c>
      <c r="M77" s="175">
        <f>L77*(1+GROWTH_RATE_L)*(1-FMC*(1+Tax))</f>
        <v>1229294.182</v>
      </c>
      <c r="N77" s="175">
        <f>M77+IF(MOD(A77,B77)=0,VLOOKUP(B77,'Pre-Calculation'!$H$1:$L$31,5,FALSE),0)*IF('Pre-Calculation'!$D$16="% OF FV",M77,IF(OR('Pre-Calculation'!$D$16="% OF AFV(24M)",'Pre-Calculation'!$D$16="% OF AFV(8Q)"),AVERAGE( $M54:$M77),IF('Pre-Calculation'!$D$16="% OF AFV(12M)",AVERAGE($M66:M77),IF('Pre-Calculation'!$D$16="% OF AFV(36M)",AVERAGE($M42:M77)))))</f>
        <v>1229294.182</v>
      </c>
      <c r="O77" s="175">
        <f t="shared" si="4"/>
        <v>1229294.182</v>
      </c>
      <c r="P77" s="175">
        <f>IF('Pre-Calculation'!$D$17="Type 4 a",MAX(SA,N77,1.05*Q77),IF('Pre-Calculation'!$D$17="Type 4 c",N77,IF('Pre-Calculation'!$D$17="Type 4 d",SA+N77,IF('Pre-Calculation'!$D$17="Type 4 e",MAX(SA,N77),IF('Pre-Calculation'!$D$17="Type 4 f",SA,IF('Pre-Calculation'!$D$17="Type 4 g",1000+N77,IF('Pre-Calculation'!$D$17="Type 4 h",SA+X77,IF('Pre-Calculation'!$D$17="Type 4 i",MAX(N77,Q77),IF('Pre-Calculation'!$D$17="Type 4 k",MAX(N77,1.01*Q77),IF('Pre-Calculation'!$D$17="Type 4 m",MAX(105%*Q77,SA+N77),IF('Pre-Calculation'!$D$17="Type 4 o",MAX(SA,105%*Q77)+X77+Z77,IF('Pre-Calculation'!$D$17="Type 5",0))))))))))))</f>
        <v>1229294.182</v>
      </c>
      <c r="Q77" s="175">
        <f t="shared" si="5"/>
        <v>1000000</v>
      </c>
      <c r="R77" s="119">
        <f>L77*(1+GROWTH_RATE)*FMC</f>
        <v>1388.399891</v>
      </c>
      <c r="S77" s="178">
        <f>S76*(1+'Pre-Calculation'!$E$27)</f>
        <v>796728.6349</v>
      </c>
      <c r="T77" s="175">
        <f>-E77+IF(A76=INPUT!$C$11*12,N77,0)</f>
        <v>0</v>
      </c>
      <c r="U77" s="175">
        <f t="shared" si="6"/>
        <v>1265547.424</v>
      </c>
      <c r="V77" s="175">
        <f>U77*(1+GROWTH_RATE_L)*(1-'Pre-Calculation'!$E$31)</f>
        <v>1267576.051</v>
      </c>
      <c r="W77" s="175">
        <f>-E77+IF(A76=INPUT!$C$11*12,V77,0)</f>
        <v>0</v>
      </c>
      <c r="X77" s="179">
        <f t="array" ref="X77">NPV('Pre-Calculation'!$E$20,$E78:E$246)</f>
        <v>0</v>
      </c>
      <c r="Y77" s="171">
        <f>10%*SA</f>
        <v>100000</v>
      </c>
      <c r="Z77" s="179">
        <f t="array" ref="Z77">NPV('Pre-Calculation'!$E$20,Y78:Y87)</f>
        <v>969592.8037</v>
      </c>
    </row>
    <row r="78" ht="15.75" customHeight="1">
      <c r="A78" s="171">
        <f t="shared" si="1"/>
        <v>132</v>
      </c>
      <c r="B78" s="171">
        <f t="shared" si="2"/>
        <v>11</v>
      </c>
      <c r="C78" s="176">
        <f>EDATE(RCD,A77)</f>
        <v>46537</v>
      </c>
      <c r="D78" s="171">
        <f>Age_At_Entry+'Cashflows_4%'!B78-1</f>
        <v>45</v>
      </c>
      <c r="E78" s="175">
        <f>IF(AND(C78&lt;=Last_Prem,MOD(A77,Mode)=0,C78&gt;INPUT!$C$13,A78&lt;=Revival!$C$11),Mod_Prem,0)</f>
        <v>0</v>
      </c>
      <c r="F78" s="177">
        <f>IF(B78&lt;PT+1,E78*VLOOKUP(B78,'Pre-Calculation'!$H$1:$I$31,2,FALSE),0)</f>
        <v>0</v>
      </c>
      <c r="G78" s="177">
        <f>IF(B78&lt;PT+1,VLOOKUP(B78,'Pre-Calculation'!$H$1:$L$32,3,FALSE)+VLOOKUP(B78,'Pre-Calculation'!$H$1:$L$32,4,FALSE)*'Pre-Calculation'!$D$7,0)</f>
        <v>0</v>
      </c>
      <c r="H78" s="175">
        <f>(E78-(F78+G78)*(1+Tax)+N77)</f>
        <v>1229294.182</v>
      </c>
      <c r="I78" s="175">
        <f>IF(B78&lt;PT+1,VLOOKUP(D78,'Pre-Calculation'!$N$3:$P$79,IF(INPUT!$C$4="M",2,3),FALSE)*(J78/1000)*(1/12),0)</f>
        <v>0</v>
      </c>
      <c r="J78" s="175">
        <f t="shared" si="3"/>
        <v>0</v>
      </c>
      <c r="K78" s="175">
        <f>(IF('Pre-Calculation'!$D$17="Type 4 a",MAX(SA,H78,1.05*Q78),IF('Pre-Calculation'!$D$17="Type 4 c",H78,IF('Pre-Calculation'!$D$17="Type 4 d",SA+H78,IF('Pre-Calculation'!$D$17="Type 4 e",MAX(SA,H78),IF('Pre-Calculation'!$D$17="Type 4 f",SA,IF('Pre-Calculation'!$D$17="Type 4 g",1000+H78,IF('Pre-Calculation'!$D$17="Type 4 h",SA+X78,IF('Pre-Calculation'!$D$17="Type 4 i",MAX(H78,Q78),IF('Pre-Calculation'!$D$17="Type 4 k",MAX(H78,1.01*Q78),IF('Pre-Calculation'!$D$17="Type 4 m",MAX(105%*Q78,SA+H78),IF('Pre-Calculation'!$D$17="Type 4 o",MAX(SA,105%*Q78)+X78+Z78,IF('Pre-Calculation'!$D$17="Type 5",0)))))))))))))*IF(AND(A78&lt;Revival!$C$4,C78&gt;=Revival!$D$12),PUP,1)</f>
        <v>1229294.182</v>
      </c>
      <c r="L78" s="175">
        <f>H78-I78*(1+Tax)</f>
        <v>1229294.182</v>
      </c>
      <c r="M78" s="175">
        <f>L78*(1+GROWTH_RATE_L)*(1-FMC*(1+Tax))</f>
        <v>1231682.231</v>
      </c>
      <c r="N78" s="175">
        <f>M78+IF(MOD(A78,B78)=0,VLOOKUP(B78,'Pre-Calculation'!$H$1:$L$31,5,FALSE),0)*IF('Pre-Calculation'!$D$16="% OF FV",M78,IF(OR('Pre-Calculation'!$D$16="% OF AFV(24M)",'Pre-Calculation'!$D$16="% OF AFV(8Q)"),AVERAGE( $M55:$M78),IF('Pre-Calculation'!$D$16="% OF AFV(12M)",AVERAGE($M67:M78),IF('Pre-Calculation'!$D$16="% OF AFV(36M)",AVERAGE($M43:M78)))))</f>
        <v>1231682.231</v>
      </c>
      <c r="O78" s="175">
        <f t="shared" si="4"/>
        <v>1231682.231</v>
      </c>
      <c r="P78" s="175">
        <f>IF('Pre-Calculation'!$D$17="Type 4 a",MAX(SA,N78,1.05*Q78),IF('Pre-Calculation'!$D$17="Type 4 c",N78,IF('Pre-Calculation'!$D$17="Type 4 d",SA+N78,IF('Pre-Calculation'!$D$17="Type 4 e",MAX(SA,N78),IF('Pre-Calculation'!$D$17="Type 4 f",SA,IF('Pre-Calculation'!$D$17="Type 4 g",1000+N78,IF('Pre-Calculation'!$D$17="Type 4 h",SA+X78,IF('Pre-Calculation'!$D$17="Type 4 i",MAX(N78,Q78),IF('Pre-Calculation'!$D$17="Type 4 k",MAX(N78,1.01*Q78),IF('Pre-Calculation'!$D$17="Type 4 m",MAX(105%*Q78,SA+N78),IF('Pre-Calculation'!$D$17="Type 4 o",MAX(SA,105%*Q78)+X78+Z78,IF('Pre-Calculation'!$D$17="Type 5",0))))))))))))</f>
        <v>1231682.231</v>
      </c>
      <c r="Q78" s="175">
        <f t="shared" si="5"/>
        <v>1000000</v>
      </c>
      <c r="R78" s="119">
        <f>L78*(1+GROWTH_RATE)*FMC</f>
        <v>1391.097022</v>
      </c>
      <c r="S78" s="178">
        <f>S77*(1+'Pre-Calculation'!$E$27)</f>
        <v>799015.9621</v>
      </c>
      <c r="T78" s="175">
        <f>-E78+IF(A77=INPUT!$C$11*12,N78,0)</f>
        <v>0</v>
      </c>
      <c r="U78" s="175">
        <f t="shared" si="6"/>
        <v>1267576.051</v>
      </c>
      <c r="V78" s="175">
        <f>U78*(1+GROWTH_RATE_L)*(1-'Pre-Calculation'!$E$31)</f>
        <v>1269607.93</v>
      </c>
      <c r="W78" s="175">
        <f>-E78+IF(A77=INPUT!$C$11*12,V78,0)</f>
        <v>0</v>
      </c>
      <c r="X78" s="179">
        <f t="array" ref="X78">NPV('Pre-Calculation'!$E$20,$E79:E$246)</f>
        <v>0</v>
      </c>
      <c r="Y78" s="171">
        <f>10%*SA</f>
        <v>100000</v>
      </c>
      <c r="Z78" s="179">
        <f t="array" ref="Z78">NPV('Pre-Calculation'!$E$20,Y79:Y88)</f>
        <v>969592.8037</v>
      </c>
    </row>
    <row r="79" ht="15.75" customHeight="1">
      <c r="A79" s="171">
        <f t="shared" si="1"/>
        <v>133</v>
      </c>
      <c r="B79" s="171">
        <f t="shared" si="2"/>
        <v>12</v>
      </c>
      <c r="C79" s="176">
        <f>EDATE(RCD,A78)</f>
        <v>46568</v>
      </c>
      <c r="D79" s="171">
        <f>Age_At_Entry+'Cashflows_4%'!B79-1</f>
        <v>46</v>
      </c>
      <c r="E79" s="175">
        <f>IF(AND(C79&lt;=Last_Prem,MOD(A78,Mode)=0,C79&gt;INPUT!$C$13,A79&lt;=Revival!$C$11),Mod_Prem,0)</f>
        <v>0</v>
      </c>
      <c r="F79" s="177">
        <f>IF(B79&lt;PT+1,E79*VLOOKUP(B79,'Pre-Calculation'!$H$1:$I$31,2,FALSE),0)</f>
        <v>0</v>
      </c>
      <c r="G79" s="177">
        <f>IF(B79&lt;PT+1,VLOOKUP(B79,'Pre-Calculation'!$H$1:$L$32,3,FALSE)+VLOOKUP(B79,'Pre-Calculation'!$H$1:$L$32,4,FALSE)*'Pre-Calculation'!$D$7,0)</f>
        <v>0</v>
      </c>
      <c r="H79" s="175">
        <f>(E79-(F79+G79)*(1+Tax)+N78)</f>
        <v>1231682.231</v>
      </c>
      <c r="I79" s="175">
        <f>IF(B79&lt;PT+1,VLOOKUP(D79,'Pre-Calculation'!$N$3:$P$79,IF(INPUT!$C$4="M",2,3),FALSE)*(J79/1000)*(1/12),0)</f>
        <v>0</v>
      </c>
      <c r="J79" s="175">
        <f t="shared" si="3"/>
        <v>0</v>
      </c>
      <c r="K79" s="175">
        <f>(IF('Pre-Calculation'!$D$17="Type 4 a",MAX(SA,H79,1.05*Q79),IF('Pre-Calculation'!$D$17="Type 4 c",H79,IF('Pre-Calculation'!$D$17="Type 4 d",SA+H79,IF('Pre-Calculation'!$D$17="Type 4 e",MAX(SA,H79),IF('Pre-Calculation'!$D$17="Type 4 f",SA,IF('Pre-Calculation'!$D$17="Type 4 g",1000+H79,IF('Pre-Calculation'!$D$17="Type 4 h",SA+X79,IF('Pre-Calculation'!$D$17="Type 4 i",MAX(H79,Q79),IF('Pre-Calculation'!$D$17="Type 4 k",MAX(H79,1.01*Q79),IF('Pre-Calculation'!$D$17="Type 4 m",MAX(105%*Q79,SA+H79),IF('Pre-Calculation'!$D$17="Type 4 o",MAX(SA,105%*Q79)+X79+Z79,IF('Pre-Calculation'!$D$17="Type 5",0)))))))))))))*IF(AND(A79&lt;Revival!$C$4,C79&gt;=Revival!$D$12),PUP,1)</f>
        <v>1231682.231</v>
      </c>
      <c r="L79" s="175">
        <f>H79-I79*(1+Tax)</f>
        <v>1231682.231</v>
      </c>
      <c r="M79" s="175">
        <f>L79*(1+GROWTH_RATE_L)*(1-FMC*(1+Tax))</f>
        <v>1234074.919</v>
      </c>
      <c r="N79" s="175">
        <f>M79+IF(MOD(A79,B79)=0,VLOOKUP(B79,'Pre-Calculation'!$H$1:$L$31,5,FALSE),0)*IF('Pre-Calculation'!$D$16="% OF FV",M79,IF(OR('Pre-Calculation'!$D$16="% OF AFV(24M)",'Pre-Calculation'!$D$16="% OF AFV(8Q)"),AVERAGE( $M56:$M79),IF('Pre-Calculation'!$D$16="% OF AFV(12M)",AVERAGE($M68:M79),IF('Pre-Calculation'!$D$16="% OF AFV(36M)",AVERAGE($M44:M79)))))</f>
        <v>1234074.919</v>
      </c>
      <c r="O79" s="175">
        <f t="shared" si="4"/>
        <v>1234074.919</v>
      </c>
      <c r="P79" s="175">
        <f>IF('Pre-Calculation'!$D$17="Type 4 a",MAX(SA,N79,1.05*Q79),IF('Pre-Calculation'!$D$17="Type 4 c",N79,IF('Pre-Calculation'!$D$17="Type 4 d",SA+N79,IF('Pre-Calculation'!$D$17="Type 4 e",MAX(SA,N79),IF('Pre-Calculation'!$D$17="Type 4 f",SA,IF('Pre-Calculation'!$D$17="Type 4 g",1000+N79,IF('Pre-Calculation'!$D$17="Type 4 h",SA+X79,IF('Pre-Calculation'!$D$17="Type 4 i",MAX(N79,Q79),IF('Pre-Calculation'!$D$17="Type 4 k",MAX(N79,1.01*Q79),IF('Pre-Calculation'!$D$17="Type 4 m",MAX(105%*Q79,SA+N79),IF('Pre-Calculation'!$D$17="Type 4 o",MAX(SA,105%*Q79)+X79+Z79,IF('Pre-Calculation'!$D$17="Type 5",0))))))))))))</f>
        <v>1234074.919</v>
      </c>
      <c r="Q79" s="175">
        <f t="shared" si="5"/>
        <v>1000000</v>
      </c>
      <c r="R79" s="119">
        <f>L79*(1+GROWTH_RATE)*FMC</f>
        <v>1393.799392</v>
      </c>
      <c r="S79" s="178">
        <f>S78*(1+'Pre-Calculation'!$E$27)</f>
        <v>801309.856</v>
      </c>
      <c r="T79" s="175">
        <f>-E79+IF(A78=INPUT!$C$11*12,N79,0)</f>
        <v>0</v>
      </c>
      <c r="U79" s="175">
        <f t="shared" si="6"/>
        <v>1269607.93</v>
      </c>
      <c r="V79" s="175">
        <f>U79*(1+GROWTH_RATE_L)*(1-'Pre-Calculation'!$E$31)</f>
        <v>1271643.065</v>
      </c>
      <c r="W79" s="175">
        <f>-E79+IF(A78=INPUT!$C$11*12,V79,0)</f>
        <v>0</v>
      </c>
      <c r="X79" s="179">
        <f t="array" ref="X79">NPV('Pre-Calculation'!$E$20,$E80:E$246)</f>
        <v>0</v>
      </c>
      <c r="Y79" s="171">
        <f>10%*SA</f>
        <v>100000</v>
      </c>
      <c r="Z79" s="179">
        <f t="array" ref="Z79">NPV('Pre-Calculation'!$E$20,Y80:Y89)</f>
        <v>969592.8037</v>
      </c>
    </row>
    <row r="80" ht="15.75" customHeight="1">
      <c r="A80" s="171">
        <f t="shared" si="1"/>
        <v>134</v>
      </c>
      <c r="B80" s="171">
        <f t="shared" si="2"/>
        <v>12</v>
      </c>
      <c r="C80" s="176">
        <f>EDATE(RCD,A79)</f>
        <v>46598</v>
      </c>
      <c r="D80" s="171">
        <f>Age_At_Entry+'Cashflows_4%'!B80-1</f>
        <v>46</v>
      </c>
      <c r="E80" s="175">
        <f>IF(AND(C80&lt;=Last_Prem,MOD(A79,Mode)=0,C80&gt;INPUT!$C$13,A80&lt;=Revival!$C$11),Mod_Prem,0)</f>
        <v>0</v>
      </c>
      <c r="F80" s="177">
        <f>IF(B80&lt;PT+1,E80*VLOOKUP(B80,'Pre-Calculation'!$H$1:$I$31,2,FALSE),0)</f>
        <v>0</v>
      </c>
      <c r="G80" s="177">
        <f>IF(B80&lt;PT+1,VLOOKUP(B80,'Pre-Calculation'!$H$1:$L$32,3,FALSE)+VLOOKUP(B80,'Pre-Calculation'!$H$1:$L$32,4,FALSE)*'Pre-Calculation'!$D$7,0)</f>
        <v>0</v>
      </c>
      <c r="H80" s="175">
        <f>(E80-(F80+G80)*(1+Tax)+N79)</f>
        <v>1234074.919</v>
      </c>
      <c r="I80" s="175">
        <f>IF(B80&lt;PT+1,VLOOKUP(D80,'Pre-Calculation'!$N$3:$P$79,IF(INPUT!$C$4="M",2,3),FALSE)*(J80/1000)*(1/12),0)</f>
        <v>0</v>
      </c>
      <c r="J80" s="175">
        <f t="shared" si="3"/>
        <v>0</v>
      </c>
      <c r="K80" s="175">
        <f>(IF('Pre-Calculation'!$D$17="Type 4 a",MAX(SA,H80,1.05*Q80),IF('Pre-Calculation'!$D$17="Type 4 c",H80,IF('Pre-Calculation'!$D$17="Type 4 d",SA+H80,IF('Pre-Calculation'!$D$17="Type 4 e",MAX(SA,H80),IF('Pre-Calculation'!$D$17="Type 4 f",SA,IF('Pre-Calculation'!$D$17="Type 4 g",1000+H80,IF('Pre-Calculation'!$D$17="Type 4 h",SA+X80,IF('Pre-Calculation'!$D$17="Type 4 i",MAX(H80,Q80),IF('Pre-Calculation'!$D$17="Type 4 k",MAX(H80,1.01*Q80),IF('Pre-Calculation'!$D$17="Type 4 m",MAX(105%*Q80,SA+H80),IF('Pre-Calculation'!$D$17="Type 4 o",MAX(SA,105%*Q80)+X80+Z80,IF('Pre-Calculation'!$D$17="Type 5",0)))))))))))))*IF(AND(A80&lt;Revival!$C$4,C80&gt;=Revival!$D$12),PUP,1)</f>
        <v>1234074.919</v>
      </c>
      <c r="L80" s="175">
        <f>H80-I80*(1+Tax)</f>
        <v>1234074.919</v>
      </c>
      <c r="M80" s="175">
        <f>L80*(1+GROWTH_RATE_L)*(1-FMC*(1+Tax))</f>
        <v>1236472.256</v>
      </c>
      <c r="N80" s="175">
        <f>M80+IF(MOD(A80,B80)=0,VLOOKUP(B80,'Pre-Calculation'!$H$1:$L$31,5,FALSE),0)*IF('Pre-Calculation'!$D$16="% OF FV",M80,IF(OR('Pre-Calculation'!$D$16="% OF AFV(24M)",'Pre-Calculation'!$D$16="% OF AFV(8Q)"),AVERAGE( $M57:$M80),IF('Pre-Calculation'!$D$16="% OF AFV(12M)",AVERAGE($M69:M80),IF('Pre-Calculation'!$D$16="% OF AFV(36M)",AVERAGE($M45:M80)))))</f>
        <v>1236472.256</v>
      </c>
      <c r="O80" s="175">
        <f t="shared" si="4"/>
        <v>1236472.256</v>
      </c>
      <c r="P80" s="175">
        <f>IF('Pre-Calculation'!$D$17="Type 4 a",MAX(SA,N80,1.05*Q80),IF('Pre-Calculation'!$D$17="Type 4 c",N80,IF('Pre-Calculation'!$D$17="Type 4 d",SA+N80,IF('Pre-Calculation'!$D$17="Type 4 e",MAX(SA,N80),IF('Pre-Calculation'!$D$17="Type 4 f",SA,IF('Pre-Calculation'!$D$17="Type 4 g",1000+N80,IF('Pre-Calculation'!$D$17="Type 4 h",SA+X80,IF('Pre-Calculation'!$D$17="Type 4 i",MAX(N80,Q80),IF('Pre-Calculation'!$D$17="Type 4 k",MAX(N80,1.01*Q80),IF('Pre-Calculation'!$D$17="Type 4 m",MAX(105%*Q80,SA+N80),IF('Pre-Calculation'!$D$17="Type 4 o",MAX(SA,105%*Q80)+X80+Z80,IF('Pre-Calculation'!$D$17="Type 5",0))))))))))))</f>
        <v>1236472.256</v>
      </c>
      <c r="Q80" s="175">
        <f t="shared" si="5"/>
        <v>1000000</v>
      </c>
      <c r="R80" s="119">
        <f>L80*(1+GROWTH_RATE)*FMC</f>
        <v>1396.507012</v>
      </c>
      <c r="S80" s="178">
        <f>S79*(1+'Pre-Calculation'!$E$27)</f>
        <v>803610.3355</v>
      </c>
      <c r="T80" s="175">
        <f>-E80+IF(A79=INPUT!$C$11*12,N80,0)</f>
        <v>0</v>
      </c>
      <c r="U80" s="175">
        <f t="shared" si="6"/>
        <v>1271643.065</v>
      </c>
      <c r="V80" s="175">
        <f>U80*(1+GROWTH_RATE_L)*(1-'Pre-Calculation'!$E$31)</f>
        <v>1273681.463</v>
      </c>
      <c r="W80" s="175">
        <f>-E80+IF(A79=INPUT!$C$11*12,V80,0)</f>
        <v>0</v>
      </c>
      <c r="X80" s="179">
        <f t="array" ref="X80">NPV('Pre-Calculation'!$E$20,$E81:E$246)</f>
        <v>0</v>
      </c>
      <c r="Y80" s="171">
        <f>10%*SA</f>
        <v>100000</v>
      </c>
      <c r="Z80" s="179">
        <f t="array" ref="Z80">NPV('Pre-Calculation'!$E$20,Y81:Y90)</f>
        <v>969592.8037</v>
      </c>
    </row>
    <row r="81" ht="15.75" customHeight="1">
      <c r="A81" s="171">
        <f t="shared" si="1"/>
        <v>135</v>
      </c>
      <c r="B81" s="171">
        <f t="shared" si="2"/>
        <v>12</v>
      </c>
      <c r="C81" s="176">
        <f>EDATE(RCD,A80)</f>
        <v>46629</v>
      </c>
      <c r="D81" s="171">
        <f>Age_At_Entry+'Cashflows_4%'!B81-1</f>
        <v>46</v>
      </c>
      <c r="E81" s="175">
        <f>IF(AND(C81&lt;=Last_Prem,MOD(A80,Mode)=0,C81&gt;INPUT!$C$13,A81&lt;=Revival!$C$11),Mod_Prem,0)</f>
        <v>0</v>
      </c>
      <c r="F81" s="177">
        <f>IF(B81&lt;PT+1,E81*VLOOKUP(B81,'Pre-Calculation'!$H$1:$I$31,2,FALSE),0)</f>
        <v>0</v>
      </c>
      <c r="G81" s="177">
        <f>IF(B81&lt;PT+1,VLOOKUP(B81,'Pre-Calculation'!$H$1:$L$32,3,FALSE)+VLOOKUP(B81,'Pre-Calculation'!$H$1:$L$32,4,FALSE)*'Pre-Calculation'!$D$7,0)</f>
        <v>0</v>
      </c>
      <c r="H81" s="175">
        <f>(E81-(F81+G81)*(1+Tax)+N80)</f>
        <v>1236472.256</v>
      </c>
      <c r="I81" s="175">
        <f>IF(B81&lt;PT+1,VLOOKUP(D81,'Pre-Calculation'!$N$3:$P$79,IF(INPUT!$C$4="M",2,3),FALSE)*(J81/1000)*(1/12),0)</f>
        <v>0</v>
      </c>
      <c r="J81" s="175">
        <f t="shared" si="3"/>
        <v>0</v>
      </c>
      <c r="K81" s="175">
        <f>(IF('Pre-Calculation'!$D$17="Type 4 a",MAX(SA,H81,1.05*Q81),IF('Pre-Calculation'!$D$17="Type 4 c",H81,IF('Pre-Calculation'!$D$17="Type 4 d",SA+H81,IF('Pre-Calculation'!$D$17="Type 4 e",MAX(SA,H81),IF('Pre-Calculation'!$D$17="Type 4 f",SA,IF('Pre-Calculation'!$D$17="Type 4 g",1000+H81,IF('Pre-Calculation'!$D$17="Type 4 h",SA+X81,IF('Pre-Calculation'!$D$17="Type 4 i",MAX(H81,Q81),IF('Pre-Calculation'!$D$17="Type 4 k",MAX(H81,1.01*Q81),IF('Pre-Calculation'!$D$17="Type 4 m",MAX(105%*Q81,SA+H81),IF('Pre-Calculation'!$D$17="Type 4 o",MAX(SA,105%*Q81)+X81+Z81,IF('Pre-Calculation'!$D$17="Type 5",0)))))))))))))*IF(AND(A81&lt;Revival!$C$4,C81&gt;=Revival!$D$12),PUP,1)</f>
        <v>1236472.256</v>
      </c>
      <c r="L81" s="175">
        <f>H81-I81*(1+Tax)</f>
        <v>1236472.256</v>
      </c>
      <c r="M81" s="175">
        <f>L81*(1+GROWTH_RATE_L)*(1-FMC*(1+Tax))</f>
        <v>1238874.249</v>
      </c>
      <c r="N81" s="175">
        <f>M81+IF(MOD(A81,B81)=0,VLOOKUP(B81,'Pre-Calculation'!$H$1:$L$31,5,FALSE),0)*IF('Pre-Calculation'!$D$16="% OF FV",M81,IF(OR('Pre-Calculation'!$D$16="% OF AFV(24M)",'Pre-Calculation'!$D$16="% OF AFV(8Q)"),AVERAGE( $M58:$M81),IF('Pre-Calculation'!$D$16="% OF AFV(12M)",AVERAGE($M70:M81),IF('Pre-Calculation'!$D$16="% OF AFV(36M)",AVERAGE($M46:M81)))))</f>
        <v>1238874.249</v>
      </c>
      <c r="O81" s="175">
        <f t="shared" si="4"/>
        <v>1238874.249</v>
      </c>
      <c r="P81" s="175">
        <f>IF('Pre-Calculation'!$D$17="Type 4 a",MAX(SA,N81,1.05*Q81),IF('Pre-Calculation'!$D$17="Type 4 c",N81,IF('Pre-Calculation'!$D$17="Type 4 d",SA+N81,IF('Pre-Calculation'!$D$17="Type 4 e",MAX(SA,N81),IF('Pre-Calculation'!$D$17="Type 4 f",SA,IF('Pre-Calculation'!$D$17="Type 4 g",1000+N81,IF('Pre-Calculation'!$D$17="Type 4 h",SA+X81,IF('Pre-Calculation'!$D$17="Type 4 i",MAX(N81,Q81),IF('Pre-Calculation'!$D$17="Type 4 k",MAX(N81,1.01*Q81),IF('Pre-Calculation'!$D$17="Type 4 m",MAX(105%*Q81,SA+N81),IF('Pre-Calculation'!$D$17="Type 4 o",MAX(SA,105%*Q81)+X81+Z81,IF('Pre-Calculation'!$D$17="Type 5",0))))))))))))</f>
        <v>1238874.249</v>
      </c>
      <c r="Q81" s="175">
        <f t="shared" si="5"/>
        <v>1000000</v>
      </c>
      <c r="R81" s="119">
        <f>L81*(1+GROWTH_RATE)*FMC</f>
        <v>1399.219892</v>
      </c>
      <c r="S81" s="178">
        <f>S80*(1+'Pre-Calculation'!$E$27)</f>
        <v>805917.4193</v>
      </c>
      <c r="T81" s="175">
        <f>-E81+IF(A80=INPUT!$C$11*12,N81,0)</f>
        <v>0</v>
      </c>
      <c r="U81" s="175">
        <f t="shared" si="6"/>
        <v>1273681.463</v>
      </c>
      <c r="V81" s="175">
        <f>U81*(1+GROWTH_RATE_L)*(1-'Pre-Calculation'!$E$31)</f>
        <v>1275723.128</v>
      </c>
      <c r="W81" s="175">
        <f>-E81+IF(A80=INPUT!$C$11*12,V81,0)</f>
        <v>0</v>
      </c>
      <c r="X81" s="179">
        <f t="array" ref="X81">NPV('Pre-Calculation'!$E$20,$E82:E$246)</f>
        <v>0</v>
      </c>
      <c r="Y81" s="171">
        <f>10%*SA</f>
        <v>100000</v>
      </c>
      <c r="Z81" s="179">
        <f t="array" ref="Z81">NPV('Pre-Calculation'!$E$20,Y82:Y91)</f>
        <v>969592.8037</v>
      </c>
    </row>
    <row r="82" ht="15.75" customHeight="1">
      <c r="A82" s="171">
        <f t="shared" si="1"/>
        <v>136</v>
      </c>
      <c r="B82" s="171">
        <f t="shared" si="2"/>
        <v>12</v>
      </c>
      <c r="C82" s="176">
        <f>EDATE(RCD,A81)</f>
        <v>46660</v>
      </c>
      <c r="D82" s="171">
        <f>Age_At_Entry+'Cashflows_4%'!B82-1</f>
        <v>46</v>
      </c>
      <c r="E82" s="175">
        <f>IF(AND(C82&lt;=Last_Prem,MOD(A81,Mode)=0,C82&gt;INPUT!$C$13,A82&lt;=Revival!$C$11),Mod_Prem,0)</f>
        <v>0</v>
      </c>
      <c r="F82" s="177">
        <f>IF(B82&lt;PT+1,E82*VLOOKUP(B82,'Pre-Calculation'!$H$1:$I$31,2,FALSE),0)</f>
        <v>0</v>
      </c>
      <c r="G82" s="177">
        <f>IF(B82&lt;PT+1,VLOOKUP(B82,'Pre-Calculation'!$H$1:$L$32,3,FALSE)+VLOOKUP(B82,'Pre-Calculation'!$H$1:$L$32,4,FALSE)*'Pre-Calculation'!$D$7,0)</f>
        <v>0</v>
      </c>
      <c r="H82" s="175">
        <f>(E82-(F82+G82)*(1+Tax)+N81)</f>
        <v>1238874.249</v>
      </c>
      <c r="I82" s="175">
        <f>IF(B82&lt;PT+1,VLOOKUP(D82,'Pre-Calculation'!$N$3:$P$79,IF(INPUT!$C$4="M",2,3),FALSE)*(J82/1000)*(1/12),0)</f>
        <v>0</v>
      </c>
      <c r="J82" s="175">
        <f t="shared" si="3"/>
        <v>0</v>
      </c>
      <c r="K82" s="175">
        <f>(IF('Pre-Calculation'!$D$17="Type 4 a",MAX(SA,H82,1.05*Q82),IF('Pre-Calculation'!$D$17="Type 4 c",H82,IF('Pre-Calculation'!$D$17="Type 4 d",SA+H82,IF('Pre-Calculation'!$D$17="Type 4 e",MAX(SA,H82),IF('Pre-Calculation'!$D$17="Type 4 f",SA,IF('Pre-Calculation'!$D$17="Type 4 g",1000+H82,IF('Pre-Calculation'!$D$17="Type 4 h",SA+X82,IF('Pre-Calculation'!$D$17="Type 4 i",MAX(H82,Q82),IF('Pre-Calculation'!$D$17="Type 4 k",MAX(H82,1.01*Q82),IF('Pre-Calculation'!$D$17="Type 4 m",MAX(105%*Q82,SA+H82),IF('Pre-Calculation'!$D$17="Type 4 o",MAX(SA,105%*Q82)+X82+Z82,IF('Pre-Calculation'!$D$17="Type 5",0)))))))))))))*IF(AND(A82&lt;Revival!$C$4,C82&gt;=Revival!$D$12),PUP,1)</f>
        <v>1238874.249</v>
      </c>
      <c r="L82" s="175">
        <f>H82-I82*(1+Tax)</f>
        <v>1238874.249</v>
      </c>
      <c r="M82" s="175">
        <f>L82*(1+GROWTH_RATE_L)*(1-FMC*(1+Tax))</f>
        <v>1241280.909</v>
      </c>
      <c r="N82" s="175">
        <f>M82+IF(MOD(A82,B82)=0,VLOOKUP(B82,'Pre-Calculation'!$H$1:$L$31,5,FALSE),0)*IF('Pre-Calculation'!$D$16="% OF FV",M82,IF(OR('Pre-Calculation'!$D$16="% OF AFV(24M)",'Pre-Calculation'!$D$16="% OF AFV(8Q)"),AVERAGE( $M59:$M82),IF('Pre-Calculation'!$D$16="% OF AFV(12M)",AVERAGE($M71:M82),IF('Pre-Calculation'!$D$16="% OF AFV(36M)",AVERAGE($M47:M82)))))</f>
        <v>1241280.909</v>
      </c>
      <c r="O82" s="175">
        <f t="shared" si="4"/>
        <v>1241280.909</v>
      </c>
      <c r="P82" s="175">
        <f>IF('Pre-Calculation'!$D$17="Type 4 a",MAX(SA,N82,1.05*Q82),IF('Pre-Calculation'!$D$17="Type 4 c",N82,IF('Pre-Calculation'!$D$17="Type 4 d",SA+N82,IF('Pre-Calculation'!$D$17="Type 4 e",MAX(SA,N82),IF('Pre-Calculation'!$D$17="Type 4 f",SA,IF('Pre-Calculation'!$D$17="Type 4 g",1000+N82,IF('Pre-Calculation'!$D$17="Type 4 h",SA+X82,IF('Pre-Calculation'!$D$17="Type 4 i",MAX(N82,Q82),IF('Pre-Calculation'!$D$17="Type 4 k",MAX(N82,1.01*Q82),IF('Pre-Calculation'!$D$17="Type 4 m",MAX(105%*Q82,SA+N82),IF('Pre-Calculation'!$D$17="Type 4 o",MAX(SA,105%*Q82)+X82+Z82,IF('Pre-Calculation'!$D$17="Type 5",0))))))))))))</f>
        <v>1241280.909</v>
      </c>
      <c r="Q82" s="175">
        <f t="shared" si="5"/>
        <v>1000000</v>
      </c>
      <c r="R82" s="119">
        <f>L82*(1+GROWTH_RATE)*FMC</f>
        <v>1401.938042</v>
      </c>
      <c r="S82" s="178">
        <f>S81*(1+'Pre-Calculation'!$E$27)</f>
        <v>808231.1266</v>
      </c>
      <c r="T82" s="175">
        <f>-E82+IF(A81=INPUT!$C$11*12,N82,0)</f>
        <v>0</v>
      </c>
      <c r="U82" s="175">
        <f t="shared" si="6"/>
        <v>1275723.128</v>
      </c>
      <c r="V82" s="175">
        <f>U82*(1+GROWTH_RATE_L)*(1-'Pre-Calculation'!$E$31)</f>
        <v>1277768.066</v>
      </c>
      <c r="W82" s="175">
        <f>-E82+IF(A81=INPUT!$C$11*12,V82,0)</f>
        <v>0</v>
      </c>
      <c r="X82" s="179">
        <f t="array" ref="X82">NPV('Pre-Calculation'!$E$20,$E83:E$246)</f>
        <v>0</v>
      </c>
      <c r="Y82" s="171">
        <f>10%*SA</f>
        <v>100000</v>
      </c>
      <c r="Z82" s="179">
        <f t="array" ref="Z82">NPV('Pre-Calculation'!$E$20,Y83:Y92)</f>
        <v>969592.8037</v>
      </c>
    </row>
    <row r="83" ht="15.75" customHeight="1">
      <c r="A83" s="171">
        <f t="shared" si="1"/>
        <v>137</v>
      </c>
      <c r="B83" s="171">
        <f t="shared" si="2"/>
        <v>12</v>
      </c>
      <c r="C83" s="176">
        <f>EDATE(RCD,A82)</f>
        <v>46690</v>
      </c>
      <c r="D83" s="171">
        <f>Age_At_Entry+'Cashflows_4%'!B83-1</f>
        <v>46</v>
      </c>
      <c r="E83" s="175">
        <f>IF(AND(C83&lt;=Last_Prem,MOD(A82,Mode)=0,C83&gt;INPUT!$C$13,A83&lt;=Revival!$C$11),Mod_Prem,0)</f>
        <v>0</v>
      </c>
      <c r="F83" s="177">
        <f>IF(B83&lt;PT+1,E83*VLOOKUP(B83,'Pre-Calculation'!$H$1:$I$31,2,FALSE),0)</f>
        <v>0</v>
      </c>
      <c r="G83" s="177">
        <f>IF(B83&lt;PT+1,VLOOKUP(B83,'Pre-Calculation'!$H$1:$L$32,3,FALSE)+VLOOKUP(B83,'Pre-Calculation'!$H$1:$L$32,4,FALSE)*'Pre-Calculation'!$D$7,0)</f>
        <v>0</v>
      </c>
      <c r="H83" s="175">
        <f>(E83-(F83+G83)*(1+Tax)+N82)</f>
        <v>1241280.909</v>
      </c>
      <c r="I83" s="175">
        <f>IF(B83&lt;PT+1,VLOOKUP(D83,'Pre-Calculation'!$N$3:$P$79,IF(INPUT!$C$4="M",2,3),FALSE)*(J83/1000)*(1/12),0)</f>
        <v>0</v>
      </c>
      <c r="J83" s="175">
        <f t="shared" si="3"/>
        <v>0</v>
      </c>
      <c r="K83" s="175">
        <f>(IF('Pre-Calculation'!$D$17="Type 4 a",MAX(SA,H83,1.05*Q83),IF('Pre-Calculation'!$D$17="Type 4 c",H83,IF('Pre-Calculation'!$D$17="Type 4 d",SA+H83,IF('Pre-Calculation'!$D$17="Type 4 e",MAX(SA,H83),IF('Pre-Calculation'!$D$17="Type 4 f",SA,IF('Pre-Calculation'!$D$17="Type 4 g",1000+H83,IF('Pre-Calculation'!$D$17="Type 4 h",SA+X83,IF('Pre-Calculation'!$D$17="Type 4 i",MAX(H83,Q83),IF('Pre-Calculation'!$D$17="Type 4 k",MAX(H83,1.01*Q83),IF('Pre-Calculation'!$D$17="Type 4 m",MAX(105%*Q83,SA+H83),IF('Pre-Calculation'!$D$17="Type 4 o",MAX(SA,105%*Q83)+X83+Z83,IF('Pre-Calculation'!$D$17="Type 5",0)))))))))))))*IF(AND(A83&lt;Revival!$C$4,C83&gt;=Revival!$D$12),PUP,1)</f>
        <v>1241280.909</v>
      </c>
      <c r="L83" s="175">
        <f>H83-I83*(1+Tax)</f>
        <v>1241280.909</v>
      </c>
      <c r="M83" s="175">
        <f>L83*(1+GROWTH_RATE_L)*(1-FMC*(1+Tax))</f>
        <v>1243692.244</v>
      </c>
      <c r="N83" s="175">
        <f>M83+IF(MOD(A83,B83)=0,VLOOKUP(B83,'Pre-Calculation'!$H$1:$L$31,5,FALSE),0)*IF('Pre-Calculation'!$D$16="% OF FV",M83,IF(OR('Pre-Calculation'!$D$16="% OF AFV(24M)",'Pre-Calculation'!$D$16="% OF AFV(8Q)"),AVERAGE( $M60:$M83),IF('Pre-Calculation'!$D$16="% OF AFV(12M)",AVERAGE($M72:M83),IF('Pre-Calculation'!$D$16="% OF AFV(36M)",AVERAGE($M48:M83)))))</f>
        <v>1243692.244</v>
      </c>
      <c r="O83" s="175">
        <f t="shared" si="4"/>
        <v>1243692.244</v>
      </c>
      <c r="P83" s="175">
        <f>IF('Pre-Calculation'!$D$17="Type 4 a",MAX(SA,N83,1.05*Q83),IF('Pre-Calculation'!$D$17="Type 4 c",N83,IF('Pre-Calculation'!$D$17="Type 4 d",SA+N83,IF('Pre-Calculation'!$D$17="Type 4 e",MAX(SA,N83),IF('Pre-Calculation'!$D$17="Type 4 f",SA,IF('Pre-Calculation'!$D$17="Type 4 g",1000+N83,IF('Pre-Calculation'!$D$17="Type 4 h",SA+X83,IF('Pre-Calculation'!$D$17="Type 4 i",MAX(N83,Q83),IF('Pre-Calculation'!$D$17="Type 4 k",MAX(N83,1.01*Q83),IF('Pre-Calculation'!$D$17="Type 4 m",MAX(105%*Q83,SA+N83),IF('Pre-Calculation'!$D$17="Type 4 o",MAX(SA,105%*Q83)+X83+Z83,IF('Pre-Calculation'!$D$17="Type 5",0))))))))))))</f>
        <v>1243692.244</v>
      </c>
      <c r="Q83" s="175">
        <f t="shared" si="5"/>
        <v>1000000</v>
      </c>
      <c r="R83" s="119">
        <f>L83*(1+GROWTH_RATE)*FMC</f>
        <v>1404.661473</v>
      </c>
      <c r="S83" s="178">
        <f>S82*(1+'Pre-Calculation'!$E$27)</f>
        <v>810551.4763</v>
      </c>
      <c r="T83" s="175">
        <f>-E83+IF(A82=INPUT!$C$11*12,N83,0)</f>
        <v>0</v>
      </c>
      <c r="U83" s="175">
        <f t="shared" si="6"/>
        <v>1277768.066</v>
      </c>
      <c r="V83" s="175">
        <f>U83*(1+GROWTH_RATE_L)*(1-'Pre-Calculation'!$E$31)</f>
        <v>1279816.282</v>
      </c>
      <c r="W83" s="175">
        <f>-E83+IF(A82=INPUT!$C$11*12,V83,0)</f>
        <v>0</v>
      </c>
      <c r="X83" s="179">
        <f t="array" ref="X83">NPV('Pre-Calculation'!$E$20,$E84:E$246)</f>
        <v>0</v>
      </c>
      <c r="Y83" s="171">
        <f>10%*SA</f>
        <v>100000</v>
      </c>
      <c r="Z83" s="179">
        <f t="array" ref="Z83">NPV('Pre-Calculation'!$E$20,Y84:Y93)</f>
        <v>969592.8037</v>
      </c>
    </row>
    <row r="84" ht="15.75" customHeight="1">
      <c r="A84" s="171">
        <f t="shared" si="1"/>
        <v>138</v>
      </c>
      <c r="B84" s="171">
        <f t="shared" si="2"/>
        <v>12</v>
      </c>
      <c r="C84" s="176">
        <f>EDATE(RCD,A83)</f>
        <v>46721</v>
      </c>
      <c r="D84" s="171">
        <f>Age_At_Entry+'Cashflows_4%'!B84-1</f>
        <v>46</v>
      </c>
      <c r="E84" s="175">
        <f>IF(AND(C84&lt;=Last_Prem,MOD(A83,Mode)=0,C84&gt;INPUT!$C$13,A84&lt;=Revival!$C$11),Mod_Prem,0)</f>
        <v>0</v>
      </c>
      <c r="F84" s="177">
        <f>IF(B84&lt;PT+1,E84*VLOOKUP(B84,'Pre-Calculation'!$H$1:$I$31,2,FALSE),0)</f>
        <v>0</v>
      </c>
      <c r="G84" s="177">
        <f>IF(B84&lt;PT+1,VLOOKUP(B84,'Pre-Calculation'!$H$1:$L$32,3,FALSE)+VLOOKUP(B84,'Pre-Calculation'!$H$1:$L$32,4,FALSE)*'Pre-Calculation'!$D$7,0)</f>
        <v>0</v>
      </c>
      <c r="H84" s="175">
        <f>(E84-(F84+G84)*(1+Tax)+N83)</f>
        <v>1243692.244</v>
      </c>
      <c r="I84" s="175">
        <f>IF(B84&lt;PT+1,VLOOKUP(D84,'Pre-Calculation'!$N$3:$P$79,IF(INPUT!$C$4="M",2,3),FALSE)*(J84/1000)*(1/12),0)</f>
        <v>0</v>
      </c>
      <c r="J84" s="175">
        <f t="shared" si="3"/>
        <v>0</v>
      </c>
      <c r="K84" s="175">
        <f>(IF('Pre-Calculation'!$D$17="Type 4 a",MAX(SA,H84,1.05*Q84),IF('Pre-Calculation'!$D$17="Type 4 c",H84,IF('Pre-Calculation'!$D$17="Type 4 d",SA+H84,IF('Pre-Calculation'!$D$17="Type 4 e",MAX(SA,H84),IF('Pre-Calculation'!$D$17="Type 4 f",SA,IF('Pre-Calculation'!$D$17="Type 4 g",1000+H84,IF('Pre-Calculation'!$D$17="Type 4 h",SA+X84,IF('Pre-Calculation'!$D$17="Type 4 i",MAX(H84,Q84),IF('Pre-Calculation'!$D$17="Type 4 k",MAX(H84,1.01*Q84),IF('Pre-Calculation'!$D$17="Type 4 m",MAX(105%*Q84,SA+H84),IF('Pre-Calculation'!$D$17="Type 4 o",MAX(SA,105%*Q84)+X84+Z84,IF('Pre-Calculation'!$D$17="Type 5",0)))))))))))))*IF(AND(A84&lt;Revival!$C$4,C84&gt;=Revival!$D$12),PUP,1)</f>
        <v>1243692.244</v>
      </c>
      <c r="L84" s="175">
        <f>H84-I84*(1+Tax)</f>
        <v>1243692.244</v>
      </c>
      <c r="M84" s="175">
        <f>L84*(1+GROWTH_RATE_L)*(1-FMC*(1+Tax))</f>
        <v>1246108.263</v>
      </c>
      <c r="N84" s="175">
        <f>M84+IF(MOD(A84,B84)=0,VLOOKUP(B84,'Pre-Calculation'!$H$1:$L$31,5,FALSE),0)*IF('Pre-Calculation'!$D$16="% OF FV",M84,IF(OR('Pre-Calculation'!$D$16="% OF AFV(24M)",'Pre-Calculation'!$D$16="% OF AFV(8Q)"),AVERAGE( $M61:$M84),IF('Pre-Calculation'!$D$16="% OF AFV(12M)",AVERAGE($M73:M84),IF('Pre-Calculation'!$D$16="% OF AFV(36M)",AVERAGE($M49:M84)))))</f>
        <v>1246108.263</v>
      </c>
      <c r="O84" s="175">
        <f t="shared" si="4"/>
        <v>1246108.263</v>
      </c>
      <c r="P84" s="175">
        <f>IF('Pre-Calculation'!$D$17="Type 4 a",MAX(SA,N84,1.05*Q84),IF('Pre-Calculation'!$D$17="Type 4 c",N84,IF('Pre-Calculation'!$D$17="Type 4 d",SA+N84,IF('Pre-Calculation'!$D$17="Type 4 e",MAX(SA,N84),IF('Pre-Calculation'!$D$17="Type 4 f",SA,IF('Pre-Calculation'!$D$17="Type 4 g",1000+N84,IF('Pre-Calculation'!$D$17="Type 4 h",SA+X84,IF('Pre-Calculation'!$D$17="Type 4 i",MAX(N84,Q84),IF('Pre-Calculation'!$D$17="Type 4 k",MAX(N84,1.01*Q84),IF('Pre-Calculation'!$D$17="Type 4 m",MAX(105%*Q84,SA+N84),IF('Pre-Calculation'!$D$17="Type 4 o",MAX(SA,105%*Q84)+X84+Z84,IF('Pre-Calculation'!$D$17="Type 5",0))))))))))))</f>
        <v>1246108.263</v>
      </c>
      <c r="Q84" s="175">
        <f t="shared" si="5"/>
        <v>1000000</v>
      </c>
      <c r="R84" s="119">
        <f>L84*(1+GROWTH_RATE)*FMC</f>
        <v>1407.390194</v>
      </c>
      <c r="S84" s="178">
        <f>S83*(1+'Pre-Calculation'!$E$27)</f>
        <v>812878.4875</v>
      </c>
      <c r="T84" s="175">
        <f>-E84+IF(A83=INPUT!$C$11*12,N84,0)</f>
        <v>0</v>
      </c>
      <c r="U84" s="175">
        <f t="shared" si="6"/>
        <v>1279816.282</v>
      </c>
      <c r="V84" s="175">
        <f>U84*(1+GROWTH_RATE_L)*(1-'Pre-Calculation'!$E$31)</f>
        <v>1281867.781</v>
      </c>
      <c r="W84" s="175">
        <f>-E84+IF(A83=INPUT!$C$11*12,V84,0)</f>
        <v>0</v>
      </c>
      <c r="X84" s="179">
        <f t="array" ref="X84">NPV('Pre-Calculation'!$E$20,$E85:E$246)</f>
        <v>0</v>
      </c>
      <c r="Y84" s="171">
        <f>10%*SA</f>
        <v>100000</v>
      </c>
      <c r="Z84" s="179">
        <f t="array" ref="Z84">NPV('Pre-Calculation'!$E$20,Y85:Y94)</f>
        <v>969592.8037</v>
      </c>
    </row>
    <row r="85" ht="15.75" customHeight="1">
      <c r="A85" s="171">
        <f t="shared" si="1"/>
        <v>139</v>
      </c>
      <c r="B85" s="171">
        <f t="shared" si="2"/>
        <v>12</v>
      </c>
      <c r="C85" s="176">
        <f>EDATE(RCD,A84)</f>
        <v>46751</v>
      </c>
      <c r="D85" s="171">
        <f>Age_At_Entry+'Cashflows_4%'!B85-1</f>
        <v>46</v>
      </c>
      <c r="E85" s="175">
        <f>IF(AND(C85&lt;=Last_Prem,MOD(A84,Mode)=0,C85&gt;INPUT!$C$13,A85&lt;=Revival!$C$11),Mod_Prem,0)</f>
        <v>0</v>
      </c>
      <c r="F85" s="177">
        <f>IF(B85&lt;PT+1,E85*VLOOKUP(B85,'Pre-Calculation'!$H$1:$I$31,2,FALSE),0)</f>
        <v>0</v>
      </c>
      <c r="G85" s="177">
        <f>IF(B85&lt;PT+1,VLOOKUP(B85,'Pre-Calculation'!$H$1:$L$32,3,FALSE)+VLOOKUP(B85,'Pre-Calculation'!$H$1:$L$32,4,FALSE)*'Pre-Calculation'!$D$7,0)</f>
        <v>0</v>
      </c>
      <c r="H85" s="175">
        <f>(E85-(F85+G85)*(1+Tax)+N84)</f>
        <v>1246108.263</v>
      </c>
      <c r="I85" s="175">
        <f>IF(B85&lt;PT+1,VLOOKUP(D85,'Pre-Calculation'!$N$3:$P$79,IF(INPUT!$C$4="M",2,3),FALSE)*(J85/1000)*(1/12),0)</f>
        <v>0</v>
      </c>
      <c r="J85" s="175">
        <f t="shared" si="3"/>
        <v>0</v>
      </c>
      <c r="K85" s="175">
        <f>(IF('Pre-Calculation'!$D$17="Type 4 a",MAX(SA,H85,1.05*Q85),IF('Pre-Calculation'!$D$17="Type 4 c",H85,IF('Pre-Calculation'!$D$17="Type 4 d",SA+H85,IF('Pre-Calculation'!$D$17="Type 4 e",MAX(SA,H85),IF('Pre-Calculation'!$D$17="Type 4 f",SA,IF('Pre-Calculation'!$D$17="Type 4 g",1000+H85,IF('Pre-Calculation'!$D$17="Type 4 h",SA+X85,IF('Pre-Calculation'!$D$17="Type 4 i",MAX(H85,Q85),IF('Pre-Calculation'!$D$17="Type 4 k",MAX(H85,1.01*Q85),IF('Pre-Calculation'!$D$17="Type 4 m",MAX(105%*Q85,SA+H85),IF('Pre-Calculation'!$D$17="Type 4 o",MAX(SA,105%*Q85)+X85+Z85,IF('Pre-Calculation'!$D$17="Type 5",0)))))))))))))*IF(AND(A85&lt;Revival!$C$4,C85&gt;=Revival!$D$12),PUP,1)</f>
        <v>1246108.263</v>
      </c>
      <c r="L85" s="175">
        <f>H85-I85*(1+Tax)</f>
        <v>1246108.263</v>
      </c>
      <c r="M85" s="175">
        <f>L85*(1+GROWTH_RATE_L)*(1-FMC*(1+Tax))</f>
        <v>1248528.975</v>
      </c>
      <c r="N85" s="175">
        <f>M85+IF(MOD(A85,B85)=0,VLOOKUP(B85,'Pre-Calculation'!$H$1:$L$31,5,FALSE),0)*IF('Pre-Calculation'!$D$16="% OF FV",M85,IF(OR('Pre-Calculation'!$D$16="% OF AFV(24M)",'Pre-Calculation'!$D$16="% OF AFV(8Q)"),AVERAGE( $M62:$M85),IF('Pre-Calculation'!$D$16="% OF AFV(12M)",AVERAGE($M74:M85),IF('Pre-Calculation'!$D$16="% OF AFV(36M)",AVERAGE($M50:M85)))))</f>
        <v>1248528.975</v>
      </c>
      <c r="O85" s="175">
        <f t="shared" si="4"/>
        <v>1248528.975</v>
      </c>
      <c r="P85" s="175">
        <f>IF('Pre-Calculation'!$D$17="Type 4 a",MAX(SA,N85,1.05*Q85),IF('Pre-Calculation'!$D$17="Type 4 c",N85,IF('Pre-Calculation'!$D$17="Type 4 d",SA+N85,IF('Pre-Calculation'!$D$17="Type 4 e",MAX(SA,N85),IF('Pre-Calculation'!$D$17="Type 4 f",SA,IF('Pre-Calculation'!$D$17="Type 4 g",1000+N85,IF('Pre-Calculation'!$D$17="Type 4 h",SA+X85,IF('Pre-Calculation'!$D$17="Type 4 i",MAX(N85,Q85),IF('Pre-Calculation'!$D$17="Type 4 k",MAX(N85,1.01*Q85),IF('Pre-Calculation'!$D$17="Type 4 m",MAX(105%*Q85,SA+N85),IF('Pre-Calculation'!$D$17="Type 4 o",MAX(SA,105%*Q85)+X85+Z85,IF('Pre-Calculation'!$D$17="Type 5",0))))))))))))</f>
        <v>1248528.975</v>
      </c>
      <c r="Q85" s="175">
        <f t="shared" si="5"/>
        <v>1000000</v>
      </c>
      <c r="R85" s="119">
        <f>L85*(1+GROWTH_RATE)*FMC</f>
        <v>1410.124215</v>
      </c>
      <c r="S85" s="178">
        <f>S84*(1+'Pre-Calculation'!$E$27)</f>
        <v>815212.1793</v>
      </c>
      <c r="T85" s="175">
        <f>-E85+IF(A84=INPUT!$C$11*12,N85,0)</f>
        <v>0</v>
      </c>
      <c r="U85" s="175">
        <f t="shared" si="6"/>
        <v>1281867.781</v>
      </c>
      <c r="V85" s="175">
        <f>U85*(1+GROWTH_RATE_L)*(1-'Pre-Calculation'!$E$31)</f>
        <v>1283922.569</v>
      </c>
      <c r="W85" s="175">
        <f>-E85+IF(A84=INPUT!$C$11*12,V85,0)</f>
        <v>0</v>
      </c>
      <c r="X85" s="179">
        <f t="array" ref="X85">NPV('Pre-Calculation'!$E$20,$E86:E$246)</f>
        <v>0</v>
      </c>
      <c r="Y85" s="171">
        <f>10%*SA</f>
        <v>100000</v>
      </c>
      <c r="Z85" s="179">
        <f t="array" ref="Z85">NPV('Pre-Calculation'!$E$20,Y86:Y95)</f>
        <v>969592.8037</v>
      </c>
    </row>
    <row r="86" ht="15.75" customHeight="1">
      <c r="A86" s="171">
        <f t="shared" si="1"/>
        <v>140</v>
      </c>
      <c r="B86" s="171">
        <f t="shared" si="2"/>
        <v>12</v>
      </c>
      <c r="C86" s="176">
        <f>EDATE(RCD,A85)</f>
        <v>46782</v>
      </c>
      <c r="D86" s="171">
        <f>Age_At_Entry+'Cashflows_4%'!B86-1</f>
        <v>46</v>
      </c>
      <c r="E86" s="175">
        <f>IF(AND(C86&lt;=Last_Prem,MOD(A85,Mode)=0,C86&gt;INPUT!$C$13,A86&lt;=Revival!$C$11),Mod_Prem,0)</f>
        <v>0</v>
      </c>
      <c r="F86" s="177">
        <f>IF(B86&lt;PT+1,E86*VLOOKUP(B86,'Pre-Calculation'!$H$1:$I$31,2,FALSE),0)</f>
        <v>0</v>
      </c>
      <c r="G86" s="177">
        <f>IF(B86&lt;PT+1,VLOOKUP(B86,'Pre-Calculation'!$H$1:$L$32,3,FALSE)+VLOOKUP(B86,'Pre-Calculation'!$H$1:$L$32,4,FALSE)*'Pre-Calculation'!$D$7,0)</f>
        <v>0</v>
      </c>
      <c r="H86" s="175">
        <f>(E86-(F86+G86)*(1+Tax)+N85)</f>
        <v>1248528.975</v>
      </c>
      <c r="I86" s="175">
        <f>IF(B86&lt;PT+1,VLOOKUP(D86,'Pre-Calculation'!$N$3:$P$79,IF(INPUT!$C$4="M",2,3),FALSE)*(J86/1000)*(1/12),0)</f>
        <v>0</v>
      </c>
      <c r="J86" s="175">
        <f t="shared" si="3"/>
        <v>0</v>
      </c>
      <c r="K86" s="175">
        <f>(IF('Pre-Calculation'!$D$17="Type 4 a",MAX(SA,H86,1.05*Q86),IF('Pre-Calculation'!$D$17="Type 4 c",H86,IF('Pre-Calculation'!$D$17="Type 4 d",SA+H86,IF('Pre-Calculation'!$D$17="Type 4 e",MAX(SA,H86),IF('Pre-Calculation'!$D$17="Type 4 f",SA,IF('Pre-Calculation'!$D$17="Type 4 g",1000+H86,IF('Pre-Calculation'!$D$17="Type 4 h",SA+X86,IF('Pre-Calculation'!$D$17="Type 4 i",MAX(H86,Q86),IF('Pre-Calculation'!$D$17="Type 4 k",MAX(H86,1.01*Q86),IF('Pre-Calculation'!$D$17="Type 4 m",MAX(105%*Q86,SA+H86),IF('Pre-Calculation'!$D$17="Type 4 o",MAX(SA,105%*Q86)+X86+Z86,IF('Pre-Calculation'!$D$17="Type 5",0)))))))))))))*IF(AND(A86&lt;Revival!$C$4,C86&gt;=Revival!$D$12),PUP,1)</f>
        <v>1248528.975</v>
      </c>
      <c r="L86" s="175">
        <f>H86-I86*(1+Tax)</f>
        <v>1248528.975</v>
      </c>
      <c r="M86" s="175">
        <f>L86*(1+GROWTH_RATE_L)*(1-FMC*(1+Tax))</f>
        <v>1250954.391</v>
      </c>
      <c r="N86" s="175">
        <f>M86+IF(MOD(A86,B86)=0,VLOOKUP(B86,'Pre-Calculation'!$H$1:$L$31,5,FALSE),0)*IF('Pre-Calculation'!$D$16="% OF FV",M86,IF(OR('Pre-Calculation'!$D$16="% OF AFV(24M)",'Pre-Calculation'!$D$16="% OF AFV(8Q)"),AVERAGE( $M63:$M86),IF('Pre-Calculation'!$D$16="% OF AFV(12M)",AVERAGE($M75:M86),IF('Pre-Calculation'!$D$16="% OF AFV(36M)",AVERAGE($M51:M86)))))</f>
        <v>1250954.391</v>
      </c>
      <c r="O86" s="175">
        <f t="shared" si="4"/>
        <v>1250954.391</v>
      </c>
      <c r="P86" s="175">
        <f>IF('Pre-Calculation'!$D$17="Type 4 a",MAX(SA,N86,1.05*Q86),IF('Pre-Calculation'!$D$17="Type 4 c",N86,IF('Pre-Calculation'!$D$17="Type 4 d",SA+N86,IF('Pre-Calculation'!$D$17="Type 4 e",MAX(SA,N86),IF('Pre-Calculation'!$D$17="Type 4 f",SA,IF('Pre-Calculation'!$D$17="Type 4 g",1000+N86,IF('Pre-Calculation'!$D$17="Type 4 h",SA+X86,IF('Pre-Calculation'!$D$17="Type 4 i",MAX(N86,Q86),IF('Pre-Calculation'!$D$17="Type 4 k",MAX(N86,1.01*Q86),IF('Pre-Calculation'!$D$17="Type 4 m",MAX(105%*Q86,SA+N86),IF('Pre-Calculation'!$D$17="Type 4 o",MAX(SA,105%*Q86)+X86+Z86,IF('Pre-Calculation'!$D$17="Type 5",0))))))))))))</f>
        <v>1250954.391</v>
      </c>
      <c r="Q86" s="175">
        <f t="shared" si="5"/>
        <v>1000000</v>
      </c>
      <c r="R86" s="119">
        <f>L86*(1+GROWTH_RATE)*FMC</f>
        <v>1412.863548</v>
      </c>
      <c r="S86" s="178">
        <f>S85*(1+'Pre-Calculation'!$E$27)</f>
        <v>817552.5709</v>
      </c>
      <c r="T86" s="175">
        <f>-E86+IF(A85=INPUT!$C$11*12,N86,0)</f>
        <v>0</v>
      </c>
      <c r="U86" s="175">
        <f t="shared" si="6"/>
        <v>1283922.569</v>
      </c>
      <c r="V86" s="175">
        <f>U86*(1+GROWTH_RATE_L)*(1-'Pre-Calculation'!$E$31)</f>
        <v>1285980.65</v>
      </c>
      <c r="W86" s="175">
        <f>-E86+IF(A85=INPUT!$C$11*12,V86,0)</f>
        <v>0</v>
      </c>
      <c r="X86" s="179">
        <f t="array" ref="X86">NPV('Pre-Calculation'!$E$20,$E87:E$246)</f>
        <v>0</v>
      </c>
      <c r="Y86" s="171">
        <f>10%*SA</f>
        <v>100000</v>
      </c>
      <c r="Z86" s="179">
        <f t="array" ref="Z86">NPV('Pre-Calculation'!$E$20,Y87:Y96)</f>
        <v>969592.8037</v>
      </c>
    </row>
    <row r="87" ht="15.75" customHeight="1">
      <c r="A87" s="171">
        <f t="shared" si="1"/>
        <v>141</v>
      </c>
      <c r="B87" s="171">
        <f t="shared" si="2"/>
        <v>12</v>
      </c>
      <c r="C87" s="176">
        <f>EDATE(RCD,A86)</f>
        <v>46812</v>
      </c>
      <c r="D87" s="171">
        <f>Age_At_Entry+'Cashflows_4%'!B87-1</f>
        <v>46</v>
      </c>
      <c r="E87" s="175">
        <f>IF(AND(C87&lt;=Last_Prem,MOD(A86,Mode)=0,C87&gt;INPUT!$C$13,A87&lt;=Revival!$C$11),Mod_Prem,0)</f>
        <v>0</v>
      </c>
      <c r="F87" s="177">
        <f>IF(B87&lt;PT+1,E87*VLOOKUP(B87,'Pre-Calculation'!$H$1:$I$31,2,FALSE),0)</f>
        <v>0</v>
      </c>
      <c r="G87" s="177">
        <f>IF(B87&lt;PT+1,VLOOKUP(B87,'Pre-Calculation'!$H$1:$L$32,3,FALSE)+VLOOKUP(B87,'Pre-Calculation'!$H$1:$L$32,4,FALSE)*'Pre-Calculation'!$D$7,0)</f>
        <v>0</v>
      </c>
      <c r="H87" s="175">
        <f>(E87-(F87+G87)*(1+Tax)+N86)</f>
        <v>1250954.391</v>
      </c>
      <c r="I87" s="175">
        <f>IF(B87&lt;PT+1,VLOOKUP(D87,'Pre-Calculation'!$N$3:$P$79,IF(INPUT!$C$4="M",2,3),FALSE)*(J87/1000)*(1/12),0)</f>
        <v>0</v>
      </c>
      <c r="J87" s="175">
        <f t="shared" si="3"/>
        <v>0</v>
      </c>
      <c r="K87" s="175">
        <f>(IF('Pre-Calculation'!$D$17="Type 4 a",MAX(SA,H87,1.05*Q87),IF('Pre-Calculation'!$D$17="Type 4 c",H87,IF('Pre-Calculation'!$D$17="Type 4 d",SA+H87,IF('Pre-Calculation'!$D$17="Type 4 e",MAX(SA,H87),IF('Pre-Calculation'!$D$17="Type 4 f",SA,IF('Pre-Calculation'!$D$17="Type 4 g",1000+H87,IF('Pre-Calculation'!$D$17="Type 4 h",SA+X87,IF('Pre-Calculation'!$D$17="Type 4 i",MAX(H87,Q87),IF('Pre-Calculation'!$D$17="Type 4 k",MAX(H87,1.01*Q87),IF('Pre-Calculation'!$D$17="Type 4 m",MAX(105%*Q87,SA+H87),IF('Pre-Calculation'!$D$17="Type 4 o",MAX(SA,105%*Q87)+X87+Z87,IF('Pre-Calculation'!$D$17="Type 5",0)))))))))))))*IF(AND(A87&lt;Revival!$C$4,C87&gt;=Revival!$D$12),PUP,1)</f>
        <v>1250954.391</v>
      </c>
      <c r="L87" s="175">
        <f>H87-I87*(1+Tax)</f>
        <v>1250954.391</v>
      </c>
      <c r="M87" s="175">
        <f>L87*(1+GROWTH_RATE_L)*(1-FMC*(1+Tax))</f>
        <v>1253384.517</v>
      </c>
      <c r="N87" s="175">
        <f>M87+IF(MOD(A87,B87)=0,VLOOKUP(B87,'Pre-Calculation'!$H$1:$L$31,5,FALSE),0)*IF('Pre-Calculation'!$D$16="% OF FV",M87,IF(OR('Pre-Calculation'!$D$16="% OF AFV(24M)",'Pre-Calculation'!$D$16="% OF AFV(8Q)"),AVERAGE( $M64:$M87),IF('Pre-Calculation'!$D$16="% OF AFV(12M)",AVERAGE($M76:M87),IF('Pre-Calculation'!$D$16="% OF AFV(36M)",AVERAGE($M52:M87)))))</f>
        <v>1253384.517</v>
      </c>
      <c r="O87" s="175">
        <f t="shared" si="4"/>
        <v>1253384.517</v>
      </c>
      <c r="P87" s="175">
        <f>IF('Pre-Calculation'!$D$17="Type 4 a",MAX(SA,N87,1.05*Q87),IF('Pre-Calculation'!$D$17="Type 4 c",N87,IF('Pre-Calculation'!$D$17="Type 4 d",SA+N87,IF('Pre-Calculation'!$D$17="Type 4 e",MAX(SA,N87),IF('Pre-Calculation'!$D$17="Type 4 f",SA,IF('Pre-Calculation'!$D$17="Type 4 g",1000+N87,IF('Pre-Calculation'!$D$17="Type 4 h",SA+X87,IF('Pre-Calculation'!$D$17="Type 4 i",MAX(N87,Q87),IF('Pre-Calculation'!$D$17="Type 4 k",MAX(N87,1.01*Q87),IF('Pre-Calculation'!$D$17="Type 4 m",MAX(105%*Q87,SA+N87),IF('Pre-Calculation'!$D$17="Type 4 o",MAX(SA,105%*Q87)+X87+Z87,IF('Pre-Calculation'!$D$17="Type 5",0))))))))))))</f>
        <v>1253384.517</v>
      </c>
      <c r="Q87" s="175">
        <f t="shared" si="5"/>
        <v>1000000</v>
      </c>
      <c r="R87" s="119">
        <f>L87*(1+GROWTH_RATE)*FMC</f>
        <v>1415.608203</v>
      </c>
      <c r="S87" s="178">
        <f>S86*(1+'Pre-Calculation'!$E$27)</f>
        <v>819899.6816</v>
      </c>
      <c r="T87" s="175">
        <f>-E87+IF(A86=INPUT!$C$11*12,N87,0)</f>
        <v>0</v>
      </c>
      <c r="U87" s="175">
        <f t="shared" si="6"/>
        <v>1285980.65</v>
      </c>
      <c r="V87" s="175">
        <f>U87*(1+GROWTH_RATE_L)*(1-'Pre-Calculation'!$E$31)</f>
        <v>1288042.031</v>
      </c>
      <c r="W87" s="175">
        <f>-E87+IF(A86=INPUT!$C$11*12,V87,0)</f>
        <v>0</v>
      </c>
      <c r="X87" s="179">
        <f t="array" ref="X87">NPV('Pre-Calculation'!$E$20,$E88:E$246)</f>
        <v>0</v>
      </c>
      <c r="Y87" s="171">
        <f>10%*SA</f>
        <v>100000</v>
      </c>
      <c r="Z87" s="179">
        <f t="array" ref="Z87">NPV('Pre-Calculation'!$E$20,Y88:Y97)</f>
        <v>969592.8037</v>
      </c>
    </row>
    <row r="88" ht="15.75" customHeight="1">
      <c r="A88" s="171">
        <f t="shared" si="1"/>
        <v>142</v>
      </c>
      <c r="B88" s="171">
        <f t="shared" si="2"/>
        <v>12</v>
      </c>
      <c r="C88" s="176">
        <f>EDATE(RCD,A87)</f>
        <v>46842</v>
      </c>
      <c r="D88" s="171">
        <f>Age_At_Entry+'Cashflows_4%'!B88-1</f>
        <v>46</v>
      </c>
      <c r="E88" s="175">
        <f>IF(AND(C88&lt;=Last_Prem,MOD(A87,Mode)=0,C88&gt;INPUT!$C$13,A88&lt;=Revival!$C$11),Mod_Prem,0)</f>
        <v>0</v>
      </c>
      <c r="F88" s="177">
        <f>IF(B88&lt;PT+1,E88*VLOOKUP(B88,'Pre-Calculation'!$H$1:$I$31,2,FALSE),0)</f>
        <v>0</v>
      </c>
      <c r="G88" s="177">
        <f>IF(B88&lt;PT+1,VLOOKUP(B88,'Pre-Calculation'!$H$1:$L$32,3,FALSE)+VLOOKUP(B88,'Pre-Calculation'!$H$1:$L$32,4,FALSE)*'Pre-Calculation'!$D$7,0)</f>
        <v>0</v>
      </c>
      <c r="H88" s="175">
        <f>(E88-(F88+G88)*(1+Tax)+N87)</f>
        <v>1253384.517</v>
      </c>
      <c r="I88" s="175">
        <f>IF(B88&lt;PT+1,VLOOKUP(D88,'Pre-Calculation'!$N$3:$P$79,IF(INPUT!$C$4="M",2,3),FALSE)*(J88/1000)*(1/12),0)</f>
        <v>0</v>
      </c>
      <c r="J88" s="175">
        <f t="shared" si="3"/>
        <v>0</v>
      </c>
      <c r="K88" s="175">
        <f>(IF('Pre-Calculation'!$D$17="Type 4 a",MAX(SA,H88,1.05*Q88),IF('Pre-Calculation'!$D$17="Type 4 c",H88,IF('Pre-Calculation'!$D$17="Type 4 d",SA+H88,IF('Pre-Calculation'!$D$17="Type 4 e",MAX(SA,H88),IF('Pre-Calculation'!$D$17="Type 4 f",SA,IF('Pre-Calculation'!$D$17="Type 4 g",1000+H88,IF('Pre-Calculation'!$D$17="Type 4 h",SA+X88,IF('Pre-Calculation'!$D$17="Type 4 i",MAX(H88,Q88),IF('Pre-Calculation'!$D$17="Type 4 k",MAX(H88,1.01*Q88),IF('Pre-Calculation'!$D$17="Type 4 m",MAX(105%*Q88,SA+H88),IF('Pre-Calculation'!$D$17="Type 4 o",MAX(SA,105%*Q88)+X88+Z88,IF('Pre-Calculation'!$D$17="Type 5",0)))))))))))))*IF(AND(A88&lt;Revival!$C$4,C88&gt;=Revival!$D$12),PUP,1)</f>
        <v>1253384.517</v>
      </c>
      <c r="L88" s="175">
        <f>H88-I88*(1+Tax)</f>
        <v>1253384.517</v>
      </c>
      <c r="M88" s="175">
        <f>L88*(1+GROWTH_RATE_L)*(1-FMC*(1+Tax))</f>
        <v>1255819.365</v>
      </c>
      <c r="N88" s="175">
        <f>M88+IF(MOD(A88,B88)=0,VLOOKUP(B88,'Pre-Calculation'!$H$1:$L$31,5,FALSE),0)*IF('Pre-Calculation'!$D$16="% OF FV",M88,IF(OR('Pre-Calculation'!$D$16="% OF AFV(24M)",'Pre-Calculation'!$D$16="% OF AFV(8Q)"),AVERAGE( $M65:$M88),IF('Pre-Calculation'!$D$16="% OF AFV(12M)",AVERAGE($M77:M88),IF('Pre-Calculation'!$D$16="% OF AFV(36M)",AVERAGE($M53:M88)))))</f>
        <v>1255819.365</v>
      </c>
      <c r="O88" s="175">
        <f t="shared" si="4"/>
        <v>1255819.365</v>
      </c>
      <c r="P88" s="175">
        <f>IF('Pre-Calculation'!$D$17="Type 4 a",MAX(SA,N88,1.05*Q88),IF('Pre-Calculation'!$D$17="Type 4 c",N88,IF('Pre-Calculation'!$D$17="Type 4 d",SA+N88,IF('Pre-Calculation'!$D$17="Type 4 e",MAX(SA,N88),IF('Pre-Calculation'!$D$17="Type 4 f",SA,IF('Pre-Calculation'!$D$17="Type 4 g",1000+N88,IF('Pre-Calculation'!$D$17="Type 4 h",SA+X88,IF('Pre-Calculation'!$D$17="Type 4 i",MAX(N88,Q88),IF('Pre-Calculation'!$D$17="Type 4 k",MAX(N88,1.01*Q88),IF('Pre-Calculation'!$D$17="Type 4 m",MAX(105%*Q88,SA+N88),IF('Pre-Calculation'!$D$17="Type 4 o",MAX(SA,105%*Q88)+X88+Z88,IF('Pre-Calculation'!$D$17="Type 5",0))))))))))))</f>
        <v>1255819.365</v>
      </c>
      <c r="Q88" s="175">
        <f t="shared" si="5"/>
        <v>1000000</v>
      </c>
      <c r="R88" s="119">
        <f>L88*(1+GROWTH_RATE)*FMC</f>
        <v>1418.358189</v>
      </c>
      <c r="S88" s="178">
        <f>S87*(1+'Pre-Calculation'!$E$27)</f>
        <v>822253.5305</v>
      </c>
      <c r="T88" s="175">
        <f>-E88+IF(A87=INPUT!$C$11*12,N88,0)</f>
        <v>0</v>
      </c>
      <c r="U88" s="175">
        <f t="shared" si="6"/>
        <v>1288042.031</v>
      </c>
      <c r="V88" s="175">
        <f>U88*(1+GROWTH_RATE_L)*(1-'Pre-Calculation'!$E$31)</f>
        <v>1290106.716</v>
      </c>
      <c r="W88" s="175">
        <f>-E88+IF(A87=INPUT!$C$11*12,V88,0)</f>
        <v>0</v>
      </c>
      <c r="X88" s="179">
        <f t="array" ref="X88">NPV('Pre-Calculation'!$E$20,$E89:E$246)</f>
        <v>0</v>
      </c>
      <c r="Y88" s="171">
        <f>10%*SA</f>
        <v>100000</v>
      </c>
      <c r="Z88" s="179">
        <f t="array" ref="Z88">NPV('Pre-Calculation'!$E$20,Y89:Y98)</f>
        <v>969592.8037</v>
      </c>
    </row>
    <row r="89" ht="15.75" customHeight="1">
      <c r="A89" s="171">
        <f t="shared" si="1"/>
        <v>143</v>
      </c>
      <c r="B89" s="171">
        <f t="shared" si="2"/>
        <v>12</v>
      </c>
      <c r="C89" s="176">
        <f>EDATE(RCD,A88)</f>
        <v>46873</v>
      </c>
      <c r="D89" s="171">
        <f>Age_At_Entry+'Cashflows_4%'!B89-1</f>
        <v>46</v>
      </c>
      <c r="E89" s="175">
        <f>IF(AND(C89&lt;=Last_Prem,MOD(A88,Mode)=0,C89&gt;INPUT!$C$13,A89&lt;=Revival!$C$11),Mod_Prem,0)</f>
        <v>0</v>
      </c>
      <c r="F89" s="177">
        <f>IF(B89&lt;PT+1,E89*VLOOKUP(B89,'Pre-Calculation'!$H$1:$I$31,2,FALSE),0)</f>
        <v>0</v>
      </c>
      <c r="G89" s="177">
        <f>IF(B89&lt;PT+1,VLOOKUP(B89,'Pre-Calculation'!$H$1:$L$32,3,FALSE)+VLOOKUP(B89,'Pre-Calculation'!$H$1:$L$32,4,FALSE)*'Pre-Calculation'!$D$7,0)</f>
        <v>0</v>
      </c>
      <c r="H89" s="175">
        <f>(E89-(F89+G89)*(1+Tax)+N88)</f>
        <v>1255819.365</v>
      </c>
      <c r="I89" s="175">
        <f>IF(B89&lt;PT+1,VLOOKUP(D89,'Pre-Calculation'!$N$3:$P$79,IF(INPUT!$C$4="M",2,3),FALSE)*(J89/1000)*(1/12),0)</f>
        <v>0</v>
      </c>
      <c r="J89" s="175">
        <f t="shared" si="3"/>
        <v>0</v>
      </c>
      <c r="K89" s="175">
        <f>(IF('Pre-Calculation'!$D$17="Type 4 a",MAX(SA,H89,1.05*Q89),IF('Pre-Calculation'!$D$17="Type 4 c",H89,IF('Pre-Calculation'!$D$17="Type 4 d",SA+H89,IF('Pre-Calculation'!$D$17="Type 4 e",MAX(SA,H89),IF('Pre-Calculation'!$D$17="Type 4 f",SA,IF('Pre-Calculation'!$D$17="Type 4 g",1000+H89,IF('Pre-Calculation'!$D$17="Type 4 h",SA+X89,IF('Pre-Calculation'!$D$17="Type 4 i",MAX(H89,Q89),IF('Pre-Calculation'!$D$17="Type 4 k",MAX(H89,1.01*Q89),IF('Pre-Calculation'!$D$17="Type 4 m",MAX(105%*Q89,SA+H89),IF('Pre-Calculation'!$D$17="Type 4 o",MAX(SA,105%*Q89)+X89+Z89,IF('Pre-Calculation'!$D$17="Type 5",0)))))))))))))*IF(AND(A89&lt;Revival!$C$4,C89&gt;=Revival!$D$12),PUP,1)</f>
        <v>1255819.365</v>
      </c>
      <c r="L89" s="175">
        <f>H89-I89*(1+Tax)</f>
        <v>1255819.365</v>
      </c>
      <c r="M89" s="175">
        <f>L89*(1+GROWTH_RATE_L)*(1-FMC*(1+Tax))</f>
        <v>1258258.942</v>
      </c>
      <c r="N89" s="175">
        <f>M89+IF(MOD(A89,B89)=0,VLOOKUP(B89,'Pre-Calculation'!$H$1:$L$31,5,FALSE),0)*IF('Pre-Calculation'!$D$16="% OF FV",M89,IF(OR('Pre-Calculation'!$D$16="% OF AFV(24M)",'Pre-Calculation'!$D$16="% OF AFV(8Q)"),AVERAGE( $M66:$M89),IF('Pre-Calculation'!$D$16="% OF AFV(12M)",AVERAGE($M78:M89),IF('Pre-Calculation'!$D$16="% OF AFV(36M)",AVERAGE($M54:M89)))))</f>
        <v>1258258.942</v>
      </c>
      <c r="O89" s="175">
        <f t="shared" si="4"/>
        <v>1258258.942</v>
      </c>
      <c r="P89" s="175">
        <f>IF('Pre-Calculation'!$D$17="Type 4 a",MAX(SA,N89,1.05*Q89),IF('Pre-Calculation'!$D$17="Type 4 c",N89,IF('Pre-Calculation'!$D$17="Type 4 d",SA+N89,IF('Pre-Calculation'!$D$17="Type 4 e",MAX(SA,N89),IF('Pre-Calculation'!$D$17="Type 4 f",SA,IF('Pre-Calculation'!$D$17="Type 4 g",1000+N89,IF('Pre-Calculation'!$D$17="Type 4 h",SA+X89,IF('Pre-Calculation'!$D$17="Type 4 i",MAX(N89,Q89),IF('Pre-Calculation'!$D$17="Type 4 k",MAX(N89,1.01*Q89),IF('Pre-Calculation'!$D$17="Type 4 m",MAX(105%*Q89,SA+N89),IF('Pre-Calculation'!$D$17="Type 4 o",MAX(SA,105%*Q89)+X89+Z89,IF('Pre-Calculation'!$D$17="Type 5",0))))))))))))</f>
        <v>1258258.942</v>
      </c>
      <c r="Q89" s="175">
        <f t="shared" si="5"/>
        <v>1000000</v>
      </c>
      <c r="R89" s="119">
        <f>L89*(1+GROWTH_RATE)*FMC</f>
        <v>1421.113517</v>
      </c>
      <c r="S89" s="178">
        <f>S88*(1+'Pre-Calculation'!$E$27)</f>
        <v>824614.1371</v>
      </c>
      <c r="T89" s="175">
        <f>-E89+IF(A88=INPUT!$C$11*12,N89,0)</f>
        <v>0</v>
      </c>
      <c r="U89" s="175">
        <f t="shared" si="6"/>
        <v>1290106.716</v>
      </c>
      <c r="V89" s="175">
        <f>U89*(1+GROWTH_RATE_L)*(1-'Pre-Calculation'!$E$31)</f>
        <v>1292174.71</v>
      </c>
      <c r="W89" s="175">
        <f>-E89+IF(A88=INPUT!$C$11*12,V89,0)</f>
        <v>0</v>
      </c>
      <c r="X89" s="179">
        <f t="array" ref="X89">NPV('Pre-Calculation'!$E$20,$E90:E$246)</f>
        <v>0</v>
      </c>
      <c r="Y89" s="171">
        <f>10%*SA</f>
        <v>100000</v>
      </c>
      <c r="Z89" s="179">
        <f t="array" ref="Z89">NPV('Pre-Calculation'!$E$20,Y90:Y99)</f>
        <v>969592.8037</v>
      </c>
    </row>
    <row r="90" ht="15.75" customHeight="1">
      <c r="A90" s="171">
        <f t="shared" si="1"/>
        <v>144</v>
      </c>
      <c r="B90" s="171">
        <f t="shared" si="2"/>
        <v>12</v>
      </c>
      <c r="C90" s="176">
        <f>EDATE(RCD,A89)</f>
        <v>46903</v>
      </c>
      <c r="D90" s="171">
        <f>Age_At_Entry+'Cashflows_4%'!B90-1</f>
        <v>46</v>
      </c>
      <c r="E90" s="175">
        <f>IF(AND(C90&lt;=Last_Prem,MOD(A89,Mode)=0,C90&gt;INPUT!$C$13,A90&lt;=Revival!$C$11),Mod_Prem,0)</f>
        <v>0</v>
      </c>
      <c r="F90" s="177">
        <f>IF(B90&lt;PT+1,E90*VLOOKUP(B90,'Pre-Calculation'!$H$1:$I$31,2,FALSE),0)</f>
        <v>0</v>
      </c>
      <c r="G90" s="177">
        <f>IF(B90&lt;PT+1,VLOOKUP(B90,'Pre-Calculation'!$H$1:$L$32,3,FALSE)+VLOOKUP(B90,'Pre-Calculation'!$H$1:$L$32,4,FALSE)*'Pre-Calculation'!$D$7,0)</f>
        <v>0</v>
      </c>
      <c r="H90" s="175">
        <f>(E90-(F90+G90)*(1+Tax)+N89)</f>
        <v>1258258.942</v>
      </c>
      <c r="I90" s="175">
        <f>IF(B90&lt;PT+1,VLOOKUP(D90,'Pre-Calculation'!$N$3:$P$79,IF(INPUT!$C$4="M",2,3),FALSE)*(J90/1000)*(1/12),0)</f>
        <v>0</v>
      </c>
      <c r="J90" s="175">
        <f t="shared" si="3"/>
        <v>0</v>
      </c>
      <c r="K90" s="175">
        <f>(IF('Pre-Calculation'!$D$17="Type 4 a",MAX(SA,H90,1.05*Q90),IF('Pre-Calculation'!$D$17="Type 4 c",H90,IF('Pre-Calculation'!$D$17="Type 4 d",SA+H90,IF('Pre-Calculation'!$D$17="Type 4 e",MAX(SA,H90),IF('Pre-Calculation'!$D$17="Type 4 f",SA,IF('Pre-Calculation'!$D$17="Type 4 g",1000+H90,IF('Pre-Calculation'!$D$17="Type 4 h",SA+X90,IF('Pre-Calculation'!$D$17="Type 4 i",MAX(H90,Q90),IF('Pre-Calculation'!$D$17="Type 4 k",MAX(H90,1.01*Q90),IF('Pre-Calculation'!$D$17="Type 4 m",MAX(105%*Q90,SA+H90),IF('Pre-Calculation'!$D$17="Type 4 o",MAX(SA,105%*Q90)+X90+Z90,IF('Pre-Calculation'!$D$17="Type 5",0)))))))))))))*IF(AND(A90&lt;Revival!$C$4,C90&gt;=Revival!$D$12),PUP,1)</f>
        <v>1258258.942</v>
      </c>
      <c r="L90" s="175">
        <f>H90-I90*(1+Tax)</f>
        <v>1258258.942</v>
      </c>
      <c r="M90" s="175">
        <f>L90*(1+GROWTH_RATE_L)*(1-FMC*(1+Tax))</f>
        <v>1260703.259</v>
      </c>
      <c r="N90" s="175">
        <f>M90+IF(MOD(A90,B90)=0,VLOOKUP(B90,'Pre-Calculation'!$H$1:$L$31,5,FALSE),0)*IF('Pre-Calculation'!$D$16="% OF FV",M90,IF(OR('Pre-Calculation'!$D$16="% OF AFV(24M)",'Pre-Calculation'!$D$16="% OF AFV(8Q)"),AVERAGE( $M67:$M90),IF('Pre-Calculation'!$D$16="% OF AFV(12M)",AVERAGE($M79:M90),IF('Pre-Calculation'!$D$16="% OF AFV(36M)",AVERAGE($M55:M90)))))</f>
        <v>1260703.259</v>
      </c>
      <c r="O90" s="175">
        <f t="shared" si="4"/>
        <v>1260703.259</v>
      </c>
      <c r="P90" s="175">
        <f>IF('Pre-Calculation'!$D$17="Type 4 a",MAX(SA,N90,1.05*Q90),IF('Pre-Calculation'!$D$17="Type 4 c",N90,IF('Pre-Calculation'!$D$17="Type 4 d",SA+N90,IF('Pre-Calculation'!$D$17="Type 4 e",MAX(SA,N90),IF('Pre-Calculation'!$D$17="Type 4 f",SA,IF('Pre-Calculation'!$D$17="Type 4 g",1000+N90,IF('Pre-Calculation'!$D$17="Type 4 h",SA+X90,IF('Pre-Calculation'!$D$17="Type 4 i",MAX(N90,Q90),IF('Pre-Calculation'!$D$17="Type 4 k",MAX(N90,1.01*Q90),IF('Pre-Calculation'!$D$17="Type 4 m",MAX(105%*Q90,SA+N90),IF('Pre-Calculation'!$D$17="Type 4 o",MAX(SA,105%*Q90)+X90+Z90,IF('Pre-Calculation'!$D$17="Type 5",0))))))))))))</f>
        <v>1260703.259</v>
      </c>
      <c r="Q90" s="175">
        <f t="shared" si="5"/>
        <v>1000000</v>
      </c>
      <c r="R90" s="119">
        <f>L90*(1+GROWTH_RATE)*FMC</f>
        <v>1423.874198</v>
      </c>
      <c r="S90" s="178">
        <f>S89*(1+'Pre-Calculation'!$E$27)</f>
        <v>826981.5208</v>
      </c>
      <c r="T90" s="175">
        <f>-E90+IF(A89=INPUT!$C$11*12,N90,0)</f>
        <v>0</v>
      </c>
      <c r="U90" s="175">
        <f t="shared" si="6"/>
        <v>1292174.71</v>
      </c>
      <c r="V90" s="175">
        <f>U90*(1+GROWTH_RATE_L)*(1-'Pre-Calculation'!$E$31)</f>
        <v>1294246.019</v>
      </c>
      <c r="W90" s="175">
        <f>-E90+IF(A89=INPUT!$C$11*12,V90,0)</f>
        <v>0</v>
      </c>
      <c r="X90" s="179">
        <f t="array" ref="X90">NPV('Pre-Calculation'!$E$20,$E91:E$246)</f>
        <v>0</v>
      </c>
      <c r="Y90" s="171">
        <f>10%*SA</f>
        <v>100000</v>
      </c>
      <c r="Z90" s="179">
        <f t="array" ref="Z90">NPV('Pre-Calculation'!$E$20,Y91:Y100)</f>
        <v>969592.8037</v>
      </c>
    </row>
    <row r="91" ht="15.75" customHeight="1">
      <c r="A91" s="171">
        <f t="shared" si="1"/>
        <v>145</v>
      </c>
      <c r="B91" s="171">
        <f t="shared" si="2"/>
        <v>13</v>
      </c>
      <c r="C91" s="176">
        <f>EDATE(RCD,A90)</f>
        <v>46934</v>
      </c>
      <c r="D91" s="171">
        <f>Age_At_Entry+'Cashflows_4%'!B91-1</f>
        <v>47</v>
      </c>
      <c r="E91" s="175">
        <f>IF(AND(C91&lt;=Last_Prem,MOD(A90,Mode)=0,C91&gt;INPUT!$C$13,A91&lt;=Revival!$C$11),Mod_Prem,0)</f>
        <v>0</v>
      </c>
      <c r="F91" s="177">
        <f>IF(B91&lt;PT+1,E91*VLOOKUP(B91,'Pre-Calculation'!$H$1:$I$31,2,FALSE),0)</f>
        <v>0</v>
      </c>
      <c r="G91" s="177">
        <f>IF(B91&lt;PT+1,VLOOKUP(B91,'Pre-Calculation'!$H$1:$L$32,3,FALSE)+VLOOKUP(B91,'Pre-Calculation'!$H$1:$L$32,4,FALSE)*'Pre-Calculation'!$D$7,0)</f>
        <v>0</v>
      </c>
      <c r="H91" s="175">
        <f>(E91-(F91+G91)*(1+Tax)+N90)</f>
        <v>1260703.259</v>
      </c>
      <c r="I91" s="175">
        <f>IF(B91&lt;PT+1,VLOOKUP(D91,'Pre-Calculation'!$N$3:$P$79,IF(INPUT!$C$4="M",2,3),FALSE)*(J91/1000)*(1/12),0)</f>
        <v>0</v>
      </c>
      <c r="J91" s="175">
        <f t="shared" si="3"/>
        <v>0</v>
      </c>
      <c r="K91" s="175">
        <f>(IF('Pre-Calculation'!$D$17="Type 4 a",MAX(SA,H91,1.05*Q91),IF('Pre-Calculation'!$D$17="Type 4 c",H91,IF('Pre-Calculation'!$D$17="Type 4 d",SA+H91,IF('Pre-Calculation'!$D$17="Type 4 e",MAX(SA,H91),IF('Pre-Calculation'!$D$17="Type 4 f",SA,IF('Pre-Calculation'!$D$17="Type 4 g",1000+H91,IF('Pre-Calculation'!$D$17="Type 4 h",SA+X91,IF('Pre-Calculation'!$D$17="Type 4 i",MAX(H91,Q91),IF('Pre-Calculation'!$D$17="Type 4 k",MAX(H91,1.01*Q91),IF('Pre-Calculation'!$D$17="Type 4 m",MAX(105%*Q91,SA+H91),IF('Pre-Calculation'!$D$17="Type 4 o",MAX(SA,105%*Q91)+X91+Z91,IF('Pre-Calculation'!$D$17="Type 5",0)))))))))))))*IF(AND(A91&lt;Revival!$C$4,C91&gt;=Revival!$D$12),PUP,1)</f>
        <v>1260703.259</v>
      </c>
      <c r="L91" s="175">
        <f>H91-I91*(1+Tax)</f>
        <v>1260703.259</v>
      </c>
      <c r="M91" s="175">
        <f>L91*(1+GROWTH_RATE_L)*(1-FMC*(1+Tax))</f>
        <v>1263152.324</v>
      </c>
      <c r="N91" s="175">
        <f>M91+IF(MOD(A91,B91)=0,VLOOKUP(B91,'Pre-Calculation'!$H$1:$L$31,5,FALSE),0)*IF('Pre-Calculation'!$D$16="% OF FV",M91,IF(OR('Pre-Calculation'!$D$16="% OF AFV(24M)",'Pre-Calculation'!$D$16="% OF AFV(8Q)"),AVERAGE( $M68:$M91),IF('Pre-Calculation'!$D$16="% OF AFV(12M)",AVERAGE($M80:M91),IF('Pre-Calculation'!$D$16="% OF AFV(36M)",AVERAGE($M56:M91)))))</f>
        <v>1263152.324</v>
      </c>
      <c r="O91" s="175">
        <f t="shared" si="4"/>
        <v>1263152.324</v>
      </c>
      <c r="P91" s="175">
        <f>IF('Pre-Calculation'!$D$17="Type 4 a",MAX(SA,N91,1.05*Q91),IF('Pre-Calculation'!$D$17="Type 4 c",N91,IF('Pre-Calculation'!$D$17="Type 4 d",SA+N91,IF('Pre-Calculation'!$D$17="Type 4 e",MAX(SA,N91),IF('Pre-Calculation'!$D$17="Type 4 f",SA,IF('Pre-Calculation'!$D$17="Type 4 g",1000+N91,IF('Pre-Calculation'!$D$17="Type 4 h",SA+X91,IF('Pre-Calculation'!$D$17="Type 4 i",MAX(N91,Q91),IF('Pre-Calculation'!$D$17="Type 4 k",MAX(N91,1.01*Q91),IF('Pre-Calculation'!$D$17="Type 4 m",MAX(105%*Q91,SA+N91),IF('Pre-Calculation'!$D$17="Type 4 o",MAX(SA,105%*Q91)+X91+Z91,IF('Pre-Calculation'!$D$17="Type 5",0))))))))))))</f>
        <v>1263152.324</v>
      </c>
      <c r="Q91" s="175">
        <f t="shared" si="5"/>
        <v>1000000</v>
      </c>
      <c r="R91" s="119">
        <f>L91*(1+GROWTH_RATE)*FMC</f>
        <v>1426.640242</v>
      </c>
      <c r="S91" s="178">
        <f>S90*(1+'Pre-Calculation'!$E$27)</f>
        <v>829355.701</v>
      </c>
      <c r="T91" s="175">
        <f>-E91+IF(A90=INPUT!$C$11*12,N91,0)</f>
        <v>0</v>
      </c>
      <c r="U91" s="175">
        <f t="shared" si="6"/>
        <v>1294246.019</v>
      </c>
      <c r="V91" s="175">
        <f>U91*(1+GROWTH_RATE_L)*(1-'Pre-Calculation'!$E$31)</f>
        <v>1296320.649</v>
      </c>
      <c r="W91" s="175">
        <f>-E91+IF(A90=INPUT!$C$11*12,V91,0)</f>
        <v>0</v>
      </c>
      <c r="X91" s="179">
        <f t="array" ref="X91">NPV('Pre-Calculation'!$E$20,$E92:E$246)</f>
        <v>0</v>
      </c>
      <c r="Y91" s="171">
        <f>10%*SA</f>
        <v>100000</v>
      </c>
      <c r="Z91" s="179">
        <f t="array" ref="Z91">NPV('Pre-Calculation'!$E$20,Y92:Y101)</f>
        <v>969592.8037</v>
      </c>
    </row>
    <row r="92" ht="15.75" customHeight="1">
      <c r="A92" s="171">
        <f t="shared" si="1"/>
        <v>146</v>
      </c>
      <c r="B92" s="171">
        <f t="shared" si="2"/>
        <v>13</v>
      </c>
      <c r="C92" s="176">
        <f>EDATE(RCD,A91)</f>
        <v>46964</v>
      </c>
      <c r="D92" s="171">
        <f>Age_At_Entry+'Cashflows_4%'!B92-1</f>
        <v>47</v>
      </c>
      <c r="E92" s="175">
        <f>IF(AND(C92&lt;=Last_Prem,MOD(A91,Mode)=0,C92&gt;INPUT!$C$13,A92&lt;=Revival!$C$11),Mod_Prem,0)</f>
        <v>0</v>
      </c>
      <c r="F92" s="177">
        <f>IF(B92&lt;PT+1,E92*VLOOKUP(B92,'Pre-Calculation'!$H$1:$I$31,2,FALSE),0)</f>
        <v>0</v>
      </c>
      <c r="G92" s="177">
        <f>IF(B92&lt;PT+1,VLOOKUP(B92,'Pre-Calculation'!$H$1:$L$32,3,FALSE)+VLOOKUP(B92,'Pre-Calculation'!$H$1:$L$32,4,FALSE)*'Pre-Calculation'!$D$7,0)</f>
        <v>0</v>
      </c>
      <c r="H92" s="175">
        <f>(E92-(F92+G92)*(1+Tax)+N91)</f>
        <v>1263152.324</v>
      </c>
      <c r="I92" s="175">
        <f>IF(B92&lt;PT+1,VLOOKUP(D92,'Pre-Calculation'!$N$3:$P$79,IF(INPUT!$C$4="M",2,3),FALSE)*(J92/1000)*(1/12),0)</f>
        <v>0</v>
      </c>
      <c r="J92" s="175">
        <f t="shared" si="3"/>
        <v>0</v>
      </c>
      <c r="K92" s="175">
        <f>(IF('Pre-Calculation'!$D$17="Type 4 a",MAX(SA,H92,1.05*Q92),IF('Pre-Calculation'!$D$17="Type 4 c",H92,IF('Pre-Calculation'!$D$17="Type 4 d",SA+H92,IF('Pre-Calculation'!$D$17="Type 4 e",MAX(SA,H92),IF('Pre-Calculation'!$D$17="Type 4 f",SA,IF('Pre-Calculation'!$D$17="Type 4 g",1000+H92,IF('Pre-Calculation'!$D$17="Type 4 h",SA+X92,IF('Pre-Calculation'!$D$17="Type 4 i",MAX(H92,Q92),IF('Pre-Calculation'!$D$17="Type 4 k",MAX(H92,1.01*Q92),IF('Pre-Calculation'!$D$17="Type 4 m",MAX(105%*Q92,SA+H92),IF('Pre-Calculation'!$D$17="Type 4 o",MAX(SA,105%*Q92)+X92+Z92,IF('Pre-Calculation'!$D$17="Type 5",0)))))))))))))*IF(AND(A92&lt;Revival!$C$4,C92&gt;=Revival!$D$12),PUP,1)</f>
        <v>1263152.324</v>
      </c>
      <c r="L92" s="175">
        <f>H92-I92*(1+Tax)</f>
        <v>1263152.324</v>
      </c>
      <c r="M92" s="175">
        <f>L92*(1+GROWTH_RATE_L)*(1-FMC*(1+Tax))</f>
        <v>1265606.147</v>
      </c>
      <c r="N92" s="175">
        <f>M92+IF(MOD(A92,B92)=0,VLOOKUP(B92,'Pre-Calculation'!$H$1:$L$31,5,FALSE),0)*IF('Pre-Calculation'!$D$16="% OF FV",M92,IF(OR('Pre-Calculation'!$D$16="% OF AFV(24M)",'Pre-Calculation'!$D$16="% OF AFV(8Q)"),AVERAGE( $M69:$M92),IF('Pre-Calculation'!$D$16="% OF AFV(12M)",AVERAGE($M81:M92),IF('Pre-Calculation'!$D$16="% OF AFV(36M)",AVERAGE($M57:M92)))))</f>
        <v>1265606.147</v>
      </c>
      <c r="O92" s="175">
        <f t="shared" si="4"/>
        <v>1265606.147</v>
      </c>
      <c r="P92" s="175">
        <f>IF('Pre-Calculation'!$D$17="Type 4 a",MAX(SA,N92,1.05*Q92),IF('Pre-Calculation'!$D$17="Type 4 c",N92,IF('Pre-Calculation'!$D$17="Type 4 d",SA+N92,IF('Pre-Calculation'!$D$17="Type 4 e",MAX(SA,N92),IF('Pre-Calculation'!$D$17="Type 4 f",SA,IF('Pre-Calculation'!$D$17="Type 4 g",1000+N92,IF('Pre-Calculation'!$D$17="Type 4 h",SA+X92,IF('Pre-Calculation'!$D$17="Type 4 i",MAX(N92,Q92),IF('Pre-Calculation'!$D$17="Type 4 k",MAX(N92,1.01*Q92),IF('Pre-Calculation'!$D$17="Type 4 m",MAX(105%*Q92,SA+N92),IF('Pre-Calculation'!$D$17="Type 4 o",MAX(SA,105%*Q92)+X92+Z92,IF('Pre-Calculation'!$D$17="Type 5",0))))))))))))</f>
        <v>1265606.147</v>
      </c>
      <c r="Q92" s="175">
        <f t="shared" si="5"/>
        <v>1000000</v>
      </c>
      <c r="R92" s="119">
        <f>L92*(1+GROWTH_RATE)*FMC</f>
        <v>1429.411659</v>
      </c>
      <c r="S92" s="178">
        <f>S91*(1+'Pre-Calculation'!$E$27)</f>
        <v>831736.6972</v>
      </c>
      <c r="T92" s="175">
        <f>-E92+IF(A91=INPUT!$C$11*12,N92,0)</f>
        <v>0</v>
      </c>
      <c r="U92" s="175">
        <f t="shared" si="6"/>
        <v>1296320.649</v>
      </c>
      <c r="V92" s="175">
        <f>U92*(1+GROWTH_RATE_L)*(1-'Pre-Calculation'!$E$31)</f>
        <v>1298398.604</v>
      </c>
      <c r="W92" s="175">
        <f>-E92+IF(A91=INPUT!$C$11*12,V92,0)</f>
        <v>0</v>
      </c>
      <c r="X92" s="179">
        <f t="array" ref="X92">NPV('Pre-Calculation'!$E$20,$E93:E$246)</f>
        <v>0</v>
      </c>
      <c r="Y92" s="171">
        <f>10%*SA</f>
        <v>100000</v>
      </c>
      <c r="Z92" s="179">
        <f t="array" ref="Z92">NPV('Pre-Calculation'!$E$20,Y93:Y102)</f>
        <v>969592.8037</v>
      </c>
    </row>
    <row r="93" ht="15.75" customHeight="1">
      <c r="A93" s="171">
        <f t="shared" si="1"/>
        <v>147</v>
      </c>
      <c r="B93" s="171">
        <f t="shared" si="2"/>
        <v>13</v>
      </c>
      <c r="C93" s="176">
        <f>EDATE(RCD,A92)</f>
        <v>46995</v>
      </c>
      <c r="D93" s="171">
        <f>Age_At_Entry+'Cashflows_4%'!B93-1</f>
        <v>47</v>
      </c>
      <c r="E93" s="175">
        <f>IF(AND(C93&lt;=Last_Prem,MOD(A92,Mode)=0,C93&gt;INPUT!$C$13,A93&lt;=Revival!$C$11),Mod_Prem,0)</f>
        <v>0</v>
      </c>
      <c r="F93" s="177">
        <f>IF(B93&lt;PT+1,E93*VLOOKUP(B93,'Pre-Calculation'!$H$1:$I$31,2,FALSE),0)</f>
        <v>0</v>
      </c>
      <c r="G93" s="177">
        <f>IF(B93&lt;PT+1,VLOOKUP(B93,'Pre-Calculation'!$H$1:$L$32,3,FALSE)+VLOOKUP(B93,'Pre-Calculation'!$H$1:$L$32,4,FALSE)*'Pre-Calculation'!$D$7,0)</f>
        <v>0</v>
      </c>
      <c r="H93" s="175">
        <f>(E93-(F93+G93)*(1+Tax)+N92)</f>
        <v>1265606.147</v>
      </c>
      <c r="I93" s="175">
        <f>IF(B93&lt;PT+1,VLOOKUP(D93,'Pre-Calculation'!$N$3:$P$79,IF(INPUT!$C$4="M",2,3),FALSE)*(J93/1000)*(1/12),0)</f>
        <v>0</v>
      </c>
      <c r="J93" s="175">
        <f t="shared" si="3"/>
        <v>0</v>
      </c>
      <c r="K93" s="175">
        <f>(IF('Pre-Calculation'!$D$17="Type 4 a",MAX(SA,H93,1.05*Q93),IF('Pre-Calculation'!$D$17="Type 4 c",H93,IF('Pre-Calculation'!$D$17="Type 4 d",SA+H93,IF('Pre-Calculation'!$D$17="Type 4 e",MAX(SA,H93),IF('Pre-Calculation'!$D$17="Type 4 f",SA,IF('Pre-Calculation'!$D$17="Type 4 g",1000+H93,IF('Pre-Calculation'!$D$17="Type 4 h",SA+X93,IF('Pre-Calculation'!$D$17="Type 4 i",MAX(H93,Q93),IF('Pre-Calculation'!$D$17="Type 4 k",MAX(H93,1.01*Q93),IF('Pre-Calculation'!$D$17="Type 4 m",MAX(105%*Q93,SA+H93),IF('Pre-Calculation'!$D$17="Type 4 o",MAX(SA,105%*Q93)+X93+Z93,IF('Pre-Calculation'!$D$17="Type 5",0)))))))))))))*IF(AND(A93&lt;Revival!$C$4,C93&gt;=Revival!$D$12),PUP,1)</f>
        <v>1265606.147</v>
      </c>
      <c r="L93" s="175">
        <f>H93-I93*(1+Tax)</f>
        <v>1265606.147</v>
      </c>
      <c r="M93" s="175">
        <f>L93*(1+GROWTH_RATE_L)*(1-FMC*(1+Tax))</f>
        <v>1268064.736</v>
      </c>
      <c r="N93" s="175">
        <f>M93+IF(MOD(A93,B93)=0,VLOOKUP(B93,'Pre-Calculation'!$H$1:$L$31,5,FALSE),0)*IF('Pre-Calculation'!$D$16="% OF FV",M93,IF(OR('Pre-Calculation'!$D$16="% OF AFV(24M)",'Pre-Calculation'!$D$16="% OF AFV(8Q)"),AVERAGE( $M70:$M93),IF('Pre-Calculation'!$D$16="% OF AFV(12M)",AVERAGE($M82:M93),IF('Pre-Calculation'!$D$16="% OF AFV(36M)",AVERAGE($M58:M93)))))</f>
        <v>1268064.736</v>
      </c>
      <c r="O93" s="175">
        <f t="shared" si="4"/>
        <v>1268064.736</v>
      </c>
      <c r="P93" s="175">
        <f>IF('Pre-Calculation'!$D$17="Type 4 a",MAX(SA,N93,1.05*Q93),IF('Pre-Calculation'!$D$17="Type 4 c",N93,IF('Pre-Calculation'!$D$17="Type 4 d",SA+N93,IF('Pre-Calculation'!$D$17="Type 4 e",MAX(SA,N93),IF('Pre-Calculation'!$D$17="Type 4 f",SA,IF('Pre-Calculation'!$D$17="Type 4 g",1000+N93,IF('Pre-Calculation'!$D$17="Type 4 h",SA+X93,IF('Pre-Calculation'!$D$17="Type 4 i",MAX(N93,Q93),IF('Pre-Calculation'!$D$17="Type 4 k",MAX(N93,1.01*Q93),IF('Pre-Calculation'!$D$17="Type 4 m",MAX(105%*Q93,SA+N93),IF('Pre-Calculation'!$D$17="Type 4 o",MAX(SA,105%*Q93)+X93+Z93,IF('Pre-Calculation'!$D$17="Type 5",0))))))))))))</f>
        <v>1268064.736</v>
      </c>
      <c r="Q93" s="175">
        <f t="shared" si="5"/>
        <v>1000000</v>
      </c>
      <c r="R93" s="119">
        <f>L93*(1+GROWTH_RATE)*FMC</f>
        <v>1432.18846</v>
      </c>
      <c r="S93" s="178">
        <f>S92*(1+'Pre-Calculation'!$E$27)</f>
        <v>834124.529</v>
      </c>
      <c r="T93" s="175">
        <f>-E93+IF(A92=INPUT!$C$11*12,N93,0)</f>
        <v>0</v>
      </c>
      <c r="U93" s="175">
        <f t="shared" si="6"/>
        <v>1298398.604</v>
      </c>
      <c r="V93" s="175">
        <f>U93*(1+GROWTH_RATE_L)*(1-'Pre-Calculation'!$E$31)</f>
        <v>1300479.89</v>
      </c>
      <c r="W93" s="175">
        <f>-E93+IF(A92=INPUT!$C$11*12,V93,0)</f>
        <v>0</v>
      </c>
      <c r="X93" s="179">
        <f t="array" ref="X93">NPV('Pre-Calculation'!$E$20,$E94:E$246)</f>
        <v>0</v>
      </c>
      <c r="Y93" s="171">
        <f>10%*SA</f>
        <v>100000</v>
      </c>
      <c r="Z93" s="179">
        <f t="array" ref="Z93">NPV('Pre-Calculation'!$E$20,Y94:Y103)</f>
        <v>969592.8037</v>
      </c>
    </row>
    <row r="94" ht="15.75" customHeight="1">
      <c r="A94" s="171">
        <f t="shared" si="1"/>
        <v>148</v>
      </c>
      <c r="B94" s="171">
        <f t="shared" si="2"/>
        <v>13</v>
      </c>
      <c r="C94" s="176">
        <f>EDATE(RCD,A93)</f>
        <v>47026</v>
      </c>
      <c r="D94" s="171">
        <f>Age_At_Entry+'Cashflows_4%'!B94-1</f>
        <v>47</v>
      </c>
      <c r="E94" s="175">
        <f>IF(AND(C94&lt;=Last_Prem,MOD(A93,Mode)=0,C94&gt;INPUT!$C$13,A94&lt;=Revival!$C$11),Mod_Prem,0)</f>
        <v>0</v>
      </c>
      <c r="F94" s="177">
        <f>IF(B94&lt;PT+1,E94*VLOOKUP(B94,'Pre-Calculation'!$H$1:$I$31,2,FALSE),0)</f>
        <v>0</v>
      </c>
      <c r="G94" s="177">
        <f>IF(B94&lt;PT+1,VLOOKUP(B94,'Pre-Calculation'!$H$1:$L$32,3,FALSE)+VLOOKUP(B94,'Pre-Calculation'!$H$1:$L$32,4,FALSE)*'Pre-Calculation'!$D$7,0)</f>
        <v>0</v>
      </c>
      <c r="H94" s="175">
        <f>(E94-(F94+G94)*(1+Tax)+N93)</f>
        <v>1268064.736</v>
      </c>
      <c r="I94" s="175">
        <f>IF(B94&lt;PT+1,VLOOKUP(D94,'Pre-Calculation'!$N$3:$P$79,IF(INPUT!$C$4="M",2,3),FALSE)*(J94/1000)*(1/12),0)</f>
        <v>0</v>
      </c>
      <c r="J94" s="175">
        <f t="shared" si="3"/>
        <v>0</v>
      </c>
      <c r="K94" s="175">
        <f>(IF('Pre-Calculation'!$D$17="Type 4 a",MAX(SA,H94,1.05*Q94),IF('Pre-Calculation'!$D$17="Type 4 c",H94,IF('Pre-Calculation'!$D$17="Type 4 d",SA+H94,IF('Pre-Calculation'!$D$17="Type 4 e",MAX(SA,H94),IF('Pre-Calculation'!$D$17="Type 4 f",SA,IF('Pre-Calculation'!$D$17="Type 4 g",1000+H94,IF('Pre-Calculation'!$D$17="Type 4 h",SA+X94,IF('Pre-Calculation'!$D$17="Type 4 i",MAX(H94,Q94),IF('Pre-Calculation'!$D$17="Type 4 k",MAX(H94,1.01*Q94),IF('Pre-Calculation'!$D$17="Type 4 m",MAX(105%*Q94,SA+H94),IF('Pre-Calculation'!$D$17="Type 4 o",MAX(SA,105%*Q94)+X94+Z94,IF('Pre-Calculation'!$D$17="Type 5",0)))))))))))))*IF(AND(A94&lt;Revival!$C$4,C94&gt;=Revival!$D$12),PUP,1)</f>
        <v>1268064.736</v>
      </c>
      <c r="L94" s="175">
        <f>H94-I94*(1+Tax)</f>
        <v>1268064.736</v>
      </c>
      <c r="M94" s="175">
        <f>L94*(1+GROWTH_RATE_L)*(1-FMC*(1+Tax))</f>
        <v>1270528.102</v>
      </c>
      <c r="N94" s="175">
        <f>M94+IF(MOD(A94,B94)=0,VLOOKUP(B94,'Pre-Calculation'!$H$1:$L$31,5,FALSE),0)*IF('Pre-Calculation'!$D$16="% OF FV",M94,IF(OR('Pre-Calculation'!$D$16="% OF AFV(24M)",'Pre-Calculation'!$D$16="% OF AFV(8Q)"),AVERAGE( $M71:$M94),IF('Pre-Calculation'!$D$16="% OF AFV(12M)",AVERAGE($M83:M94),IF('Pre-Calculation'!$D$16="% OF AFV(36M)",AVERAGE($M59:M94)))))</f>
        <v>1270528.102</v>
      </c>
      <c r="O94" s="175">
        <f t="shared" si="4"/>
        <v>1270528.102</v>
      </c>
      <c r="P94" s="175">
        <f>IF('Pre-Calculation'!$D$17="Type 4 a",MAX(SA,N94,1.05*Q94),IF('Pre-Calculation'!$D$17="Type 4 c",N94,IF('Pre-Calculation'!$D$17="Type 4 d",SA+N94,IF('Pre-Calculation'!$D$17="Type 4 e",MAX(SA,N94),IF('Pre-Calculation'!$D$17="Type 4 f",SA,IF('Pre-Calculation'!$D$17="Type 4 g",1000+N94,IF('Pre-Calculation'!$D$17="Type 4 h",SA+X94,IF('Pre-Calculation'!$D$17="Type 4 i",MAX(N94,Q94),IF('Pre-Calculation'!$D$17="Type 4 k",MAX(N94,1.01*Q94),IF('Pre-Calculation'!$D$17="Type 4 m",MAX(105%*Q94,SA+N94),IF('Pre-Calculation'!$D$17="Type 4 o",MAX(SA,105%*Q94)+X94+Z94,IF('Pre-Calculation'!$D$17="Type 5",0))))))))))))</f>
        <v>1270528.102</v>
      </c>
      <c r="Q94" s="175">
        <f t="shared" si="5"/>
        <v>1000000</v>
      </c>
      <c r="R94" s="119">
        <f>L94*(1+GROWTH_RATE)*FMC</f>
        <v>1434.970656</v>
      </c>
      <c r="S94" s="178">
        <f>S93*(1+'Pre-Calculation'!$E$27)</f>
        <v>836519.2161</v>
      </c>
      <c r="T94" s="175">
        <f>-E94+IF(A93=INPUT!$C$11*12,N94,0)</f>
        <v>0</v>
      </c>
      <c r="U94" s="175">
        <f t="shared" si="6"/>
        <v>1300479.89</v>
      </c>
      <c r="V94" s="175">
        <f>U94*(1+GROWTH_RATE_L)*(1-'Pre-Calculation'!$E$31)</f>
        <v>1302564.512</v>
      </c>
      <c r="W94" s="175">
        <f>-E94+IF(A93=INPUT!$C$11*12,V94,0)</f>
        <v>0</v>
      </c>
      <c r="X94" s="179">
        <f t="array" ref="X94">NPV('Pre-Calculation'!$E$20,$E95:E$246)</f>
        <v>0</v>
      </c>
      <c r="Y94" s="171">
        <f>10%*SA</f>
        <v>100000</v>
      </c>
      <c r="Z94" s="179">
        <f t="array" ref="Z94">NPV('Pre-Calculation'!$E$20,Y95:Y104)</f>
        <v>969592.8037</v>
      </c>
    </row>
    <row r="95" ht="15.75" customHeight="1">
      <c r="A95" s="171">
        <f t="shared" si="1"/>
        <v>149</v>
      </c>
      <c r="B95" s="171">
        <f t="shared" si="2"/>
        <v>13</v>
      </c>
      <c r="C95" s="176">
        <f>EDATE(RCD,A94)</f>
        <v>47056</v>
      </c>
      <c r="D95" s="171">
        <f>Age_At_Entry+'Cashflows_4%'!B95-1</f>
        <v>47</v>
      </c>
      <c r="E95" s="175">
        <f>IF(AND(C95&lt;=Last_Prem,MOD(A94,Mode)=0,C95&gt;INPUT!$C$13,A95&lt;=Revival!$C$11),Mod_Prem,0)</f>
        <v>0</v>
      </c>
      <c r="F95" s="177">
        <f>IF(B95&lt;PT+1,E95*VLOOKUP(B95,'Pre-Calculation'!$H$1:$I$31,2,FALSE),0)</f>
        <v>0</v>
      </c>
      <c r="G95" s="177">
        <f>IF(B95&lt;PT+1,VLOOKUP(B95,'Pre-Calculation'!$H$1:$L$32,3,FALSE)+VLOOKUP(B95,'Pre-Calculation'!$H$1:$L$32,4,FALSE)*'Pre-Calculation'!$D$7,0)</f>
        <v>0</v>
      </c>
      <c r="H95" s="175">
        <f>(E95-(F95+G95)*(1+Tax)+N94)</f>
        <v>1270528.102</v>
      </c>
      <c r="I95" s="175">
        <f>IF(B95&lt;PT+1,VLOOKUP(D95,'Pre-Calculation'!$N$3:$P$79,IF(INPUT!$C$4="M",2,3),FALSE)*(J95/1000)*(1/12),0)</f>
        <v>0</v>
      </c>
      <c r="J95" s="175">
        <f t="shared" si="3"/>
        <v>0</v>
      </c>
      <c r="K95" s="175">
        <f>(IF('Pre-Calculation'!$D$17="Type 4 a",MAX(SA,H95,1.05*Q95),IF('Pre-Calculation'!$D$17="Type 4 c",H95,IF('Pre-Calculation'!$D$17="Type 4 d",SA+H95,IF('Pre-Calculation'!$D$17="Type 4 e",MAX(SA,H95),IF('Pre-Calculation'!$D$17="Type 4 f",SA,IF('Pre-Calculation'!$D$17="Type 4 g",1000+H95,IF('Pre-Calculation'!$D$17="Type 4 h",SA+X95,IF('Pre-Calculation'!$D$17="Type 4 i",MAX(H95,Q95),IF('Pre-Calculation'!$D$17="Type 4 k",MAX(H95,1.01*Q95),IF('Pre-Calculation'!$D$17="Type 4 m",MAX(105%*Q95,SA+H95),IF('Pre-Calculation'!$D$17="Type 4 o",MAX(SA,105%*Q95)+X95+Z95,IF('Pre-Calculation'!$D$17="Type 5",0)))))))))))))*IF(AND(A95&lt;Revival!$C$4,C95&gt;=Revival!$D$12),PUP,1)</f>
        <v>1270528.102</v>
      </c>
      <c r="L95" s="175">
        <f>H95-I95*(1+Tax)</f>
        <v>1270528.102</v>
      </c>
      <c r="M95" s="175">
        <f>L95*(1+GROWTH_RATE_L)*(1-FMC*(1+Tax))</f>
        <v>1272996.253</v>
      </c>
      <c r="N95" s="175">
        <f>M95+IF(MOD(A95,B95)=0,VLOOKUP(B95,'Pre-Calculation'!$H$1:$L$31,5,FALSE),0)*IF('Pre-Calculation'!$D$16="% OF FV",M95,IF(OR('Pre-Calculation'!$D$16="% OF AFV(24M)",'Pre-Calculation'!$D$16="% OF AFV(8Q)"),AVERAGE( $M72:$M95),IF('Pre-Calculation'!$D$16="% OF AFV(12M)",AVERAGE($M84:M95),IF('Pre-Calculation'!$D$16="% OF AFV(36M)",AVERAGE($M60:M95)))))</f>
        <v>1272996.253</v>
      </c>
      <c r="O95" s="175">
        <f t="shared" si="4"/>
        <v>1272996.253</v>
      </c>
      <c r="P95" s="175">
        <f>IF('Pre-Calculation'!$D$17="Type 4 a",MAX(SA,N95,1.05*Q95),IF('Pre-Calculation'!$D$17="Type 4 c",N95,IF('Pre-Calculation'!$D$17="Type 4 d",SA+N95,IF('Pre-Calculation'!$D$17="Type 4 e",MAX(SA,N95),IF('Pre-Calculation'!$D$17="Type 4 f",SA,IF('Pre-Calculation'!$D$17="Type 4 g",1000+N95,IF('Pre-Calculation'!$D$17="Type 4 h",SA+X95,IF('Pre-Calculation'!$D$17="Type 4 i",MAX(N95,Q95),IF('Pre-Calculation'!$D$17="Type 4 k",MAX(N95,1.01*Q95),IF('Pre-Calculation'!$D$17="Type 4 m",MAX(105%*Q95,SA+N95),IF('Pre-Calculation'!$D$17="Type 4 o",MAX(SA,105%*Q95)+X95+Z95,IF('Pre-Calculation'!$D$17="Type 5",0))))))))))))</f>
        <v>1272996.253</v>
      </c>
      <c r="Q95" s="175">
        <f t="shared" si="5"/>
        <v>1000000</v>
      </c>
      <c r="R95" s="119">
        <f>L95*(1+GROWTH_RATE)*FMC</f>
        <v>1437.758256</v>
      </c>
      <c r="S95" s="178">
        <f>S94*(1+'Pre-Calculation'!$E$27)</f>
        <v>838920.778</v>
      </c>
      <c r="T95" s="175">
        <f>-E95+IF(A94=INPUT!$C$11*12,N95,0)</f>
        <v>0</v>
      </c>
      <c r="U95" s="175">
        <f t="shared" si="6"/>
        <v>1302564.512</v>
      </c>
      <c r="V95" s="175">
        <f>U95*(1+GROWTH_RATE_L)*(1-'Pre-Calculation'!$E$31)</f>
        <v>1304652.476</v>
      </c>
      <c r="W95" s="175">
        <f>-E95+IF(A94=INPUT!$C$11*12,V95,0)</f>
        <v>0</v>
      </c>
      <c r="X95" s="179">
        <f t="array" ref="X95">NPV('Pre-Calculation'!$E$20,$E96:E$246)</f>
        <v>0</v>
      </c>
      <c r="Y95" s="171">
        <f>10%*SA</f>
        <v>100000</v>
      </c>
      <c r="Z95" s="179">
        <f t="array" ref="Z95">NPV('Pre-Calculation'!$E$20,Y96:Y105)</f>
        <v>969592.8037</v>
      </c>
    </row>
    <row r="96" ht="15.75" customHeight="1">
      <c r="A96" s="171">
        <f t="shared" si="1"/>
        <v>150</v>
      </c>
      <c r="B96" s="171">
        <f t="shared" si="2"/>
        <v>13</v>
      </c>
      <c r="C96" s="176">
        <f>EDATE(RCD,A95)</f>
        <v>47087</v>
      </c>
      <c r="D96" s="171">
        <f>Age_At_Entry+'Cashflows_4%'!B96-1</f>
        <v>47</v>
      </c>
      <c r="E96" s="175">
        <f>IF(AND(C96&lt;=Last_Prem,MOD(A95,Mode)=0,C96&gt;INPUT!$C$13,A96&lt;=Revival!$C$11),Mod_Prem,0)</f>
        <v>0</v>
      </c>
      <c r="F96" s="177">
        <f>IF(B96&lt;PT+1,E96*VLOOKUP(B96,'Pre-Calculation'!$H$1:$I$31,2,FALSE),0)</f>
        <v>0</v>
      </c>
      <c r="G96" s="177">
        <f>IF(B96&lt;PT+1,VLOOKUP(B96,'Pre-Calculation'!$H$1:$L$32,3,FALSE)+VLOOKUP(B96,'Pre-Calculation'!$H$1:$L$32,4,FALSE)*'Pre-Calculation'!$D$7,0)</f>
        <v>0</v>
      </c>
      <c r="H96" s="175">
        <f>(E96-(F96+G96)*(1+Tax)+N95)</f>
        <v>1272996.253</v>
      </c>
      <c r="I96" s="175">
        <f>IF(B96&lt;PT+1,VLOOKUP(D96,'Pre-Calculation'!$N$3:$P$79,IF(INPUT!$C$4="M",2,3),FALSE)*(J96/1000)*(1/12),0)</f>
        <v>0</v>
      </c>
      <c r="J96" s="175">
        <f t="shared" si="3"/>
        <v>0</v>
      </c>
      <c r="K96" s="175">
        <f>(IF('Pre-Calculation'!$D$17="Type 4 a",MAX(SA,H96,1.05*Q96),IF('Pre-Calculation'!$D$17="Type 4 c",H96,IF('Pre-Calculation'!$D$17="Type 4 d",SA+H96,IF('Pre-Calculation'!$D$17="Type 4 e",MAX(SA,H96),IF('Pre-Calculation'!$D$17="Type 4 f",SA,IF('Pre-Calculation'!$D$17="Type 4 g",1000+H96,IF('Pre-Calculation'!$D$17="Type 4 h",SA+X96,IF('Pre-Calculation'!$D$17="Type 4 i",MAX(H96,Q96),IF('Pre-Calculation'!$D$17="Type 4 k",MAX(H96,1.01*Q96),IF('Pre-Calculation'!$D$17="Type 4 m",MAX(105%*Q96,SA+H96),IF('Pre-Calculation'!$D$17="Type 4 o",MAX(SA,105%*Q96)+X96+Z96,IF('Pre-Calculation'!$D$17="Type 5",0)))))))))))))*IF(AND(A96&lt;Revival!$C$4,C96&gt;=Revival!$D$12),PUP,1)</f>
        <v>1272996.253</v>
      </c>
      <c r="L96" s="175">
        <f>H96-I96*(1+Tax)</f>
        <v>1272996.253</v>
      </c>
      <c r="M96" s="175">
        <f>L96*(1+GROWTH_RATE_L)*(1-FMC*(1+Tax))</f>
        <v>1275469.198</v>
      </c>
      <c r="N96" s="175">
        <f>M96+IF(MOD(A96,B96)=0,VLOOKUP(B96,'Pre-Calculation'!$H$1:$L$31,5,FALSE),0)*IF('Pre-Calculation'!$D$16="% OF FV",M96,IF(OR('Pre-Calculation'!$D$16="% OF AFV(24M)",'Pre-Calculation'!$D$16="% OF AFV(8Q)"),AVERAGE( $M73:$M96),IF('Pre-Calculation'!$D$16="% OF AFV(12M)",AVERAGE($M85:M96),IF('Pre-Calculation'!$D$16="% OF AFV(36M)",AVERAGE($M61:M96)))))</f>
        <v>1275469.198</v>
      </c>
      <c r="O96" s="175">
        <f t="shared" si="4"/>
        <v>1275469.198</v>
      </c>
      <c r="P96" s="175">
        <f>IF('Pre-Calculation'!$D$17="Type 4 a",MAX(SA,N96,1.05*Q96),IF('Pre-Calculation'!$D$17="Type 4 c",N96,IF('Pre-Calculation'!$D$17="Type 4 d",SA+N96,IF('Pre-Calculation'!$D$17="Type 4 e",MAX(SA,N96),IF('Pre-Calculation'!$D$17="Type 4 f",SA,IF('Pre-Calculation'!$D$17="Type 4 g",1000+N96,IF('Pre-Calculation'!$D$17="Type 4 h",SA+X96,IF('Pre-Calculation'!$D$17="Type 4 i",MAX(N96,Q96),IF('Pre-Calculation'!$D$17="Type 4 k",MAX(N96,1.01*Q96),IF('Pre-Calculation'!$D$17="Type 4 m",MAX(105%*Q96,SA+N96),IF('Pre-Calculation'!$D$17="Type 4 o",MAX(SA,105%*Q96)+X96+Z96,IF('Pre-Calculation'!$D$17="Type 5",0))))))))))))</f>
        <v>1275469.198</v>
      </c>
      <c r="Q96" s="175">
        <f t="shared" si="5"/>
        <v>1000000</v>
      </c>
      <c r="R96" s="119">
        <f>L96*(1+GROWTH_RATE)*FMC</f>
        <v>1440.551271</v>
      </c>
      <c r="S96" s="178">
        <f>S95*(1+'Pre-Calculation'!$E$27)</f>
        <v>841329.2346</v>
      </c>
      <c r="T96" s="175">
        <f>-E96+IF(A95=INPUT!$C$11*12,N96,0)</f>
        <v>0</v>
      </c>
      <c r="U96" s="175">
        <f t="shared" si="6"/>
        <v>1304652.476</v>
      </c>
      <c r="V96" s="175">
        <f>U96*(1+GROWTH_RATE_L)*(1-'Pre-Calculation'!$E$31)</f>
        <v>1306743.787</v>
      </c>
      <c r="W96" s="175">
        <f>-E96+IF(A95=INPUT!$C$11*12,V96,0)</f>
        <v>0</v>
      </c>
      <c r="X96" s="179">
        <f t="array" ref="X96">NPV('Pre-Calculation'!$E$20,$E97:E$246)</f>
        <v>0</v>
      </c>
      <c r="Y96" s="171">
        <f>10%*SA</f>
        <v>100000</v>
      </c>
      <c r="Z96" s="179">
        <f t="array" ref="Z96">NPV('Pre-Calculation'!$E$20,Y97:Y106)</f>
        <v>969592.8037</v>
      </c>
    </row>
    <row r="97" ht="15.75" customHeight="1">
      <c r="A97" s="171">
        <f t="shared" si="1"/>
        <v>151</v>
      </c>
      <c r="B97" s="171">
        <f t="shared" si="2"/>
        <v>13</v>
      </c>
      <c r="C97" s="176">
        <f>EDATE(RCD,A96)</f>
        <v>47117</v>
      </c>
      <c r="D97" s="171">
        <f>Age_At_Entry+'Cashflows_4%'!B97-1</f>
        <v>47</v>
      </c>
      <c r="E97" s="175">
        <f>IF(AND(C97&lt;=Last_Prem,MOD(A96,Mode)=0,C97&gt;INPUT!$C$13,A97&lt;=Revival!$C$11),Mod_Prem,0)</f>
        <v>0</v>
      </c>
      <c r="F97" s="177">
        <f>IF(B97&lt;PT+1,E97*VLOOKUP(B97,'Pre-Calculation'!$H$1:$I$31,2,FALSE),0)</f>
        <v>0</v>
      </c>
      <c r="G97" s="177">
        <f>IF(B97&lt;PT+1,VLOOKUP(B97,'Pre-Calculation'!$H$1:$L$32,3,FALSE)+VLOOKUP(B97,'Pre-Calculation'!$H$1:$L$32,4,FALSE)*'Pre-Calculation'!$D$7,0)</f>
        <v>0</v>
      </c>
      <c r="H97" s="175">
        <f>(E97-(F97+G97)*(1+Tax)+N96)</f>
        <v>1275469.198</v>
      </c>
      <c r="I97" s="175">
        <f>IF(B97&lt;PT+1,VLOOKUP(D97,'Pre-Calculation'!$N$3:$P$79,IF(INPUT!$C$4="M",2,3),FALSE)*(J97/1000)*(1/12),0)</f>
        <v>0</v>
      </c>
      <c r="J97" s="175">
        <f t="shared" si="3"/>
        <v>0</v>
      </c>
      <c r="K97" s="175">
        <f>(IF('Pre-Calculation'!$D$17="Type 4 a",MAX(SA,H97,1.05*Q97),IF('Pre-Calculation'!$D$17="Type 4 c",H97,IF('Pre-Calculation'!$D$17="Type 4 d",SA+H97,IF('Pre-Calculation'!$D$17="Type 4 e",MAX(SA,H97),IF('Pre-Calculation'!$D$17="Type 4 f",SA,IF('Pre-Calculation'!$D$17="Type 4 g",1000+H97,IF('Pre-Calculation'!$D$17="Type 4 h",SA+X97,IF('Pre-Calculation'!$D$17="Type 4 i",MAX(H97,Q97),IF('Pre-Calculation'!$D$17="Type 4 k",MAX(H97,1.01*Q97),IF('Pre-Calculation'!$D$17="Type 4 m",MAX(105%*Q97,SA+H97),IF('Pre-Calculation'!$D$17="Type 4 o",MAX(SA,105%*Q97)+X97+Z97,IF('Pre-Calculation'!$D$17="Type 5",0)))))))))))))*IF(AND(A97&lt;Revival!$C$4,C97&gt;=Revival!$D$12),PUP,1)</f>
        <v>1275469.198</v>
      </c>
      <c r="L97" s="175">
        <f>H97-I97*(1+Tax)</f>
        <v>1275469.198</v>
      </c>
      <c r="M97" s="175">
        <f>L97*(1+GROWTH_RATE_L)*(1-FMC*(1+Tax))</f>
        <v>1277946.948</v>
      </c>
      <c r="N97" s="175">
        <f>M97+IF(MOD(A97,B97)=0,VLOOKUP(B97,'Pre-Calculation'!$H$1:$L$31,5,FALSE),0)*IF('Pre-Calculation'!$D$16="% OF FV",M97,IF(OR('Pre-Calculation'!$D$16="% OF AFV(24M)",'Pre-Calculation'!$D$16="% OF AFV(8Q)"),AVERAGE( $M74:$M97),IF('Pre-Calculation'!$D$16="% OF AFV(12M)",AVERAGE($M86:M97),IF('Pre-Calculation'!$D$16="% OF AFV(36M)",AVERAGE($M62:M97)))))</f>
        <v>1277946.948</v>
      </c>
      <c r="O97" s="175">
        <f t="shared" si="4"/>
        <v>1277946.948</v>
      </c>
      <c r="P97" s="175">
        <f>IF('Pre-Calculation'!$D$17="Type 4 a",MAX(SA,N97,1.05*Q97),IF('Pre-Calculation'!$D$17="Type 4 c",N97,IF('Pre-Calculation'!$D$17="Type 4 d",SA+N97,IF('Pre-Calculation'!$D$17="Type 4 e",MAX(SA,N97),IF('Pre-Calculation'!$D$17="Type 4 f",SA,IF('Pre-Calculation'!$D$17="Type 4 g",1000+N97,IF('Pre-Calculation'!$D$17="Type 4 h",SA+X97,IF('Pre-Calculation'!$D$17="Type 4 i",MAX(N97,Q97),IF('Pre-Calculation'!$D$17="Type 4 k",MAX(N97,1.01*Q97),IF('Pre-Calculation'!$D$17="Type 4 m",MAX(105%*Q97,SA+N97),IF('Pre-Calculation'!$D$17="Type 4 o",MAX(SA,105%*Q97)+X97+Z97,IF('Pre-Calculation'!$D$17="Type 5",0))))))))))))</f>
        <v>1277946.948</v>
      </c>
      <c r="Q97" s="175">
        <f t="shared" si="5"/>
        <v>1000000</v>
      </c>
      <c r="R97" s="119">
        <f>L97*(1+GROWTH_RATE)*FMC</f>
        <v>1443.349712</v>
      </c>
      <c r="S97" s="178">
        <f>S96*(1+'Pre-Calculation'!$E$27)</f>
        <v>843744.6056</v>
      </c>
      <c r="T97" s="175">
        <f>-E97+IF(A96=INPUT!$C$11*12,N97,0)</f>
        <v>0</v>
      </c>
      <c r="U97" s="175">
        <f t="shared" si="6"/>
        <v>1306743.787</v>
      </c>
      <c r="V97" s="175">
        <f>U97*(1+GROWTH_RATE_L)*(1-'Pre-Calculation'!$E$31)</f>
        <v>1308838.45</v>
      </c>
      <c r="W97" s="175">
        <f>-E97+IF(A96=INPUT!$C$11*12,V97,0)</f>
        <v>0</v>
      </c>
      <c r="X97" s="179">
        <f t="array" ref="X97">NPV('Pre-Calculation'!$E$20,$E98:E$246)</f>
        <v>0</v>
      </c>
      <c r="Y97" s="171">
        <f>10%*SA</f>
        <v>100000</v>
      </c>
      <c r="Z97" s="179">
        <f t="array" ref="Z97">NPV('Pre-Calculation'!$E$20,Y98:Y107)</f>
        <v>969592.8037</v>
      </c>
    </row>
    <row r="98" ht="15.75" customHeight="1">
      <c r="A98" s="171">
        <f t="shared" si="1"/>
        <v>152</v>
      </c>
      <c r="B98" s="171">
        <f t="shared" si="2"/>
        <v>13</v>
      </c>
      <c r="C98" s="176">
        <f>EDATE(RCD,A97)</f>
        <v>47148</v>
      </c>
      <c r="D98" s="171">
        <f>Age_At_Entry+'Cashflows_4%'!B98-1</f>
        <v>47</v>
      </c>
      <c r="E98" s="175">
        <f>IF(AND(C98&lt;=Last_Prem,MOD(A97,Mode)=0,C98&gt;INPUT!$C$13,A98&lt;=Revival!$C$11),Mod_Prem,0)</f>
        <v>0</v>
      </c>
      <c r="F98" s="177">
        <f>IF(B98&lt;PT+1,E98*VLOOKUP(B98,'Pre-Calculation'!$H$1:$I$31,2,FALSE),0)</f>
        <v>0</v>
      </c>
      <c r="G98" s="177">
        <f>IF(B98&lt;PT+1,VLOOKUP(B98,'Pre-Calculation'!$H$1:$L$32,3,FALSE)+VLOOKUP(B98,'Pre-Calculation'!$H$1:$L$32,4,FALSE)*'Pre-Calculation'!$D$7,0)</f>
        <v>0</v>
      </c>
      <c r="H98" s="175">
        <f>(E98-(F98+G98)*(1+Tax)+N97)</f>
        <v>1277946.948</v>
      </c>
      <c r="I98" s="175">
        <f>IF(B98&lt;PT+1,VLOOKUP(D98,'Pre-Calculation'!$N$3:$P$79,IF(INPUT!$C$4="M",2,3),FALSE)*(J98/1000)*(1/12),0)</f>
        <v>0</v>
      </c>
      <c r="J98" s="175">
        <f t="shared" si="3"/>
        <v>0</v>
      </c>
      <c r="K98" s="175">
        <f>(IF('Pre-Calculation'!$D$17="Type 4 a",MAX(SA,H98,1.05*Q98),IF('Pre-Calculation'!$D$17="Type 4 c",H98,IF('Pre-Calculation'!$D$17="Type 4 d",SA+H98,IF('Pre-Calculation'!$D$17="Type 4 e",MAX(SA,H98),IF('Pre-Calculation'!$D$17="Type 4 f",SA,IF('Pre-Calculation'!$D$17="Type 4 g",1000+H98,IF('Pre-Calculation'!$D$17="Type 4 h",SA+X98,IF('Pre-Calculation'!$D$17="Type 4 i",MAX(H98,Q98),IF('Pre-Calculation'!$D$17="Type 4 k",MAX(H98,1.01*Q98),IF('Pre-Calculation'!$D$17="Type 4 m",MAX(105%*Q98,SA+H98),IF('Pre-Calculation'!$D$17="Type 4 o",MAX(SA,105%*Q98)+X98+Z98,IF('Pre-Calculation'!$D$17="Type 5",0)))))))))))))*IF(AND(A98&lt;Revival!$C$4,C98&gt;=Revival!$D$12),PUP,1)</f>
        <v>1277946.948</v>
      </c>
      <c r="L98" s="175">
        <f>H98-I98*(1+Tax)</f>
        <v>1277946.948</v>
      </c>
      <c r="M98" s="175">
        <f>L98*(1+GROWTH_RATE_L)*(1-FMC*(1+Tax))</f>
        <v>1280429.511</v>
      </c>
      <c r="N98" s="175">
        <f>M98+IF(MOD(A98,B98)=0,VLOOKUP(B98,'Pre-Calculation'!$H$1:$L$31,5,FALSE),0)*IF('Pre-Calculation'!$D$16="% OF FV",M98,IF(OR('Pre-Calculation'!$D$16="% OF AFV(24M)",'Pre-Calculation'!$D$16="% OF AFV(8Q)"),AVERAGE( $M75:$M98),IF('Pre-Calculation'!$D$16="% OF AFV(12M)",AVERAGE($M87:M98),IF('Pre-Calculation'!$D$16="% OF AFV(36M)",AVERAGE($M63:M98)))))</f>
        <v>1280429.511</v>
      </c>
      <c r="O98" s="175">
        <f t="shared" si="4"/>
        <v>1280429.511</v>
      </c>
      <c r="P98" s="175">
        <f>IF('Pre-Calculation'!$D$17="Type 4 a",MAX(SA,N98,1.05*Q98),IF('Pre-Calculation'!$D$17="Type 4 c",N98,IF('Pre-Calculation'!$D$17="Type 4 d",SA+N98,IF('Pre-Calculation'!$D$17="Type 4 e",MAX(SA,N98),IF('Pre-Calculation'!$D$17="Type 4 f",SA,IF('Pre-Calculation'!$D$17="Type 4 g",1000+N98,IF('Pre-Calculation'!$D$17="Type 4 h",SA+X98,IF('Pre-Calculation'!$D$17="Type 4 i",MAX(N98,Q98),IF('Pre-Calculation'!$D$17="Type 4 k",MAX(N98,1.01*Q98),IF('Pre-Calculation'!$D$17="Type 4 m",MAX(105%*Q98,SA+N98),IF('Pre-Calculation'!$D$17="Type 4 o",MAX(SA,105%*Q98)+X98+Z98,IF('Pre-Calculation'!$D$17="Type 5",0))))))))))))</f>
        <v>1280429.511</v>
      </c>
      <c r="Q98" s="175">
        <f t="shared" si="5"/>
        <v>1000000</v>
      </c>
      <c r="R98" s="119">
        <f>L98*(1+GROWTH_RATE)*FMC</f>
        <v>1446.15359</v>
      </c>
      <c r="S98" s="178">
        <f>S97*(1+'Pre-Calculation'!$E$27)</f>
        <v>846166.9109</v>
      </c>
      <c r="T98" s="175">
        <f>-E98+IF(A97=INPUT!$C$11*12,N98,0)</f>
        <v>0</v>
      </c>
      <c r="U98" s="175">
        <f t="shared" si="6"/>
        <v>1308838.45</v>
      </c>
      <c r="V98" s="175">
        <f>U98*(1+GROWTH_RATE_L)*(1-'Pre-Calculation'!$E$31)</f>
        <v>1310936.47</v>
      </c>
      <c r="W98" s="175">
        <f>-E98+IF(A97=INPUT!$C$11*12,V98,0)</f>
        <v>0</v>
      </c>
      <c r="X98" s="179">
        <f t="array" ref="X98">NPV('Pre-Calculation'!$E$20,$E99:E$246)</f>
        <v>0</v>
      </c>
      <c r="Y98" s="171">
        <f>10%*SA</f>
        <v>100000</v>
      </c>
      <c r="Z98" s="179">
        <f t="array" ref="Z98">NPV('Pre-Calculation'!$E$20,Y99:Y108)</f>
        <v>969592.8037</v>
      </c>
    </row>
    <row r="99" ht="15.75" customHeight="1">
      <c r="A99" s="171">
        <f t="shared" si="1"/>
        <v>153</v>
      </c>
      <c r="B99" s="171">
        <f t="shared" si="2"/>
        <v>13</v>
      </c>
      <c r="C99" s="176">
        <f>EDATE(RCD,A98)</f>
        <v>47177</v>
      </c>
      <c r="D99" s="171">
        <f>Age_At_Entry+'Cashflows_4%'!B99-1</f>
        <v>47</v>
      </c>
      <c r="E99" s="175">
        <f>IF(AND(C99&lt;=Last_Prem,MOD(A98,Mode)=0,C99&gt;INPUT!$C$13,A99&lt;=Revival!$C$11),Mod_Prem,0)</f>
        <v>0</v>
      </c>
      <c r="F99" s="177">
        <f>IF(B99&lt;PT+1,E99*VLOOKUP(B99,'Pre-Calculation'!$H$1:$I$31,2,FALSE),0)</f>
        <v>0</v>
      </c>
      <c r="G99" s="177">
        <f>IF(B99&lt;PT+1,VLOOKUP(B99,'Pre-Calculation'!$H$1:$L$32,3,FALSE)+VLOOKUP(B99,'Pre-Calculation'!$H$1:$L$32,4,FALSE)*'Pre-Calculation'!$D$7,0)</f>
        <v>0</v>
      </c>
      <c r="H99" s="175">
        <f>(E99-(F99+G99)*(1+Tax)+N98)</f>
        <v>1280429.511</v>
      </c>
      <c r="I99" s="175">
        <f>IF(B99&lt;PT+1,VLOOKUP(D99,'Pre-Calculation'!$N$3:$P$79,IF(INPUT!$C$4="M",2,3),FALSE)*(J99/1000)*(1/12),0)</f>
        <v>0</v>
      </c>
      <c r="J99" s="175">
        <f t="shared" si="3"/>
        <v>0</v>
      </c>
      <c r="K99" s="175">
        <f>(IF('Pre-Calculation'!$D$17="Type 4 a",MAX(SA,H99,1.05*Q99),IF('Pre-Calculation'!$D$17="Type 4 c",H99,IF('Pre-Calculation'!$D$17="Type 4 d",SA+H99,IF('Pre-Calculation'!$D$17="Type 4 e",MAX(SA,H99),IF('Pre-Calculation'!$D$17="Type 4 f",SA,IF('Pre-Calculation'!$D$17="Type 4 g",1000+H99,IF('Pre-Calculation'!$D$17="Type 4 h",SA+X99,IF('Pre-Calculation'!$D$17="Type 4 i",MAX(H99,Q99),IF('Pre-Calculation'!$D$17="Type 4 k",MAX(H99,1.01*Q99),IF('Pre-Calculation'!$D$17="Type 4 m",MAX(105%*Q99,SA+H99),IF('Pre-Calculation'!$D$17="Type 4 o",MAX(SA,105%*Q99)+X99+Z99,IF('Pre-Calculation'!$D$17="Type 5",0)))))))))))))*IF(AND(A99&lt;Revival!$C$4,C99&gt;=Revival!$D$12),PUP,1)</f>
        <v>1280429.511</v>
      </c>
      <c r="L99" s="175">
        <f>H99-I99*(1+Tax)</f>
        <v>1280429.511</v>
      </c>
      <c r="M99" s="175">
        <f>L99*(1+GROWTH_RATE_L)*(1-FMC*(1+Tax))</f>
        <v>1282916.897</v>
      </c>
      <c r="N99" s="175">
        <f>M99+IF(MOD(A99,B99)=0,VLOOKUP(B99,'Pre-Calculation'!$H$1:$L$31,5,FALSE),0)*IF('Pre-Calculation'!$D$16="% OF FV",M99,IF(OR('Pre-Calculation'!$D$16="% OF AFV(24M)",'Pre-Calculation'!$D$16="% OF AFV(8Q)"),AVERAGE( $M76:$M99),IF('Pre-Calculation'!$D$16="% OF AFV(12M)",AVERAGE($M88:M99),IF('Pre-Calculation'!$D$16="% OF AFV(36M)",AVERAGE($M64:M99)))))</f>
        <v>1282916.897</v>
      </c>
      <c r="O99" s="175">
        <f t="shared" si="4"/>
        <v>1282916.897</v>
      </c>
      <c r="P99" s="175">
        <f>IF('Pre-Calculation'!$D$17="Type 4 a",MAX(SA,N99,1.05*Q99),IF('Pre-Calculation'!$D$17="Type 4 c",N99,IF('Pre-Calculation'!$D$17="Type 4 d",SA+N99,IF('Pre-Calculation'!$D$17="Type 4 e",MAX(SA,N99),IF('Pre-Calculation'!$D$17="Type 4 f",SA,IF('Pre-Calculation'!$D$17="Type 4 g",1000+N99,IF('Pre-Calculation'!$D$17="Type 4 h",SA+X99,IF('Pre-Calculation'!$D$17="Type 4 i",MAX(N99,Q99),IF('Pre-Calculation'!$D$17="Type 4 k",MAX(N99,1.01*Q99),IF('Pre-Calculation'!$D$17="Type 4 m",MAX(105%*Q99,SA+N99),IF('Pre-Calculation'!$D$17="Type 4 o",MAX(SA,105%*Q99)+X99+Z99,IF('Pre-Calculation'!$D$17="Type 5",0))))))))))))</f>
        <v>1282916.897</v>
      </c>
      <c r="Q99" s="175">
        <f t="shared" si="5"/>
        <v>1000000</v>
      </c>
      <c r="R99" s="119">
        <f>L99*(1+GROWTH_RATE)*FMC</f>
        <v>1448.962914</v>
      </c>
      <c r="S99" s="178">
        <f>S98*(1+'Pre-Calculation'!$E$27)</f>
        <v>848596.1704</v>
      </c>
      <c r="T99" s="175">
        <f>-E99+IF(A98=INPUT!$C$11*12,N99,0)</f>
        <v>0</v>
      </c>
      <c r="U99" s="175">
        <f t="shared" si="6"/>
        <v>1310936.47</v>
      </c>
      <c r="V99" s="175">
        <f>U99*(1+GROWTH_RATE_L)*(1-'Pre-Calculation'!$E$31)</f>
        <v>1313037.854</v>
      </c>
      <c r="W99" s="175">
        <f>-E99+IF(A98=INPUT!$C$11*12,V99,0)</f>
        <v>0</v>
      </c>
      <c r="X99" s="179">
        <f t="array" ref="X99">NPV('Pre-Calculation'!$E$20,$E100:E$246)</f>
        <v>0</v>
      </c>
      <c r="Y99" s="171">
        <f>10%*SA</f>
        <v>100000</v>
      </c>
      <c r="Z99" s="179">
        <f t="array" ref="Z99">NPV('Pre-Calculation'!$E$20,Y100:Y109)</f>
        <v>969592.8037</v>
      </c>
    </row>
    <row r="100" ht="15.75" customHeight="1">
      <c r="A100" s="171">
        <f t="shared" si="1"/>
        <v>154</v>
      </c>
      <c r="B100" s="171">
        <f t="shared" si="2"/>
        <v>13</v>
      </c>
      <c r="C100" s="176">
        <f>EDATE(RCD,A99)</f>
        <v>47207</v>
      </c>
      <c r="D100" s="171">
        <f>Age_At_Entry+'Cashflows_4%'!B100-1</f>
        <v>47</v>
      </c>
      <c r="E100" s="175">
        <f>IF(AND(C100&lt;=Last_Prem,MOD(A99,Mode)=0,C100&gt;INPUT!$C$13,A100&lt;=Revival!$C$11),Mod_Prem,0)</f>
        <v>0</v>
      </c>
      <c r="F100" s="177">
        <f>IF(B100&lt;PT+1,E100*VLOOKUP(B100,'Pre-Calculation'!$H$1:$I$31,2,FALSE),0)</f>
        <v>0</v>
      </c>
      <c r="G100" s="177">
        <f>IF(B100&lt;PT+1,VLOOKUP(B100,'Pre-Calculation'!$H$1:$L$32,3,FALSE)+VLOOKUP(B100,'Pre-Calculation'!$H$1:$L$32,4,FALSE)*'Pre-Calculation'!$D$7,0)</f>
        <v>0</v>
      </c>
      <c r="H100" s="175">
        <f>(E100-(F100+G100)*(1+Tax)+N99)</f>
        <v>1282916.897</v>
      </c>
      <c r="I100" s="175">
        <f>IF(B100&lt;PT+1,VLOOKUP(D100,'Pre-Calculation'!$N$3:$P$79,IF(INPUT!$C$4="M",2,3),FALSE)*(J100/1000)*(1/12),0)</f>
        <v>0</v>
      </c>
      <c r="J100" s="175">
        <f t="shared" si="3"/>
        <v>0</v>
      </c>
      <c r="K100" s="175">
        <f>(IF('Pre-Calculation'!$D$17="Type 4 a",MAX(SA,H100,1.05*Q100),IF('Pre-Calculation'!$D$17="Type 4 c",H100,IF('Pre-Calculation'!$D$17="Type 4 d",SA+H100,IF('Pre-Calculation'!$D$17="Type 4 e",MAX(SA,H100),IF('Pre-Calculation'!$D$17="Type 4 f",SA,IF('Pre-Calculation'!$D$17="Type 4 g",1000+H100,IF('Pre-Calculation'!$D$17="Type 4 h",SA+X100,IF('Pre-Calculation'!$D$17="Type 4 i",MAX(H100,Q100),IF('Pre-Calculation'!$D$17="Type 4 k",MAX(H100,1.01*Q100),IF('Pre-Calculation'!$D$17="Type 4 m",MAX(105%*Q100,SA+H100),IF('Pre-Calculation'!$D$17="Type 4 o",MAX(SA,105%*Q100)+X100+Z100,IF('Pre-Calculation'!$D$17="Type 5",0)))))))))))))*IF(AND(A100&lt;Revival!$C$4,C100&gt;=Revival!$D$12),PUP,1)</f>
        <v>1282916.897</v>
      </c>
      <c r="L100" s="175">
        <f>H100-I100*(1+Tax)</f>
        <v>1282916.897</v>
      </c>
      <c r="M100" s="175">
        <f>L100*(1+GROWTH_RATE_L)*(1-FMC*(1+Tax))</f>
        <v>1285409.114</v>
      </c>
      <c r="N100" s="175">
        <f>M100+IF(MOD(A100,B100)=0,VLOOKUP(B100,'Pre-Calculation'!$H$1:$L$31,5,FALSE),0)*IF('Pre-Calculation'!$D$16="% OF FV",M100,IF(OR('Pre-Calculation'!$D$16="% OF AFV(24M)",'Pre-Calculation'!$D$16="% OF AFV(8Q)"),AVERAGE( $M77:$M100),IF('Pre-Calculation'!$D$16="% OF AFV(12M)",AVERAGE($M89:M100),IF('Pre-Calculation'!$D$16="% OF AFV(36M)",AVERAGE($M65:M100)))))</f>
        <v>1285409.114</v>
      </c>
      <c r="O100" s="175">
        <f t="shared" si="4"/>
        <v>1285409.114</v>
      </c>
      <c r="P100" s="175">
        <f>IF('Pre-Calculation'!$D$17="Type 4 a",MAX(SA,N100,1.05*Q100),IF('Pre-Calculation'!$D$17="Type 4 c",N100,IF('Pre-Calculation'!$D$17="Type 4 d",SA+N100,IF('Pre-Calculation'!$D$17="Type 4 e",MAX(SA,N100),IF('Pre-Calculation'!$D$17="Type 4 f",SA,IF('Pre-Calculation'!$D$17="Type 4 g",1000+N100,IF('Pre-Calculation'!$D$17="Type 4 h",SA+X100,IF('Pre-Calculation'!$D$17="Type 4 i",MAX(N100,Q100),IF('Pre-Calculation'!$D$17="Type 4 k",MAX(N100,1.01*Q100),IF('Pre-Calculation'!$D$17="Type 4 m",MAX(105%*Q100,SA+N100),IF('Pre-Calculation'!$D$17="Type 4 o",MAX(SA,105%*Q100)+X100+Z100,IF('Pre-Calculation'!$D$17="Type 5",0))))))))))))</f>
        <v>1285409.114</v>
      </c>
      <c r="Q100" s="175">
        <f t="shared" si="5"/>
        <v>1000000</v>
      </c>
      <c r="R100" s="119">
        <f>L100*(1+GROWTH_RATE)*FMC</f>
        <v>1451.777696</v>
      </c>
      <c r="S100" s="178">
        <f>S99*(1+'Pre-Calculation'!$E$27)</f>
        <v>851032.4041</v>
      </c>
      <c r="T100" s="175">
        <f>-E100+IF(A99=INPUT!$C$11*12,N100,0)</f>
        <v>0</v>
      </c>
      <c r="U100" s="175">
        <f t="shared" si="6"/>
        <v>1313037.854</v>
      </c>
      <c r="V100" s="175">
        <f>U100*(1+GROWTH_RATE_L)*(1-'Pre-Calculation'!$E$31)</f>
        <v>1315142.606</v>
      </c>
      <c r="W100" s="175">
        <f>-E100+IF(A99=INPUT!$C$11*12,V100,0)</f>
        <v>0</v>
      </c>
      <c r="X100" s="179">
        <f t="array" ref="X100">NPV('Pre-Calculation'!$E$20,$E101:E$246)</f>
        <v>0</v>
      </c>
      <c r="Y100" s="171">
        <f>10%*SA</f>
        <v>100000</v>
      </c>
      <c r="Z100" s="179">
        <f t="array" ref="Z100">NPV('Pre-Calculation'!$E$20,Y101:Y110)</f>
        <v>969592.8037</v>
      </c>
    </row>
    <row r="101" ht="15.75" customHeight="1">
      <c r="A101" s="171">
        <f t="shared" si="1"/>
        <v>155</v>
      </c>
      <c r="B101" s="171">
        <f t="shared" si="2"/>
        <v>13</v>
      </c>
      <c r="C101" s="176">
        <f>EDATE(RCD,A100)</f>
        <v>47238</v>
      </c>
      <c r="D101" s="171">
        <f>Age_At_Entry+'Cashflows_4%'!B101-1</f>
        <v>47</v>
      </c>
      <c r="E101" s="175">
        <f>IF(AND(C101&lt;=Last_Prem,MOD(A100,Mode)=0,C101&gt;INPUT!$C$13,A101&lt;=Revival!$C$11),Mod_Prem,0)</f>
        <v>0</v>
      </c>
      <c r="F101" s="177">
        <f>IF(B101&lt;PT+1,E101*VLOOKUP(B101,'Pre-Calculation'!$H$1:$I$31,2,FALSE),0)</f>
        <v>0</v>
      </c>
      <c r="G101" s="177">
        <f>IF(B101&lt;PT+1,VLOOKUP(B101,'Pre-Calculation'!$H$1:$L$32,3,FALSE)+VLOOKUP(B101,'Pre-Calculation'!$H$1:$L$32,4,FALSE)*'Pre-Calculation'!$D$7,0)</f>
        <v>0</v>
      </c>
      <c r="H101" s="175">
        <f>(E101-(F101+G101)*(1+Tax)+N100)</f>
        <v>1285409.114</v>
      </c>
      <c r="I101" s="175">
        <f>IF(B101&lt;PT+1,VLOOKUP(D101,'Pre-Calculation'!$N$3:$P$79,IF(INPUT!$C$4="M",2,3),FALSE)*(J101/1000)*(1/12),0)</f>
        <v>0</v>
      </c>
      <c r="J101" s="175">
        <f t="shared" si="3"/>
        <v>0</v>
      </c>
      <c r="K101" s="175">
        <f>(IF('Pre-Calculation'!$D$17="Type 4 a",MAX(SA,H101,1.05*Q101),IF('Pre-Calculation'!$D$17="Type 4 c",H101,IF('Pre-Calculation'!$D$17="Type 4 d",SA+H101,IF('Pre-Calculation'!$D$17="Type 4 e",MAX(SA,H101),IF('Pre-Calculation'!$D$17="Type 4 f",SA,IF('Pre-Calculation'!$D$17="Type 4 g",1000+H101,IF('Pre-Calculation'!$D$17="Type 4 h",SA+X101,IF('Pre-Calculation'!$D$17="Type 4 i",MAX(H101,Q101),IF('Pre-Calculation'!$D$17="Type 4 k",MAX(H101,1.01*Q101),IF('Pre-Calculation'!$D$17="Type 4 m",MAX(105%*Q101,SA+H101),IF('Pre-Calculation'!$D$17="Type 4 o",MAX(SA,105%*Q101)+X101+Z101,IF('Pre-Calculation'!$D$17="Type 5",0)))))))))))))*IF(AND(A101&lt;Revival!$C$4,C101&gt;=Revival!$D$12),PUP,1)</f>
        <v>1285409.114</v>
      </c>
      <c r="L101" s="175">
        <f>H101-I101*(1+Tax)</f>
        <v>1285409.114</v>
      </c>
      <c r="M101" s="175">
        <f>L101*(1+GROWTH_RATE_L)*(1-FMC*(1+Tax))</f>
        <v>1287906.174</v>
      </c>
      <c r="N101" s="175">
        <f>M101+IF(MOD(A101,B101)=0,VLOOKUP(B101,'Pre-Calculation'!$H$1:$L$31,5,FALSE),0)*IF('Pre-Calculation'!$D$16="% OF FV",M101,IF(OR('Pre-Calculation'!$D$16="% OF AFV(24M)",'Pre-Calculation'!$D$16="% OF AFV(8Q)"),AVERAGE( $M78:$M101),IF('Pre-Calculation'!$D$16="% OF AFV(12M)",AVERAGE($M90:M101),IF('Pre-Calculation'!$D$16="% OF AFV(36M)",AVERAGE($M66:M101)))))</f>
        <v>1287906.174</v>
      </c>
      <c r="O101" s="175">
        <f t="shared" si="4"/>
        <v>1287906.174</v>
      </c>
      <c r="P101" s="175">
        <f>IF('Pre-Calculation'!$D$17="Type 4 a",MAX(SA,N101,1.05*Q101),IF('Pre-Calculation'!$D$17="Type 4 c",N101,IF('Pre-Calculation'!$D$17="Type 4 d",SA+N101,IF('Pre-Calculation'!$D$17="Type 4 e",MAX(SA,N101),IF('Pre-Calculation'!$D$17="Type 4 f",SA,IF('Pre-Calculation'!$D$17="Type 4 g",1000+N101,IF('Pre-Calculation'!$D$17="Type 4 h",SA+X101,IF('Pre-Calculation'!$D$17="Type 4 i",MAX(N101,Q101),IF('Pre-Calculation'!$D$17="Type 4 k",MAX(N101,1.01*Q101),IF('Pre-Calculation'!$D$17="Type 4 m",MAX(105%*Q101,SA+N101),IF('Pre-Calculation'!$D$17="Type 4 o",MAX(SA,105%*Q101)+X101+Z101,IF('Pre-Calculation'!$D$17="Type 5",0))))))))))))</f>
        <v>1287906.174</v>
      </c>
      <c r="Q101" s="175">
        <f t="shared" si="5"/>
        <v>1000000</v>
      </c>
      <c r="R101" s="119">
        <f>L101*(1+GROWTH_RATE)*FMC</f>
        <v>1454.597945</v>
      </c>
      <c r="S101" s="178">
        <f>S100*(1+'Pre-Calculation'!$E$27)</f>
        <v>853475.6319</v>
      </c>
      <c r="T101" s="175">
        <f>-E101+IF(A100=INPUT!$C$11*12,N101,0)</f>
        <v>0</v>
      </c>
      <c r="U101" s="175">
        <f t="shared" si="6"/>
        <v>1315142.606</v>
      </c>
      <c r="V101" s="175">
        <f>U101*(1+GROWTH_RATE_L)*(1-'Pre-Calculation'!$E$31)</f>
        <v>1317250.732</v>
      </c>
      <c r="W101" s="175">
        <f>-E101+IF(A100=INPUT!$C$11*12,V101,0)</f>
        <v>0</v>
      </c>
      <c r="X101" s="179">
        <f t="array" ref="X101">NPV('Pre-Calculation'!$E$20,$E102:E$246)</f>
        <v>0</v>
      </c>
      <c r="Y101" s="171">
        <f>10%*SA</f>
        <v>100000</v>
      </c>
      <c r="Z101" s="179">
        <f t="array" ref="Z101">NPV('Pre-Calculation'!$E$20,Y102:Y111)</f>
        <v>969592.8037</v>
      </c>
    </row>
    <row r="102" ht="15.75" customHeight="1">
      <c r="A102" s="171">
        <f t="shared" si="1"/>
        <v>156</v>
      </c>
      <c r="B102" s="171">
        <f t="shared" si="2"/>
        <v>13</v>
      </c>
      <c r="C102" s="176">
        <f>EDATE(RCD,A101)</f>
        <v>47268</v>
      </c>
      <c r="D102" s="171">
        <f>Age_At_Entry+'Cashflows_4%'!B102-1</f>
        <v>47</v>
      </c>
      <c r="E102" s="175">
        <f>IF(AND(C102&lt;=Last_Prem,MOD(A101,Mode)=0,C102&gt;INPUT!$C$13,A102&lt;=Revival!$C$11),Mod_Prem,0)</f>
        <v>0</v>
      </c>
      <c r="F102" s="177">
        <f>IF(B102&lt;PT+1,E102*VLOOKUP(B102,'Pre-Calculation'!$H$1:$I$31,2,FALSE),0)</f>
        <v>0</v>
      </c>
      <c r="G102" s="177">
        <f>IF(B102&lt;PT+1,VLOOKUP(B102,'Pre-Calculation'!$H$1:$L$32,3,FALSE)+VLOOKUP(B102,'Pre-Calculation'!$H$1:$L$32,4,FALSE)*'Pre-Calculation'!$D$7,0)</f>
        <v>0</v>
      </c>
      <c r="H102" s="175">
        <f>(E102-(F102+G102)*(1+Tax)+N101)</f>
        <v>1287906.174</v>
      </c>
      <c r="I102" s="175">
        <f>IF(B102&lt;PT+1,VLOOKUP(D102,'Pre-Calculation'!$N$3:$P$79,IF(INPUT!$C$4="M",2,3),FALSE)*(J102/1000)*(1/12),0)</f>
        <v>0</v>
      </c>
      <c r="J102" s="175">
        <f t="shared" si="3"/>
        <v>0</v>
      </c>
      <c r="K102" s="175">
        <f>(IF('Pre-Calculation'!$D$17="Type 4 a",MAX(SA,H102,1.05*Q102),IF('Pre-Calculation'!$D$17="Type 4 c",H102,IF('Pre-Calculation'!$D$17="Type 4 d",SA+H102,IF('Pre-Calculation'!$D$17="Type 4 e",MAX(SA,H102),IF('Pre-Calculation'!$D$17="Type 4 f",SA,IF('Pre-Calculation'!$D$17="Type 4 g",1000+H102,IF('Pre-Calculation'!$D$17="Type 4 h",SA+X102,IF('Pre-Calculation'!$D$17="Type 4 i",MAX(H102,Q102),IF('Pre-Calculation'!$D$17="Type 4 k",MAX(H102,1.01*Q102),IF('Pre-Calculation'!$D$17="Type 4 m",MAX(105%*Q102,SA+H102),IF('Pre-Calculation'!$D$17="Type 4 o",MAX(SA,105%*Q102)+X102+Z102,IF('Pre-Calculation'!$D$17="Type 5",0)))))))))))))*IF(AND(A102&lt;Revival!$C$4,C102&gt;=Revival!$D$12),PUP,1)</f>
        <v>1287906.174</v>
      </c>
      <c r="L102" s="175">
        <f>H102-I102*(1+Tax)</f>
        <v>1287906.174</v>
      </c>
      <c r="M102" s="175">
        <f>L102*(1+GROWTH_RATE_L)*(1-FMC*(1+Tax))</f>
        <v>1290408.083</v>
      </c>
      <c r="N102" s="175">
        <f>M102+IF(MOD(A102,B102)=0,VLOOKUP(B102,'Pre-Calculation'!$H$1:$L$31,5,FALSE),0)*IF('Pre-Calculation'!$D$16="% OF FV",M102,IF(OR('Pre-Calculation'!$D$16="% OF AFV(24M)",'Pre-Calculation'!$D$16="% OF AFV(8Q)"),AVERAGE( $M79:$M102),IF('Pre-Calculation'!$D$16="% OF AFV(12M)",AVERAGE($M91:M102),IF('Pre-Calculation'!$D$16="% OF AFV(36M)",AVERAGE($M67:M102)))))</f>
        <v>1290408.083</v>
      </c>
      <c r="O102" s="175">
        <f t="shared" si="4"/>
        <v>1290408.083</v>
      </c>
      <c r="P102" s="175">
        <f>IF('Pre-Calculation'!$D$17="Type 4 a",MAX(SA,N102,1.05*Q102),IF('Pre-Calculation'!$D$17="Type 4 c",N102,IF('Pre-Calculation'!$D$17="Type 4 d",SA+N102,IF('Pre-Calculation'!$D$17="Type 4 e",MAX(SA,N102),IF('Pre-Calculation'!$D$17="Type 4 f",SA,IF('Pre-Calculation'!$D$17="Type 4 g",1000+N102,IF('Pre-Calculation'!$D$17="Type 4 h",SA+X102,IF('Pre-Calculation'!$D$17="Type 4 i",MAX(N102,Q102),IF('Pre-Calculation'!$D$17="Type 4 k",MAX(N102,1.01*Q102),IF('Pre-Calculation'!$D$17="Type 4 m",MAX(105%*Q102,SA+N102),IF('Pre-Calculation'!$D$17="Type 4 o",MAX(SA,105%*Q102)+X102+Z102,IF('Pre-Calculation'!$D$17="Type 5",0))))))))))))</f>
        <v>1290408.083</v>
      </c>
      <c r="Q102" s="175">
        <f t="shared" si="5"/>
        <v>1000000</v>
      </c>
      <c r="R102" s="119">
        <f>L102*(1+GROWTH_RATE)*FMC</f>
        <v>1457.423674</v>
      </c>
      <c r="S102" s="178">
        <f>S101*(1+'Pre-Calculation'!$E$27)</f>
        <v>855925.874</v>
      </c>
      <c r="T102" s="175">
        <f>-E102+IF(A101=INPUT!$C$11*12,N102,0)</f>
        <v>0</v>
      </c>
      <c r="U102" s="175">
        <f t="shared" si="6"/>
        <v>1317250.732</v>
      </c>
      <c r="V102" s="175">
        <f>U102*(1+GROWTH_RATE_L)*(1-'Pre-Calculation'!$E$31)</f>
        <v>1319362.237</v>
      </c>
      <c r="W102" s="175">
        <f>-E102+IF(A101=INPUT!$C$11*12,V102,0)</f>
        <v>0</v>
      </c>
      <c r="X102" s="179">
        <f t="array" ref="X102">NPV('Pre-Calculation'!$E$20,$E103:E$246)</f>
        <v>0</v>
      </c>
      <c r="Y102" s="171">
        <f>10%*SA</f>
        <v>100000</v>
      </c>
      <c r="Z102" s="179">
        <f t="array" ref="Z102">NPV('Pre-Calculation'!$E$20,Y103:Y112)</f>
        <v>969592.8037</v>
      </c>
    </row>
    <row r="103" ht="15.75" customHeight="1">
      <c r="A103" s="171">
        <f t="shared" si="1"/>
        <v>157</v>
      </c>
      <c r="B103" s="171">
        <f t="shared" si="2"/>
        <v>14</v>
      </c>
      <c r="C103" s="176">
        <f>EDATE(RCD,A102)</f>
        <v>47299</v>
      </c>
      <c r="D103" s="171">
        <f>Age_At_Entry+'Cashflows_4%'!B103-1</f>
        <v>48</v>
      </c>
      <c r="E103" s="175">
        <f>IF(AND(C103&lt;=Last_Prem,MOD(A102,Mode)=0,C103&gt;INPUT!$C$13,A103&lt;=Revival!$C$11),Mod_Prem,0)</f>
        <v>0</v>
      </c>
      <c r="F103" s="177">
        <f>IF(B103&lt;PT+1,E103*VLOOKUP(B103,'Pre-Calculation'!$H$1:$I$31,2,FALSE),0)</f>
        <v>0</v>
      </c>
      <c r="G103" s="177">
        <f>IF(B103&lt;PT+1,VLOOKUP(B103,'Pre-Calculation'!$H$1:$L$32,3,FALSE)+VLOOKUP(B103,'Pre-Calculation'!$H$1:$L$32,4,FALSE)*'Pre-Calculation'!$D$7,0)</f>
        <v>0</v>
      </c>
      <c r="H103" s="175">
        <f>(E103-(F103+G103)*(1+Tax)+N102)</f>
        <v>1290408.083</v>
      </c>
      <c r="I103" s="175">
        <f>IF(B103&lt;PT+1,VLOOKUP(D103,'Pre-Calculation'!$N$3:$P$79,IF(INPUT!$C$4="M",2,3),FALSE)*(J103/1000)*(1/12),0)</f>
        <v>0</v>
      </c>
      <c r="J103" s="175">
        <f t="shared" si="3"/>
        <v>0</v>
      </c>
      <c r="K103" s="175">
        <f>(IF('Pre-Calculation'!$D$17="Type 4 a",MAX(SA,H103,1.05*Q103),IF('Pre-Calculation'!$D$17="Type 4 c",H103,IF('Pre-Calculation'!$D$17="Type 4 d",SA+H103,IF('Pre-Calculation'!$D$17="Type 4 e",MAX(SA,H103),IF('Pre-Calculation'!$D$17="Type 4 f",SA,IF('Pre-Calculation'!$D$17="Type 4 g",1000+H103,IF('Pre-Calculation'!$D$17="Type 4 h",SA+X103,IF('Pre-Calculation'!$D$17="Type 4 i",MAX(H103,Q103),IF('Pre-Calculation'!$D$17="Type 4 k",MAX(H103,1.01*Q103),IF('Pre-Calculation'!$D$17="Type 4 m",MAX(105%*Q103,SA+H103),IF('Pre-Calculation'!$D$17="Type 4 o",MAX(SA,105%*Q103)+X103+Z103,IF('Pre-Calculation'!$D$17="Type 5",0)))))))))))))*IF(AND(A103&lt;Revival!$C$4,C103&gt;=Revival!$D$12),PUP,1)</f>
        <v>1290408.083</v>
      </c>
      <c r="L103" s="175">
        <f>H103-I103*(1+Tax)</f>
        <v>1290408.083</v>
      </c>
      <c r="M103" s="175">
        <f>L103*(1+GROWTH_RATE_L)*(1-FMC*(1+Tax))</f>
        <v>1292914.854</v>
      </c>
      <c r="N103" s="175">
        <f>M103+IF(MOD(A103,B103)=0,VLOOKUP(B103,'Pre-Calculation'!$H$1:$L$31,5,FALSE),0)*IF('Pre-Calculation'!$D$16="% OF FV",M103,IF(OR('Pre-Calculation'!$D$16="% OF AFV(24M)",'Pre-Calculation'!$D$16="% OF AFV(8Q)"),AVERAGE( $M80:$M103),IF('Pre-Calculation'!$D$16="% OF AFV(12M)",AVERAGE($M92:M103),IF('Pre-Calculation'!$D$16="% OF AFV(36M)",AVERAGE($M68:M103)))))</f>
        <v>1292914.854</v>
      </c>
      <c r="O103" s="175">
        <f t="shared" si="4"/>
        <v>1292914.854</v>
      </c>
      <c r="P103" s="175">
        <f>IF('Pre-Calculation'!$D$17="Type 4 a",MAX(SA,N103,1.05*Q103),IF('Pre-Calculation'!$D$17="Type 4 c",N103,IF('Pre-Calculation'!$D$17="Type 4 d",SA+N103,IF('Pre-Calculation'!$D$17="Type 4 e",MAX(SA,N103),IF('Pre-Calculation'!$D$17="Type 4 f",SA,IF('Pre-Calculation'!$D$17="Type 4 g",1000+N103,IF('Pre-Calculation'!$D$17="Type 4 h",SA+X103,IF('Pre-Calculation'!$D$17="Type 4 i",MAX(N103,Q103),IF('Pre-Calculation'!$D$17="Type 4 k",MAX(N103,1.01*Q103),IF('Pre-Calculation'!$D$17="Type 4 m",MAX(105%*Q103,SA+N103),IF('Pre-Calculation'!$D$17="Type 4 o",MAX(SA,105%*Q103)+X103+Z103,IF('Pre-Calculation'!$D$17="Type 5",0))))))))))))</f>
        <v>1292914.854</v>
      </c>
      <c r="Q103" s="175">
        <f t="shared" si="5"/>
        <v>1000000</v>
      </c>
      <c r="R103" s="119">
        <f>L103*(1+GROWTH_RATE)*FMC</f>
        <v>1460.254891</v>
      </c>
      <c r="S103" s="178">
        <f>S102*(1+'Pre-Calculation'!$E$27)</f>
        <v>858383.1505</v>
      </c>
      <c r="T103" s="175">
        <f>-E103+IF(A102=INPUT!$C$11*12,N103,0)</f>
        <v>0</v>
      </c>
      <c r="U103" s="175">
        <f t="shared" si="6"/>
        <v>1319362.237</v>
      </c>
      <c r="V103" s="175">
        <f>U103*(1+GROWTH_RATE_L)*(1-'Pre-Calculation'!$E$31)</f>
        <v>1321477.127</v>
      </c>
      <c r="W103" s="175">
        <f>-E103+IF(A102=INPUT!$C$11*12,V103,0)</f>
        <v>0</v>
      </c>
      <c r="X103" s="179">
        <f t="array" ref="X103">NPV('Pre-Calculation'!$E$20,$E104:E$246)</f>
        <v>0</v>
      </c>
      <c r="Y103" s="171">
        <f>10%*SA</f>
        <v>100000</v>
      </c>
      <c r="Z103" s="179">
        <f t="array" ref="Z103">NPV('Pre-Calculation'!$E$20,Y104:Y113)</f>
        <v>969592.8037</v>
      </c>
    </row>
    <row r="104" ht="15.75" customHeight="1">
      <c r="A104" s="171">
        <f t="shared" si="1"/>
        <v>158</v>
      </c>
      <c r="B104" s="171">
        <f t="shared" si="2"/>
        <v>14</v>
      </c>
      <c r="C104" s="176">
        <f>EDATE(RCD,A103)</f>
        <v>47329</v>
      </c>
      <c r="D104" s="171">
        <f>Age_At_Entry+'Cashflows_4%'!B104-1</f>
        <v>48</v>
      </c>
      <c r="E104" s="175">
        <f>IF(AND(C104&lt;=Last_Prem,MOD(A103,Mode)=0,C104&gt;INPUT!$C$13,A104&lt;=Revival!$C$11),Mod_Prem,0)</f>
        <v>0</v>
      </c>
      <c r="F104" s="177">
        <f>IF(B104&lt;PT+1,E104*VLOOKUP(B104,'Pre-Calculation'!$H$1:$I$31,2,FALSE),0)</f>
        <v>0</v>
      </c>
      <c r="G104" s="177">
        <f>IF(B104&lt;PT+1,VLOOKUP(B104,'Pre-Calculation'!$H$1:$L$32,3,FALSE)+VLOOKUP(B104,'Pre-Calculation'!$H$1:$L$32,4,FALSE)*'Pre-Calculation'!$D$7,0)</f>
        <v>0</v>
      </c>
      <c r="H104" s="175">
        <f>(E104-(F104+G104)*(1+Tax)+N103)</f>
        <v>1292914.854</v>
      </c>
      <c r="I104" s="175">
        <f>IF(B104&lt;PT+1,VLOOKUP(D104,'Pre-Calculation'!$N$3:$P$79,IF(INPUT!$C$4="M",2,3),FALSE)*(J104/1000)*(1/12),0)</f>
        <v>0</v>
      </c>
      <c r="J104" s="175">
        <f t="shared" si="3"/>
        <v>0</v>
      </c>
      <c r="K104" s="175">
        <f>(IF('Pre-Calculation'!$D$17="Type 4 a",MAX(SA,H104,1.05*Q104),IF('Pre-Calculation'!$D$17="Type 4 c",H104,IF('Pre-Calculation'!$D$17="Type 4 d",SA+H104,IF('Pre-Calculation'!$D$17="Type 4 e",MAX(SA,H104),IF('Pre-Calculation'!$D$17="Type 4 f",SA,IF('Pre-Calculation'!$D$17="Type 4 g",1000+H104,IF('Pre-Calculation'!$D$17="Type 4 h",SA+X104,IF('Pre-Calculation'!$D$17="Type 4 i",MAX(H104,Q104),IF('Pre-Calculation'!$D$17="Type 4 k",MAX(H104,1.01*Q104),IF('Pre-Calculation'!$D$17="Type 4 m",MAX(105%*Q104,SA+H104),IF('Pre-Calculation'!$D$17="Type 4 o",MAX(SA,105%*Q104)+X104+Z104,IF('Pre-Calculation'!$D$17="Type 5",0)))))))))))))*IF(AND(A104&lt;Revival!$C$4,C104&gt;=Revival!$D$12),PUP,1)</f>
        <v>1292914.854</v>
      </c>
      <c r="L104" s="175">
        <f>H104-I104*(1+Tax)</f>
        <v>1292914.854</v>
      </c>
      <c r="M104" s="175">
        <f>L104*(1+GROWTH_RATE_L)*(1-FMC*(1+Tax))</f>
        <v>1295426.494</v>
      </c>
      <c r="N104" s="175">
        <f>M104+IF(MOD(A104,B104)=0,VLOOKUP(B104,'Pre-Calculation'!$H$1:$L$31,5,FALSE),0)*IF('Pre-Calculation'!$D$16="% OF FV",M104,IF(OR('Pre-Calculation'!$D$16="% OF AFV(24M)",'Pre-Calculation'!$D$16="% OF AFV(8Q)"),AVERAGE( $M81:$M104),IF('Pre-Calculation'!$D$16="% OF AFV(12M)",AVERAGE($M93:M104),IF('Pre-Calculation'!$D$16="% OF AFV(36M)",AVERAGE($M69:M104)))))</f>
        <v>1295426.494</v>
      </c>
      <c r="O104" s="175">
        <f t="shared" si="4"/>
        <v>1295426.494</v>
      </c>
      <c r="P104" s="175">
        <f>IF('Pre-Calculation'!$D$17="Type 4 a",MAX(SA,N104,1.05*Q104),IF('Pre-Calculation'!$D$17="Type 4 c",N104,IF('Pre-Calculation'!$D$17="Type 4 d",SA+N104,IF('Pre-Calculation'!$D$17="Type 4 e",MAX(SA,N104),IF('Pre-Calculation'!$D$17="Type 4 f",SA,IF('Pre-Calculation'!$D$17="Type 4 g",1000+N104,IF('Pre-Calculation'!$D$17="Type 4 h",SA+X104,IF('Pre-Calculation'!$D$17="Type 4 i",MAX(N104,Q104),IF('Pre-Calculation'!$D$17="Type 4 k",MAX(N104,1.01*Q104),IF('Pre-Calculation'!$D$17="Type 4 m",MAX(105%*Q104,SA+N104),IF('Pre-Calculation'!$D$17="Type 4 o",MAX(SA,105%*Q104)+X104+Z104,IF('Pre-Calculation'!$D$17="Type 5",0))))))))))))</f>
        <v>1295426.494</v>
      </c>
      <c r="Q104" s="175">
        <f t="shared" si="5"/>
        <v>1000000</v>
      </c>
      <c r="R104" s="119">
        <f>L104*(1+GROWTH_RATE)*FMC</f>
        <v>1463.091609</v>
      </c>
      <c r="S104" s="178">
        <f>S103*(1+'Pre-Calculation'!$E$27)</f>
        <v>860847.4816</v>
      </c>
      <c r="T104" s="175">
        <f>-E104+IF(A103=INPUT!$C$11*12,N104,0)</f>
        <v>0</v>
      </c>
      <c r="U104" s="175">
        <f t="shared" si="6"/>
        <v>1321477.127</v>
      </c>
      <c r="V104" s="175">
        <f>U104*(1+GROWTH_RATE_L)*(1-'Pre-Calculation'!$E$31)</f>
        <v>1323595.407</v>
      </c>
      <c r="W104" s="175">
        <f>-E104+IF(A103=INPUT!$C$11*12,V104,0)</f>
        <v>0</v>
      </c>
      <c r="X104" s="179">
        <f t="array" ref="X104">NPV('Pre-Calculation'!$E$20,$E105:E$246)</f>
        <v>0</v>
      </c>
      <c r="Y104" s="171">
        <f>10%*SA</f>
        <v>100000</v>
      </c>
      <c r="Z104" s="179">
        <f t="array" ref="Z104">NPV('Pre-Calculation'!$E$20,Y105:Y114)</f>
        <v>969592.8037</v>
      </c>
    </row>
    <row r="105" ht="15.75" customHeight="1">
      <c r="A105" s="171">
        <f t="shared" si="1"/>
        <v>159</v>
      </c>
      <c r="B105" s="171">
        <f t="shared" si="2"/>
        <v>14</v>
      </c>
      <c r="C105" s="176">
        <f>EDATE(RCD,A104)</f>
        <v>47360</v>
      </c>
      <c r="D105" s="171">
        <f>Age_At_Entry+'Cashflows_4%'!B105-1</f>
        <v>48</v>
      </c>
      <c r="E105" s="175">
        <f>IF(AND(C105&lt;=Last_Prem,MOD(A104,Mode)=0,C105&gt;INPUT!$C$13,A105&lt;=Revival!$C$11),Mod_Prem,0)</f>
        <v>0</v>
      </c>
      <c r="F105" s="177">
        <f>IF(B105&lt;PT+1,E105*VLOOKUP(B105,'Pre-Calculation'!$H$1:$I$31,2,FALSE),0)</f>
        <v>0</v>
      </c>
      <c r="G105" s="177">
        <f>IF(B105&lt;PT+1,VLOOKUP(B105,'Pre-Calculation'!$H$1:$L$32,3,FALSE)+VLOOKUP(B105,'Pre-Calculation'!$H$1:$L$32,4,FALSE)*'Pre-Calculation'!$D$7,0)</f>
        <v>0</v>
      </c>
      <c r="H105" s="175">
        <f>(E105-(F105+G105)*(1+Tax)+N104)</f>
        <v>1295426.494</v>
      </c>
      <c r="I105" s="175">
        <f>IF(B105&lt;PT+1,VLOOKUP(D105,'Pre-Calculation'!$N$3:$P$79,IF(INPUT!$C$4="M",2,3),FALSE)*(J105/1000)*(1/12),0)</f>
        <v>0</v>
      </c>
      <c r="J105" s="175">
        <f t="shared" si="3"/>
        <v>0</v>
      </c>
      <c r="K105" s="175">
        <f>(IF('Pre-Calculation'!$D$17="Type 4 a",MAX(SA,H105,1.05*Q105),IF('Pre-Calculation'!$D$17="Type 4 c",H105,IF('Pre-Calculation'!$D$17="Type 4 d",SA+H105,IF('Pre-Calculation'!$D$17="Type 4 e",MAX(SA,H105),IF('Pre-Calculation'!$D$17="Type 4 f",SA,IF('Pre-Calculation'!$D$17="Type 4 g",1000+H105,IF('Pre-Calculation'!$D$17="Type 4 h",SA+X105,IF('Pre-Calculation'!$D$17="Type 4 i",MAX(H105,Q105),IF('Pre-Calculation'!$D$17="Type 4 k",MAX(H105,1.01*Q105),IF('Pre-Calculation'!$D$17="Type 4 m",MAX(105%*Q105,SA+H105),IF('Pre-Calculation'!$D$17="Type 4 o",MAX(SA,105%*Q105)+X105+Z105,IF('Pre-Calculation'!$D$17="Type 5",0)))))))))))))*IF(AND(A105&lt;Revival!$C$4,C105&gt;=Revival!$D$12),PUP,1)</f>
        <v>1295426.494</v>
      </c>
      <c r="L105" s="175">
        <f>H105-I105*(1+Tax)</f>
        <v>1295426.494</v>
      </c>
      <c r="M105" s="175">
        <f>L105*(1+GROWTH_RATE_L)*(1-FMC*(1+Tax))</f>
        <v>1297943.013</v>
      </c>
      <c r="N105" s="175">
        <f>M105+IF(MOD(A105,B105)=0,VLOOKUP(B105,'Pre-Calculation'!$H$1:$L$31,5,FALSE),0)*IF('Pre-Calculation'!$D$16="% OF FV",M105,IF(OR('Pre-Calculation'!$D$16="% OF AFV(24M)",'Pre-Calculation'!$D$16="% OF AFV(8Q)"),AVERAGE( $M82:$M105),IF('Pre-Calculation'!$D$16="% OF AFV(12M)",AVERAGE($M94:M105),IF('Pre-Calculation'!$D$16="% OF AFV(36M)",AVERAGE($M70:M105)))))</f>
        <v>1297943.013</v>
      </c>
      <c r="O105" s="175">
        <f t="shared" si="4"/>
        <v>1297943.013</v>
      </c>
      <c r="P105" s="175">
        <f>IF('Pre-Calculation'!$D$17="Type 4 a",MAX(SA,N105,1.05*Q105),IF('Pre-Calculation'!$D$17="Type 4 c",N105,IF('Pre-Calculation'!$D$17="Type 4 d",SA+N105,IF('Pre-Calculation'!$D$17="Type 4 e",MAX(SA,N105),IF('Pre-Calculation'!$D$17="Type 4 f",SA,IF('Pre-Calculation'!$D$17="Type 4 g",1000+N105,IF('Pre-Calculation'!$D$17="Type 4 h",SA+X105,IF('Pre-Calculation'!$D$17="Type 4 i",MAX(N105,Q105),IF('Pre-Calculation'!$D$17="Type 4 k",MAX(N105,1.01*Q105),IF('Pre-Calculation'!$D$17="Type 4 m",MAX(105%*Q105,SA+N105),IF('Pre-Calculation'!$D$17="Type 4 o",MAX(SA,105%*Q105)+X105+Z105,IF('Pre-Calculation'!$D$17="Type 5",0))))))))))))</f>
        <v>1297943.013</v>
      </c>
      <c r="Q105" s="175">
        <f t="shared" si="5"/>
        <v>1000000</v>
      </c>
      <c r="R105" s="119">
        <f>L105*(1+GROWTH_RATE)*FMC</f>
        <v>1465.933837</v>
      </c>
      <c r="S105" s="178">
        <f>S104*(1+'Pre-Calculation'!$E$27)</f>
        <v>863318.8875</v>
      </c>
      <c r="T105" s="175">
        <f>-E105+IF(A104=INPUT!$C$11*12,N105,0)</f>
        <v>0</v>
      </c>
      <c r="U105" s="175">
        <f t="shared" si="6"/>
        <v>1323595.407</v>
      </c>
      <c r="V105" s="175">
        <f>U105*(1+GROWTH_RATE_L)*(1-'Pre-Calculation'!$E$31)</f>
        <v>1325717.083</v>
      </c>
      <c r="W105" s="175">
        <f>-E105+IF(A104=INPUT!$C$11*12,V105,0)</f>
        <v>0</v>
      </c>
      <c r="X105" s="179">
        <f t="array" ref="X105">NPV('Pre-Calculation'!$E$20,$E106:E$246)</f>
        <v>0</v>
      </c>
      <c r="Y105" s="171">
        <f>10%*SA</f>
        <v>100000</v>
      </c>
      <c r="Z105" s="179">
        <f t="array" ref="Z105">NPV('Pre-Calculation'!$E$20,Y106:Y115)</f>
        <v>969592.8037</v>
      </c>
    </row>
    <row r="106" ht="15.75" customHeight="1">
      <c r="A106" s="171">
        <f t="shared" si="1"/>
        <v>160</v>
      </c>
      <c r="B106" s="171">
        <f t="shared" si="2"/>
        <v>14</v>
      </c>
      <c r="C106" s="176">
        <f>EDATE(RCD,A105)</f>
        <v>47391</v>
      </c>
      <c r="D106" s="171">
        <f>Age_At_Entry+'Cashflows_4%'!B106-1</f>
        <v>48</v>
      </c>
      <c r="E106" s="175">
        <f>IF(AND(C106&lt;=Last_Prem,MOD(A105,Mode)=0,C106&gt;INPUT!$C$13,A106&lt;=Revival!$C$11),Mod_Prem,0)</f>
        <v>0</v>
      </c>
      <c r="F106" s="177">
        <f>IF(B106&lt;PT+1,E106*VLOOKUP(B106,'Pre-Calculation'!$H$1:$I$31,2,FALSE),0)</f>
        <v>0</v>
      </c>
      <c r="G106" s="177">
        <f>IF(B106&lt;PT+1,VLOOKUP(B106,'Pre-Calculation'!$H$1:$L$32,3,FALSE)+VLOOKUP(B106,'Pre-Calculation'!$H$1:$L$32,4,FALSE)*'Pre-Calculation'!$D$7,0)</f>
        <v>0</v>
      </c>
      <c r="H106" s="175">
        <f>(E106-(F106+G106)*(1+Tax)+N105)</f>
        <v>1297943.013</v>
      </c>
      <c r="I106" s="175">
        <f>IF(B106&lt;PT+1,VLOOKUP(D106,'Pre-Calculation'!$N$3:$P$79,IF(INPUT!$C$4="M",2,3),FALSE)*(J106/1000)*(1/12),0)</f>
        <v>0</v>
      </c>
      <c r="J106" s="175">
        <f t="shared" si="3"/>
        <v>0</v>
      </c>
      <c r="K106" s="175">
        <f>(IF('Pre-Calculation'!$D$17="Type 4 a",MAX(SA,H106,1.05*Q106),IF('Pre-Calculation'!$D$17="Type 4 c",H106,IF('Pre-Calculation'!$D$17="Type 4 d",SA+H106,IF('Pre-Calculation'!$D$17="Type 4 e",MAX(SA,H106),IF('Pre-Calculation'!$D$17="Type 4 f",SA,IF('Pre-Calculation'!$D$17="Type 4 g",1000+H106,IF('Pre-Calculation'!$D$17="Type 4 h",SA+X106,IF('Pre-Calculation'!$D$17="Type 4 i",MAX(H106,Q106),IF('Pre-Calculation'!$D$17="Type 4 k",MAX(H106,1.01*Q106),IF('Pre-Calculation'!$D$17="Type 4 m",MAX(105%*Q106,SA+H106),IF('Pre-Calculation'!$D$17="Type 4 o",MAX(SA,105%*Q106)+X106+Z106,IF('Pre-Calculation'!$D$17="Type 5",0)))))))))))))*IF(AND(A106&lt;Revival!$C$4,C106&gt;=Revival!$D$12),PUP,1)</f>
        <v>1297943.013</v>
      </c>
      <c r="L106" s="175">
        <f>H106-I106*(1+Tax)</f>
        <v>1297943.013</v>
      </c>
      <c r="M106" s="175">
        <f>L106*(1+GROWTH_RATE_L)*(1-FMC*(1+Tax))</f>
        <v>1300464.42</v>
      </c>
      <c r="N106" s="175">
        <f>M106+IF(MOD(A106,B106)=0,VLOOKUP(B106,'Pre-Calculation'!$H$1:$L$31,5,FALSE),0)*IF('Pre-Calculation'!$D$16="% OF FV",M106,IF(OR('Pre-Calculation'!$D$16="% OF AFV(24M)",'Pre-Calculation'!$D$16="% OF AFV(8Q)"),AVERAGE( $M83:$M106),IF('Pre-Calculation'!$D$16="% OF AFV(12M)",AVERAGE($M95:M106),IF('Pre-Calculation'!$D$16="% OF AFV(36M)",AVERAGE($M71:M106)))))</f>
        <v>1300464.42</v>
      </c>
      <c r="O106" s="175">
        <f t="shared" si="4"/>
        <v>1300464.42</v>
      </c>
      <c r="P106" s="175">
        <f>IF('Pre-Calculation'!$D$17="Type 4 a",MAX(SA,N106,1.05*Q106),IF('Pre-Calculation'!$D$17="Type 4 c",N106,IF('Pre-Calculation'!$D$17="Type 4 d",SA+N106,IF('Pre-Calculation'!$D$17="Type 4 e",MAX(SA,N106),IF('Pre-Calculation'!$D$17="Type 4 f",SA,IF('Pre-Calculation'!$D$17="Type 4 g",1000+N106,IF('Pre-Calculation'!$D$17="Type 4 h",SA+X106,IF('Pre-Calculation'!$D$17="Type 4 i",MAX(N106,Q106),IF('Pre-Calculation'!$D$17="Type 4 k",MAX(N106,1.01*Q106),IF('Pre-Calculation'!$D$17="Type 4 m",MAX(105%*Q106,SA+N106),IF('Pre-Calculation'!$D$17="Type 4 o",MAX(SA,105%*Q106)+X106+Z106,IF('Pre-Calculation'!$D$17="Type 5",0))))))))))))</f>
        <v>1300464.42</v>
      </c>
      <c r="Q106" s="175">
        <f t="shared" si="5"/>
        <v>1000000</v>
      </c>
      <c r="R106" s="119">
        <f>L106*(1+GROWTH_RATE)*FMC</f>
        <v>1468.781587</v>
      </c>
      <c r="S106" s="178">
        <f>S105*(1+'Pre-Calculation'!$E$27)</f>
        <v>865797.3886</v>
      </c>
      <c r="T106" s="175">
        <f>-E106+IF(A105=INPUT!$C$11*12,N106,0)</f>
        <v>0</v>
      </c>
      <c r="U106" s="175">
        <f t="shared" si="6"/>
        <v>1325717.083</v>
      </c>
      <c r="V106" s="175">
        <f>U106*(1+GROWTH_RATE_L)*(1-'Pre-Calculation'!$E$31)</f>
        <v>1327842.159</v>
      </c>
      <c r="W106" s="175">
        <f>-E106+IF(A105=INPUT!$C$11*12,V106,0)</f>
        <v>0</v>
      </c>
      <c r="X106" s="179">
        <f t="array" ref="X106">NPV('Pre-Calculation'!$E$20,$E107:E$246)</f>
        <v>0</v>
      </c>
      <c r="Y106" s="171">
        <f>10%*SA</f>
        <v>100000</v>
      </c>
      <c r="Z106" s="179">
        <f t="array" ref="Z106">NPV('Pre-Calculation'!$E$20,Y107:Y116)</f>
        <v>969592.8037</v>
      </c>
    </row>
    <row r="107" ht="15.75" customHeight="1">
      <c r="A107" s="171">
        <f t="shared" si="1"/>
        <v>161</v>
      </c>
      <c r="B107" s="171">
        <f t="shared" si="2"/>
        <v>14</v>
      </c>
      <c r="C107" s="176">
        <f>EDATE(RCD,A106)</f>
        <v>47421</v>
      </c>
      <c r="D107" s="171">
        <f>Age_At_Entry+'Cashflows_4%'!B107-1</f>
        <v>48</v>
      </c>
      <c r="E107" s="175">
        <f>IF(AND(C107&lt;=Last_Prem,MOD(A106,Mode)=0,C107&gt;INPUT!$C$13,A107&lt;=Revival!$C$11),Mod_Prem,0)</f>
        <v>0</v>
      </c>
      <c r="F107" s="177">
        <f>IF(B107&lt;PT+1,E107*VLOOKUP(B107,'Pre-Calculation'!$H$1:$I$31,2,FALSE),0)</f>
        <v>0</v>
      </c>
      <c r="G107" s="177">
        <f>IF(B107&lt;PT+1,VLOOKUP(B107,'Pre-Calculation'!$H$1:$L$32,3,FALSE)+VLOOKUP(B107,'Pre-Calculation'!$H$1:$L$32,4,FALSE)*'Pre-Calculation'!$D$7,0)</f>
        <v>0</v>
      </c>
      <c r="H107" s="175">
        <f>(E107-(F107+G107)*(1+Tax)+N106)</f>
        <v>1300464.42</v>
      </c>
      <c r="I107" s="175">
        <f>IF(B107&lt;PT+1,VLOOKUP(D107,'Pre-Calculation'!$N$3:$P$79,IF(INPUT!$C$4="M",2,3),FALSE)*(J107/1000)*(1/12),0)</f>
        <v>0</v>
      </c>
      <c r="J107" s="175">
        <f t="shared" si="3"/>
        <v>0</v>
      </c>
      <c r="K107" s="175">
        <f>(IF('Pre-Calculation'!$D$17="Type 4 a",MAX(SA,H107,1.05*Q107),IF('Pre-Calculation'!$D$17="Type 4 c",H107,IF('Pre-Calculation'!$D$17="Type 4 d",SA+H107,IF('Pre-Calculation'!$D$17="Type 4 e",MAX(SA,H107),IF('Pre-Calculation'!$D$17="Type 4 f",SA,IF('Pre-Calculation'!$D$17="Type 4 g",1000+H107,IF('Pre-Calculation'!$D$17="Type 4 h",SA+X107,IF('Pre-Calculation'!$D$17="Type 4 i",MAX(H107,Q107),IF('Pre-Calculation'!$D$17="Type 4 k",MAX(H107,1.01*Q107),IF('Pre-Calculation'!$D$17="Type 4 m",MAX(105%*Q107,SA+H107),IF('Pre-Calculation'!$D$17="Type 4 o",MAX(SA,105%*Q107)+X107+Z107,IF('Pre-Calculation'!$D$17="Type 5",0)))))))))))))*IF(AND(A107&lt;Revival!$C$4,C107&gt;=Revival!$D$12),PUP,1)</f>
        <v>1300464.42</v>
      </c>
      <c r="L107" s="175">
        <f>H107-I107*(1+Tax)</f>
        <v>1300464.42</v>
      </c>
      <c r="M107" s="175">
        <f>L107*(1+GROWTH_RATE_L)*(1-FMC*(1+Tax))</f>
        <v>1302990.726</v>
      </c>
      <c r="N107" s="175">
        <f>M107+IF(MOD(A107,B107)=0,VLOOKUP(B107,'Pre-Calculation'!$H$1:$L$31,5,FALSE),0)*IF('Pre-Calculation'!$D$16="% OF FV",M107,IF(OR('Pre-Calculation'!$D$16="% OF AFV(24M)",'Pre-Calculation'!$D$16="% OF AFV(8Q)"),AVERAGE( $M84:$M107),IF('Pre-Calculation'!$D$16="% OF AFV(12M)",AVERAGE($M96:M107),IF('Pre-Calculation'!$D$16="% OF AFV(36M)",AVERAGE($M72:M107)))))</f>
        <v>1302990.726</v>
      </c>
      <c r="O107" s="175">
        <f t="shared" si="4"/>
        <v>1302990.726</v>
      </c>
      <c r="P107" s="175">
        <f>IF('Pre-Calculation'!$D$17="Type 4 a",MAX(SA,N107,1.05*Q107),IF('Pre-Calculation'!$D$17="Type 4 c",N107,IF('Pre-Calculation'!$D$17="Type 4 d",SA+N107,IF('Pre-Calculation'!$D$17="Type 4 e",MAX(SA,N107),IF('Pre-Calculation'!$D$17="Type 4 f",SA,IF('Pre-Calculation'!$D$17="Type 4 g",1000+N107,IF('Pre-Calculation'!$D$17="Type 4 h",SA+X107,IF('Pre-Calculation'!$D$17="Type 4 i",MAX(N107,Q107),IF('Pre-Calculation'!$D$17="Type 4 k",MAX(N107,1.01*Q107),IF('Pre-Calculation'!$D$17="Type 4 m",MAX(105%*Q107,SA+N107),IF('Pre-Calculation'!$D$17="Type 4 o",MAX(SA,105%*Q107)+X107+Z107,IF('Pre-Calculation'!$D$17="Type 5",0))))))))))))</f>
        <v>1302990.726</v>
      </c>
      <c r="Q107" s="175">
        <f t="shared" si="5"/>
        <v>1000000</v>
      </c>
      <c r="R107" s="119">
        <f>L107*(1+GROWTH_RATE)*FMC</f>
        <v>1471.634869</v>
      </c>
      <c r="S107" s="178">
        <f>S106*(1+'Pre-Calculation'!$E$27)</f>
        <v>868283.0052</v>
      </c>
      <c r="T107" s="175">
        <f>-E107+IF(A106=INPUT!$C$11*12,N107,0)</f>
        <v>0</v>
      </c>
      <c r="U107" s="175">
        <f t="shared" si="6"/>
        <v>1327842.159</v>
      </c>
      <c r="V107" s="175">
        <f>U107*(1+GROWTH_RATE_L)*(1-'Pre-Calculation'!$E$31)</f>
        <v>1329970.642</v>
      </c>
      <c r="W107" s="175">
        <f>-E107+IF(A106=INPUT!$C$11*12,V107,0)</f>
        <v>0</v>
      </c>
      <c r="X107" s="179">
        <f t="array" ref="X107">NPV('Pre-Calculation'!$E$20,$E108:E$246)</f>
        <v>0</v>
      </c>
      <c r="Y107" s="171">
        <f>10%*SA</f>
        <v>100000</v>
      </c>
      <c r="Z107" s="179">
        <f t="array" ref="Z107">NPV('Pre-Calculation'!$E$20,Y108:Y117)</f>
        <v>969592.8037</v>
      </c>
    </row>
    <row r="108" ht="15.75" customHeight="1">
      <c r="A108" s="171">
        <f t="shared" si="1"/>
        <v>162</v>
      </c>
      <c r="B108" s="171">
        <f t="shared" si="2"/>
        <v>14</v>
      </c>
      <c r="C108" s="176">
        <f>EDATE(RCD,A107)</f>
        <v>47452</v>
      </c>
      <c r="D108" s="171">
        <f>Age_At_Entry+'Cashflows_4%'!B108-1</f>
        <v>48</v>
      </c>
      <c r="E108" s="175">
        <f>IF(AND(C108&lt;=Last_Prem,MOD(A107,Mode)=0,C108&gt;INPUT!$C$13,A108&lt;=Revival!$C$11),Mod_Prem,0)</f>
        <v>0</v>
      </c>
      <c r="F108" s="177">
        <f>IF(B108&lt;PT+1,E108*VLOOKUP(B108,'Pre-Calculation'!$H$1:$I$31,2,FALSE),0)</f>
        <v>0</v>
      </c>
      <c r="G108" s="177">
        <f>IF(B108&lt;PT+1,VLOOKUP(B108,'Pre-Calculation'!$H$1:$L$32,3,FALSE)+VLOOKUP(B108,'Pre-Calculation'!$H$1:$L$32,4,FALSE)*'Pre-Calculation'!$D$7,0)</f>
        <v>0</v>
      </c>
      <c r="H108" s="175">
        <f>(E108-(F108+G108)*(1+Tax)+N107)</f>
        <v>1302990.726</v>
      </c>
      <c r="I108" s="175">
        <f>IF(B108&lt;PT+1,VLOOKUP(D108,'Pre-Calculation'!$N$3:$P$79,IF(INPUT!$C$4="M",2,3),FALSE)*(J108/1000)*(1/12),0)</f>
        <v>0</v>
      </c>
      <c r="J108" s="175">
        <f t="shared" si="3"/>
        <v>0</v>
      </c>
      <c r="K108" s="175">
        <f>(IF('Pre-Calculation'!$D$17="Type 4 a",MAX(SA,H108,1.05*Q108),IF('Pre-Calculation'!$D$17="Type 4 c",H108,IF('Pre-Calculation'!$D$17="Type 4 d",SA+H108,IF('Pre-Calculation'!$D$17="Type 4 e",MAX(SA,H108),IF('Pre-Calculation'!$D$17="Type 4 f",SA,IF('Pre-Calculation'!$D$17="Type 4 g",1000+H108,IF('Pre-Calculation'!$D$17="Type 4 h",SA+X108,IF('Pre-Calculation'!$D$17="Type 4 i",MAX(H108,Q108),IF('Pre-Calculation'!$D$17="Type 4 k",MAX(H108,1.01*Q108),IF('Pre-Calculation'!$D$17="Type 4 m",MAX(105%*Q108,SA+H108),IF('Pre-Calculation'!$D$17="Type 4 o",MAX(SA,105%*Q108)+X108+Z108,IF('Pre-Calculation'!$D$17="Type 5",0)))))))))))))*IF(AND(A108&lt;Revival!$C$4,C108&gt;=Revival!$D$12),PUP,1)</f>
        <v>1302990.726</v>
      </c>
      <c r="L108" s="175">
        <f>H108-I108*(1+Tax)</f>
        <v>1302990.726</v>
      </c>
      <c r="M108" s="175">
        <f>L108*(1+GROWTH_RATE_L)*(1-FMC*(1+Tax))</f>
        <v>1305521.94</v>
      </c>
      <c r="N108" s="175">
        <f>M108+IF(MOD(A108,B108)=0,VLOOKUP(B108,'Pre-Calculation'!$H$1:$L$31,5,FALSE),0)*IF('Pre-Calculation'!$D$16="% OF FV",M108,IF(OR('Pre-Calculation'!$D$16="% OF AFV(24M)",'Pre-Calculation'!$D$16="% OF AFV(8Q)"),AVERAGE( $M85:$M108),IF('Pre-Calculation'!$D$16="% OF AFV(12M)",AVERAGE($M97:M108),IF('Pre-Calculation'!$D$16="% OF AFV(36M)",AVERAGE($M73:M108)))))</f>
        <v>1305521.94</v>
      </c>
      <c r="O108" s="175">
        <f t="shared" si="4"/>
        <v>1305521.94</v>
      </c>
      <c r="P108" s="175">
        <f>IF('Pre-Calculation'!$D$17="Type 4 a",MAX(SA,N108,1.05*Q108),IF('Pre-Calculation'!$D$17="Type 4 c",N108,IF('Pre-Calculation'!$D$17="Type 4 d",SA+N108,IF('Pre-Calculation'!$D$17="Type 4 e",MAX(SA,N108),IF('Pre-Calculation'!$D$17="Type 4 f",SA,IF('Pre-Calculation'!$D$17="Type 4 g",1000+N108,IF('Pre-Calculation'!$D$17="Type 4 h",SA+X108,IF('Pre-Calculation'!$D$17="Type 4 i",MAX(N108,Q108),IF('Pre-Calculation'!$D$17="Type 4 k",MAX(N108,1.01*Q108),IF('Pre-Calculation'!$D$17="Type 4 m",MAX(105%*Q108,SA+N108),IF('Pre-Calculation'!$D$17="Type 4 o",MAX(SA,105%*Q108)+X108+Z108,IF('Pre-Calculation'!$D$17="Type 5",0))))))))))))</f>
        <v>1305521.94</v>
      </c>
      <c r="Q108" s="175">
        <f t="shared" si="5"/>
        <v>1000000</v>
      </c>
      <c r="R108" s="119">
        <f>L108*(1+GROWTH_RATE)*FMC</f>
        <v>1474.493694</v>
      </c>
      <c r="S108" s="178">
        <f>S107*(1+'Pre-Calculation'!$E$27)</f>
        <v>870775.7578</v>
      </c>
      <c r="T108" s="175">
        <f>-E108+IF(A107=INPUT!$C$11*12,N108,0)</f>
        <v>0</v>
      </c>
      <c r="U108" s="175">
        <f t="shared" si="6"/>
        <v>1329970.642</v>
      </c>
      <c r="V108" s="175">
        <f>U108*(1+GROWTH_RATE_L)*(1-'Pre-Calculation'!$E$31)</f>
        <v>1332102.537</v>
      </c>
      <c r="W108" s="175">
        <f>-E108+IF(A107=INPUT!$C$11*12,V108,0)</f>
        <v>0</v>
      </c>
      <c r="X108" s="179">
        <f t="array" ref="X108">NPV('Pre-Calculation'!$E$20,$E109:E$246)</f>
        <v>0</v>
      </c>
      <c r="Y108" s="171">
        <f>10%*SA</f>
        <v>100000</v>
      </c>
      <c r="Z108" s="179">
        <f t="array" ref="Z108">NPV('Pre-Calculation'!$E$20,Y109:Y118)</f>
        <v>969592.8037</v>
      </c>
    </row>
    <row r="109" ht="15.75" customHeight="1">
      <c r="A109" s="171">
        <f t="shared" si="1"/>
        <v>163</v>
      </c>
      <c r="B109" s="171">
        <f t="shared" si="2"/>
        <v>14</v>
      </c>
      <c r="C109" s="176">
        <f>EDATE(RCD,A108)</f>
        <v>47482</v>
      </c>
      <c r="D109" s="171">
        <f>Age_At_Entry+'Cashflows_4%'!B109-1</f>
        <v>48</v>
      </c>
      <c r="E109" s="175">
        <f>IF(AND(C109&lt;=Last_Prem,MOD(A108,Mode)=0,C109&gt;INPUT!$C$13,A109&lt;=Revival!$C$11),Mod_Prem,0)</f>
        <v>0</v>
      </c>
      <c r="F109" s="177">
        <f>IF(B109&lt;PT+1,E109*VLOOKUP(B109,'Pre-Calculation'!$H$1:$I$31,2,FALSE),0)</f>
        <v>0</v>
      </c>
      <c r="G109" s="177">
        <f>IF(B109&lt;PT+1,VLOOKUP(B109,'Pre-Calculation'!$H$1:$L$32,3,FALSE)+VLOOKUP(B109,'Pre-Calculation'!$H$1:$L$32,4,FALSE)*'Pre-Calculation'!$D$7,0)</f>
        <v>0</v>
      </c>
      <c r="H109" s="175">
        <f>(E109-(F109+G109)*(1+Tax)+N108)</f>
        <v>1305521.94</v>
      </c>
      <c r="I109" s="175">
        <f>IF(B109&lt;PT+1,VLOOKUP(D109,'Pre-Calculation'!$N$3:$P$79,IF(INPUT!$C$4="M",2,3),FALSE)*(J109/1000)*(1/12),0)</f>
        <v>0</v>
      </c>
      <c r="J109" s="175">
        <f t="shared" si="3"/>
        <v>0</v>
      </c>
      <c r="K109" s="175">
        <f>(IF('Pre-Calculation'!$D$17="Type 4 a",MAX(SA,H109,1.05*Q109),IF('Pre-Calculation'!$D$17="Type 4 c",H109,IF('Pre-Calculation'!$D$17="Type 4 d",SA+H109,IF('Pre-Calculation'!$D$17="Type 4 e",MAX(SA,H109),IF('Pre-Calculation'!$D$17="Type 4 f",SA,IF('Pre-Calculation'!$D$17="Type 4 g",1000+H109,IF('Pre-Calculation'!$D$17="Type 4 h",SA+X109,IF('Pre-Calculation'!$D$17="Type 4 i",MAX(H109,Q109),IF('Pre-Calculation'!$D$17="Type 4 k",MAX(H109,1.01*Q109),IF('Pre-Calculation'!$D$17="Type 4 m",MAX(105%*Q109,SA+H109),IF('Pre-Calculation'!$D$17="Type 4 o",MAX(SA,105%*Q109)+X109+Z109,IF('Pre-Calculation'!$D$17="Type 5",0)))))))))))))*IF(AND(A109&lt;Revival!$C$4,C109&gt;=Revival!$D$12),PUP,1)</f>
        <v>1305521.94</v>
      </c>
      <c r="L109" s="175">
        <f>H109-I109*(1+Tax)</f>
        <v>1305521.94</v>
      </c>
      <c r="M109" s="175">
        <f>L109*(1+GROWTH_RATE_L)*(1-FMC*(1+Tax))</f>
        <v>1308058.07</v>
      </c>
      <c r="N109" s="175">
        <f>M109+IF(MOD(A109,B109)=0,VLOOKUP(B109,'Pre-Calculation'!$H$1:$L$31,5,FALSE),0)*IF('Pre-Calculation'!$D$16="% OF FV",M109,IF(OR('Pre-Calculation'!$D$16="% OF AFV(24M)",'Pre-Calculation'!$D$16="% OF AFV(8Q)"),AVERAGE( $M86:$M109),IF('Pre-Calculation'!$D$16="% OF AFV(12M)",AVERAGE($M98:M109),IF('Pre-Calculation'!$D$16="% OF AFV(36M)",AVERAGE($M74:M109)))))</f>
        <v>1308058.07</v>
      </c>
      <c r="O109" s="175">
        <f t="shared" si="4"/>
        <v>1308058.07</v>
      </c>
      <c r="P109" s="175">
        <f>IF('Pre-Calculation'!$D$17="Type 4 a",MAX(SA,N109,1.05*Q109),IF('Pre-Calculation'!$D$17="Type 4 c",N109,IF('Pre-Calculation'!$D$17="Type 4 d",SA+N109,IF('Pre-Calculation'!$D$17="Type 4 e",MAX(SA,N109),IF('Pre-Calculation'!$D$17="Type 4 f",SA,IF('Pre-Calculation'!$D$17="Type 4 g",1000+N109,IF('Pre-Calculation'!$D$17="Type 4 h",SA+X109,IF('Pre-Calculation'!$D$17="Type 4 i",MAX(N109,Q109),IF('Pre-Calculation'!$D$17="Type 4 k",MAX(N109,1.01*Q109),IF('Pre-Calculation'!$D$17="Type 4 m",MAX(105%*Q109,SA+N109),IF('Pre-Calculation'!$D$17="Type 4 o",MAX(SA,105%*Q109)+X109+Z109,IF('Pre-Calculation'!$D$17="Type 5",0))))))))))))</f>
        <v>1308058.07</v>
      </c>
      <c r="Q109" s="175">
        <f t="shared" si="5"/>
        <v>1000000</v>
      </c>
      <c r="R109" s="119">
        <f>L109*(1+GROWTH_RATE)*FMC</f>
        <v>1477.358072</v>
      </c>
      <c r="S109" s="178">
        <f>S108*(1+'Pre-Calculation'!$E$27)</f>
        <v>873275.6668</v>
      </c>
      <c r="T109" s="175">
        <f>-E109+IF(A108=INPUT!$C$11*12,N109,0)</f>
        <v>0</v>
      </c>
      <c r="U109" s="175">
        <f t="shared" si="6"/>
        <v>1332102.537</v>
      </c>
      <c r="V109" s="175">
        <f>U109*(1+GROWTH_RATE_L)*(1-'Pre-Calculation'!$E$31)</f>
        <v>1334237.849</v>
      </c>
      <c r="W109" s="175">
        <f>-E109+IF(A108=INPUT!$C$11*12,V109,0)</f>
        <v>0</v>
      </c>
      <c r="X109" s="179">
        <f t="array" ref="X109">NPV('Pre-Calculation'!$E$20,$E110:E$246)</f>
        <v>0</v>
      </c>
      <c r="Y109" s="171">
        <f>10%*SA</f>
        <v>100000</v>
      </c>
      <c r="Z109" s="179">
        <f t="array" ref="Z109">NPV('Pre-Calculation'!$E$20,Y110:Y119)</f>
        <v>969592.8037</v>
      </c>
    </row>
    <row r="110" ht="15.75" customHeight="1">
      <c r="A110" s="171">
        <f t="shared" si="1"/>
        <v>164</v>
      </c>
      <c r="B110" s="171">
        <f t="shared" si="2"/>
        <v>14</v>
      </c>
      <c r="C110" s="176">
        <f>EDATE(RCD,A109)</f>
        <v>47513</v>
      </c>
      <c r="D110" s="171">
        <f>Age_At_Entry+'Cashflows_4%'!B110-1</f>
        <v>48</v>
      </c>
      <c r="E110" s="175">
        <f>IF(AND(C110&lt;=Last_Prem,MOD(A109,Mode)=0,C110&gt;INPUT!$C$13,A110&lt;=Revival!$C$11),Mod_Prem,0)</f>
        <v>0</v>
      </c>
      <c r="F110" s="177">
        <f>IF(B110&lt;PT+1,E110*VLOOKUP(B110,'Pre-Calculation'!$H$1:$I$31,2,FALSE),0)</f>
        <v>0</v>
      </c>
      <c r="G110" s="177">
        <f>IF(B110&lt;PT+1,VLOOKUP(B110,'Pre-Calculation'!$H$1:$L$32,3,FALSE)+VLOOKUP(B110,'Pre-Calculation'!$H$1:$L$32,4,FALSE)*'Pre-Calculation'!$D$7,0)</f>
        <v>0</v>
      </c>
      <c r="H110" s="175">
        <f>(E110-(F110+G110)*(1+Tax)+N109)</f>
        <v>1308058.07</v>
      </c>
      <c r="I110" s="175">
        <f>IF(B110&lt;PT+1,VLOOKUP(D110,'Pre-Calculation'!$N$3:$P$79,IF(INPUT!$C$4="M",2,3),FALSE)*(J110/1000)*(1/12),0)</f>
        <v>0</v>
      </c>
      <c r="J110" s="175">
        <f t="shared" si="3"/>
        <v>0</v>
      </c>
      <c r="K110" s="175">
        <f>(IF('Pre-Calculation'!$D$17="Type 4 a",MAX(SA,H110,1.05*Q110),IF('Pre-Calculation'!$D$17="Type 4 c",H110,IF('Pre-Calculation'!$D$17="Type 4 d",SA+H110,IF('Pre-Calculation'!$D$17="Type 4 e",MAX(SA,H110),IF('Pre-Calculation'!$D$17="Type 4 f",SA,IF('Pre-Calculation'!$D$17="Type 4 g",1000+H110,IF('Pre-Calculation'!$D$17="Type 4 h",SA+X110,IF('Pre-Calculation'!$D$17="Type 4 i",MAX(H110,Q110),IF('Pre-Calculation'!$D$17="Type 4 k",MAX(H110,1.01*Q110),IF('Pre-Calculation'!$D$17="Type 4 m",MAX(105%*Q110,SA+H110),IF('Pre-Calculation'!$D$17="Type 4 o",MAX(SA,105%*Q110)+X110+Z110,IF('Pre-Calculation'!$D$17="Type 5",0)))))))))))))*IF(AND(A110&lt;Revival!$C$4,C110&gt;=Revival!$D$12),PUP,1)</f>
        <v>1308058.07</v>
      </c>
      <c r="L110" s="175">
        <f>H110-I110*(1+Tax)</f>
        <v>1308058.07</v>
      </c>
      <c r="M110" s="175">
        <f>L110*(1+GROWTH_RATE_L)*(1-FMC*(1+Tax))</f>
        <v>1310599.128</v>
      </c>
      <c r="N110" s="175">
        <f>M110+IF(MOD(A110,B110)=0,VLOOKUP(B110,'Pre-Calculation'!$H$1:$L$31,5,FALSE),0)*IF('Pre-Calculation'!$D$16="% OF FV",M110,IF(OR('Pre-Calculation'!$D$16="% OF AFV(24M)",'Pre-Calculation'!$D$16="% OF AFV(8Q)"),AVERAGE( $M87:$M110),IF('Pre-Calculation'!$D$16="% OF AFV(12M)",AVERAGE($M99:M110),IF('Pre-Calculation'!$D$16="% OF AFV(36M)",AVERAGE($M75:M110)))))</f>
        <v>1310599.128</v>
      </c>
      <c r="O110" s="175">
        <f t="shared" si="4"/>
        <v>1310599.128</v>
      </c>
      <c r="P110" s="175">
        <f>IF('Pre-Calculation'!$D$17="Type 4 a",MAX(SA,N110,1.05*Q110),IF('Pre-Calculation'!$D$17="Type 4 c",N110,IF('Pre-Calculation'!$D$17="Type 4 d",SA+N110,IF('Pre-Calculation'!$D$17="Type 4 e",MAX(SA,N110),IF('Pre-Calculation'!$D$17="Type 4 f",SA,IF('Pre-Calculation'!$D$17="Type 4 g",1000+N110,IF('Pre-Calculation'!$D$17="Type 4 h",SA+X110,IF('Pre-Calculation'!$D$17="Type 4 i",MAX(N110,Q110),IF('Pre-Calculation'!$D$17="Type 4 k",MAX(N110,1.01*Q110),IF('Pre-Calculation'!$D$17="Type 4 m",MAX(105%*Q110,SA+N110),IF('Pre-Calculation'!$D$17="Type 4 o",MAX(SA,105%*Q110)+X110+Z110,IF('Pre-Calculation'!$D$17="Type 5",0))))))))))))</f>
        <v>1310599.128</v>
      </c>
      <c r="Q110" s="175">
        <f t="shared" si="5"/>
        <v>1000000</v>
      </c>
      <c r="R110" s="119">
        <f>L110*(1+GROWTH_RATE)*FMC</f>
        <v>1480.228014</v>
      </c>
      <c r="S110" s="178">
        <f>S109*(1+'Pre-Calculation'!$E$27)</f>
        <v>875782.7528</v>
      </c>
      <c r="T110" s="175">
        <f>-E110+IF(A109=INPUT!$C$11*12,N110,0)</f>
        <v>0</v>
      </c>
      <c r="U110" s="175">
        <f t="shared" si="6"/>
        <v>1334237.849</v>
      </c>
      <c r="V110" s="175">
        <f>U110*(1+GROWTH_RATE_L)*(1-'Pre-Calculation'!$E$31)</f>
        <v>1336376.584</v>
      </c>
      <c r="W110" s="175">
        <f>-E110+IF(A109=INPUT!$C$11*12,V110,0)</f>
        <v>0</v>
      </c>
      <c r="X110" s="179">
        <f t="array" ref="X110">NPV('Pre-Calculation'!$E$20,$E111:E$246)</f>
        <v>0</v>
      </c>
      <c r="Y110" s="171">
        <f>10%*SA</f>
        <v>100000</v>
      </c>
      <c r="Z110" s="179">
        <f t="array" ref="Z110">NPV('Pre-Calculation'!$E$20,Y111:Y120)</f>
        <v>969592.8037</v>
      </c>
    </row>
    <row r="111" ht="15.75" customHeight="1">
      <c r="A111" s="171">
        <f t="shared" si="1"/>
        <v>165</v>
      </c>
      <c r="B111" s="171">
        <f t="shared" si="2"/>
        <v>14</v>
      </c>
      <c r="C111" s="176">
        <f>EDATE(RCD,A110)</f>
        <v>47542</v>
      </c>
      <c r="D111" s="171">
        <f>Age_At_Entry+'Cashflows_4%'!B111-1</f>
        <v>48</v>
      </c>
      <c r="E111" s="175">
        <f>IF(AND(C111&lt;=Last_Prem,MOD(A110,Mode)=0,C111&gt;INPUT!$C$13,A111&lt;=Revival!$C$11),Mod_Prem,0)</f>
        <v>0</v>
      </c>
      <c r="F111" s="177">
        <f>IF(B111&lt;PT+1,E111*VLOOKUP(B111,'Pre-Calculation'!$H$1:$I$31,2,FALSE),0)</f>
        <v>0</v>
      </c>
      <c r="G111" s="177">
        <f>IF(B111&lt;PT+1,VLOOKUP(B111,'Pre-Calculation'!$H$1:$L$32,3,FALSE)+VLOOKUP(B111,'Pre-Calculation'!$H$1:$L$32,4,FALSE)*'Pre-Calculation'!$D$7,0)</f>
        <v>0</v>
      </c>
      <c r="H111" s="175">
        <f>(E111-(F111+G111)*(1+Tax)+N110)</f>
        <v>1310599.128</v>
      </c>
      <c r="I111" s="175">
        <f>IF(B111&lt;PT+1,VLOOKUP(D111,'Pre-Calculation'!$N$3:$P$79,IF(INPUT!$C$4="M",2,3),FALSE)*(J111/1000)*(1/12),0)</f>
        <v>0</v>
      </c>
      <c r="J111" s="175">
        <f t="shared" si="3"/>
        <v>0</v>
      </c>
      <c r="K111" s="175">
        <f>(IF('Pre-Calculation'!$D$17="Type 4 a",MAX(SA,H111,1.05*Q111),IF('Pre-Calculation'!$D$17="Type 4 c",H111,IF('Pre-Calculation'!$D$17="Type 4 d",SA+H111,IF('Pre-Calculation'!$D$17="Type 4 e",MAX(SA,H111),IF('Pre-Calculation'!$D$17="Type 4 f",SA,IF('Pre-Calculation'!$D$17="Type 4 g",1000+H111,IF('Pre-Calculation'!$D$17="Type 4 h",SA+X111,IF('Pre-Calculation'!$D$17="Type 4 i",MAX(H111,Q111),IF('Pre-Calculation'!$D$17="Type 4 k",MAX(H111,1.01*Q111),IF('Pre-Calculation'!$D$17="Type 4 m",MAX(105%*Q111,SA+H111),IF('Pre-Calculation'!$D$17="Type 4 o",MAX(SA,105%*Q111)+X111+Z111,IF('Pre-Calculation'!$D$17="Type 5",0)))))))))))))*IF(AND(A111&lt;Revival!$C$4,C111&gt;=Revival!$D$12),PUP,1)</f>
        <v>1310599.128</v>
      </c>
      <c r="L111" s="175">
        <f>H111-I111*(1+Tax)</f>
        <v>1310599.128</v>
      </c>
      <c r="M111" s="175">
        <f>L111*(1+GROWTH_RATE_L)*(1-FMC*(1+Tax))</f>
        <v>1313145.121</v>
      </c>
      <c r="N111" s="175">
        <f>M111+IF(MOD(A111,B111)=0,VLOOKUP(B111,'Pre-Calculation'!$H$1:$L$31,5,FALSE),0)*IF('Pre-Calculation'!$D$16="% OF FV",M111,IF(OR('Pre-Calculation'!$D$16="% OF AFV(24M)",'Pre-Calculation'!$D$16="% OF AFV(8Q)"),AVERAGE( $M88:$M111),IF('Pre-Calculation'!$D$16="% OF AFV(12M)",AVERAGE($M100:M111),IF('Pre-Calculation'!$D$16="% OF AFV(36M)",AVERAGE($M76:M111)))))</f>
        <v>1313145.121</v>
      </c>
      <c r="O111" s="175">
        <f t="shared" si="4"/>
        <v>1313145.121</v>
      </c>
      <c r="P111" s="175">
        <f>IF('Pre-Calculation'!$D$17="Type 4 a",MAX(SA,N111,1.05*Q111),IF('Pre-Calculation'!$D$17="Type 4 c",N111,IF('Pre-Calculation'!$D$17="Type 4 d",SA+N111,IF('Pre-Calculation'!$D$17="Type 4 e",MAX(SA,N111),IF('Pre-Calculation'!$D$17="Type 4 f",SA,IF('Pre-Calculation'!$D$17="Type 4 g",1000+N111,IF('Pre-Calculation'!$D$17="Type 4 h",SA+X111,IF('Pre-Calculation'!$D$17="Type 4 i",MAX(N111,Q111),IF('Pre-Calculation'!$D$17="Type 4 k",MAX(N111,1.01*Q111),IF('Pre-Calculation'!$D$17="Type 4 m",MAX(105%*Q111,SA+N111),IF('Pre-Calculation'!$D$17="Type 4 o",MAX(SA,105%*Q111)+X111+Z111,IF('Pre-Calculation'!$D$17="Type 5",0))))))))))))</f>
        <v>1313145.121</v>
      </c>
      <c r="Q111" s="175">
        <f t="shared" si="5"/>
        <v>1000000</v>
      </c>
      <c r="R111" s="119">
        <f>L111*(1+GROWTH_RATE)*FMC</f>
        <v>1483.103532</v>
      </c>
      <c r="S111" s="178">
        <f>S110*(1+'Pre-Calculation'!$E$27)</f>
        <v>878297.0364</v>
      </c>
      <c r="T111" s="175">
        <f>-E111+IF(A110=INPUT!$C$11*12,N111,0)</f>
        <v>0</v>
      </c>
      <c r="U111" s="175">
        <f t="shared" si="6"/>
        <v>1336376.584</v>
      </c>
      <c r="V111" s="175">
        <f>U111*(1+GROWTH_RATE_L)*(1-'Pre-Calculation'!$E$31)</f>
        <v>1338518.747</v>
      </c>
      <c r="W111" s="175">
        <f>-E111+IF(A110=INPUT!$C$11*12,V111,0)</f>
        <v>0</v>
      </c>
      <c r="X111" s="179">
        <f t="array" ref="X111">NPV('Pre-Calculation'!$E$20,$E112:E$246)</f>
        <v>0</v>
      </c>
      <c r="Y111" s="171">
        <f>10%*SA</f>
        <v>100000</v>
      </c>
      <c r="Z111" s="179">
        <f t="array" ref="Z111">NPV('Pre-Calculation'!$E$20,Y112:Y121)</f>
        <v>969592.8037</v>
      </c>
    </row>
    <row r="112" ht="15.75" customHeight="1">
      <c r="A112" s="171">
        <f t="shared" si="1"/>
        <v>166</v>
      </c>
      <c r="B112" s="171">
        <f t="shared" si="2"/>
        <v>14</v>
      </c>
      <c r="C112" s="176">
        <f>EDATE(RCD,A111)</f>
        <v>47572</v>
      </c>
      <c r="D112" s="171">
        <f>Age_At_Entry+'Cashflows_4%'!B112-1</f>
        <v>48</v>
      </c>
      <c r="E112" s="175">
        <f>IF(AND(C112&lt;=Last_Prem,MOD(A111,Mode)=0,C112&gt;INPUT!$C$13,A112&lt;=Revival!$C$11),Mod_Prem,0)</f>
        <v>0</v>
      </c>
      <c r="F112" s="177">
        <f>IF(B112&lt;PT+1,E112*VLOOKUP(B112,'Pre-Calculation'!$H$1:$I$31,2,FALSE),0)</f>
        <v>0</v>
      </c>
      <c r="G112" s="177">
        <f>IF(B112&lt;PT+1,VLOOKUP(B112,'Pre-Calculation'!$H$1:$L$32,3,FALSE)+VLOOKUP(B112,'Pre-Calculation'!$H$1:$L$32,4,FALSE)*'Pre-Calculation'!$D$7,0)</f>
        <v>0</v>
      </c>
      <c r="H112" s="175">
        <f>(E112-(F112+G112)*(1+Tax)+N111)</f>
        <v>1313145.121</v>
      </c>
      <c r="I112" s="175">
        <f>IF(B112&lt;PT+1,VLOOKUP(D112,'Pre-Calculation'!$N$3:$P$79,IF(INPUT!$C$4="M",2,3),FALSE)*(J112/1000)*(1/12),0)</f>
        <v>0</v>
      </c>
      <c r="J112" s="175">
        <f t="shared" si="3"/>
        <v>0</v>
      </c>
      <c r="K112" s="175">
        <f>(IF('Pre-Calculation'!$D$17="Type 4 a",MAX(SA,H112,1.05*Q112),IF('Pre-Calculation'!$D$17="Type 4 c",H112,IF('Pre-Calculation'!$D$17="Type 4 d",SA+H112,IF('Pre-Calculation'!$D$17="Type 4 e",MAX(SA,H112),IF('Pre-Calculation'!$D$17="Type 4 f",SA,IF('Pre-Calculation'!$D$17="Type 4 g",1000+H112,IF('Pre-Calculation'!$D$17="Type 4 h",SA+X112,IF('Pre-Calculation'!$D$17="Type 4 i",MAX(H112,Q112),IF('Pre-Calculation'!$D$17="Type 4 k",MAX(H112,1.01*Q112),IF('Pre-Calculation'!$D$17="Type 4 m",MAX(105%*Q112,SA+H112),IF('Pre-Calculation'!$D$17="Type 4 o",MAX(SA,105%*Q112)+X112+Z112,IF('Pre-Calculation'!$D$17="Type 5",0)))))))))))))*IF(AND(A112&lt;Revival!$C$4,C112&gt;=Revival!$D$12),PUP,1)</f>
        <v>1313145.121</v>
      </c>
      <c r="L112" s="175">
        <f>H112-I112*(1+Tax)</f>
        <v>1313145.121</v>
      </c>
      <c r="M112" s="175">
        <f>L112*(1+GROWTH_RATE_L)*(1-FMC*(1+Tax))</f>
        <v>1315696.061</v>
      </c>
      <c r="N112" s="175">
        <f>M112+IF(MOD(A112,B112)=0,VLOOKUP(B112,'Pre-Calculation'!$H$1:$L$31,5,FALSE),0)*IF('Pre-Calculation'!$D$16="% OF FV",M112,IF(OR('Pre-Calculation'!$D$16="% OF AFV(24M)",'Pre-Calculation'!$D$16="% OF AFV(8Q)"),AVERAGE( $M89:$M112),IF('Pre-Calculation'!$D$16="% OF AFV(12M)",AVERAGE($M101:M112),IF('Pre-Calculation'!$D$16="% OF AFV(36M)",AVERAGE($M77:M112)))))</f>
        <v>1315696.061</v>
      </c>
      <c r="O112" s="175">
        <f t="shared" si="4"/>
        <v>1315696.061</v>
      </c>
      <c r="P112" s="175">
        <f>IF('Pre-Calculation'!$D$17="Type 4 a",MAX(SA,N112,1.05*Q112),IF('Pre-Calculation'!$D$17="Type 4 c",N112,IF('Pre-Calculation'!$D$17="Type 4 d",SA+N112,IF('Pre-Calculation'!$D$17="Type 4 e",MAX(SA,N112),IF('Pre-Calculation'!$D$17="Type 4 f",SA,IF('Pre-Calculation'!$D$17="Type 4 g",1000+N112,IF('Pre-Calculation'!$D$17="Type 4 h",SA+X112,IF('Pre-Calculation'!$D$17="Type 4 i",MAX(N112,Q112),IF('Pre-Calculation'!$D$17="Type 4 k",MAX(N112,1.01*Q112),IF('Pre-Calculation'!$D$17="Type 4 m",MAX(105%*Q112,SA+N112),IF('Pre-Calculation'!$D$17="Type 4 o",MAX(SA,105%*Q112)+X112+Z112,IF('Pre-Calculation'!$D$17="Type 5",0))))))))))))</f>
        <v>1315696.061</v>
      </c>
      <c r="Q112" s="175">
        <f t="shared" si="5"/>
        <v>1000000</v>
      </c>
      <c r="R112" s="119">
        <f>L112*(1+GROWTH_RATE)*FMC</f>
        <v>1485.984636</v>
      </c>
      <c r="S112" s="178">
        <f>S111*(1+'Pre-Calculation'!$E$27)</f>
        <v>880818.5382</v>
      </c>
      <c r="T112" s="175">
        <f>-E112+IF(A111=INPUT!$C$11*12,N112,0)</f>
        <v>0</v>
      </c>
      <c r="U112" s="175">
        <f t="shared" si="6"/>
        <v>1338518.747</v>
      </c>
      <c r="V112" s="175">
        <f>U112*(1+GROWTH_RATE_L)*(1-'Pre-Calculation'!$E$31)</f>
        <v>1340664.345</v>
      </c>
      <c r="W112" s="175">
        <f>-E112+IF(A111=INPUT!$C$11*12,V112,0)</f>
        <v>0</v>
      </c>
      <c r="X112" s="179">
        <f t="array" ref="X112">NPV('Pre-Calculation'!$E$20,$E113:E$246)</f>
        <v>0</v>
      </c>
      <c r="Y112" s="171">
        <f>10%*SA</f>
        <v>100000</v>
      </c>
      <c r="Z112" s="179">
        <f t="array" ref="Z112">NPV('Pre-Calculation'!$E$20,Y113:Y122)</f>
        <v>969592.8037</v>
      </c>
    </row>
    <row r="113" ht="15.75" customHeight="1">
      <c r="A113" s="171">
        <f t="shared" si="1"/>
        <v>167</v>
      </c>
      <c r="B113" s="171">
        <f t="shared" si="2"/>
        <v>14</v>
      </c>
      <c r="C113" s="176">
        <f>EDATE(RCD,A112)</f>
        <v>47603</v>
      </c>
      <c r="D113" s="171">
        <f>Age_At_Entry+'Cashflows_4%'!B113-1</f>
        <v>48</v>
      </c>
      <c r="E113" s="175">
        <f>IF(AND(C113&lt;=Last_Prem,MOD(A112,Mode)=0,C113&gt;INPUT!$C$13,A113&lt;=Revival!$C$11),Mod_Prem,0)</f>
        <v>0</v>
      </c>
      <c r="F113" s="177">
        <f>IF(B113&lt;PT+1,E113*VLOOKUP(B113,'Pre-Calculation'!$H$1:$I$31,2,FALSE),0)</f>
        <v>0</v>
      </c>
      <c r="G113" s="177">
        <f>IF(B113&lt;PT+1,VLOOKUP(B113,'Pre-Calculation'!$H$1:$L$32,3,FALSE)+VLOOKUP(B113,'Pre-Calculation'!$H$1:$L$32,4,FALSE)*'Pre-Calculation'!$D$7,0)</f>
        <v>0</v>
      </c>
      <c r="H113" s="175">
        <f>(E113-(F113+G113)*(1+Tax)+N112)</f>
        <v>1315696.061</v>
      </c>
      <c r="I113" s="175">
        <f>IF(B113&lt;PT+1,VLOOKUP(D113,'Pre-Calculation'!$N$3:$P$79,IF(INPUT!$C$4="M",2,3),FALSE)*(J113/1000)*(1/12),0)</f>
        <v>0</v>
      </c>
      <c r="J113" s="175">
        <f t="shared" si="3"/>
        <v>0</v>
      </c>
      <c r="K113" s="175">
        <f>(IF('Pre-Calculation'!$D$17="Type 4 a",MAX(SA,H113,1.05*Q113),IF('Pre-Calculation'!$D$17="Type 4 c",H113,IF('Pre-Calculation'!$D$17="Type 4 d",SA+H113,IF('Pre-Calculation'!$D$17="Type 4 e",MAX(SA,H113),IF('Pre-Calculation'!$D$17="Type 4 f",SA,IF('Pre-Calculation'!$D$17="Type 4 g",1000+H113,IF('Pre-Calculation'!$D$17="Type 4 h",SA+X113,IF('Pre-Calculation'!$D$17="Type 4 i",MAX(H113,Q113),IF('Pre-Calculation'!$D$17="Type 4 k",MAX(H113,1.01*Q113),IF('Pre-Calculation'!$D$17="Type 4 m",MAX(105%*Q113,SA+H113),IF('Pre-Calculation'!$D$17="Type 4 o",MAX(SA,105%*Q113)+X113+Z113,IF('Pre-Calculation'!$D$17="Type 5",0)))))))))))))*IF(AND(A113&lt;Revival!$C$4,C113&gt;=Revival!$D$12),PUP,1)</f>
        <v>1315696.061</v>
      </c>
      <c r="L113" s="175">
        <f>H113-I113*(1+Tax)</f>
        <v>1315696.061</v>
      </c>
      <c r="M113" s="175">
        <f>L113*(1+GROWTH_RATE_L)*(1-FMC*(1+Tax))</f>
        <v>1318251.956</v>
      </c>
      <c r="N113" s="175">
        <f>M113+IF(MOD(A113,B113)=0,VLOOKUP(B113,'Pre-Calculation'!$H$1:$L$31,5,FALSE),0)*IF('Pre-Calculation'!$D$16="% OF FV",M113,IF(OR('Pre-Calculation'!$D$16="% OF AFV(24M)",'Pre-Calculation'!$D$16="% OF AFV(8Q)"),AVERAGE( $M90:$M113),IF('Pre-Calculation'!$D$16="% OF AFV(12M)",AVERAGE($M102:M113),IF('Pre-Calculation'!$D$16="% OF AFV(36M)",AVERAGE($M78:M113)))))</f>
        <v>1318251.956</v>
      </c>
      <c r="O113" s="175">
        <f t="shared" si="4"/>
        <v>1318251.956</v>
      </c>
      <c r="P113" s="175">
        <f>IF('Pre-Calculation'!$D$17="Type 4 a",MAX(SA,N113,1.05*Q113),IF('Pre-Calculation'!$D$17="Type 4 c",N113,IF('Pre-Calculation'!$D$17="Type 4 d",SA+N113,IF('Pre-Calculation'!$D$17="Type 4 e",MAX(SA,N113),IF('Pre-Calculation'!$D$17="Type 4 f",SA,IF('Pre-Calculation'!$D$17="Type 4 g",1000+N113,IF('Pre-Calculation'!$D$17="Type 4 h",SA+X113,IF('Pre-Calculation'!$D$17="Type 4 i",MAX(N113,Q113),IF('Pre-Calculation'!$D$17="Type 4 k",MAX(N113,1.01*Q113),IF('Pre-Calculation'!$D$17="Type 4 m",MAX(105%*Q113,SA+N113),IF('Pre-Calculation'!$D$17="Type 4 o",MAX(SA,105%*Q113)+X113+Z113,IF('Pre-Calculation'!$D$17="Type 5",0))))))))))))</f>
        <v>1318251.956</v>
      </c>
      <c r="Q113" s="175">
        <f t="shared" si="5"/>
        <v>1000000</v>
      </c>
      <c r="R113" s="119">
        <f>L113*(1+GROWTH_RATE)*FMC</f>
        <v>1488.871337</v>
      </c>
      <c r="S113" s="178">
        <f>S112*(1+'Pre-Calculation'!$E$27)</f>
        <v>883347.279</v>
      </c>
      <c r="T113" s="175">
        <f>-E113+IF(A112=INPUT!$C$11*12,N113,0)</f>
        <v>0</v>
      </c>
      <c r="U113" s="175">
        <f t="shared" si="6"/>
        <v>1340664.345</v>
      </c>
      <c r="V113" s="175">
        <f>U113*(1+GROWTH_RATE_L)*(1-'Pre-Calculation'!$E$31)</f>
        <v>1342813.381</v>
      </c>
      <c r="W113" s="175">
        <f>-E113+IF(A112=INPUT!$C$11*12,V113,0)</f>
        <v>0</v>
      </c>
      <c r="X113" s="179">
        <f t="array" ref="X113">NPV('Pre-Calculation'!$E$20,$E114:E$246)</f>
        <v>0</v>
      </c>
      <c r="Y113" s="171">
        <f>10%*SA</f>
        <v>100000</v>
      </c>
      <c r="Z113" s="179">
        <f t="array" ref="Z113">NPV('Pre-Calculation'!$E$20,Y114:Y123)</f>
        <v>969592.8037</v>
      </c>
    </row>
    <row r="114" ht="15.75" customHeight="1">
      <c r="A114" s="171">
        <f t="shared" si="1"/>
        <v>168</v>
      </c>
      <c r="B114" s="171">
        <f t="shared" si="2"/>
        <v>14</v>
      </c>
      <c r="C114" s="176">
        <f>EDATE(RCD,A113)</f>
        <v>47633</v>
      </c>
      <c r="D114" s="171">
        <f>Age_At_Entry+'Cashflows_4%'!B114-1</f>
        <v>48</v>
      </c>
      <c r="E114" s="175">
        <f>IF(AND(C114&lt;=Last_Prem,MOD(A113,Mode)=0,C114&gt;INPUT!$C$13,A114&lt;=Revival!$C$11),Mod_Prem,0)</f>
        <v>0</v>
      </c>
      <c r="F114" s="177">
        <f>IF(B114&lt;PT+1,E114*VLOOKUP(B114,'Pre-Calculation'!$H$1:$I$31,2,FALSE),0)</f>
        <v>0</v>
      </c>
      <c r="G114" s="177">
        <f>IF(B114&lt;PT+1,VLOOKUP(B114,'Pre-Calculation'!$H$1:$L$32,3,FALSE)+VLOOKUP(B114,'Pre-Calculation'!$H$1:$L$32,4,FALSE)*'Pre-Calculation'!$D$7,0)</f>
        <v>0</v>
      </c>
      <c r="H114" s="175">
        <f>(E114-(F114+G114)*(1+Tax)+N113)</f>
        <v>1318251.956</v>
      </c>
      <c r="I114" s="175">
        <f>IF(B114&lt;PT+1,VLOOKUP(D114,'Pre-Calculation'!$N$3:$P$79,IF(INPUT!$C$4="M",2,3),FALSE)*(J114/1000)*(1/12),0)</f>
        <v>0</v>
      </c>
      <c r="J114" s="175">
        <f t="shared" si="3"/>
        <v>0</v>
      </c>
      <c r="K114" s="175">
        <f>(IF('Pre-Calculation'!$D$17="Type 4 a",MAX(SA,H114,1.05*Q114),IF('Pre-Calculation'!$D$17="Type 4 c",H114,IF('Pre-Calculation'!$D$17="Type 4 d",SA+H114,IF('Pre-Calculation'!$D$17="Type 4 e",MAX(SA,H114),IF('Pre-Calculation'!$D$17="Type 4 f",SA,IF('Pre-Calculation'!$D$17="Type 4 g",1000+H114,IF('Pre-Calculation'!$D$17="Type 4 h",SA+X114,IF('Pre-Calculation'!$D$17="Type 4 i",MAX(H114,Q114),IF('Pre-Calculation'!$D$17="Type 4 k",MAX(H114,1.01*Q114),IF('Pre-Calculation'!$D$17="Type 4 m",MAX(105%*Q114,SA+H114),IF('Pre-Calculation'!$D$17="Type 4 o",MAX(SA,105%*Q114)+X114+Z114,IF('Pre-Calculation'!$D$17="Type 5",0)))))))))))))*IF(AND(A114&lt;Revival!$C$4,C114&gt;=Revival!$D$12),PUP,1)</f>
        <v>1318251.956</v>
      </c>
      <c r="L114" s="175">
        <f>H114-I114*(1+Tax)</f>
        <v>1318251.956</v>
      </c>
      <c r="M114" s="175">
        <f>L114*(1+GROWTH_RATE_L)*(1-FMC*(1+Tax))</f>
        <v>1320812.816</v>
      </c>
      <c r="N114" s="175">
        <f>M114+IF(MOD(A114,B114)=0,VLOOKUP(B114,'Pre-Calculation'!$H$1:$L$31,5,FALSE),0)*IF('Pre-Calculation'!$D$16="% OF FV",M114,IF(OR('Pre-Calculation'!$D$16="% OF AFV(24M)",'Pre-Calculation'!$D$16="% OF AFV(8Q)"),AVERAGE( $M91:$M114),IF('Pre-Calculation'!$D$16="% OF AFV(12M)",AVERAGE($M103:M114),IF('Pre-Calculation'!$D$16="% OF AFV(36M)",AVERAGE($M79:M114)))))</f>
        <v>1320812.816</v>
      </c>
      <c r="O114" s="175">
        <f t="shared" si="4"/>
        <v>1320812.816</v>
      </c>
      <c r="P114" s="175">
        <f>IF('Pre-Calculation'!$D$17="Type 4 a",MAX(SA,N114,1.05*Q114),IF('Pre-Calculation'!$D$17="Type 4 c",N114,IF('Pre-Calculation'!$D$17="Type 4 d",SA+N114,IF('Pre-Calculation'!$D$17="Type 4 e",MAX(SA,N114),IF('Pre-Calculation'!$D$17="Type 4 f",SA,IF('Pre-Calculation'!$D$17="Type 4 g",1000+N114,IF('Pre-Calculation'!$D$17="Type 4 h",SA+X114,IF('Pre-Calculation'!$D$17="Type 4 i",MAX(N114,Q114),IF('Pre-Calculation'!$D$17="Type 4 k",MAX(N114,1.01*Q114),IF('Pre-Calculation'!$D$17="Type 4 m",MAX(105%*Q114,SA+N114),IF('Pre-Calculation'!$D$17="Type 4 o",MAX(SA,105%*Q114)+X114+Z114,IF('Pre-Calculation'!$D$17="Type 5",0))))))))))))</f>
        <v>1320812.816</v>
      </c>
      <c r="Q114" s="175">
        <f t="shared" si="5"/>
        <v>1000000</v>
      </c>
      <c r="R114" s="119">
        <f>L114*(1+GROWTH_RATE)*FMC</f>
        <v>1491.763645</v>
      </c>
      <c r="S114" s="178">
        <f>S113*(1+'Pre-Calculation'!$E$27)</f>
        <v>885883.2796</v>
      </c>
      <c r="T114" s="175">
        <f>-E114+IF(A113=INPUT!$C$11*12,N114,0)</f>
        <v>0</v>
      </c>
      <c r="U114" s="175">
        <f t="shared" si="6"/>
        <v>1342813.381</v>
      </c>
      <c r="V114" s="175">
        <f>U114*(1+GROWTH_RATE_L)*(1-'Pre-Calculation'!$E$31)</f>
        <v>1344965.862</v>
      </c>
      <c r="W114" s="175">
        <f>-E114+IF(A113=INPUT!$C$11*12,V114,0)</f>
        <v>0</v>
      </c>
      <c r="X114" s="179">
        <f t="array" ref="X114">NPV('Pre-Calculation'!$E$20,$E115:E$246)</f>
        <v>0</v>
      </c>
      <c r="Y114" s="171">
        <f>10%*SA</f>
        <v>100000</v>
      </c>
      <c r="Z114" s="179">
        <f t="array" ref="Z114">NPV('Pre-Calculation'!$E$20,Y115:Y124)</f>
        <v>969592.8037</v>
      </c>
    </row>
    <row r="115" ht="15.75" customHeight="1">
      <c r="A115" s="171">
        <f t="shared" si="1"/>
        <v>169</v>
      </c>
      <c r="B115" s="171">
        <f t="shared" si="2"/>
        <v>15</v>
      </c>
      <c r="C115" s="176">
        <f>EDATE(RCD,A114)</f>
        <v>47664</v>
      </c>
      <c r="D115" s="171">
        <f>Age_At_Entry+'Cashflows_4%'!B115-1</f>
        <v>49</v>
      </c>
      <c r="E115" s="175">
        <f>IF(AND(C115&lt;=Last_Prem,MOD(A114,Mode)=0,C115&gt;INPUT!$C$13,A115&lt;=Revival!$C$11),Mod_Prem,0)</f>
        <v>0</v>
      </c>
      <c r="F115" s="177">
        <f>IF(B115&lt;PT+1,E115*VLOOKUP(B115,'Pre-Calculation'!$H$1:$I$31,2,FALSE),0)</f>
        <v>0</v>
      </c>
      <c r="G115" s="177">
        <f>IF(B115&lt;PT+1,VLOOKUP(B115,'Pre-Calculation'!$H$1:$L$32,3,FALSE)+VLOOKUP(B115,'Pre-Calculation'!$H$1:$L$32,4,FALSE)*'Pre-Calculation'!$D$7,0)</f>
        <v>0</v>
      </c>
      <c r="H115" s="175">
        <f>(E115-(F115+G115)*(1+Tax)+N114)</f>
        <v>1320812.816</v>
      </c>
      <c r="I115" s="175">
        <f>IF(B115&lt;PT+1,VLOOKUP(D115,'Pre-Calculation'!$N$3:$P$79,IF(INPUT!$C$4="M",2,3),FALSE)*(J115/1000)*(1/12),0)</f>
        <v>0</v>
      </c>
      <c r="J115" s="175">
        <f t="shared" si="3"/>
        <v>0</v>
      </c>
      <c r="K115" s="175">
        <f>(IF('Pre-Calculation'!$D$17="Type 4 a",MAX(SA,H115,1.05*Q115),IF('Pre-Calculation'!$D$17="Type 4 c",H115,IF('Pre-Calculation'!$D$17="Type 4 d",SA+H115,IF('Pre-Calculation'!$D$17="Type 4 e",MAX(SA,H115),IF('Pre-Calculation'!$D$17="Type 4 f",SA,IF('Pre-Calculation'!$D$17="Type 4 g",1000+H115,IF('Pre-Calculation'!$D$17="Type 4 h",SA+X115,IF('Pre-Calculation'!$D$17="Type 4 i",MAX(H115,Q115),IF('Pre-Calculation'!$D$17="Type 4 k",MAX(H115,1.01*Q115),IF('Pre-Calculation'!$D$17="Type 4 m",MAX(105%*Q115,SA+H115),IF('Pre-Calculation'!$D$17="Type 4 o",MAX(SA,105%*Q115)+X115+Z115,IF('Pre-Calculation'!$D$17="Type 5",0)))))))))))))*IF(AND(A115&lt;Revival!$C$4,C115&gt;=Revival!$D$12),PUP,1)</f>
        <v>1320812.816</v>
      </c>
      <c r="L115" s="175">
        <f>H115-I115*(1+Tax)</f>
        <v>1320812.816</v>
      </c>
      <c r="M115" s="175">
        <f>L115*(1+GROWTH_RATE_L)*(1-FMC*(1+Tax))</f>
        <v>1323378.651</v>
      </c>
      <c r="N115" s="175">
        <f>M115+IF(MOD(A115,B115)=0,VLOOKUP(B115,'Pre-Calculation'!$H$1:$L$31,5,FALSE),0)*IF('Pre-Calculation'!$D$16="% OF FV",M115,IF(OR('Pre-Calculation'!$D$16="% OF AFV(24M)",'Pre-Calculation'!$D$16="% OF AFV(8Q)"),AVERAGE( $M92:$M115),IF('Pre-Calculation'!$D$16="% OF AFV(12M)",AVERAGE($M104:M115),IF('Pre-Calculation'!$D$16="% OF AFV(36M)",AVERAGE($M80:M115)))))</f>
        <v>1323378.651</v>
      </c>
      <c r="O115" s="175">
        <f t="shared" si="4"/>
        <v>1323378.651</v>
      </c>
      <c r="P115" s="175">
        <f>IF('Pre-Calculation'!$D$17="Type 4 a",MAX(SA,N115,1.05*Q115),IF('Pre-Calculation'!$D$17="Type 4 c",N115,IF('Pre-Calculation'!$D$17="Type 4 d",SA+N115,IF('Pre-Calculation'!$D$17="Type 4 e",MAX(SA,N115),IF('Pre-Calculation'!$D$17="Type 4 f",SA,IF('Pre-Calculation'!$D$17="Type 4 g",1000+N115,IF('Pre-Calculation'!$D$17="Type 4 h",SA+X115,IF('Pre-Calculation'!$D$17="Type 4 i",MAX(N115,Q115),IF('Pre-Calculation'!$D$17="Type 4 k",MAX(N115,1.01*Q115),IF('Pre-Calculation'!$D$17="Type 4 m",MAX(105%*Q115,SA+N115),IF('Pre-Calculation'!$D$17="Type 4 o",MAX(SA,105%*Q115)+X115+Z115,IF('Pre-Calculation'!$D$17="Type 5",0))))))))))))</f>
        <v>1323378.651</v>
      </c>
      <c r="Q115" s="175">
        <f t="shared" si="5"/>
        <v>1000000</v>
      </c>
      <c r="R115" s="119">
        <f>L115*(1+GROWTH_RATE)*FMC</f>
        <v>1494.661573</v>
      </c>
      <c r="S115" s="178">
        <f>S114*(1+'Pre-Calculation'!$E$27)</f>
        <v>888426.5608</v>
      </c>
      <c r="T115" s="175">
        <f>-E115+IF(A114=INPUT!$C$11*12,N115,0)</f>
        <v>0</v>
      </c>
      <c r="U115" s="175">
        <f t="shared" si="6"/>
        <v>1344965.862</v>
      </c>
      <c r="V115" s="175">
        <f>U115*(1+GROWTH_RATE_L)*(1-'Pre-Calculation'!$E$31)</f>
        <v>1347121.794</v>
      </c>
      <c r="W115" s="175">
        <f>-E115+IF(A114=INPUT!$C$11*12,V115,0)</f>
        <v>0</v>
      </c>
      <c r="X115" s="179">
        <f t="array" ref="X115">NPV('Pre-Calculation'!$E$20,$E116:E$246)</f>
        <v>0</v>
      </c>
      <c r="Y115" s="171">
        <f>10%*SA</f>
        <v>100000</v>
      </c>
      <c r="Z115" s="179">
        <f t="array" ref="Z115">NPV('Pre-Calculation'!$E$20,Y116:Y125)</f>
        <v>969592.8037</v>
      </c>
    </row>
    <row r="116" ht="15.75" customHeight="1">
      <c r="A116" s="171">
        <f t="shared" si="1"/>
        <v>170</v>
      </c>
      <c r="B116" s="171">
        <f t="shared" si="2"/>
        <v>15</v>
      </c>
      <c r="C116" s="176">
        <f>EDATE(RCD,A115)</f>
        <v>47694</v>
      </c>
      <c r="D116" s="171">
        <f>Age_At_Entry+'Cashflows_4%'!B116-1</f>
        <v>49</v>
      </c>
      <c r="E116" s="175">
        <f>IF(AND(C116&lt;=Last_Prem,MOD(A115,Mode)=0,C116&gt;INPUT!$C$13,A116&lt;=Revival!$C$11),Mod_Prem,0)</f>
        <v>0</v>
      </c>
      <c r="F116" s="177">
        <f>IF(B116&lt;PT+1,E116*VLOOKUP(B116,'Pre-Calculation'!$H$1:$I$31,2,FALSE),0)</f>
        <v>0</v>
      </c>
      <c r="G116" s="177">
        <f>IF(B116&lt;PT+1,VLOOKUP(B116,'Pre-Calculation'!$H$1:$L$32,3,FALSE)+VLOOKUP(B116,'Pre-Calculation'!$H$1:$L$32,4,FALSE)*'Pre-Calculation'!$D$7,0)</f>
        <v>0</v>
      </c>
      <c r="H116" s="175">
        <f>(E116-(F116+G116)*(1+Tax)+N115)</f>
        <v>1323378.651</v>
      </c>
      <c r="I116" s="175">
        <f>IF(B116&lt;PT+1,VLOOKUP(D116,'Pre-Calculation'!$N$3:$P$79,IF(INPUT!$C$4="M",2,3),FALSE)*(J116/1000)*(1/12),0)</f>
        <v>0</v>
      </c>
      <c r="J116" s="175">
        <f t="shared" si="3"/>
        <v>0</v>
      </c>
      <c r="K116" s="175">
        <f>(IF('Pre-Calculation'!$D$17="Type 4 a",MAX(SA,H116,1.05*Q116),IF('Pre-Calculation'!$D$17="Type 4 c",H116,IF('Pre-Calculation'!$D$17="Type 4 d",SA+H116,IF('Pre-Calculation'!$D$17="Type 4 e",MAX(SA,H116),IF('Pre-Calculation'!$D$17="Type 4 f",SA,IF('Pre-Calculation'!$D$17="Type 4 g",1000+H116,IF('Pre-Calculation'!$D$17="Type 4 h",SA+X116,IF('Pre-Calculation'!$D$17="Type 4 i",MAX(H116,Q116),IF('Pre-Calculation'!$D$17="Type 4 k",MAX(H116,1.01*Q116),IF('Pre-Calculation'!$D$17="Type 4 m",MAX(105%*Q116,SA+H116),IF('Pre-Calculation'!$D$17="Type 4 o",MAX(SA,105%*Q116)+X116+Z116,IF('Pre-Calculation'!$D$17="Type 5",0)))))))))))))*IF(AND(A116&lt;Revival!$C$4,C116&gt;=Revival!$D$12),PUP,1)</f>
        <v>1323378.651</v>
      </c>
      <c r="L116" s="175">
        <f>H116-I116*(1+Tax)</f>
        <v>1323378.651</v>
      </c>
      <c r="M116" s="175">
        <f>L116*(1+GROWTH_RATE_L)*(1-FMC*(1+Tax))</f>
        <v>1325949.47</v>
      </c>
      <c r="N116" s="175">
        <f>M116+IF(MOD(A116,B116)=0,VLOOKUP(B116,'Pre-Calculation'!$H$1:$L$31,5,FALSE),0)*IF('Pre-Calculation'!$D$16="% OF FV",M116,IF(OR('Pre-Calculation'!$D$16="% OF AFV(24M)",'Pre-Calculation'!$D$16="% OF AFV(8Q)"),AVERAGE( $M93:$M116),IF('Pre-Calculation'!$D$16="% OF AFV(12M)",AVERAGE($M105:M116),IF('Pre-Calculation'!$D$16="% OF AFV(36M)",AVERAGE($M81:M116)))))</f>
        <v>1325949.47</v>
      </c>
      <c r="O116" s="175">
        <f t="shared" si="4"/>
        <v>1325949.47</v>
      </c>
      <c r="P116" s="175">
        <f>IF('Pre-Calculation'!$D$17="Type 4 a",MAX(SA,N116,1.05*Q116),IF('Pre-Calculation'!$D$17="Type 4 c",N116,IF('Pre-Calculation'!$D$17="Type 4 d",SA+N116,IF('Pre-Calculation'!$D$17="Type 4 e",MAX(SA,N116),IF('Pre-Calculation'!$D$17="Type 4 f",SA,IF('Pre-Calculation'!$D$17="Type 4 g",1000+N116,IF('Pre-Calculation'!$D$17="Type 4 h",SA+X116,IF('Pre-Calculation'!$D$17="Type 4 i",MAX(N116,Q116),IF('Pre-Calculation'!$D$17="Type 4 k",MAX(N116,1.01*Q116),IF('Pre-Calculation'!$D$17="Type 4 m",MAX(105%*Q116,SA+N116),IF('Pre-Calculation'!$D$17="Type 4 o",MAX(SA,105%*Q116)+X116+Z116,IF('Pre-Calculation'!$D$17="Type 5",0))))))))))))</f>
        <v>1325949.47</v>
      </c>
      <c r="Q116" s="175">
        <f t="shared" si="5"/>
        <v>1000000</v>
      </c>
      <c r="R116" s="119">
        <f>L116*(1+GROWTH_RATE)*FMC</f>
        <v>1497.565129</v>
      </c>
      <c r="S116" s="178">
        <f>S115*(1+'Pre-Calculation'!$E$27)</f>
        <v>890977.1435</v>
      </c>
      <c r="T116" s="175">
        <f>-E116+IF(A115=INPUT!$C$11*12,N116,0)</f>
        <v>0</v>
      </c>
      <c r="U116" s="175">
        <f t="shared" si="6"/>
        <v>1347121.794</v>
      </c>
      <c r="V116" s="175">
        <f>U116*(1+GROWTH_RATE_L)*(1-'Pre-Calculation'!$E$31)</f>
        <v>1349281.181</v>
      </c>
      <c r="W116" s="175">
        <f>-E116+IF(A115=INPUT!$C$11*12,V116,0)</f>
        <v>0</v>
      </c>
      <c r="X116" s="179">
        <f t="array" ref="X116">NPV('Pre-Calculation'!$E$20,$E117:E$246)</f>
        <v>0</v>
      </c>
      <c r="Y116" s="171">
        <f>10%*SA</f>
        <v>100000</v>
      </c>
      <c r="Z116" s="179">
        <f t="array" ref="Z116">NPV('Pre-Calculation'!$E$20,Y117:Y126)</f>
        <v>969592.8037</v>
      </c>
    </row>
    <row r="117" ht="15.75" customHeight="1">
      <c r="A117" s="171">
        <f t="shared" si="1"/>
        <v>171</v>
      </c>
      <c r="B117" s="171">
        <f t="shared" si="2"/>
        <v>15</v>
      </c>
      <c r="C117" s="176">
        <f>EDATE(RCD,A116)</f>
        <v>47725</v>
      </c>
      <c r="D117" s="171">
        <f>Age_At_Entry+'Cashflows_4%'!B117-1</f>
        <v>49</v>
      </c>
      <c r="E117" s="175">
        <f>IF(AND(C117&lt;=Last_Prem,MOD(A116,Mode)=0,C117&gt;INPUT!$C$13,A117&lt;=Revival!$C$11),Mod_Prem,0)</f>
        <v>0</v>
      </c>
      <c r="F117" s="177">
        <f>IF(B117&lt;PT+1,E117*VLOOKUP(B117,'Pre-Calculation'!$H$1:$I$31,2,FALSE),0)</f>
        <v>0</v>
      </c>
      <c r="G117" s="177">
        <f>IF(B117&lt;PT+1,VLOOKUP(B117,'Pre-Calculation'!$H$1:$L$32,3,FALSE)+VLOOKUP(B117,'Pre-Calculation'!$H$1:$L$32,4,FALSE)*'Pre-Calculation'!$D$7,0)</f>
        <v>0</v>
      </c>
      <c r="H117" s="175">
        <f>(E117-(F117+G117)*(1+Tax)+N116)</f>
        <v>1325949.47</v>
      </c>
      <c r="I117" s="175">
        <f>IF(B117&lt;PT+1,VLOOKUP(D117,'Pre-Calculation'!$N$3:$P$79,IF(INPUT!$C$4="M",2,3),FALSE)*(J117/1000)*(1/12),0)</f>
        <v>0</v>
      </c>
      <c r="J117" s="175">
        <f t="shared" si="3"/>
        <v>0</v>
      </c>
      <c r="K117" s="175">
        <f>(IF('Pre-Calculation'!$D$17="Type 4 a",MAX(SA,H117,1.05*Q117),IF('Pre-Calculation'!$D$17="Type 4 c",H117,IF('Pre-Calculation'!$D$17="Type 4 d",SA+H117,IF('Pre-Calculation'!$D$17="Type 4 e",MAX(SA,H117),IF('Pre-Calculation'!$D$17="Type 4 f",SA,IF('Pre-Calculation'!$D$17="Type 4 g",1000+H117,IF('Pre-Calculation'!$D$17="Type 4 h",SA+X117,IF('Pre-Calculation'!$D$17="Type 4 i",MAX(H117,Q117),IF('Pre-Calculation'!$D$17="Type 4 k",MAX(H117,1.01*Q117),IF('Pre-Calculation'!$D$17="Type 4 m",MAX(105%*Q117,SA+H117),IF('Pre-Calculation'!$D$17="Type 4 o",MAX(SA,105%*Q117)+X117+Z117,IF('Pre-Calculation'!$D$17="Type 5",0)))))))))))))*IF(AND(A117&lt;Revival!$C$4,C117&gt;=Revival!$D$12),PUP,1)</f>
        <v>1325949.47</v>
      </c>
      <c r="L117" s="175">
        <f>H117-I117*(1+Tax)</f>
        <v>1325949.47</v>
      </c>
      <c r="M117" s="175">
        <f>L117*(1+GROWTH_RATE_L)*(1-FMC*(1+Tax))</f>
        <v>1328525.284</v>
      </c>
      <c r="N117" s="175">
        <f>M117+IF(MOD(A117,B117)=0,VLOOKUP(B117,'Pre-Calculation'!$H$1:$L$31,5,FALSE),0)*IF('Pre-Calculation'!$D$16="% OF FV",M117,IF(OR('Pre-Calculation'!$D$16="% OF AFV(24M)",'Pre-Calculation'!$D$16="% OF AFV(8Q)"),AVERAGE( $M94:$M117),IF('Pre-Calculation'!$D$16="% OF AFV(12M)",AVERAGE($M106:M117),IF('Pre-Calculation'!$D$16="% OF AFV(36M)",AVERAGE($M82:M117)))))</f>
        <v>1328525.284</v>
      </c>
      <c r="O117" s="175">
        <f t="shared" si="4"/>
        <v>1328525.284</v>
      </c>
      <c r="P117" s="175">
        <f>IF('Pre-Calculation'!$D$17="Type 4 a",MAX(SA,N117,1.05*Q117),IF('Pre-Calculation'!$D$17="Type 4 c",N117,IF('Pre-Calculation'!$D$17="Type 4 d",SA+N117,IF('Pre-Calculation'!$D$17="Type 4 e",MAX(SA,N117),IF('Pre-Calculation'!$D$17="Type 4 f",SA,IF('Pre-Calculation'!$D$17="Type 4 g",1000+N117,IF('Pre-Calculation'!$D$17="Type 4 h",SA+X117,IF('Pre-Calculation'!$D$17="Type 4 i",MAX(N117,Q117),IF('Pre-Calculation'!$D$17="Type 4 k",MAX(N117,1.01*Q117),IF('Pre-Calculation'!$D$17="Type 4 m",MAX(105%*Q117,SA+N117),IF('Pre-Calculation'!$D$17="Type 4 o",MAX(SA,105%*Q117)+X117+Z117,IF('Pre-Calculation'!$D$17="Type 5",0))))))))))))</f>
        <v>1328525.284</v>
      </c>
      <c r="Q117" s="175">
        <f t="shared" si="5"/>
        <v>1000000</v>
      </c>
      <c r="R117" s="119">
        <f>L117*(1+GROWTH_RATE)*FMC</f>
        <v>1500.474327</v>
      </c>
      <c r="S117" s="178">
        <f>S116*(1+'Pre-Calculation'!$E$27)</f>
        <v>893535.0486</v>
      </c>
      <c r="T117" s="175">
        <f>-E117+IF(A116=INPUT!$C$11*12,N117,0)</f>
        <v>0</v>
      </c>
      <c r="U117" s="175">
        <f t="shared" si="6"/>
        <v>1349281.181</v>
      </c>
      <c r="V117" s="175">
        <f>U117*(1+GROWTH_RATE_L)*(1-'Pre-Calculation'!$E$31)</f>
        <v>1351444.03</v>
      </c>
      <c r="W117" s="175">
        <f>-E117+IF(A116=INPUT!$C$11*12,V117,0)</f>
        <v>0</v>
      </c>
      <c r="X117" s="179">
        <f t="array" ref="X117">NPV('Pre-Calculation'!$E$20,$E118:E$246)</f>
        <v>0</v>
      </c>
      <c r="Y117" s="171">
        <f>10%*SA</f>
        <v>100000</v>
      </c>
      <c r="Z117" s="179">
        <f t="array" ref="Z117">NPV('Pre-Calculation'!$E$20,Y118:Y127)</f>
        <v>969592.8037</v>
      </c>
    </row>
    <row r="118" ht="15.75" customHeight="1">
      <c r="A118" s="171">
        <f t="shared" si="1"/>
        <v>172</v>
      </c>
      <c r="B118" s="171">
        <f t="shared" si="2"/>
        <v>15</v>
      </c>
      <c r="C118" s="176">
        <f>EDATE(RCD,A117)</f>
        <v>47756</v>
      </c>
      <c r="D118" s="171">
        <f>Age_At_Entry+'Cashflows_4%'!B118-1</f>
        <v>49</v>
      </c>
      <c r="E118" s="175">
        <f>IF(AND(C118&lt;=Last_Prem,MOD(A117,Mode)=0,C118&gt;INPUT!$C$13,A118&lt;=Revival!$C$11),Mod_Prem,0)</f>
        <v>0</v>
      </c>
      <c r="F118" s="177">
        <f>IF(B118&lt;PT+1,E118*VLOOKUP(B118,'Pre-Calculation'!$H$1:$I$31,2,FALSE),0)</f>
        <v>0</v>
      </c>
      <c r="G118" s="177">
        <f>IF(B118&lt;PT+1,VLOOKUP(B118,'Pre-Calculation'!$H$1:$L$32,3,FALSE)+VLOOKUP(B118,'Pre-Calculation'!$H$1:$L$32,4,FALSE)*'Pre-Calculation'!$D$7,0)</f>
        <v>0</v>
      </c>
      <c r="H118" s="175">
        <f>(E118-(F118+G118)*(1+Tax)+N117)</f>
        <v>1328525.284</v>
      </c>
      <c r="I118" s="175">
        <f>IF(B118&lt;PT+1,VLOOKUP(D118,'Pre-Calculation'!$N$3:$P$79,IF(INPUT!$C$4="M",2,3),FALSE)*(J118/1000)*(1/12),0)</f>
        <v>0</v>
      </c>
      <c r="J118" s="175">
        <f t="shared" si="3"/>
        <v>0</v>
      </c>
      <c r="K118" s="175">
        <f>(IF('Pre-Calculation'!$D$17="Type 4 a",MAX(SA,H118,1.05*Q118),IF('Pre-Calculation'!$D$17="Type 4 c",H118,IF('Pre-Calculation'!$D$17="Type 4 d",SA+H118,IF('Pre-Calculation'!$D$17="Type 4 e",MAX(SA,H118),IF('Pre-Calculation'!$D$17="Type 4 f",SA,IF('Pre-Calculation'!$D$17="Type 4 g",1000+H118,IF('Pre-Calculation'!$D$17="Type 4 h",SA+X118,IF('Pre-Calculation'!$D$17="Type 4 i",MAX(H118,Q118),IF('Pre-Calculation'!$D$17="Type 4 k",MAX(H118,1.01*Q118),IF('Pre-Calculation'!$D$17="Type 4 m",MAX(105%*Q118,SA+H118),IF('Pre-Calculation'!$D$17="Type 4 o",MAX(SA,105%*Q118)+X118+Z118,IF('Pre-Calculation'!$D$17="Type 5",0)))))))))))))*IF(AND(A118&lt;Revival!$C$4,C118&gt;=Revival!$D$12),PUP,1)</f>
        <v>1328525.284</v>
      </c>
      <c r="L118" s="175">
        <f>H118-I118*(1+Tax)</f>
        <v>1328525.284</v>
      </c>
      <c r="M118" s="175">
        <f>L118*(1+GROWTH_RATE_L)*(1-FMC*(1+Tax))</f>
        <v>1331106.101</v>
      </c>
      <c r="N118" s="175">
        <f>M118+IF(MOD(A118,B118)=0,VLOOKUP(B118,'Pre-Calculation'!$H$1:$L$31,5,FALSE),0)*IF('Pre-Calculation'!$D$16="% OF FV",M118,IF(OR('Pre-Calculation'!$D$16="% OF AFV(24M)",'Pre-Calculation'!$D$16="% OF AFV(8Q)"),AVERAGE( $M95:$M118),IF('Pre-Calculation'!$D$16="% OF AFV(12M)",AVERAGE($M107:M118),IF('Pre-Calculation'!$D$16="% OF AFV(36M)",AVERAGE($M83:M118)))))</f>
        <v>1331106.101</v>
      </c>
      <c r="O118" s="175">
        <f t="shared" si="4"/>
        <v>1331106.101</v>
      </c>
      <c r="P118" s="175">
        <f>IF('Pre-Calculation'!$D$17="Type 4 a",MAX(SA,N118,1.05*Q118),IF('Pre-Calculation'!$D$17="Type 4 c",N118,IF('Pre-Calculation'!$D$17="Type 4 d",SA+N118,IF('Pre-Calculation'!$D$17="Type 4 e",MAX(SA,N118),IF('Pre-Calculation'!$D$17="Type 4 f",SA,IF('Pre-Calculation'!$D$17="Type 4 g",1000+N118,IF('Pre-Calculation'!$D$17="Type 4 h",SA+X118,IF('Pre-Calculation'!$D$17="Type 4 i",MAX(N118,Q118),IF('Pre-Calculation'!$D$17="Type 4 k",MAX(N118,1.01*Q118),IF('Pre-Calculation'!$D$17="Type 4 m",MAX(105%*Q118,SA+N118),IF('Pre-Calculation'!$D$17="Type 4 o",MAX(SA,105%*Q118)+X118+Z118,IF('Pre-Calculation'!$D$17="Type 5",0))))))))))))</f>
        <v>1331106.101</v>
      </c>
      <c r="Q118" s="175">
        <f t="shared" si="5"/>
        <v>1000000</v>
      </c>
      <c r="R118" s="119">
        <f>L118*(1+GROWTH_RATE)*FMC</f>
        <v>1503.389175</v>
      </c>
      <c r="S118" s="178">
        <f>S117*(1+'Pre-Calculation'!$E$27)</f>
        <v>896100.2972</v>
      </c>
      <c r="T118" s="175">
        <f>-E118+IF(A117=INPUT!$C$11*12,N118,0)</f>
        <v>0</v>
      </c>
      <c r="U118" s="175">
        <f t="shared" si="6"/>
        <v>1351444.03</v>
      </c>
      <c r="V118" s="175">
        <f>U118*(1+GROWTH_RATE_L)*(1-'Pre-Calculation'!$E$31)</f>
        <v>1353610.346</v>
      </c>
      <c r="W118" s="175">
        <f>-E118+IF(A117=INPUT!$C$11*12,V118,0)</f>
        <v>0</v>
      </c>
      <c r="X118" s="179">
        <f t="array" ref="X118">NPV('Pre-Calculation'!$E$20,$E119:E$246)</f>
        <v>0</v>
      </c>
      <c r="Y118" s="171">
        <f>10%*SA</f>
        <v>100000</v>
      </c>
      <c r="Z118" s="179">
        <f t="array" ref="Z118">NPV('Pre-Calculation'!$E$20,Y119:Y128)</f>
        <v>969592.8037</v>
      </c>
    </row>
    <row r="119" ht="15.75" customHeight="1">
      <c r="A119" s="171">
        <f t="shared" si="1"/>
        <v>173</v>
      </c>
      <c r="B119" s="171">
        <f t="shared" si="2"/>
        <v>15</v>
      </c>
      <c r="C119" s="176">
        <f>EDATE(RCD,A118)</f>
        <v>47786</v>
      </c>
      <c r="D119" s="171">
        <f>Age_At_Entry+'Cashflows_4%'!B119-1</f>
        <v>49</v>
      </c>
      <c r="E119" s="175">
        <f>IF(AND(C119&lt;=Last_Prem,MOD(A118,Mode)=0,C119&gt;INPUT!$C$13,A119&lt;=Revival!$C$11),Mod_Prem,0)</f>
        <v>0</v>
      </c>
      <c r="F119" s="177">
        <f>IF(B119&lt;PT+1,E119*VLOOKUP(B119,'Pre-Calculation'!$H$1:$I$31,2,FALSE),0)</f>
        <v>0</v>
      </c>
      <c r="G119" s="177">
        <f>IF(B119&lt;PT+1,VLOOKUP(B119,'Pre-Calculation'!$H$1:$L$32,3,FALSE)+VLOOKUP(B119,'Pre-Calculation'!$H$1:$L$32,4,FALSE)*'Pre-Calculation'!$D$7,0)</f>
        <v>0</v>
      </c>
      <c r="H119" s="175">
        <f>(E119-(F119+G119)*(1+Tax)+N118)</f>
        <v>1331106.101</v>
      </c>
      <c r="I119" s="175">
        <f>IF(B119&lt;PT+1,VLOOKUP(D119,'Pre-Calculation'!$N$3:$P$79,IF(INPUT!$C$4="M",2,3),FALSE)*(J119/1000)*(1/12),0)</f>
        <v>0</v>
      </c>
      <c r="J119" s="175">
        <f t="shared" si="3"/>
        <v>0</v>
      </c>
      <c r="K119" s="175">
        <f>(IF('Pre-Calculation'!$D$17="Type 4 a",MAX(SA,H119,1.05*Q119),IF('Pre-Calculation'!$D$17="Type 4 c",H119,IF('Pre-Calculation'!$D$17="Type 4 d",SA+H119,IF('Pre-Calculation'!$D$17="Type 4 e",MAX(SA,H119),IF('Pre-Calculation'!$D$17="Type 4 f",SA,IF('Pre-Calculation'!$D$17="Type 4 g",1000+H119,IF('Pre-Calculation'!$D$17="Type 4 h",SA+X119,IF('Pre-Calculation'!$D$17="Type 4 i",MAX(H119,Q119),IF('Pre-Calculation'!$D$17="Type 4 k",MAX(H119,1.01*Q119),IF('Pre-Calculation'!$D$17="Type 4 m",MAX(105%*Q119,SA+H119),IF('Pre-Calculation'!$D$17="Type 4 o",MAX(SA,105%*Q119)+X119+Z119,IF('Pre-Calculation'!$D$17="Type 5",0)))))))))))))*IF(AND(A119&lt;Revival!$C$4,C119&gt;=Revival!$D$12),PUP,1)</f>
        <v>1331106.101</v>
      </c>
      <c r="L119" s="175">
        <f>H119-I119*(1+Tax)</f>
        <v>1331106.101</v>
      </c>
      <c r="M119" s="175">
        <f>L119*(1+GROWTH_RATE_L)*(1-FMC*(1+Tax))</f>
        <v>1333691.932</v>
      </c>
      <c r="N119" s="175">
        <f>M119+IF(MOD(A119,B119)=0,VLOOKUP(B119,'Pre-Calculation'!$H$1:$L$31,5,FALSE),0)*IF('Pre-Calculation'!$D$16="% OF FV",M119,IF(OR('Pre-Calculation'!$D$16="% OF AFV(24M)",'Pre-Calculation'!$D$16="% OF AFV(8Q)"),AVERAGE( $M96:$M119),IF('Pre-Calculation'!$D$16="% OF AFV(12M)",AVERAGE($M108:M119),IF('Pre-Calculation'!$D$16="% OF AFV(36M)",AVERAGE($M84:M119)))))</f>
        <v>1333691.932</v>
      </c>
      <c r="O119" s="175">
        <f t="shared" si="4"/>
        <v>1333691.932</v>
      </c>
      <c r="P119" s="175">
        <f>IF('Pre-Calculation'!$D$17="Type 4 a",MAX(SA,N119,1.05*Q119),IF('Pre-Calculation'!$D$17="Type 4 c",N119,IF('Pre-Calculation'!$D$17="Type 4 d",SA+N119,IF('Pre-Calculation'!$D$17="Type 4 e",MAX(SA,N119),IF('Pre-Calculation'!$D$17="Type 4 f",SA,IF('Pre-Calculation'!$D$17="Type 4 g",1000+N119,IF('Pre-Calculation'!$D$17="Type 4 h",SA+X119,IF('Pre-Calculation'!$D$17="Type 4 i",MAX(N119,Q119),IF('Pre-Calculation'!$D$17="Type 4 k",MAX(N119,1.01*Q119),IF('Pre-Calculation'!$D$17="Type 4 m",MAX(105%*Q119,SA+N119),IF('Pre-Calculation'!$D$17="Type 4 o",MAX(SA,105%*Q119)+X119+Z119,IF('Pre-Calculation'!$D$17="Type 5",0))))))))))))</f>
        <v>1333691.932</v>
      </c>
      <c r="Q119" s="175">
        <f t="shared" si="5"/>
        <v>1000000</v>
      </c>
      <c r="R119" s="119">
        <f>L119*(1+GROWTH_RATE)*FMC</f>
        <v>1506.309686</v>
      </c>
      <c r="S119" s="178">
        <f>S118*(1+'Pre-Calculation'!$E$27)</f>
        <v>898672.9104</v>
      </c>
      <c r="T119" s="175">
        <f>-E119+IF(A118=INPUT!$C$11*12,N119,0)</f>
        <v>0</v>
      </c>
      <c r="U119" s="175">
        <f t="shared" si="6"/>
        <v>1353610.346</v>
      </c>
      <c r="V119" s="175">
        <f>U119*(1+GROWTH_RATE_L)*(1-'Pre-Calculation'!$E$31)</f>
        <v>1355780.134</v>
      </c>
      <c r="W119" s="175">
        <f>-E119+IF(A118=INPUT!$C$11*12,V119,0)</f>
        <v>0</v>
      </c>
      <c r="X119" s="179">
        <f t="array" ref="X119">NPV('Pre-Calculation'!$E$20,$E120:E$246)</f>
        <v>0</v>
      </c>
      <c r="Y119" s="171">
        <f>10%*SA</f>
        <v>100000</v>
      </c>
      <c r="Z119" s="179">
        <f t="array" ref="Z119">NPV('Pre-Calculation'!$E$20,Y120:Y129)</f>
        <v>969592.8037</v>
      </c>
    </row>
    <row r="120" ht="15.75" customHeight="1">
      <c r="A120" s="171">
        <f t="shared" si="1"/>
        <v>174</v>
      </c>
      <c r="B120" s="171">
        <f t="shared" si="2"/>
        <v>15</v>
      </c>
      <c r="C120" s="176">
        <f>EDATE(RCD,A119)</f>
        <v>47817</v>
      </c>
      <c r="D120" s="171">
        <f>Age_At_Entry+'Cashflows_4%'!B120-1</f>
        <v>49</v>
      </c>
      <c r="E120" s="175">
        <f>IF(AND(C120&lt;=Last_Prem,MOD(A119,Mode)=0,C120&gt;INPUT!$C$13,A120&lt;=Revival!$C$11),Mod_Prem,0)</f>
        <v>0</v>
      </c>
      <c r="F120" s="177">
        <f>IF(B120&lt;PT+1,E120*VLOOKUP(B120,'Pre-Calculation'!$H$1:$I$31,2,FALSE),0)</f>
        <v>0</v>
      </c>
      <c r="G120" s="177">
        <f>IF(B120&lt;PT+1,VLOOKUP(B120,'Pre-Calculation'!$H$1:$L$32,3,FALSE)+VLOOKUP(B120,'Pre-Calculation'!$H$1:$L$32,4,FALSE)*'Pre-Calculation'!$D$7,0)</f>
        <v>0</v>
      </c>
      <c r="H120" s="175">
        <f>(E120-(F120+G120)*(1+Tax)+N119)</f>
        <v>1333691.932</v>
      </c>
      <c r="I120" s="175">
        <f>IF(B120&lt;PT+1,VLOOKUP(D120,'Pre-Calculation'!$N$3:$P$79,IF(INPUT!$C$4="M",2,3),FALSE)*(J120/1000)*(1/12),0)</f>
        <v>0</v>
      </c>
      <c r="J120" s="175">
        <f t="shared" si="3"/>
        <v>0</v>
      </c>
      <c r="K120" s="175">
        <f>(IF('Pre-Calculation'!$D$17="Type 4 a",MAX(SA,H120,1.05*Q120),IF('Pre-Calculation'!$D$17="Type 4 c",H120,IF('Pre-Calculation'!$D$17="Type 4 d",SA+H120,IF('Pre-Calculation'!$D$17="Type 4 e",MAX(SA,H120),IF('Pre-Calculation'!$D$17="Type 4 f",SA,IF('Pre-Calculation'!$D$17="Type 4 g",1000+H120,IF('Pre-Calculation'!$D$17="Type 4 h",SA+X120,IF('Pre-Calculation'!$D$17="Type 4 i",MAX(H120,Q120),IF('Pre-Calculation'!$D$17="Type 4 k",MAX(H120,1.01*Q120),IF('Pre-Calculation'!$D$17="Type 4 m",MAX(105%*Q120,SA+H120),IF('Pre-Calculation'!$D$17="Type 4 o",MAX(SA,105%*Q120)+X120+Z120,IF('Pre-Calculation'!$D$17="Type 5",0)))))))))))))*IF(AND(A120&lt;Revival!$C$4,C120&gt;=Revival!$D$12),PUP,1)</f>
        <v>1333691.932</v>
      </c>
      <c r="L120" s="175">
        <f>H120-I120*(1+Tax)</f>
        <v>1333691.932</v>
      </c>
      <c r="M120" s="175">
        <f>L120*(1+GROWTH_RATE_L)*(1-FMC*(1+Tax))</f>
        <v>1336282.786</v>
      </c>
      <c r="N120" s="175">
        <f>M120+IF(MOD(A120,B120)=0,VLOOKUP(B120,'Pre-Calculation'!$H$1:$L$31,5,FALSE),0)*IF('Pre-Calculation'!$D$16="% OF FV",M120,IF(OR('Pre-Calculation'!$D$16="% OF AFV(24M)",'Pre-Calculation'!$D$16="% OF AFV(8Q)"),AVERAGE( $M97:$M120),IF('Pre-Calculation'!$D$16="% OF AFV(12M)",AVERAGE($M109:M120),IF('Pre-Calculation'!$D$16="% OF AFV(36M)",AVERAGE($M85:M120)))))</f>
        <v>1336282.786</v>
      </c>
      <c r="O120" s="175">
        <f t="shared" si="4"/>
        <v>1336282.786</v>
      </c>
      <c r="P120" s="175">
        <f>IF('Pre-Calculation'!$D$17="Type 4 a",MAX(SA,N120,1.05*Q120),IF('Pre-Calculation'!$D$17="Type 4 c",N120,IF('Pre-Calculation'!$D$17="Type 4 d",SA+N120,IF('Pre-Calculation'!$D$17="Type 4 e",MAX(SA,N120),IF('Pre-Calculation'!$D$17="Type 4 f",SA,IF('Pre-Calculation'!$D$17="Type 4 g",1000+N120,IF('Pre-Calculation'!$D$17="Type 4 h",SA+X120,IF('Pre-Calculation'!$D$17="Type 4 i",MAX(N120,Q120),IF('Pre-Calculation'!$D$17="Type 4 k",MAX(N120,1.01*Q120),IF('Pre-Calculation'!$D$17="Type 4 m",MAX(105%*Q120,SA+N120),IF('Pre-Calculation'!$D$17="Type 4 o",MAX(SA,105%*Q120)+X120+Z120,IF('Pre-Calculation'!$D$17="Type 5",0))))))))))))</f>
        <v>1336282.786</v>
      </c>
      <c r="Q120" s="175">
        <f t="shared" si="5"/>
        <v>1000000</v>
      </c>
      <c r="R120" s="119">
        <f>L120*(1+GROWTH_RATE)*FMC</f>
        <v>1509.235871</v>
      </c>
      <c r="S120" s="178">
        <f>S119*(1+'Pre-Calculation'!$E$27)</f>
        <v>901252.9093</v>
      </c>
      <c r="T120" s="175">
        <f>-E120+IF(A119=INPUT!$C$11*12,N120,0)</f>
        <v>0</v>
      </c>
      <c r="U120" s="175">
        <f t="shared" si="6"/>
        <v>1355780.134</v>
      </c>
      <c r="V120" s="175">
        <f>U120*(1+GROWTH_RATE_L)*(1-'Pre-Calculation'!$E$31)</f>
        <v>1357953.401</v>
      </c>
      <c r="W120" s="175">
        <f>-E120+IF(A119=INPUT!$C$11*12,V120,0)</f>
        <v>0</v>
      </c>
      <c r="X120" s="179">
        <f t="array" ref="X120">NPV('Pre-Calculation'!$E$20,$E121:E$246)</f>
        <v>0</v>
      </c>
      <c r="Y120" s="171">
        <f>10%*SA</f>
        <v>100000</v>
      </c>
      <c r="Z120" s="179">
        <f t="array" ref="Z120">NPV('Pre-Calculation'!$E$20,Y121:Y130)</f>
        <v>969592.8037</v>
      </c>
    </row>
    <row r="121" ht="15.75" customHeight="1">
      <c r="A121" s="171">
        <f t="shared" si="1"/>
        <v>175</v>
      </c>
      <c r="B121" s="171">
        <f t="shared" si="2"/>
        <v>15</v>
      </c>
      <c r="C121" s="176">
        <f>EDATE(RCD,A120)</f>
        <v>47847</v>
      </c>
      <c r="D121" s="171">
        <f>Age_At_Entry+'Cashflows_4%'!B121-1</f>
        <v>49</v>
      </c>
      <c r="E121" s="175">
        <f>IF(AND(C121&lt;=Last_Prem,MOD(A120,Mode)=0,C121&gt;INPUT!$C$13,A121&lt;=Revival!$C$11),Mod_Prem,0)</f>
        <v>0</v>
      </c>
      <c r="F121" s="177">
        <f>IF(B121&lt;PT+1,E121*VLOOKUP(B121,'Pre-Calculation'!$H$1:$I$31,2,FALSE),0)</f>
        <v>0</v>
      </c>
      <c r="G121" s="177">
        <f>IF(B121&lt;PT+1,VLOOKUP(B121,'Pre-Calculation'!$H$1:$L$32,3,FALSE)+VLOOKUP(B121,'Pre-Calculation'!$H$1:$L$32,4,FALSE)*'Pre-Calculation'!$D$7,0)</f>
        <v>0</v>
      </c>
      <c r="H121" s="175">
        <f>(E121-(F121+G121)*(1+Tax)+N120)</f>
        <v>1336282.786</v>
      </c>
      <c r="I121" s="175">
        <f>IF(B121&lt;PT+1,VLOOKUP(D121,'Pre-Calculation'!$N$3:$P$79,IF(INPUT!$C$4="M",2,3),FALSE)*(J121/1000)*(1/12),0)</f>
        <v>0</v>
      </c>
      <c r="J121" s="175">
        <f t="shared" si="3"/>
        <v>0</v>
      </c>
      <c r="K121" s="175">
        <f>(IF('Pre-Calculation'!$D$17="Type 4 a",MAX(SA,H121,1.05*Q121),IF('Pre-Calculation'!$D$17="Type 4 c",H121,IF('Pre-Calculation'!$D$17="Type 4 d",SA+H121,IF('Pre-Calculation'!$D$17="Type 4 e",MAX(SA,H121),IF('Pre-Calculation'!$D$17="Type 4 f",SA,IF('Pre-Calculation'!$D$17="Type 4 g",1000+H121,IF('Pre-Calculation'!$D$17="Type 4 h",SA+X121,IF('Pre-Calculation'!$D$17="Type 4 i",MAX(H121,Q121),IF('Pre-Calculation'!$D$17="Type 4 k",MAX(H121,1.01*Q121),IF('Pre-Calculation'!$D$17="Type 4 m",MAX(105%*Q121,SA+H121),IF('Pre-Calculation'!$D$17="Type 4 o",MAX(SA,105%*Q121)+X121+Z121,IF('Pre-Calculation'!$D$17="Type 5",0)))))))))))))*IF(AND(A121&lt;Revival!$C$4,C121&gt;=Revival!$D$12),PUP,1)</f>
        <v>1336282.786</v>
      </c>
      <c r="L121" s="175">
        <f>H121-I121*(1+Tax)</f>
        <v>1336282.786</v>
      </c>
      <c r="M121" s="175">
        <f>L121*(1+GROWTH_RATE_L)*(1-FMC*(1+Tax))</f>
        <v>1338878.674</v>
      </c>
      <c r="N121" s="175">
        <f>M121+IF(MOD(A121,B121)=0,VLOOKUP(B121,'Pre-Calculation'!$H$1:$L$31,5,FALSE),0)*IF('Pre-Calculation'!$D$16="% OF FV",M121,IF(OR('Pre-Calculation'!$D$16="% OF AFV(24M)",'Pre-Calculation'!$D$16="% OF AFV(8Q)"),AVERAGE( $M98:$M121),IF('Pre-Calculation'!$D$16="% OF AFV(12M)",AVERAGE($M110:M121),IF('Pre-Calculation'!$D$16="% OF AFV(36M)",AVERAGE($M86:M121)))))</f>
        <v>1338878.674</v>
      </c>
      <c r="O121" s="175">
        <f t="shared" si="4"/>
        <v>1338878.674</v>
      </c>
      <c r="P121" s="175">
        <f>IF('Pre-Calculation'!$D$17="Type 4 a",MAX(SA,N121,1.05*Q121),IF('Pre-Calculation'!$D$17="Type 4 c",N121,IF('Pre-Calculation'!$D$17="Type 4 d",SA+N121,IF('Pre-Calculation'!$D$17="Type 4 e",MAX(SA,N121),IF('Pre-Calculation'!$D$17="Type 4 f",SA,IF('Pre-Calculation'!$D$17="Type 4 g",1000+N121,IF('Pre-Calculation'!$D$17="Type 4 h",SA+X121,IF('Pre-Calculation'!$D$17="Type 4 i",MAX(N121,Q121),IF('Pre-Calculation'!$D$17="Type 4 k",MAX(N121,1.01*Q121),IF('Pre-Calculation'!$D$17="Type 4 m",MAX(105%*Q121,SA+N121),IF('Pre-Calculation'!$D$17="Type 4 o",MAX(SA,105%*Q121)+X121+Z121,IF('Pre-Calculation'!$D$17="Type 5",0))))))))))))</f>
        <v>1338878.674</v>
      </c>
      <c r="Q121" s="175">
        <f t="shared" si="5"/>
        <v>1000000</v>
      </c>
      <c r="R121" s="119">
        <f>L121*(1+GROWTH_RATE)*FMC</f>
        <v>1512.16774</v>
      </c>
      <c r="S121" s="178">
        <f>S120*(1+'Pre-Calculation'!$E$27)</f>
        <v>903840.3152</v>
      </c>
      <c r="T121" s="175">
        <f>-E121+IF(A120=INPUT!$C$11*12,N121,0)</f>
        <v>0</v>
      </c>
      <c r="U121" s="175">
        <f t="shared" si="6"/>
        <v>1357953.401</v>
      </c>
      <c r="V121" s="175">
        <f>U121*(1+GROWTH_RATE_L)*(1-'Pre-Calculation'!$E$31)</f>
        <v>1360130.151</v>
      </c>
      <c r="W121" s="175">
        <f>-E121+IF(A120=INPUT!$C$11*12,V121,0)</f>
        <v>0</v>
      </c>
      <c r="X121" s="179">
        <f t="array" ref="X121">NPV('Pre-Calculation'!$E$20,$E122:E$246)</f>
        <v>0</v>
      </c>
      <c r="Y121" s="171">
        <f>10%*SA</f>
        <v>100000</v>
      </c>
      <c r="Z121" s="179">
        <f t="array" ref="Z121">NPV('Pre-Calculation'!$E$20,Y122:Y131)</f>
        <v>969592.8037</v>
      </c>
    </row>
    <row r="122" ht="15.75" customHeight="1">
      <c r="A122" s="171">
        <f t="shared" si="1"/>
        <v>176</v>
      </c>
      <c r="B122" s="171">
        <f t="shared" si="2"/>
        <v>15</v>
      </c>
      <c r="C122" s="176">
        <f>EDATE(RCD,A121)</f>
        <v>47878</v>
      </c>
      <c r="D122" s="171">
        <f>Age_At_Entry+'Cashflows_4%'!B122-1</f>
        <v>49</v>
      </c>
      <c r="E122" s="175">
        <f>IF(AND(C122&lt;=Last_Prem,MOD(A121,Mode)=0,C122&gt;INPUT!$C$13,A122&lt;=Revival!$C$11),Mod_Prem,0)</f>
        <v>0</v>
      </c>
      <c r="F122" s="177">
        <f>IF(B122&lt;PT+1,E122*VLOOKUP(B122,'Pre-Calculation'!$H$1:$I$31,2,FALSE),0)</f>
        <v>0</v>
      </c>
      <c r="G122" s="177">
        <f>IF(B122&lt;PT+1,VLOOKUP(B122,'Pre-Calculation'!$H$1:$L$32,3,FALSE)+VLOOKUP(B122,'Pre-Calculation'!$H$1:$L$32,4,FALSE)*'Pre-Calculation'!$D$7,0)</f>
        <v>0</v>
      </c>
      <c r="H122" s="175">
        <f>(E122-(F122+G122)*(1+Tax)+N121)</f>
        <v>1338878.674</v>
      </c>
      <c r="I122" s="175">
        <f>IF(B122&lt;PT+1,VLOOKUP(D122,'Pre-Calculation'!$N$3:$P$79,IF(INPUT!$C$4="M",2,3),FALSE)*(J122/1000)*(1/12),0)</f>
        <v>0</v>
      </c>
      <c r="J122" s="175">
        <f t="shared" si="3"/>
        <v>0</v>
      </c>
      <c r="K122" s="175">
        <f>(IF('Pre-Calculation'!$D$17="Type 4 a",MAX(SA,H122,1.05*Q122),IF('Pre-Calculation'!$D$17="Type 4 c",H122,IF('Pre-Calculation'!$D$17="Type 4 d",SA+H122,IF('Pre-Calculation'!$D$17="Type 4 e",MAX(SA,H122),IF('Pre-Calculation'!$D$17="Type 4 f",SA,IF('Pre-Calculation'!$D$17="Type 4 g",1000+H122,IF('Pre-Calculation'!$D$17="Type 4 h",SA+X122,IF('Pre-Calculation'!$D$17="Type 4 i",MAX(H122,Q122),IF('Pre-Calculation'!$D$17="Type 4 k",MAX(H122,1.01*Q122),IF('Pre-Calculation'!$D$17="Type 4 m",MAX(105%*Q122,SA+H122),IF('Pre-Calculation'!$D$17="Type 4 o",MAX(SA,105%*Q122)+X122+Z122,IF('Pre-Calculation'!$D$17="Type 5",0)))))))))))))*IF(AND(A122&lt;Revival!$C$4,C122&gt;=Revival!$D$12),PUP,1)</f>
        <v>1338878.674</v>
      </c>
      <c r="L122" s="175">
        <f>H122-I122*(1+Tax)</f>
        <v>1338878.674</v>
      </c>
      <c r="M122" s="175">
        <f>L122*(1+GROWTH_RATE_L)*(1-FMC*(1+Tax))</f>
        <v>1341479.604</v>
      </c>
      <c r="N122" s="175">
        <f>M122+IF(MOD(A122,B122)=0,VLOOKUP(B122,'Pre-Calculation'!$H$1:$L$31,5,FALSE),0)*IF('Pre-Calculation'!$D$16="% OF FV",M122,IF(OR('Pre-Calculation'!$D$16="% OF AFV(24M)",'Pre-Calculation'!$D$16="% OF AFV(8Q)"),AVERAGE( $M99:$M122),IF('Pre-Calculation'!$D$16="% OF AFV(12M)",AVERAGE($M111:M122),IF('Pre-Calculation'!$D$16="% OF AFV(36M)",AVERAGE($M87:M122)))))</f>
        <v>1341479.604</v>
      </c>
      <c r="O122" s="175">
        <f t="shared" si="4"/>
        <v>1341479.604</v>
      </c>
      <c r="P122" s="175">
        <f>IF('Pre-Calculation'!$D$17="Type 4 a",MAX(SA,N122,1.05*Q122),IF('Pre-Calculation'!$D$17="Type 4 c",N122,IF('Pre-Calculation'!$D$17="Type 4 d",SA+N122,IF('Pre-Calculation'!$D$17="Type 4 e",MAX(SA,N122),IF('Pre-Calculation'!$D$17="Type 4 f",SA,IF('Pre-Calculation'!$D$17="Type 4 g",1000+N122,IF('Pre-Calculation'!$D$17="Type 4 h",SA+X122,IF('Pre-Calculation'!$D$17="Type 4 i",MAX(N122,Q122),IF('Pre-Calculation'!$D$17="Type 4 k",MAX(N122,1.01*Q122),IF('Pre-Calculation'!$D$17="Type 4 m",MAX(105%*Q122,SA+N122),IF('Pre-Calculation'!$D$17="Type 4 o",MAX(SA,105%*Q122)+X122+Z122,IF('Pre-Calculation'!$D$17="Type 5",0))))))))))))</f>
        <v>1341479.604</v>
      </c>
      <c r="Q122" s="175">
        <f t="shared" si="5"/>
        <v>1000000</v>
      </c>
      <c r="R122" s="119">
        <f>L122*(1+GROWTH_RATE)*FMC</f>
        <v>1515.105305</v>
      </c>
      <c r="S122" s="178">
        <f>S121*(1+'Pre-Calculation'!$E$27)</f>
        <v>906435.1492</v>
      </c>
      <c r="T122" s="175">
        <f>-E122+IF(A121=INPUT!$C$11*12,N122,0)</f>
        <v>0</v>
      </c>
      <c r="U122" s="175">
        <f t="shared" si="6"/>
        <v>1360130.151</v>
      </c>
      <c r="V122" s="175">
        <f>U122*(1+GROWTH_RATE_L)*(1-'Pre-Calculation'!$E$31)</f>
        <v>1362310.391</v>
      </c>
      <c r="W122" s="175">
        <f>-E122+IF(A121=INPUT!$C$11*12,V122,0)</f>
        <v>0</v>
      </c>
      <c r="X122" s="179">
        <f t="array" ref="X122">NPV('Pre-Calculation'!$E$20,$E123:E$246)</f>
        <v>0</v>
      </c>
      <c r="Y122" s="171">
        <f>10%*SA</f>
        <v>100000</v>
      </c>
      <c r="Z122" s="179">
        <f t="array" ref="Z122">NPV('Pre-Calculation'!$E$20,Y123:Y132)</f>
        <v>969592.8037</v>
      </c>
    </row>
    <row r="123" ht="15.75" customHeight="1">
      <c r="A123" s="171">
        <f t="shared" si="1"/>
        <v>177</v>
      </c>
      <c r="B123" s="171">
        <f t="shared" si="2"/>
        <v>15</v>
      </c>
      <c r="C123" s="176">
        <f>EDATE(RCD,A122)</f>
        <v>47907</v>
      </c>
      <c r="D123" s="171">
        <f>Age_At_Entry+'Cashflows_4%'!B123-1</f>
        <v>49</v>
      </c>
      <c r="E123" s="175">
        <f>IF(AND(C123&lt;=Last_Prem,MOD(A122,Mode)=0,C123&gt;INPUT!$C$13,A123&lt;=Revival!$C$11),Mod_Prem,0)</f>
        <v>0</v>
      </c>
      <c r="F123" s="177">
        <f>IF(B123&lt;PT+1,E123*VLOOKUP(B123,'Pre-Calculation'!$H$1:$I$31,2,FALSE),0)</f>
        <v>0</v>
      </c>
      <c r="G123" s="177">
        <f>IF(B123&lt;PT+1,VLOOKUP(B123,'Pre-Calculation'!$H$1:$L$32,3,FALSE)+VLOOKUP(B123,'Pre-Calculation'!$H$1:$L$32,4,FALSE)*'Pre-Calculation'!$D$7,0)</f>
        <v>0</v>
      </c>
      <c r="H123" s="175">
        <f>(E123-(F123+G123)*(1+Tax)+N122)</f>
        <v>1341479.604</v>
      </c>
      <c r="I123" s="175">
        <f>IF(B123&lt;PT+1,VLOOKUP(D123,'Pre-Calculation'!$N$3:$P$79,IF(INPUT!$C$4="M",2,3),FALSE)*(J123/1000)*(1/12),0)</f>
        <v>0</v>
      </c>
      <c r="J123" s="175">
        <f t="shared" si="3"/>
        <v>0</v>
      </c>
      <c r="K123" s="175">
        <f>(IF('Pre-Calculation'!$D$17="Type 4 a",MAX(SA,H123,1.05*Q123),IF('Pre-Calculation'!$D$17="Type 4 c",H123,IF('Pre-Calculation'!$D$17="Type 4 d",SA+H123,IF('Pre-Calculation'!$D$17="Type 4 e",MAX(SA,H123),IF('Pre-Calculation'!$D$17="Type 4 f",SA,IF('Pre-Calculation'!$D$17="Type 4 g",1000+H123,IF('Pre-Calculation'!$D$17="Type 4 h",SA+X123,IF('Pre-Calculation'!$D$17="Type 4 i",MAX(H123,Q123),IF('Pre-Calculation'!$D$17="Type 4 k",MAX(H123,1.01*Q123),IF('Pre-Calculation'!$D$17="Type 4 m",MAX(105%*Q123,SA+H123),IF('Pre-Calculation'!$D$17="Type 4 o",MAX(SA,105%*Q123)+X123+Z123,IF('Pre-Calculation'!$D$17="Type 5",0)))))))))))))*IF(AND(A123&lt;Revival!$C$4,C123&gt;=Revival!$D$12),PUP,1)</f>
        <v>1341479.604</v>
      </c>
      <c r="L123" s="175">
        <f>H123-I123*(1+Tax)</f>
        <v>1341479.604</v>
      </c>
      <c r="M123" s="175">
        <f>L123*(1+GROWTH_RATE_L)*(1-FMC*(1+Tax))</f>
        <v>1344085.586</v>
      </c>
      <c r="N123" s="175">
        <f>M123+IF(MOD(A123,B123)=0,VLOOKUP(B123,'Pre-Calculation'!$H$1:$L$31,5,FALSE),0)*IF('Pre-Calculation'!$D$16="% OF FV",M123,IF(OR('Pre-Calculation'!$D$16="% OF AFV(24M)",'Pre-Calculation'!$D$16="% OF AFV(8Q)"),AVERAGE( $M100:$M123),IF('Pre-Calculation'!$D$16="% OF AFV(12M)",AVERAGE($M112:M123),IF('Pre-Calculation'!$D$16="% OF AFV(36M)",AVERAGE($M88:M123)))))</f>
        <v>1344085.586</v>
      </c>
      <c r="O123" s="175">
        <f t="shared" si="4"/>
        <v>1344085.586</v>
      </c>
      <c r="P123" s="175">
        <f>IF('Pre-Calculation'!$D$17="Type 4 a",MAX(SA,N123,1.05*Q123),IF('Pre-Calculation'!$D$17="Type 4 c",N123,IF('Pre-Calculation'!$D$17="Type 4 d",SA+N123,IF('Pre-Calculation'!$D$17="Type 4 e",MAX(SA,N123),IF('Pre-Calculation'!$D$17="Type 4 f",SA,IF('Pre-Calculation'!$D$17="Type 4 g",1000+N123,IF('Pre-Calculation'!$D$17="Type 4 h",SA+X123,IF('Pre-Calculation'!$D$17="Type 4 i",MAX(N123,Q123),IF('Pre-Calculation'!$D$17="Type 4 k",MAX(N123,1.01*Q123),IF('Pre-Calculation'!$D$17="Type 4 m",MAX(105%*Q123,SA+N123),IF('Pre-Calculation'!$D$17="Type 4 o",MAX(SA,105%*Q123)+X123+Z123,IF('Pre-Calculation'!$D$17="Type 5",0))))))))))))</f>
        <v>1344085.586</v>
      </c>
      <c r="Q123" s="175">
        <f t="shared" si="5"/>
        <v>1000000</v>
      </c>
      <c r="R123" s="119">
        <f>L123*(1+GROWTH_RATE)*FMC</f>
        <v>1518.048576</v>
      </c>
      <c r="S123" s="178">
        <f>S122*(1+'Pre-Calculation'!$E$27)</f>
        <v>909037.4327</v>
      </c>
      <c r="T123" s="175">
        <f>-E123+IF(A122=INPUT!$C$11*12,N123,0)</f>
        <v>0</v>
      </c>
      <c r="U123" s="175">
        <f t="shared" si="6"/>
        <v>1362310.391</v>
      </c>
      <c r="V123" s="175">
        <f>U123*(1+GROWTH_RATE_L)*(1-'Pre-Calculation'!$E$31)</f>
        <v>1364494.125</v>
      </c>
      <c r="W123" s="175">
        <f>-E123+IF(A122=INPUT!$C$11*12,V123,0)</f>
        <v>0</v>
      </c>
      <c r="X123" s="179">
        <f t="array" ref="X123">NPV('Pre-Calculation'!$E$20,$E124:E$246)</f>
        <v>0</v>
      </c>
      <c r="Y123" s="171">
        <f>10%*SA</f>
        <v>100000</v>
      </c>
      <c r="Z123" s="179">
        <f t="array" ref="Z123">NPV('Pre-Calculation'!$E$20,Y124:Y133)</f>
        <v>969592.8037</v>
      </c>
    </row>
    <row r="124" ht="15.75" customHeight="1">
      <c r="A124" s="171">
        <f t="shared" si="1"/>
        <v>178</v>
      </c>
      <c r="B124" s="171">
        <f t="shared" si="2"/>
        <v>15</v>
      </c>
      <c r="C124" s="176">
        <f>EDATE(RCD,A123)</f>
        <v>47937</v>
      </c>
      <c r="D124" s="171">
        <f>Age_At_Entry+'Cashflows_4%'!B124-1</f>
        <v>49</v>
      </c>
      <c r="E124" s="175">
        <f>IF(AND(C124&lt;=Last_Prem,MOD(A123,Mode)=0,C124&gt;INPUT!$C$13,A124&lt;=Revival!$C$11),Mod_Prem,0)</f>
        <v>0</v>
      </c>
      <c r="F124" s="177">
        <f>IF(B124&lt;PT+1,E124*VLOOKUP(B124,'Pre-Calculation'!$H$1:$I$31,2,FALSE),0)</f>
        <v>0</v>
      </c>
      <c r="G124" s="177">
        <f>IF(B124&lt;PT+1,VLOOKUP(B124,'Pre-Calculation'!$H$1:$L$32,3,FALSE)+VLOOKUP(B124,'Pre-Calculation'!$H$1:$L$32,4,FALSE)*'Pre-Calculation'!$D$7,0)</f>
        <v>0</v>
      </c>
      <c r="H124" s="175">
        <f>(E124-(F124+G124)*(1+Tax)+N123)</f>
        <v>1344085.586</v>
      </c>
      <c r="I124" s="175">
        <f>IF(B124&lt;PT+1,VLOOKUP(D124,'Pre-Calculation'!$N$3:$P$79,IF(INPUT!$C$4="M",2,3),FALSE)*(J124/1000)*(1/12),0)</f>
        <v>0</v>
      </c>
      <c r="J124" s="175">
        <f t="shared" si="3"/>
        <v>0</v>
      </c>
      <c r="K124" s="175">
        <f>(IF('Pre-Calculation'!$D$17="Type 4 a",MAX(SA,H124,1.05*Q124),IF('Pre-Calculation'!$D$17="Type 4 c",H124,IF('Pre-Calculation'!$D$17="Type 4 d",SA+H124,IF('Pre-Calculation'!$D$17="Type 4 e",MAX(SA,H124),IF('Pre-Calculation'!$D$17="Type 4 f",SA,IF('Pre-Calculation'!$D$17="Type 4 g",1000+H124,IF('Pre-Calculation'!$D$17="Type 4 h",SA+X124,IF('Pre-Calculation'!$D$17="Type 4 i",MAX(H124,Q124),IF('Pre-Calculation'!$D$17="Type 4 k",MAX(H124,1.01*Q124),IF('Pre-Calculation'!$D$17="Type 4 m",MAX(105%*Q124,SA+H124),IF('Pre-Calculation'!$D$17="Type 4 o",MAX(SA,105%*Q124)+X124+Z124,IF('Pre-Calculation'!$D$17="Type 5",0)))))))))))))*IF(AND(A124&lt;Revival!$C$4,C124&gt;=Revival!$D$12),PUP,1)</f>
        <v>1344085.586</v>
      </c>
      <c r="L124" s="175">
        <f>H124-I124*(1+Tax)</f>
        <v>1344085.586</v>
      </c>
      <c r="M124" s="175">
        <f>L124*(1+GROWTH_RATE_L)*(1-FMC*(1+Tax))</f>
        <v>1346696.631</v>
      </c>
      <c r="N124" s="175">
        <f>M124+IF(MOD(A124,B124)=0,VLOOKUP(B124,'Pre-Calculation'!$H$1:$L$31,5,FALSE),0)*IF('Pre-Calculation'!$D$16="% OF FV",M124,IF(OR('Pre-Calculation'!$D$16="% OF AFV(24M)",'Pre-Calculation'!$D$16="% OF AFV(8Q)"),AVERAGE( $M101:$M124),IF('Pre-Calculation'!$D$16="% OF AFV(12M)",AVERAGE($M113:M124),IF('Pre-Calculation'!$D$16="% OF AFV(36M)",AVERAGE($M89:M124)))))</f>
        <v>1346696.631</v>
      </c>
      <c r="O124" s="175">
        <f t="shared" si="4"/>
        <v>1346696.631</v>
      </c>
      <c r="P124" s="175">
        <f>IF('Pre-Calculation'!$D$17="Type 4 a",MAX(SA,N124,1.05*Q124),IF('Pre-Calculation'!$D$17="Type 4 c",N124,IF('Pre-Calculation'!$D$17="Type 4 d",SA+N124,IF('Pre-Calculation'!$D$17="Type 4 e",MAX(SA,N124),IF('Pre-Calculation'!$D$17="Type 4 f",SA,IF('Pre-Calculation'!$D$17="Type 4 g",1000+N124,IF('Pre-Calculation'!$D$17="Type 4 h",SA+X124,IF('Pre-Calculation'!$D$17="Type 4 i",MAX(N124,Q124),IF('Pre-Calculation'!$D$17="Type 4 k",MAX(N124,1.01*Q124),IF('Pre-Calculation'!$D$17="Type 4 m",MAX(105%*Q124,SA+N124),IF('Pre-Calculation'!$D$17="Type 4 o",MAX(SA,105%*Q124)+X124+Z124,IF('Pre-Calculation'!$D$17="Type 5",0))))))))))))</f>
        <v>1346696.631</v>
      </c>
      <c r="Q124" s="175">
        <f t="shared" si="5"/>
        <v>1000000</v>
      </c>
      <c r="R124" s="119">
        <f>L124*(1+GROWTH_RATE)*FMC</f>
        <v>1520.997564</v>
      </c>
      <c r="S124" s="178">
        <f>S123*(1+'Pre-Calculation'!$E$27)</f>
        <v>911647.1871</v>
      </c>
      <c r="T124" s="175">
        <f>-E124+IF(A123=INPUT!$C$11*12,N124,0)</f>
        <v>0</v>
      </c>
      <c r="U124" s="175">
        <f t="shared" si="6"/>
        <v>1364494.125</v>
      </c>
      <c r="V124" s="175">
        <f>U124*(1+GROWTH_RATE_L)*(1-'Pre-Calculation'!$E$31)</f>
        <v>1366681.359</v>
      </c>
      <c r="W124" s="175">
        <f>-E124+IF(A123=INPUT!$C$11*12,V124,0)</f>
        <v>0</v>
      </c>
      <c r="X124" s="179">
        <f t="array" ref="X124">NPV('Pre-Calculation'!$E$20,$E125:E$246)</f>
        <v>0</v>
      </c>
      <c r="Y124" s="171">
        <f>10%*SA</f>
        <v>100000</v>
      </c>
      <c r="Z124" s="179">
        <f t="array" ref="Z124">NPV('Pre-Calculation'!$E$20,Y125:Y134)</f>
        <v>969592.8037</v>
      </c>
    </row>
    <row r="125" ht="15.75" customHeight="1">
      <c r="A125" s="171">
        <f t="shared" si="1"/>
        <v>179</v>
      </c>
      <c r="B125" s="171">
        <f t="shared" si="2"/>
        <v>15</v>
      </c>
      <c r="C125" s="176">
        <f>EDATE(RCD,A124)</f>
        <v>47968</v>
      </c>
      <c r="D125" s="171">
        <f>Age_At_Entry+'Cashflows_4%'!B125-1</f>
        <v>49</v>
      </c>
      <c r="E125" s="175">
        <f>IF(AND(C125&lt;=Last_Prem,MOD(A124,Mode)=0,C125&gt;INPUT!$C$13,A125&lt;=Revival!$C$11),Mod_Prem,0)</f>
        <v>0</v>
      </c>
      <c r="F125" s="177">
        <f>IF(B125&lt;PT+1,E125*VLOOKUP(B125,'Pre-Calculation'!$H$1:$I$31,2,FALSE),0)</f>
        <v>0</v>
      </c>
      <c r="G125" s="177">
        <f>IF(B125&lt;PT+1,VLOOKUP(B125,'Pre-Calculation'!$H$1:$L$32,3,FALSE)+VLOOKUP(B125,'Pre-Calculation'!$H$1:$L$32,4,FALSE)*'Pre-Calculation'!$D$7,0)</f>
        <v>0</v>
      </c>
      <c r="H125" s="175">
        <f>(E125-(F125+G125)*(1+Tax)+N124)</f>
        <v>1346696.631</v>
      </c>
      <c r="I125" s="175">
        <f>IF(B125&lt;PT+1,VLOOKUP(D125,'Pre-Calculation'!$N$3:$P$79,IF(INPUT!$C$4="M",2,3),FALSE)*(J125/1000)*(1/12),0)</f>
        <v>0</v>
      </c>
      <c r="J125" s="175">
        <f t="shared" si="3"/>
        <v>0</v>
      </c>
      <c r="K125" s="175">
        <f>(IF('Pre-Calculation'!$D$17="Type 4 a",MAX(SA,H125,1.05*Q125),IF('Pre-Calculation'!$D$17="Type 4 c",H125,IF('Pre-Calculation'!$D$17="Type 4 d",SA+H125,IF('Pre-Calculation'!$D$17="Type 4 e",MAX(SA,H125),IF('Pre-Calculation'!$D$17="Type 4 f",SA,IF('Pre-Calculation'!$D$17="Type 4 g",1000+H125,IF('Pre-Calculation'!$D$17="Type 4 h",SA+X125,IF('Pre-Calculation'!$D$17="Type 4 i",MAX(H125,Q125),IF('Pre-Calculation'!$D$17="Type 4 k",MAX(H125,1.01*Q125),IF('Pre-Calculation'!$D$17="Type 4 m",MAX(105%*Q125,SA+H125),IF('Pre-Calculation'!$D$17="Type 4 o",MAX(SA,105%*Q125)+X125+Z125,IF('Pre-Calculation'!$D$17="Type 5",0)))))))))))))*IF(AND(A125&lt;Revival!$C$4,C125&gt;=Revival!$D$12),PUP,1)</f>
        <v>1346696.631</v>
      </c>
      <c r="L125" s="175">
        <f>H125-I125*(1+Tax)</f>
        <v>1346696.631</v>
      </c>
      <c r="M125" s="175">
        <f>L125*(1+GROWTH_RATE_L)*(1-FMC*(1+Tax))</f>
        <v>1349312.749</v>
      </c>
      <c r="N125" s="175">
        <f>M125+IF(MOD(A125,B125)=0,VLOOKUP(B125,'Pre-Calculation'!$H$1:$L$31,5,FALSE),0)*IF('Pre-Calculation'!$D$16="% OF FV",M125,IF(OR('Pre-Calculation'!$D$16="% OF AFV(24M)",'Pre-Calculation'!$D$16="% OF AFV(8Q)"),AVERAGE( $M102:$M125),IF('Pre-Calculation'!$D$16="% OF AFV(12M)",AVERAGE($M114:M125),IF('Pre-Calculation'!$D$16="% OF AFV(36M)",AVERAGE($M90:M125)))))</f>
        <v>1349312.749</v>
      </c>
      <c r="O125" s="175">
        <f t="shared" si="4"/>
        <v>1349312.749</v>
      </c>
      <c r="P125" s="175">
        <f>IF('Pre-Calculation'!$D$17="Type 4 a",MAX(SA,N125,1.05*Q125),IF('Pre-Calculation'!$D$17="Type 4 c",N125,IF('Pre-Calculation'!$D$17="Type 4 d",SA+N125,IF('Pre-Calculation'!$D$17="Type 4 e",MAX(SA,N125),IF('Pre-Calculation'!$D$17="Type 4 f",SA,IF('Pre-Calculation'!$D$17="Type 4 g",1000+N125,IF('Pre-Calculation'!$D$17="Type 4 h",SA+X125,IF('Pre-Calculation'!$D$17="Type 4 i",MAX(N125,Q125),IF('Pre-Calculation'!$D$17="Type 4 k",MAX(N125,1.01*Q125),IF('Pre-Calculation'!$D$17="Type 4 m",MAX(105%*Q125,SA+N125),IF('Pre-Calculation'!$D$17="Type 4 o",MAX(SA,105%*Q125)+X125+Z125,IF('Pre-Calculation'!$D$17="Type 5",0))))))))))))</f>
        <v>1349312.749</v>
      </c>
      <c r="Q125" s="175">
        <f t="shared" si="5"/>
        <v>1000000</v>
      </c>
      <c r="R125" s="119">
        <f>L125*(1+GROWTH_RATE)*FMC</f>
        <v>1523.952282</v>
      </c>
      <c r="S125" s="178">
        <f>S124*(1+'Pre-Calculation'!$E$27)</f>
        <v>914264.4338</v>
      </c>
      <c r="T125" s="175">
        <f>-E125+IF(A124=INPUT!$C$11*12,N125,0)</f>
        <v>0</v>
      </c>
      <c r="U125" s="175">
        <f t="shared" si="6"/>
        <v>1366681.359</v>
      </c>
      <c r="V125" s="175">
        <f>U125*(1+GROWTH_RATE_L)*(1-'Pre-Calculation'!$E$31)</f>
        <v>1368872.1</v>
      </c>
      <c r="W125" s="175">
        <f>-E125+IF(A124=INPUT!$C$11*12,V125,0)</f>
        <v>0</v>
      </c>
      <c r="X125" s="179">
        <f t="array" ref="X125">NPV('Pre-Calculation'!$E$20,$E126:E$246)</f>
        <v>0</v>
      </c>
      <c r="Y125" s="171">
        <f>10%*SA</f>
        <v>100000</v>
      </c>
      <c r="Z125" s="179">
        <f t="array" ref="Z125">NPV('Pre-Calculation'!$E$20,Y126:Y135)</f>
        <v>969592.8037</v>
      </c>
    </row>
    <row r="126" ht="15.75" customHeight="1">
      <c r="A126" s="171">
        <f t="shared" si="1"/>
        <v>180</v>
      </c>
      <c r="B126" s="171">
        <f t="shared" si="2"/>
        <v>15</v>
      </c>
      <c r="C126" s="176">
        <f>EDATE(RCD,A125)</f>
        <v>47998</v>
      </c>
      <c r="D126" s="171">
        <f>Age_At_Entry+'Cashflows_4%'!B126-1</f>
        <v>49</v>
      </c>
      <c r="E126" s="175">
        <f>IF(AND(C126&lt;=Last_Prem,MOD(A125,Mode)=0,C126&gt;INPUT!$C$13,A126&lt;=Revival!$C$11),Mod_Prem,0)</f>
        <v>0</v>
      </c>
      <c r="F126" s="177">
        <f>IF(B126&lt;PT+1,E126*VLOOKUP(B126,'Pre-Calculation'!$H$1:$I$31,2,FALSE),0)</f>
        <v>0</v>
      </c>
      <c r="G126" s="177">
        <f>IF(B126&lt;PT+1,VLOOKUP(B126,'Pre-Calculation'!$H$1:$L$32,3,FALSE)+VLOOKUP(B126,'Pre-Calculation'!$H$1:$L$32,4,FALSE)*'Pre-Calculation'!$D$7,0)</f>
        <v>0</v>
      </c>
      <c r="H126" s="175">
        <f>(E126-(F126+G126)*(1+Tax)+N125)</f>
        <v>1349312.749</v>
      </c>
      <c r="I126" s="175">
        <f>IF(B126&lt;PT+1,VLOOKUP(D126,'Pre-Calculation'!$N$3:$P$79,IF(INPUT!$C$4="M",2,3),FALSE)*(J126/1000)*(1/12),0)</f>
        <v>0</v>
      </c>
      <c r="J126" s="175">
        <f t="shared" si="3"/>
        <v>0</v>
      </c>
      <c r="K126" s="175">
        <f>(IF('Pre-Calculation'!$D$17="Type 4 a",MAX(SA,H126,1.05*Q126),IF('Pre-Calculation'!$D$17="Type 4 c",H126,IF('Pre-Calculation'!$D$17="Type 4 d",SA+H126,IF('Pre-Calculation'!$D$17="Type 4 e",MAX(SA,H126),IF('Pre-Calculation'!$D$17="Type 4 f",SA,IF('Pre-Calculation'!$D$17="Type 4 g",1000+H126,IF('Pre-Calculation'!$D$17="Type 4 h",SA+X126,IF('Pre-Calculation'!$D$17="Type 4 i",MAX(H126,Q126),IF('Pre-Calculation'!$D$17="Type 4 k",MAX(H126,1.01*Q126),IF('Pre-Calculation'!$D$17="Type 4 m",MAX(105%*Q126,SA+H126),IF('Pre-Calculation'!$D$17="Type 4 o",MAX(SA,105%*Q126)+X126+Z126,IF('Pre-Calculation'!$D$17="Type 5",0)))))))))))))*IF(AND(A126&lt;Revival!$C$4,C126&gt;=Revival!$D$12),PUP,1)</f>
        <v>1349312.749</v>
      </c>
      <c r="L126" s="175">
        <f>H126-I126*(1+Tax)</f>
        <v>1349312.749</v>
      </c>
      <c r="M126" s="175">
        <f>L126*(1+GROWTH_RATE_L)*(1-FMC*(1+Tax))</f>
        <v>1351933.948</v>
      </c>
      <c r="N126" s="175">
        <f>M126+IF(MOD(A126,B126)=0,VLOOKUP(B126,'Pre-Calculation'!$H$1:$L$31,5,FALSE),0)*IF('Pre-Calculation'!$D$16="% OF FV",M126,IF(OR('Pre-Calculation'!$D$16="% OF AFV(24M)",'Pre-Calculation'!$D$16="% OF AFV(8Q)"),AVERAGE( $M103:$M126),IF('Pre-Calculation'!$D$16="% OF AFV(12M)",AVERAGE($M115:M126),IF('Pre-Calculation'!$D$16="% OF AFV(36M)",AVERAGE($M91:M126)))))</f>
        <v>1351933.948</v>
      </c>
      <c r="O126" s="175">
        <f t="shared" si="4"/>
        <v>1351933.948</v>
      </c>
      <c r="P126" s="175">
        <f>IF('Pre-Calculation'!$D$17="Type 4 a",MAX(SA,N126,1.05*Q126),IF('Pre-Calculation'!$D$17="Type 4 c",N126,IF('Pre-Calculation'!$D$17="Type 4 d",SA+N126,IF('Pre-Calculation'!$D$17="Type 4 e",MAX(SA,N126),IF('Pre-Calculation'!$D$17="Type 4 f",SA,IF('Pre-Calculation'!$D$17="Type 4 g",1000+N126,IF('Pre-Calculation'!$D$17="Type 4 h",SA+X126,IF('Pre-Calculation'!$D$17="Type 4 i",MAX(N126,Q126),IF('Pre-Calculation'!$D$17="Type 4 k",MAX(N126,1.01*Q126),IF('Pre-Calculation'!$D$17="Type 4 m",MAX(105%*Q126,SA+N126),IF('Pre-Calculation'!$D$17="Type 4 o",MAX(SA,105%*Q126)+X126+Z126,IF('Pre-Calculation'!$D$17="Type 5",0))))))))))))</f>
        <v>1351933.948</v>
      </c>
      <c r="Q126" s="175">
        <f t="shared" si="5"/>
        <v>1000000</v>
      </c>
      <c r="R126" s="119">
        <f>L126*(1+GROWTH_RATE)*FMC</f>
        <v>1526.912739</v>
      </c>
      <c r="S126" s="178">
        <f>S125*(1+'Pre-Calculation'!$E$27)</f>
        <v>916889.1944</v>
      </c>
      <c r="T126" s="175">
        <f>-E126+IF(A125=INPUT!$C$11*12,N126,0)</f>
        <v>0</v>
      </c>
      <c r="U126" s="175">
        <f t="shared" si="6"/>
        <v>1368872.1</v>
      </c>
      <c r="V126" s="175">
        <f>U126*(1+GROWTH_RATE_L)*(1-'Pre-Calculation'!$E$31)</f>
        <v>1371066.353</v>
      </c>
      <c r="W126" s="175">
        <f>-E126+IF(A125=INPUT!$C$11*12,V126,0)</f>
        <v>0</v>
      </c>
      <c r="X126" s="179">
        <f t="array" ref="X126">NPV('Pre-Calculation'!$E$20,$E127:E$246)</f>
        <v>0</v>
      </c>
      <c r="Y126" s="171">
        <f>10%*SA</f>
        <v>100000</v>
      </c>
      <c r="Z126" s="179">
        <f t="array" ref="Z126">NPV('Pre-Calculation'!$E$20,Y127:Y136)</f>
        <v>969592.8037</v>
      </c>
    </row>
    <row r="127" ht="15.75" customHeight="1">
      <c r="A127" s="171">
        <f t="shared" si="1"/>
        <v>181</v>
      </c>
      <c r="B127" s="171">
        <f t="shared" si="2"/>
        <v>16</v>
      </c>
      <c r="C127" s="176">
        <f>EDATE(RCD,A126)</f>
        <v>48029</v>
      </c>
      <c r="D127" s="171">
        <f>Age_At_Entry+'Cashflows_4%'!B127-1</f>
        <v>50</v>
      </c>
      <c r="E127" s="175">
        <f>IF(AND(C127&lt;=Last_Prem,MOD(A126,Mode)=0,C127&gt;INPUT!$C$13,A127&lt;=Revival!$C$11),Mod_Prem,0)</f>
        <v>0</v>
      </c>
      <c r="F127" s="177">
        <f>IF(B127&lt;PT+1,E127*VLOOKUP(B127,'Pre-Calculation'!$H$1:$I$31,2,FALSE),0)</f>
        <v>0</v>
      </c>
      <c r="G127" s="177">
        <f>IF(B127&lt;PT+1,VLOOKUP(B127,'Pre-Calculation'!$H$1:$L$32,3,FALSE)+VLOOKUP(B127,'Pre-Calculation'!$H$1:$L$32,4,FALSE)*'Pre-Calculation'!$D$7,0)</f>
        <v>0</v>
      </c>
      <c r="H127" s="175">
        <f>(E127-(F127+G127)*(1+Tax)+N126)</f>
        <v>1351933.948</v>
      </c>
      <c r="I127" s="175">
        <f>IF(B127&lt;PT+1,VLOOKUP(D127,'Pre-Calculation'!$N$3:$P$79,IF(INPUT!$C$4="M",2,3),FALSE)*(J127/1000)*(1/12),0)</f>
        <v>0</v>
      </c>
      <c r="J127" s="175">
        <f t="shared" si="3"/>
        <v>0</v>
      </c>
      <c r="K127" s="175">
        <f>(IF('Pre-Calculation'!$D$17="Type 4 a",MAX(SA,H127,1.05*Q127),IF('Pre-Calculation'!$D$17="Type 4 c",H127,IF('Pre-Calculation'!$D$17="Type 4 d",SA+H127,IF('Pre-Calculation'!$D$17="Type 4 e",MAX(SA,H127),IF('Pre-Calculation'!$D$17="Type 4 f",SA,IF('Pre-Calculation'!$D$17="Type 4 g",1000+H127,IF('Pre-Calculation'!$D$17="Type 4 h",SA+X127,IF('Pre-Calculation'!$D$17="Type 4 i",MAX(H127,Q127),IF('Pre-Calculation'!$D$17="Type 4 k",MAX(H127,1.01*Q127),IF('Pre-Calculation'!$D$17="Type 4 m",MAX(105%*Q127,SA+H127),IF('Pre-Calculation'!$D$17="Type 4 o",MAX(SA,105%*Q127)+X127+Z127,IF('Pre-Calculation'!$D$17="Type 5",0)))))))))))))*IF(AND(A127&lt;Revival!$C$4,C127&gt;=Revival!$D$12),PUP,1)</f>
        <v>1351933.948</v>
      </c>
      <c r="L127" s="175">
        <f>H127-I127*(1+Tax)</f>
        <v>1351933.948</v>
      </c>
      <c r="M127" s="175">
        <f>L127*(1+GROWTH_RATE_L)*(1-FMC*(1+Tax))</f>
        <v>1354560.24</v>
      </c>
      <c r="N127" s="175">
        <f>M127+IF(MOD(A127,B127)=0,VLOOKUP(B127,'Pre-Calculation'!$H$1:$L$31,5,FALSE),0)*IF('Pre-Calculation'!$D$16="% OF FV",M127,IF(OR('Pre-Calculation'!$D$16="% OF AFV(24M)",'Pre-Calculation'!$D$16="% OF AFV(8Q)"),AVERAGE( $M104:$M127),IF('Pre-Calculation'!$D$16="% OF AFV(12M)",AVERAGE($M116:M127),IF('Pre-Calculation'!$D$16="% OF AFV(36M)",AVERAGE($M92:M127)))))</f>
        <v>1354560.24</v>
      </c>
      <c r="O127" s="175">
        <f t="shared" si="4"/>
        <v>1354560.24</v>
      </c>
      <c r="P127" s="175">
        <f>IF('Pre-Calculation'!$D$17="Type 4 a",MAX(SA,N127,1.05*Q127),IF('Pre-Calculation'!$D$17="Type 4 c",N127,IF('Pre-Calculation'!$D$17="Type 4 d",SA+N127,IF('Pre-Calculation'!$D$17="Type 4 e",MAX(SA,N127),IF('Pre-Calculation'!$D$17="Type 4 f",SA,IF('Pre-Calculation'!$D$17="Type 4 g",1000+N127,IF('Pre-Calculation'!$D$17="Type 4 h",SA+X127,IF('Pre-Calculation'!$D$17="Type 4 i",MAX(N127,Q127),IF('Pre-Calculation'!$D$17="Type 4 k",MAX(N127,1.01*Q127),IF('Pre-Calculation'!$D$17="Type 4 m",MAX(105%*Q127,SA+N127),IF('Pre-Calculation'!$D$17="Type 4 o",MAX(SA,105%*Q127)+X127+Z127,IF('Pre-Calculation'!$D$17="Type 5",0))))))))))))</f>
        <v>1354560.24</v>
      </c>
      <c r="Q127" s="175">
        <f t="shared" si="5"/>
        <v>1000000</v>
      </c>
      <c r="R127" s="119">
        <f>L127*(1+GROWTH_RATE)*FMC</f>
        <v>1529.878948</v>
      </c>
      <c r="S127" s="178">
        <f>S126*(1+'Pre-Calculation'!$E$27)</f>
        <v>919521.4904</v>
      </c>
      <c r="T127" s="175">
        <f>-E127+IF(A126=INPUT!$C$11*12,N127,0)</f>
        <v>0</v>
      </c>
      <c r="U127" s="175">
        <f t="shared" si="6"/>
        <v>1371066.353</v>
      </c>
      <c r="V127" s="175">
        <f>U127*(1+GROWTH_RATE_L)*(1-'Pre-Calculation'!$E$31)</f>
        <v>1373264.122</v>
      </c>
      <c r="W127" s="175">
        <f>-E127+IF(A126=INPUT!$C$11*12,V127,0)</f>
        <v>0</v>
      </c>
      <c r="X127" s="179">
        <f t="array" ref="X127">NPV('Pre-Calculation'!$E$20,$E128:E$246)</f>
        <v>0</v>
      </c>
      <c r="Y127" s="171">
        <f>10%*SA</f>
        <v>100000</v>
      </c>
      <c r="Z127" s="179">
        <f t="array" ref="Z127">NPV('Pre-Calculation'!$E$20,Y128:Y137)</f>
        <v>969592.8037</v>
      </c>
    </row>
    <row r="128" ht="15.75" customHeight="1">
      <c r="A128" s="171">
        <f t="shared" si="1"/>
        <v>182</v>
      </c>
      <c r="B128" s="171">
        <f t="shared" si="2"/>
        <v>16</v>
      </c>
      <c r="C128" s="176">
        <f>EDATE(RCD,A127)</f>
        <v>48059</v>
      </c>
      <c r="D128" s="171">
        <f>Age_At_Entry+'Cashflows_4%'!B128-1</f>
        <v>50</v>
      </c>
      <c r="E128" s="175">
        <f>IF(AND(C128&lt;=Last_Prem,MOD(A127,Mode)=0,C128&gt;INPUT!$C$13,A128&lt;=Revival!$C$11),Mod_Prem,0)</f>
        <v>0</v>
      </c>
      <c r="F128" s="177">
        <f>IF(B128&lt;PT+1,E128*VLOOKUP(B128,'Pre-Calculation'!$H$1:$I$31,2,FALSE),0)</f>
        <v>0</v>
      </c>
      <c r="G128" s="177">
        <f>IF(B128&lt;PT+1,VLOOKUP(B128,'Pre-Calculation'!$H$1:$L$32,3,FALSE)+VLOOKUP(B128,'Pre-Calculation'!$H$1:$L$32,4,FALSE)*'Pre-Calculation'!$D$7,0)</f>
        <v>0</v>
      </c>
      <c r="H128" s="175">
        <f>(E128-(F128+G128)*(1+Tax)+N127)</f>
        <v>1354560.24</v>
      </c>
      <c r="I128" s="175">
        <f>IF(B128&lt;PT+1,VLOOKUP(D128,'Pre-Calculation'!$N$3:$P$79,IF(INPUT!$C$4="M",2,3),FALSE)*(J128/1000)*(1/12),0)</f>
        <v>0</v>
      </c>
      <c r="J128" s="175">
        <f t="shared" si="3"/>
        <v>0</v>
      </c>
      <c r="K128" s="175">
        <f>(IF('Pre-Calculation'!$D$17="Type 4 a",MAX(SA,H128,1.05*Q128),IF('Pre-Calculation'!$D$17="Type 4 c",H128,IF('Pre-Calculation'!$D$17="Type 4 d",SA+H128,IF('Pre-Calculation'!$D$17="Type 4 e",MAX(SA,H128),IF('Pre-Calculation'!$D$17="Type 4 f",SA,IF('Pre-Calculation'!$D$17="Type 4 g",1000+H128,IF('Pre-Calculation'!$D$17="Type 4 h",SA+X128,IF('Pre-Calculation'!$D$17="Type 4 i",MAX(H128,Q128),IF('Pre-Calculation'!$D$17="Type 4 k",MAX(H128,1.01*Q128),IF('Pre-Calculation'!$D$17="Type 4 m",MAX(105%*Q128,SA+H128),IF('Pre-Calculation'!$D$17="Type 4 o",MAX(SA,105%*Q128)+X128+Z128,IF('Pre-Calculation'!$D$17="Type 5",0)))))))))))))*IF(AND(A128&lt;Revival!$C$4,C128&gt;=Revival!$D$12),PUP,1)</f>
        <v>1354560.24</v>
      </c>
      <c r="L128" s="175">
        <f>H128-I128*(1+Tax)</f>
        <v>1354560.24</v>
      </c>
      <c r="M128" s="175">
        <f>L128*(1+GROWTH_RATE_L)*(1-FMC*(1+Tax))</f>
        <v>1357191.633</v>
      </c>
      <c r="N128" s="175">
        <f>M128+IF(MOD(A128,B128)=0,VLOOKUP(B128,'Pre-Calculation'!$H$1:$L$31,5,FALSE),0)*IF('Pre-Calculation'!$D$16="% OF FV",M128,IF(OR('Pre-Calculation'!$D$16="% OF AFV(24M)",'Pre-Calculation'!$D$16="% OF AFV(8Q)"),AVERAGE( $M105:$M128),IF('Pre-Calculation'!$D$16="% OF AFV(12M)",AVERAGE($M117:M128),IF('Pre-Calculation'!$D$16="% OF AFV(36M)",AVERAGE($M93:M128)))))</f>
        <v>1357191.633</v>
      </c>
      <c r="O128" s="175">
        <f t="shared" si="4"/>
        <v>1357191.633</v>
      </c>
      <c r="P128" s="175">
        <f>IF('Pre-Calculation'!$D$17="Type 4 a",MAX(SA,N128,1.05*Q128),IF('Pre-Calculation'!$D$17="Type 4 c",N128,IF('Pre-Calculation'!$D$17="Type 4 d",SA+N128,IF('Pre-Calculation'!$D$17="Type 4 e",MAX(SA,N128),IF('Pre-Calculation'!$D$17="Type 4 f",SA,IF('Pre-Calculation'!$D$17="Type 4 g",1000+N128,IF('Pre-Calculation'!$D$17="Type 4 h",SA+X128,IF('Pre-Calculation'!$D$17="Type 4 i",MAX(N128,Q128),IF('Pre-Calculation'!$D$17="Type 4 k",MAX(N128,1.01*Q128),IF('Pre-Calculation'!$D$17="Type 4 m",MAX(105%*Q128,SA+N128),IF('Pre-Calculation'!$D$17="Type 4 o",MAX(SA,105%*Q128)+X128+Z128,IF('Pre-Calculation'!$D$17="Type 5",0))))))))))))</f>
        <v>1357191.633</v>
      </c>
      <c r="Q128" s="175">
        <f t="shared" si="5"/>
        <v>1000000</v>
      </c>
      <c r="R128" s="119">
        <f>L128*(1+GROWTH_RATE)*FMC</f>
        <v>1532.850918</v>
      </c>
      <c r="S128" s="178">
        <f>S127*(1+'Pre-Calculation'!$E$27)</f>
        <v>922161.3435</v>
      </c>
      <c r="T128" s="175">
        <f>-E128+IF(A127=INPUT!$C$11*12,N128,0)</f>
        <v>0</v>
      </c>
      <c r="U128" s="175">
        <f t="shared" si="6"/>
        <v>1373264.122</v>
      </c>
      <c r="V128" s="175">
        <f>U128*(1+GROWTH_RATE_L)*(1-'Pre-Calculation'!$E$31)</f>
        <v>1375465.415</v>
      </c>
      <c r="W128" s="175">
        <f>-E128+IF(A127=INPUT!$C$11*12,V128,0)</f>
        <v>0</v>
      </c>
      <c r="X128" s="179">
        <f t="array" ref="X128">NPV('Pre-Calculation'!$E$20,$E129:E$246)</f>
        <v>0</v>
      </c>
      <c r="Y128" s="171">
        <f>10%*SA</f>
        <v>100000</v>
      </c>
      <c r="Z128" s="179">
        <f t="array" ref="Z128">NPV('Pre-Calculation'!$E$20,Y129:Y138)</f>
        <v>969592.8037</v>
      </c>
    </row>
    <row r="129" ht="15.75" customHeight="1">
      <c r="A129" s="171">
        <f t="shared" si="1"/>
        <v>183</v>
      </c>
      <c r="B129" s="171">
        <f t="shared" si="2"/>
        <v>16</v>
      </c>
      <c r="C129" s="176">
        <f>EDATE(RCD,A128)</f>
        <v>48090</v>
      </c>
      <c r="D129" s="171">
        <f>Age_At_Entry+'Cashflows_4%'!B129-1</f>
        <v>50</v>
      </c>
      <c r="E129" s="175">
        <f>IF(AND(C129&lt;=Last_Prem,MOD(A128,Mode)=0,C129&gt;INPUT!$C$13,A129&lt;=Revival!$C$11),Mod_Prem,0)</f>
        <v>0</v>
      </c>
      <c r="F129" s="177">
        <f>IF(B129&lt;PT+1,E129*VLOOKUP(B129,'Pre-Calculation'!$H$1:$I$31,2,FALSE),0)</f>
        <v>0</v>
      </c>
      <c r="G129" s="177">
        <f>IF(B129&lt;PT+1,VLOOKUP(B129,'Pre-Calculation'!$H$1:$L$32,3,FALSE)+VLOOKUP(B129,'Pre-Calculation'!$H$1:$L$32,4,FALSE)*'Pre-Calculation'!$D$7,0)</f>
        <v>0</v>
      </c>
      <c r="H129" s="175">
        <f>(E129-(F129+G129)*(1+Tax)+N128)</f>
        <v>1357191.633</v>
      </c>
      <c r="I129" s="175">
        <f>IF(B129&lt;PT+1,VLOOKUP(D129,'Pre-Calculation'!$N$3:$P$79,IF(INPUT!$C$4="M",2,3),FALSE)*(J129/1000)*(1/12),0)</f>
        <v>0</v>
      </c>
      <c r="J129" s="175">
        <f t="shared" si="3"/>
        <v>0</v>
      </c>
      <c r="K129" s="175">
        <f>(IF('Pre-Calculation'!$D$17="Type 4 a",MAX(SA,H129,1.05*Q129),IF('Pre-Calculation'!$D$17="Type 4 c",H129,IF('Pre-Calculation'!$D$17="Type 4 d",SA+H129,IF('Pre-Calculation'!$D$17="Type 4 e",MAX(SA,H129),IF('Pre-Calculation'!$D$17="Type 4 f",SA,IF('Pre-Calculation'!$D$17="Type 4 g",1000+H129,IF('Pre-Calculation'!$D$17="Type 4 h",SA+X129,IF('Pre-Calculation'!$D$17="Type 4 i",MAX(H129,Q129),IF('Pre-Calculation'!$D$17="Type 4 k",MAX(H129,1.01*Q129),IF('Pre-Calculation'!$D$17="Type 4 m",MAX(105%*Q129,SA+H129),IF('Pre-Calculation'!$D$17="Type 4 o",MAX(SA,105%*Q129)+X129+Z129,IF('Pre-Calculation'!$D$17="Type 5",0)))))))))))))*IF(AND(A129&lt;Revival!$C$4,C129&gt;=Revival!$D$12),PUP,1)</f>
        <v>1357191.633</v>
      </c>
      <c r="L129" s="175">
        <f>H129-I129*(1+Tax)</f>
        <v>1357191.633</v>
      </c>
      <c r="M129" s="175">
        <f>L129*(1+GROWTH_RATE_L)*(1-FMC*(1+Tax))</f>
        <v>1359828.138</v>
      </c>
      <c r="N129" s="175">
        <f>M129+IF(MOD(A129,B129)=0,VLOOKUP(B129,'Pre-Calculation'!$H$1:$L$31,5,FALSE),0)*IF('Pre-Calculation'!$D$16="% OF FV",M129,IF(OR('Pre-Calculation'!$D$16="% OF AFV(24M)",'Pre-Calculation'!$D$16="% OF AFV(8Q)"),AVERAGE( $M106:$M129),IF('Pre-Calculation'!$D$16="% OF AFV(12M)",AVERAGE($M118:M129),IF('Pre-Calculation'!$D$16="% OF AFV(36M)",AVERAGE($M94:M129)))))</f>
        <v>1359828.138</v>
      </c>
      <c r="O129" s="175">
        <f t="shared" si="4"/>
        <v>1359828.138</v>
      </c>
      <c r="P129" s="175">
        <f>IF('Pre-Calculation'!$D$17="Type 4 a",MAX(SA,N129,1.05*Q129),IF('Pre-Calculation'!$D$17="Type 4 c",N129,IF('Pre-Calculation'!$D$17="Type 4 d",SA+N129,IF('Pre-Calculation'!$D$17="Type 4 e",MAX(SA,N129),IF('Pre-Calculation'!$D$17="Type 4 f",SA,IF('Pre-Calculation'!$D$17="Type 4 g",1000+N129,IF('Pre-Calculation'!$D$17="Type 4 h",SA+X129,IF('Pre-Calculation'!$D$17="Type 4 i",MAX(N129,Q129),IF('Pre-Calculation'!$D$17="Type 4 k",MAX(N129,1.01*Q129),IF('Pre-Calculation'!$D$17="Type 4 m",MAX(105%*Q129,SA+N129),IF('Pre-Calculation'!$D$17="Type 4 o",MAX(SA,105%*Q129)+X129+Z129,IF('Pre-Calculation'!$D$17="Type 5",0))))))))))))</f>
        <v>1359828.138</v>
      </c>
      <c r="Q129" s="175">
        <f t="shared" si="5"/>
        <v>1000000</v>
      </c>
      <c r="R129" s="119">
        <f>L129*(1+GROWTH_RATE)*FMC</f>
        <v>1535.828662</v>
      </c>
      <c r="S129" s="178">
        <f>S128*(1+'Pre-Calculation'!$E$27)</f>
        <v>924808.7753</v>
      </c>
      <c r="T129" s="175">
        <f>-E129+IF(A128=INPUT!$C$11*12,N129,0)</f>
        <v>0</v>
      </c>
      <c r="U129" s="175">
        <f t="shared" si="6"/>
        <v>1375465.415</v>
      </c>
      <c r="V129" s="175">
        <f>U129*(1+GROWTH_RATE_L)*(1-'Pre-Calculation'!$E$31)</f>
        <v>1377670.236</v>
      </c>
      <c r="W129" s="175">
        <f>-E129+IF(A128=INPUT!$C$11*12,V129,0)</f>
        <v>0</v>
      </c>
      <c r="X129" s="179">
        <f t="array" ref="X129">NPV('Pre-Calculation'!$E$20,$E130:E$246)</f>
        <v>0</v>
      </c>
      <c r="Y129" s="171">
        <f>10%*SA</f>
        <v>100000</v>
      </c>
      <c r="Z129" s="179">
        <f t="array" ref="Z129">NPV('Pre-Calculation'!$E$20,Y130:Y139)</f>
        <v>969592.8037</v>
      </c>
    </row>
    <row r="130" ht="15.75" customHeight="1">
      <c r="A130" s="171">
        <f t="shared" si="1"/>
        <v>184</v>
      </c>
      <c r="B130" s="171">
        <f t="shared" si="2"/>
        <v>16</v>
      </c>
      <c r="C130" s="176">
        <f>EDATE(RCD,A129)</f>
        <v>48121</v>
      </c>
      <c r="D130" s="171">
        <f>Age_At_Entry+'Cashflows_4%'!B130-1</f>
        <v>50</v>
      </c>
      <c r="E130" s="175">
        <f>IF(AND(C130&lt;=Last_Prem,MOD(A129,Mode)=0,C130&gt;INPUT!$C$13,A130&lt;=Revival!$C$11),Mod_Prem,0)</f>
        <v>0</v>
      </c>
      <c r="F130" s="177">
        <f>IF(B130&lt;PT+1,E130*VLOOKUP(B130,'Pre-Calculation'!$H$1:$I$31,2,FALSE),0)</f>
        <v>0</v>
      </c>
      <c r="G130" s="177">
        <f>IF(B130&lt;PT+1,VLOOKUP(B130,'Pre-Calculation'!$H$1:$L$32,3,FALSE)+VLOOKUP(B130,'Pre-Calculation'!$H$1:$L$32,4,FALSE)*'Pre-Calculation'!$D$7,0)</f>
        <v>0</v>
      </c>
      <c r="H130" s="175">
        <f>(E130-(F130+G130)*(1+Tax)+N129)</f>
        <v>1359828.138</v>
      </c>
      <c r="I130" s="175">
        <f>IF(B130&lt;PT+1,VLOOKUP(D130,'Pre-Calculation'!$N$3:$P$79,IF(INPUT!$C$4="M",2,3),FALSE)*(J130/1000)*(1/12),0)</f>
        <v>0</v>
      </c>
      <c r="J130" s="175">
        <f t="shared" si="3"/>
        <v>0</v>
      </c>
      <c r="K130" s="175">
        <f>(IF('Pre-Calculation'!$D$17="Type 4 a",MAX(SA,H130,1.05*Q130),IF('Pre-Calculation'!$D$17="Type 4 c",H130,IF('Pre-Calculation'!$D$17="Type 4 d",SA+H130,IF('Pre-Calculation'!$D$17="Type 4 e",MAX(SA,H130),IF('Pre-Calculation'!$D$17="Type 4 f",SA,IF('Pre-Calculation'!$D$17="Type 4 g",1000+H130,IF('Pre-Calculation'!$D$17="Type 4 h",SA+X130,IF('Pre-Calculation'!$D$17="Type 4 i",MAX(H130,Q130),IF('Pre-Calculation'!$D$17="Type 4 k",MAX(H130,1.01*Q130),IF('Pre-Calculation'!$D$17="Type 4 m",MAX(105%*Q130,SA+H130),IF('Pre-Calculation'!$D$17="Type 4 o",MAX(SA,105%*Q130)+X130+Z130,IF('Pre-Calculation'!$D$17="Type 5",0)))))))))))))*IF(AND(A130&lt;Revival!$C$4,C130&gt;=Revival!$D$12),PUP,1)</f>
        <v>1359828.138</v>
      </c>
      <c r="L130" s="175">
        <f>H130-I130*(1+Tax)</f>
        <v>1359828.138</v>
      </c>
      <c r="M130" s="175">
        <f>L130*(1+GROWTH_RATE_L)*(1-FMC*(1+Tax))</f>
        <v>1362469.765</v>
      </c>
      <c r="N130" s="175">
        <f>M130+IF(MOD(A130,B130)=0,VLOOKUP(B130,'Pre-Calculation'!$H$1:$L$31,5,FALSE),0)*IF('Pre-Calculation'!$D$16="% OF FV",M130,IF(OR('Pre-Calculation'!$D$16="% OF AFV(24M)",'Pre-Calculation'!$D$16="% OF AFV(8Q)"),AVERAGE( $M107:$M130),IF('Pre-Calculation'!$D$16="% OF AFV(12M)",AVERAGE($M119:M130),IF('Pre-Calculation'!$D$16="% OF AFV(36M)",AVERAGE($M95:M130)))))</f>
        <v>1362469.765</v>
      </c>
      <c r="O130" s="175">
        <f t="shared" si="4"/>
        <v>1362469.765</v>
      </c>
      <c r="P130" s="175">
        <f>IF('Pre-Calculation'!$D$17="Type 4 a",MAX(SA,N130,1.05*Q130),IF('Pre-Calculation'!$D$17="Type 4 c",N130,IF('Pre-Calculation'!$D$17="Type 4 d",SA+N130,IF('Pre-Calculation'!$D$17="Type 4 e",MAX(SA,N130),IF('Pre-Calculation'!$D$17="Type 4 f",SA,IF('Pre-Calculation'!$D$17="Type 4 g",1000+N130,IF('Pre-Calculation'!$D$17="Type 4 h",SA+X130,IF('Pre-Calculation'!$D$17="Type 4 i",MAX(N130,Q130),IF('Pre-Calculation'!$D$17="Type 4 k",MAX(N130,1.01*Q130),IF('Pre-Calculation'!$D$17="Type 4 m",MAX(105%*Q130,SA+N130),IF('Pre-Calculation'!$D$17="Type 4 o",MAX(SA,105%*Q130)+X130+Z130,IF('Pre-Calculation'!$D$17="Type 5",0))))))))))))</f>
        <v>1362469.765</v>
      </c>
      <c r="Q130" s="175">
        <f t="shared" si="5"/>
        <v>1000000</v>
      </c>
      <c r="R130" s="119">
        <f>L130*(1+GROWTH_RATE)*FMC</f>
        <v>1538.812191</v>
      </c>
      <c r="S130" s="178">
        <f>S129*(1+'Pre-Calculation'!$E$27)</f>
        <v>927463.8076</v>
      </c>
      <c r="T130" s="175">
        <f>-E130+IF(A129=INPUT!$C$11*12,N130,0)</f>
        <v>0</v>
      </c>
      <c r="U130" s="175">
        <f t="shared" si="6"/>
        <v>1377670.236</v>
      </c>
      <c r="V130" s="175">
        <f>U130*(1+GROWTH_RATE_L)*(1-'Pre-Calculation'!$E$31)</f>
        <v>1379878.592</v>
      </c>
      <c r="W130" s="175">
        <f>-E130+IF(A129=INPUT!$C$11*12,V130,0)</f>
        <v>0</v>
      </c>
      <c r="X130" s="179">
        <f t="array" ref="X130">NPV('Pre-Calculation'!$E$20,$E131:E$246)</f>
        <v>0</v>
      </c>
      <c r="Y130" s="171">
        <f>10%*SA</f>
        <v>100000</v>
      </c>
      <c r="Z130" s="179">
        <f t="array" ref="Z130">NPV('Pre-Calculation'!$E$20,Y131:Y140)</f>
        <v>969592.8037</v>
      </c>
    </row>
    <row r="131" ht="15.75" customHeight="1">
      <c r="A131" s="171">
        <f t="shared" si="1"/>
        <v>185</v>
      </c>
      <c r="B131" s="171">
        <f t="shared" si="2"/>
        <v>16</v>
      </c>
      <c r="C131" s="176">
        <f>EDATE(RCD,A130)</f>
        <v>48151</v>
      </c>
      <c r="D131" s="171">
        <f>Age_At_Entry+'Cashflows_4%'!B131-1</f>
        <v>50</v>
      </c>
      <c r="E131" s="175">
        <f>IF(AND(C131&lt;=Last_Prem,MOD(A130,Mode)=0,C131&gt;INPUT!$C$13,A131&lt;=Revival!$C$11),Mod_Prem,0)</f>
        <v>0</v>
      </c>
      <c r="F131" s="177">
        <f>IF(B131&lt;PT+1,E131*VLOOKUP(B131,'Pre-Calculation'!$H$1:$I$31,2,FALSE),0)</f>
        <v>0</v>
      </c>
      <c r="G131" s="177">
        <f>IF(B131&lt;PT+1,VLOOKUP(B131,'Pre-Calculation'!$H$1:$L$32,3,FALSE)+VLOOKUP(B131,'Pre-Calculation'!$H$1:$L$32,4,FALSE)*'Pre-Calculation'!$D$7,0)</f>
        <v>0</v>
      </c>
      <c r="H131" s="175">
        <f>(E131-(F131+G131)*(1+Tax)+N130)</f>
        <v>1362469.765</v>
      </c>
      <c r="I131" s="175">
        <f>IF(B131&lt;PT+1,VLOOKUP(D131,'Pre-Calculation'!$N$3:$P$79,IF(INPUT!$C$4="M",2,3),FALSE)*(J131/1000)*(1/12),0)</f>
        <v>0</v>
      </c>
      <c r="J131" s="175">
        <f t="shared" si="3"/>
        <v>0</v>
      </c>
      <c r="K131" s="175">
        <f>(IF('Pre-Calculation'!$D$17="Type 4 a",MAX(SA,H131,1.05*Q131),IF('Pre-Calculation'!$D$17="Type 4 c",H131,IF('Pre-Calculation'!$D$17="Type 4 d",SA+H131,IF('Pre-Calculation'!$D$17="Type 4 e",MAX(SA,H131),IF('Pre-Calculation'!$D$17="Type 4 f",SA,IF('Pre-Calculation'!$D$17="Type 4 g",1000+H131,IF('Pre-Calculation'!$D$17="Type 4 h",SA+X131,IF('Pre-Calculation'!$D$17="Type 4 i",MAX(H131,Q131),IF('Pre-Calculation'!$D$17="Type 4 k",MAX(H131,1.01*Q131),IF('Pre-Calculation'!$D$17="Type 4 m",MAX(105%*Q131,SA+H131),IF('Pre-Calculation'!$D$17="Type 4 o",MAX(SA,105%*Q131)+X131+Z131,IF('Pre-Calculation'!$D$17="Type 5",0)))))))))))))*IF(AND(A131&lt;Revival!$C$4,C131&gt;=Revival!$D$12),PUP,1)</f>
        <v>1362469.765</v>
      </c>
      <c r="L131" s="175">
        <f>H131-I131*(1+Tax)</f>
        <v>1362469.765</v>
      </c>
      <c r="M131" s="175">
        <f>L131*(1+GROWTH_RATE_L)*(1-FMC*(1+Tax))</f>
        <v>1365116.524</v>
      </c>
      <c r="N131" s="175">
        <f>M131+IF(MOD(A131,B131)=0,VLOOKUP(B131,'Pre-Calculation'!$H$1:$L$31,5,FALSE),0)*IF('Pre-Calculation'!$D$16="% OF FV",M131,IF(OR('Pre-Calculation'!$D$16="% OF AFV(24M)",'Pre-Calculation'!$D$16="% OF AFV(8Q)"),AVERAGE( $M108:$M131),IF('Pre-Calculation'!$D$16="% OF AFV(12M)",AVERAGE($M120:M131),IF('Pre-Calculation'!$D$16="% OF AFV(36M)",AVERAGE($M96:M131)))))</f>
        <v>1365116.524</v>
      </c>
      <c r="O131" s="175">
        <f t="shared" si="4"/>
        <v>1365116.524</v>
      </c>
      <c r="P131" s="175">
        <f>IF('Pre-Calculation'!$D$17="Type 4 a",MAX(SA,N131,1.05*Q131),IF('Pre-Calculation'!$D$17="Type 4 c",N131,IF('Pre-Calculation'!$D$17="Type 4 d",SA+N131,IF('Pre-Calculation'!$D$17="Type 4 e",MAX(SA,N131),IF('Pre-Calculation'!$D$17="Type 4 f",SA,IF('Pre-Calculation'!$D$17="Type 4 g",1000+N131,IF('Pre-Calculation'!$D$17="Type 4 h",SA+X131,IF('Pre-Calculation'!$D$17="Type 4 i",MAX(N131,Q131),IF('Pre-Calculation'!$D$17="Type 4 k",MAX(N131,1.01*Q131),IF('Pre-Calculation'!$D$17="Type 4 m",MAX(105%*Q131,SA+N131),IF('Pre-Calculation'!$D$17="Type 4 o",MAX(SA,105%*Q131)+X131+Z131,IF('Pre-Calculation'!$D$17="Type 5",0))))))))))))</f>
        <v>1365116.524</v>
      </c>
      <c r="Q131" s="175">
        <f t="shared" si="5"/>
        <v>1000000</v>
      </c>
      <c r="R131" s="119">
        <f>L131*(1+GROWTH_RATE)*FMC</f>
        <v>1541.801516</v>
      </c>
      <c r="S131" s="178">
        <f>S130*(1+'Pre-Calculation'!$E$27)</f>
        <v>930126.4623</v>
      </c>
      <c r="T131" s="175">
        <f>-E131+IF(A130=INPUT!$C$11*12,N131,0)</f>
        <v>0</v>
      </c>
      <c r="U131" s="175">
        <f t="shared" si="6"/>
        <v>1379878.592</v>
      </c>
      <c r="V131" s="175">
        <f>U131*(1+GROWTH_RATE_L)*(1-'Pre-Calculation'!$E$31)</f>
        <v>1382090.487</v>
      </c>
      <c r="W131" s="175">
        <f>-E131+IF(A130=INPUT!$C$11*12,V131,0)</f>
        <v>0</v>
      </c>
      <c r="X131" s="179">
        <f t="array" ref="X131">NPV('Pre-Calculation'!$E$20,$E132:E$246)</f>
        <v>0</v>
      </c>
      <c r="Y131" s="171">
        <f>10%*SA</f>
        <v>100000</v>
      </c>
      <c r="Z131" s="179">
        <f t="array" ref="Z131">NPV('Pre-Calculation'!$E$20,Y132:Y141)</f>
        <v>969592.8037</v>
      </c>
    </row>
    <row r="132" ht="15.75" customHeight="1">
      <c r="A132" s="171">
        <f t="shared" si="1"/>
        <v>186</v>
      </c>
      <c r="B132" s="171">
        <f t="shared" si="2"/>
        <v>16</v>
      </c>
      <c r="C132" s="176">
        <f>EDATE(RCD,A131)</f>
        <v>48182</v>
      </c>
      <c r="D132" s="171">
        <f>Age_At_Entry+'Cashflows_4%'!B132-1</f>
        <v>50</v>
      </c>
      <c r="E132" s="175">
        <f>IF(AND(C132&lt;=Last_Prem,MOD(A131,Mode)=0,C132&gt;INPUT!$C$13,A132&lt;=Revival!$C$11),Mod_Prem,0)</f>
        <v>0</v>
      </c>
      <c r="F132" s="177">
        <f>IF(B132&lt;PT+1,E132*VLOOKUP(B132,'Pre-Calculation'!$H$1:$I$31,2,FALSE),0)</f>
        <v>0</v>
      </c>
      <c r="G132" s="177">
        <f>IF(B132&lt;PT+1,VLOOKUP(B132,'Pre-Calculation'!$H$1:$L$32,3,FALSE)+VLOOKUP(B132,'Pre-Calculation'!$H$1:$L$32,4,FALSE)*'Pre-Calculation'!$D$7,0)</f>
        <v>0</v>
      </c>
      <c r="H132" s="175">
        <f>(E132-(F132+G132)*(1+Tax)+N131)</f>
        <v>1365116.524</v>
      </c>
      <c r="I132" s="175">
        <f>IF(B132&lt;PT+1,VLOOKUP(D132,'Pre-Calculation'!$N$3:$P$79,IF(INPUT!$C$4="M",2,3),FALSE)*(J132/1000)*(1/12),0)</f>
        <v>0</v>
      </c>
      <c r="J132" s="175">
        <f t="shared" si="3"/>
        <v>0</v>
      </c>
      <c r="K132" s="175">
        <f>(IF('Pre-Calculation'!$D$17="Type 4 a",MAX(SA,H132,1.05*Q132),IF('Pre-Calculation'!$D$17="Type 4 c",H132,IF('Pre-Calculation'!$D$17="Type 4 d",SA+H132,IF('Pre-Calculation'!$D$17="Type 4 e",MAX(SA,H132),IF('Pre-Calculation'!$D$17="Type 4 f",SA,IF('Pre-Calculation'!$D$17="Type 4 g",1000+H132,IF('Pre-Calculation'!$D$17="Type 4 h",SA+X132,IF('Pre-Calculation'!$D$17="Type 4 i",MAX(H132,Q132),IF('Pre-Calculation'!$D$17="Type 4 k",MAX(H132,1.01*Q132),IF('Pre-Calculation'!$D$17="Type 4 m",MAX(105%*Q132,SA+H132),IF('Pre-Calculation'!$D$17="Type 4 o",MAX(SA,105%*Q132)+X132+Z132,IF('Pre-Calculation'!$D$17="Type 5",0)))))))))))))*IF(AND(A132&lt;Revival!$C$4,C132&gt;=Revival!$D$12),PUP,1)</f>
        <v>1365116.524</v>
      </c>
      <c r="L132" s="175">
        <f>H132-I132*(1+Tax)</f>
        <v>1365116.524</v>
      </c>
      <c r="M132" s="175">
        <f>L132*(1+GROWTH_RATE_L)*(1-FMC*(1+Tax))</f>
        <v>1367768.424</v>
      </c>
      <c r="N132" s="175">
        <f>M132+IF(MOD(A132,B132)=0,VLOOKUP(B132,'Pre-Calculation'!$H$1:$L$31,5,FALSE),0)*IF('Pre-Calculation'!$D$16="% OF FV",M132,IF(OR('Pre-Calculation'!$D$16="% OF AFV(24M)",'Pre-Calculation'!$D$16="% OF AFV(8Q)"),AVERAGE( $M109:$M132),IF('Pre-Calculation'!$D$16="% OF AFV(12M)",AVERAGE($M121:M132),IF('Pre-Calculation'!$D$16="% OF AFV(36M)",AVERAGE($M97:M132)))))</f>
        <v>1367768.424</v>
      </c>
      <c r="O132" s="175">
        <f t="shared" si="4"/>
        <v>1367768.424</v>
      </c>
      <c r="P132" s="175">
        <f>IF('Pre-Calculation'!$D$17="Type 4 a",MAX(SA,N132,1.05*Q132),IF('Pre-Calculation'!$D$17="Type 4 c",N132,IF('Pre-Calculation'!$D$17="Type 4 d",SA+N132,IF('Pre-Calculation'!$D$17="Type 4 e",MAX(SA,N132),IF('Pre-Calculation'!$D$17="Type 4 f",SA,IF('Pre-Calculation'!$D$17="Type 4 g",1000+N132,IF('Pre-Calculation'!$D$17="Type 4 h",SA+X132,IF('Pre-Calculation'!$D$17="Type 4 i",MAX(N132,Q132),IF('Pre-Calculation'!$D$17="Type 4 k",MAX(N132,1.01*Q132),IF('Pre-Calculation'!$D$17="Type 4 m",MAX(105%*Q132,SA+N132),IF('Pre-Calculation'!$D$17="Type 4 o",MAX(SA,105%*Q132)+X132+Z132,IF('Pre-Calculation'!$D$17="Type 5",0))))))))))))</f>
        <v>1367768.424</v>
      </c>
      <c r="Q132" s="175">
        <f t="shared" si="5"/>
        <v>1000000</v>
      </c>
      <c r="R132" s="119">
        <f>L132*(1+GROWTH_RATE)*FMC</f>
        <v>1544.796647</v>
      </c>
      <c r="S132" s="178">
        <f>S131*(1+'Pre-Calculation'!$E$27)</f>
        <v>932796.7612</v>
      </c>
      <c r="T132" s="175">
        <f>-E132+IF(A131=INPUT!$C$11*12,N132,0)</f>
        <v>0</v>
      </c>
      <c r="U132" s="175">
        <f t="shared" si="6"/>
        <v>1382090.487</v>
      </c>
      <c r="V132" s="175">
        <f>U132*(1+GROWTH_RATE_L)*(1-'Pre-Calculation'!$E$31)</f>
        <v>1384305.928</v>
      </c>
      <c r="W132" s="175">
        <f>-E132+IF(A131=INPUT!$C$11*12,V132,0)</f>
        <v>0</v>
      </c>
      <c r="X132" s="179">
        <f t="array" ref="X132">NPV('Pre-Calculation'!$E$20,$E133:E$246)</f>
        <v>0</v>
      </c>
      <c r="Y132" s="171">
        <f>10%*SA</f>
        <v>100000</v>
      </c>
      <c r="Z132" s="179">
        <f t="array" ref="Z132">NPV('Pre-Calculation'!$E$20,Y133:Y142)</f>
        <v>969592.8037</v>
      </c>
    </row>
    <row r="133" ht="15.75" customHeight="1">
      <c r="A133" s="171">
        <f t="shared" si="1"/>
        <v>187</v>
      </c>
      <c r="B133" s="171">
        <f t="shared" si="2"/>
        <v>16</v>
      </c>
      <c r="C133" s="176">
        <f>EDATE(RCD,A132)</f>
        <v>48212</v>
      </c>
      <c r="D133" s="171">
        <f>Age_At_Entry+'Cashflows_4%'!B133-1</f>
        <v>50</v>
      </c>
      <c r="E133" s="175">
        <f>IF(AND(C133&lt;=Last_Prem,MOD(A132,Mode)=0,C133&gt;INPUT!$C$13,A133&lt;=Revival!$C$11),Mod_Prem,0)</f>
        <v>0</v>
      </c>
      <c r="F133" s="177">
        <f>IF(B133&lt;PT+1,E133*VLOOKUP(B133,'Pre-Calculation'!$H$1:$I$31,2,FALSE),0)</f>
        <v>0</v>
      </c>
      <c r="G133" s="177">
        <f>IF(B133&lt;PT+1,VLOOKUP(B133,'Pre-Calculation'!$H$1:$L$32,3,FALSE)+VLOOKUP(B133,'Pre-Calculation'!$H$1:$L$32,4,FALSE)*'Pre-Calculation'!$D$7,0)</f>
        <v>0</v>
      </c>
      <c r="H133" s="175">
        <f>(E133-(F133+G133)*(1+Tax)+N132)</f>
        <v>1367768.424</v>
      </c>
      <c r="I133" s="175">
        <f>IF(B133&lt;PT+1,VLOOKUP(D133,'Pre-Calculation'!$N$3:$P$79,IF(INPUT!$C$4="M",2,3),FALSE)*(J133/1000)*(1/12),0)</f>
        <v>0</v>
      </c>
      <c r="J133" s="175">
        <f t="shared" si="3"/>
        <v>0</v>
      </c>
      <c r="K133" s="175">
        <f>(IF('Pre-Calculation'!$D$17="Type 4 a",MAX(SA,H133,1.05*Q133),IF('Pre-Calculation'!$D$17="Type 4 c",H133,IF('Pre-Calculation'!$D$17="Type 4 d",SA+H133,IF('Pre-Calculation'!$D$17="Type 4 e",MAX(SA,H133),IF('Pre-Calculation'!$D$17="Type 4 f",SA,IF('Pre-Calculation'!$D$17="Type 4 g",1000+H133,IF('Pre-Calculation'!$D$17="Type 4 h",SA+X133,IF('Pre-Calculation'!$D$17="Type 4 i",MAX(H133,Q133),IF('Pre-Calculation'!$D$17="Type 4 k",MAX(H133,1.01*Q133),IF('Pre-Calculation'!$D$17="Type 4 m",MAX(105%*Q133,SA+H133),IF('Pre-Calculation'!$D$17="Type 4 o",MAX(SA,105%*Q133)+X133+Z133,IF('Pre-Calculation'!$D$17="Type 5",0)))))))))))))*IF(AND(A133&lt;Revival!$C$4,C133&gt;=Revival!$D$12),PUP,1)</f>
        <v>1367768.424</v>
      </c>
      <c r="L133" s="175">
        <f>H133-I133*(1+Tax)</f>
        <v>1367768.424</v>
      </c>
      <c r="M133" s="175">
        <f>L133*(1+GROWTH_RATE_L)*(1-FMC*(1+Tax))</f>
        <v>1370425.476</v>
      </c>
      <c r="N133" s="175">
        <f>M133+IF(MOD(A133,B133)=0,VLOOKUP(B133,'Pre-Calculation'!$H$1:$L$31,5,FALSE),0)*IF('Pre-Calculation'!$D$16="% OF FV",M133,IF(OR('Pre-Calculation'!$D$16="% OF AFV(24M)",'Pre-Calculation'!$D$16="% OF AFV(8Q)"),AVERAGE( $M110:$M133),IF('Pre-Calculation'!$D$16="% OF AFV(12M)",AVERAGE($M122:M133),IF('Pre-Calculation'!$D$16="% OF AFV(36M)",AVERAGE($M98:M133)))))</f>
        <v>1370425.476</v>
      </c>
      <c r="O133" s="175">
        <f t="shared" si="4"/>
        <v>1370425.476</v>
      </c>
      <c r="P133" s="175">
        <f>IF('Pre-Calculation'!$D$17="Type 4 a",MAX(SA,N133,1.05*Q133),IF('Pre-Calculation'!$D$17="Type 4 c",N133,IF('Pre-Calculation'!$D$17="Type 4 d",SA+N133,IF('Pre-Calculation'!$D$17="Type 4 e",MAX(SA,N133),IF('Pre-Calculation'!$D$17="Type 4 f",SA,IF('Pre-Calculation'!$D$17="Type 4 g",1000+N133,IF('Pre-Calculation'!$D$17="Type 4 h",SA+X133,IF('Pre-Calculation'!$D$17="Type 4 i",MAX(N133,Q133),IF('Pre-Calculation'!$D$17="Type 4 k",MAX(N133,1.01*Q133),IF('Pre-Calculation'!$D$17="Type 4 m",MAX(105%*Q133,SA+N133),IF('Pre-Calculation'!$D$17="Type 4 o",MAX(SA,105%*Q133)+X133+Z133,IF('Pre-Calculation'!$D$17="Type 5",0))))))))))))</f>
        <v>1370425.476</v>
      </c>
      <c r="Q133" s="175">
        <f t="shared" si="5"/>
        <v>1000000</v>
      </c>
      <c r="R133" s="119">
        <f>L133*(1+GROWTH_RATE)*FMC</f>
        <v>1547.797597</v>
      </c>
      <c r="S133" s="178">
        <f>S132*(1+'Pre-Calculation'!$E$27)</f>
        <v>935474.7262</v>
      </c>
      <c r="T133" s="175">
        <f>-E133+IF(A132=INPUT!$C$11*12,N133,0)</f>
        <v>0</v>
      </c>
      <c r="U133" s="175">
        <f t="shared" si="6"/>
        <v>1384305.928</v>
      </c>
      <c r="V133" s="175">
        <f>U133*(1+GROWTH_RATE_L)*(1-'Pre-Calculation'!$E$31)</f>
        <v>1386524.921</v>
      </c>
      <c r="W133" s="175">
        <f>-E133+IF(A132=INPUT!$C$11*12,V133,0)</f>
        <v>0</v>
      </c>
      <c r="X133" s="179">
        <f t="array" ref="X133">NPV('Pre-Calculation'!$E$20,$E134:E$246)</f>
        <v>0</v>
      </c>
      <c r="Y133" s="171">
        <f>10%*SA</f>
        <v>100000</v>
      </c>
      <c r="Z133" s="179">
        <f t="array" ref="Z133">NPV('Pre-Calculation'!$E$20,Y134:Y143)</f>
        <v>969592.8037</v>
      </c>
    </row>
    <row r="134" ht="15.75" customHeight="1">
      <c r="A134" s="171">
        <f t="shared" si="1"/>
        <v>188</v>
      </c>
      <c r="B134" s="171">
        <f t="shared" si="2"/>
        <v>16</v>
      </c>
      <c r="C134" s="176">
        <f>EDATE(RCD,A133)</f>
        <v>48243</v>
      </c>
      <c r="D134" s="171">
        <f>Age_At_Entry+'Cashflows_4%'!B134-1</f>
        <v>50</v>
      </c>
      <c r="E134" s="175">
        <f>IF(AND(C134&lt;=Last_Prem,MOD(A133,Mode)=0,C134&gt;INPUT!$C$13,A134&lt;=Revival!$C$11),Mod_Prem,0)</f>
        <v>0</v>
      </c>
      <c r="F134" s="177">
        <f>IF(B134&lt;PT+1,E134*VLOOKUP(B134,'Pre-Calculation'!$H$1:$I$31,2,FALSE),0)</f>
        <v>0</v>
      </c>
      <c r="G134" s="177">
        <f>IF(B134&lt;PT+1,VLOOKUP(B134,'Pre-Calculation'!$H$1:$L$32,3,FALSE)+VLOOKUP(B134,'Pre-Calculation'!$H$1:$L$32,4,FALSE)*'Pre-Calculation'!$D$7,0)</f>
        <v>0</v>
      </c>
      <c r="H134" s="175">
        <f>(E134-(F134+G134)*(1+Tax)+N133)</f>
        <v>1370425.476</v>
      </c>
      <c r="I134" s="175">
        <f>IF(B134&lt;PT+1,VLOOKUP(D134,'Pre-Calculation'!$N$3:$P$79,IF(INPUT!$C$4="M",2,3),FALSE)*(J134/1000)*(1/12),0)</f>
        <v>0</v>
      </c>
      <c r="J134" s="175">
        <f t="shared" si="3"/>
        <v>0</v>
      </c>
      <c r="K134" s="175">
        <f>(IF('Pre-Calculation'!$D$17="Type 4 a",MAX(SA,H134,1.05*Q134),IF('Pre-Calculation'!$D$17="Type 4 c",H134,IF('Pre-Calculation'!$D$17="Type 4 d",SA+H134,IF('Pre-Calculation'!$D$17="Type 4 e",MAX(SA,H134),IF('Pre-Calculation'!$D$17="Type 4 f",SA,IF('Pre-Calculation'!$D$17="Type 4 g",1000+H134,IF('Pre-Calculation'!$D$17="Type 4 h",SA+X134,IF('Pre-Calculation'!$D$17="Type 4 i",MAX(H134,Q134),IF('Pre-Calculation'!$D$17="Type 4 k",MAX(H134,1.01*Q134),IF('Pre-Calculation'!$D$17="Type 4 m",MAX(105%*Q134,SA+H134),IF('Pre-Calculation'!$D$17="Type 4 o",MAX(SA,105%*Q134)+X134+Z134,IF('Pre-Calculation'!$D$17="Type 5",0)))))))))))))*IF(AND(A134&lt;Revival!$C$4,C134&gt;=Revival!$D$12),PUP,1)</f>
        <v>1370425.476</v>
      </c>
      <c r="L134" s="175">
        <f>H134-I134*(1+Tax)</f>
        <v>1370425.476</v>
      </c>
      <c r="M134" s="175">
        <f>L134*(1+GROWTH_RATE_L)*(1-FMC*(1+Tax))</f>
        <v>1373087.689</v>
      </c>
      <c r="N134" s="175">
        <f>M134+IF(MOD(A134,B134)=0,VLOOKUP(B134,'Pre-Calculation'!$H$1:$L$31,5,FALSE),0)*IF('Pre-Calculation'!$D$16="% OF FV",M134,IF(OR('Pre-Calculation'!$D$16="% OF AFV(24M)",'Pre-Calculation'!$D$16="% OF AFV(8Q)"),AVERAGE( $M111:$M134),IF('Pre-Calculation'!$D$16="% OF AFV(12M)",AVERAGE($M123:M134),IF('Pre-Calculation'!$D$16="% OF AFV(36M)",AVERAGE($M99:M134)))))</f>
        <v>1373087.689</v>
      </c>
      <c r="O134" s="175">
        <f t="shared" si="4"/>
        <v>1373087.689</v>
      </c>
      <c r="P134" s="175">
        <f>IF('Pre-Calculation'!$D$17="Type 4 a",MAX(SA,N134,1.05*Q134),IF('Pre-Calculation'!$D$17="Type 4 c",N134,IF('Pre-Calculation'!$D$17="Type 4 d",SA+N134,IF('Pre-Calculation'!$D$17="Type 4 e",MAX(SA,N134),IF('Pre-Calculation'!$D$17="Type 4 f",SA,IF('Pre-Calculation'!$D$17="Type 4 g",1000+N134,IF('Pre-Calculation'!$D$17="Type 4 h",SA+X134,IF('Pre-Calculation'!$D$17="Type 4 i",MAX(N134,Q134),IF('Pre-Calculation'!$D$17="Type 4 k",MAX(N134,1.01*Q134),IF('Pre-Calculation'!$D$17="Type 4 m",MAX(105%*Q134,SA+N134),IF('Pre-Calculation'!$D$17="Type 4 o",MAX(SA,105%*Q134)+X134+Z134,IF('Pre-Calculation'!$D$17="Type 5",0))))))))))))</f>
        <v>1373087.689</v>
      </c>
      <c r="Q134" s="175">
        <f t="shared" si="5"/>
        <v>1000000</v>
      </c>
      <c r="R134" s="119">
        <f>L134*(1+GROWTH_RATE)*FMC</f>
        <v>1550.804377</v>
      </c>
      <c r="S134" s="178">
        <f>S133*(1+'Pre-Calculation'!$E$27)</f>
        <v>938160.3794</v>
      </c>
      <c r="T134" s="175">
        <f>-E134+IF(A133=INPUT!$C$11*12,N134,0)</f>
        <v>0</v>
      </c>
      <c r="U134" s="175">
        <f t="shared" si="6"/>
        <v>1386524.921</v>
      </c>
      <c r="V134" s="175">
        <f>U134*(1+GROWTH_RATE_L)*(1-'Pre-Calculation'!$E$31)</f>
        <v>1388747.47</v>
      </c>
      <c r="W134" s="175">
        <f>-E134+IF(A133=INPUT!$C$11*12,V134,0)</f>
        <v>0</v>
      </c>
      <c r="X134" s="179">
        <f t="array" ref="X134">NPV('Pre-Calculation'!$E$20,$E135:E$246)</f>
        <v>0</v>
      </c>
      <c r="Y134" s="171">
        <f>10%*SA</f>
        <v>100000</v>
      </c>
      <c r="Z134" s="179">
        <f t="array" ref="Z134">NPV('Pre-Calculation'!$E$20,Y135:Y144)</f>
        <v>969592.8037</v>
      </c>
    </row>
    <row r="135" ht="15.75" customHeight="1">
      <c r="A135" s="171">
        <f t="shared" si="1"/>
        <v>189</v>
      </c>
      <c r="B135" s="171">
        <f t="shared" si="2"/>
        <v>16</v>
      </c>
      <c r="C135" s="176">
        <f>EDATE(RCD,A134)</f>
        <v>48273</v>
      </c>
      <c r="D135" s="171">
        <f>Age_At_Entry+'Cashflows_4%'!B135-1</f>
        <v>50</v>
      </c>
      <c r="E135" s="175">
        <f>IF(AND(C135&lt;=Last_Prem,MOD(A134,Mode)=0,C135&gt;INPUT!$C$13,A135&lt;=Revival!$C$11),Mod_Prem,0)</f>
        <v>0</v>
      </c>
      <c r="F135" s="177">
        <f>IF(B135&lt;PT+1,E135*VLOOKUP(B135,'Pre-Calculation'!$H$1:$I$31,2,FALSE),0)</f>
        <v>0</v>
      </c>
      <c r="G135" s="177">
        <f>IF(B135&lt;PT+1,VLOOKUP(B135,'Pre-Calculation'!$H$1:$L$32,3,FALSE)+VLOOKUP(B135,'Pre-Calculation'!$H$1:$L$32,4,FALSE)*'Pre-Calculation'!$D$7,0)</f>
        <v>0</v>
      </c>
      <c r="H135" s="175">
        <f>(E135-(F135+G135)*(1+Tax)+N134)</f>
        <v>1373087.689</v>
      </c>
      <c r="I135" s="175">
        <f>IF(B135&lt;PT+1,VLOOKUP(D135,'Pre-Calculation'!$N$3:$P$79,IF(INPUT!$C$4="M",2,3),FALSE)*(J135/1000)*(1/12),0)</f>
        <v>0</v>
      </c>
      <c r="J135" s="175">
        <f t="shared" si="3"/>
        <v>0</v>
      </c>
      <c r="K135" s="175">
        <f>(IF('Pre-Calculation'!$D$17="Type 4 a",MAX(SA,H135,1.05*Q135),IF('Pre-Calculation'!$D$17="Type 4 c",H135,IF('Pre-Calculation'!$D$17="Type 4 d",SA+H135,IF('Pre-Calculation'!$D$17="Type 4 e",MAX(SA,H135),IF('Pre-Calculation'!$D$17="Type 4 f",SA,IF('Pre-Calculation'!$D$17="Type 4 g",1000+H135,IF('Pre-Calculation'!$D$17="Type 4 h",SA+X135,IF('Pre-Calculation'!$D$17="Type 4 i",MAX(H135,Q135),IF('Pre-Calculation'!$D$17="Type 4 k",MAX(H135,1.01*Q135),IF('Pre-Calculation'!$D$17="Type 4 m",MAX(105%*Q135,SA+H135),IF('Pre-Calculation'!$D$17="Type 4 o",MAX(SA,105%*Q135)+X135+Z135,IF('Pre-Calculation'!$D$17="Type 5",0)))))))))))))*IF(AND(A135&lt;Revival!$C$4,C135&gt;=Revival!$D$12),PUP,1)</f>
        <v>1373087.689</v>
      </c>
      <c r="L135" s="175">
        <f>H135-I135*(1+Tax)</f>
        <v>1373087.689</v>
      </c>
      <c r="M135" s="175">
        <f>L135*(1+GROWTH_RATE_L)*(1-FMC*(1+Tax))</f>
        <v>1375755.074</v>
      </c>
      <c r="N135" s="175">
        <f>M135+IF(MOD(A135,B135)=0,VLOOKUP(B135,'Pre-Calculation'!$H$1:$L$31,5,FALSE),0)*IF('Pre-Calculation'!$D$16="% OF FV",M135,IF(OR('Pre-Calculation'!$D$16="% OF AFV(24M)",'Pre-Calculation'!$D$16="% OF AFV(8Q)"),AVERAGE( $M112:$M135),IF('Pre-Calculation'!$D$16="% OF AFV(12M)",AVERAGE($M124:M135),IF('Pre-Calculation'!$D$16="% OF AFV(36M)",AVERAGE($M100:M135)))))</f>
        <v>1375755.074</v>
      </c>
      <c r="O135" s="175">
        <f t="shared" si="4"/>
        <v>1375755.074</v>
      </c>
      <c r="P135" s="175">
        <f>IF('Pre-Calculation'!$D$17="Type 4 a",MAX(SA,N135,1.05*Q135),IF('Pre-Calculation'!$D$17="Type 4 c",N135,IF('Pre-Calculation'!$D$17="Type 4 d",SA+N135,IF('Pre-Calculation'!$D$17="Type 4 e",MAX(SA,N135),IF('Pre-Calculation'!$D$17="Type 4 f",SA,IF('Pre-Calculation'!$D$17="Type 4 g",1000+N135,IF('Pre-Calculation'!$D$17="Type 4 h",SA+X135,IF('Pre-Calculation'!$D$17="Type 4 i",MAX(N135,Q135),IF('Pre-Calculation'!$D$17="Type 4 k",MAX(N135,1.01*Q135),IF('Pre-Calculation'!$D$17="Type 4 m",MAX(105%*Q135,SA+N135),IF('Pre-Calculation'!$D$17="Type 4 o",MAX(SA,105%*Q135)+X135+Z135,IF('Pre-Calculation'!$D$17="Type 5",0))))))))))))</f>
        <v>1375755.074</v>
      </c>
      <c r="Q135" s="175">
        <f t="shared" si="5"/>
        <v>1000000</v>
      </c>
      <c r="R135" s="119">
        <f>L135*(1+GROWTH_RATE)*FMC</f>
        <v>1553.816998</v>
      </c>
      <c r="S135" s="178">
        <f>S134*(1+'Pre-Calculation'!$E$27)</f>
        <v>940853.7428</v>
      </c>
      <c r="T135" s="175">
        <f>-E135+IF(A134=INPUT!$C$11*12,N135,0)</f>
        <v>0</v>
      </c>
      <c r="U135" s="175">
        <f t="shared" si="6"/>
        <v>1388747.47</v>
      </c>
      <c r="V135" s="175">
        <f>U135*(1+GROWTH_RATE_L)*(1-'Pre-Calculation'!$E$31)</f>
        <v>1390973.582</v>
      </c>
      <c r="W135" s="175">
        <f>-E135+IF(A134=INPUT!$C$11*12,V135,0)</f>
        <v>0</v>
      </c>
      <c r="X135" s="179">
        <f t="array" ref="X135">NPV('Pre-Calculation'!$E$20,$E136:E$246)</f>
        <v>0</v>
      </c>
      <c r="Y135" s="171">
        <f>10%*SA</f>
        <v>100000</v>
      </c>
      <c r="Z135" s="179">
        <f t="array" ref="Z135">NPV('Pre-Calculation'!$E$20,Y136:Y145)</f>
        <v>969592.8037</v>
      </c>
    </row>
    <row r="136" ht="15.75" customHeight="1">
      <c r="A136" s="171">
        <f t="shared" si="1"/>
        <v>190</v>
      </c>
      <c r="B136" s="171">
        <f t="shared" si="2"/>
        <v>16</v>
      </c>
      <c r="C136" s="176">
        <f>EDATE(RCD,A135)</f>
        <v>48303</v>
      </c>
      <c r="D136" s="171">
        <f>Age_At_Entry+'Cashflows_4%'!B136-1</f>
        <v>50</v>
      </c>
      <c r="E136" s="175">
        <f>IF(AND(C136&lt;=Last_Prem,MOD(A135,Mode)=0,C136&gt;INPUT!$C$13,A136&lt;=Revival!$C$11),Mod_Prem,0)</f>
        <v>0</v>
      </c>
      <c r="F136" s="177">
        <f>IF(B136&lt;PT+1,E136*VLOOKUP(B136,'Pre-Calculation'!$H$1:$I$31,2,FALSE),0)</f>
        <v>0</v>
      </c>
      <c r="G136" s="177">
        <f>IF(B136&lt;PT+1,VLOOKUP(B136,'Pre-Calculation'!$H$1:$L$32,3,FALSE)+VLOOKUP(B136,'Pre-Calculation'!$H$1:$L$32,4,FALSE)*'Pre-Calculation'!$D$7,0)</f>
        <v>0</v>
      </c>
      <c r="H136" s="175">
        <f>(E136-(F136+G136)*(1+Tax)+N135)</f>
        <v>1375755.074</v>
      </c>
      <c r="I136" s="175">
        <f>IF(B136&lt;PT+1,VLOOKUP(D136,'Pre-Calculation'!$N$3:$P$79,IF(INPUT!$C$4="M",2,3),FALSE)*(J136/1000)*(1/12),0)</f>
        <v>0</v>
      </c>
      <c r="J136" s="175">
        <f t="shared" si="3"/>
        <v>0</v>
      </c>
      <c r="K136" s="175">
        <f>(IF('Pre-Calculation'!$D$17="Type 4 a",MAX(SA,H136,1.05*Q136),IF('Pre-Calculation'!$D$17="Type 4 c",H136,IF('Pre-Calculation'!$D$17="Type 4 d",SA+H136,IF('Pre-Calculation'!$D$17="Type 4 e",MAX(SA,H136),IF('Pre-Calculation'!$D$17="Type 4 f",SA,IF('Pre-Calculation'!$D$17="Type 4 g",1000+H136,IF('Pre-Calculation'!$D$17="Type 4 h",SA+X136,IF('Pre-Calculation'!$D$17="Type 4 i",MAX(H136,Q136),IF('Pre-Calculation'!$D$17="Type 4 k",MAX(H136,1.01*Q136),IF('Pre-Calculation'!$D$17="Type 4 m",MAX(105%*Q136,SA+H136),IF('Pre-Calculation'!$D$17="Type 4 o",MAX(SA,105%*Q136)+X136+Z136,IF('Pre-Calculation'!$D$17="Type 5",0)))))))))))))*IF(AND(A136&lt;Revival!$C$4,C136&gt;=Revival!$D$12),PUP,1)</f>
        <v>1375755.074</v>
      </c>
      <c r="L136" s="175">
        <f>H136-I136*(1+Tax)</f>
        <v>1375755.074</v>
      </c>
      <c r="M136" s="175">
        <f>L136*(1+GROWTH_RATE_L)*(1-FMC*(1+Tax))</f>
        <v>1378427.641</v>
      </c>
      <c r="N136" s="175">
        <f>M136+IF(MOD(A136,B136)=0,VLOOKUP(B136,'Pre-Calculation'!$H$1:$L$31,5,FALSE),0)*IF('Pre-Calculation'!$D$16="% OF FV",M136,IF(OR('Pre-Calculation'!$D$16="% OF AFV(24M)",'Pre-Calculation'!$D$16="% OF AFV(8Q)"),AVERAGE( $M113:$M136),IF('Pre-Calculation'!$D$16="% OF AFV(12M)",AVERAGE($M125:M136),IF('Pre-Calculation'!$D$16="% OF AFV(36M)",AVERAGE($M101:M136)))))</f>
        <v>1378427.641</v>
      </c>
      <c r="O136" s="175">
        <f t="shared" si="4"/>
        <v>1378427.641</v>
      </c>
      <c r="P136" s="175">
        <f>IF('Pre-Calculation'!$D$17="Type 4 a",MAX(SA,N136,1.05*Q136),IF('Pre-Calculation'!$D$17="Type 4 c",N136,IF('Pre-Calculation'!$D$17="Type 4 d",SA+N136,IF('Pre-Calculation'!$D$17="Type 4 e",MAX(SA,N136),IF('Pre-Calculation'!$D$17="Type 4 f",SA,IF('Pre-Calculation'!$D$17="Type 4 g",1000+N136,IF('Pre-Calculation'!$D$17="Type 4 h",SA+X136,IF('Pre-Calculation'!$D$17="Type 4 i",MAX(N136,Q136),IF('Pre-Calculation'!$D$17="Type 4 k",MAX(N136,1.01*Q136),IF('Pre-Calculation'!$D$17="Type 4 m",MAX(105%*Q136,SA+N136),IF('Pre-Calculation'!$D$17="Type 4 o",MAX(SA,105%*Q136)+X136+Z136,IF('Pre-Calculation'!$D$17="Type 5",0))))))))))))</f>
        <v>1378427.641</v>
      </c>
      <c r="Q136" s="175">
        <f t="shared" si="5"/>
        <v>1000000</v>
      </c>
      <c r="R136" s="119">
        <f>L136*(1+GROWTH_RATE)*FMC</f>
        <v>1556.835471</v>
      </c>
      <c r="S136" s="178">
        <f>S135*(1+'Pre-Calculation'!$E$27)</f>
        <v>943554.8386</v>
      </c>
      <c r="T136" s="175">
        <f>-E136+IF(A135=INPUT!$C$11*12,N136,0)</f>
        <v>0</v>
      </c>
      <c r="U136" s="175">
        <f t="shared" si="6"/>
        <v>1390973.582</v>
      </c>
      <c r="V136" s="175">
        <f>U136*(1+GROWTH_RATE_L)*(1-'Pre-Calculation'!$E$31)</f>
        <v>1393203.262</v>
      </c>
      <c r="W136" s="175">
        <f>-E136+IF(A135=INPUT!$C$11*12,V136,0)</f>
        <v>0</v>
      </c>
      <c r="X136" s="179">
        <f t="array" ref="X136">NPV('Pre-Calculation'!$E$20,$E137:E$246)</f>
        <v>0</v>
      </c>
      <c r="Y136" s="171">
        <f>10%*SA</f>
        <v>100000</v>
      </c>
      <c r="Z136" s="179">
        <f t="array" ref="Z136">NPV('Pre-Calculation'!$E$20,Y137:Y146)</f>
        <v>969592.8037</v>
      </c>
    </row>
    <row r="137" ht="15.75" customHeight="1">
      <c r="A137" s="171">
        <f t="shared" si="1"/>
        <v>191</v>
      </c>
      <c r="B137" s="171">
        <f t="shared" si="2"/>
        <v>16</v>
      </c>
      <c r="C137" s="176">
        <f>EDATE(RCD,A136)</f>
        <v>48334</v>
      </c>
      <c r="D137" s="171">
        <f>Age_At_Entry+'Cashflows_4%'!B137-1</f>
        <v>50</v>
      </c>
      <c r="E137" s="175">
        <f>IF(AND(C137&lt;=Last_Prem,MOD(A136,Mode)=0,C137&gt;INPUT!$C$13,A137&lt;=Revival!$C$11),Mod_Prem,0)</f>
        <v>0</v>
      </c>
      <c r="F137" s="177">
        <f>IF(B137&lt;PT+1,E137*VLOOKUP(B137,'Pre-Calculation'!$H$1:$I$31,2,FALSE),0)</f>
        <v>0</v>
      </c>
      <c r="G137" s="177">
        <f>IF(B137&lt;PT+1,VLOOKUP(B137,'Pre-Calculation'!$H$1:$L$32,3,FALSE)+VLOOKUP(B137,'Pre-Calculation'!$H$1:$L$32,4,FALSE)*'Pre-Calculation'!$D$7,0)</f>
        <v>0</v>
      </c>
      <c r="H137" s="175">
        <f>(E137-(F137+G137)*(1+Tax)+N136)</f>
        <v>1378427.641</v>
      </c>
      <c r="I137" s="175">
        <f>IF(B137&lt;PT+1,VLOOKUP(D137,'Pre-Calculation'!$N$3:$P$79,IF(INPUT!$C$4="M",2,3),FALSE)*(J137/1000)*(1/12),0)</f>
        <v>0</v>
      </c>
      <c r="J137" s="175">
        <f t="shared" si="3"/>
        <v>0</v>
      </c>
      <c r="K137" s="175">
        <f>(IF('Pre-Calculation'!$D$17="Type 4 a",MAX(SA,H137,1.05*Q137),IF('Pre-Calculation'!$D$17="Type 4 c",H137,IF('Pre-Calculation'!$D$17="Type 4 d",SA+H137,IF('Pre-Calculation'!$D$17="Type 4 e",MAX(SA,H137),IF('Pre-Calculation'!$D$17="Type 4 f",SA,IF('Pre-Calculation'!$D$17="Type 4 g",1000+H137,IF('Pre-Calculation'!$D$17="Type 4 h",SA+X137,IF('Pre-Calculation'!$D$17="Type 4 i",MAX(H137,Q137),IF('Pre-Calculation'!$D$17="Type 4 k",MAX(H137,1.01*Q137),IF('Pre-Calculation'!$D$17="Type 4 m",MAX(105%*Q137,SA+H137),IF('Pre-Calculation'!$D$17="Type 4 o",MAX(SA,105%*Q137)+X137+Z137,IF('Pre-Calculation'!$D$17="Type 5",0)))))))))))))*IF(AND(A137&lt;Revival!$C$4,C137&gt;=Revival!$D$12),PUP,1)</f>
        <v>1378427.641</v>
      </c>
      <c r="L137" s="175">
        <f>H137-I137*(1+Tax)</f>
        <v>1378427.641</v>
      </c>
      <c r="M137" s="175">
        <f>L137*(1+GROWTH_RATE_L)*(1-FMC*(1+Tax))</f>
        <v>1381105.399</v>
      </c>
      <c r="N137" s="175">
        <f>M137+IF(MOD(A137,B137)=0,VLOOKUP(B137,'Pre-Calculation'!$H$1:$L$31,5,FALSE),0)*IF('Pre-Calculation'!$D$16="% OF FV",M137,IF(OR('Pre-Calculation'!$D$16="% OF AFV(24M)",'Pre-Calculation'!$D$16="% OF AFV(8Q)"),AVERAGE( $M114:$M137),IF('Pre-Calculation'!$D$16="% OF AFV(12M)",AVERAGE($M126:M137),IF('Pre-Calculation'!$D$16="% OF AFV(36M)",AVERAGE($M102:M137)))))</f>
        <v>1381105.399</v>
      </c>
      <c r="O137" s="175">
        <f t="shared" si="4"/>
        <v>1381105.399</v>
      </c>
      <c r="P137" s="175">
        <f>IF('Pre-Calculation'!$D$17="Type 4 a",MAX(SA,N137,1.05*Q137),IF('Pre-Calculation'!$D$17="Type 4 c",N137,IF('Pre-Calculation'!$D$17="Type 4 d",SA+N137,IF('Pre-Calculation'!$D$17="Type 4 e",MAX(SA,N137),IF('Pre-Calculation'!$D$17="Type 4 f",SA,IF('Pre-Calculation'!$D$17="Type 4 g",1000+N137,IF('Pre-Calculation'!$D$17="Type 4 h",SA+X137,IF('Pre-Calculation'!$D$17="Type 4 i",MAX(N137,Q137),IF('Pre-Calculation'!$D$17="Type 4 k",MAX(N137,1.01*Q137),IF('Pre-Calculation'!$D$17="Type 4 m",MAX(105%*Q137,SA+N137),IF('Pre-Calculation'!$D$17="Type 4 o",MAX(SA,105%*Q137)+X137+Z137,IF('Pre-Calculation'!$D$17="Type 5",0))))))))))))</f>
        <v>1381105.399</v>
      </c>
      <c r="Q137" s="175">
        <f t="shared" si="5"/>
        <v>1000000</v>
      </c>
      <c r="R137" s="119">
        <f>L137*(1+GROWTH_RATE)*FMC</f>
        <v>1559.859808</v>
      </c>
      <c r="S137" s="178">
        <f>S136*(1+'Pre-Calculation'!$E$27)</f>
        <v>946263.689</v>
      </c>
      <c r="T137" s="175">
        <f>-E137+IF(A136=INPUT!$C$11*12,N137,0)</f>
        <v>0</v>
      </c>
      <c r="U137" s="175">
        <f t="shared" si="6"/>
        <v>1393203.262</v>
      </c>
      <c r="V137" s="175">
        <f>U137*(1+GROWTH_RATE_L)*(1-'Pre-Calculation'!$E$31)</f>
        <v>1395436.517</v>
      </c>
      <c r="W137" s="175">
        <f>-E137+IF(A136=INPUT!$C$11*12,V137,0)</f>
        <v>0</v>
      </c>
      <c r="X137" s="179">
        <f t="array" ref="X137">NPV('Pre-Calculation'!$E$20,$E138:E$246)</f>
        <v>0</v>
      </c>
      <c r="Y137" s="171">
        <f>10%*SA</f>
        <v>100000</v>
      </c>
      <c r="Z137" s="179">
        <f t="array" ref="Z137">NPV('Pre-Calculation'!$E$20,Y138:Y147)</f>
        <v>969592.8037</v>
      </c>
    </row>
    <row r="138" ht="15.75" customHeight="1">
      <c r="A138" s="171">
        <f t="shared" si="1"/>
        <v>192</v>
      </c>
      <c r="B138" s="171">
        <f t="shared" si="2"/>
        <v>16</v>
      </c>
      <c r="C138" s="176">
        <f>EDATE(RCD,A137)</f>
        <v>48364</v>
      </c>
      <c r="D138" s="171">
        <f>Age_At_Entry+'Cashflows_4%'!B138-1</f>
        <v>50</v>
      </c>
      <c r="E138" s="175">
        <f>IF(AND(C138&lt;=Last_Prem,MOD(A137,Mode)=0,C138&gt;INPUT!$C$13,A138&lt;=Revival!$C$11),Mod_Prem,0)</f>
        <v>0</v>
      </c>
      <c r="F138" s="177">
        <f>IF(B138&lt;PT+1,E138*VLOOKUP(B138,'Pre-Calculation'!$H$1:$I$31,2,FALSE),0)</f>
        <v>0</v>
      </c>
      <c r="G138" s="177">
        <f>IF(B138&lt;PT+1,VLOOKUP(B138,'Pre-Calculation'!$H$1:$L$32,3,FALSE)+VLOOKUP(B138,'Pre-Calculation'!$H$1:$L$32,4,FALSE)*'Pre-Calculation'!$D$7,0)</f>
        <v>0</v>
      </c>
      <c r="H138" s="175">
        <f>(E138-(F138+G138)*(1+Tax)+N137)</f>
        <v>1381105.399</v>
      </c>
      <c r="I138" s="175">
        <f>IF(B138&lt;PT+1,VLOOKUP(D138,'Pre-Calculation'!$N$3:$P$79,IF(INPUT!$C$4="M",2,3),FALSE)*(J138/1000)*(1/12),0)</f>
        <v>0</v>
      </c>
      <c r="J138" s="175">
        <f t="shared" si="3"/>
        <v>0</v>
      </c>
      <c r="K138" s="175">
        <f>(IF('Pre-Calculation'!$D$17="Type 4 a",MAX(SA,H138,1.05*Q138),IF('Pre-Calculation'!$D$17="Type 4 c",H138,IF('Pre-Calculation'!$D$17="Type 4 d",SA+H138,IF('Pre-Calculation'!$D$17="Type 4 e",MAX(SA,H138),IF('Pre-Calculation'!$D$17="Type 4 f",SA,IF('Pre-Calculation'!$D$17="Type 4 g",1000+H138,IF('Pre-Calculation'!$D$17="Type 4 h",SA+X138,IF('Pre-Calculation'!$D$17="Type 4 i",MAX(H138,Q138),IF('Pre-Calculation'!$D$17="Type 4 k",MAX(H138,1.01*Q138),IF('Pre-Calculation'!$D$17="Type 4 m",MAX(105%*Q138,SA+H138),IF('Pre-Calculation'!$D$17="Type 4 o",MAX(SA,105%*Q138)+X138+Z138,IF('Pre-Calculation'!$D$17="Type 5",0)))))))))))))*IF(AND(A138&lt;Revival!$C$4,C138&gt;=Revival!$D$12),PUP,1)</f>
        <v>1381105.399</v>
      </c>
      <c r="L138" s="175">
        <f>H138-I138*(1+Tax)</f>
        <v>1381105.399</v>
      </c>
      <c r="M138" s="175">
        <f>L138*(1+GROWTH_RATE_L)*(1-FMC*(1+Tax))</f>
        <v>1383788.36</v>
      </c>
      <c r="N138" s="175">
        <f>M138+IF(MOD(A138,B138)=0,VLOOKUP(B138,'Pre-Calculation'!$H$1:$L$31,5,FALSE),0)*IF('Pre-Calculation'!$D$16="% OF FV",M138,IF(OR('Pre-Calculation'!$D$16="% OF AFV(24M)",'Pre-Calculation'!$D$16="% OF AFV(8Q)"),AVERAGE( $M115:$M138),IF('Pre-Calculation'!$D$16="% OF AFV(12M)",AVERAGE($M127:M138),IF('Pre-Calculation'!$D$16="% OF AFV(36M)",AVERAGE($M103:M138)))))</f>
        <v>1383788.36</v>
      </c>
      <c r="O138" s="175">
        <f t="shared" si="4"/>
        <v>1383788.36</v>
      </c>
      <c r="P138" s="175">
        <f>IF('Pre-Calculation'!$D$17="Type 4 a",MAX(SA,N138,1.05*Q138),IF('Pre-Calculation'!$D$17="Type 4 c",N138,IF('Pre-Calculation'!$D$17="Type 4 d",SA+N138,IF('Pre-Calculation'!$D$17="Type 4 e",MAX(SA,N138),IF('Pre-Calculation'!$D$17="Type 4 f",SA,IF('Pre-Calculation'!$D$17="Type 4 g",1000+N138,IF('Pre-Calculation'!$D$17="Type 4 h",SA+X138,IF('Pre-Calculation'!$D$17="Type 4 i",MAX(N138,Q138),IF('Pre-Calculation'!$D$17="Type 4 k",MAX(N138,1.01*Q138),IF('Pre-Calculation'!$D$17="Type 4 m",MAX(105%*Q138,SA+N138),IF('Pre-Calculation'!$D$17="Type 4 o",MAX(SA,105%*Q138)+X138+Z138,IF('Pre-Calculation'!$D$17="Type 5",0))))))))))))</f>
        <v>1383788.36</v>
      </c>
      <c r="Q138" s="175">
        <f t="shared" si="5"/>
        <v>1000000</v>
      </c>
      <c r="R138" s="119">
        <f>L138*(1+GROWTH_RATE)*FMC</f>
        <v>1562.89002</v>
      </c>
      <c r="S138" s="178">
        <f>S137*(1+'Pre-Calculation'!$E$27)</f>
        <v>948980.3162</v>
      </c>
      <c r="T138" s="175">
        <f>-E138+IF(A137=INPUT!$C$11*12,N138,0)</f>
        <v>0</v>
      </c>
      <c r="U138" s="175">
        <f t="shared" si="6"/>
        <v>1395436.517</v>
      </c>
      <c r="V138" s="175">
        <f>U138*(1+GROWTH_RATE_L)*(1-'Pre-Calculation'!$E$31)</f>
        <v>1397673.351</v>
      </c>
      <c r="W138" s="175">
        <f>-E138+IF(A137=INPUT!$C$11*12,V138,0)</f>
        <v>0</v>
      </c>
      <c r="X138" s="179">
        <f t="array" ref="X138">NPV('Pre-Calculation'!$E$20,$E139:E$246)</f>
        <v>0</v>
      </c>
      <c r="Y138" s="171">
        <f>10%*SA</f>
        <v>100000</v>
      </c>
      <c r="Z138" s="179">
        <f t="array" ref="Z138">NPV('Pre-Calculation'!$E$20,Y139:Y148)</f>
        <v>969592.8037</v>
      </c>
    </row>
    <row r="139" ht="15.75" customHeight="1">
      <c r="A139" s="171">
        <f t="shared" si="1"/>
        <v>193</v>
      </c>
      <c r="B139" s="171">
        <f t="shared" si="2"/>
        <v>17</v>
      </c>
      <c r="C139" s="176">
        <f>EDATE(RCD,A138)</f>
        <v>48395</v>
      </c>
      <c r="D139" s="171">
        <f>Age_At_Entry+'Cashflows_4%'!B139-1</f>
        <v>51</v>
      </c>
      <c r="E139" s="175">
        <f>IF(AND(C139&lt;=Last_Prem,MOD(A138,Mode)=0,C139&gt;INPUT!$C$13,A139&lt;=Revival!$C$11),Mod_Prem,0)</f>
        <v>0</v>
      </c>
      <c r="F139" s="177">
        <f>IF(B139&lt;PT+1,E139*VLOOKUP(B139,'Pre-Calculation'!$H$1:$I$31,2,FALSE),0)</f>
        <v>0</v>
      </c>
      <c r="G139" s="177">
        <f>IF(B139&lt;PT+1,VLOOKUP(B139,'Pre-Calculation'!$H$1:$L$32,3,FALSE)+VLOOKUP(B139,'Pre-Calculation'!$H$1:$L$32,4,FALSE)*'Pre-Calculation'!$D$7,0)</f>
        <v>0</v>
      </c>
      <c r="H139" s="175">
        <f>(E139-(F139+G139)*(1+Tax)+N138)</f>
        <v>1383788.36</v>
      </c>
      <c r="I139" s="175">
        <f>IF(B139&lt;PT+1,VLOOKUP(D139,'Pre-Calculation'!$N$3:$P$79,IF(INPUT!$C$4="M",2,3),FALSE)*(J139/1000)*(1/12),0)</f>
        <v>0</v>
      </c>
      <c r="J139" s="175">
        <f t="shared" si="3"/>
        <v>0</v>
      </c>
      <c r="K139" s="175">
        <f>(IF('Pre-Calculation'!$D$17="Type 4 a",MAX(SA,H139,1.05*Q139),IF('Pre-Calculation'!$D$17="Type 4 c",H139,IF('Pre-Calculation'!$D$17="Type 4 d",SA+H139,IF('Pre-Calculation'!$D$17="Type 4 e",MAX(SA,H139),IF('Pre-Calculation'!$D$17="Type 4 f",SA,IF('Pre-Calculation'!$D$17="Type 4 g",1000+H139,IF('Pre-Calculation'!$D$17="Type 4 h",SA+X139,IF('Pre-Calculation'!$D$17="Type 4 i",MAX(H139,Q139),IF('Pre-Calculation'!$D$17="Type 4 k",MAX(H139,1.01*Q139),IF('Pre-Calculation'!$D$17="Type 4 m",MAX(105%*Q139,SA+H139),IF('Pre-Calculation'!$D$17="Type 4 o",MAX(SA,105%*Q139)+X139+Z139,IF('Pre-Calculation'!$D$17="Type 5",0)))))))))))))*IF(AND(A139&lt;Revival!$C$4,C139&gt;=Revival!$D$12),PUP,1)</f>
        <v>1383788.36</v>
      </c>
      <c r="L139" s="175">
        <f>H139-I139*(1+Tax)</f>
        <v>1383788.36</v>
      </c>
      <c r="M139" s="175">
        <f>L139*(1+GROWTH_RATE_L)*(1-FMC*(1+Tax))</f>
        <v>1386476.532</v>
      </c>
      <c r="N139" s="175">
        <f>M139+IF(MOD(A139,B139)=0,VLOOKUP(B139,'Pre-Calculation'!$H$1:$L$31,5,FALSE),0)*IF('Pre-Calculation'!$D$16="% OF FV",M139,IF(OR('Pre-Calculation'!$D$16="% OF AFV(24M)",'Pre-Calculation'!$D$16="% OF AFV(8Q)"),AVERAGE( $M116:$M139),IF('Pre-Calculation'!$D$16="% OF AFV(12M)",AVERAGE($M128:M139),IF('Pre-Calculation'!$D$16="% OF AFV(36M)",AVERAGE($M104:M139)))))</f>
        <v>1386476.532</v>
      </c>
      <c r="O139" s="175">
        <f t="shared" si="4"/>
        <v>1386476.532</v>
      </c>
      <c r="P139" s="175">
        <f>IF('Pre-Calculation'!$D$17="Type 4 a",MAX(SA,N139,1.05*Q139),IF('Pre-Calculation'!$D$17="Type 4 c",N139,IF('Pre-Calculation'!$D$17="Type 4 d",SA+N139,IF('Pre-Calculation'!$D$17="Type 4 e",MAX(SA,N139),IF('Pre-Calculation'!$D$17="Type 4 f",SA,IF('Pre-Calculation'!$D$17="Type 4 g",1000+N139,IF('Pre-Calculation'!$D$17="Type 4 h",SA+X139,IF('Pre-Calculation'!$D$17="Type 4 i",MAX(N139,Q139),IF('Pre-Calculation'!$D$17="Type 4 k",MAX(N139,1.01*Q139),IF('Pre-Calculation'!$D$17="Type 4 m",MAX(105%*Q139,SA+N139),IF('Pre-Calculation'!$D$17="Type 4 o",MAX(SA,105%*Q139)+X139+Z139,IF('Pre-Calculation'!$D$17="Type 5",0))))))))))))</f>
        <v>1386476.532</v>
      </c>
      <c r="Q139" s="175">
        <f t="shared" si="5"/>
        <v>1000000</v>
      </c>
      <c r="R139" s="119">
        <f>L139*(1+GROWTH_RATE)*FMC</f>
        <v>1565.926118</v>
      </c>
      <c r="S139" s="178">
        <f>S138*(1+'Pre-Calculation'!$E$27)</f>
        <v>951704.7426</v>
      </c>
      <c r="T139" s="175">
        <f>-E139+IF(A138=INPUT!$C$11*12,N139,0)</f>
        <v>0</v>
      </c>
      <c r="U139" s="175">
        <f t="shared" si="6"/>
        <v>1397673.351</v>
      </c>
      <c r="V139" s="175">
        <f>U139*(1+GROWTH_RATE_L)*(1-'Pre-Calculation'!$E$31)</f>
        <v>1399913.771</v>
      </c>
      <c r="W139" s="175">
        <f>-E139+IF(A138=INPUT!$C$11*12,V139,0)</f>
        <v>0</v>
      </c>
      <c r="X139" s="179">
        <f t="array" ref="X139">NPV('Pre-Calculation'!$E$20,$E140:E$246)</f>
        <v>0</v>
      </c>
      <c r="Y139" s="171">
        <f>10%*SA</f>
        <v>100000</v>
      </c>
      <c r="Z139" s="179">
        <f t="array" ref="Z139">NPV('Pre-Calculation'!$E$20,Y140:Y149)</f>
        <v>969592.8037</v>
      </c>
    </row>
    <row r="140" ht="15.75" customHeight="1">
      <c r="A140" s="171">
        <f t="shared" si="1"/>
        <v>194</v>
      </c>
      <c r="B140" s="171">
        <f t="shared" si="2"/>
        <v>17</v>
      </c>
      <c r="C140" s="176">
        <f>EDATE(RCD,A139)</f>
        <v>48425</v>
      </c>
      <c r="D140" s="171">
        <f>Age_At_Entry+'Cashflows_4%'!B140-1</f>
        <v>51</v>
      </c>
      <c r="E140" s="175">
        <f>IF(AND(C140&lt;=Last_Prem,MOD(A139,Mode)=0,C140&gt;INPUT!$C$13,A140&lt;=Revival!$C$11),Mod_Prem,0)</f>
        <v>0</v>
      </c>
      <c r="F140" s="177">
        <f>IF(B140&lt;PT+1,E140*VLOOKUP(B140,'Pre-Calculation'!$H$1:$I$31,2,FALSE),0)</f>
        <v>0</v>
      </c>
      <c r="G140" s="177">
        <f>IF(B140&lt;PT+1,VLOOKUP(B140,'Pre-Calculation'!$H$1:$L$32,3,FALSE)+VLOOKUP(B140,'Pre-Calculation'!$H$1:$L$32,4,FALSE)*'Pre-Calculation'!$D$7,0)</f>
        <v>0</v>
      </c>
      <c r="H140" s="175">
        <f>(E140-(F140+G140)*(1+Tax)+N139)</f>
        <v>1386476.532</v>
      </c>
      <c r="I140" s="175">
        <f>IF(B140&lt;PT+1,VLOOKUP(D140,'Pre-Calculation'!$N$3:$P$79,IF(INPUT!$C$4="M",2,3),FALSE)*(J140/1000)*(1/12),0)</f>
        <v>0</v>
      </c>
      <c r="J140" s="175">
        <f t="shared" si="3"/>
        <v>0</v>
      </c>
      <c r="K140" s="175">
        <f>(IF('Pre-Calculation'!$D$17="Type 4 a",MAX(SA,H140,1.05*Q140),IF('Pre-Calculation'!$D$17="Type 4 c",H140,IF('Pre-Calculation'!$D$17="Type 4 d",SA+H140,IF('Pre-Calculation'!$D$17="Type 4 e",MAX(SA,H140),IF('Pre-Calculation'!$D$17="Type 4 f",SA,IF('Pre-Calculation'!$D$17="Type 4 g",1000+H140,IF('Pre-Calculation'!$D$17="Type 4 h",SA+X140,IF('Pre-Calculation'!$D$17="Type 4 i",MAX(H140,Q140),IF('Pre-Calculation'!$D$17="Type 4 k",MAX(H140,1.01*Q140),IF('Pre-Calculation'!$D$17="Type 4 m",MAX(105%*Q140,SA+H140),IF('Pre-Calculation'!$D$17="Type 4 o",MAX(SA,105%*Q140)+X140+Z140,IF('Pre-Calculation'!$D$17="Type 5",0)))))))))))))*IF(AND(A140&lt;Revival!$C$4,C140&gt;=Revival!$D$12),PUP,1)</f>
        <v>1386476.532</v>
      </c>
      <c r="L140" s="175">
        <f>H140-I140*(1+Tax)</f>
        <v>1386476.532</v>
      </c>
      <c r="M140" s="175">
        <f>L140*(1+GROWTH_RATE_L)*(1-FMC*(1+Tax))</f>
        <v>1389169.927</v>
      </c>
      <c r="N140" s="175">
        <f>M140+IF(MOD(A140,B140)=0,VLOOKUP(B140,'Pre-Calculation'!$H$1:$L$31,5,FALSE),0)*IF('Pre-Calculation'!$D$16="% OF FV",M140,IF(OR('Pre-Calculation'!$D$16="% OF AFV(24M)",'Pre-Calculation'!$D$16="% OF AFV(8Q)"),AVERAGE( $M117:$M140),IF('Pre-Calculation'!$D$16="% OF AFV(12M)",AVERAGE($M129:M140),IF('Pre-Calculation'!$D$16="% OF AFV(36M)",AVERAGE($M105:M140)))))</f>
        <v>1389169.927</v>
      </c>
      <c r="O140" s="175">
        <f t="shared" si="4"/>
        <v>1389169.927</v>
      </c>
      <c r="P140" s="175">
        <f>IF('Pre-Calculation'!$D$17="Type 4 a",MAX(SA,N140,1.05*Q140),IF('Pre-Calculation'!$D$17="Type 4 c",N140,IF('Pre-Calculation'!$D$17="Type 4 d",SA+N140,IF('Pre-Calculation'!$D$17="Type 4 e",MAX(SA,N140),IF('Pre-Calculation'!$D$17="Type 4 f",SA,IF('Pre-Calculation'!$D$17="Type 4 g",1000+N140,IF('Pre-Calculation'!$D$17="Type 4 h",SA+X140,IF('Pre-Calculation'!$D$17="Type 4 i",MAX(N140,Q140),IF('Pre-Calculation'!$D$17="Type 4 k",MAX(N140,1.01*Q140),IF('Pre-Calculation'!$D$17="Type 4 m",MAX(105%*Q140,SA+N140),IF('Pre-Calculation'!$D$17="Type 4 o",MAX(SA,105%*Q140)+X140+Z140,IF('Pre-Calculation'!$D$17="Type 5",0))))))))))))</f>
        <v>1389169.927</v>
      </c>
      <c r="Q140" s="175">
        <f t="shared" si="5"/>
        <v>1000000</v>
      </c>
      <c r="R140" s="119">
        <f>L140*(1+GROWTH_RATE)*FMC</f>
        <v>1568.968115</v>
      </c>
      <c r="S140" s="178">
        <f>S139*(1+'Pre-Calculation'!$E$27)</f>
        <v>954436.9905</v>
      </c>
      <c r="T140" s="175">
        <f>-E140+IF(A139=INPUT!$C$11*12,N140,0)</f>
        <v>0</v>
      </c>
      <c r="U140" s="175">
        <f t="shared" si="6"/>
        <v>1399913.771</v>
      </c>
      <c r="V140" s="175">
        <f>U140*(1+GROWTH_RATE_L)*(1-'Pre-Calculation'!$E$31)</f>
        <v>1402157.782</v>
      </c>
      <c r="W140" s="175">
        <f>-E140+IF(A139=INPUT!$C$11*12,V140,0)</f>
        <v>0</v>
      </c>
      <c r="X140" s="179">
        <f t="array" ref="X140">NPV('Pre-Calculation'!$E$20,$E141:E$246)</f>
        <v>0</v>
      </c>
      <c r="Y140" s="171">
        <f>10%*SA</f>
        <v>100000</v>
      </c>
      <c r="Z140" s="179">
        <f t="array" ref="Z140">NPV('Pre-Calculation'!$E$20,Y141:Y150)</f>
        <v>969592.8037</v>
      </c>
    </row>
    <row r="141" ht="15.75" customHeight="1">
      <c r="A141" s="171">
        <f t="shared" si="1"/>
        <v>195</v>
      </c>
      <c r="B141" s="171">
        <f t="shared" si="2"/>
        <v>17</v>
      </c>
      <c r="C141" s="176">
        <f>EDATE(RCD,A140)</f>
        <v>48456</v>
      </c>
      <c r="D141" s="171">
        <f>Age_At_Entry+'Cashflows_4%'!B141-1</f>
        <v>51</v>
      </c>
      <c r="E141" s="175">
        <f>IF(AND(C141&lt;=Last_Prem,MOD(A140,Mode)=0,C141&gt;INPUT!$C$13,A141&lt;=Revival!$C$11),Mod_Prem,0)</f>
        <v>0</v>
      </c>
      <c r="F141" s="177">
        <f>IF(B141&lt;PT+1,E141*VLOOKUP(B141,'Pre-Calculation'!$H$1:$I$31,2,FALSE),0)</f>
        <v>0</v>
      </c>
      <c r="G141" s="177">
        <f>IF(B141&lt;PT+1,VLOOKUP(B141,'Pre-Calculation'!$H$1:$L$32,3,FALSE)+VLOOKUP(B141,'Pre-Calculation'!$H$1:$L$32,4,FALSE)*'Pre-Calculation'!$D$7,0)</f>
        <v>0</v>
      </c>
      <c r="H141" s="175">
        <f>(E141-(F141+G141)*(1+Tax)+N140)</f>
        <v>1389169.927</v>
      </c>
      <c r="I141" s="175">
        <f>IF(B141&lt;PT+1,VLOOKUP(D141,'Pre-Calculation'!$N$3:$P$79,IF(INPUT!$C$4="M",2,3),FALSE)*(J141/1000)*(1/12),0)</f>
        <v>0</v>
      </c>
      <c r="J141" s="175">
        <f t="shared" si="3"/>
        <v>0</v>
      </c>
      <c r="K141" s="175">
        <f>(IF('Pre-Calculation'!$D$17="Type 4 a",MAX(SA,H141,1.05*Q141),IF('Pre-Calculation'!$D$17="Type 4 c",H141,IF('Pre-Calculation'!$D$17="Type 4 d",SA+H141,IF('Pre-Calculation'!$D$17="Type 4 e",MAX(SA,H141),IF('Pre-Calculation'!$D$17="Type 4 f",SA,IF('Pre-Calculation'!$D$17="Type 4 g",1000+H141,IF('Pre-Calculation'!$D$17="Type 4 h",SA+X141,IF('Pre-Calculation'!$D$17="Type 4 i",MAX(H141,Q141),IF('Pre-Calculation'!$D$17="Type 4 k",MAX(H141,1.01*Q141),IF('Pre-Calculation'!$D$17="Type 4 m",MAX(105%*Q141,SA+H141),IF('Pre-Calculation'!$D$17="Type 4 o",MAX(SA,105%*Q141)+X141+Z141,IF('Pre-Calculation'!$D$17="Type 5",0)))))))))))))*IF(AND(A141&lt;Revival!$C$4,C141&gt;=Revival!$D$12),PUP,1)</f>
        <v>1389169.927</v>
      </c>
      <c r="L141" s="175">
        <f>H141-I141*(1+Tax)</f>
        <v>1389169.927</v>
      </c>
      <c r="M141" s="175">
        <f>L141*(1+GROWTH_RATE_L)*(1-FMC*(1+Tax))</f>
        <v>1391868.554</v>
      </c>
      <c r="N141" s="175">
        <f>M141+IF(MOD(A141,B141)=0,VLOOKUP(B141,'Pre-Calculation'!$H$1:$L$31,5,FALSE),0)*IF('Pre-Calculation'!$D$16="% OF FV",M141,IF(OR('Pre-Calculation'!$D$16="% OF AFV(24M)",'Pre-Calculation'!$D$16="% OF AFV(8Q)"),AVERAGE( $M118:$M141),IF('Pre-Calculation'!$D$16="% OF AFV(12M)",AVERAGE($M130:M141),IF('Pre-Calculation'!$D$16="% OF AFV(36M)",AVERAGE($M106:M141)))))</f>
        <v>1391868.554</v>
      </c>
      <c r="O141" s="175">
        <f t="shared" si="4"/>
        <v>1391868.554</v>
      </c>
      <c r="P141" s="175">
        <f>IF('Pre-Calculation'!$D$17="Type 4 a",MAX(SA,N141,1.05*Q141),IF('Pre-Calculation'!$D$17="Type 4 c",N141,IF('Pre-Calculation'!$D$17="Type 4 d",SA+N141,IF('Pre-Calculation'!$D$17="Type 4 e",MAX(SA,N141),IF('Pre-Calculation'!$D$17="Type 4 f",SA,IF('Pre-Calculation'!$D$17="Type 4 g",1000+N141,IF('Pre-Calculation'!$D$17="Type 4 h",SA+X141,IF('Pre-Calculation'!$D$17="Type 4 i",MAX(N141,Q141),IF('Pre-Calculation'!$D$17="Type 4 k",MAX(N141,1.01*Q141),IF('Pre-Calculation'!$D$17="Type 4 m",MAX(105%*Q141,SA+N141),IF('Pre-Calculation'!$D$17="Type 4 o",MAX(SA,105%*Q141)+X141+Z141,IF('Pre-Calculation'!$D$17="Type 5",0))))))))))))</f>
        <v>1391868.554</v>
      </c>
      <c r="Q141" s="175">
        <f t="shared" si="5"/>
        <v>1000000</v>
      </c>
      <c r="R141" s="119">
        <f>L141*(1+GROWTH_RATE)*FMC</f>
        <v>1572.016021</v>
      </c>
      <c r="S141" s="178">
        <f>S140*(1+'Pre-Calculation'!$E$27)</f>
        <v>957177.0824</v>
      </c>
      <c r="T141" s="175">
        <f>-E141+IF(A140=INPUT!$C$11*12,N141,0)</f>
        <v>0</v>
      </c>
      <c r="U141" s="175">
        <f t="shared" si="6"/>
        <v>1402157.782</v>
      </c>
      <c r="V141" s="175">
        <f>U141*(1+GROWTH_RATE_L)*(1-'Pre-Calculation'!$E$31)</f>
        <v>1404405.39</v>
      </c>
      <c r="W141" s="175">
        <f>-E141+IF(A140=INPUT!$C$11*12,V141,0)</f>
        <v>0</v>
      </c>
      <c r="X141" s="179">
        <f t="array" ref="X141">NPV('Pre-Calculation'!$E$20,$E142:E$246)</f>
        <v>0</v>
      </c>
      <c r="Y141" s="171">
        <f>10%*SA</f>
        <v>100000</v>
      </c>
      <c r="Z141" s="179">
        <f t="array" ref="Z141">NPV('Pre-Calculation'!$E$20,Y142:Y151)</f>
        <v>969592.8037</v>
      </c>
    </row>
    <row r="142" ht="15.75" customHeight="1">
      <c r="A142" s="171">
        <f t="shared" si="1"/>
        <v>196</v>
      </c>
      <c r="B142" s="171">
        <f t="shared" si="2"/>
        <v>17</v>
      </c>
      <c r="C142" s="176">
        <f>EDATE(RCD,A141)</f>
        <v>48487</v>
      </c>
      <c r="D142" s="171">
        <f>Age_At_Entry+'Cashflows_4%'!B142-1</f>
        <v>51</v>
      </c>
      <c r="E142" s="175">
        <f>IF(AND(C142&lt;=Last_Prem,MOD(A141,Mode)=0,C142&gt;INPUT!$C$13,A142&lt;=Revival!$C$11),Mod_Prem,0)</f>
        <v>0</v>
      </c>
      <c r="F142" s="177">
        <f>IF(B142&lt;PT+1,E142*VLOOKUP(B142,'Pre-Calculation'!$H$1:$I$31,2,FALSE),0)</f>
        <v>0</v>
      </c>
      <c r="G142" s="177">
        <f>IF(B142&lt;PT+1,VLOOKUP(B142,'Pre-Calculation'!$H$1:$L$32,3,FALSE)+VLOOKUP(B142,'Pre-Calculation'!$H$1:$L$32,4,FALSE)*'Pre-Calculation'!$D$7,0)</f>
        <v>0</v>
      </c>
      <c r="H142" s="175">
        <f>(E142-(F142+G142)*(1+Tax)+N141)</f>
        <v>1391868.554</v>
      </c>
      <c r="I142" s="175">
        <f>IF(B142&lt;PT+1,VLOOKUP(D142,'Pre-Calculation'!$N$3:$P$79,IF(INPUT!$C$4="M",2,3),FALSE)*(J142/1000)*(1/12),0)</f>
        <v>0</v>
      </c>
      <c r="J142" s="175">
        <f t="shared" si="3"/>
        <v>0</v>
      </c>
      <c r="K142" s="175">
        <f>(IF('Pre-Calculation'!$D$17="Type 4 a",MAX(SA,H142,1.05*Q142),IF('Pre-Calculation'!$D$17="Type 4 c",H142,IF('Pre-Calculation'!$D$17="Type 4 d",SA+H142,IF('Pre-Calculation'!$D$17="Type 4 e",MAX(SA,H142),IF('Pre-Calculation'!$D$17="Type 4 f",SA,IF('Pre-Calculation'!$D$17="Type 4 g",1000+H142,IF('Pre-Calculation'!$D$17="Type 4 h",SA+X142,IF('Pre-Calculation'!$D$17="Type 4 i",MAX(H142,Q142),IF('Pre-Calculation'!$D$17="Type 4 k",MAX(H142,1.01*Q142),IF('Pre-Calculation'!$D$17="Type 4 m",MAX(105%*Q142,SA+H142),IF('Pre-Calculation'!$D$17="Type 4 o",MAX(SA,105%*Q142)+X142+Z142,IF('Pre-Calculation'!$D$17="Type 5",0)))))))))))))*IF(AND(A142&lt;Revival!$C$4,C142&gt;=Revival!$D$12),PUP,1)</f>
        <v>1391868.554</v>
      </c>
      <c r="L142" s="175">
        <f>H142-I142*(1+Tax)</f>
        <v>1391868.554</v>
      </c>
      <c r="M142" s="175">
        <f>L142*(1+GROWTH_RATE_L)*(1-FMC*(1+Tax))</f>
        <v>1394572.423</v>
      </c>
      <c r="N142" s="175">
        <f>M142+IF(MOD(A142,B142)=0,VLOOKUP(B142,'Pre-Calculation'!$H$1:$L$31,5,FALSE),0)*IF('Pre-Calculation'!$D$16="% OF FV",M142,IF(OR('Pre-Calculation'!$D$16="% OF AFV(24M)",'Pre-Calculation'!$D$16="% OF AFV(8Q)"),AVERAGE( $M119:$M142),IF('Pre-Calculation'!$D$16="% OF AFV(12M)",AVERAGE($M131:M142),IF('Pre-Calculation'!$D$16="% OF AFV(36M)",AVERAGE($M107:M142)))))</f>
        <v>1394572.423</v>
      </c>
      <c r="O142" s="175">
        <f t="shared" si="4"/>
        <v>1394572.423</v>
      </c>
      <c r="P142" s="175">
        <f>IF('Pre-Calculation'!$D$17="Type 4 a",MAX(SA,N142,1.05*Q142),IF('Pre-Calculation'!$D$17="Type 4 c",N142,IF('Pre-Calculation'!$D$17="Type 4 d",SA+N142,IF('Pre-Calculation'!$D$17="Type 4 e",MAX(SA,N142),IF('Pre-Calculation'!$D$17="Type 4 f",SA,IF('Pre-Calculation'!$D$17="Type 4 g",1000+N142,IF('Pre-Calculation'!$D$17="Type 4 h",SA+X142,IF('Pre-Calculation'!$D$17="Type 4 i",MAX(N142,Q142),IF('Pre-Calculation'!$D$17="Type 4 k",MAX(N142,1.01*Q142),IF('Pre-Calculation'!$D$17="Type 4 m",MAX(105%*Q142,SA+N142),IF('Pre-Calculation'!$D$17="Type 4 o",MAX(SA,105%*Q142)+X142+Z142,IF('Pre-Calculation'!$D$17="Type 5",0))))))))))))</f>
        <v>1394572.423</v>
      </c>
      <c r="Q142" s="175">
        <f t="shared" si="5"/>
        <v>1000000</v>
      </c>
      <c r="R142" s="119">
        <f>L142*(1+GROWTH_RATE)*FMC</f>
        <v>1575.069848</v>
      </c>
      <c r="S142" s="178">
        <f>S141*(1+'Pre-Calculation'!$E$27)</f>
        <v>959925.0409</v>
      </c>
      <c r="T142" s="175">
        <f>-E142+IF(A141=INPUT!$C$11*12,N142,0)</f>
        <v>0</v>
      </c>
      <c r="U142" s="175">
        <f t="shared" si="6"/>
        <v>1404405.39</v>
      </c>
      <c r="V142" s="175">
        <f>U142*(1+GROWTH_RATE_L)*(1-'Pre-Calculation'!$E$31)</f>
        <v>1406656.601</v>
      </c>
      <c r="W142" s="175">
        <f>-E142+IF(A141=INPUT!$C$11*12,V142,0)</f>
        <v>0</v>
      </c>
      <c r="X142" s="179">
        <f t="array" ref="X142">NPV('Pre-Calculation'!$E$20,$E143:E$246)</f>
        <v>0</v>
      </c>
      <c r="Y142" s="171">
        <f>10%*SA</f>
        <v>100000</v>
      </c>
      <c r="Z142" s="179">
        <f t="array" ref="Z142">NPV('Pre-Calculation'!$E$20,Y143:Y152)</f>
        <v>969592.8037</v>
      </c>
    </row>
    <row r="143" ht="15.75" customHeight="1">
      <c r="A143" s="171">
        <f t="shared" si="1"/>
        <v>197</v>
      </c>
      <c r="B143" s="171">
        <f t="shared" si="2"/>
        <v>17</v>
      </c>
      <c r="C143" s="176">
        <f>EDATE(RCD,A142)</f>
        <v>48517</v>
      </c>
      <c r="D143" s="171">
        <f>Age_At_Entry+'Cashflows_4%'!B143-1</f>
        <v>51</v>
      </c>
      <c r="E143" s="175">
        <f>IF(AND(C143&lt;=Last_Prem,MOD(A142,Mode)=0,C143&gt;INPUT!$C$13,A143&lt;=Revival!$C$11),Mod_Prem,0)</f>
        <v>0</v>
      </c>
      <c r="F143" s="177">
        <f>IF(B143&lt;PT+1,E143*VLOOKUP(B143,'Pre-Calculation'!$H$1:$I$31,2,FALSE),0)</f>
        <v>0</v>
      </c>
      <c r="G143" s="177">
        <f>IF(B143&lt;PT+1,VLOOKUP(B143,'Pre-Calculation'!$H$1:$L$32,3,FALSE)+VLOOKUP(B143,'Pre-Calculation'!$H$1:$L$32,4,FALSE)*'Pre-Calculation'!$D$7,0)</f>
        <v>0</v>
      </c>
      <c r="H143" s="175">
        <f>(E143-(F143+G143)*(1+Tax)+N142)</f>
        <v>1394572.423</v>
      </c>
      <c r="I143" s="175">
        <f>IF(B143&lt;PT+1,VLOOKUP(D143,'Pre-Calculation'!$N$3:$P$79,IF(INPUT!$C$4="M",2,3),FALSE)*(J143/1000)*(1/12),0)</f>
        <v>0</v>
      </c>
      <c r="J143" s="175">
        <f t="shared" si="3"/>
        <v>0</v>
      </c>
      <c r="K143" s="175">
        <f>(IF('Pre-Calculation'!$D$17="Type 4 a",MAX(SA,H143,1.05*Q143),IF('Pre-Calculation'!$D$17="Type 4 c",H143,IF('Pre-Calculation'!$D$17="Type 4 d",SA+H143,IF('Pre-Calculation'!$D$17="Type 4 e",MAX(SA,H143),IF('Pre-Calculation'!$D$17="Type 4 f",SA,IF('Pre-Calculation'!$D$17="Type 4 g",1000+H143,IF('Pre-Calculation'!$D$17="Type 4 h",SA+X143,IF('Pre-Calculation'!$D$17="Type 4 i",MAX(H143,Q143),IF('Pre-Calculation'!$D$17="Type 4 k",MAX(H143,1.01*Q143),IF('Pre-Calculation'!$D$17="Type 4 m",MAX(105%*Q143,SA+H143),IF('Pre-Calculation'!$D$17="Type 4 o",MAX(SA,105%*Q143)+X143+Z143,IF('Pre-Calculation'!$D$17="Type 5",0)))))))))))))*IF(AND(A143&lt;Revival!$C$4,C143&gt;=Revival!$D$12),PUP,1)</f>
        <v>1394572.423</v>
      </c>
      <c r="L143" s="175">
        <f>H143-I143*(1+Tax)</f>
        <v>1394572.423</v>
      </c>
      <c r="M143" s="175">
        <f>L143*(1+GROWTH_RATE_L)*(1-FMC*(1+Tax))</f>
        <v>1397281.544</v>
      </c>
      <c r="N143" s="175">
        <f>M143+IF(MOD(A143,B143)=0,VLOOKUP(B143,'Pre-Calculation'!$H$1:$L$31,5,FALSE),0)*IF('Pre-Calculation'!$D$16="% OF FV",M143,IF(OR('Pre-Calculation'!$D$16="% OF AFV(24M)",'Pre-Calculation'!$D$16="% OF AFV(8Q)"),AVERAGE( $M120:$M143),IF('Pre-Calculation'!$D$16="% OF AFV(12M)",AVERAGE($M132:M143),IF('Pre-Calculation'!$D$16="% OF AFV(36M)",AVERAGE($M108:M143)))))</f>
        <v>1397281.544</v>
      </c>
      <c r="O143" s="175">
        <f t="shared" si="4"/>
        <v>1397281.544</v>
      </c>
      <c r="P143" s="175">
        <f>IF('Pre-Calculation'!$D$17="Type 4 a",MAX(SA,N143,1.05*Q143),IF('Pre-Calculation'!$D$17="Type 4 c",N143,IF('Pre-Calculation'!$D$17="Type 4 d",SA+N143,IF('Pre-Calculation'!$D$17="Type 4 e",MAX(SA,N143),IF('Pre-Calculation'!$D$17="Type 4 f",SA,IF('Pre-Calculation'!$D$17="Type 4 g",1000+N143,IF('Pre-Calculation'!$D$17="Type 4 h",SA+X143,IF('Pre-Calculation'!$D$17="Type 4 i",MAX(N143,Q143),IF('Pre-Calculation'!$D$17="Type 4 k",MAX(N143,1.01*Q143),IF('Pre-Calculation'!$D$17="Type 4 m",MAX(105%*Q143,SA+N143),IF('Pre-Calculation'!$D$17="Type 4 o",MAX(SA,105%*Q143)+X143+Z143,IF('Pre-Calculation'!$D$17="Type 5",0))))))))))))</f>
        <v>1397281.544</v>
      </c>
      <c r="Q143" s="175">
        <f t="shared" si="5"/>
        <v>1000000</v>
      </c>
      <c r="R143" s="119">
        <f>L143*(1+GROWTH_RATE)*FMC</f>
        <v>1578.129607</v>
      </c>
      <c r="S143" s="178">
        <f>S142*(1+'Pre-Calculation'!$E$27)</f>
        <v>962680.8885</v>
      </c>
      <c r="T143" s="175">
        <f>-E143+IF(A142=INPUT!$C$11*12,N143,0)</f>
        <v>0</v>
      </c>
      <c r="U143" s="175">
        <f t="shared" si="6"/>
        <v>1406656.601</v>
      </c>
      <c r="V143" s="175">
        <f>U143*(1+GROWTH_RATE_L)*(1-'Pre-Calculation'!$E$31)</f>
        <v>1408911.421</v>
      </c>
      <c r="W143" s="175">
        <f>-E143+IF(A142=INPUT!$C$11*12,V143,0)</f>
        <v>0</v>
      </c>
      <c r="X143" s="179">
        <f t="array" ref="X143">NPV('Pre-Calculation'!$E$20,$E144:E$246)</f>
        <v>0</v>
      </c>
      <c r="Y143" s="171">
        <f>10%*SA</f>
        <v>100000</v>
      </c>
      <c r="Z143" s="179">
        <f t="array" ref="Z143">NPV('Pre-Calculation'!$E$20,Y144:Y153)</f>
        <v>969592.8037</v>
      </c>
    </row>
    <row r="144" ht="15.75" customHeight="1">
      <c r="A144" s="171">
        <f t="shared" si="1"/>
        <v>198</v>
      </c>
      <c r="B144" s="171">
        <f t="shared" si="2"/>
        <v>17</v>
      </c>
      <c r="C144" s="176">
        <f>EDATE(RCD,A143)</f>
        <v>48548</v>
      </c>
      <c r="D144" s="171">
        <f>Age_At_Entry+'Cashflows_4%'!B144-1</f>
        <v>51</v>
      </c>
      <c r="E144" s="175">
        <f>IF(AND(C144&lt;=Last_Prem,MOD(A143,Mode)=0,C144&gt;INPUT!$C$13,A144&lt;=Revival!$C$11),Mod_Prem,0)</f>
        <v>0</v>
      </c>
      <c r="F144" s="177">
        <f>IF(B144&lt;PT+1,E144*VLOOKUP(B144,'Pre-Calculation'!$H$1:$I$31,2,FALSE),0)</f>
        <v>0</v>
      </c>
      <c r="G144" s="177">
        <f>IF(B144&lt;PT+1,VLOOKUP(B144,'Pre-Calculation'!$H$1:$L$32,3,FALSE)+VLOOKUP(B144,'Pre-Calculation'!$H$1:$L$32,4,FALSE)*'Pre-Calculation'!$D$7,0)</f>
        <v>0</v>
      </c>
      <c r="H144" s="175">
        <f>(E144-(F144+G144)*(1+Tax)+N143)</f>
        <v>1397281.544</v>
      </c>
      <c r="I144" s="175">
        <f>IF(B144&lt;PT+1,VLOOKUP(D144,'Pre-Calculation'!$N$3:$P$79,IF(INPUT!$C$4="M",2,3),FALSE)*(J144/1000)*(1/12),0)</f>
        <v>0</v>
      </c>
      <c r="J144" s="175">
        <f t="shared" si="3"/>
        <v>0</v>
      </c>
      <c r="K144" s="175">
        <f>(IF('Pre-Calculation'!$D$17="Type 4 a",MAX(SA,H144,1.05*Q144),IF('Pre-Calculation'!$D$17="Type 4 c",H144,IF('Pre-Calculation'!$D$17="Type 4 d",SA+H144,IF('Pre-Calculation'!$D$17="Type 4 e",MAX(SA,H144),IF('Pre-Calculation'!$D$17="Type 4 f",SA,IF('Pre-Calculation'!$D$17="Type 4 g",1000+H144,IF('Pre-Calculation'!$D$17="Type 4 h",SA+X144,IF('Pre-Calculation'!$D$17="Type 4 i",MAX(H144,Q144),IF('Pre-Calculation'!$D$17="Type 4 k",MAX(H144,1.01*Q144),IF('Pre-Calculation'!$D$17="Type 4 m",MAX(105%*Q144,SA+H144),IF('Pre-Calculation'!$D$17="Type 4 o",MAX(SA,105%*Q144)+X144+Z144,IF('Pre-Calculation'!$D$17="Type 5",0)))))))))))))*IF(AND(A144&lt;Revival!$C$4,C144&gt;=Revival!$D$12),PUP,1)</f>
        <v>1397281.544</v>
      </c>
      <c r="L144" s="175">
        <f>H144-I144*(1+Tax)</f>
        <v>1397281.544</v>
      </c>
      <c r="M144" s="175">
        <f>L144*(1+GROWTH_RATE_L)*(1-FMC*(1+Tax))</f>
        <v>1399995.929</v>
      </c>
      <c r="N144" s="175">
        <f>M144+IF(MOD(A144,B144)=0,VLOOKUP(B144,'Pre-Calculation'!$H$1:$L$31,5,FALSE),0)*IF('Pre-Calculation'!$D$16="% OF FV",M144,IF(OR('Pre-Calculation'!$D$16="% OF AFV(24M)",'Pre-Calculation'!$D$16="% OF AFV(8Q)"),AVERAGE( $M121:$M144),IF('Pre-Calculation'!$D$16="% OF AFV(12M)",AVERAGE($M133:M144),IF('Pre-Calculation'!$D$16="% OF AFV(36M)",AVERAGE($M109:M144)))))</f>
        <v>1399995.929</v>
      </c>
      <c r="O144" s="175">
        <f t="shared" si="4"/>
        <v>1399995.929</v>
      </c>
      <c r="P144" s="175">
        <f>IF('Pre-Calculation'!$D$17="Type 4 a",MAX(SA,N144,1.05*Q144),IF('Pre-Calculation'!$D$17="Type 4 c",N144,IF('Pre-Calculation'!$D$17="Type 4 d",SA+N144,IF('Pre-Calculation'!$D$17="Type 4 e",MAX(SA,N144),IF('Pre-Calculation'!$D$17="Type 4 f",SA,IF('Pre-Calculation'!$D$17="Type 4 g",1000+N144,IF('Pre-Calculation'!$D$17="Type 4 h",SA+X144,IF('Pre-Calculation'!$D$17="Type 4 i",MAX(N144,Q144),IF('Pre-Calculation'!$D$17="Type 4 k",MAX(N144,1.01*Q144),IF('Pre-Calculation'!$D$17="Type 4 m",MAX(105%*Q144,SA+N144),IF('Pre-Calculation'!$D$17="Type 4 o",MAX(SA,105%*Q144)+X144+Z144,IF('Pre-Calculation'!$D$17="Type 5",0))))))))))))</f>
        <v>1399995.929</v>
      </c>
      <c r="Q144" s="175">
        <f t="shared" si="5"/>
        <v>1000000</v>
      </c>
      <c r="R144" s="119">
        <f>L144*(1+GROWTH_RATE)*FMC</f>
        <v>1581.19531</v>
      </c>
      <c r="S144" s="178">
        <f>S143*(1+'Pre-Calculation'!$E$27)</f>
        <v>965444.6478</v>
      </c>
      <c r="T144" s="175">
        <f>-E144+IF(A143=INPUT!$C$11*12,N144,0)</f>
        <v>0</v>
      </c>
      <c r="U144" s="175">
        <f t="shared" si="6"/>
        <v>1408911.421</v>
      </c>
      <c r="V144" s="175">
        <f>U144*(1+GROWTH_RATE_L)*(1-'Pre-Calculation'!$E$31)</f>
        <v>1411169.855</v>
      </c>
      <c r="W144" s="175">
        <f>-E144+IF(A143=INPUT!$C$11*12,V144,0)</f>
        <v>0</v>
      </c>
      <c r="X144" s="179">
        <f t="array" ref="X144">NPV('Pre-Calculation'!$E$20,$E145:E$246)</f>
        <v>0</v>
      </c>
      <c r="Y144" s="171">
        <f>10%*SA</f>
        <v>100000</v>
      </c>
      <c r="Z144" s="179">
        <f t="array" ref="Z144">NPV('Pre-Calculation'!$E$20,Y145:Y154)</f>
        <v>969592.8037</v>
      </c>
    </row>
    <row r="145" ht="15.75" customHeight="1">
      <c r="A145" s="171">
        <f t="shared" si="1"/>
        <v>199</v>
      </c>
      <c r="B145" s="171">
        <f t="shared" si="2"/>
        <v>17</v>
      </c>
      <c r="C145" s="176">
        <f>EDATE(RCD,A144)</f>
        <v>48578</v>
      </c>
      <c r="D145" s="171">
        <f>Age_At_Entry+'Cashflows_4%'!B145-1</f>
        <v>51</v>
      </c>
      <c r="E145" s="175">
        <f>IF(AND(C145&lt;=Last_Prem,MOD(A144,Mode)=0,C145&gt;INPUT!$C$13,A145&lt;=Revival!$C$11),Mod_Prem,0)</f>
        <v>0</v>
      </c>
      <c r="F145" s="177">
        <f>IF(B145&lt;PT+1,E145*VLOOKUP(B145,'Pre-Calculation'!$H$1:$I$31,2,FALSE),0)</f>
        <v>0</v>
      </c>
      <c r="G145" s="177">
        <f>IF(B145&lt;PT+1,VLOOKUP(B145,'Pre-Calculation'!$H$1:$L$32,3,FALSE)+VLOOKUP(B145,'Pre-Calculation'!$H$1:$L$32,4,FALSE)*'Pre-Calculation'!$D$7,0)</f>
        <v>0</v>
      </c>
      <c r="H145" s="175">
        <f>(E145-(F145+G145)*(1+Tax)+N144)</f>
        <v>1399995.929</v>
      </c>
      <c r="I145" s="175">
        <f>IF(B145&lt;PT+1,VLOOKUP(D145,'Pre-Calculation'!$N$3:$P$79,IF(INPUT!$C$4="M",2,3),FALSE)*(J145/1000)*(1/12),0)</f>
        <v>0</v>
      </c>
      <c r="J145" s="175">
        <f t="shared" si="3"/>
        <v>0</v>
      </c>
      <c r="K145" s="175">
        <f>(IF('Pre-Calculation'!$D$17="Type 4 a",MAX(SA,H145,1.05*Q145),IF('Pre-Calculation'!$D$17="Type 4 c",H145,IF('Pre-Calculation'!$D$17="Type 4 d",SA+H145,IF('Pre-Calculation'!$D$17="Type 4 e",MAX(SA,H145),IF('Pre-Calculation'!$D$17="Type 4 f",SA,IF('Pre-Calculation'!$D$17="Type 4 g",1000+H145,IF('Pre-Calculation'!$D$17="Type 4 h",SA+X145,IF('Pre-Calculation'!$D$17="Type 4 i",MAX(H145,Q145),IF('Pre-Calculation'!$D$17="Type 4 k",MAX(H145,1.01*Q145),IF('Pre-Calculation'!$D$17="Type 4 m",MAX(105%*Q145,SA+H145),IF('Pre-Calculation'!$D$17="Type 4 o",MAX(SA,105%*Q145)+X145+Z145,IF('Pre-Calculation'!$D$17="Type 5",0)))))))))))))*IF(AND(A145&lt;Revival!$C$4,C145&gt;=Revival!$D$12),PUP,1)</f>
        <v>1399995.929</v>
      </c>
      <c r="L145" s="175">
        <f>H145-I145*(1+Tax)</f>
        <v>1399995.929</v>
      </c>
      <c r="M145" s="175">
        <f>L145*(1+GROWTH_RATE_L)*(1-FMC*(1+Tax))</f>
        <v>1402715.587</v>
      </c>
      <c r="N145" s="175">
        <f>M145+IF(MOD(A145,B145)=0,VLOOKUP(B145,'Pre-Calculation'!$H$1:$L$31,5,FALSE),0)*IF('Pre-Calculation'!$D$16="% OF FV",M145,IF(OR('Pre-Calculation'!$D$16="% OF AFV(24M)",'Pre-Calculation'!$D$16="% OF AFV(8Q)"),AVERAGE( $M122:$M145),IF('Pre-Calculation'!$D$16="% OF AFV(12M)",AVERAGE($M134:M145),IF('Pre-Calculation'!$D$16="% OF AFV(36M)",AVERAGE($M110:M145)))))</f>
        <v>1402715.587</v>
      </c>
      <c r="O145" s="175">
        <f t="shared" si="4"/>
        <v>1402715.587</v>
      </c>
      <c r="P145" s="175">
        <f>IF('Pre-Calculation'!$D$17="Type 4 a",MAX(SA,N145,1.05*Q145),IF('Pre-Calculation'!$D$17="Type 4 c",N145,IF('Pre-Calculation'!$D$17="Type 4 d",SA+N145,IF('Pre-Calculation'!$D$17="Type 4 e",MAX(SA,N145),IF('Pre-Calculation'!$D$17="Type 4 f",SA,IF('Pre-Calculation'!$D$17="Type 4 g",1000+N145,IF('Pre-Calculation'!$D$17="Type 4 h",SA+X145,IF('Pre-Calculation'!$D$17="Type 4 i",MAX(N145,Q145),IF('Pre-Calculation'!$D$17="Type 4 k",MAX(N145,1.01*Q145),IF('Pre-Calculation'!$D$17="Type 4 m",MAX(105%*Q145,SA+N145),IF('Pre-Calculation'!$D$17="Type 4 o",MAX(SA,105%*Q145)+X145+Z145,IF('Pre-Calculation'!$D$17="Type 5",0))))))))))))</f>
        <v>1402715.587</v>
      </c>
      <c r="Q145" s="175">
        <f t="shared" si="5"/>
        <v>1000000</v>
      </c>
      <c r="R145" s="119">
        <f>L145*(1+GROWTH_RATE)*FMC</f>
        <v>1584.266969</v>
      </c>
      <c r="S145" s="178">
        <f>S144*(1+'Pre-Calculation'!$E$27)</f>
        <v>968216.3416</v>
      </c>
      <c r="T145" s="175">
        <f>-E145+IF(A144=INPUT!$C$11*12,N145,0)</f>
        <v>0</v>
      </c>
      <c r="U145" s="175">
        <f t="shared" si="6"/>
        <v>1411169.855</v>
      </c>
      <c r="V145" s="175">
        <f>U145*(1+GROWTH_RATE_L)*(1-'Pre-Calculation'!$E$31)</f>
        <v>1413431.909</v>
      </c>
      <c r="W145" s="175">
        <f>-E145+IF(A144=INPUT!$C$11*12,V145,0)</f>
        <v>0</v>
      </c>
      <c r="X145" s="179">
        <f t="array" ref="X145">NPV('Pre-Calculation'!$E$20,$E146:E$246)</f>
        <v>0</v>
      </c>
      <c r="Y145" s="171">
        <f>10%*SA</f>
        <v>100000</v>
      </c>
      <c r="Z145" s="179">
        <f t="array" ref="Z145">NPV('Pre-Calculation'!$E$20,Y146:Y155)</f>
        <v>969592.8037</v>
      </c>
    </row>
    <row r="146" ht="15.75" customHeight="1">
      <c r="A146" s="171">
        <f t="shared" si="1"/>
        <v>200</v>
      </c>
      <c r="B146" s="171">
        <f t="shared" si="2"/>
        <v>17</v>
      </c>
      <c r="C146" s="176">
        <f>EDATE(RCD,A145)</f>
        <v>48609</v>
      </c>
      <c r="D146" s="171">
        <f>Age_At_Entry+'Cashflows_4%'!B146-1</f>
        <v>51</v>
      </c>
      <c r="E146" s="175">
        <f>IF(AND(C146&lt;=Last_Prem,MOD(A145,Mode)=0,C146&gt;INPUT!$C$13,A146&lt;=Revival!$C$11),Mod_Prem,0)</f>
        <v>0</v>
      </c>
      <c r="F146" s="177">
        <f>IF(B146&lt;PT+1,E146*VLOOKUP(B146,'Pre-Calculation'!$H$1:$I$31,2,FALSE),0)</f>
        <v>0</v>
      </c>
      <c r="G146" s="177">
        <f>IF(B146&lt;PT+1,VLOOKUP(B146,'Pre-Calculation'!$H$1:$L$32,3,FALSE)+VLOOKUP(B146,'Pre-Calculation'!$H$1:$L$32,4,FALSE)*'Pre-Calculation'!$D$7,0)</f>
        <v>0</v>
      </c>
      <c r="H146" s="175">
        <f>(E146-(F146+G146)*(1+Tax)+N145)</f>
        <v>1402715.587</v>
      </c>
      <c r="I146" s="175">
        <f>IF(B146&lt;PT+1,VLOOKUP(D146,'Pre-Calculation'!$N$3:$P$79,IF(INPUT!$C$4="M",2,3),FALSE)*(J146/1000)*(1/12),0)</f>
        <v>0</v>
      </c>
      <c r="J146" s="175">
        <f t="shared" si="3"/>
        <v>0</v>
      </c>
      <c r="K146" s="175">
        <f>(IF('Pre-Calculation'!$D$17="Type 4 a",MAX(SA,H146,1.05*Q146),IF('Pre-Calculation'!$D$17="Type 4 c",H146,IF('Pre-Calculation'!$D$17="Type 4 d",SA+H146,IF('Pre-Calculation'!$D$17="Type 4 e",MAX(SA,H146),IF('Pre-Calculation'!$D$17="Type 4 f",SA,IF('Pre-Calculation'!$D$17="Type 4 g",1000+H146,IF('Pre-Calculation'!$D$17="Type 4 h",SA+X146,IF('Pre-Calculation'!$D$17="Type 4 i",MAX(H146,Q146),IF('Pre-Calculation'!$D$17="Type 4 k",MAX(H146,1.01*Q146),IF('Pre-Calculation'!$D$17="Type 4 m",MAX(105%*Q146,SA+H146),IF('Pre-Calculation'!$D$17="Type 4 o",MAX(SA,105%*Q146)+X146+Z146,IF('Pre-Calculation'!$D$17="Type 5",0)))))))))))))*IF(AND(A146&lt;Revival!$C$4,C146&gt;=Revival!$D$12),PUP,1)</f>
        <v>1402715.587</v>
      </c>
      <c r="L146" s="175">
        <f>H146-I146*(1+Tax)</f>
        <v>1402715.587</v>
      </c>
      <c r="M146" s="175">
        <f>L146*(1+GROWTH_RATE_L)*(1-FMC*(1+Tax))</f>
        <v>1405440.527</v>
      </c>
      <c r="N146" s="175">
        <f>M146+IF(MOD(A146,B146)=0,VLOOKUP(B146,'Pre-Calculation'!$H$1:$L$31,5,FALSE),0)*IF('Pre-Calculation'!$D$16="% OF FV",M146,IF(OR('Pre-Calculation'!$D$16="% OF AFV(24M)",'Pre-Calculation'!$D$16="% OF AFV(8Q)"),AVERAGE( $M123:$M146),IF('Pre-Calculation'!$D$16="% OF AFV(12M)",AVERAGE($M135:M146),IF('Pre-Calculation'!$D$16="% OF AFV(36M)",AVERAGE($M111:M146)))))</f>
        <v>1405440.527</v>
      </c>
      <c r="O146" s="175">
        <f t="shared" si="4"/>
        <v>1405440.527</v>
      </c>
      <c r="P146" s="175">
        <f>IF('Pre-Calculation'!$D$17="Type 4 a",MAX(SA,N146,1.05*Q146),IF('Pre-Calculation'!$D$17="Type 4 c",N146,IF('Pre-Calculation'!$D$17="Type 4 d",SA+N146,IF('Pre-Calculation'!$D$17="Type 4 e",MAX(SA,N146),IF('Pre-Calculation'!$D$17="Type 4 f",SA,IF('Pre-Calculation'!$D$17="Type 4 g",1000+N146,IF('Pre-Calculation'!$D$17="Type 4 h",SA+X146,IF('Pre-Calculation'!$D$17="Type 4 i",MAX(N146,Q146),IF('Pre-Calculation'!$D$17="Type 4 k",MAX(N146,1.01*Q146),IF('Pre-Calculation'!$D$17="Type 4 m",MAX(105%*Q146,SA+N146),IF('Pre-Calculation'!$D$17="Type 4 o",MAX(SA,105%*Q146)+X146+Z146,IF('Pre-Calculation'!$D$17="Type 5",0))))))))))))</f>
        <v>1405440.527</v>
      </c>
      <c r="Q146" s="175">
        <f t="shared" si="5"/>
        <v>1000000</v>
      </c>
      <c r="R146" s="119">
        <f>L146*(1+GROWTH_RATE)*FMC</f>
        <v>1587.344595</v>
      </c>
      <c r="S146" s="178">
        <f>S145*(1+'Pre-Calculation'!$E$27)</f>
        <v>970995.9927</v>
      </c>
      <c r="T146" s="175">
        <f>-E146+IF(A145=INPUT!$C$11*12,N146,0)</f>
        <v>0</v>
      </c>
      <c r="U146" s="175">
        <f t="shared" si="6"/>
        <v>1413431.909</v>
      </c>
      <c r="V146" s="175">
        <f>U146*(1+GROWTH_RATE_L)*(1-'Pre-Calculation'!$E$31)</f>
        <v>1415697.589</v>
      </c>
      <c r="W146" s="175">
        <f>-E146+IF(A145=INPUT!$C$11*12,V146,0)</f>
        <v>0</v>
      </c>
      <c r="X146" s="179">
        <f t="array" ref="X146">NPV('Pre-Calculation'!$E$20,$E147:E$246)</f>
        <v>0</v>
      </c>
      <c r="Y146" s="171">
        <f>10%*SA</f>
        <v>100000</v>
      </c>
      <c r="Z146" s="179">
        <f t="array" ref="Z146">NPV('Pre-Calculation'!$E$20,Y147:Y156)</f>
        <v>969592.8037</v>
      </c>
    </row>
    <row r="147" ht="15.75" customHeight="1">
      <c r="A147" s="171">
        <f t="shared" si="1"/>
        <v>201</v>
      </c>
      <c r="B147" s="171">
        <f t="shared" si="2"/>
        <v>17</v>
      </c>
      <c r="C147" s="176">
        <f>EDATE(RCD,A146)</f>
        <v>48638</v>
      </c>
      <c r="D147" s="171">
        <f>Age_At_Entry+'Cashflows_4%'!B147-1</f>
        <v>51</v>
      </c>
      <c r="E147" s="175">
        <f>IF(AND(C147&lt;=Last_Prem,MOD(A146,Mode)=0,C147&gt;INPUT!$C$13,A147&lt;=Revival!$C$11),Mod_Prem,0)</f>
        <v>0</v>
      </c>
      <c r="F147" s="177">
        <f>IF(B147&lt;PT+1,E147*VLOOKUP(B147,'Pre-Calculation'!$H$1:$I$31,2,FALSE),0)</f>
        <v>0</v>
      </c>
      <c r="G147" s="177">
        <f>IF(B147&lt;PT+1,VLOOKUP(B147,'Pre-Calculation'!$H$1:$L$32,3,FALSE)+VLOOKUP(B147,'Pre-Calculation'!$H$1:$L$32,4,FALSE)*'Pre-Calculation'!$D$7,0)</f>
        <v>0</v>
      </c>
      <c r="H147" s="175">
        <f>(E147-(F147+G147)*(1+Tax)+N146)</f>
        <v>1405440.527</v>
      </c>
      <c r="I147" s="175">
        <f>IF(B147&lt;PT+1,VLOOKUP(D147,'Pre-Calculation'!$N$3:$P$79,IF(INPUT!$C$4="M",2,3),FALSE)*(J147/1000)*(1/12),0)</f>
        <v>0</v>
      </c>
      <c r="J147" s="175">
        <f t="shared" si="3"/>
        <v>0</v>
      </c>
      <c r="K147" s="175">
        <f>(IF('Pre-Calculation'!$D$17="Type 4 a",MAX(SA,H147,1.05*Q147),IF('Pre-Calculation'!$D$17="Type 4 c",H147,IF('Pre-Calculation'!$D$17="Type 4 d",SA+H147,IF('Pre-Calculation'!$D$17="Type 4 e",MAX(SA,H147),IF('Pre-Calculation'!$D$17="Type 4 f",SA,IF('Pre-Calculation'!$D$17="Type 4 g",1000+H147,IF('Pre-Calculation'!$D$17="Type 4 h",SA+X147,IF('Pre-Calculation'!$D$17="Type 4 i",MAX(H147,Q147),IF('Pre-Calculation'!$D$17="Type 4 k",MAX(H147,1.01*Q147),IF('Pre-Calculation'!$D$17="Type 4 m",MAX(105%*Q147,SA+H147),IF('Pre-Calculation'!$D$17="Type 4 o",MAX(SA,105%*Q147)+X147+Z147,IF('Pre-Calculation'!$D$17="Type 5",0)))))))))))))*IF(AND(A147&lt;Revival!$C$4,C147&gt;=Revival!$D$12),PUP,1)</f>
        <v>1405440.527</v>
      </c>
      <c r="L147" s="175">
        <f>H147-I147*(1+Tax)</f>
        <v>1405440.527</v>
      </c>
      <c r="M147" s="175">
        <f>L147*(1+GROWTH_RATE_L)*(1-FMC*(1+Tax))</f>
        <v>1408170.762</v>
      </c>
      <c r="N147" s="175">
        <f>M147+IF(MOD(A147,B147)=0,VLOOKUP(B147,'Pre-Calculation'!$H$1:$L$31,5,FALSE),0)*IF('Pre-Calculation'!$D$16="% OF FV",M147,IF(OR('Pre-Calculation'!$D$16="% OF AFV(24M)",'Pre-Calculation'!$D$16="% OF AFV(8Q)"),AVERAGE( $M124:$M147),IF('Pre-Calculation'!$D$16="% OF AFV(12M)",AVERAGE($M136:M147),IF('Pre-Calculation'!$D$16="% OF AFV(36M)",AVERAGE($M112:M147)))))</f>
        <v>1408170.762</v>
      </c>
      <c r="O147" s="175">
        <f t="shared" si="4"/>
        <v>1408170.762</v>
      </c>
      <c r="P147" s="175">
        <f>IF('Pre-Calculation'!$D$17="Type 4 a",MAX(SA,N147,1.05*Q147),IF('Pre-Calculation'!$D$17="Type 4 c",N147,IF('Pre-Calculation'!$D$17="Type 4 d",SA+N147,IF('Pre-Calculation'!$D$17="Type 4 e",MAX(SA,N147),IF('Pre-Calculation'!$D$17="Type 4 f",SA,IF('Pre-Calculation'!$D$17="Type 4 g",1000+N147,IF('Pre-Calculation'!$D$17="Type 4 h",SA+X147,IF('Pre-Calculation'!$D$17="Type 4 i",MAX(N147,Q147),IF('Pre-Calculation'!$D$17="Type 4 k",MAX(N147,1.01*Q147),IF('Pre-Calculation'!$D$17="Type 4 m",MAX(105%*Q147,SA+N147),IF('Pre-Calculation'!$D$17="Type 4 o",MAX(SA,105%*Q147)+X147+Z147,IF('Pre-Calculation'!$D$17="Type 5",0))))))))))))</f>
        <v>1408170.762</v>
      </c>
      <c r="Q147" s="175">
        <f t="shared" si="5"/>
        <v>1000000</v>
      </c>
      <c r="R147" s="119">
        <f>L147*(1+GROWTH_RATE)*FMC</f>
        <v>1590.428199</v>
      </c>
      <c r="S147" s="178">
        <f>S146*(1+'Pre-Calculation'!$E$27)</f>
        <v>973783.6238</v>
      </c>
      <c r="T147" s="175">
        <f>-E147+IF(A146=INPUT!$C$11*12,N147,0)</f>
        <v>0</v>
      </c>
      <c r="U147" s="175">
        <f t="shared" si="6"/>
        <v>1415697.589</v>
      </c>
      <c r="V147" s="175">
        <f>U147*(1+GROWTH_RATE_L)*(1-'Pre-Calculation'!$E$31)</f>
        <v>1417966.901</v>
      </c>
      <c r="W147" s="175">
        <f>-E147+IF(A146=INPUT!$C$11*12,V147,0)</f>
        <v>0</v>
      </c>
      <c r="X147" s="179">
        <f t="array" ref="X147">NPV('Pre-Calculation'!$E$20,$E148:E$246)</f>
        <v>0</v>
      </c>
      <c r="Y147" s="171">
        <f>10%*SA</f>
        <v>100000</v>
      </c>
      <c r="Z147" s="179">
        <f t="array" ref="Z147">NPV('Pre-Calculation'!$E$20,Y148:Y157)</f>
        <v>969592.8037</v>
      </c>
    </row>
    <row r="148" ht="15.75" customHeight="1">
      <c r="A148" s="171">
        <f t="shared" si="1"/>
        <v>202</v>
      </c>
      <c r="B148" s="171">
        <f t="shared" si="2"/>
        <v>17</v>
      </c>
      <c r="C148" s="176">
        <f>EDATE(RCD,A147)</f>
        <v>48668</v>
      </c>
      <c r="D148" s="171">
        <f>Age_At_Entry+'Cashflows_4%'!B148-1</f>
        <v>51</v>
      </c>
      <c r="E148" s="175">
        <f>IF(AND(C148&lt;=Last_Prem,MOD(A147,Mode)=0,C148&gt;INPUT!$C$13,A148&lt;=Revival!$C$11),Mod_Prem,0)</f>
        <v>0</v>
      </c>
      <c r="F148" s="177">
        <f>IF(B148&lt;PT+1,E148*VLOOKUP(B148,'Pre-Calculation'!$H$1:$I$31,2,FALSE),0)</f>
        <v>0</v>
      </c>
      <c r="G148" s="177">
        <f>IF(B148&lt;PT+1,VLOOKUP(B148,'Pre-Calculation'!$H$1:$L$32,3,FALSE)+VLOOKUP(B148,'Pre-Calculation'!$H$1:$L$32,4,FALSE)*'Pre-Calculation'!$D$7,0)</f>
        <v>0</v>
      </c>
      <c r="H148" s="175">
        <f>(E148-(F148+G148)*(1+Tax)+N147)</f>
        <v>1408170.762</v>
      </c>
      <c r="I148" s="175">
        <f>IF(B148&lt;PT+1,VLOOKUP(D148,'Pre-Calculation'!$N$3:$P$79,IF(INPUT!$C$4="M",2,3),FALSE)*(J148/1000)*(1/12),0)</f>
        <v>0</v>
      </c>
      <c r="J148" s="175">
        <f t="shared" si="3"/>
        <v>0</v>
      </c>
      <c r="K148" s="175">
        <f>(IF('Pre-Calculation'!$D$17="Type 4 a",MAX(SA,H148,1.05*Q148),IF('Pre-Calculation'!$D$17="Type 4 c",H148,IF('Pre-Calculation'!$D$17="Type 4 d",SA+H148,IF('Pre-Calculation'!$D$17="Type 4 e",MAX(SA,H148),IF('Pre-Calculation'!$D$17="Type 4 f",SA,IF('Pre-Calculation'!$D$17="Type 4 g",1000+H148,IF('Pre-Calculation'!$D$17="Type 4 h",SA+X148,IF('Pre-Calculation'!$D$17="Type 4 i",MAX(H148,Q148),IF('Pre-Calculation'!$D$17="Type 4 k",MAX(H148,1.01*Q148),IF('Pre-Calculation'!$D$17="Type 4 m",MAX(105%*Q148,SA+H148),IF('Pre-Calculation'!$D$17="Type 4 o",MAX(SA,105%*Q148)+X148+Z148,IF('Pre-Calculation'!$D$17="Type 5",0)))))))))))))*IF(AND(A148&lt;Revival!$C$4,C148&gt;=Revival!$D$12),PUP,1)</f>
        <v>1408170.762</v>
      </c>
      <c r="L148" s="175">
        <f>H148-I148*(1+Tax)</f>
        <v>1408170.762</v>
      </c>
      <c r="M148" s="175">
        <f>L148*(1+GROWTH_RATE_L)*(1-FMC*(1+Tax))</f>
        <v>1410906.3</v>
      </c>
      <c r="N148" s="175">
        <f>M148+IF(MOD(A148,B148)=0,VLOOKUP(B148,'Pre-Calculation'!$H$1:$L$31,5,FALSE),0)*IF('Pre-Calculation'!$D$16="% OF FV",M148,IF(OR('Pre-Calculation'!$D$16="% OF AFV(24M)",'Pre-Calculation'!$D$16="% OF AFV(8Q)"),AVERAGE( $M125:$M148),IF('Pre-Calculation'!$D$16="% OF AFV(12M)",AVERAGE($M137:M148),IF('Pre-Calculation'!$D$16="% OF AFV(36M)",AVERAGE($M113:M148)))))</f>
        <v>1410906.3</v>
      </c>
      <c r="O148" s="175">
        <f t="shared" si="4"/>
        <v>1410906.3</v>
      </c>
      <c r="P148" s="175">
        <f>IF('Pre-Calculation'!$D$17="Type 4 a",MAX(SA,N148,1.05*Q148),IF('Pre-Calculation'!$D$17="Type 4 c",N148,IF('Pre-Calculation'!$D$17="Type 4 d",SA+N148,IF('Pre-Calculation'!$D$17="Type 4 e",MAX(SA,N148),IF('Pre-Calculation'!$D$17="Type 4 f",SA,IF('Pre-Calculation'!$D$17="Type 4 g",1000+N148,IF('Pre-Calculation'!$D$17="Type 4 h",SA+X148,IF('Pre-Calculation'!$D$17="Type 4 i",MAX(N148,Q148),IF('Pre-Calculation'!$D$17="Type 4 k",MAX(N148,1.01*Q148),IF('Pre-Calculation'!$D$17="Type 4 m",MAX(105%*Q148,SA+N148),IF('Pre-Calculation'!$D$17="Type 4 o",MAX(SA,105%*Q148)+X148+Z148,IF('Pre-Calculation'!$D$17="Type 5",0))))))))))))</f>
        <v>1410906.3</v>
      </c>
      <c r="Q148" s="175">
        <f t="shared" si="5"/>
        <v>1000000</v>
      </c>
      <c r="R148" s="119">
        <f>L148*(1+GROWTH_RATE)*FMC</f>
        <v>1593.517794</v>
      </c>
      <c r="S148" s="178">
        <f>S147*(1+'Pre-Calculation'!$E$27)</f>
        <v>976579.258</v>
      </c>
      <c r="T148" s="175">
        <f>-E148+IF(A147=INPUT!$C$11*12,N148,0)</f>
        <v>0</v>
      </c>
      <c r="U148" s="175">
        <f t="shared" si="6"/>
        <v>1417966.901</v>
      </c>
      <c r="V148" s="175">
        <f>U148*(1+GROWTH_RATE_L)*(1-'Pre-Calculation'!$E$31)</f>
        <v>1420239.851</v>
      </c>
      <c r="W148" s="175">
        <f>-E148+IF(A147=INPUT!$C$11*12,V148,0)</f>
        <v>0</v>
      </c>
      <c r="X148" s="179">
        <f t="array" ref="X148">NPV('Pre-Calculation'!$E$20,$E149:E$246)</f>
        <v>0</v>
      </c>
      <c r="Y148" s="171">
        <f>10%*SA</f>
        <v>100000</v>
      </c>
      <c r="Z148" s="179">
        <f t="array" ref="Z148">NPV('Pre-Calculation'!$E$20,Y149:Y158)</f>
        <v>969592.8037</v>
      </c>
    </row>
    <row r="149" ht="15.75" customHeight="1">
      <c r="A149" s="171">
        <f t="shared" si="1"/>
        <v>203</v>
      </c>
      <c r="B149" s="171">
        <f t="shared" si="2"/>
        <v>17</v>
      </c>
      <c r="C149" s="176">
        <f>EDATE(RCD,A148)</f>
        <v>48699</v>
      </c>
      <c r="D149" s="171">
        <f>Age_At_Entry+'Cashflows_4%'!B149-1</f>
        <v>51</v>
      </c>
      <c r="E149" s="175">
        <f>IF(AND(C149&lt;=Last_Prem,MOD(A148,Mode)=0,C149&gt;INPUT!$C$13,A149&lt;=Revival!$C$11),Mod_Prem,0)</f>
        <v>0</v>
      </c>
      <c r="F149" s="177">
        <f>IF(B149&lt;PT+1,E149*VLOOKUP(B149,'Pre-Calculation'!$H$1:$I$31,2,FALSE),0)</f>
        <v>0</v>
      </c>
      <c r="G149" s="177">
        <f>IF(B149&lt;PT+1,VLOOKUP(B149,'Pre-Calculation'!$H$1:$L$32,3,FALSE)+VLOOKUP(B149,'Pre-Calculation'!$H$1:$L$32,4,FALSE)*'Pre-Calculation'!$D$7,0)</f>
        <v>0</v>
      </c>
      <c r="H149" s="175">
        <f>(E149-(F149+G149)*(1+Tax)+N148)</f>
        <v>1410906.3</v>
      </c>
      <c r="I149" s="175">
        <f>IF(B149&lt;PT+1,VLOOKUP(D149,'Pre-Calculation'!$N$3:$P$79,IF(INPUT!$C$4="M",2,3),FALSE)*(J149/1000)*(1/12),0)</f>
        <v>0</v>
      </c>
      <c r="J149" s="175">
        <f t="shared" si="3"/>
        <v>0</v>
      </c>
      <c r="K149" s="175">
        <f>(IF('Pre-Calculation'!$D$17="Type 4 a",MAX(SA,H149,1.05*Q149),IF('Pre-Calculation'!$D$17="Type 4 c",H149,IF('Pre-Calculation'!$D$17="Type 4 d",SA+H149,IF('Pre-Calculation'!$D$17="Type 4 e",MAX(SA,H149),IF('Pre-Calculation'!$D$17="Type 4 f",SA,IF('Pre-Calculation'!$D$17="Type 4 g",1000+H149,IF('Pre-Calculation'!$D$17="Type 4 h",SA+X149,IF('Pre-Calculation'!$D$17="Type 4 i",MAX(H149,Q149),IF('Pre-Calculation'!$D$17="Type 4 k",MAX(H149,1.01*Q149),IF('Pre-Calculation'!$D$17="Type 4 m",MAX(105%*Q149,SA+H149),IF('Pre-Calculation'!$D$17="Type 4 o",MAX(SA,105%*Q149)+X149+Z149,IF('Pre-Calculation'!$D$17="Type 5",0)))))))))))))*IF(AND(A149&lt;Revival!$C$4,C149&gt;=Revival!$D$12),PUP,1)</f>
        <v>1410906.3</v>
      </c>
      <c r="L149" s="175">
        <f>H149-I149*(1+Tax)</f>
        <v>1410906.3</v>
      </c>
      <c r="M149" s="175">
        <f>L149*(1+GROWTH_RATE_L)*(1-FMC*(1+Tax))</f>
        <v>1413647.152</v>
      </c>
      <c r="N149" s="175">
        <f>M149+IF(MOD(A149,B149)=0,VLOOKUP(B149,'Pre-Calculation'!$H$1:$L$31,5,FALSE),0)*IF('Pre-Calculation'!$D$16="% OF FV",M149,IF(OR('Pre-Calculation'!$D$16="% OF AFV(24M)",'Pre-Calculation'!$D$16="% OF AFV(8Q)"),AVERAGE( $M126:$M149),IF('Pre-Calculation'!$D$16="% OF AFV(12M)",AVERAGE($M138:M149),IF('Pre-Calculation'!$D$16="% OF AFV(36M)",AVERAGE($M114:M149)))))</f>
        <v>1413647.152</v>
      </c>
      <c r="O149" s="175">
        <f t="shared" si="4"/>
        <v>1413647.152</v>
      </c>
      <c r="P149" s="175">
        <f>IF('Pre-Calculation'!$D$17="Type 4 a",MAX(SA,N149,1.05*Q149),IF('Pre-Calculation'!$D$17="Type 4 c",N149,IF('Pre-Calculation'!$D$17="Type 4 d",SA+N149,IF('Pre-Calculation'!$D$17="Type 4 e",MAX(SA,N149),IF('Pre-Calculation'!$D$17="Type 4 f",SA,IF('Pre-Calculation'!$D$17="Type 4 g",1000+N149,IF('Pre-Calculation'!$D$17="Type 4 h",SA+X149,IF('Pre-Calculation'!$D$17="Type 4 i",MAX(N149,Q149),IF('Pre-Calculation'!$D$17="Type 4 k",MAX(N149,1.01*Q149),IF('Pre-Calculation'!$D$17="Type 4 m",MAX(105%*Q149,SA+N149),IF('Pre-Calculation'!$D$17="Type 4 o",MAX(SA,105%*Q149)+X149+Z149,IF('Pre-Calculation'!$D$17="Type 5",0))))))))))))</f>
        <v>1413647.152</v>
      </c>
      <c r="Q149" s="175">
        <f t="shared" si="5"/>
        <v>1000000</v>
      </c>
      <c r="R149" s="119">
        <f>L149*(1+GROWTH_RATE)*FMC</f>
        <v>1596.613391</v>
      </c>
      <c r="S149" s="178">
        <f>S148*(1+'Pre-Calculation'!$E$27)</f>
        <v>979382.9181</v>
      </c>
      <c r="T149" s="175">
        <f>-E149+IF(A148=INPUT!$C$11*12,N149,0)</f>
        <v>0</v>
      </c>
      <c r="U149" s="175">
        <f t="shared" si="6"/>
        <v>1420239.851</v>
      </c>
      <c r="V149" s="175">
        <f>U149*(1+GROWTH_RATE_L)*(1-'Pre-Calculation'!$E$31)</f>
        <v>1422516.444</v>
      </c>
      <c r="W149" s="175">
        <f>-E149+IF(A148=INPUT!$C$11*12,V149,0)</f>
        <v>0</v>
      </c>
      <c r="X149" s="179">
        <f t="array" ref="X149">NPV('Pre-Calculation'!$E$20,$E150:E$246)</f>
        <v>0</v>
      </c>
      <c r="Y149" s="171">
        <f>10%*SA</f>
        <v>100000</v>
      </c>
      <c r="Z149" s="179">
        <f t="array" ref="Z149">NPV('Pre-Calculation'!$E$20,Y150:Y159)</f>
        <v>969592.8037</v>
      </c>
    </row>
    <row r="150" ht="15.75" customHeight="1">
      <c r="A150" s="171">
        <f t="shared" si="1"/>
        <v>204</v>
      </c>
      <c r="B150" s="171">
        <f t="shared" si="2"/>
        <v>17</v>
      </c>
      <c r="C150" s="176">
        <f>EDATE(RCD,A149)</f>
        <v>48729</v>
      </c>
      <c r="D150" s="171">
        <f>Age_At_Entry+'Cashflows_4%'!B150-1</f>
        <v>51</v>
      </c>
      <c r="E150" s="175">
        <f>IF(AND(C150&lt;=Last_Prem,MOD(A149,Mode)=0,C150&gt;INPUT!$C$13,A150&lt;=Revival!$C$11),Mod_Prem,0)</f>
        <v>0</v>
      </c>
      <c r="F150" s="177">
        <f>IF(B150&lt;PT+1,E150*VLOOKUP(B150,'Pre-Calculation'!$H$1:$I$31,2,FALSE),0)</f>
        <v>0</v>
      </c>
      <c r="G150" s="177">
        <f>IF(B150&lt;PT+1,VLOOKUP(B150,'Pre-Calculation'!$H$1:$L$32,3,FALSE)+VLOOKUP(B150,'Pre-Calculation'!$H$1:$L$32,4,FALSE)*'Pre-Calculation'!$D$7,0)</f>
        <v>0</v>
      </c>
      <c r="H150" s="175">
        <f>(E150-(F150+G150)*(1+Tax)+N149)</f>
        <v>1413647.152</v>
      </c>
      <c r="I150" s="175">
        <f>IF(B150&lt;PT+1,VLOOKUP(D150,'Pre-Calculation'!$N$3:$P$79,IF(INPUT!$C$4="M",2,3),FALSE)*(J150/1000)*(1/12),0)</f>
        <v>0</v>
      </c>
      <c r="J150" s="175">
        <f t="shared" si="3"/>
        <v>0</v>
      </c>
      <c r="K150" s="175">
        <f>(IF('Pre-Calculation'!$D$17="Type 4 a",MAX(SA,H150,1.05*Q150),IF('Pre-Calculation'!$D$17="Type 4 c",H150,IF('Pre-Calculation'!$D$17="Type 4 d",SA+H150,IF('Pre-Calculation'!$D$17="Type 4 e",MAX(SA,H150),IF('Pre-Calculation'!$D$17="Type 4 f",SA,IF('Pre-Calculation'!$D$17="Type 4 g",1000+H150,IF('Pre-Calculation'!$D$17="Type 4 h",SA+X150,IF('Pre-Calculation'!$D$17="Type 4 i",MAX(H150,Q150),IF('Pre-Calculation'!$D$17="Type 4 k",MAX(H150,1.01*Q150),IF('Pre-Calculation'!$D$17="Type 4 m",MAX(105%*Q150,SA+H150),IF('Pre-Calculation'!$D$17="Type 4 o",MAX(SA,105%*Q150)+X150+Z150,IF('Pre-Calculation'!$D$17="Type 5",0)))))))))))))*IF(AND(A150&lt;Revival!$C$4,C150&gt;=Revival!$D$12),PUP,1)</f>
        <v>1413647.152</v>
      </c>
      <c r="L150" s="175">
        <f>H150-I150*(1+Tax)</f>
        <v>1413647.152</v>
      </c>
      <c r="M150" s="175">
        <f>L150*(1+GROWTH_RATE_L)*(1-FMC*(1+Tax))</f>
        <v>1416393.329</v>
      </c>
      <c r="N150" s="175">
        <f>M150+IF(MOD(A150,B150)=0,VLOOKUP(B150,'Pre-Calculation'!$H$1:$L$31,5,FALSE),0)*IF('Pre-Calculation'!$D$16="% OF FV",M150,IF(OR('Pre-Calculation'!$D$16="% OF AFV(24M)",'Pre-Calculation'!$D$16="% OF AFV(8Q)"),AVERAGE( $M127:$M150),IF('Pre-Calculation'!$D$16="% OF AFV(12M)",AVERAGE($M139:M150),IF('Pre-Calculation'!$D$16="% OF AFV(36M)",AVERAGE($M115:M150)))))</f>
        <v>1416393.329</v>
      </c>
      <c r="O150" s="175">
        <f t="shared" si="4"/>
        <v>1416393.329</v>
      </c>
      <c r="P150" s="175">
        <f>IF('Pre-Calculation'!$D$17="Type 4 a",MAX(SA,N150,1.05*Q150),IF('Pre-Calculation'!$D$17="Type 4 c",N150,IF('Pre-Calculation'!$D$17="Type 4 d",SA+N150,IF('Pre-Calculation'!$D$17="Type 4 e",MAX(SA,N150),IF('Pre-Calculation'!$D$17="Type 4 f",SA,IF('Pre-Calculation'!$D$17="Type 4 g",1000+N150,IF('Pre-Calculation'!$D$17="Type 4 h",SA+X150,IF('Pre-Calculation'!$D$17="Type 4 i",MAX(N150,Q150),IF('Pre-Calculation'!$D$17="Type 4 k",MAX(N150,1.01*Q150),IF('Pre-Calculation'!$D$17="Type 4 m",MAX(105%*Q150,SA+N150),IF('Pre-Calculation'!$D$17="Type 4 o",MAX(SA,105%*Q150)+X150+Z150,IF('Pre-Calculation'!$D$17="Type 5",0))))))))))))</f>
        <v>1416393.329</v>
      </c>
      <c r="Q150" s="175">
        <f t="shared" si="5"/>
        <v>1000000</v>
      </c>
      <c r="R150" s="119">
        <f>L150*(1+GROWTH_RATE)*FMC</f>
        <v>1599.715001</v>
      </c>
      <c r="S150" s="178">
        <f>S149*(1+'Pre-Calculation'!$E$27)</f>
        <v>982194.6273</v>
      </c>
      <c r="T150" s="175">
        <f>-E150+IF(A149=INPUT!$C$11*12,N150,0)</f>
        <v>0</v>
      </c>
      <c r="U150" s="175">
        <f t="shared" si="6"/>
        <v>1422516.444</v>
      </c>
      <c r="V150" s="175">
        <f>U150*(1+GROWTH_RATE_L)*(1-'Pre-Calculation'!$E$31)</f>
        <v>1424796.686</v>
      </c>
      <c r="W150" s="175">
        <f>-E150+IF(A149=INPUT!$C$11*12,V150,0)</f>
        <v>0</v>
      </c>
      <c r="X150" s="179">
        <f t="array" ref="X150">NPV('Pre-Calculation'!$E$20,$E151:E$246)</f>
        <v>0</v>
      </c>
      <c r="Y150" s="171">
        <f>10%*SA</f>
        <v>100000</v>
      </c>
      <c r="Z150" s="179">
        <f t="array" ref="Z150">NPV('Pre-Calculation'!$E$20,Y151:Y160)</f>
        <v>969592.8037</v>
      </c>
    </row>
    <row r="151" ht="15.75" customHeight="1">
      <c r="A151" s="171">
        <f t="shared" si="1"/>
        <v>205</v>
      </c>
      <c r="B151" s="171">
        <f t="shared" si="2"/>
        <v>18</v>
      </c>
      <c r="C151" s="176">
        <f>EDATE(RCD,A150)</f>
        <v>48760</v>
      </c>
      <c r="D151" s="171">
        <f>Age_At_Entry+'Cashflows_4%'!B151-1</f>
        <v>52</v>
      </c>
      <c r="E151" s="175">
        <f>IF(AND(C151&lt;=Last_Prem,MOD(A150,Mode)=0,C151&gt;INPUT!$C$13,A151&lt;=Revival!$C$11),Mod_Prem,0)</f>
        <v>0</v>
      </c>
      <c r="F151" s="177">
        <f>IF(B151&lt;PT+1,E151*VLOOKUP(B151,'Pre-Calculation'!$H$1:$I$31,2,FALSE),0)</f>
        <v>0</v>
      </c>
      <c r="G151" s="177">
        <f>IF(B151&lt;PT+1,VLOOKUP(B151,'Pre-Calculation'!$H$1:$L$32,3,FALSE)+VLOOKUP(B151,'Pre-Calculation'!$H$1:$L$32,4,FALSE)*'Pre-Calculation'!$D$7,0)</f>
        <v>0</v>
      </c>
      <c r="H151" s="175">
        <f>(E151-(F151+G151)*(1+Tax)+N150)</f>
        <v>1416393.329</v>
      </c>
      <c r="I151" s="175">
        <f>IF(B151&lt;PT+1,VLOOKUP(D151,'Pre-Calculation'!$N$3:$P$79,IF(INPUT!$C$4="M",2,3),FALSE)*(J151/1000)*(1/12),0)</f>
        <v>0</v>
      </c>
      <c r="J151" s="175">
        <f t="shared" si="3"/>
        <v>0</v>
      </c>
      <c r="K151" s="175">
        <f>(IF('Pre-Calculation'!$D$17="Type 4 a",MAX(SA,H151,1.05*Q151),IF('Pre-Calculation'!$D$17="Type 4 c",H151,IF('Pre-Calculation'!$D$17="Type 4 d",SA+H151,IF('Pre-Calculation'!$D$17="Type 4 e",MAX(SA,H151),IF('Pre-Calculation'!$D$17="Type 4 f",SA,IF('Pre-Calculation'!$D$17="Type 4 g",1000+H151,IF('Pre-Calculation'!$D$17="Type 4 h",SA+X151,IF('Pre-Calculation'!$D$17="Type 4 i",MAX(H151,Q151),IF('Pre-Calculation'!$D$17="Type 4 k",MAX(H151,1.01*Q151),IF('Pre-Calculation'!$D$17="Type 4 m",MAX(105%*Q151,SA+H151),IF('Pre-Calculation'!$D$17="Type 4 o",MAX(SA,105%*Q151)+X151+Z151,IF('Pre-Calculation'!$D$17="Type 5",0)))))))))))))*IF(AND(A151&lt;Revival!$C$4,C151&gt;=Revival!$D$12),PUP,1)</f>
        <v>1416393.329</v>
      </c>
      <c r="L151" s="175">
        <f>H151-I151*(1+Tax)</f>
        <v>1416393.329</v>
      </c>
      <c r="M151" s="175">
        <f>L151*(1+GROWTH_RATE_L)*(1-FMC*(1+Tax))</f>
        <v>1419144.84</v>
      </c>
      <c r="N151" s="175">
        <f>M151+IF(MOD(A151,B151)=0,VLOOKUP(B151,'Pre-Calculation'!$H$1:$L$31,5,FALSE),0)*IF('Pre-Calculation'!$D$16="% OF FV",M151,IF(OR('Pre-Calculation'!$D$16="% OF AFV(24M)",'Pre-Calculation'!$D$16="% OF AFV(8Q)"),AVERAGE( $M128:$M151),IF('Pre-Calculation'!$D$16="% OF AFV(12M)",AVERAGE($M140:M151),IF('Pre-Calculation'!$D$16="% OF AFV(36M)",AVERAGE($M116:M151)))))</f>
        <v>1419144.84</v>
      </c>
      <c r="O151" s="175">
        <f t="shared" si="4"/>
        <v>1419144.84</v>
      </c>
      <c r="P151" s="175">
        <f>IF('Pre-Calculation'!$D$17="Type 4 a",MAX(SA,N151,1.05*Q151),IF('Pre-Calculation'!$D$17="Type 4 c",N151,IF('Pre-Calculation'!$D$17="Type 4 d",SA+N151,IF('Pre-Calculation'!$D$17="Type 4 e",MAX(SA,N151),IF('Pre-Calculation'!$D$17="Type 4 f",SA,IF('Pre-Calculation'!$D$17="Type 4 g",1000+N151,IF('Pre-Calculation'!$D$17="Type 4 h",SA+X151,IF('Pre-Calculation'!$D$17="Type 4 i",MAX(N151,Q151),IF('Pre-Calculation'!$D$17="Type 4 k",MAX(N151,1.01*Q151),IF('Pre-Calculation'!$D$17="Type 4 m",MAX(105%*Q151,SA+N151),IF('Pre-Calculation'!$D$17="Type 4 o",MAX(SA,105%*Q151)+X151+Z151,IF('Pre-Calculation'!$D$17="Type 5",0))))))))))))</f>
        <v>1419144.84</v>
      </c>
      <c r="Q151" s="175">
        <f t="shared" si="5"/>
        <v>1000000</v>
      </c>
      <c r="R151" s="119">
        <f>L151*(1+GROWTH_RATE)*FMC</f>
        <v>1602.822636</v>
      </c>
      <c r="S151" s="178">
        <f>S150*(1+'Pre-Calculation'!$E$27)</f>
        <v>985014.4086</v>
      </c>
      <c r="T151" s="175">
        <f>-E151+IF(A150=INPUT!$C$11*12,N151,0)</f>
        <v>0</v>
      </c>
      <c r="U151" s="175">
        <f t="shared" si="6"/>
        <v>1424796.686</v>
      </c>
      <c r="V151" s="175">
        <f>U151*(1+GROWTH_RATE_L)*(1-'Pre-Calculation'!$E$31)</f>
        <v>1427080.584</v>
      </c>
      <c r="W151" s="175">
        <f>-E151+IF(A150=INPUT!$C$11*12,V151,0)</f>
        <v>0</v>
      </c>
      <c r="X151" s="179">
        <f t="array" ref="X151">NPV('Pre-Calculation'!$E$20,$E152:E$246)</f>
        <v>0</v>
      </c>
      <c r="Y151" s="171">
        <f>10%*SA</f>
        <v>100000</v>
      </c>
      <c r="Z151" s="179">
        <f t="array" ref="Z151">NPV('Pre-Calculation'!$E$20,Y152:Y161)</f>
        <v>969592.8037</v>
      </c>
    </row>
    <row r="152" ht="15.75" customHeight="1">
      <c r="A152" s="171">
        <f t="shared" si="1"/>
        <v>206</v>
      </c>
      <c r="B152" s="171">
        <f t="shared" si="2"/>
        <v>18</v>
      </c>
      <c r="C152" s="176">
        <f>EDATE(RCD,A151)</f>
        <v>48790</v>
      </c>
      <c r="D152" s="171">
        <f>Age_At_Entry+'Cashflows_4%'!B152-1</f>
        <v>52</v>
      </c>
      <c r="E152" s="175">
        <f>IF(AND(C152&lt;=Last_Prem,MOD(A151,Mode)=0,C152&gt;INPUT!$C$13,A152&lt;=Revival!$C$11),Mod_Prem,0)</f>
        <v>0</v>
      </c>
      <c r="F152" s="177">
        <f>IF(B152&lt;PT+1,E152*VLOOKUP(B152,'Pre-Calculation'!$H$1:$I$31,2,FALSE),0)</f>
        <v>0</v>
      </c>
      <c r="G152" s="177">
        <f>IF(B152&lt;PT+1,VLOOKUP(B152,'Pre-Calculation'!$H$1:$L$32,3,FALSE)+VLOOKUP(B152,'Pre-Calculation'!$H$1:$L$32,4,FALSE)*'Pre-Calculation'!$D$7,0)</f>
        <v>0</v>
      </c>
      <c r="H152" s="175">
        <f>(E152-(F152+G152)*(1+Tax)+N151)</f>
        <v>1419144.84</v>
      </c>
      <c r="I152" s="175">
        <f>IF(B152&lt;PT+1,VLOOKUP(D152,'Pre-Calculation'!$N$3:$P$79,IF(INPUT!$C$4="M",2,3),FALSE)*(J152/1000)*(1/12),0)</f>
        <v>0</v>
      </c>
      <c r="J152" s="175">
        <f t="shared" si="3"/>
        <v>0</v>
      </c>
      <c r="K152" s="175">
        <f>(IF('Pre-Calculation'!$D$17="Type 4 a",MAX(SA,H152,1.05*Q152),IF('Pre-Calculation'!$D$17="Type 4 c",H152,IF('Pre-Calculation'!$D$17="Type 4 d",SA+H152,IF('Pre-Calculation'!$D$17="Type 4 e",MAX(SA,H152),IF('Pre-Calculation'!$D$17="Type 4 f",SA,IF('Pre-Calculation'!$D$17="Type 4 g",1000+H152,IF('Pre-Calculation'!$D$17="Type 4 h",SA+X152,IF('Pre-Calculation'!$D$17="Type 4 i",MAX(H152,Q152),IF('Pre-Calculation'!$D$17="Type 4 k",MAX(H152,1.01*Q152),IF('Pre-Calculation'!$D$17="Type 4 m",MAX(105%*Q152,SA+H152),IF('Pre-Calculation'!$D$17="Type 4 o",MAX(SA,105%*Q152)+X152+Z152,IF('Pre-Calculation'!$D$17="Type 5",0)))))))))))))*IF(AND(A152&lt;Revival!$C$4,C152&gt;=Revival!$D$12),PUP,1)</f>
        <v>1419144.84</v>
      </c>
      <c r="L152" s="175">
        <f>H152-I152*(1+Tax)</f>
        <v>1419144.84</v>
      </c>
      <c r="M152" s="175">
        <f>L152*(1+GROWTH_RATE_L)*(1-FMC*(1+Tax))</f>
        <v>1421901.697</v>
      </c>
      <c r="N152" s="175">
        <f>M152+IF(MOD(A152,B152)=0,VLOOKUP(B152,'Pre-Calculation'!$H$1:$L$31,5,FALSE),0)*IF('Pre-Calculation'!$D$16="% OF FV",M152,IF(OR('Pre-Calculation'!$D$16="% OF AFV(24M)",'Pre-Calculation'!$D$16="% OF AFV(8Q)"),AVERAGE( $M129:$M152),IF('Pre-Calculation'!$D$16="% OF AFV(12M)",AVERAGE($M141:M152),IF('Pre-Calculation'!$D$16="% OF AFV(36M)",AVERAGE($M117:M152)))))</f>
        <v>1421901.697</v>
      </c>
      <c r="O152" s="175">
        <f t="shared" si="4"/>
        <v>1421901.697</v>
      </c>
      <c r="P152" s="175">
        <f>IF('Pre-Calculation'!$D$17="Type 4 a",MAX(SA,N152,1.05*Q152),IF('Pre-Calculation'!$D$17="Type 4 c",N152,IF('Pre-Calculation'!$D$17="Type 4 d",SA+N152,IF('Pre-Calculation'!$D$17="Type 4 e",MAX(SA,N152),IF('Pre-Calculation'!$D$17="Type 4 f",SA,IF('Pre-Calculation'!$D$17="Type 4 g",1000+N152,IF('Pre-Calculation'!$D$17="Type 4 h",SA+X152,IF('Pre-Calculation'!$D$17="Type 4 i",MAX(N152,Q152),IF('Pre-Calculation'!$D$17="Type 4 k",MAX(N152,1.01*Q152),IF('Pre-Calculation'!$D$17="Type 4 m",MAX(105%*Q152,SA+N152),IF('Pre-Calculation'!$D$17="Type 4 o",MAX(SA,105%*Q152)+X152+Z152,IF('Pre-Calculation'!$D$17="Type 5",0))))))))))))</f>
        <v>1421901.697</v>
      </c>
      <c r="Q152" s="175">
        <f t="shared" si="5"/>
        <v>1000000</v>
      </c>
      <c r="R152" s="119">
        <f>L152*(1+GROWTH_RATE)*FMC</f>
        <v>1605.936309</v>
      </c>
      <c r="S152" s="178">
        <f>S151*(1+'Pre-Calculation'!$E$27)</f>
        <v>987842.2852</v>
      </c>
      <c r="T152" s="175">
        <f>-E152+IF(A151=INPUT!$C$11*12,N152,0)</f>
        <v>0</v>
      </c>
      <c r="U152" s="175">
        <f t="shared" si="6"/>
        <v>1427080.584</v>
      </c>
      <c r="V152" s="175">
        <f>U152*(1+GROWTH_RATE_L)*(1-'Pre-Calculation'!$E$31)</f>
        <v>1429368.142</v>
      </c>
      <c r="W152" s="175">
        <f>-E152+IF(A151=INPUT!$C$11*12,V152,0)</f>
        <v>0</v>
      </c>
      <c r="X152" s="179">
        <f t="array" ref="X152">NPV('Pre-Calculation'!$E$20,$E153:E$246)</f>
        <v>0</v>
      </c>
      <c r="Y152" s="171">
        <f>10%*SA</f>
        <v>100000</v>
      </c>
      <c r="Z152" s="179">
        <f t="array" ref="Z152">NPV('Pre-Calculation'!$E$20,Y153:Y162)</f>
        <v>969592.8037</v>
      </c>
    </row>
    <row r="153" ht="15.75" customHeight="1">
      <c r="A153" s="171">
        <f t="shared" si="1"/>
        <v>207</v>
      </c>
      <c r="B153" s="171">
        <f t="shared" si="2"/>
        <v>18</v>
      </c>
      <c r="C153" s="176">
        <f>EDATE(RCD,A152)</f>
        <v>48821</v>
      </c>
      <c r="D153" s="171">
        <f>Age_At_Entry+'Cashflows_4%'!B153-1</f>
        <v>52</v>
      </c>
      <c r="E153" s="175">
        <f>IF(AND(C153&lt;=Last_Prem,MOD(A152,Mode)=0,C153&gt;INPUT!$C$13,A153&lt;=Revival!$C$11),Mod_Prem,0)</f>
        <v>0</v>
      </c>
      <c r="F153" s="177">
        <f>IF(B153&lt;PT+1,E153*VLOOKUP(B153,'Pre-Calculation'!$H$1:$I$31,2,FALSE),0)</f>
        <v>0</v>
      </c>
      <c r="G153" s="177">
        <f>IF(B153&lt;PT+1,VLOOKUP(B153,'Pre-Calculation'!$H$1:$L$32,3,FALSE)+VLOOKUP(B153,'Pre-Calculation'!$H$1:$L$32,4,FALSE)*'Pre-Calculation'!$D$7,0)</f>
        <v>0</v>
      </c>
      <c r="H153" s="175">
        <f>(E153-(F153+G153)*(1+Tax)+N152)</f>
        <v>1421901.697</v>
      </c>
      <c r="I153" s="175">
        <f>IF(B153&lt;PT+1,VLOOKUP(D153,'Pre-Calculation'!$N$3:$P$79,IF(INPUT!$C$4="M",2,3),FALSE)*(J153/1000)*(1/12),0)</f>
        <v>0</v>
      </c>
      <c r="J153" s="175">
        <f t="shared" si="3"/>
        <v>0</v>
      </c>
      <c r="K153" s="175">
        <f>(IF('Pre-Calculation'!$D$17="Type 4 a",MAX(SA,H153,1.05*Q153),IF('Pre-Calculation'!$D$17="Type 4 c",H153,IF('Pre-Calculation'!$D$17="Type 4 d",SA+H153,IF('Pre-Calculation'!$D$17="Type 4 e",MAX(SA,H153),IF('Pre-Calculation'!$D$17="Type 4 f",SA,IF('Pre-Calculation'!$D$17="Type 4 g",1000+H153,IF('Pre-Calculation'!$D$17="Type 4 h",SA+X153,IF('Pre-Calculation'!$D$17="Type 4 i",MAX(H153,Q153),IF('Pre-Calculation'!$D$17="Type 4 k",MAX(H153,1.01*Q153),IF('Pre-Calculation'!$D$17="Type 4 m",MAX(105%*Q153,SA+H153),IF('Pre-Calculation'!$D$17="Type 4 o",MAX(SA,105%*Q153)+X153+Z153,IF('Pre-Calculation'!$D$17="Type 5",0)))))))))))))*IF(AND(A153&lt;Revival!$C$4,C153&gt;=Revival!$D$12),PUP,1)</f>
        <v>1421901.697</v>
      </c>
      <c r="L153" s="175">
        <f>H153-I153*(1+Tax)</f>
        <v>1421901.697</v>
      </c>
      <c r="M153" s="175">
        <f>L153*(1+GROWTH_RATE_L)*(1-FMC*(1+Tax))</f>
        <v>1424663.909</v>
      </c>
      <c r="N153" s="175">
        <f>M153+IF(MOD(A153,B153)=0,VLOOKUP(B153,'Pre-Calculation'!$H$1:$L$31,5,FALSE),0)*IF('Pre-Calculation'!$D$16="% OF FV",M153,IF(OR('Pre-Calculation'!$D$16="% OF AFV(24M)",'Pre-Calculation'!$D$16="% OF AFV(8Q)"),AVERAGE( $M130:$M153),IF('Pre-Calculation'!$D$16="% OF AFV(12M)",AVERAGE($M142:M153),IF('Pre-Calculation'!$D$16="% OF AFV(36M)",AVERAGE($M118:M153)))))</f>
        <v>1424663.909</v>
      </c>
      <c r="O153" s="175">
        <f t="shared" si="4"/>
        <v>1424663.909</v>
      </c>
      <c r="P153" s="175">
        <f>IF('Pre-Calculation'!$D$17="Type 4 a",MAX(SA,N153,1.05*Q153),IF('Pre-Calculation'!$D$17="Type 4 c",N153,IF('Pre-Calculation'!$D$17="Type 4 d",SA+N153,IF('Pre-Calculation'!$D$17="Type 4 e",MAX(SA,N153),IF('Pre-Calculation'!$D$17="Type 4 f",SA,IF('Pre-Calculation'!$D$17="Type 4 g",1000+N153,IF('Pre-Calculation'!$D$17="Type 4 h",SA+X153,IF('Pre-Calculation'!$D$17="Type 4 i",MAX(N153,Q153),IF('Pre-Calculation'!$D$17="Type 4 k",MAX(N153,1.01*Q153),IF('Pre-Calculation'!$D$17="Type 4 m",MAX(105%*Q153,SA+N153),IF('Pre-Calculation'!$D$17="Type 4 o",MAX(SA,105%*Q153)+X153+Z153,IF('Pre-Calculation'!$D$17="Type 5",0))))))))))))</f>
        <v>1424663.909</v>
      </c>
      <c r="Q153" s="175">
        <f t="shared" si="5"/>
        <v>1000000</v>
      </c>
      <c r="R153" s="119">
        <f>L153*(1+GROWTH_RATE)*FMC</f>
        <v>1609.05603</v>
      </c>
      <c r="S153" s="178">
        <f>S152*(1+'Pre-Calculation'!$E$27)</f>
        <v>990678.2803</v>
      </c>
      <c r="T153" s="175">
        <f>-E153+IF(A152=INPUT!$C$11*12,N153,0)</f>
        <v>0</v>
      </c>
      <c r="U153" s="175">
        <f t="shared" si="6"/>
        <v>1429368.142</v>
      </c>
      <c r="V153" s="175">
        <f>U153*(1+GROWTH_RATE_L)*(1-'Pre-Calculation'!$E$31)</f>
        <v>1431659.367</v>
      </c>
      <c r="W153" s="175">
        <f>-E153+IF(A152=INPUT!$C$11*12,V153,0)</f>
        <v>0</v>
      </c>
      <c r="X153" s="179">
        <f t="array" ref="X153">NPV('Pre-Calculation'!$E$20,$E154:E$246)</f>
        <v>0</v>
      </c>
      <c r="Y153" s="171">
        <f>10%*SA</f>
        <v>100000</v>
      </c>
      <c r="Z153" s="179">
        <f t="array" ref="Z153">NPV('Pre-Calculation'!$E$20,Y154:Y163)</f>
        <v>969592.8037</v>
      </c>
    </row>
    <row r="154" ht="15.75" customHeight="1">
      <c r="A154" s="171">
        <f t="shared" si="1"/>
        <v>208</v>
      </c>
      <c r="B154" s="171">
        <f t="shared" si="2"/>
        <v>18</v>
      </c>
      <c r="C154" s="176">
        <f>EDATE(RCD,A153)</f>
        <v>48852</v>
      </c>
      <c r="D154" s="171">
        <f>Age_At_Entry+'Cashflows_4%'!B154-1</f>
        <v>52</v>
      </c>
      <c r="E154" s="175">
        <f>IF(AND(C154&lt;=Last_Prem,MOD(A153,Mode)=0,C154&gt;INPUT!$C$13,A154&lt;=Revival!$C$11),Mod_Prem,0)</f>
        <v>0</v>
      </c>
      <c r="F154" s="177">
        <f>IF(B154&lt;PT+1,E154*VLOOKUP(B154,'Pre-Calculation'!$H$1:$I$31,2,FALSE),0)</f>
        <v>0</v>
      </c>
      <c r="G154" s="177">
        <f>IF(B154&lt;PT+1,VLOOKUP(B154,'Pre-Calculation'!$H$1:$L$32,3,FALSE)+VLOOKUP(B154,'Pre-Calculation'!$H$1:$L$32,4,FALSE)*'Pre-Calculation'!$D$7,0)</f>
        <v>0</v>
      </c>
      <c r="H154" s="175">
        <f>(E154-(F154+G154)*(1+Tax)+N153)</f>
        <v>1424663.909</v>
      </c>
      <c r="I154" s="175">
        <f>IF(B154&lt;PT+1,VLOOKUP(D154,'Pre-Calculation'!$N$3:$P$79,IF(INPUT!$C$4="M",2,3),FALSE)*(J154/1000)*(1/12),0)</f>
        <v>0</v>
      </c>
      <c r="J154" s="175">
        <f t="shared" si="3"/>
        <v>0</v>
      </c>
      <c r="K154" s="175">
        <f>(IF('Pre-Calculation'!$D$17="Type 4 a",MAX(SA,H154,1.05*Q154),IF('Pre-Calculation'!$D$17="Type 4 c",H154,IF('Pre-Calculation'!$D$17="Type 4 d",SA+H154,IF('Pre-Calculation'!$D$17="Type 4 e",MAX(SA,H154),IF('Pre-Calculation'!$D$17="Type 4 f",SA,IF('Pre-Calculation'!$D$17="Type 4 g",1000+H154,IF('Pre-Calculation'!$D$17="Type 4 h",SA+X154,IF('Pre-Calculation'!$D$17="Type 4 i",MAX(H154,Q154),IF('Pre-Calculation'!$D$17="Type 4 k",MAX(H154,1.01*Q154),IF('Pre-Calculation'!$D$17="Type 4 m",MAX(105%*Q154,SA+H154),IF('Pre-Calculation'!$D$17="Type 4 o",MAX(SA,105%*Q154)+X154+Z154,IF('Pre-Calculation'!$D$17="Type 5",0)))))))))))))*IF(AND(A154&lt;Revival!$C$4,C154&gt;=Revival!$D$12),PUP,1)</f>
        <v>1424663.909</v>
      </c>
      <c r="L154" s="175">
        <f>H154-I154*(1+Tax)</f>
        <v>1424663.909</v>
      </c>
      <c r="M154" s="175">
        <f>L154*(1+GROWTH_RATE_L)*(1-FMC*(1+Tax))</f>
        <v>1427431.487</v>
      </c>
      <c r="N154" s="175">
        <f>M154+IF(MOD(A154,B154)=0,VLOOKUP(B154,'Pre-Calculation'!$H$1:$L$31,5,FALSE),0)*IF('Pre-Calculation'!$D$16="% OF FV",M154,IF(OR('Pre-Calculation'!$D$16="% OF AFV(24M)",'Pre-Calculation'!$D$16="% OF AFV(8Q)"),AVERAGE( $M131:$M154),IF('Pre-Calculation'!$D$16="% OF AFV(12M)",AVERAGE($M143:M154),IF('Pre-Calculation'!$D$16="% OF AFV(36M)",AVERAGE($M119:M154)))))</f>
        <v>1427431.487</v>
      </c>
      <c r="O154" s="175">
        <f t="shared" si="4"/>
        <v>1427431.487</v>
      </c>
      <c r="P154" s="175">
        <f>IF('Pre-Calculation'!$D$17="Type 4 a",MAX(SA,N154,1.05*Q154),IF('Pre-Calculation'!$D$17="Type 4 c",N154,IF('Pre-Calculation'!$D$17="Type 4 d",SA+N154,IF('Pre-Calculation'!$D$17="Type 4 e",MAX(SA,N154),IF('Pre-Calculation'!$D$17="Type 4 f",SA,IF('Pre-Calculation'!$D$17="Type 4 g",1000+N154,IF('Pre-Calculation'!$D$17="Type 4 h",SA+X154,IF('Pre-Calculation'!$D$17="Type 4 i",MAX(N154,Q154),IF('Pre-Calculation'!$D$17="Type 4 k",MAX(N154,1.01*Q154),IF('Pre-Calculation'!$D$17="Type 4 m",MAX(105%*Q154,SA+N154),IF('Pre-Calculation'!$D$17="Type 4 o",MAX(SA,105%*Q154)+X154+Z154,IF('Pre-Calculation'!$D$17="Type 5",0))))))))))))</f>
        <v>1427431.487</v>
      </c>
      <c r="Q154" s="175">
        <f t="shared" si="5"/>
        <v>1000000</v>
      </c>
      <c r="R154" s="119">
        <f>L154*(1+GROWTH_RATE)*FMC</f>
        <v>1612.181811</v>
      </c>
      <c r="S154" s="178">
        <f>S153*(1+'Pre-Calculation'!$E$27)</f>
        <v>993522.4173</v>
      </c>
      <c r="T154" s="175">
        <f>-E154+IF(A153=INPUT!$C$11*12,N154,0)</f>
        <v>0</v>
      </c>
      <c r="U154" s="175">
        <f t="shared" si="6"/>
        <v>1431659.367</v>
      </c>
      <c r="V154" s="175">
        <f>U154*(1+GROWTH_RATE_L)*(1-'Pre-Calculation'!$E$31)</f>
        <v>1433954.266</v>
      </c>
      <c r="W154" s="175">
        <f>-E154+IF(A153=INPUT!$C$11*12,V154,0)</f>
        <v>0</v>
      </c>
      <c r="X154" s="179">
        <f t="array" ref="X154">NPV('Pre-Calculation'!$E$20,$E155:E$246)</f>
        <v>0</v>
      </c>
      <c r="Y154" s="171">
        <f>10%*SA</f>
        <v>100000</v>
      </c>
      <c r="Z154" s="179">
        <f t="array" ref="Z154">NPV('Pre-Calculation'!$E$20,Y155:Y164)</f>
        <v>969592.8037</v>
      </c>
    </row>
    <row r="155" ht="15.75" customHeight="1">
      <c r="A155" s="171">
        <f t="shared" si="1"/>
        <v>209</v>
      </c>
      <c r="B155" s="171">
        <f t="shared" si="2"/>
        <v>18</v>
      </c>
      <c r="C155" s="176">
        <f>EDATE(RCD,A154)</f>
        <v>48882</v>
      </c>
      <c r="D155" s="171">
        <f>Age_At_Entry+'Cashflows_4%'!B155-1</f>
        <v>52</v>
      </c>
      <c r="E155" s="175">
        <f>IF(AND(C155&lt;=Last_Prem,MOD(A154,Mode)=0,C155&gt;INPUT!$C$13,A155&lt;=Revival!$C$11),Mod_Prem,0)</f>
        <v>0</v>
      </c>
      <c r="F155" s="177">
        <f>IF(B155&lt;PT+1,E155*VLOOKUP(B155,'Pre-Calculation'!$H$1:$I$31,2,FALSE),0)</f>
        <v>0</v>
      </c>
      <c r="G155" s="177">
        <f>IF(B155&lt;PT+1,VLOOKUP(B155,'Pre-Calculation'!$H$1:$L$32,3,FALSE)+VLOOKUP(B155,'Pre-Calculation'!$H$1:$L$32,4,FALSE)*'Pre-Calculation'!$D$7,0)</f>
        <v>0</v>
      </c>
      <c r="H155" s="175">
        <f>(E155-(F155+G155)*(1+Tax)+N154)</f>
        <v>1427431.487</v>
      </c>
      <c r="I155" s="175">
        <f>IF(B155&lt;PT+1,VLOOKUP(D155,'Pre-Calculation'!$N$3:$P$79,IF(INPUT!$C$4="M",2,3),FALSE)*(J155/1000)*(1/12),0)</f>
        <v>0</v>
      </c>
      <c r="J155" s="175">
        <f t="shared" si="3"/>
        <v>0</v>
      </c>
      <c r="K155" s="175">
        <f>(IF('Pre-Calculation'!$D$17="Type 4 a",MAX(SA,H155,1.05*Q155),IF('Pre-Calculation'!$D$17="Type 4 c",H155,IF('Pre-Calculation'!$D$17="Type 4 d",SA+H155,IF('Pre-Calculation'!$D$17="Type 4 e",MAX(SA,H155),IF('Pre-Calculation'!$D$17="Type 4 f",SA,IF('Pre-Calculation'!$D$17="Type 4 g",1000+H155,IF('Pre-Calculation'!$D$17="Type 4 h",SA+X155,IF('Pre-Calculation'!$D$17="Type 4 i",MAX(H155,Q155),IF('Pre-Calculation'!$D$17="Type 4 k",MAX(H155,1.01*Q155),IF('Pre-Calculation'!$D$17="Type 4 m",MAX(105%*Q155,SA+H155),IF('Pre-Calculation'!$D$17="Type 4 o",MAX(SA,105%*Q155)+X155+Z155,IF('Pre-Calculation'!$D$17="Type 5",0)))))))))))))*IF(AND(A155&lt;Revival!$C$4,C155&gt;=Revival!$D$12),PUP,1)</f>
        <v>1427431.487</v>
      </c>
      <c r="L155" s="175">
        <f>H155-I155*(1+Tax)</f>
        <v>1427431.487</v>
      </c>
      <c r="M155" s="175">
        <f>L155*(1+GROWTH_RATE_L)*(1-FMC*(1+Tax))</f>
        <v>1430204.441</v>
      </c>
      <c r="N155" s="175">
        <f>M155+IF(MOD(A155,B155)=0,VLOOKUP(B155,'Pre-Calculation'!$H$1:$L$31,5,FALSE),0)*IF('Pre-Calculation'!$D$16="% OF FV",M155,IF(OR('Pre-Calculation'!$D$16="% OF AFV(24M)",'Pre-Calculation'!$D$16="% OF AFV(8Q)"),AVERAGE( $M132:$M155),IF('Pre-Calculation'!$D$16="% OF AFV(12M)",AVERAGE($M144:M155),IF('Pre-Calculation'!$D$16="% OF AFV(36M)",AVERAGE($M120:M155)))))</f>
        <v>1430204.441</v>
      </c>
      <c r="O155" s="175">
        <f t="shared" si="4"/>
        <v>1430204.441</v>
      </c>
      <c r="P155" s="175">
        <f>IF('Pre-Calculation'!$D$17="Type 4 a",MAX(SA,N155,1.05*Q155),IF('Pre-Calculation'!$D$17="Type 4 c",N155,IF('Pre-Calculation'!$D$17="Type 4 d",SA+N155,IF('Pre-Calculation'!$D$17="Type 4 e",MAX(SA,N155),IF('Pre-Calculation'!$D$17="Type 4 f",SA,IF('Pre-Calculation'!$D$17="Type 4 g",1000+N155,IF('Pre-Calculation'!$D$17="Type 4 h",SA+X155,IF('Pre-Calculation'!$D$17="Type 4 i",MAX(N155,Q155),IF('Pre-Calculation'!$D$17="Type 4 k",MAX(N155,1.01*Q155),IF('Pre-Calculation'!$D$17="Type 4 m",MAX(105%*Q155,SA+N155),IF('Pre-Calculation'!$D$17="Type 4 o",MAX(SA,105%*Q155)+X155+Z155,IF('Pre-Calculation'!$D$17="Type 5",0))))))))))))</f>
        <v>1430204.441</v>
      </c>
      <c r="Q155" s="175">
        <f t="shared" si="5"/>
        <v>1000000</v>
      </c>
      <c r="R155" s="119">
        <f>L155*(1+GROWTH_RATE)*FMC</f>
        <v>1615.313665</v>
      </c>
      <c r="S155" s="178">
        <f>S154*(1+'Pre-Calculation'!$E$27)</f>
        <v>996374.7196</v>
      </c>
      <c r="T155" s="175">
        <f>-E155+IF(A154=INPUT!$C$11*12,N155,0)</f>
        <v>0</v>
      </c>
      <c r="U155" s="175">
        <f t="shared" si="6"/>
        <v>1433954.266</v>
      </c>
      <c r="V155" s="175">
        <f>U155*(1+GROWTH_RATE_L)*(1-'Pre-Calculation'!$E$31)</f>
        <v>1436252.842</v>
      </c>
      <c r="W155" s="175">
        <f>-E155+IF(A154=INPUT!$C$11*12,V155,0)</f>
        <v>0</v>
      </c>
      <c r="X155" s="179">
        <f t="array" ref="X155">NPV('Pre-Calculation'!$E$20,$E156:E$246)</f>
        <v>0</v>
      </c>
      <c r="Y155" s="171">
        <f>10%*SA</f>
        <v>100000</v>
      </c>
      <c r="Z155" s="179">
        <f t="array" ref="Z155">NPV('Pre-Calculation'!$E$20,Y156:Y165)</f>
        <v>969592.8037</v>
      </c>
    </row>
    <row r="156" ht="15.75" customHeight="1">
      <c r="A156" s="171">
        <f t="shared" si="1"/>
        <v>210</v>
      </c>
      <c r="B156" s="171">
        <f t="shared" si="2"/>
        <v>18</v>
      </c>
      <c r="C156" s="176">
        <f>EDATE(RCD,A155)</f>
        <v>48913</v>
      </c>
      <c r="D156" s="171">
        <f>Age_At_Entry+'Cashflows_4%'!B156-1</f>
        <v>52</v>
      </c>
      <c r="E156" s="175">
        <f>IF(AND(C156&lt;=Last_Prem,MOD(A155,Mode)=0,C156&gt;INPUT!$C$13,A156&lt;=Revival!$C$11),Mod_Prem,0)</f>
        <v>0</v>
      </c>
      <c r="F156" s="177">
        <f>IF(B156&lt;PT+1,E156*VLOOKUP(B156,'Pre-Calculation'!$H$1:$I$31,2,FALSE),0)</f>
        <v>0</v>
      </c>
      <c r="G156" s="177">
        <f>IF(B156&lt;PT+1,VLOOKUP(B156,'Pre-Calculation'!$H$1:$L$32,3,FALSE)+VLOOKUP(B156,'Pre-Calculation'!$H$1:$L$32,4,FALSE)*'Pre-Calculation'!$D$7,0)</f>
        <v>0</v>
      </c>
      <c r="H156" s="175">
        <f>(E156-(F156+G156)*(1+Tax)+N155)</f>
        <v>1430204.441</v>
      </c>
      <c r="I156" s="175">
        <f>IF(B156&lt;PT+1,VLOOKUP(D156,'Pre-Calculation'!$N$3:$P$79,IF(INPUT!$C$4="M",2,3),FALSE)*(J156/1000)*(1/12),0)</f>
        <v>0</v>
      </c>
      <c r="J156" s="175">
        <f t="shared" si="3"/>
        <v>0</v>
      </c>
      <c r="K156" s="175">
        <f>(IF('Pre-Calculation'!$D$17="Type 4 a",MAX(SA,H156,1.05*Q156),IF('Pre-Calculation'!$D$17="Type 4 c",H156,IF('Pre-Calculation'!$D$17="Type 4 d",SA+H156,IF('Pre-Calculation'!$D$17="Type 4 e",MAX(SA,H156),IF('Pre-Calculation'!$D$17="Type 4 f",SA,IF('Pre-Calculation'!$D$17="Type 4 g",1000+H156,IF('Pre-Calculation'!$D$17="Type 4 h",SA+X156,IF('Pre-Calculation'!$D$17="Type 4 i",MAX(H156,Q156),IF('Pre-Calculation'!$D$17="Type 4 k",MAX(H156,1.01*Q156),IF('Pre-Calculation'!$D$17="Type 4 m",MAX(105%*Q156,SA+H156),IF('Pre-Calculation'!$D$17="Type 4 o",MAX(SA,105%*Q156)+X156+Z156,IF('Pre-Calculation'!$D$17="Type 5",0)))))))))))))*IF(AND(A156&lt;Revival!$C$4,C156&gt;=Revival!$D$12),PUP,1)</f>
        <v>1430204.441</v>
      </c>
      <c r="L156" s="175">
        <f>H156-I156*(1+Tax)</f>
        <v>1430204.441</v>
      </c>
      <c r="M156" s="175">
        <f>L156*(1+GROWTH_RATE_L)*(1-FMC*(1+Tax))</f>
        <v>1432982.782</v>
      </c>
      <c r="N156" s="175">
        <f>M156+IF(MOD(A156,B156)=0,VLOOKUP(B156,'Pre-Calculation'!$H$1:$L$31,5,FALSE),0)*IF('Pre-Calculation'!$D$16="% OF FV",M156,IF(OR('Pre-Calculation'!$D$16="% OF AFV(24M)",'Pre-Calculation'!$D$16="% OF AFV(8Q)"),AVERAGE( $M133:$M156),IF('Pre-Calculation'!$D$16="% OF AFV(12M)",AVERAGE($M145:M156),IF('Pre-Calculation'!$D$16="% OF AFV(36M)",AVERAGE($M121:M156)))))</f>
        <v>1432982.782</v>
      </c>
      <c r="O156" s="175">
        <f t="shared" si="4"/>
        <v>1432982.782</v>
      </c>
      <c r="P156" s="175">
        <f>IF('Pre-Calculation'!$D$17="Type 4 a",MAX(SA,N156,1.05*Q156),IF('Pre-Calculation'!$D$17="Type 4 c",N156,IF('Pre-Calculation'!$D$17="Type 4 d",SA+N156,IF('Pre-Calculation'!$D$17="Type 4 e",MAX(SA,N156),IF('Pre-Calculation'!$D$17="Type 4 f",SA,IF('Pre-Calculation'!$D$17="Type 4 g",1000+N156,IF('Pre-Calculation'!$D$17="Type 4 h",SA+X156,IF('Pre-Calculation'!$D$17="Type 4 i",MAX(N156,Q156),IF('Pre-Calculation'!$D$17="Type 4 k",MAX(N156,1.01*Q156),IF('Pre-Calculation'!$D$17="Type 4 m",MAX(105%*Q156,SA+N156),IF('Pre-Calculation'!$D$17="Type 4 o",MAX(SA,105%*Q156)+X156+Z156,IF('Pre-Calculation'!$D$17="Type 5",0))))))))))))</f>
        <v>1432982.782</v>
      </c>
      <c r="Q156" s="175">
        <f t="shared" si="5"/>
        <v>1000000</v>
      </c>
      <c r="R156" s="119">
        <f>L156*(1+GROWTH_RATE)*FMC</f>
        <v>1618.451603</v>
      </c>
      <c r="S156" s="178">
        <f>S155*(1+'Pre-Calculation'!$E$27)</f>
        <v>999235.2105</v>
      </c>
      <c r="T156" s="175">
        <f>-E156+IF(A155=INPUT!$C$11*12,N156,0)</f>
        <v>0</v>
      </c>
      <c r="U156" s="175">
        <f t="shared" si="6"/>
        <v>1436252.842</v>
      </c>
      <c r="V156" s="175">
        <f>U156*(1+GROWTH_RATE_L)*(1-'Pre-Calculation'!$E$31)</f>
        <v>1438555.104</v>
      </c>
      <c r="W156" s="175">
        <f>-E156+IF(A155=INPUT!$C$11*12,V156,0)</f>
        <v>0</v>
      </c>
      <c r="X156" s="179">
        <f t="array" ref="X156">NPV('Pre-Calculation'!$E$20,$E157:E$246)</f>
        <v>0</v>
      </c>
      <c r="Y156" s="171">
        <f>10%*SA</f>
        <v>100000</v>
      </c>
      <c r="Z156" s="179">
        <f t="array" ref="Z156">NPV('Pre-Calculation'!$E$20,Y157:Y166)</f>
        <v>969592.8037</v>
      </c>
    </row>
    <row r="157" ht="15.75" customHeight="1">
      <c r="A157" s="171">
        <f t="shared" si="1"/>
        <v>211</v>
      </c>
      <c r="B157" s="171">
        <f t="shared" si="2"/>
        <v>18</v>
      </c>
      <c r="C157" s="176">
        <f>EDATE(RCD,A156)</f>
        <v>48943</v>
      </c>
      <c r="D157" s="171">
        <f>Age_At_Entry+'Cashflows_4%'!B157-1</f>
        <v>52</v>
      </c>
      <c r="E157" s="175">
        <f>IF(AND(C157&lt;=Last_Prem,MOD(A156,Mode)=0,C157&gt;INPUT!$C$13,A157&lt;=Revival!$C$11),Mod_Prem,0)</f>
        <v>0</v>
      </c>
      <c r="F157" s="177">
        <f>IF(B157&lt;PT+1,E157*VLOOKUP(B157,'Pre-Calculation'!$H$1:$I$31,2,FALSE),0)</f>
        <v>0</v>
      </c>
      <c r="G157" s="177">
        <f>IF(B157&lt;PT+1,VLOOKUP(B157,'Pre-Calculation'!$H$1:$L$32,3,FALSE)+VLOOKUP(B157,'Pre-Calculation'!$H$1:$L$32,4,FALSE)*'Pre-Calculation'!$D$7,0)</f>
        <v>0</v>
      </c>
      <c r="H157" s="175">
        <f>(E157-(F157+G157)*(1+Tax)+N156)</f>
        <v>1432982.782</v>
      </c>
      <c r="I157" s="175">
        <f>IF(B157&lt;PT+1,VLOOKUP(D157,'Pre-Calculation'!$N$3:$P$79,IF(INPUT!$C$4="M",2,3),FALSE)*(J157/1000)*(1/12),0)</f>
        <v>0</v>
      </c>
      <c r="J157" s="175">
        <f t="shared" si="3"/>
        <v>0</v>
      </c>
      <c r="K157" s="175">
        <f>(IF('Pre-Calculation'!$D$17="Type 4 a",MAX(SA,H157,1.05*Q157),IF('Pre-Calculation'!$D$17="Type 4 c",H157,IF('Pre-Calculation'!$D$17="Type 4 d",SA+H157,IF('Pre-Calculation'!$D$17="Type 4 e",MAX(SA,H157),IF('Pre-Calculation'!$D$17="Type 4 f",SA,IF('Pre-Calculation'!$D$17="Type 4 g",1000+H157,IF('Pre-Calculation'!$D$17="Type 4 h",SA+X157,IF('Pre-Calculation'!$D$17="Type 4 i",MAX(H157,Q157),IF('Pre-Calculation'!$D$17="Type 4 k",MAX(H157,1.01*Q157),IF('Pre-Calculation'!$D$17="Type 4 m",MAX(105%*Q157,SA+H157),IF('Pre-Calculation'!$D$17="Type 4 o",MAX(SA,105%*Q157)+X157+Z157,IF('Pre-Calculation'!$D$17="Type 5",0)))))))))))))*IF(AND(A157&lt;Revival!$C$4,C157&gt;=Revival!$D$12),PUP,1)</f>
        <v>1432982.782</v>
      </c>
      <c r="L157" s="175">
        <f>H157-I157*(1+Tax)</f>
        <v>1432982.782</v>
      </c>
      <c r="M157" s="175">
        <f>L157*(1+GROWTH_RATE_L)*(1-FMC*(1+Tax))</f>
        <v>1435766.521</v>
      </c>
      <c r="N157" s="175">
        <f>M157+IF(MOD(A157,B157)=0,VLOOKUP(B157,'Pre-Calculation'!$H$1:$L$31,5,FALSE),0)*IF('Pre-Calculation'!$D$16="% OF FV",M157,IF(OR('Pre-Calculation'!$D$16="% OF AFV(24M)",'Pre-Calculation'!$D$16="% OF AFV(8Q)"),AVERAGE( $M134:$M157),IF('Pre-Calculation'!$D$16="% OF AFV(12M)",AVERAGE($M146:M157),IF('Pre-Calculation'!$D$16="% OF AFV(36M)",AVERAGE($M122:M157)))))</f>
        <v>1435766.521</v>
      </c>
      <c r="O157" s="175">
        <f t="shared" si="4"/>
        <v>1435766.521</v>
      </c>
      <c r="P157" s="175">
        <f>IF('Pre-Calculation'!$D$17="Type 4 a",MAX(SA,N157,1.05*Q157),IF('Pre-Calculation'!$D$17="Type 4 c",N157,IF('Pre-Calculation'!$D$17="Type 4 d",SA+N157,IF('Pre-Calculation'!$D$17="Type 4 e",MAX(SA,N157),IF('Pre-Calculation'!$D$17="Type 4 f",SA,IF('Pre-Calculation'!$D$17="Type 4 g",1000+N157,IF('Pre-Calculation'!$D$17="Type 4 h",SA+X157,IF('Pre-Calculation'!$D$17="Type 4 i",MAX(N157,Q157),IF('Pre-Calculation'!$D$17="Type 4 k",MAX(N157,1.01*Q157),IF('Pre-Calculation'!$D$17="Type 4 m",MAX(105%*Q157,SA+N157),IF('Pre-Calculation'!$D$17="Type 4 o",MAX(SA,105%*Q157)+X157+Z157,IF('Pre-Calculation'!$D$17="Type 5",0))))))))))))</f>
        <v>1435766.521</v>
      </c>
      <c r="Q157" s="175">
        <f t="shared" si="5"/>
        <v>1000000</v>
      </c>
      <c r="R157" s="119">
        <f>L157*(1+GROWTH_RATE)*FMC</f>
        <v>1621.595636</v>
      </c>
      <c r="S157" s="178">
        <f>S156*(1+'Pre-Calculation'!$E$27)</f>
        <v>1002103.914</v>
      </c>
      <c r="T157" s="175">
        <f>-E157+IF(A156=INPUT!$C$11*12,N157,0)</f>
        <v>0</v>
      </c>
      <c r="U157" s="175">
        <f t="shared" si="6"/>
        <v>1438555.104</v>
      </c>
      <c r="V157" s="175">
        <f>U157*(1+GROWTH_RATE_L)*(1-'Pre-Calculation'!$E$31)</f>
        <v>1440861.055</v>
      </c>
      <c r="W157" s="175">
        <f>-E157+IF(A156=INPUT!$C$11*12,V157,0)</f>
        <v>0</v>
      </c>
      <c r="X157" s="179">
        <f t="array" ref="X157">NPV('Pre-Calculation'!$E$20,$E158:E$246)</f>
        <v>0</v>
      </c>
      <c r="Y157" s="171">
        <f>10%*SA</f>
        <v>100000</v>
      </c>
      <c r="Z157" s="179">
        <f t="array" ref="Z157">NPV('Pre-Calculation'!$E$20,Y158:Y167)</f>
        <v>969592.8037</v>
      </c>
    </row>
    <row r="158" ht="15.75" customHeight="1">
      <c r="A158" s="171">
        <f t="shared" si="1"/>
        <v>212</v>
      </c>
      <c r="B158" s="171">
        <f t="shared" si="2"/>
        <v>18</v>
      </c>
      <c r="C158" s="176">
        <f>EDATE(RCD,A157)</f>
        <v>48974</v>
      </c>
      <c r="D158" s="171">
        <f>Age_At_Entry+'Cashflows_4%'!B158-1</f>
        <v>52</v>
      </c>
      <c r="E158" s="175">
        <f>IF(AND(C158&lt;=Last_Prem,MOD(A157,Mode)=0,C158&gt;INPUT!$C$13,A158&lt;=Revival!$C$11),Mod_Prem,0)</f>
        <v>0</v>
      </c>
      <c r="F158" s="177">
        <f>IF(B158&lt;PT+1,E158*VLOOKUP(B158,'Pre-Calculation'!$H$1:$I$31,2,FALSE),0)</f>
        <v>0</v>
      </c>
      <c r="G158" s="177">
        <f>IF(B158&lt;PT+1,VLOOKUP(B158,'Pre-Calculation'!$H$1:$L$32,3,FALSE)+VLOOKUP(B158,'Pre-Calculation'!$H$1:$L$32,4,FALSE)*'Pre-Calculation'!$D$7,0)</f>
        <v>0</v>
      </c>
      <c r="H158" s="175">
        <f>(E158-(F158+G158)*(1+Tax)+N157)</f>
        <v>1435766.521</v>
      </c>
      <c r="I158" s="175">
        <f>IF(B158&lt;PT+1,VLOOKUP(D158,'Pre-Calculation'!$N$3:$P$79,IF(INPUT!$C$4="M",2,3),FALSE)*(J158/1000)*(1/12),0)</f>
        <v>0</v>
      </c>
      <c r="J158" s="175">
        <f t="shared" si="3"/>
        <v>0</v>
      </c>
      <c r="K158" s="175">
        <f>(IF('Pre-Calculation'!$D$17="Type 4 a",MAX(SA,H158,1.05*Q158),IF('Pre-Calculation'!$D$17="Type 4 c",H158,IF('Pre-Calculation'!$D$17="Type 4 d",SA+H158,IF('Pre-Calculation'!$D$17="Type 4 e",MAX(SA,H158),IF('Pre-Calculation'!$D$17="Type 4 f",SA,IF('Pre-Calculation'!$D$17="Type 4 g",1000+H158,IF('Pre-Calculation'!$D$17="Type 4 h",SA+X158,IF('Pre-Calculation'!$D$17="Type 4 i",MAX(H158,Q158),IF('Pre-Calculation'!$D$17="Type 4 k",MAX(H158,1.01*Q158),IF('Pre-Calculation'!$D$17="Type 4 m",MAX(105%*Q158,SA+H158),IF('Pre-Calculation'!$D$17="Type 4 o",MAX(SA,105%*Q158)+X158+Z158,IF('Pre-Calculation'!$D$17="Type 5",0)))))))))))))*IF(AND(A158&lt;Revival!$C$4,C158&gt;=Revival!$D$12),PUP,1)</f>
        <v>1435766.521</v>
      </c>
      <c r="L158" s="175">
        <f>H158-I158*(1+Tax)</f>
        <v>1435766.521</v>
      </c>
      <c r="M158" s="175">
        <f>L158*(1+GROWTH_RATE_L)*(1-FMC*(1+Tax))</f>
        <v>1438555.667</v>
      </c>
      <c r="N158" s="175">
        <f>M158+IF(MOD(A158,B158)=0,VLOOKUP(B158,'Pre-Calculation'!$H$1:$L$31,5,FALSE),0)*IF('Pre-Calculation'!$D$16="% OF FV",M158,IF(OR('Pre-Calculation'!$D$16="% OF AFV(24M)",'Pre-Calculation'!$D$16="% OF AFV(8Q)"),AVERAGE( $M135:$M158),IF('Pre-Calculation'!$D$16="% OF AFV(12M)",AVERAGE($M147:M158),IF('Pre-Calculation'!$D$16="% OF AFV(36M)",AVERAGE($M123:M158)))))</f>
        <v>1438555.667</v>
      </c>
      <c r="O158" s="175">
        <f t="shared" si="4"/>
        <v>1438555.667</v>
      </c>
      <c r="P158" s="175">
        <f>IF('Pre-Calculation'!$D$17="Type 4 a",MAX(SA,N158,1.05*Q158),IF('Pre-Calculation'!$D$17="Type 4 c",N158,IF('Pre-Calculation'!$D$17="Type 4 d",SA+N158,IF('Pre-Calculation'!$D$17="Type 4 e",MAX(SA,N158),IF('Pre-Calculation'!$D$17="Type 4 f",SA,IF('Pre-Calculation'!$D$17="Type 4 g",1000+N158,IF('Pre-Calculation'!$D$17="Type 4 h",SA+X158,IF('Pre-Calculation'!$D$17="Type 4 i",MAX(N158,Q158),IF('Pre-Calculation'!$D$17="Type 4 k",MAX(N158,1.01*Q158),IF('Pre-Calculation'!$D$17="Type 4 m",MAX(105%*Q158,SA+N158),IF('Pre-Calculation'!$D$17="Type 4 o",MAX(SA,105%*Q158)+X158+Z158,IF('Pre-Calculation'!$D$17="Type 5",0))))))))))))</f>
        <v>1438555.667</v>
      </c>
      <c r="Q158" s="175">
        <f t="shared" si="5"/>
        <v>1000000</v>
      </c>
      <c r="R158" s="119">
        <f>L158*(1+GROWTH_RATE)*FMC</f>
        <v>1624.745777</v>
      </c>
      <c r="S158" s="178">
        <f>S157*(1+'Pre-Calculation'!$E$27)</f>
        <v>1004980.852</v>
      </c>
      <c r="T158" s="175">
        <f>-E158+IF(A157=INPUT!$C$11*12,N158,0)</f>
        <v>0</v>
      </c>
      <c r="U158" s="175">
        <f t="shared" si="6"/>
        <v>1440861.055</v>
      </c>
      <c r="V158" s="175">
        <f>U158*(1+GROWTH_RATE_L)*(1-'Pre-Calculation'!$E$31)</f>
        <v>1443170.704</v>
      </c>
      <c r="W158" s="175">
        <f>-E158+IF(A157=INPUT!$C$11*12,V158,0)</f>
        <v>0</v>
      </c>
      <c r="X158" s="179">
        <f t="array" ref="X158">NPV('Pre-Calculation'!$E$20,$E159:E$246)</f>
        <v>0</v>
      </c>
      <c r="Y158" s="171">
        <f>10%*SA</f>
        <v>100000</v>
      </c>
      <c r="Z158" s="179">
        <f t="array" ref="Z158">NPV('Pre-Calculation'!$E$20,Y159:Y168)</f>
        <v>969592.8037</v>
      </c>
    </row>
    <row r="159" ht="15.75" customHeight="1">
      <c r="A159" s="171">
        <f t="shared" si="1"/>
        <v>213</v>
      </c>
      <c r="B159" s="171">
        <f t="shared" si="2"/>
        <v>18</v>
      </c>
      <c r="C159" s="176">
        <f>EDATE(RCD,A158)</f>
        <v>49003</v>
      </c>
      <c r="D159" s="171">
        <f>Age_At_Entry+'Cashflows_4%'!B159-1</f>
        <v>52</v>
      </c>
      <c r="E159" s="175">
        <f>IF(AND(C159&lt;=Last_Prem,MOD(A158,Mode)=0,C159&gt;INPUT!$C$13,A159&lt;=Revival!$C$11),Mod_Prem,0)</f>
        <v>0</v>
      </c>
      <c r="F159" s="177">
        <f>IF(B159&lt;PT+1,E159*VLOOKUP(B159,'Pre-Calculation'!$H$1:$I$31,2,FALSE),0)</f>
        <v>0</v>
      </c>
      <c r="G159" s="177">
        <f>IF(B159&lt;PT+1,VLOOKUP(B159,'Pre-Calculation'!$H$1:$L$32,3,FALSE)+VLOOKUP(B159,'Pre-Calculation'!$H$1:$L$32,4,FALSE)*'Pre-Calculation'!$D$7,0)</f>
        <v>0</v>
      </c>
      <c r="H159" s="175">
        <f>(E159-(F159+G159)*(1+Tax)+N158)</f>
        <v>1438555.667</v>
      </c>
      <c r="I159" s="175">
        <f>IF(B159&lt;PT+1,VLOOKUP(D159,'Pre-Calculation'!$N$3:$P$79,IF(INPUT!$C$4="M",2,3),FALSE)*(J159/1000)*(1/12),0)</f>
        <v>0</v>
      </c>
      <c r="J159" s="175">
        <f t="shared" si="3"/>
        <v>0</v>
      </c>
      <c r="K159" s="175">
        <f>(IF('Pre-Calculation'!$D$17="Type 4 a",MAX(SA,H159,1.05*Q159),IF('Pre-Calculation'!$D$17="Type 4 c",H159,IF('Pre-Calculation'!$D$17="Type 4 d",SA+H159,IF('Pre-Calculation'!$D$17="Type 4 e",MAX(SA,H159),IF('Pre-Calculation'!$D$17="Type 4 f",SA,IF('Pre-Calculation'!$D$17="Type 4 g",1000+H159,IF('Pre-Calculation'!$D$17="Type 4 h",SA+X159,IF('Pre-Calculation'!$D$17="Type 4 i",MAX(H159,Q159),IF('Pre-Calculation'!$D$17="Type 4 k",MAX(H159,1.01*Q159),IF('Pre-Calculation'!$D$17="Type 4 m",MAX(105%*Q159,SA+H159),IF('Pre-Calculation'!$D$17="Type 4 o",MAX(SA,105%*Q159)+X159+Z159,IF('Pre-Calculation'!$D$17="Type 5",0)))))))))))))*IF(AND(A159&lt;Revival!$C$4,C159&gt;=Revival!$D$12),PUP,1)</f>
        <v>1438555.667</v>
      </c>
      <c r="L159" s="175">
        <f>H159-I159*(1+Tax)</f>
        <v>1438555.667</v>
      </c>
      <c r="M159" s="175">
        <f>L159*(1+GROWTH_RATE_L)*(1-FMC*(1+Tax))</f>
        <v>1441350.231</v>
      </c>
      <c r="N159" s="175">
        <f>M159+IF(MOD(A159,B159)=0,VLOOKUP(B159,'Pre-Calculation'!$H$1:$L$31,5,FALSE),0)*IF('Pre-Calculation'!$D$16="% OF FV",M159,IF(OR('Pre-Calculation'!$D$16="% OF AFV(24M)",'Pre-Calculation'!$D$16="% OF AFV(8Q)"),AVERAGE( $M136:$M159),IF('Pre-Calculation'!$D$16="% OF AFV(12M)",AVERAGE($M148:M159),IF('Pre-Calculation'!$D$16="% OF AFV(36M)",AVERAGE($M124:M159)))))</f>
        <v>1441350.231</v>
      </c>
      <c r="O159" s="175">
        <f t="shared" si="4"/>
        <v>1441350.231</v>
      </c>
      <c r="P159" s="175">
        <f>IF('Pre-Calculation'!$D$17="Type 4 a",MAX(SA,N159,1.05*Q159),IF('Pre-Calculation'!$D$17="Type 4 c",N159,IF('Pre-Calculation'!$D$17="Type 4 d",SA+N159,IF('Pre-Calculation'!$D$17="Type 4 e",MAX(SA,N159),IF('Pre-Calculation'!$D$17="Type 4 f",SA,IF('Pre-Calculation'!$D$17="Type 4 g",1000+N159,IF('Pre-Calculation'!$D$17="Type 4 h",SA+X159,IF('Pre-Calculation'!$D$17="Type 4 i",MAX(N159,Q159),IF('Pre-Calculation'!$D$17="Type 4 k",MAX(N159,1.01*Q159),IF('Pre-Calculation'!$D$17="Type 4 m",MAX(105%*Q159,SA+N159),IF('Pre-Calculation'!$D$17="Type 4 o",MAX(SA,105%*Q159)+X159+Z159,IF('Pre-Calculation'!$D$17="Type 5",0))))))))))))</f>
        <v>1441350.231</v>
      </c>
      <c r="Q159" s="175">
        <f t="shared" si="5"/>
        <v>1000000</v>
      </c>
      <c r="R159" s="119">
        <f>L159*(1+GROWTH_RATE)*FMC</f>
        <v>1627.902038</v>
      </c>
      <c r="S159" s="178">
        <f>S158*(1+'Pre-Calculation'!$E$27)</f>
        <v>1007866.051</v>
      </c>
      <c r="T159" s="175">
        <f>-E159+IF(A158=INPUT!$C$11*12,N159,0)</f>
        <v>0</v>
      </c>
      <c r="U159" s="175">
        <f t="shared" si="6"/>
        <v>1443170.704</v>
      </c>
      <c r="V159" s="175">
        <f>U159*(1+GROWTH_RATE_L)*(1-'Pre-Calculation'!$E$31)</f>
        <v>1445484.054</v>
      </c>
      <c r="W159" s="175">
        <f>-E159+IF(A158=INPUT!$C$11*12,V159,0)</f>
        <v>0</v>
      </c>
      <c r="X159" s="179">
        <f t="array" ref="X159">NPV('Pre-Calculation'!$E$20,$E160:E$246)</f>
        <v>0</v>
      </c>
      <c r="Y159" s="171">
        <f>10%*SA</f>
        <v>100000</v>
      </c>
      <c r="Z159" s="179">
        <f t="array" ref="Z159">NPV('Pre-Calculation'!$E$20,Y160:Y169)</f>
        <v>969592.8037</v>
      </c>
    </row>
    <row r="160" ht="15.75" customHeight="1">
      <c r="A160" s="171">
        <f t="shared" si="1"/>
        <v>214</v>
      </c>
      <c r="B160" s="171">
        <f t="shared" si="2"/>
        <v>18</v>
      </c>
      <c r="C160" s="176">
        <f>EDATE(RCD,A159)</f>
        <v>49033</v>
      </c>
      <c r="D160" s="171">
        <f>Age_At_Entry+'Cashflows_4%'!B160-1</f>
        <v>52</v>
      </c>
      <c r="E160" s="175">
        <f>IF(AND(C160&lt;=Last_Prem,MOD(A159,Mode)=0,C160&gt;INPUT!$C$13,A160&lt;=Revival!$C$11),Mod_Prem,0)</f>
        <v>0</v>
      </c>
      <c r="F160" s="177">
        <f>IF(B160&lt;PT+1,E160*VLOOKUP(B160,'Pre-Calculation'!$H$1:$I$31,2,FALSE),0)</f>
        <v>0</v>
      </c>
      <c r="G160" s="177">
        <f>IF(B160&lt;PT+1,VLOOKUP(B160,'Pre-Calculation'!$H$1:$L$32,3,FALSE)+VLOOKUP(B160,'Pre-Calculation'!$H$1:$L$32,4,FALSE)*'Pre-Calculation'!$D$7,0)</f>
        <v>0</v>
      </c>
      <c r="H160" s="175">
        <f>(E160-(F160+G160)*(1+Tax)+N159)</f>
        <v>1441350.231</v>
      </c>
      <c r="I160" s="175">
        <f>IF(B160&lt;PT+1,VLOOKUP(D160,'Pre-Calculation'!$N$3:$P$79,IF(INPUT!$C$4="M",2,3),FALSE)*(J160/1000)*(1/12),0)</f>
        <v>0</v>
      </c>
      <c r="J160" s="175">
        <f t="shared" si="3"/>
        <v>0</v>
      </c>
      <c r="K160" s="175">
        <f>(IF('Pre-Calculation'!$D$17="Type 4 a",MAX(SA,H160,1.05*Q160),IF('Pre-Calculation'!$D$17="Type 4 c",H160,IF('Pre-Calculation'!$D$17="Type 4 d",SA+H160,IF('Pre-Calculation'!$D$17="Type 4 e",MAX(SA,H160),IF('Pre-Calculation'!$D$17="Type 4 f",SA,IF('Pre-Calculation'!$D$17="Type 4 g",1000+H160,IF('Pre-Calculation'!$D$17="Type 4 h",SA+X160,IF('Pre-Calculation'!$D$17="Type 4 i",MAX(H160,Q160),IF('Pre-Calculation'!$D$17="Type 4 k",MAX(H160,1.01*Q160),IF('Pre-Calculation'!$D$17="Type 4 m",MAX(105%*Q160,SA+H160),IF('Pre-Calculation'!$D$17="Type 4 o",MAX(SA,105%*Q160)+X160+Z160,IF('Pre-Calculation'!$D$17="Type 5",0)))))))))))))*IF(AND(A160&lt;Revival!$C$4,C160&gt;=Revival!$D$12),PUP,1)</f>
        <v>1441350.231</v>
      </c>
      <c r="L160" s="175">
        <f>H160-I160*(1+Tax)</f>
        <v>1441350.231</v>
      </c>
      <c r="M160" s="175">
        <f>L160*(1+GROWTH_RATE_L)*(1-FMC*(1+Tax))</f>
        <v>1444150.224</v>
      </c>
      <c r="N160" s="175">
        <f>M160+IF(MOD(A160,B160)=0,VLOOKUP(B160,'Pre-Calculation'!$H$1:$L$31,5,FALSE),0)*IF('Pre-Calculation'!$D$16="% OF FV",M160,IF(OR('Pre-Calculation'!$D$16="% OF AFV(24M)",'Pre-Calculation'!$D$16="% OF AFV(8Q)"),AVERAGE( $M137:$M160),IF('Pre-Calculation'!$D$16="% OF AFV(12M)",AVERAGE($M149:M160),IF('Pre-Calculation'!$D$16="% OF AFV(36M)",AVERAGE($M125:M160)))))</f>
        <v>1444150.224</v>
      </c>
      <c r="O160" s="175">
        <f t="shared" si="4"/>
        <v>1444150.224</v>
      </c>
      <c r="P160" s="175">
        <f>IF('Pre-Calculation'!$D$17="Type 4 a",MAX(SA,N160,1.05*Q160),IF('Pre-Calculation'!$D$17="Type 4 c",N160,IF('Pre-Calculation'!$D$17="Type 4 d",SA+N160,IF('Pre-Calculation'!$D$17="Type 4 e",MAX(SA,N160),IF('Pre-Calculation'!$D$17="Type 4 f",SA,IF('Pre-Calculation'!$D$17="Type 4 g",1000+N160,IF('Pre-Calculation'!$D$17="Type 4 h",SA+X160,IF('Pre-Calculation'!$D$17="Type 4 i",MAX(N160,Q160),IF('Pre-Calculation'!$D$17="Type 4 k",MAX(N160,1.01*Q160),IF('Pre-Calculation'!$D$17="Type 4 m",MAX(105%*Q160,SA+N160),IF('Pre-Calculation'!$D$17="Type 4 o",MAX(SA,105%*Q160)+X160+Z160,IF('Pre-Calculation'!$D$17="Type 5",0))))))))))))</f>
        <v>1444150.224</v>
      </c>
      <c r="Q160" s="175">
        <f t="shared" si="5"/>
        <v>1000000</v>
      </c>
      <c r="R160" s="119">
        <f>L160*(1+GROWTH_RATE)*FMC</f>
        <v>1631.06443</v>
      </c>
      <c r="S160" s="178">
        <f>S159*(1+'Pre-Calculation'!$E$27)</f>
        <v>1010759.532</v>
      </c>
      <c r="T160" s="175">
        <f>-E160+IF(A159=INPUT!$C$11*12,N160,0)</f>
        <v>0</v>
      </c>
      <c r="U160" s="175">
        <f t="shared" si="6"/>
        <v>1445484.054</v>
      </c>
      <c r="V160" s="175">
        <f>U160*(1+GROWTH_RATE_L)*(1-'Pre-Calculation'!$E$31)</f>
        <v>1447801.113</v>
      </c>
      <c r="W160" s="175">
        <f>-E160+IF(A159=INPUT!$C$11*12,V160,0)</f>
        <v>0</v>
      </c>
      <c r="X160" s="179">
        <f t="array" ref="X160">NPV('Pre-Calculation'!$E$20,$E161:E$246)</f>
        <v>0</v>
      </c>
      <c r="Y160" s="171">
        <f>10%*SA</f>
        <v>100000</v>
      </c>
      <c r="Z160" s="179">
        <f t="array" ref="Z160">NPV('Pre-Calculation'!$E$20,Y161:Y170)</f>
        <v>969592.8037</v>
      </c>
    </row>
    <row r="161" ht="15.75" customHeight="1">
      <c r="A161" s="171">
        <f t="shared" si="1"/>
        <v>215</v>
      </c>
      <c r="B161" s="171">
        <f t="shared" si="2"/>
        <v>18</v>
      </c>
      <c r="C161" s="176">
        <f>EDATE(RCD,A160)</f>
        <v>49064</v>
      </c>
      <c r="D161" s="171">
        <f>Age_At_Entry+'Cashflows_4%'!B161-1</f>
        <v>52</v>
      </c>
      <c r="E161" s="175">
        <f>IF(AND(C161&lt;=Last_Prem,MOD(A160,Mode)=0,C161&gt;INPUT!$C$13,A161&lt;=Revival!$C$11),Mod_Prem,0)</f>
        <v>0</v>
      </c>
      <c r="F161" s="177">
        <f>IF(B161&lt;PT+1,E161*VLOOKUP(B161,'Pre-Calculation'!$H$1:$I$31,2,FALSE),0)</f>
        <v>0</v>
      </c>
      <c r="G161" s="177">
        <f>IF(B161&lt;PT+1,VLOOKUP(B161,'Pre-Calculation'!$H$1:$L$32,3,FALSE)+VLOOKUP(B161,'Pre-Calculation'!$H$1:$L$32,4,FALSE)*'Pre-Calculation'!$D$7,0)</f>
        <v>0</v>
      </c>
      <c r="H161" s="175">
        <f>(E161-(F161+G161)*(1+Tax)+N160)</f>
        <v>1444150.224</v>
      </c>
      <c r="I161" s="175">
        <f>IF(B161&lt;PT+1,VLOOKUP(D161,'Pre-Calculation'!$N$3:$P$79,IF(INPUT!$C$4="M",2,3),FALSE)*(J161/1000)*(1/12),0)</f>
        <v>0</v>
      </c>
      <c r="J161" s="175">
        <f t="shared" si="3"/>
        <v>0</v>
      </c>
      <c r="K161" s="175">
        <f>(IF('Pre-Calculation'!$D$17="Type 4 a",MAX(SA,H161,1.05*Q161),IF('Pre-Calculation'!$D$17="Type 4 c",H161,IF('Pre-Calculation'!$D$17="Type 4 d",SA+H161,IF('Pre-Calculation'!$D$17="Type 4 e",MAX(SA,H161),IF('Pre-Calculation'!$D$17="Type 4 f",SA,IF('Pre-Calculation'!$D$17="Type 4 g",1000+H161,IF('Pre-Calculation'!$D$17="Type 4 h",SA+X161,IF('Pre-Calculation'!$D$17="Type 4 i",MAX(H161,Q161),IF('Pre-Calculation'!$D$17="Type 4 k",MAX(H161,1.01*Q161),IF('Pre-Calculation'!$D$17="Type 4 m",MAX(105%*Q161,SA+H161),IF('Pre-Calculation'!$D$17="Type 4 o",MAX(SA,105%*Q161)+X161+Z161,IF('Pre-Calculation'!$D$17="Type 5",0)))))))))))))*IF(AND(A161&lt;Revival!$C$4,C161&gt;=Revival!$D$12),PUP,1)</f>
        <v>1444150.224</v>
      </c>
      <c r="L161" s="175">
        <f>H161-I161*(1+Tax)</f>
        <v>1444150.224</v>
      </c>
      <c r="M161" s="175">
        <f>L161*(1+GROWTH_RATE_L)*(1-FMC*(1+Tax))</f>
        <v>1446955.657</v>
      </c>
      <c r="N161" s="175">
        <f>M161+IF(MOD(A161,B161)=0,VLOOKUP(B161,'Pre-Calculation'!$H$1:$L$31,5,FALSE),0)*IF('Pre-Calculation'!$D$16="% OF FV",M161,IF(OR('Pre-Calculation'!$D$16="% OF AFV(24M)",'Pre-Calculation'!$D$16="% OF AFV(8Q)"),AVERAGE( $M138:$M161),IF('Pre-Calculation'!$D$16="% OF AFV(12M)",AVERAGE($M150:M161),IF('Pre-Calculation'!$D$16="% OF AFV(36M)",AVERAGE($M126:M161)))))</f>
        <v>1446955.657</v>
      </c>
      <c r="O161" s="175">
        <f t="shared" si="4"/>
        <v>1446955.657</v>
      </c>
      <c r="P161" s="175">
        <f>IF('Pre-Calculation'!$D$17="Type 4 a",MAX(SA,N161,1.05*Q161),IF('Pre-Calculation'!$D$17="Type 4 c",N161,IF('Pre-Calculation'!$D$17="Type 4 d",SA+N161,IF('Pre-Calculation'!$D$17="Type 4 e",MAX(SA,N161),IF('Pre-Calculation'!$D$17="Type 4 f",SA,IF('Pre-Calculation'!$D$17="Type 4 g",1000+N161,IF('Pre-Calculation'!$D$17="Type 4 h",SA+X161,IF('Pre-Calculation'!$D$17="Type 4 i",MAX(N161,Q161),IF('Pre-Calculation'!$D$17="Type 4 k",MAX(N161,1.01*Q161),IF('Pre-Calculation'!$D$17="Type 4 m",MAX(105%*Q161,SA+N161),IF('Pre-Calculation'!$D$17="Type 4 o",MAX(SA,105%*Q161)+X161+Z161,IF('Pre-Calculation'!$D$17="Type 5",0))))))))))))</f>
        <v>1446955.657</v>
      </c>
      <c r="Q161" s="175">
        <f t="shared" si="5"/>
        <v>1000000</v>
      </c>
      <c r="R161" s="119">
        <f>L161*(1+GROWTH_RATE)*FMC</f>
        <v>1634.232965</v>
      </c>
      <c r="S161" s="178">
        <f>S160*(1+'Pre-Calculation'!$E$27)</f>
        <v>1013661.32</v>
      </c>
      <c r="T161" s="175">
        <f>-E161+IF(A160=INPUT!$C$11*12,N161,0)</f>
        <v>0</v>
      </c>
      <c r="U161" s="175">
        <f t="shared" si="6"/>
        <v>1447801.113</v>
      </c>
      <c r="V161" s="175">
        <f>U161*(1+GROWTH_RATE_L)*(1-'Pre-Calculation'!$E$31)</f>
        <v>1450121.885</v>
      </c>
      <c r="W161" s="175">
        <f>-E161+IF(A160=INPUT!$C$11*12,V161,0)</f>
        <v>0</v>
      </c>
      <c r="X161" s="179">
        <f t="array" ref="X161">NPV('Pre-Calculation'!$E$20,$E162:E$246)</f>
        <v>0</v>
      </c>
      <c r="Y161" s="171">
        <f>10%*SA</f>
        <v>100000</v>
      </c>
      <c r="Z161" s="179">
        <f t="array" ref="Z161">NPV('Pre-Calculation'!$E$20,Y162:Y171)</f>
        <v>969592.8037</v>
      </c>
    </row>
    <row r="162" ht="15.75" customHeight="1">
      <c r="A162" s="171">
        <f t="shared" si="1"/>
        <v>216</v>
      </c>
      <c r="B162" s="171">
        <f t="shared" si="2"/>
        <v>18</v>
      </c>
      <c r="C162" s="176">
        <f>EDATE(RCD,A161)</f>
        <v>49094</v>
      </c>
      <c r="D162" s="171">
        <f>Age_At_Entry+'Cashflows_4%'!B162-1</f>
        <v>52</v>
      </c>
      <c r="E162" s="175">
        <f>IF(AND(C162&lt;=Last_Prem,MOD(A161,Mode)=0,C162&gt;INPUT!$C$13,A162&lt;=Revival!$C$11),Mod_Prem,0)</f>
        <v>0</v>
      </c>
      <c r="F162" s="177">
        <f>IF(B162&lt;PT+1,E162*VLOOKUP(B162,'Pre-Calculation'!$H$1:$I$31,2,FALSE),0)</f>
        <v>0</v>
      </c>
      <c r="G162" s="177">
        <f>IF(B162&lt;PT+1,VLOOKUP(B162,'Pre-Calculation'!$H$1:$L$32,3,FALSE)+VLOOKUP(B162,'Pre-Calculation'!$H$1:$L$32,4,FALSE)*'Pre-Calculation'!$D$7,0)</f>
        <v>0</v>
      </c>
      <c r="H162" s="175">
        <f>(E162-(F162+G162)*(1+Tax)+N161)</f>
        <v>1446955.657</v>
      </c>
      <c r="I162" s="175">
        <f>IF(B162&lt;PT+1,VLOOKUP(D162,'Pre-Calculation'!$N$3:$P$79,IF(INPUT!$C$4="M",2,3),FALSE)*(J162/1000)*(1/12),0)</f>
        <v>0</v>
      </c>
      <c r="J162" s="175">
        <f t="shared" si="3"/>
        <v>0</v>
      </c>
      <c r="K162" s="175">
        <f>(IF('Pre-Calculation'!$D$17="Type 4 a",MAX(SA,H162,1.05*Q162),IF('Pre-Calculation'!$D$17="Type 4 c",H162,IF('Pre-Calculation'!$D$17="Type 4 d",SA+H162,IF('Pre-Calculation'!$D$17="Type 4 e",MAX(SA,H162),IF('Pre-Calculation'!$D$17="Type 4 f",SA,IF('Pre-Calculation'!$D$17="Type 4 g",1000+H162,IF('Pre-Calculation'!$D$17="Type 4 h",SA+X162,IF('Pre-Calculation'!$D$17="Type 4 i",MAX(H162,Q162),IF('Pre-Calculation'!$D$17="Type 4 k",MAX(H162,1.01*Q162),IF('Pre-Calculation'!$D$17="Type 4 m",MAX(105%*Q162,SA+H162),IF('Pre-Calculation'!$D$17="Type 4 o",MAX(SA,105%*Q162)+X162+Z162,IF('Pre-Calculation'!$D$17="Type 5",0)))))))))))))*IF(AND(A162&lt;Revival!$C$4,C162&gt;=Revival!$D$12),PUP,1)</f>
        <v>1446955.657</v>
      </c>
      <c r="L162" s="175">
        <f>H162-I162*(1+Tax)</f>
        <v>1446955.657</v>
      </c>
      <c r="M162" s="175">
        <f>L162*(1+GROWTH_RATE_L)*(1-FMC*(1+Tax))</f>
        <v>1449766.539</v>
      </c>
      <c r="N162" s="175">
        <f>M162+IF(MOD(A162,B162)=0,VLOOKUP(B162,'Pre-Calculation'!$H$1:$L$31,5,FALSE),0)*IF('Pre-Calculation'!$D$16="% OF FV",M162,IF(OR('Pre-Calculation'!$D$16="% OF AFV(24M)",'Pre-Calculation'!$D$16="% OF AFV(8Q)"),AVERAGE( $M139:$M162),IF('Pre-Calculation'!$D$16="% OF AFV(12M)",AVERAGE($M151:M162),IF('Pre-Calculation'!$D$16="% OF AFV(36M)",AVERAGE($M127:M162)))))</f>
        <v>1449766.539</v>
      </c>
      <c r="O162" s="175">
        <f t="shared" si="4"/>
        <v>1449766.539</v>
      </c>
      <c r="P162" s="175">
        <f>IF('Pre-Calculation'!$D$17="Type 4 a",MAX(SA,N162,1.05*Q162),IF('Pre-Calculation'!$D$17="Type 4 c",N162,IF('Pre-Calculation'!$D$17="Type 4 d",SA+N162,IF('Pre-Calculation'!$D$17="Type 4 e",MAX(SA,N162),IF('Pre-Calculation'!$D$17="Type 4 f",SA,IF('Pre-Calculation'!$D$17="Type 4 g",1000+N162,IF('Pre-Calculation'!$D$17="Type 4 h",SA+X162,IF('Pre-Calculation'!$D$17="Type 4 i",MAX(N162,Q162),IF('Pre-Calculation'!$D$17="Type 4 k",MAX(N162,1.01*Q162),IF('Pre-Calculation'!$D$17="Type 4 m",MAX(105%*Q162,SA+N162),IF('Pre-Calculation'!$D$17="Type 4 o",MAX(SA,105%*Q162)+X162+Z162,IF('Pre-Calculation'!$D$17="Type 5",0))))))))))))</f>
        <v>1449766.539</v>
      </c>
      <c r="Q162" s="175">
        <f t="shared" si="5"/>
        <v>1000000</v>
      </c>
      <c r="R162" s="119">
        <f>L162*(1+GROWTH_RATE)*FMC</f>
        <v>1637.407656</v>
      </c>
      <c r="S162" s="178">
        <f>S161*(1+'Pre-Calculation'!$E$27)</f>
        <v>1016571.439</v>
      </c>
      <c r="T162" s="175">
        <f>-E162+IF(A161=INPUT!$C$11*12,N162,0)</f>
        <v>0</v>
      </c>
      <c r="U162" s="175">
        <f t="shared" si="6"/>
        <v>1450121.885</v>
      </c>
      <c r="V162" s="175">
        <f>U162*(1+GROWTH_RATE_L)*(1-'Pre-Calculation'!$E$31)</f>
        <v>1452446.378</v>
      </c>
      <c r="W162" s="175">
        <f>-E162+IF(A161=INPUT!$C$11*12,V162,0)</f>
        <v>0</v>
      </c>
      <c r="X162" s="179">
        <f t="array" ref="X162">NPV('Pre-Calculation'!$E$20,$E163:E$246)</f>
        <v>0</v>
      </c>
      <c r="Y162" s="171">
        <f>10%*SA</f>
        <v>100000</v>
      </c>
      <c r="Z162" s="179">
        <f t="array" ref="Z162">NPV('Pre-Calculation'!$E$20,Y163:Y172)</f>
        <v>969592.8037</v>
      </c>
    </row>
    <row r="163" ht="15.75" customHeight="1">
      <c r="A163" s="171">
        <f t="shared" si="1"/>
        <v>217</v>
      </c>
      <c r="B163" s="171">
        <f t="shared" si="2"/>
        <v>19</v>
      </c>
      <c r="C163" s="176">
        <f>EDATE(RCD,A162)</f>
        <v>49125</v>
      </c>
      <c r="D163" s="171">
        <f>Age_At_Entry+'Cashflows_4%'!B163-1</f>
        <v>53</v>
      </c>
      <c r="E163" s="175">
        <f>IF(AND(C163&lt;=Last_Prem,MOD(A162,Mode)=0,C163&gt;INPUT!$C$13,A163&lt;=Revival!$C$11),Mod_Prem,0)</f>
        <v>0</v>
      </c>
      <c r="F163" s="177">
        <f>IF(B163&lt;PT+1,E163*VLOOKUP(B163,'Pre-Calculation'!$H$1:$I$31,2,FALSE),0)</f>
        <v>0</v>
      </c>
      <c r="G163" s="177">
        <f>IF(B163&lt;PT+1,VLOOKUP(B163,'Pre-Calculation'!$H$1:$L$32,3,FALSE)+VLOOKUP(B163,'Pre-Calculation'!$H$1:$L$32,4,FALSE)*'Pre-Calculation'!$D$7,0)</f>
        <v>0</v>
      </c>
      <c r="H163" s="175">
        <f>(E163-(F163+G163)*(1+Tax)+N162)</f>
        <v>1449766.539</v>
      </c>
      <c r="I163" s="175">
        <f>IF(B163&lt;PT+1,VLOOKUP(D163,'Pre-Calculation'!$N$3:$P$79,IF(INPUT!$C$4="M",2,3),FALSE)*(J163/1000)*(1/12),0)</f>
        <v>0</v>
      </c>
      <c r="J163" s="175">
        <f t="shared" si="3"/>
        <v>0</v>
      </c>
      <c r="K163" s="175">
        <f>(IF('Pre-Calculation'!$D$17="Type 4 a",MAX(SA,H163,1.05*Q163),IF('Pre-Calculation'!$D$17="Type 4 c",H163,IF('Pre-Calculation'!$D$17="Type 4 d",SA+H163,IF('Pre-Calculation'!$D$17="Type 4 e",MAX(SA,H163),IF('Pre-Calculation'!$D$17="Type 4 f",SA,IF('Pre-Calculation'!$D$17="Type 4 g",1000+H163,IF('Pre-Calculation'!$D$17="Type 4 h",SA+X163,IF('Pre-Calculation'!$D$17="Type 4 i",MAX(H163,Q163),IF('Pre-Calculation'!$D$17="Type 4 k",MAX(H163,1.01*Q163),IF('Pre-Calculation'!$D$17="Type 4 m",MAX(105%*Q163,SA+H163),IF('Pre-Calculation'!$D$17="Type 4 o",MAX(SA,105%*Q163)+X163+Z163,IF('Pre-Calculation'!$D$17="Type 5",0)))))))))))))*IF(AND(A163&lt;Revival!$C$4,C163&gt;=Revival!$D$12),PUP,1)</f>
        <v>1449766.539</v>
      </c>
      <c r="L163" s="175">
        <f>H163-I163*(1+Tax)</f>
        <v>1449766.539</v>
      </c>
      <c r="M163" s="175">
        <f>L163*(1+GROWTH_RATE_L)*(1-FMC*(1+Tax))</f>
        <v>1452582.882</v>
      </c>
      <c r="N163" s="175">
        <f>M163+IF(MOD(A163,B163)=0,VLOOKUP(B163,'Pre-Calculation'!$H$1:$L$31,5,FALSE),0)*IF('Pre-Calculation'!$D$16="% OF FV",M163,IF(OR('Pre-Calculation'!$D$16="% OF AFV(24M)",'Pre-Calculation'!$D$16="% OF AFV(8Q)"),AVERAGE( $M140:$M163),IF('Pre-Calculation'!$D$16="% OF AFV(12M)",AVERAGE($M152:M163),IF('Pre-Calculation'!$D$16="% OF AFV(36M)",AVERAGE($M128:M163)))))</f>
        <v>1452582.882</v>
      </c>
      <c r="O163" s="175">
        <f t="shared" si="4"/>
        <v>1452582.882</v>
      </c>
      <c r="P163" s="175">
        <f>IF('Pre-Calculation'!$D$17="Type 4 a",MAX(SA,N163,1.05*Q163),IF('Pre-Calculation'!$D$17="Type 4 c",N163,IF('Pre-Calculation'!$D$17="Type 4 d",SA+N163,IF('Pre-Calculation'!$D$17="Type 4 e",MAX(SA,N163),IF('Pre-Calculation'!$D$17="Type 4 f",SA,IF('Pre-Calculation'!$D$17="Type 4 g",1000+N163,IF('Pre-Calculation'!$D$17="Type 4 h",SA+X163,IF('Pre-Calculation'!$D$17="Type 4 i",MAX(N163,Q163),IF('Pre-Calculation'!$D$17="Type 4 k",MAX(N163,1.01*Q163),IF('Pre-Calculation'!$D$17="Type 4 m",MAX(105%*Q163,SA+N163),IF('Pre-Calculation'!$D$17="Type 4 o",MAX(SA,105%*Q163)+X163+Z163,IF('Pre-Calculation'!$D$17="Type 5",0))))))))))))</f>
        <v>1452582.882</v>
      </c>
      <c r="Q163" s="175">
        <f t="shared" si="5"/>
        <v>1000000</v>
      </c>
      <c r="R163" s="119">
        <f>L163*(1+GROWTH_RATE)*FMC</f>
        <v>1640.588514</v>
      </c>
      <c r="S163" s="178">
        <f>S162*(1+'Pre-Calculation'!$E$27)</f>
        <v>1019489.913</v>
      </c>
      <c r="T163" s="175">
        <f>-E163+IF(A162=INPUT!$C$11*12,N163,0)</f>
        <v>0</v>
      </c>
      <c r="U163" s="175">
        <f t="shared" si="6"/>
        <v>1452446.378</v>
      </c>
      <c r="V163" s="175">
        <f>U163*(1+GROWTH_RATE_L)*(1-'Pre-Calculation'!$E$31)</f>
        <v>1454774.597</v>
      </c>
      <c r="W163" s="175">
        <f>-E163+IF(A162=INPUT!$C$11*12,V163,0)</f>
        <v>0</v>
      </c>
      <c r="X163" s="179">
        <f t="array" ref="X163">NPV('Pre-Calculation'!$E$20,$E164:E$246)</f>
        <v>0</v>
      </c>
      <c r="Y163" s="171">
        <f>10%*SA</f>
        <v>100000</v>
      </c>
      <c r="Z163" s="179">
        <f t="array" ref="Z163">NPV('Pre-Calculation'!$E$20,Y164:Y173)</f>
        <v>969592.8037</v>
      </c>
    </row>
    <row r="164" ht="15.75" customHeight="1">
      <c r="A164" s="171">
        <f t="shared" si="1"/>
        <v>218</v>
      </c>
      <c r="B164" s="171">
        <f t="shared" si="2"/>
        <v>19</v>
      </c>
      <c r="C164" s="176">
        <f>EDATE(RCD,A163)</f>
        <v>49155</v>
      </c>
      <c r="D164" s="171">
        <f>Age_At_Entry+'Cashflows_4%'!B164-1</f>
        <v>53</v>
      </c>
      <c r="E164" s="175">
        <f>IF(AND(C164&lt;=Last_Prem,MOD(A163,Mode)=0,C164&gt;INPUT!$C$13,A164&lt;=Revival!$C$11),Mod_Prem,0)</f>
        <v>0</v>
      </c>
      <c r="F164" s="177">
        <f>IF(B164&lt;PT+1,E164*VLOOKUP(B164,'Pre-Calculation'!$H$1:$I$31,2,FALSE),0)</f>
        <v>0</v>
      </c>
      <c r="G164" s="177">
        <f>IF(B164&lt;PT+1,VLOOKUP(B164,'Pre-Calculation'!$H$1:$L$32,3,FALSE)+VLOOKUP(B164,'Pre-Calculation'!$H$1:$L$32,4,FALSE)*'Pre-Calculation'!$D$7,0)</f>
        <v>0</v>
      </c>
      <c r="H164" s="175">
        <f>(E164-(F164+G164)*(1+Tax)+N163)</f>
        <v>1452582.882</v>
      </c>
      <c r="I164" s="175">
        <f>IF(B164&lt;PT+1,VLOOKUP(D164,'Pre-Calculation'!$N$3:$P$79,IF(INPUT!$C$4="M",2,3),FALSE)*(J164/1000)*(1/12),0)</f>
        <v>0</v>
      </c>
      <c r="J164" s="175">
        <f t="shared" si="3"/>
        <v>0</v>
      </c>
      <c r="K164" s="175">
        <f>(IF('Pre-Calculation'!$D$17="Type 4 a",MAX(SA,H164,1.05*Q164),IF('Pre-Calculation'!$D$17="Type 4 c",H164,IF('Pre-Calculation'!$D$17="Type 4 d",SA+H164,IF('Pre-Calculation'!$D$17="Type 4 e",MAX(SA,H164),IF('Pre-Calculation'!$D$17="Type 4 f",SA,IF('Pre-Calculation'!$D$17="Type 4 g",1000+H164,IF('Pre-Calculation'!$D$17="Type 4 h",SA+X164,IF('Pre-Calculation'!$D$17="Type 4 i",MAX(H164,Q164),IF('Pre-Calculation'!$D$17="Type 4 k",MAX(H164,1.01*Q164),IF('Pre-Calculation'!$D$17="Type 4 m",MAX(105%*Q164,SA+H164),IF('Pre-Calculation'!$D$17="Type 4 o",MAX(SA,105%*Q164)+X164+Z164,IF('Pre-Calculation'!$D$17="Type 5",0)))))))))))))*IF(AND(A164&lt;Revival!$C$4,C164&gt;=Revival!$D$12),PUP,1)</f>
        <v>1452582.882</v>
      </c>
      <c r="L164" s="175">
        <f>H164-I164*(1+Tax)</f>
        <v>1452582.882</v>
      </c>
      <c r="M164" s="175">
        <f>L164*(1+GROWTH_RATE_L)*(1-FMC*(1+Tax))</f>
        <v>1455404.696</v>
      </c>
      <c r="N164" s="175">
        <f>M164+IF(MOD(A164,B164)=0,VLOOKUP(B164,'Pre-Calculation'!$H$1:$L$31,5,FALSE),0)*IF('Pre-Calculation'!$D$16="% OF FV",M164,IF(OR('Pre-Calculation'!$D$16="% OF AFV(24M)",'Pre-Calculation'!$D$16="% OF AFV(8Q)"),AVERAGE( $M141:$M164),IF('Pre-Calculation'!$D$16="% OF AFV(12M)",AVERAGE($M153:M164),IF('Pre-Calculation'!$D$16="% OF AFV(36M)",AVERAGE($M129:M164)))))</f>
        <v>1455404.696</v>
      </c>
      <c r="O164" s="175">
        <f t="shared" si="4"/>
        <v>1455404.696</v>
      </c>
      <c r="P164" s="175">
        <f>IF('Pre-Calculation'!$D$17="Type 4 a",MAX(SA,N164,1.05*Q164),IF('Pre-Calculation'!$D$17="Type 4 c",N164,IF('Pre-Calculation'!$D$17="Type 4 d",SA+N164,IF('Pre-Calculation'!$D$17="Type 4 e",MAX(SA,N164),IF('Pre-Calculation'!$D$17="Type 4 f",SA,IF('Pre-Calculation'!$D$17="Type 4 g",1000+N164,IF('Pre-Calculation'!$D$17="Type 4 h",SA+X164,IF('Pre-Calculation'!$D$17="Type 4 i",MAX(N164,Q164),IF('Pre-Calculation'!$D$17="Type 4 k",MAX(N164,1.01*Q164),IF('Pre-Calculation'!$D$17="Type 4 m",MAX(105%*Q164,SA+N164),IF('Pre-Calculation'!$D$17="Type 4 o",MAX(SA,105%*Q164)+X164+Z164,IF('Pre-Calculation'!$D$17="Type 5",0))))))))))))</f>
        <v>1455404.696</v>
      </c>
      <c r="Q164" s="175">
        <f t="shared" si="5"/>
        <v>1000000</v>
      </c>
      <c r="R164" s="119">
        <f>L164*(1+GROWTH_RATE)*FMC</f>
        <v>1643.775551</v>
      </c>
      <c r="S164" s="178">
        <f>S163*(1+'Pre-Calculation'!$E$27)</f>
        <v>1022416.765</v>
      </c>
      <c r="T164" s="175">
        <f>-E164+IF(A163=INPUT!$C$11*12,N164,0)</f>
        <v>0</v>
      </c>
      <c r="U164" s="175">
        <f t="shared" si="6"/>
        <v>1454774.597</v>
      </c>
      <c r="V164" s="175">
        <f>U164*(1+GROWTH_RATE_L)*(1-'Pre-Calculation'!$E$31)</f>
        <v>1457106.548</v>
      </c>
      <c r="W164" s="175">
        <f>-E164+IF(A163=INPUT!$C$11*12,V164,0)</f>
        <v>0</v>
      </c>
      <c r="X164" s="179">
        <f t="array" ref="X164">NPV('Pre-Calculation'!$E$20,$E165:E$246)</f>
        <v>0</v>
      </c>
      <c r="Y164" s="171">
        <f>10%*SA</f>
        <v>100000</v>
      </c>
      <c r="Z164" s="179">
        <f t="array" ref="Z164">NPV('Pre-Calculation'!$E$20,Y165:Y174)</f>
        <v>969592.8037</v>
      </c>
    </row>
    <row r="165" ht="15.75" customHeight="1">
      <c r="A165" s="171">
        <f t="shared" si="1"/>
        <v>219</v>
      </c>
      <c r="B165" s="171">
        <f t="shared" si="2"/>
        <v>19</v>
      </c>
      <c r="C165" s="176">
        <f>EDATE(RCD,A164)</f>
        <v>49186</v>
      </c>
      <c r="D165" s="171">
        <f>Age_At_Entry+'Cashflows_4%'!B165-1</f>
        <v>53</v>
      </c>
      <c r="E165" s="175">
        <f>IF(AND(C165&lt;=Last_Prem,MOD(A164,Mode)=0,C165&gt;INPUT!$C$13,A165&lt;=Revival!$C$11),Mod_Prem,0)</f>
        <v>0</v>
      </c>
      <c r="F165" s="177">
        <f>IF(B165&lt;PT+1,E165*VLOOKUP(B165,'Pre-Calculation'!$H$1:$I$31,2,FALSE),0)</f>
        <v>0</v>
      </c>
      <c r="G165" s="177">
        <f>IF(B165&lt;PT+1,VLOOKUP(B165,'Pre-Calculation'!$H$1:$L$32,3,FALSE)+VLOOKUP(B165,'Pre-Calculation'!$H$1:$L$32,4,FALSE)*'Pre-Calculation'!$D$7,0)</f>
        <v>0</v>
      </c>
      <c r="H165" s="175">
        <f>(E165-(F165+G165)*(1+Tax)+N164)</f>
        <v>1455404.696</v>
      </c>
      <c r="I165" s="175">
        <f>IF(B165&lt;PT+1,VLOOKUP(D165,'Pre-Calculation'!$N$3:$P$79,IF(INPUT!$C$4="M",2,3),FALSE)*(J165/1000)*(1/12),0)</f>
        <v>0</v>
      </c>
      <c r="J165" s="175">
        <f t="shared" si="3"/>
        <v>0</v>
      </c>
      <c r="K165" s="175">
        <f>(IF('Pre-Calculation'!$D$17="Type 4 a",MAX(SA,H165,1.05*Q165),IF('Pre-Calculation'!$D$17="Type 4 c",H165,IF('Pre-Calculation'!$D$17="Type 4 d",SA+H165,IF('Pre-Calculation'!$D$17="Type 4 e",MAX(SA,H165),IF('Pre-Calculation'!$D$17="Type 4 f",SA,IF('Pre-Calculation'!$D$17="Type 4 g",1000+H165,IF('Pre-Calculation'!$D$17="Type 4 h",SA+X165,IF('Pre-Calculation'!$D$17="Type 4 i",MAX(H165,Q165),IF('Pre-Calculation'!$D$17="Type 4 k",MAX(H165,1.01*Q165),IF('Pre-Calculation'!$D$17="Type 4 m",MAX(105%*Q165,SA+H165),IF('Pre-Calculation'!$D$17="Type 4 o",MAX(SA,105%*Q165)+X165+Z165,IF('Pre-Calculation'!$D$17="Type 5",0)))))))))))))*IF(AND(A165&lt;Revival!$C$4,C165&gt;=Revival!$D$12),PUP,1)</f>
        <v>1455404.696</v>
      </c>
      <c r="L165" s="175">
        <f>H165-I165*(1+Tax)</f>
        <v>1455404.696</v>
      </c>
      <c r="M165" s="175">
        <f>L165*(1+GROWTH_RATE_L)*(1-FMC*(1+Tax))</f>
        <v>1458231.991</v>
      </c>
      <c r="N165" s="175">
        <f>M165+IF(MOD(A165,B165)=0,VLOOKUP(B165,'Pre-Calculation'!$H$1:$L$31,5,FALSE),0)*IF('Pre-Calculation'!$D$16="% OF FV",M165,IF(OR('Pre-Calculation'!$D$16="% OF AFV(24M)",'Pre-Calculation'!$D$16="% OF AFV(8Q)"),AVERAGE( $M142:$M165),IF('Pre-Calculation'!$D$16="% OF AFV(12M)",AVERAGE($M154:M165),IF('Pre-Calculation'!$D$16="% OF AFV(36M)",AVERAGE($M130:M165)))))</f>
        <v>1458231.991</v>
      </c>
      <c r="O165" s="175">
        <f t="shared" si="4"/>
        <v>1458231.991</v>
      </c>
      <c r="P165" s="175">
        <f>IF('Pre-Calculation'!$D$17="Type 4 a",MAX(SA,N165,1.05*Q165),IF('Pre-Calculation'!$D$17="Type 4 c",N165,IF('Pre-Calculation'!$D$17="Type 4 d",SA+N165,IF('Pre-Calculation'!$D$17="Type 4 e",MAX(SA,N165),IF('Pre-Calculation'!$D$17="Type 4 f",SA,IF('Pre-Calculation'!$D$17="Type 4 g",1000+N165,IF('Pre-Calculation'!$D$17="Type 4 h",SA+X165,IF('Pre-Calculation'!$D$17="Type 4 i",MAX(N165,Q165),IF('Pre-Calculation'!$D$17="Type 4 k",MAX(N165,1.01*Q165),IF('Pre-Calculation'!$D$17="Type 4 m",MAX(105%*Q165,SA+N165),IF('Pre-Calculation'!$D$17="Type 4 o",MAX(SA,105%*Q165)+X165+Z165,IF('Pre-Calculation'!$D$17="Type 5",0))))))))))))</f>
        <v>1458231.991</v>
      </c>
      <c r="Q165" s="175">
        <f t="shared" si="5"/>
        <v>1000000</v>
      </c>
      <c r="R165" s="119">
        <f>L165*(1+GROWTH_RATE)*FMC</f>
        <v>1646.968779</v>
      </c>
      <c r="S165" s="178">
        <f>S164*(1+'Pre-Calculation'!$E$27)</f>
        <v>1025352.02</v>
      </c>
      <c r="T165" s="175">
        <f>-E165+IF(A164=INPUT!$C$11*12,N165,0)</f>
        <v>0</v>
      </c>
      <c r="U165" s="175">
        <f t="shared" si="6"/>
        <v>1457106.548</v>
      </c>
      <c r="V165" s="175">
        <f>U165*(1+GROWTH_RATE_L)*(1-'Pre-Calculation'!$E$31)</f>
        <v>1459442.237</v>
      </c>
      <c r="W165" s="175">
        <f>-E165+IF(A164=INPUT!$C$11*12,V165,0)</f>
        <v>0</v>
      </c>
      <c r="X165" s="179">
        <f t="array" ref="X165">NPV('Pre-Calculation'!$E$20,$E166:E$246)</f>
        <v>0</v>
      </c>
      <c r="Y165" s="171">
        <f>10%*SA</f>
        <v>100000</v>
      </c>
      <c r="Z165" s="179">
        <f t="array" ref="Z165">NPV('Pre-Calculation'!$E$20,Y166:Y175)</f>
        <v>969592.8037</v>
      </c>
    </row>
    <row r="166" ht="15.75" customHeight="1">
      <c r="A166" s="171">
        <f t="shared" si="1"/>
        <v>220</v>
      </c>
      <c r="B166" s="171">
        <f t="shared" si="2"/>
        <v>19</v>
      </c>
      <c r="C166" s="176">
        <f>EDATE(RCD,A165)</f>
        <v>49217</v>
      </c>
      <c r="D166" s="171">
        <f>Age_At_Entry+'Cashflows_4%'!B166-1</f>
        <v>53</v>
      </c>
      <c r="E166" s="175">
        <f>IF(AND(C166&lt;=Last_Prem,MOD(A165,Mode)=0,C166&gt;INPUT!$C$13,A166&lt;=Revival!$C$11),Mod_Prem,0)</f>
        <v>0</v>
      </c>
      <c r="F166" s="177">
        <f>IF(B166&lt;PT+1,E166*VLOOKUP(B166,'Pre-Calculation'!$H$1:$I$31,2,FALSE),0)</f>
        <v>0</v>
      </c>
      <c r="G166" s="177">
        <f>IF(B166&lt;PT+1,VLOOKUP(B166,'Pre-Calculation'!$H$1:$L$32,3,FALSE)+VLOOKUP(B166,'Pre-Calculation'!$H$1:$L$32,4,FALSE)*'Pre-Calculation'!$D$7,0)</f>
        <v>0</v>
      </c>
      <c r="H166" s="175">
        <f>(E166-(F166+G166)*(1+Tax)+N165)</f>
        <v>1458231.991</v>
      </c>
      <c r="I166" s="175">
        <f>IF(B166&lt;PT+1,VLOOKUP(D166,'Pre-Calculation'!$N$3:$P$79,IF(INPUT!$C$4="M",2,3),FALSE)*(J166/1000)*(1/12),0)</f>
        <v>0</v>
      </c>
      <c r="J166" s="175">
        <f t="shared" si="3"/>
        <v>0</v>
      </c>
      <c r="K166" s="175">
        <f>(IF('Pre-Calculation'!$D$17="Type 4 a",MAX(SA,H166,1.05*Q166),IF('Pre-Calculation'!$D$17="Type 4 c",H166,IF('Pre-Calculation'!$D$17="Type 4 d",SA+H166,IF('Pre-Calculation'!$D$17="Type 4 e",MAX(SA,H166),IF('Pre-Calculation'!$D$17="Type 4 f",SA,IF('Pre-Calculation'!$D$17="Type 4 g",1000+H166,IF('Pre-Calculation'!$D$17="Type 4 h",SA+X166,IF('Pre-Calculation'!$D$17="Type 4 i",MAX(H166,Q166),IF('Pre-Calculation'!$D$17="Type 4 k",MAX(H166,1.01*Q166),IF('Pre-Calculation'!$D$17="Type 4 m",MAX(105%*Q166,SA+H166),IF('Pre-Calculation'!$D$17="Type 4 o",MAX(SA,105%*Q166)+X166+Z166,IF('Pre-Calculation'!$D$17="Type 5",0)))))))))))))*IF(AND(A166&lt;Revival!$C$4,C166&gt;=Revival!$D$12),PUP,1)</f>
        <v>1458231.991</v>
      </c>
      <c r="L166" s="175">
        <f>H166-I166*(1+Tax)</f>
        <v>1458231.991</v>
      </c>
      <c r="M166" s="175">
        <f>L166*(1+GROWTH_RATE_L)*(1-FMC*(1+Tax))</f>
        <v>1461064.779</v>
      </c>
      <c r="N166" s="175">
        <f>M166+IF(MOD(A166,B166)=0,VLOOKUP(B166,'Pre-Calculation'!$H$1:$L$31,5,FALSE),0)*IF('Pre-Calculation'!$D$16="% OF FV",M166,IF(OR('Pre-Calculation'!$D$16="% OF AFV(24M)",'Pre-Calculation'!$D$16="% OF AFV(8Q)"),AVERAGE( $M143:$M166),IF('Pre-Calculation'!$D$16="% OF AFV(12M)",AVERAGE($M155:M166),IF('Pre-Calculation'!$D$16="% OF AFV(36M)",AVERAGE($M131:M166)))))</f>
        <v>1461064.779</v>
      </c>
      <c r="O166" s="175">
        <f t="shared" si="4"/>
        <v>1461064.779</v>
      </c>
      <c r="P166" s="175">
        <f>IF('Pre-Calculation'!$D$17="Type 4 a",MAX(SA,N166,1.05*Q166),IF('Pre-Calculation'!$D$17="Type 4 c",N166,IF('Pre-Calculation'!$D$17="Type 4 d",SA+N166,IF('Pre-Calculation'!$D$17="Type 4 e",MAX(SA,N166),IF('Pre-Calculation'!$D$17="Type 4 f",SA,IF('Pre-Calculation'!$D$17="Type 4 g",1000+N166,IF('Pre-Calculation'!$D$17="Type 4 h",SA+X166,IF('Pre-Calculation'!$D$17="Type 4 i",MAX(N166,Q166),IF('Pre-Calculation'!$D$17="Type 4 k",MAX(N166,1.01*Q166),IF('Pre-Calculation'!$D$17="Type 4 m",MAX(105%*Q166,SA+N166),IF('Pre-Calculation'!$D$17="Type 4 o",MAX(SA,105%*Q166)+X166+Z166,IF('Pre-Calculation'!$D$17="Type 5",0))))))))))))</f>
        <v>1461064.779</v>
      </c>
      <c r="Q166" s="175">
        <f t="shared" si="5"/>
        <v>1000000</v>
      </c>
      <c r="R166" s="119">
        <f>L166*(1+GROWTH_RATE)*FMC</f>
        <v>1650.168211</v>
      </c>
      <c r="S166" s="178">
        <f>S165*(1+'Pre-Calculation'!$E$27)</f>
        <v>1028295.702</v>
      </c>
      <c r="T166" s="175">
        <f>-E166+IF(A165=INPUT!$C$11*12,N166,0)</f>
        <v>0</v>
      </c>
      <c r="U166" s="175">
        <f t="shared" si="6"/>
        <v>1459442.237</v>
      </c>
      <c r="V166" s="175">
        <f>U166*(1+GROWTH_RATE_L)*(1-'Pre-Calculation'!$E$31)</f>
        <v>1461781.67</v>
      </c>
      <c r="W166" s="175">
        <f>-E166+IF(A165=INPUT!$C$11*12,V166,0)</f>
        <v>0</v>
      </c>
      <c r="X166" s="179">
        <f t="array" ref="X166">NPV('Pre-Calculation'!$E$20,$E167:E$246)</f>
        <v>0</v>
      </c>
      <c r="Y166" s="171">
        <f>10%*SA</f>
        <v>100000</v>
      </c>
      <c r="Z166" s="179">
        <f t="array" ref="Z166">NPV('Pre-Calculation'!$E$20,Y167:Y176)</f>
        <v>969592.8037</v>
      </c>
    </row>
    <row r="167" ht="15.75" customHeight="1">
      <c r="A167" s="171">
        <f t="shared" si="1"/>
        <v>221</v>
      </c>
      <c r="B167" s="171">
        <f t="shared" si="2"/>
        <v>19</v>
      </c>
      <c r="C167" s="176">
        <f>EDATE(RCD,A166)</f>
        <v>49247</v>
      </c>
      <c r="D167" s="171">
        <f>Age_At_Entry+'Cashflows_4%'!B167-1</f>
        <v>53</v>
      </c>
      <c r="E167" s="175">
        <f>IF(AND(C167&lt;=Last_Prem,MOD(A166,Mode)=0,C167&gt;INPUT!$C$13,A167&lt;=Revival!$C$11),Mod_Prem,0)</f>
        <v>0</v>
      </c>
      <c r="F167" s="177">
        <f>IF(B167&lt;PT+1,E167*VLOOKUP(B167,'Pre-Calculation'!$H$1:$I$31,2,FALSE),0)</f>
        <v>0</v>
      </c>
      <c r="G167" s="177">
        <f>IF(B167&lt;PT+1,VLOOKUP(B167,'Pre-Calculation'!$H$1:$L$32,3,FALSE)+VLOOKUP(B167,'Pre-Calculation'!$H$1:$L$32,4,FALSE)*'Pre-Calculation'!$D$7,0)</f>
        <v>0</v>
      </c>
      <c r="H167" s="175">
        <f>(E167-(F167+G167)*(1+Tax)+N166)</f>
        <v>1461064.779</v>
      </c>
      <c r="I167" s="175">
        <f>IF(B167&lt;PT+1,VLOOKUP(D167,'Pre-Calculation'!$N$3:$P$79,IF(INPUT!$C$4="M",2,3),FALSE)*(J167/1000)*(1/12),0)</f>
        <v>0</v>
      </c>
      <c r="J167" s="175">
        <f t="shared" si="3"/>
        <v>0</v>
      </c>
      <c r="K167" s="175">
        <f>(IF('Pre-Calculation'!$D$17="Type 4 a",MAX(SA,H167,1.05*Q167),IF('Pre-Calculation'!$D$17="Type 4 c",H167,IF('Pre-Calculation'!$D$17="Type 4 d",SA+H167,IF('Pre-Calculation'!$D$17="Type 4 e",MAX(SA,H167),IF('Pre-Calculation'!$D$17="Type 4 f",SA,IF('Pre-Calculation'!$D$17="Type 4 g",1000+H167,IF('Pre-Calculation'!$D$17="Type 4 h",SA+X167,IF('Pre-Calculation'!$D$17="Type 4 i",MAX(H167,Q167),IF('Pre-Calculation'!$D$17="Type 4 k",MAX(H167,1.01*Q167),IF('Pre-Calculation'!$D$17="Type 4 m",MAX(105%*Q167,SA+H167),IF('Pre-Calculation'!$D$17="Type 4 o",MAX(SA,105%*Q167)+X167+Z167,IF('Pre-Calculation'!$D$17="Type 5",0)))))))))))))*IF(AND(A167&lt;Revival!$C$4,C167&gt;=Revival!$D$12),PUP,1)</f>
        <v>1461064.779</v>
      </c>
      <c r="L167" s="175">
        <f>H167-I167*(1+Tax)</f>
        <v>1461064.779</v>
      </c>
      <c r="M167" s="175">
        <f>L167*(1+GROWTH_RATE_L)*(1-FMC*(1+Tax))</f>
        <v>1463903.07</v>
      </c>
      <c r="N167" s="175">
        <f>M167+IF(MOD(A167,B167)=0,VLOOKUP(B167,'Pre-Calculation'!$H$1:$L$31,5,FALSE),0)*IF('Pre-Calculation'!$D$16="% OF FV",M167,IF(OR('Pre-Calculation'!$D$16="% OF AFV(24M)",'Pre-Calculation'!$D$16="% OF AFV(8Q)"),AVERAGE( $M144:$M167),IF('Pre-Calculation'!$D$16="% OF AFV(12M)",AVERAGE($M156:M167),IF('Pre-Calculation'!$D$16="% OF AFV(36M)",AVERAGE($M132:M167)))))</f>
        <v>1463903.07</v>
      </c>
      <c r="O167" s="175">
        <f t="shared" si="4"/>
        <v>1463903.07</v>
      </c>
      <c r="P167" s="175">
        <f>IF('Pre-Calculation'!$D$17="Type 4 a",MAX(SA,N167,1.05*Q167),IF('Pre-Calculation'!$D$17="Type 4 c",N167,IF('Pre-Calculation'!$D$17="Type 4 d",SA+N167,IF('Pre-Calculation'!$D$17="Type 4 e",MAX(SA,N167),IF('Pre-Calculation'!$D$17="Type 4 f",SA,IF('Pre-Calculation'!$D$17="Type 4 g",1000+N167,IF('Pre-Calculation'!$D$17="Type 4 h",SA+X167,IF('Pre-Calculation'!$D$17="Type 4 i",MAX(N167,Q167),IF('Pre-Calculation'!$D$17="Type 4 k",MAX(N167,1.01*Q167),IF('Pre-Calculation'!$D$17="Type 4 m",MAX(105%*Q167,SA+N167),IF('Pre-Calculation'!$D$17="Type 4 o",MAX(SA,105%*Q167)+X167+Z167,IF('Pre-Calculation'!$D$17="Type 5",0))))))))))))</f>
        <v>1463903.07</v>
      </c>
      <c r="Q167" s="175">
        <f t="shared" si="5"/>
        <v>1000000</v>
      </c>
      <c r="R167" s="119">
        <f>L167*(1+GROWTH_RATE)*FMC</f>
        <v>1653.373857</v>
      </c>
      <c r="S167" s="178">
        <f>S166*(1+'Pre-Calculation'!$E$27)</f>
        <v>1031247.835</v>
      </c>
      <c r="T167" s="175">
        <f>-E167+IF(A166=INPUT!$C$11*12,N167,0)</f>
        <v>0</v>
      </c>
      <c r="U167" s="175">
        <f t="shared" si="6"/>
        <v>1461781.67</v>
      </c>
      <c r="V167" s="175">
        <f>U167*(1+GROWTH_RATE_L)*(1-'Pre-Calculation'!$E$31)</f>
        <v>1464124.854</v>
      </c>
      <c r="W167" s="175">
        <f>-E167+IF(A166=INPUT!$C$11*12,V167,0)</f>
        <v>0</v>
      </c>
      <c r="X167" s="179">
        <f t="array" ref="X167">NPV('Pre-Calculation'!$E$20,$E168:E$246)</f>
        <v>0</v>
      </c>
      <c r="Y167" s="171">
        <f>10%*SA</f>
        <v>100000</v>
      </c>
      <c r="Z167" s="179">
        <f t="array" ref="Z167">NPV('Pre-Calculation'!$E$20,Y168:Y177)</f>
        <v>969592.8037</v>
      </c>
    </row>
    <row r="168" ht="15.75" customHeight="1">
      <c r="A168" s="171">
        <f t="shared" si="1"/>
        <v>222</v>
      </c>
      <c r="B168" s="171">
        <f t="shared" si="2"/>
        <v>19</v>
      </c>
      <c r="C168" s="176">
        <f>EDATE(RCD,A167)</f>
        <v>49278</v>
      </c>
      <c r="D168" s="171">
        <f>Age_At_Entry+'Cashflows_4%'!B168-1</f>
        <v>53</v>
      </c>
      <c r="E168" s="175">
        <f>IF(AND(C168&lt;=Last_Prem,MOD(A167,Mode)=0,C168&gt;INPUT!$C$13,A168&lt;=Revival!$C$11),Mod_Prem,0)</f>
        <v>0</v>
      </c>
      <c r="F168" s="177">
        <f>IF(B168&lt;PT+1,E168*VLOOKUP(B168,'Pre-Calculation'!$H$1:$I$31,2,FALSE),0)</f>
        <v>0</v>
      </c>
      <c r="G168" s="177">
        <f>IF(B168&lt;PT+1,VLOOKUP(B168,'Pre-Calculation'!$H$1:$L$32,3,FALSE)+VLOOKUP(B168,'Pre-Calculation'!$H$1:$L$32,4,FALSE)*'Pre-Calculation'!$D$7,0)</f>
        <v>0</v>
      </c>
      <c r="H168" s="175">
        <f>(E168-(F168+G168)*(1+Tax)+N167)</f>
        <v>1463903.07</v>
      </c>
      <c r="I168" s="175">
        <f>IF(B168&lt;PT+1,VLOOKUP(D168,'Pre-Calculation'!$N$3:$P$79,IF(INPUT!$C$4="M",2,3),FALSE)*(J168/1000)*(1/12),0)</f>
        <v>0</v>
      </c>
      <c r="J168" s="175">
        <f t="shared" si="3"/>
        <v>0</v>
      </c>
      <c r="K168" s="175">
        <f>(IF('Pre-Calculation'!$D$17="Type 4 a",MAX(SA,H168,1.05*Q168),IF('Pre-Calculation'!$D$17="Type 4 c",H168,IF('Pre-Calculation'!$D$17="Type 4 d",SA+H168,IF('Pre-Calculation'!$D$17="Type 4 e",MAX(SA,H168),IF('Pre-Calculation'!$D$17="Type 4 f",SA,IF('Pre-Calculation'!$D$17="Type 4 g",1000+H168,IF('Pre-Calculation'!$D$17="Type 4 h",SA+X168,IF('Pre-Calculation'!$D$17="Type 4 i",MAX(H168,Q168),IF('Pre-Calculation'!$D$17="Type 4 k",MAX(H168,1.01*Q168),IF('Pre-Calculation'!$D$17="Type 4 m",MAX(105%*Q168,SA+H168),IF('Pre-Calculation'!$D$17="Type 4 o",MAX(SA,105%*Q168)+X168+Z168,IF('Pre-Calculation'!$D$17="Type 5",0)))))))))))))*IF(AND(A168&lt;Revival!$C$4,C168&gt;=Revival!$D$12),PUP,1)</f>
        <v>1463903.07</v>
      </c>
      <c r="L168" s="175">
        <f>H168-I168*(1+Tax)</f>
        <v>1463903.07</v>
      </c>
      <c r="M168" s="175">
        <f>L168*(1+GROWTH_RATE_L)*(1-FMC*(1+Tax))</f>
        <v>1466746.875</v>
      </c>
      <c r="N168" s="175">
        <f>M168+IF(MOD(A168,B168)=0,VLOOKUP(B168,'Pre-Calculation'!$H$1:$L$31,5,FALSE),0)*IF('Pre-Calculation'!$D$16="% OF FV",M168,IF(OR('Pre-Calculation'!$D$16="% OF AFV(24M)",'Pre-Calculation'!$D$16="% OF AFV(8Q)"),AVERAGE( $M145:$M168),IF('Pre-Calculation'!$D$16="% OF AFV(12M)",AVERAGE($M157:M168),IF('Pre-Calculation'!$D$16="% OF AFV(36M)",AVERAGE($M133:M168)))))</f>
        <v>1466746.875</v>
      </c>
      <c r="O168" s="175">
        <f t="shared" si="4"/>
        <v>1466746.875</v>
      </c>
      <c r="P168" s="175">
        <f>IF('Pre-Calculation'!$D$17="Type 4 a",MAX(SA,N168,1.05*Q168),IF('Pre-Calculation'!$D$17="Type 4 c",N168,IF('Pre-Calculation'!$D$17="Type 4 d",SA+N168,IF('Pre-Calculation'!$D$17="Type 4 e",MAX(SA,N168),IF('Pre-Calculation'!$D$17="Type 4 f",SA,IF('Pre-Calculation'!$D$17="Type 4 g",1000+N168,IF('Pre-Calculation'!$D$17="Type 4 h",SA+X168,IF('Pre-Calculation'!$D$17="Type 4 i",MAX(N168,Q168),IF('Pre-Calculation'!$D$17="Type 4 k",MAX(N168,1.01*Q168),IF('Pre-Calculation'!$D$17="Type 4 m",MAX(105%*Q168,SA+N168),IF('Pre-Calculation'!$D$17="Type 4 o",MAX(SA,105%*Q168)+X168+Z168,IF('Pre-Calculation'!$D$17="Type 5",0))))))))))))</f>
        <v>1466746.875</v>
      </c>
      <c r="Q168" s="175">
        <f t="shared" si="5"/>
        <v>1000000</v>
      </c>
      <c r="R168" s="119">
        <f>L168*(1+GROWTH_RATE)*FMC</f>
        <v>1656.585732</v>
      </c>
      <c r="S168" s="178">
        <f>S167*(1+'Pre-Calculation'!$E$27)</f>
        <v>1034208.443</v>
      </c>
      <c r="T168" s="175">
        <f>-E168+IF(A167=INPUT!$C$11*12,N168,0)</f>
        <v>0</v>
      </c>
      <c r="U168" s="175">
        <f t="shared" si="6"/>
        <v>1464124.854</v>
      </c>
      <c r="V168" s="175">
        <f>U168*(1+GROWTH_RATE_L)*(1-'Pre-Calculation'!$E$31)</f>
        <v>1466471.793</v>
      </c>
      <c r="W168" s="175">
        <f>-E168+IF(A167=INPUT!$C$11*12,V168,0)</f>
        <v>0</v>
      </c>
      <c r="X168" s="179">
        <f t="array" ref="X168">NPV('Pre-Calculation'!$E$20,$E169:E$246)</f>
        <v>0</v>
      </c>
      <c r="Y168" s="171">
        <f>10%*SA</f>
        <v>100000</v>
      </c>
      <c r="Z168" s="179">
        <f t="array" ref="Z168">NPV('Pre-Calculation'!$E$20,Y169:Y178)</f>
        <v>969592.8037</v>
      </c>
    </row>
    <row r="169" ht="15.75" customHeight="1">
      <c r="A169" s="171">
        <f t="shared" si="1"/>
        <v>223</v>
      </c>
      <c r="B169" s="171">
        <f t="shared" si="2"/>
        <v>19</v>
      </c>
      <c r="C169" s="176">
        <f>EDATE(RCD,A168)</f>
        <v>49308</v>
      </c>
      <c r="D169" s="171">
        <f>Age_At_Entry+'Cashflows_4%'!B169-1</f>
        <v>53</v>
      </c>
      <c r="E169" s="175">
        <f>IF(AND(C169&lt;=Last_Prem,MOD(A168,Mode)=0,C169&gt;INPUT!$C$13,A169&lt;=Revival!$C$11),Mod_Prem,0)</f>
        <v>0</v>
      </c>
      <c r="F169" s="177">
        <f>IF(B169&lt;PT+1,E169*VLOOKUP(B169,'Pre-Calculation'!$H$1:$I$31,2,FALSE),0)</f>
        <v>0</v>
      </c>
      <c r="G169" s="177">
        <f>IF(B169&lt;PT+1,VLOOKUP(B169,'Pre-Calculation'!$H$1:$L$32,3,FALSE)+VLOOKUP(B169,'Pre-Calculation'!$H$1:$L$32,4,FALSE)*'Pre-Calculation'!$D$7,0)</f>
        <v>0</v>
      </c>
      <c r="H169" s="175">
        <f>(E169-(F169+G169)*(1+Tax)+N168)</f>
        <v>1466746.875</v>
      </c>
      <c r="I169" s="175">
        <f>IF(B169&lt;PT+1,VLOOKUP(D169,'Pre-Calculation'!$N$3:$P$79,IF(INPUT!$C$4="M",2,3),FALSE)*(J169/1000)*(1/12),0)</f>
        <v>0</v>
      </c>
      <c r="J169" s="175">
        <f t="shared" si="3"/>
        <v>0</v>
      </c>
      <c r="K169" s="175">
        <f>(IF('Pre-Calculation'!$D$17="Type 4 a",MAX(SA,H169,1.05*Q169),IF('Pre-Calculation'!$D$17="Type 4 c",H169,IF('Pre-Calculation'!$D$17="Type 4 d",SA+H169,IF('Pre-Calculation'!$D$17="Type 4 e",MAX(SA,H169),IF('Pre-Calculation'!$D$17="Type 4 f",SA,IF('Pre-Calculation'!$D$17="Type 4 g",1000+H169,IF('Pre-Calculation'!$D$17="Type 4 h",SA+X169,IF('Pre-Calculation'!$D$17="Type 4 i",MAX(H169,Q169),IF('Pre-Calculation'!$D$17="Type 4 k",MAX(H169,1.01*Q169),IF('Pre-Calculation'!$D$17="Type 4 m",MAX(105%*Q169,SA+H169),IF('Pre-Calculation'!$D$17="Type 4 o",MAX(SA,105%*Q169)+X169+Z169,IF('Pre-Calculation'!$D$17="Type 5",0)))))))))))))*IF(AND(A169&lt;Revival!$C$4,C169&gt;=Revival!$D$12),PUP,1)</f>
        <v>1466746.875</v>
      </c>
      <c r="L169" s="175">
        <f>H169-I169*(1+Tax)</f>
        <v>1466746.875</v>
      </c>
      <c r="M169" s="175">
        <f>L169*(1+GROWTH_RATE_L)*(1-FMC*(1+Tax))</f>
        <v>1469596.204</v>
      </c>
      <c r="N169" s="175">
        <f>M169+IF(MOD(A169,B169)=0,VLOOKUP(B169,'Pre-Calculation'!$H$1:$L$31,5,FALSE),0)*IF('Pre-Calculation'!$D$16="% OF FV",M169,IF(OR('Pre-Calculation'!$D$16="% OF AFV(24M)",'Pre-Calculation'!$D$16="% OF AFV(8Q)"),AVERAGE( $M146:$M169),IF('Pre-Calculation'!$D$16="% OF AFV(12M)",AVERAGE($M158:M169),IF('Pre-Calculation'!$D$16="% OF AFV(36M)",AVERAGE($M134:M169)))))</f>
        <v>1469596.204</v>
      </c>
      <c r="O169" s="175">
        <f t="shared" si="4"/>
        <v>1469596.204</v>
      </c>
      <c r="P169" s="175">
        <f>IF('Pre-Calculation'!$D$17="Type 4 a",MAX(SA,N169,1.05*Q169),IF('Pre-Calculation'!$D$17="Type 4 c",N169,IF('Pre-Calculation'!$D$17="Type 4 d",SA+N169,IF('Pre-Calculation'!$D$17="Type 4 e",MAX(SA,N169),IF('Pre-Calculation'!$D$17="Type 4 f",SA,IF('Pre-Calculation'!$D$17="Type 4 g",1000+N169,IF('Pre-Calculation'!$D$17="Type 4 h",SA+X169,IF('Pre-Calculation'!$D$17="Type 4 i",MAX(N169,Q169),IF('Pre-Calculation'!$D$17="Type 4 k",MAX(N169,1.01*Q169),IF('Pre-Calculation'!$D$17="Type 4 m",MAX(105%*Q169,SA+N169),IF('Pre-Calculation'!$D$17="Type 4 o",MAX(SA,105%*Q169)+X169+Z169,IF('Pre-Calculation'!$D$17="Type 5",0))))))))))))</f>
        <v>1469596.204</v>
      </c>
      <c r="Q169" s="175">
        <f t="shared" si="5"/>
        <v>1000000</v>
      </c>
      <c r="R169" s="119">
        <f>L169*(1+GROWTH_RATE)*FMC</f>
        <v>1659.803845</v>
      </c>
      <c r="S169" s="178">
        <f>S168*(1+'Pre-Calculation'!$E$27)</f>
        <v>1037177.551</v>
      </c>
      <c r="T169" s="175">
        <f>-E169+IF(A168=INPUT!$C$11*12,N169,0)</f>
        <v>0</v>
      </c>
      <c r="U169" s="175">
        <f t="shared" si="6"/>
        <v>1466471.793</v>
      </c>
      <c r="V169" s="175">
        <f>U169*(1+GROWTH_RATE_L)*(1-'Pre-Calculation'!$E$31)</f>
        <v>1468822.494</v>
      </c>
      <c r="W169" s="175">
        <f>-E169+IF(A168=INPUT!$C$11*12,V169,0)</f>
        <v>0</v>
      </c>
      <c r="X169" s="179">
        <f t="array" ref="X169">NPV('Pre-Calculation'!$E$20,$E170:E$246)</f>
        <v>0</v>
      </c>
      <c r="Y169" s="171">
        <f>10%*SA</f>
        <v>100000</v>
      </c>
      <c r="Z169" s="179">
        <f t="array" ref="Z169">NPV('Pre-Calculation'!$E$20,Y170:Y179)</f>
        <v>969592.8037</v>
      </c>
    </row>
    <row r="170" ht="15.75" customHeight="1">
      <c r="A170" s="171">
        <f t="shared" si="1"/>
        <v>224</v>
      </c>
      <c r="B170" s="171">
        <f t="shared" si="2"/>
        <v>19</v>
      </c>
      <c r="C170" s="176">
        <f>EDATE(RCD,A169)</f>
        <v>49339</v>
      </c>
      <c r="D170" s="171">
        <f>Age_At_Entry+'Cashflows_4%'!B170-1</f>
        <v>53</v>
      </c>
      <c r="E170" s="175">
        <f>IF(AND(C170&lt;=Last_Prem,MOD(A169,Mode)=0,C170&gt;INPUT!$C$13,A170&lt;=Revival!$C$11),Mod_Prem,0)</f>
        <v>0</v>
      </c>
      <c r="F170" s="177">
        <f>IF(B170&lt;PT+1,E170*VLOOKUP(B170,'Pre-Calculation'!$H$1:$I$31,2,FALSE),0)</f>
        <v>0</v>
      </c>
      <c r="G170" s="177">
        <f>IF(B170&lt;PT+1,VLOOKUP(B170,'Pre-Calculation'!$H$1:$L$32,3,FALSE)+VLOOKUP(B170,'Pre-Calculation'!$H$1:$L$32,4,FALSE)*'Pre-Calculation'!$D$7,0)</f>
        <v>0</v>
      </c>
      <c r="H170" s="175">
        <f>(E170-(F170+G170)*(1+Tax)+N169)</f>
        <v>1469596.204</v>
      </c>
      <c r="I170" s="175">
        <f>IF(B170&lt;PT+1,VLOOKUP(D170,'Pre-Calculation'!$N$3:$P$79,IF(INPUT!$C$4="M",2,3),FALSE)*(J170/1000)*(1/12),0)</f>
        <v>0</v>
      </c>
      <c r="J170" s="175">
        <f t="shared" si="3"/>
        <v>0</v>
      </c>
      <c r="K170" s="175">
        <f>(IF('Pre-Calculation'!$D$17="Type 4 a",MAX(SA,H170,1.05*Q170),IF('Pre-Calculation'!$D$17="Type 4 c",H170,IF('Pre-Calculation'!$D$17="Type 4 d",SA+H170,IF('Pre-Calculation'!$D$17="Type 4 e",MAX(SA,H170),IF('Pre-Calculation'!$D$17="Type 4 f",SA,IF('Pre-Calculation'!$D$17="Type 4 g",1000+H170,IF('Pre-Calculation'!$D$17="Type 4 h",SA+X170,IF('Pre-Calculation'!$D$17="Type 4 i",MAX(H170,Q170),IF('Pre-Calculation'!$D$17="Type 4 k",MAX(H170,1.01*Q170),IF('Pre-Calculation'!$D$17="Type 4 m",MAX(105%*Q170,SA+H170),IF('Pre-Calculation'!$D$17="Type 4 o",MAX(SA,105%*Q170)+X170+Z170,IF('Pre-Calculation'!$D$17="Type 5",0)))))))))))))*IF(AND(A170&lt;Revival!$C$4,C170&gt;=Revival!$D$12),PUP,1)</f>
        <v>1469596.204</v>
      </c>
      <c r="L170" s="175">
        <f>H170-I170*(1+Tax)</f>
        <v>1469596.204</v>
      </c>
      <c r="M170" s="175">
        <f>L170*(1+GROWTH_RATE_L)*(1-FMC*(1+Tax))</f>
        <v>1472451.068</v>
      </c>
      <c r="N170" s="175">
        <f>M170+IF(MOD(A170,B170)=0,VLOOKUP(B170,'Pre-Calculation'!$H$1:$L$31,5,FALSE),0)*IF('Pre-Calculation'!$D$16="% OF FV",M170,IF(OR('Pre-Calculation'!$D$16="% OF AFV(24M)",'Pre-Calculation'!$D$16="% OF AFV(8Q)"),AVERAGE( $M147:$M170),IF('Pre-Calculation'!$D$16="% OF AFV(12M)",AVERAGE($M159:M170),IF('Pre-Calculation'!$D$16="% OF AFV(36M)",AVERAGE($M135:M170)))))</f>
        <v>1472451.068</v>
      </c>
      <c r="O170" s="175">
        <f t="shared" si="4"/>
        <v>1472451.068</v>
      </c>
      <c r="P170" s="175">
        <f>IF('Pre-Calculation'!$D$17="Type 4 a",MAX(SA,N170,1.05*Q170),IF('Pre-Calculation'!$D$17="Type 4 c",N170,IF('Pre-Calculation'!$D$17="Type 4 d",SA+N170,IF('Pre-Calculation'!$D$17="Type 4 e",MAX(SA,N170),IF('Pre-Calculation'!$D$17="Type 4 f",SA,IF('Pre-Calculation'!$D$17="Type 4 g",1000+N170,IF('Pre-Calculation'!$D$17="Type 4 h",SA+X170,IF('Pre-Calculation'!$D$17="Type 4 i",MAX(N170,Q170),IF('Pre-Calculation'!$D$17="Type 4 k",MAX(N170,1.01*Q170),IF('Pre-Calculation'!$D$17="Type 4 m",MAX(105%*Q170,SA+N170),IF('Pre-Calculation'!$D$17="Type 4 o",MAX(SA,105%*Q170)+X170+Z170,IF('Pre-Calculation'!$D$17="Type 5",0))))))))))))</f>
        <v>1472451.068</v>
      </c>
      <c r="Q170" s="175">
        <f t="shared" si="5"/>
        <v>1000000</v>
      </c>
      <c r="R170" s="119">
        <f>L170*(1+GROWTH_RATE)*FMC</f>
        <v>1663.02821</v>
      </c>
      <c r="S170" s="178">
        <f>S169*(1+'Pre-Calculation'!$E$27)</f>
        <v>1040155.182</v>
      </c>
      <c r="T170" s="175">
        <f>-E170+IF(A169=INPUT!$C$11*12,N170,0)</f>
        <v>0</v>
      </c>
      <c r="U170" s="175">
        <f t="shared" si="6"/>
        <v>1468822.494</v>
      </c>
      <c r="V170" s="175">
        <f>U170*(1+GROWTH_RATE_L)*(1-'Pre-Calculation'!$E$31)</f>
        <v>1471176.963</v>
      </c>
      <c r="W170" s="175">
        <f>-E170+IF(A169=INPUT!$C$11*12,V170,0)</f>
        <v>0</v>
      </c>
      <c r="X170" s="179">
        <f t="array" ref="X170">NPV('Pre-Calculation'!$E$20,$E171:E$246)</f>
        <v>0</v>
      </c>
      <c r="Y170" s="171">
        <f>10%*SA</f>
        <v>100000</v>
      </c>
      <c r="Z170" s="179">
        <f t="array" ref="Z170">NPV('Pre-Calculation'!$E$20,Y171:Y180)</f>
        <v>969592.8037</v>
      </c>
    </row>
    <row r="171" ht="15.75" customHeight="1">
      <c r="A171" s="171">
        <f t="shared" si="1"/>
        <v>225</v>
      </c>
      <c r="B171" s="171">
        <f t="shared" si="2"/>
        <v>19</v>
      </c>
      <c r="C171" s="176">
        <f>EDATE(RCD,A170)</f>
        <v>49368</v>
      </c>
      <c r="D171" s="171">
        <f>Age_At_Entry+'Cashflows_4%'!B171-1</f>
        <v>53</v>
      </c>
      <c r="E171" s="175">
        <f>IF(AND(C171&lt;=Last_Prem,MOD(A170,Mode)=0,C171&gt;INPUT!$C$13,A171&lt;=Revival!$C$11),Mod_Prem,0)</f>
        <v>0</v>
      </c>
      <c r="F171" s="177">
        <f>IF(B171&lt;PT+1,E171*VLOOKUP(B171,'Pre-Calculation'!$H$1:$I$31,2,FALSE),0)</f>
        <v>0</v>
      </c>
      <c r="G171" s="177">
        <f>IF(B171&lt;PT+1,VLOOKUP(B171,'Pre-Calculation'!$H$1:$L$32,3,FALSE)+VLOOKUP(B171,'Pre-Calculation'!$H$1:$L$32,4,FALSE)*'Pre-Calculation'!$D$7,0)</f>
        <v>0</v>
      </c>
      <c r="H171" s="175">
        <f>(E171-(F171+G171)*(1+Tax)+N170)</f>
        <v>1472451.068</v>
      </c>
      <c r="I171" s="175">
        <f>IF(B171&lt;PT+1,VLOOKUP(D171,'Pre-Calculation'!$N$3:$P$79,IF(INPUT!$C$4="M",2,3),FALSE)*(J171/1000)*(1/12),0)</f>
        <v>0</v>
      </c>
      <c r="J171" s="175">
        <f t="shared" si="3"/>
        <v>0</v>
      </c>
      <c r="K171" s="175">
        <f>(IF('Pre-Calculation'!$D$17="Type 4 a",MAX(SA,H171,1.05*Q171),IF('Pre-Calculation'!$D$17="Type 4 c",H171,IF('Pre-Calculation'!$D$17="Type 4 d",SA+H171,IF('Pre-Calculation'!$D$17="Type 4 e",MAX(SA,H171),IF('Pre-Calculation'!$D$17="Type 4 f",SA,IF('Pre-Calculation'!$D$17="Type 4 g",1000+H171,IF('Pre-Calculation'!$D$17="Type 4 h",SA+X171,IF('Pre-Calculation'!$D$17="Type 4 i",MAX(H171,Q171),IF('Pre-Calculation'!$D$17="Type 4 k",MAX(H171,1.01*Q171),IF('Pre-Calculation'!$D$17="Type 4 m",MAX(105%*Q171,SA+H171),IF('Pre-Calculation'!$D$17="Type 4 o",MAX(SA,105%*Q171)+X171+Z171,IF('Pre-Calculation'!$D$17="Type 5",0)))))))))))))*IF(AND(A171&lt;Revival!$C$4,C171&gt;=Revival!$D$12),PUP,1)</f>
        <v>1472451.068</v>
      </c>
      <c r="L171" s="175">
        <f>H171-I171*(1+Tax)</f>
        <v>1472451.068</v>
      </c>
      <c r="M171" s="175">
        <f>L171*(1+GROWTH_RATE_L)*(1-FMC*(1+Tax))</f>
        <v>1475311.479</v>
      </c>
      <c r="N171" s="175">
        <f>M171+IF(MOD(A171,B171)=0,VLOOKUP(B171,'Pre-Calculation'!$H$1:$L$31,5,FALSE),0)*IF('Pre-Calculation'!$D$16="% OF FV",M171,IF(OR('Pre-Calculation'!$D$16="% OF AFV(24M)",'Pre-Calculation'!$D$16="% OF AFV(8Q)"),AVERAGE( $M148:$M171),IF('Pre-Calculation'!$D$16="% OF AFV(12M)",AVERAGE($M160:M171),IF('Pre-Calculation'!$D$16="% OF AFV(36M)",AVERAGE($M136:M171)))))</f>
        <v>1475311.479</v>
      </c>
      <c r="O171" s="175">
        <f t="shared" si="4"/>
        <v>1475311.479</v>
      </c>
      <c r="P171" s="175">
        <f>IF('Pre-Calculation'!$D$17="Type 4 a",MAX(SA,N171,1.05*Q171),IF('Pre-Calculation'!$D$17="Type 4 c",N171,IF('Pre-Calculation'!$D$17="Type 4 d",SA+N171,IF('Pre-Calculation'!$D$17="Type 4 e",MAX(SA,N171),IF('Pre-Calculation'!$D$17="Type 4 f",SA,IF('Pre-Calculation'!$D$17="Type 4 g",1000+N171,IF('Pre-Calculation'!$D$17="Type 4 h",SA+X171,IF('Pre-Calculation'!$D$17="Type 4 i",MAX(N171,Q171),IF('Pre-Calculation'!$D$17="Type 4 k",MAX(N171,1.01*Q171),IF('Pre-Calculation'!$D$17="Type 4 m",MAX(105%*Q171,SA+N171),IF('Pre-Calculation'!$D$17="Type 4 o",MAX(SA,105%*Q171)+X171+Z171,IF('Pre-Calculation'!$D$17="Type 5",0))))))))))))</f>
        <v>1475311.479</v>
      </c>
      <c r="Q171" s="175">
        <f t="shared" si="5"/>
        <v>1000000</v>
      </c>
      <c r="R171" s="119">
        <f>L171*(1+GROWTH_RATE)*FMC</f>
        <v>1666.258839</v>
      </c>
      <c r="S171" s="178">
        <f>S170*(1+'Pre-Calculation'!$E$27)</f>
        <v>1043141.362</v>
      </c>
      <c r="T171" s="175">
        <f>-E171+IF(A170=INPUT!$C$11*12,N171,0)</f>
        <v>0</v>
      </c>
      <c r="U171" s="175">
        <f t="shared" si="6"/>
        <v>1471176.963</v>
      </c>
      <c r="V171" s="175">
        <f>U171*(1+GROWTH_RATE_L)*(1-'Pre-Calculation'!$E$31)</f>
        <v>1473535.207</v>
      </c>
      <c r="W171" s="175">
        <f>-E171+IF(A170=INPUT!$C$11*12,V171,0)</f>
        <v>0</v>
      </c>
      <c r="X171" s="179">
        <f t="array" ref="X171">NPV('Pre-Calculation'!$E$20,$E172:E$246)</f>
        <v>0</v>
      </c>
      <c r="Y171" s="171">
        <f>10%*SA</f>
        <v>100000</v>
      </c>
      <c r="Z171" s="179">
        <f t="array" ref="Z171">NPV('Pre-Calculation'!$E$20,Y172:Y181)</f>
        <v>969592.8037</v>
      </c>
    </row>
    <row r="172" ht="15.75" customHeight="1">
      <c r="A172" s="171">
        <f t="shared" si="1"/>
        <v>226</v>
      </c>
      <c r="B172" s="171">
        <f t="shared" si="2"/>
        <v>19</v>
      </c>
      <c r="C172" s="176">
        <f>EDATE(RCD,A171)</f>
        <v>49398</v>
      </c>
      <c r="D172" s="171">
        <f>Age_At_Entry+'Cashflows_4%'!B172-1</f>
        <v>53</v>
      </c>
      <c r="E172" s="175">
        <f>IF(AND(C172&lt;=Last_Prem,MOD(A171,Mode)=0,C172&gt;INPUT!$C$13,A172&lt;=Revival!$C$11),Mod_Prem,0)</f>
        <v>0</v>
      </c>
      <c r="F172" s="177">
        <f>IF(B172&lt;PT+1,E172*VLOOKUP(B172,'Pre-Calculation'!$H$1:$I$31,2,FALSE),0)</f>
        <v>0</v>
      </c>
      <c r="G172" s="177">
        <f>IF(B172&lt;PT+1,VLOOKUP(B172,'Pre-Calculation'!$H$1:$L$32,3,FALSE)+VLOOKUP(B172,'Pre-Calculation'!$H$1:$L$32,4,FALSE)*'Pre-Calculation'!$D$7,0)</f>
        <v>0</v>
      </c>
      <c r="H172" s="175">
        <f>(E172-(F172+G172)*(1+Tax)+N171)</f>
        <v>1475311.479</v>
      </c>
      <c r="I172" s="175">
        <f>IF(B172&lt;PT+1,VLOOKUP(D172,'Pre-Calculation'!$N$3:$P$79,IF(INPUT!$C$4="M",2,3),FALSE)*(J172/1000)*(1/12),0)</f>
        <v>0</v>
      </c>
      <c r="J172" s="175">
        <f t="shared" si="3"/>
        <v>0</v>
      </c>
      <c r="K172" s="175">
        <f>(IF('Pre-Calculation'!$D$17="Type 4 a",MAX(SA,H172,1.05*Q172),IF('Pre-Calculation'!$D$17="Type 4 c",H172,IF('Pre-Calculation'!$D$17="Type 4 d",SA+H172,IF('Pre-Calculation'!$D$17="Type 4 e",MAX(SA,H172),IF('Pre-Calculation'!$D$17="Type 4 f",SA,IF('Pre-Calculation'!$D$17="Type 4 g",1000+H172,IF('Pre-Calculation'!$D$17="Type 4 h",SA+X172,IF('Pre-Calculation'!$D$17="Type 4 i",MAX(H172,Q172),IF('Pre-Calculation'!$D$17="Type 4 k",MAX(H172,1.01*Q172),IF('Pre-Calculation'!$D$17="Type 4 m",MAX(105%*Q172,SA+H172),IF('Pre-Calculation'!$D$17="Type 4 o",MAX(SA,105%*Q172)+X172+Z172,IF('Pre-Calculation'!$D$17="Type 5",0)))))))))))))*IF(AND(A172&lt;Revival!$C$4,C172&gt;=Revival!$D$12),PUP,1)</f>
        <v>1475311.479</v>
      </c>
      <c r="L172" s="175">
        <f>H172-I172*(1+Tax)</f>
        <v>1475311.479</v>
      </c>
      <c r="M172" s="175">
        <f>L172*(1+GROWTH_RATE_L)*(1-FMC*(1+Tax))</f>
        <v>1478177.446</v>
      </c>
      <c r="N172" s="175">
        <f>M172+IF(MOD(A172,B172)=0,VLOOKUP(B172,'Pre-Calculation'!$H$1:$L$31,5,FALSE),0)*IF('Pre-Calculation'!$D$16="% OF FV",M172,IF(OR('Pre-Calculation'!$D$16="% OF AFV(24M)",'Pre-Calculation'!$D$16="% OF AFV(8Q)"),AVERAGE( $M149:$M172),IF('Pre-Calculation'!$D$16="% OF AFV(12M)",AVERAGE($M161:M172),IF('Pre-Calculation'!$D$16="% OF AFV(36M)",AVERAGE($M137:M172)))))</f>
        <v>1478177.446</v>
      </c>
      <c r="O172" s="175">
        <f t="shared" si="4"/>
        <v>1478177.446</v>
      </c>
      <c r="P172" s="175">
        <f>IF('Pre-Calculation'!$D$17="Type 4 a",MAX(SA,N172,1.05*Q172),IF('Pre-Calculation'!$D$17="Type 4 c",N172,IF('Pre-Calculation'!$D$17="Type 4 d",SA+N172,IF('Pre-Calculation'!$D$17="Type 4 e",MAX(SA,N172),IF('Pre-Calculation'!$D$17="Type 4 f",SA,IF('Pre-Calculation'!$D$17="Type 4 g",1000+N172,IF('Pre-Calculation'!$D$17="Type 4 h",SA+X172,IF('Pre-Calculation'!$D$17="Type 4 i",MAX(N172,Q172),IF('Pre-Calculation'!$D$17="Type 4 k",MAX(N172,1.01*Q172),IF('Pre-Calculation'!$D$17="Type 4 m",MAX(105%*Q172,SA+N172),IF('Pre-Calculation'!$D$17="Type 4 o",MAX(SA,105%*Q172)+X172+Z172,IF('Pre-Calculation'!$D$17="Type 5",0))))))))))))</f>
        <v>1478177.446</v>
      </c>
      <c r="Q172" s="175">
        <f t="shared" si="5"/>
        <v>1000000</v>
      </c>
      <c r="R172" s="119">
        <f>L172*(1+GROWTH_RATE)*FMC</f>
        <v>1669.495744</v>
      </c>
      <c r="S172" s="178">
        <f>S171*(1+'Pre-Calculation'!$E$27)</f>
        <v>1046136.116</v>
      </c>
      <c r="T172" s="175">
        <f>-E172+IF(A171=INPUT!$C$11*12,N172,0)</f>
        <v>0</v>
      </c>
      <c r="U172" s="175">
        <f t="shared" si="6"/>
        <v>1473535.207</v>
      </c>
      <c r="V172" s="175">
        <f>U172*(1+GROWTH_RATE_L)*(1-'Pre-Calculation'!$E$31)</f>
        <v>1475897.23</v>
      </c>
      <c r="W172" s="175">
        <f>-E172+IF(A171=INPUT!$C$11*12,V172,0)</f>
        <v>0</v>
      </c>
      <c r="X172" s="179">
        <f t="array" ref="X172">NPV('Pre-Calculation'!$E$20,$E173:E$246)</f>
        <v>0</v>
      </c>
      <c r="Y172" s="171">
        <f>10%*SA</f>
        <v>100000</v>
      </c>
      <c r="Z172" s="179">
        <f t="array" ref="Z172">NPV('Pre-Calculation'!$E$20,Y173:Y182)</f>
        <v>969592.8037</v>
      </c>
    </row>
    <row r="173" ht="15.75" customHeight="1">
      <c r="A173" s="171">
        <f t="shared" si="1"/>
        <v>227</v>
      </c>
      <c r="B173" s="171">
        <f t="shared" si="2"/>
        <v>19</v>
      </c>
      <c r="C173" s="176">
        <f>EDATE(RCD,A172)</f>
        <v>49429</v>
      </c>
      <c r="D173" s="171">
        <f>Age_At_Entry+'Cashflows_4%'!B173-1</f>
        <v>53</v>
      </c>
      <c r="E173" s="175">
        <f>IF(AND(C173&lt;=Last_Prem,MOD(A172,Mode)=0,C173&gt;INPUT!$C$13,A173&lt;=Revival!$C$11),Mod_Prem,0)</f>
        <v>0</v>
      </c>
      <c r="F173" s="177">
        <f>IF(B173&lt;PT+1,E173*VLOOKUP(B173,'Pre-Calculation'!$H$1:$I$31,2,FALSE),0)</f>
        <v>0</v>
      </c>
      <c r="G173" s="177">
        <f>IF(B173&lt;PT+1,VLOOKUP(B173,'Pre-Calculation'!$H$1:$L$32,3,FALSE)+VLOOKUP(B173,'Pre-Calculation'!$H$1:$L$32,4,FALSE)*'Pre-Calculation'!$D$7,0)</f>
        <v>0</v>
      </c>
      <c r="H173" s="175">
        <f>(E173-(F173+G173)*(1+Tax)+N172)</f>
        <v>1478177.446</v>
      </c>
      <c r="I173" s="175">
        <f>IF(B173&lt;PT+1,VLOOKUP(D173,'Pre-Calculation'!$N$3:$P$79,IF(INPUT!$C$4="M",2,3),FALSE)*(J173/1000)*(1/12),0)</f>
        <v>0</v>
      </c>
      <c r="J173" s="175">
        <f t="shared" si="3"/>
        <v>0</v>
      </c>
      <c r="K173" s="175">
        <f>(IF('Pre-Calculation'!$D$17="Type 4 a",MAX(SA,H173,1.05*Q173),IF('Pre-Calculation'!$D$17="Type 4 c",H173,IF('Pre-Calculation'!$D$17="Type 4 d",SA+H173,IF('Pre-Calculation'!$D$17="Type 4 e",MAX(SA,H173),IF('Pre-Calculation'!$D$17="Type 4 f",SA,IF('Pre-Calculation'!$D$17="Type 4 g",1000+H173,IF('Pre-Calculation'!$D$17="Type 4 h",SA+X173,IF('Pre-Calculation'!$D$17="Type 4 i",MAX(H173,Q173),IF('Pre-Calculation'!$D$17="Type 4 k",MAX(H173,1.01*Q173),IF('Pre-Calculation'!$D$17="Type 4 m",MAX(105%*Q173,SA+H173),IF('Pre-Calculation'!$D$17="Type 4 o",MAX(SA,105%*Q173)+X173+Z173,IF('Pre-Calculation'!$D$17="Type 5",0)))))))))))))*IF(AND(A173&lt;Revival!$C$4,C173&gt;=Revival!$D$12),PUP,1)</f>
        <v>1478177.446</v>
      </c>
      <c r="L173" s="175">
        <f>H173-I173*(1+Tax)</f>
        <v>1478177.446</v>
      </c>
      <c r="M173" s="175">
        <f>L173*(1+GROWTH_RATE_L)*(1-FMC*(1+Tax))</f>
        <v>1481048.98</v>
      </c>
      <c r="N173" s="175">
        <f>M173+IF(MOD(A173,B173)=0,VLOOKUP(B173,'Pre-Calculation'!$H$1:$L$31,5,FALSE),0)*IF('Pre-Calculation'!$D$16="% OF FV",M173,IF(OR('Pre-Calculation'!$D$16="% OF AFV(24M)",'Pre-Calculation'!$D$16="% OF AFV(8Q)"),AVERAGE( $M150:$M173),IF('Pre-Calculation'!$D$16="% OF AFV(12M)",AVERAGE($M162:M173),IF('Pre-Calculation'!$D$16="% OF AFV(36M)",AVERAGE($M138:M173)))))</f>
        <v>1481048.98</v>
      </c>
      <c r="O173" s="175">
        <f t="shared" si="4"/>
        <v>1481048.98</v>
      </c>
      <c r="P173" s="175">
        <f>IF('Pre-Calculation'!$D$17="Type 4 a",MAX(SA,N173,1.05*Q173),IF('Pre-Calculation'!$D$17="Type 4 c",N173,IF('Pre-Calculation'!$D$17="Type 4 d",SA+N173,IF('Pre-Calculation'!$D$17="Type 4 e",MAX(SA,N173),IF('Pre-Calculation'!$D$17="Type 4 f",SA,IF('Pre-Calculation'!$D$17="Type 4 g",1000+N173,IF('Pre-Calculation'!$D$17="Type 4 h",SA+X173,IF('Pre-Calculation'!$D$17="Type 4 i",MAX(N173,Q173),IF('Pre-Calculation'!$D$17="Type 4 k",MAX(N173,1.01*Q173),IF('Pre-Calculation'!$D$17="Type 4 m",MAX(105%*Q173,SA+N173),IF('Pre-Calculation'!$D$17="Type 4 o",MAX(SA,105%*Q173)+X173+Z173,IF('Pre-Calculation'!$D$17="Type 5",0))))))))))))</f>
        <v>1481048.98</v>
      </c>
      <c r="Q173" s="175">
        <f t="shared" si="5"/>
        <v>1000000</v>
      </c>
      <c r="R173" s="119">
        <f>L173*(1+GROWTH_RATE)*FMC</f>
        <v>1672.738936</v>
      </c>
      <c r="S173" s="178">
        <f>S172*(1+'Pre-Calculation'!$E$27)</f>
        <v>1049139.466</v>
      </c>
      <c r="T173" s="175">
        <f>-E173+IF(A172=INPUT!$C$11*12,N173,0)</f>
        <v>0</v>
      </c>
      <c r="U173" s="175">
        <f t="shared" si="6"/>
        <v>1475897.23</v>
      </c>
      <c r="V173" s="175">
        <f>U173*(1+GROWTH_RATE_L)*(1-'Pre-Calculation'!$E$31)</f>
        <v>1478263.04</v>
      </c>
      <c r="W173" s="175">
        <f>-E173+IF(A172=INPUT!$C$11*12,V173,0)</f>
        <v>0</v>
      </c>
      <c r="X173" s="179">
        <f t="array" ref="X173">NPV('Pre-Calculation'!$E$20,$E174:E$246)</f>
        <v>0</v>
      </c>
      <c r="Y173" s="171">
        <f>10%*SA</f>
        <v>100000</v>
      </c>
      <c r="Z173" s="179">
        <f t="array" ref="Z173">NPV('Pre-Calculation'!$E$20,Y174:Y183)</f>
        <v>969592.8037</v>
      </c>
    </row>
    <row r="174" ht="15.75" customHeight="1">
      <c r="A174" s="171">
        <f t="shared" si="1"/>
        <v>228</v>
      </c>
      <c r="B174" s="171">
        <f t="shared" si="2"/>
        <v>19</v>
      </c>
      <c r="C174" s="176">
        <f>EDATE(RCD,A173)</f>
        <v>49459</v>
      </c>
      <c r="D174" s="171">
        <f>Age_At_Entry+'Cashflows_4%'!B174-1</f>
        <v>53</v>
      </c>
      <c r="E174" s="175">
        <f>IF(AND(C174&lt;=Last_Prem,MOD(A173,Mode)=0,C174&gt;INPUT!$C$13,A174&lt;=Revival!$C$11),Mod_Prem,0)</f>
        <v>0</v>
      </c>
      <c r="F174" s="177">
        <f>IF(B174&lt;PT+1,E174*VLOOKUP(B174,'Pre-Calculation'!$H$1:$I$31,2,FALSE),0)</f>
        <v>0</v>
      </c>
      <c r="G174" s="177">
        <f>IF(B174&lt;PT+1,VLOOKUP(B174,'Pre-Calculation'!$H$1:$L$32,3,FALSE)+VLOOKUP(B174,'Pre-Calculation'!$H$1:$L$32,4,FALSE)*'Pre-Calculation'!$D$7,0)</f>
        <v>0</v>
      </c>
      <c r="H174" s="175">
        <f>(E174-(F174+G174)*(1+Tax)+N173)</f>
        <v>1481048.98</v>
      </c>
      <c r="I174" s="175">
        <f>IF(B174&lt;PT+1,VLOOKUP(D174,'Pre-Calculation'!$N$3:$P$79,IF(INPUT!$C$4="M",2,3),FALSE)*(J174/1000)*(1/12),0)</f>
        <v>0</v>
      </c>
      <c r="J174" s="175">
        <f t="shared" si="3"/>
        <v>0</v>
      </c>
      <c r="K174" s="175">
        <f>(IF('Pre-Calculation'!$D$17="Type 4 a",MAX(SA,H174,1.05*Q174),IF('Pre-Calculation'!$D$17="Type 4 c",H174,IF('Pre-Calculation'!$D$17="Type 4 d",SA+H174,IF('Pre-Calculation'!$D$17="Type 4 e",MAX(SA,H174),IF('Pre-Calculation'!$D$17="Type 4 f",SA,IF('Pre-Calculation'!$D$17="Type 4 g",1000+H174,IF('Pre-Calculation'!$D$17="Type 4 h",SA+X174,IF('Pre-Calculation'!$D$17="Type 4 i",MAX(H174,Q174),IF('Pre-Calculation'!$D$17="Type 4 k",MAX(H174,1.01*Q174),IF('Pre-Calculation'!$D$17="Type 4 m",MAX(105%*Q174,SA+H174),IF('Pre-Calculation'!$D$17="Type 4 o",MAX(SA,105%*Q174)+X174+Z174,IF('Pre-Calculation'!$D$17="Type 5",0)))))))))))))*IF(AND(A174&lt;Revival!$C$4,C174&gt;=Revival!$D$12),PUP,1)</f>
        <v>1481048.98</v>
      </c>
      <c r="L174" s="175">
        <f>H174-I174*(1+Tax)</f>
        <v>1481048.98</v>
      </c>
      <c r="M174" s="175">
        <f>L174*(1+GROWTH_RATE_L)*(1-FMC*(1+Tax))</f>
        <v>1483926.093</v>
      </c>
      <c r="N174" s="175">
        <f>M174+IF(MOD(A174,B174)=0,VLOOKUP(B174,'Pre-Calculation'!$H$1:$L$31,5,FALSE),0)*IF('Pre-Calculation'!$D$16="% OF FV",M174,IF(OR('Pre-Calculation'!$D$16="% OF AFV(24M)",'Pre-Calculation'!$D$16="% OF AFV(8Q)"),AVERAGE( $M151:$M174),IF('Pre-Calculation'!$D$16="% OF AFV(12M)",AVERAGE($M163:M174),IF('Pre-Calculation'!$D$16="% OF AFV(36M)",AVERAGE($M139:M174)))))</f>
        <v>1483926.093</v>
      </c>
      <c r="O174" s="175">
        <f t="shared" si="4"/>
        <v>1483926.093</v>
      </c>
      <c r="P174" s="175">
        <f>IF('Pre-Calculation'!$D$17="Type 4 a",MAX(SA,N174,1.05*Q174),IF('Pre-Calculation'!$D$17="Type 4 c",N174,IF('Pre-Calculation'!$D$17="Type 4 d",SA+N174,IF('Pre-Calculation'!$D$17="Type 4 e",MAX(SA,N174),IF('Pre-Calculation'!$D$17="Type 4 f",SA,IF('Pre-Calculation'!$D$17="Type 4 g",1000+N174,IF('Pre-Calculation'!$D$17="Type 4 h",SA+X174,IF('Pre-Calculation'!$D$17="Type 4 i",MAX(N174,Q174),IF('Pre-Calculation'!$D$17="Type 4 k",MAX(N174,1.01*Q174),IF('Pre-Calculation'!$D$17="Type 4 m",MAX(105%*Q174,SA+N174),IF('Pre-Calculation'!$D$17="Type 4 o",MAX(SA,105%*Q174)+X174+Z174,IF('Pre-Calculation'!$D$17="Type 5",0))))))))))))</f>
        <v>1483926.093</v>
      </c>
      <c r="Q174" s="175">
        <f t="shared" si="5"/>
        <v>1000000</v>
      </c>
      <c r="R174" s="119">
        <f>L174*(1+GROWTH_RATE)*FMC</f>
        <v>1675.98843</v>
      </c>
      <c r="S174" s="178">
        <f>S173*(1+'Pre-Calculation'!$E$27)</f>
        <v>1052151.44</v>
      </c>
      <c r="T174" s="175">
        <f>-E174+IF(A173=INPUT!$C$11*12,N174,0)</f>
        <v>0</v>
      </c>
      <c r="U174" s="175">
        <f t="shared" si="6"/>
        <v>1478263.04</v>
      </c>
      <c r="V174" s="175">
        <f>U174*(1+GROWTH_RATE_L)*(1-'Pre-Calculation'!$E$31)</f>
        <v>1480632.642</v>
      </c>
      <c r="W174" s="175">
        <f>-E174+IF(A173=INPUT!$C$11*12,V174,0)</f>
        <v>0</v>
      </c>
      <c r="X174" s="179">
        <f t="array" ref="X174">NPV('Pre-Calculation'!$E$20,$E175:E$246)</f>
        <v>0</v>
      </c>
      <c r="Y174" s="171">
        <f>10%*SA</f>
        <v>100000</v>
      </c>
      <c r="Z174" s="179">
        <f t="array" ref="Z174">NPV('Pre-Calculation'!$E$20,Y175:Y184)</f>
        <v>969592.8037</v>
      </c>
    </row>
    <row r="175" ht="15.75" customHeight="1">
      <c r="A175" s="171">
        <f t="shared" si="1"/>
        <v>229</v>
      </c>
      <c r="B175" s="171">
        <f t="shared" si="2"/>
        <v>20</v>
      </c>
      <c r="C175" s="176">
        <f>EDATE(RCD,A174)</f>
        <v>49490</v>
      </c>
      <c r="D175" s="171">
        <f>Age_At_Entry+'Cashflows_4%'!B175-1</f>
        <v>54</v>
      </c>
      <c r="E175" s="175">
        <f>IF(AND(C175&lt;=Last_Prem,MOD(A174,Mode)=0,C175&gt;INPUT!$C$13,A175&lt;=Revival!$C$11),Mod_Prem,0)</f>
        <v>0</v>
      </c>
      <c r="F175" s="177">
        <f>IF(B175&lt;PT+1,E175*VLOOKUP(B175,'Pre-Calculation'!$H$1:$I$31,2,FALSE),0)</f>
        <v>0</v>
      </c>
      <c r="G175" s="177">
        <f>IF(B175&lt;PT+1,VLOOKUP(B175,'Pre-Calculation'!$H$1:$L$32,3,FALSE)+VLOOKUP(B175,'Pre-Calculation'!$H$1:$L$32,4,FALSE)*'Pre-Calculation'!$D$7,0)</f>
        <v>0</v>
      </c>
      <c r="H175" s="175">
        <f>(E175-(F175+G175)*(1+Tax)+N174)</f>
        <v>1483926.093</v>
      </c>
      <c r="I175" s="175">
        <f>IF(B175&lt;PT+1,VLOOKUP(D175,'Pre-Calculation'!$N$3:$P$79,IF(INPUT!$C$4="M",2,3),FALSE)*(J175/1000)*(1/12),0)</f>
        <v>0</v>
      </c>
      <c r="J175" s="175">
        <f t="shared" si="3"/>
        <v>0</v>
      </c>
      <c r="K175" s="175">
        <f>(IF('Pre-Calculation'!$D$17="Type 4 a",MAX(SA,H175,1.05*Q175),IF('Pre-Calculation'!$D$17="Type 4 c",H175,IF('Pre-Calculation'!$D$17="Type 4 d",SA+H175,IF('Pre-Calculation'!$D$17="Type 4 e",MAX(SA,H175),IF('Pre-Calculation'!$D$17="Type 4 f",SA,IF('Pre-Calculation'!$D$17="Type 4 g",1000+H175,IF('Pre-Calculation'!$D$17="Type 4 h",SA+X175,IF('Pre-Calculation'!$D$17="Type 4 i",MAX(H175,Q175),IF('Pre-Calculation'!$D$17="Type 4 k",MAX(H175,1.01*Q175),IF('Pre-Calculation'!$D$17="Type 4 m",MAX(105%*Q175,SA+H175),IF('Pre-Calculation'!$D$17="Type 4 o",MAX(SA,105%*Q175)+X175+Z175,IF('Pre-Calculation'!$D$17="Type 5",0)))))))))))))*IF(AND(A175&lt;Revival!$C$4,C175&gt;=Revival!$D$12),PUP,1)</f>
        <v>1483926.093</v>
      </c>
      <c r="L175" s="175">
        <f>H175-I175*(1+Tax)</f>
        <v>1483926.093</v>
      </c>
      <c r="M175" s="175">
        <f>L175*(1+GROWTH_RATE_L)*(1-FMC*(1+Tax))</f>
        <v>1486808.794</v>
      </c>
      <c r="N175" s="175">
        <f>M175+IF(MOD(A175,B175)=0,VLOOKUP(B175,'Pre-Calculation'!$H$1:$L$31,5,FALSE),0)*IF('Pre-Calculation'!$D$16="% OF FV",M175,IF(OR('Pre-Calculation'!$D$16="% OF AFV(24M)",'Pre-Calculation'!$D$16="% OF AFV(8Q)"),AVERAGE( $M152:$M175),IF('Pre-Calculation'!$D$16="% OF AFV(12M)",AVERAGE($M164:M175),IF('Pre-Calculation'!$D$16="% OF AFV(36M)",AVERAGE($M140:M175)))))</f>
        <v>1486808.794</v>
      </c>
      <c r="O175" s="175">
        <f t="shared" si="4"/>
        <v>1486808.794</v>
      </c>
      <c r="P175" s="175">
        <f>IF('Pre-Calculation'!$D$17="Type 4 a",MAX(SA,N175,1.05*Q175),IF('Pre-Calculation'!$D$17="Type 4 c",N175,IF('Pre-Calculation'!$D$17="Type 4 d",SA+N175,IF('Pre-Calculation'!$D$17="Type 4 e",MAX(SA,N175),IF('Pre-Calculation'!$D$17="Type 4 f",SA,IF('Pre-Calculation'!$D$17="Type 4 g",1000+N175,IF('Pre-Calculation'!$D$17="Type 4 h",SA+X175,IF('Pre-Calculation'!$D$17="Type 4 i",MAX(N175,Q175),IF('Pre-Calculation'!$D$17="Type 4 k",MAX(N175,1.01*Q175),IF('Pre-Calculation'!$D$17="Type 4 m",MAX(105%*Q175,SA+N175),IF('Pre-Calculation'!$D$17="Type 4 o",MAX(SA,105%*Q175)+X175+Z175,IF('Pre-Calculation'!$D$17="Type 5",0))))))))))))</f>
        <v>1486808.794</v>
      </c>
      <c r="Q175" s="175">
        <f t="shared" si="5"/>
        <v>1000000</v>
      </c>
      <c r="R175" s="119">
        <f>L175*(1+GROWTH_RATE)*FMC</f>
        <v>1679.244235</v>
      </c>
      <c r="S175" s="178">
        <f>S174*(1+'Pre-Calculation'!$E$27)</f>
        <v>1055172.06</v>
      </c>
      <c r="T175" s="175">
        <f>-E175+IF(A174=INPUT!$C$11*12,N175,0)</f>
        <v>0</v>
      </c>
      <c r="U175" s="175">
        <f t="shared" si="6"/>
        <v>1480632.642</v>
      </c>
      <c r="V175" s="175">
        <f>U175*(1+GROWTH_RATE_L)*(1-'Pre-Calculation'!$E$31)</f>
        <v>1483006.043</v>
      </c>
      <c r="W175" s="175">
        <f>-E175+IF(A174=INPUT!$C$11*12,V175,0)</f>
        <v>0</v>
      </c>
      <c r="X175" s="179">
        <f t="array" ref="X175">NPV('Pre-Calculation'!$E$20,$E176:E$246)</f>
        <v>0</v>
      </c>
      <c r="Y175" s="171">
        <f>10%*SA</f>
        <v>100000</v>
      </c>
      <c r="Z175" s="179">
        <f t="array" ref="Z175">NPV('Pre-Calculation'!$E$20,Y176:Y185)</f>
        <v>969592.8037</v>
      </c>
    </row>
    <row r="176" ht="15.75" customHeight="1">
      <c r="A176" s="171">
        <f t="shared" si="1"/>
        <v>230</v>
      </c>
      <c r="B176" s="171">
        <f t="shared" si="2"/>
        <v>20</v>
      </c>
      <c r="C176" s="176">
        <f>EDATE(RCD,A175)</f>
        <v>49520</v>
      </c>
      <c r="D176" s="171">
        <f>Age_At_Entry+'Cashflows_4%'!B176-1</f>
        <v>54</v>
      </c>
      <c r="E176" s="175">
        <f>IF(AND(C176&lt;=Last_Prem,MOD(A175,Mode)=0,C176&gt;INPUT!$C$13,A176&lt;=Revival!$C$11),Mod_Prem,0)</f>
        <v>0</v>
      </c>
      <c r="F176" s="177">
        <f>IF(B176&lt;PT+1,E176*VLOOKUP(B176,'Pre-Calculation'!$H$1:$I$31,2,FALSE),0)</f>
        <v>0</v>
      </c>
      <c r="G176" s="177">
        <f>IF(B176&lt;PT+1,VLOOKUP(B176,'Pre-Calculation'!$H$1:$L$32,3,FALSE)+VLOOKUP(B176,'Pre-Calculation'!$H$1:$L$32,4,FALSE)*'Pre-Calculation'!$D$7,0)</f>
        <v>0</v>
      </c>
      <c r="H176" s="175">
        <f>(E176-(F176+G176)*(1+Tax)+N175)</f>
        <v>1486808.794</v>
      </c>
      <c r="I176" s="175">
        <f>IF(B176&lt;PT+1,VLOOKUP(D176,'Pre-Calculation'!$N$3:$P$79,IF(INPUT!$C$4="M",2,3),FALSE)*(J176/1000)*(1/12),0)</f>
        <v>0</v>
      </c>
      <c r="J176" s="175">
        <f t="shared" si="3"/>
        <v>0</v>
      </c>
      <c r="K176" s="175">
        <f>(IF('Pre-Calculation'!$D$17="Type 4 a",MAX(SA,H176,1.05*Q176),IF('Pre-Calculation'!$D$17="Type 4 c",H176,IF('Pre-Calculation'!$D$17="Type 4 d",SA+H176,IF('Pre-Calculation'!$D$17="Type 4 e",MAX(SA,H176),IF('Pre-Calculation'!$D$17="Type 4 f",SA,IF('Pre-Calculation'!$D$17="Type 4 g",1000+H176,IF('Pre-Calculation'!$D$17="Type 4 h",SA+X176,IF('Pre-Calculation'!$D$17="Type 4 i",MAX(H176,Q176),IF('Pre-Calculation'!$D$17="Type 4 k",MAX(H176,1.01*Q176),IF('Pre-Calculation'!$D$17="Type 4 m",MAX(105%*Q176,SA+H176),IF('Pre-Calculation'!$D$17="Type 4 o",MAX(SA,105%*Q176)+X176+Z176,IF('Pre-Calculation'!$D$17="Type 5",0)))))))))))))*IF(AND(A176&lt;Revival!$C$4,C176&gt;=Revival!$D$12),PUP,1)</f>
        <v>1486808.794</v>
      </c>
      <c r="L176" s="175">
        <f>H176-I176*(1+Tax)</f>
        <v>1486808.794</v>
      </c>
      <c r="M176" s="175">
        <f>L176*(1+GROWTH_RATE_L)*(1-FMC*(1+Tax))</f>
        <v>1489697.096</v>
      </c>
      <c r="N176" s="175">
        <f>M176+IF(MOD(A176,B176)=0,VLOOKUP(B176,'Pre-Calculation'!$H$1:$L$31,5,FALSE),0)*IF('Pre-Calculation'!$D$16="% OF FV",M176,IF(OR('Pre-Calculation'!$D$16="% OF AFV(24M)",'Pre-Calculation'!$D$16="% OF AFV(8Q)"),AVERAGE( $M153:$M176),IF('Pre-Calculation'!$D$16="% OF AFV(12M)",AVERAGE($M165:M176),IF('Pre-Calculation'!$D$16="% OF AFV(36M)",AVERAGE($M141:M176)))))</f>
        <v>1489697.096</v>
      </c>
      <c r="O176" s="175">
        <f t="shared" si="4"/>
        <v>1489697.096</v>
      </c>
      <c r="P176" s="175">
        <f>IF('Pre-Calculation'!$D$17="Type 4 a",MAX(SA,N176,1.05*Q176),IF('Pre-Calculation'!$D$17="Type 4 c",N176,IF('Pre-Calculation'!$D$17="Type 4 d",SA+N176,IF('Pre-Calculation'!$D$17="Type 4 e",MAX(SA,N176),IF('Pre-Calculation'!$D$17="Type 4 f",SA,IF('Pre-Calculation'!$D$17="Type 4 g",1000+N176,IF('Pre-Calculation'!$D$17="Type 4 h",SA+X176,IF('Pre-Calculation'!$D$17="Type 4 i",MAX(N176,Q176),IF('Pre-Calculation'!$D$17="Type 4 k",MAX(N176,1.01*Q176),IF('Pre-Calculation'!$D$17="Type 4 m",MAX(105%*Q176,SA+N176),IF('Pre-Calculation'!$D$17="Type 4 o",MAX(SA,105%*Q176)+X176+Z176,IF('Pre-Calculation'!$D$17="Type 5",0))))))))))))</f>
        <v>1489697.096</v>
      </c>
      <c r="Q176" s="175">
        <f t="shared" si="5"/>
        <v>1000000</v>
      </c>
      <c r="R176" s="119">
        <f>L176*(1+GROWTH_RATE)*FMC</f>
        <v>1682.506365</v>
      </c>
      <c r="S176" s="178">
        <f>S175*(1+'Pre-Calculation'!$E$27)</f>
        <v>1058201.352</v>
      </c>
      <c r="T176" s="175">
        <f>-E176+IF(A175=INPUT!$C$11*12,N176,0)</f>
        <v>0</v>
      </c>
      <c r="U176" s="175">
        <f t="shared" si="6"/>
        <v>1483006.043</v>
      </c>
      <c r="V176" s="175">
        <f>U176*(1+GROWTH_RATE_L)*(1-'Pre-Calculation'!$E$31)</f>
        <v>1485383.248</v>
      </c>
      <c r="W176" s="175">
        <f>-E176+IF(A175=INPUT!$C$11*12,V176,0)</f>
        <v>0</v>
      </c>
      <c r="X176" s="179">
        <f t="array" ref="X176">NPV('Pre-Calculation'!$E$20,$E177:E$246)</f>
        <v>0</v>
      </c>
      <c r="Y176" s="171">
        <f>10%*SA</f>
        <v>100000</v>
      </c>
      <c r="Z176" s="179">
        <f t="array" ref="Z176">NPV('Pre-Calculation'!$E$20,Y177:Y186)</f>
        <v>969592.8037</v>
      </c>
    </row>
    <row r="177" ht="15.75" customHeight="1">
      <c r="A177" s="171">
        <f t="shared" si="1"/>
        <v>231</v>
      </c>
      <c r="B177" s="171">
        <f t="shared" si="2"/>
        <v>20</v>
      </c>
      <c r="C177" s="176">
        <f>EDATE(RCD,A176)</f>
        <v>49551</v>
      </c>
      <c r="D177" s="171">
        <f>Age_At_Entry+'Cashflows_4%'!B177-1</f>
        <v>54</v>
      </c>
      <c r="E177" s="175">
        <f>IF(AND(C177&lt;=Last_Prem,MOD(A176,Mode)=0,C177&gt;INPUT!$C$13,A177&lt;=Revival!$C$11),Mod_Prem,0)</f>
        <v>0</v>
      </c>
      <c r="F177" s="177">
        <f>IF(B177&lt;PT+1,E177*VLOOKUP(B177,'Pre-Calculation'!$H$1:$I$31,2,FALSE),0)</f>
        <v>0</v>
      </c>
      <c r="G177" s="177">
        <f>IF(B177&lt;PT+1,VLOOKUP(B177,'Pre-Calculation'!$H$1:$L$32,3,FALSE)+VLOOKUP(B177,'Pre-Calculation'!$H$1:$L$32,4,FALSE)*'Pre-Calculation'!$D$7,0)</f>
        <v>0</v>
      </c>
      <c r="H177" s="175">
        <f>(E177-(F177+G177)*(1+Tax)+N176)</f>
        <v>1489697.096</v>
      </c>
      <c r="I177" s="175">
        <f>IF(B177&lt;PT+1,VLOOKUP(D177,'Pre-Calculation'!$N$3:$P$79,IF(INPUT!$C$4="M",2,3),FALSE)*(J177/1000)*(1/12),0)</f>
        <v>0</v>
      </c>
      <c r="J177" s="175">
        <f t="shared" si="3"/>
        <v>0</v>
      </c>
      <c r="K177" s="175">
        <f>(IF('Pre-Calculation'!$D$17="Type 4 a",MAX(SA,H177,1.05*Q177),IF('Pre-Calculation'!$D$17="Type 4 c",H177,IF('Pre-Calculation'!$D$17="Type 4 d",SA+H177,IF('Pre-Calculation'!$D$17="Type 4 e",MAX(SA,H177),IF('Pre-Calculation'!$D$17="Type 4 f",SA,IF('Pre-Calculation'!$D$17="Type 4 g",1000+H177,IF('Pre-Calculation'!$D$17="Type 4 h",SA+X177,IF('Pre-Calculation'!$D$17="Type 4 i",MAX(H177,Q177),IF('Pre-Calculation'!$D$17="Type 4 k",MAX(H177,1.01*Q177),IF('Pre-Calculation'!$D$17="Type 4 m",MAX(105%*Q177,SA+H177),IF('Pre-Calculation'!$D$17="Type 4 o",MAX(SA,105%*Q177)+X177+Z177,IF('Pre-Calculation'!$D$17="Type 5",0)))))))))))))*IF(AND(A177&lt;Revival!$C$4,C177&gt;=Revival!$D$12),PUP,1)</f>
        <v>1489697.096</v>
      </c>
      <c r="L177" s="175">
        <f>H177-I177*(1+Tax)</f>
        <v>1489697.096</v>
      </c>
      <c r="M177" s="175">
        <f>L177*(1+GROWTH_RATE_L)*(1-FMC*(1+Tax))</f>
        <v>1492591.009</v>
      </c>
      <c r="N177" s="175">
        <f>M177+IF(MOD(A177,B177)=0,VLOOKUP(B177,'Pre-Calculation'!$H$1:$L$31,5,FALSE),0)*IF('Pre-Calculation'!$D$16="% OF FV",M177,IF(OR('Pre-Calculation'!$D$16="% OF AFV(24M)",'Pre-Calculation'!$D$16="% OF AFV(8Q)"),AVERAGE( $M154:$M177),IF('Pre-Calculation'!$D$16="% OF AFV(12M)",AVERAGE($M166:M177),IF('Pre-Calculation'!$D$16="% OF AFV(36M)",AVERAGE($M142:M177)))))</f>
        <v>1492591.009</v>
      </c>
      <c r="O177" s="175">
        <f t="shared" si="4"/>
        <v>1492591.009</v>
      </c>
      <c r="P177" s="175">
        <f>IF('Pre-Calculation'!$D$17="Type 4 a",MAX(SA,N177,1.05*Q177),IF('Pre-Calculation'!$D$17="Type 4 c",N177,IF('Pre-Calculation'!$D$17="Type 4 d",SA+N177,IF('Pre-Calculation'!$D$17="Type 4 e",MAX(SA,N177),IF('Pre-Calculation'!$D$17="Type 4 f",SA,IF('Pre-Calculation'!$D$17="Type 4 g",1000+N177,IF('Pre-Calculation'!$D$17="Type 4 h",SA+X177,IF('Pre-Calculation'!$D$17="Type 4 i",MAX(N177,Q177),IF('Pre-Calculation'!$D$17="Type 4 k",MAX(N177,1.01*Q177),IF('Pre-Calculation'!$D$17="Type 4 m",MAX(105%*Q177,SA+N177),IF('Pre-Calculation'!$D$17="Type 4 o",MAX(SA,105%*Q177)+X177+Z177,IF('Pre-Calculation'!$D$17="Type 5",0))))))))))))</f>
        <v>1492591.009</v>
      </c>
      <c r="Q177" s="175">
        <f t="shared" si="5"/>
        <v>1000000</v>
      </c>
      <c r="R177" s="119">
        <f>L177*(1+GROWTH_RATE)*FMC</f>
        <v>1685.774833</v>
      </c>
      <c r="S177" s="178">
        <f>S176*(1+'Pre-Calculation'!$E$27)</f>
        <v>1061239.341</v>
      </c>
      <c r="T177" s="175">
        <f>-E177+IF(A176=INPUT!$C$11*12,N177,0)</f>
        <v>0</v>
      </c>
      <c r="U177" s="175">
        <f t="shared" si="6"/>
        <v>1485383.248</v>
      </c>
      <c r="V177" s="175">
        <f>U177*(1+GROWTH_RATE_L)*(1-'Pre-Calculation'!$E$31)</f>
        <v>1487764.263</v>
      </c>
      <c r="W177" s="175">
        <f>-E177+IF(A176=INPUT!$C$11*12,V177,0)</f>
        <v>0</v>
      </c>
      <c r="X177" s="179">
        <f t="array" ref="X177">NPV('Pre-Calculation'!$E$20,$E178:E$246)</f>
        <v>0</v>
      </c>
      <c r="Y177" s="171">
        <f>10%*SA</f>
        <v>100000</v>
      </c>
      <c r="Z177" s="179">
        <f t="array" ref="Z177">NPV('Pre-Calculation'!$E$20,Y178:Y187)</f>
        <v>969592.8037</v>
      </c>
    </row>
    <row r="178" ht="15.75" customHeight="1">
      <c r="A178" s="171">
        <f t="shared" si="1"/>
        <v>232</v>
      </c>
      <c r="B178" s="171">
        <f t="shared" si="2"/>
        <v>20</v>
      </c>
      <c r="C178" s="176">
        <f>EDATE(RCD,A177)</f>
        <v>49582</v>
      </c>
      <c r="D178" s="171">
        <f>Age_At_Entry+'Cashflows_4%'!B178-1</f>
        <v>54</v>
      </c>
      <c r="E178" s="175">
        <f>IF(AND(C178&lt;=Last_Prem,MOD(A177,Mode)=0,C178&gt;INPUT!$C$13,A178&lt;=Revival!$C$11),Mod_Prem,0)</f>
        <v>0</v>
      </c>
      <c r="F178" s="177">
        <f>IF(B178&lt;PT+1,E178*VLOOKUP(B178,'Pre-Calculation'!$H$1:$I$31,2,FALSE),0)</f>
        <v>0</v>
      </c>
      <c r="G178" s="177">
        <f>IF(B178&lt;PT+1,VLOOKUP(B178,'Pre-Calculation'!$H$1:$L$32,3,FALSE)+VLOOKUP(B178,'Pre-Calculation'!$H$1:$L$32,4,FALSE)*'Pre-Calculation'!$D$7,0)</f>
        <v>0</v>
      </c>
      <c r="H178" s="175">
        <f>(E178-(F178+G178)*(1+Tax)+N177)</f>
        <v>1492591.009</v>
      </c>
      <c r="I178" s="175">
        <f>IF(B178&lt;PT+1,VLOOKUP(D178,'Pre-Calculation'!$N$3:$P$79,IF(INPUT!$C$4="M",2,3),FALSE)*(J178/1000)*(1/12),0)</f>
        <v>0</v>
      </c>
      <c r="J178" s="175">
        <f t="shared" si="3"/>
        <v>0</v>
      </c>
      <c r="K178" s="175">
        <f>(IF('Pre-Calculation'!$D$17="Type 4 a",MAX(SA,H178,1.05*Q178),IF('Pre-Calculation'!$D$17="Type 4 c",H178,IF('Pre-Calculation'!$D$17="Type 4 d",SA+H178,IF('Pre-Calculation'!$D$17="Type 4 e",MAX(SA,H178),IF('Pre-Calculation'!$D$17="Type 4 f",SA,IF('Pre-Calculation'!$D$17="Type 4 g",1000+H178,IF('Pre-Calculation'!$D$17="Type 4 h",SA+X178,IF('Pre-Calculation'!$D$17="Type 4 i",MAX(H178,Q178),IF('Pre-Calculation'!$D$17="Type 4 k",MAX(H178,1.01*Q178),IF('Pre-Calculation'!$D$17="Type 4 m",MAX(105%*Q178,SA+H178),IF('Pre-Calculation'!$D$17="Type 4 o",MAX(SA,105%*Q178)+X178+Z178,IF('Pre-Calculation'!$D$17="Type 5",0)))))))))))))*IF(AND(A178&lt;Revival!$C$4,C178&gt;=Revival!$D$12),PUP,1)</f>
        <v>1492591.009</v>
      </c>
      <c r="L178" s="175">
        <f>H178-I178*(1+Tax)</f>
        <v>1492591.009</v>
      </c>
      <c r="M178" s="175">
        <f>L178*(1+GROWTH_RATE_L)*(1-FMC*(1+Tax))</f>
        <v>1495490.543</v>
      </c>
      <c r="N178" s="175">
        <f>M178+IF(MOD(A178,B178)=0,VLOOKUP(B178,'Pre-Calculation'!$H$1:$L$31,5,FALSE),0)*IF('Pre-Calculation'!$D$16="% OF FV",M178,IF(OR('Pre-Calculation'!$D$16="% OF AFV(24M)",'Pre-Calculation'!$D$16="% OF AFV(8Q)"),AVERAGE( $M155:$M178),IF('Pre-Calculation'!$D$16="% OF AFV(12M)",AVERAGE($M167:M178),IF('Pre-Calculation'!$D$16="% OF AFV(36M)",AVERAGE($M143:M178)))))</f>
        <v>1495490.543</v>
      </c>
      <c r="O178" s="175">
        <f t="shared" si="4"/>
        <v>1495490.543</v>
      </c>
      <c r="P178" s="175">
        <f>IF('Pre-Calculation'!$D$17="Type 4 a",MAX(SA,N178,1.05*Q178),IF('Pre-Calculation'!$D$17="Type 4 c",N178,IF('Pre-Calculation'!$D$17="Type 4 d",SA+N178,IF('Pre-Calculation'!$D$17="Type 4 e",MAX(SA,N178),IF('Pre-Calculation'!$D$17="Type 4 f",SA,IF('Pre-Calculation'!$D$17="Type 4 g",1000+N178,IF('Pre-Calculation'!$D$17="Type 4 h",SA+X178,IF('Pre-Calculation'!$D$17="Type 4 i",MAX(N178,Q178),IF('Pre-Calculation'!$D$17="Type 4 k",MAX(N178,1.01*Q178),IF('Pre-Calculation'!$D$17="Type 4 m",MAX(105%*Q178,SA+N178),IF('Pre-Calculation'!$D$17="Type 4 o",MAX(SA,105%*Q178)+X178+Z178,IF('Pre-Calculation'!$D$17="Type 5",0))))))))))))</f>
        <v>1495490.543</v>
      </c>
      <c r="Q178" s="175">
        <f t="shared" si="5"/>
        <v>1000000</v>
      </c>
      <c r="R178" s="119">
        <f>L178*(1+GROWTH_RATE)*FMC</f>
        <v>1689.04965</v>
      </c>
      <c r="S178" s="178">
        <f>S177*(1+'Pre-Calculation'!$E$27)</f>
        <v>1064286.052</v>
      </c>
      <c r="T178" s="175">
        <f>-E178+IF(A177=INPUT!$C$11*12,N178,0)</f>
        <v>0</v>
      </c>
      <c r="U178" s="175">
        <f t="shared" si="6"/>
        <v>1487764.263</v>
      </c>
      <c r="V178" s="175">
        <f>U178*(1+GROWTH_RATE_L)*(1-'Pre-Calculation'!$E$31)</f>
        <v>1490149.096</v>
      </c>
      <c r="W178" s="175">
        <f>-E178+IF(A177=INPUT!$C$11*12,V178,0)</f>
        <v>0</v>
      </c>
      <c r="X178" s="179">
        <f t="array" ref="X178">NPV('Pre-Calculation'!$E$20,$E179:E$246)</f>
        <v>0</v>
      </c>
      <c r="Y178" s="171">
        <f>10%*SA</f>
        <v>100000</v>
      </c>
      <c r="Z178" s="179">
        <f t="array" ref="Z178">NPV('Pre-Calculation'!$E$20,Y179:Y188)</f>
        <v>969592.8037</v>
      </c>
    </row>
    <row r="179" ht="15.75" customHeight="1">
      <c r="A179" s="171">
        <f t="shared" si="1"/>
        <v>233</v>
      </c>
      <c r="B179" s="171">
        <f t="shared" si="2"/>
        <v>20</v>
      </c>
      <c r="C179" s="176">
        <f>EDATE(RCD,A178)</f>
        <v>49612</v>
      </c>
      <c r="D179" s="171">
        <f>Age_At_Entry+'Cashflows_4%'!B179-1</f>
        <v>54</v>
      </c>
      <c r="E179" s="175">
        <f>IF(AND(C179&lt;=Last_Prem,MOD(A178,Mode)=0,C179&gt;INPUT!$C$13,A179&lt;=Revival!$C$11),Mod_Prem,0)</f>
        <v>0</v>
      </c>
      <c r="F179" s="177">
        <f>IF(B179&lt;PT+1,E179*VLOOKUP(B179,'Pre-Calculation'!$H$1:$I$31,2,FALSE),0)</f>
        <v>0</v>
      </c>
      <c r="G179" s="177">
        <f>IF(B179&lt;PT+1,VLOOKUP(B179,'Pre-Calculation'!$H$1:$L$32,3,FALSE)+VLOOKUP(B179,'Pre-Calculation'!$H$1:$L$32,4,FALSE)*'Pre-Calculation'!$D$7,0)</f>
        <v>0</v>
      </c>
      <c r="H179" s="175">
        <f>(E179-(F179+G179)*(1+Tax)+N178)</f>
        <v>1495490.543</v>
      </c>
      <c r="I179" s="175">
        <f>IF(B179&lt;PT+1,VLOOKUP(D179,'Pre-Calculation'!$N$3:$P$79,IF(INPUT!$C$4="M",2,3),FALSE)*(J179/1000)*(1/12),0)</f>
        <v>0</v>
      </c>
      <c r="J179" s="175">
        <f t="shared" si="3"/>
        <v>0</v>
      </c>
      <c r="K179" s="175">
        <f>(IF('Pre-Calculation'!$D$17="Type 4 a",MAX(SA,H179,1.05*Q179),IF('Pre-Calculation'!$D$17="Type 4 c",H179,IF('Pre-Calculation'!$D$17="Type 4 d",SA+H179,IF('Pre-Calculation'!$D$17="Type 4 e",MAX(SA,H179),IF('Pre-Calculation'!$D$17="Type 4 f",SA,IF('Pre-Calculation'!$D$17="Type 4 g",1000+H179,IF('Pre-Calculation'!$D$17="Type 4 h",SA+X179,IF('Pre-Calculation'!$D$17="Type 4 i",MAX(H179,Q179),IF('Pre-Calculation'!$D$17="Type 4 k",MAX(H179,1.01*Q179),IF('Pre-Calculation'!$D$17="Type 4 m",MAX(105%*Q179,SA+H179),IF('Pre-Calculation'!$D$17="Type 4 o",MAX(SA,105%*Q179)+X179+Z179,IF('Pre-Calculation'!$D$17="Type 5",0)))))))))))))*IF(AND(A179&lt;Revival!$C$4,C179&gt;=Revival!$D$12),PUP,1)</f>
        <v>1495490.543</v>
      </c>
      <c r="L179" s="175">
        <f>H179-I179*(1+Tax)</f>
        <v>1495490.543</v>
      </c>
      <c r="M179" s="175">
        <f>L179*(1+GROWTH_RATE_L)*(1-FMC*(1+Tax))</f>
        <v>1498395.71</v>
      </c>
      <c r="N179" s="175">
        <f>M179+IF(MOD(A179,B179)=0,VLOOKUP(B179,'Pre-Calculation'!$H$1:$L$31,5,FALSE),0)*IF('Pre-Calculation'!$D$16="% OF FV",M179,IF(OR('Pre-Calculation'!$D$16="% OF AFV(24M)",'Pre-Calculation'!$D$16="% OF AFV(8Q)"),AVERAGE( $M156:$M179),IF('Pre-Calculation'!$D$16="% OF AFV(12M)",AVERAGE($M168:M179),IF('Pre-Calculation'!$D$16="% OF AFV(36M)",AVERAGE($M144:M179)))))</f>
        <v>1498395.71</v>
      </c>
      <c r="O179" s="175">
        <f t="shared" si="4"/>
        <v>1498395.71</v>
      </c>
      <c r="P179" s="175">
        <f>IF('Pre-Calculation'!$D$17="Type 4 a",MAX(SA,N179,1.05*Q179),IF('Pre-Calculation'!$D$17="Type 4 c",N179,IF('Pre-Calculation'!$D$17="Type 4 d",SA+N179,IF('Pre-Calculation'!$D$17="Type 4 e",MAX(SA,N179),IF('Pre-Calculation'!$D$17="Type 4 f",SA,IF('Pre-Calculation'!$D$17="Type 4 g",1000+N179,IF('Pre-Calculation'!$D$17="Type 4 h",SA+X179,IF('Pre-Calculation'!$D$17="Type 4 i",MAX(N179,Q179),IF('Pre-Calculation'!$D$17="Type 4 k",MAX(N179,1.01*Q179),IF('Pre-Calculation'!$D$17="Type 4 m",MAX(105%*Q179,SA+N179),IF('Pre-Calculation'!$D$17="Type 4 o",MAX(SA,105%*Q179)+X179+Z179,IF('Pre-Calculation'!$D$17="Type 5",0))))))))))))</f>
        <v>1498395.71</v>
      </c>
      <c r="Q179" s="175">
        <f t="shared" si="5"/>
        <v>1000000</v>
      </c>
      <c r="R179" s="119">
        <f>L179*(1+GROWTH_RATE)*FMC</f>
        <v>1692.330828</v>
      </c>
      <c r="S179" s="178">
        <f>S178*(1+'Pre-Calculation'!$E$27)</f>
        <v>1067341.509</v>
      </c>
      <c r="T179" s="175">
        <f>-E179+IF(A178=INPUT!$C$11*12,N179,0)</f>
        <v>0</v>
      </c>
      <c r="U179" s="175">
        <f t="shared" si="6"/>
        <v>1490149.096</v>
      </c>
      <c r="V179" s="175">
        <f>U179*(1+GROWTH_RATE_L)*(1-'Pre-Calculation'!$E$31)</f>
        <v>1492537.751</v>
      </c>
      <c r="W179" s="175">
        <f>-E179+IF(A178=INPUT!$C$11*12,V179,0)</f>
        <v>0</v>
      </c>
      <c r="X179" s="179">
        <f t="array" ref="X179">NPV('Pre-Calculation'!$E$20,$E180:E$246)</f>
        <v>0</v>
      </c>
      <c r="Y179" s="171">
        <f>10%*SA</f>
        <v>100000</v>
      </c>
      <c r="Z179" s="179">
        <f t="array" ref="Z179">NPV('Pre-Calculation'!$E$20,Y180:Y189)</f>
        <v>969592.8037</v>
      </c>
    </row>
    <row r="180" ht="15.75" customHeight="1">
      <c r="A180" s="171">
        <f t="shared" si="1"/>
        <v>234</v>
      </c>
      <c r="B180" s="171">
        <f t="shared" si="2"/>
        <v>20</v>
      </c>
      <c r="C180" s="176">
        <f>EDATE(RCD,A179)</f>
        <v>49643</v>
      </c>
      <c r="D180" s="171">
        <f>Age_At_Entry+'Cashflows_4%'!B180-1</f>
        <v>54</v>
      </c>
      <c r="E180" s="175">
        <f>IF(AND(C180&lt;=Last_Prem,MOD(A179,Mode)=0,C180&gt;INPUT!$C$13,A180&lt;=Revival!$C$11),Mod_Prem,0)</f>
        <v>0</v>
      </c>
      <c r="F180" s="177">
        <f>IF(B180&lt;PT+1,E180*VLOOKUP(B180,'Pre-Calculation'!$H$1:$I$31,2,FALSE),0)</f>
        <v>0</v>
      </c>
      <c r="G180" s="177">
        <f>IF(B180&lt;PT+1,VLOOKUP(B180,'Pre-Calculation'!$H$1:$L$32,3,FALSE)+VLOOKUP(B180,'Pre-Calculation'!$H$1:$L$32,4,FALSE)*'Pre-Calculation'!$D$7,0)</f>
        <v>0</v>
      </c>
      <c r="H180" s="175">
        <f>(E180-(F180+G180)*(1+Tax)+N179)</f>
        <v>1498395.71</v>
      </c>
      <c r="I180" s="175">
        <f>IF(B180&lt;PT+1,VLOOKUP(D180,'Pre-Calculation'!$N$3:$P$79,IF(INPUT!$C$4="M",2,3),FALSE)*(J180/1000)*(1/12),0)</f>
        <v>0</v>
      </c>
      <c r="J180" s="175">
        <f t="shared" si="3"/>
        <v>0</v>
      </c>
      <c r="K180" s="175">
        <f>(IF('Pre-Calculation'!$D$17="Type 4 a",MAX(SA,H180,1.05*Q180),IF('Pre-Calculation'!$D$17="Type 4 c",H180,IF('Pre-Calculation'!$D$17="Type 4 d",SA+H180,IF('Pre-Calculation'!$D$17="Type 4 e",MAX(SA,H180),IF('Pre-Calculation'!$D$17="Type 4 f",SA,IF('Pre-Calculation'!$D$17="Type 4 g",1000+H180,IF('Pre-Calculation'!$D$17="Type 4 h",SA+X180,IF('Pre-Calculation'!$D$17="Type 4 i",MAX(H180,Q180),IF('Pre-Calculation'!$D$17="Type 4 k",MAX(H180,1.01*Q180),IF('Pre-Calculation'!$D$17="Type 4 m",MAX(105%*Q180,SA+H180),IF('Pre-Calculation'!$D$17="Type 4 o",MAX(SA,105%*Q180)+X180+Z180,IF('Pre-Calculation'!$D$17="Type 5",0)))))))))))))*IF(AND(A180&lt;Revival!$C$4,C180&gt;=Revival!$D$12),PUP,1)</f>
        <v>1498395.71</v>
      </c>
      <c r="L180" s="175">
        <f>H180-I180*(1+Tax)</f>
        <v>1498395.71</v>
      </c>
      <c r="M180" s="175">
        <f>L180*(1+GROWTH_RATE_L)*(1-FMC*(1+Tax))</f>
        <v>1501306.521</v>
      </c>
      <c r="N180" s="175">
        <f>M180+IF(MOD(A180,B180)=0,VLOOKUP(B180,'Pre-Calculation'!$H$1:$L$31,5,FALSE),0)*IF('Pre-Calculation'!$D$16="% OF FV",M180,IF(OR('Pre-Calculation'!$D$16="% OF AFV(24M)",'Pre-Calculation'!$D$16="% OF AFV(8Q)"),AVERAGE( $M157:$M180),IF('Pre-Calculation'!$D$16="% OF AFV(12M)",AVERAGE($M169:M180),IF('Pre-Calculation'!$D$16="% OF AFV(36M)",AVERAGE($M145:M180)))))</f>
        <v>1501306.521</v>
      </c>
      <c r="O180" s="175">
        <f t="shared" si="4"/>
        <v>1501306.521</v>
      </c>
      <c r="P180" s="175">
        <f>IF('Pre-Calculation'!$D$17="Type 4 a",MAX(SA,N180,1.05*Q180),IF('Pre-Calculation'!$D$17="Type 4 c",N180,IF('Pre-Calculation'!$D$17="Type 4 d",SA+N180,IF('Pre-Calculation'!$D$17="Type 4 e",MAX(SA,N180),IF('Pre-Calculation'!$D$17="Type 4 f",SA,IF('Pre-Calculation'!$D$17="Type 4 g",1000+N180,IF('Pre-Calculation'!$D$17="Type 4 h",SA+X180,IF('Pre-Calculation'!$D$17="Type 4 i",MAX(N180,Q180),IF('Pre-Calculation'!$D$17="Type 4 k",MAX(N180,1.01*Q180),IF('Pre-Calculation'!$D$17="Type 4 m",MAX(105%*Q180,SA+N180),IF('Pre-Calculation'!$D$17="Type 4 o",MAX(SA,105%*Q180)+X180+Z180,IF('Pre-Calculation'!$D$17="Type 5",0))))))))))))</f>
        <v>1501306.521</v>
      </c>
      <c r="Q180" s="175">
        <f t="shared" si="5"/>
        <v>1000000</v>
      </c>
      <c r="R180" s="119">
        <f>L180*(1+GROWTH_RATE)*FMC</f>
        <v>1695.618381</v>
      </c>
      <c r="S180" s="178">
        <f>S179*(1+'Pre-Calculation'!$E$27)</f>
        <v>1070405.738</v>
      </c>
      <c r="T180" s="175">
        <f>-E180+IF(A179=INPUT!$C$11*12,N180,0)</f>
        <v>0</v>
      </c>
      <c r="U180" s="175">
        <f t="shared" si="6"/>
        <v>1492537.751</v>
      </c>
      <c r="V180" s="175">
        <f>U180*(1+GROWTH_RATE_L)*(1-'Pre-Calculation'!$E$31)</f>
        <v>1494930.235</v>
      </c>
      <c r="W180" s="175">
        <f>-E180+IF(A179=INPUT!$C$11*12,V180,0)</f>
        <v>0</v>
      </c>
      <c r="X180" s="179">
        <f t="array" ref="X180">NPV('Pre-Calculation'!$E$20,$E181:E$246)</f>
        <v>0</v>
      </c>
      <c r="Y180" s="171">
        <f>10%*SA</f>
        <v>100000</v>
      </c>
      <c r="Z180" s="179">
        <f t="array" ref="Z180">NPV('Pre-Calculation'!$E$20,Y181:Y190)</f>
        <v>969592.8037</v>
      </c>
    </row>
    <row r="181" ht="15.75" customHeight="1">
      <c r="A181" s="171">
        <f t="shared" si="1"/>
        <v>235</v>
      </c>
      <c r="B181" s="171">
        <f t="shared" si="2"/>
        <v>20</v>
      </c>
      <c r="C181" s="176">
        <f>EDATE(RCD,A180)</f>
        <v>49673</v>
      </c>
      <c r="D181" s="171">
        <f>Age_At_Entry+'Cashflows_4%'!B181-1</f>
        <v>54</v>
      </c>
      <c r="E181" s="175">
        <f>IF(AND(C181&lt;=Last_Prem,MOD(A180,Mode)=0,C181&gt;INPUT!$C$13,A181&lt;=Revival!$C$11),Mod_Prem,0)</f>
        <v>0</v>
      </c>
      <c r="F181" s="177">
        <f>IF(B181&lt;PT+1,E181*VLOOKUP(B181,'Pre-Calculation'!$H$1:$I$31,2,FALSE),0)</f>
        <v>0</v>
      </c>
      <c r="G181" s="177">
        <f>IF(B181&lt;PT+1,VLOOKUP(B181,'Pre-Calculation'!$H$1:$L$32,3,FALSE)+VLOOKUP(B181,'Pre-Calculation'!$H$1:$L$32,4,FALSE)*'Pre-Calculation'!$D$7,0)</f>
        <v>0</v>
      </c>
      <c r="H181" s="175">
        <f>(E181-(F181+G181)*(1+Tax)+N180)</f>
        <v>1501306.521</v>
      </c>
      <c r="I181" s="175">
        <f>IF(B181&lt;PT+1,VLOOKUP(D181,'Pre-Calculation'!$N$3:$P$79,IF(INPUT!$C$4="M",2,3),FALSE)*(J181/1000)*(1/12),0)</f>
        <v>0</v>
      </c>
      <c r="J181" s="175">
        <f t="shared" si="3"/>
        <v>0</v>
      </c>
      <c r="K181" s="175">
        <f>(IF('Pre-Calculation'!$D$17="Type 4 a",MAX(SA,H181,1.05*Q181),IF('Pre-Calculation'!$D$17="Type 4 c",H181,IF('Pre-Calculation'!$D$17="Type 4 d",SA+H181,IF('Pre-Calculation'!$D$17="Type 4 e",MAX(SA,H181),IF('Pre-Calculation'!$D$17="Type 4 f",SA,IF('Pre-Calculation'!$D$17="Type 4 g",1000+H181,IF('Pre-Calculation'!$D$17="Type 4 h",SA+X181,IF('Pre-Calculation'!$D$17="Type 4 i",MAX(H181,Q181),IF('Pre-Calculation'!$D$17="Type 4 k",MAX(H181,1.01*Q181),IF('Pre-Calculation'!$D$17="Type 4 m",MAX(105%*Q181,SA+H181),IF('Pre-Calculation'!$D$17="Type 4 o",MAX(SA,105%*Q181)+X181+Z181,IF('Pre-Calculation'!$D$17="Type 5",0)))))))))))))*IF(AND(A181&lt;Revival!$C$4,C181&gt;=Revival!$D$12),PUP,1)</f>
        <v>1501306.521</v>
      </c>
      <c r="L181" s="175">
        <f>H181-I181*(1+Tax)</f>
        <v>1501306.521</v>
      </c>
      <c r="M181" s="175">
        <f>L181*(1+GROWTH_RATE_L)*(1-FMC*(1+Tax))</f>
        <v>1504222.986</v>
      </c>
      <c r="N181" s="175">
        <f>M181+IF(MOD(A181,B181)=0,VLOOKUP(B181,'Pre-Calculation'!$H$1:$L$31,5,FALSE),0)*IF('Pre-Calculation'!$D$16="% OF FV",M181,IF(OR('Pre-Calculation'!$D$16="% OF AFV(24M)",'Pre-Calculation'!$D$16="% OF AFV(8Q)"),AVERAGE( $M158:$M181),IF('Pre-Calculation'!$D$16="% OF AFV(12M)",AVERAGE($M170:M181),IF('Pre-Calculation'!$D$16="% OF AFV(36M)",AVERAGE($M146:M181)))))</f>
        <v>1504222.986</v>
      </c>
      <c r="O181" s="175">
        <f t="shared" si="4"/>
        <v>1504222.986</v>
      </c>
      <c r="P181" s="175">
        <f>IF('Pre-Calculation'!$D$17="Type 4 a",MAX(SA,N181,1.05*Q181),IF('Pre-Calculation'!$D$17="Type 4 c",N181,IF('Pre-Calculation'!$D$17="Type 4 d",SA+N181,IF('Pre-Calculation'!$D$17="Type 4 e",MAX(SA,N181),IF('Pre-Calculation'!$D$17="Type 4 f",SA,IF('Pre-Calculation'!$D$17="Type 4 g",1000+N181,IF('Pre-Calculation'!$D$17="Type 4 h",SA+X181,IF('Pre-Calculation'!$D$17="Type 4 i",MAX(N181,Q181),IF('Pre-Calculation'!$D$17="Type 4 k",MAX(N181,1.01*Q181),IF('Pre-Calculation'!$D$17="Type 4 m",MAX(105%*Q181,SA+N181),IF('Pre-Calculation'!$D$17="Type 4 o",MAX(SA,105%*Q181)+X181+Z181,IF('Pre-Calculation'!$D$17="Type 5",0))))))))))))</f>
        <v>1504222.986</v>
      </c>
      <c r="Q181" s="175">
        <f t="shared" si="5"/>
        <v>1000000</v>
      </c>
      <c r="R181" s="119">
        <f>L181*(1+GROWTH_RATE)*FMC</f>
        <v>1698.91232</v>
      </c>
      <c r="S181" s="178">
        <f>S180*(1+'Pre-Calculation'!$E$27)</f>
        <v>1073478.765</v>
      </c>
      <c r="T181" s="175">
        <f>-E181+IF(A180=INPUT!$C$11*12,N181,0)</f>
        <v>0</v>
      </c>
      <c r="U181" s="175">
        <f t="shared" si="6"/>
        <v>1494930.235</v>
      </c>
      <c r="V181" s="175">
        <f>U181*(1+GROWTH_RATE_L)*(1-'Pre-Calculation'!$E$31)</f>
        <v>1497326.554</v>
      </c>
      <c r="W181" s="175">
        <f>-E181+IF(A180=INPUT!$C$11*12,V181,0)</f>
        <v>0</v>
      </c>
      <c r="X181" s="179">
        <f t="array" ref="X181">NPV('Pre-Calculation'!$E$20,$E182:E$246)</f>
        <v>0</v>
      </c>
      <c r="Y181" s="171">
        <f>10%*SA</f>
        <v>100000</v>
      </c>
      <c r="Z181" s="179">
        <f t="array" ref="Z181">NPV('Pre-Calculation'!$E$20,Y182:Y191)</f>
        <v>969592.8037</v>
      </c>
    </row>
    <row r="182" ht="15.75" customHeight="1">
      <c r="A182" s="171">
        <f t="shared" si="1"/>
        <v>236</v>
      </c>
      <c r="B182" s="171">
        <f t="shared" si="2"/>
        <v>20</v>
      </c>
      <c r="C182" s="176">
        <f>EDATE(RCD,A181)</f>
        <v>49704</v>
      </c>
      <c r="D182" s="171">
        <f>Age_At_Entry+'Cashflows_4%'!B182-1</f>
        <v>54</v>
      </c>
      <c r="E182" s="175">
        <f>IF(AND(C182&lt;=Last_Prem,MOD(A181,Mode)=0,C182&gt;INPUT!$C$13,A182&lt;=Revival!$C$11),Mod_Prem,0)</f>
        <v>0</v>
      </c>
      <c r="F182" s="177">
        <f>IF(B182&lt;PT+1,E182*VLOOKUP(B182,'Pre-Calculation'!$H$1:$I$31,2,FALSE),0)</f>
        <v>0</v>
      </c>
      <c r="G182" s="177">
        <f>IF(B182&lt;PT+1,VLOOKUP(B182,'Pre-Calculation'!$H$1:$L$32,3,FALSE)+VLOOKUP(B182,'Pre-Calculation'!$H$1:$L$32,4,FALSE)*'Pre-Calculation'!$D$7,0)</f>
        <v>0</v>
      </c>
      <c r="H182" s="175">
        <f>(E182-(F182+G182)*(1+Tax)+N181)</f>
        <v>1504222.986</v>
      </c>
      <c r="I182" s="175">
        <f>IF(B182&lt;PT+1,VLOOKUP(D182,'Pre-Calculation'!$N$3:$P$79,IF(INPUT!$C$4="M",2,3),FALSE)*(J182/1000)*(1/12),0)</f>
        <v>0</v>
      </c>
      <c r="J182" s="175">
        <f t="shared" si="3"/>
        <v>0</v>
      </c>
      <c r="K182" s="175">
        <f>(IF('Pre-Calculation'!$D$17="Type 4 a",MAX(SA,H182,1.05*Q182),IF('Pre-Calculation'!$D$17="Type 4 c",H182,IF('Pre-Calculation'!$D$17="Type 4 d",SA+H182,IF('Pre-Calculation'!$D$17="Type 4 e",MAX(SA,H182),IF('Pre-Calculation'!$D$17="Type 4 f",SA,IF('Pre-Calculation'!$D$17="Type 4 g",1000+H182,IF('Pre-Calculation'!$D$17="Type 4 h",SA+X182,IF('Pre-Calculation'!$D$17="Type 4 i",MAX(H182,Q182),IF('Pre-Calculation'!$D$17="Type 4 k",MAX(H182,1.01*Q182),IF('Pre-Calculation'!$D$17="Type 4 m",MAX(105%*Q182,SA+H182),IF('Pre-Calculation'!$D$17="Type 4 o",MAX(SA,105%*Q182)+X182+Z182,IF('Pre-Calculation'!$D$17="Type 5",0)))))))))))))*IF(AND(A182&lt;Revival!$C$4,C182&gt;=Revival!$D$12),PUP,1)</f>
        <v>1504222.986</v>
      </c>
      <c r="L182" s="175">
        <f>H182-I182*(1+Tax)</f>
        <v>1504222.986</v>
      </c>
      <c r="M182" s="175">
        <f>L182*(1+GROWTH_RATE_L)*(1-FMC*(1+Tax))</f>
        <v>1507145.117</v>
      </c>
      <c r="N182" s="175">
        <f>M182+IF(MOD(A182,B182)=0,VLOOKUP(B182,'Pre-Calculation'!$H$1:$L$31,5,FALSE),0)*IF('Pre-Calculation'!$D$16="% OF FV",M182,IF(OR('Pre-Calculation'!$D$16="% OF AFV(24M)",'Pre-Calculation'!$D$16="% OF AFV(8Q)"),AVERAGE( $M159:$M182),IF('Pre-Calculation'!$D$16="% OF AFV(12M)",AVERAGE($M171:M182),IF('Pre-Calculation'!$D$16="% OF AFV(36M)",AVERAGE($M147:M182)))))</f>
        <v>1507145.117</v>
      </c>
      <c r="O182" s="175">
        <f t="shared" si="4"/>
        <v>1507145.117</v>
      </c>
      <c r="P182" s="175">
        <f>IF('Pre-Calculation'!$D$17="Type 4 a",MAX(SA,N182,1.05*Q182),IF('Pre-Calculation'!$D$17="Type 4 c",N182,IF('Pre-Calculation'!$D$17="Type 4 d",SA+N182,IF('Pre-Calculation'!$D$17="Type 4 e",MAX(SA,N182),IF('Pre-Calculation'!$D$17="Type 4 f",SA,IF('Pre-Calculation'!$D$17="Type 4 g",1000+N182,IF('Pre-Calculation'!$D$17="Type 4 h",SA+X182,IF('Pre-Calculation'!$D$17="Type 4 i",MAX(N182,Q182),IF('Pre-Calculation'!$D$17="Type 4 k",MAX(N182,1.01*Q182),IF('Pre-Calculation'!$D$17="Type 4 m",MAX(105%*Q182,SA+N182),IF('Pre-Calculation'!$D$17="Type 4 o",MAX(SA,105%*Q182)+X182+Z182,IF('Pre-Calculation'!$D$17="Type 5",0))))))))))))</f>
        <v>1507145.117</v>
      </c>
      <c r="Q182" s="175">
        <f t="shared" si="5"/>
        <v>1000000</v>
      </c>
      <c r="R182" s="119">
        <f>L182*(1+GROWTH_RATE)*FMC</f>
        <v>1702.212658</v>
      </c>
      <c r="S182" s="178">
        <f>S181*(1+'Pre-Calculation'!$E$27)</f>
        <v>1076560.614</v>
      </c>
      <c r="T182" s="175">
        <f>-E182+IF(A181=INPUT!$C$11*12,N182,0)</f>
        <v>0</v>
      </c>
      <c r="U182" s="175">
        <f t="shared" si="6"/>
        <v>1497326.554</v>
      </c>
      <c r="V182" s="175">
        <f>U182*(1+GROWTH_RATE_L)*(1-'Pre-Calculation'!$E$31)</f>
        <v>1499726.714</v>
      </c>
      <c r="W182" s="175">
        <f>-E182+IF(A181=INPUT!$C$11*12,V182,0)</f>
        <v>0</v>
      </c>
      <c r="X182" s="179">
        <f t="array" ref="X182">NPV('Pre-Calculation'!$E$20,$E183:E$246)</f>
        <v>0</v>
      </c>
      <c r="Y182" s="171">
        <f>10%*SA</f>
        <v>100000</v>
      </c>
      <c r="Z182" s="179">
        <f t="array" ref="Z182">NPV('Pre-Calculation'!$E$20,Y183:Y192)</f>
        <v>969592.8037</v>
      </c>
    </row>
    <row r="183" ht="15.75" customHeight="1">
      <c r="A183" s="171">
        <f t="shared" si="1"/>
        <v>237</v>
      </c>
      <c r="B183" s="171">
        <f t="shared" si="2"/>
        <v>20</v>
      </c>
      <c r="C183" s="176">
        <f>EDATE(RCD,A182)</f>
        <v>49734</v>
      </c>
      <c r="D183" s="171">
        <f>Age_At_Entry+'Cashflows_4%'!B183-1</f>
        <v>54</v>
      </c>
      <c r="E183" s="175">
        <f>IF(AND(C183&lt;=Last_Prem,MOD(A182,Mode)=0,C183&gt;INPUT!$C$13,A183&lt;=Revival!$C$11),Mod_Prem,0)</f>
        <v>0</v>
      </c>
      <c r="F183" s="177">
        <f>IF(B183&lt;PT+1,E183*VLOOKUP(B183,'Pre-Calculation'!$H$1:$I$31,2,FALSE),0)</f>
        <v>0</v>
      </c>
      <c r="G183" s="177">
        <f>IF(B183&lt;PT+1,VLOOKUP(B183,'Pre-Calculation'!$H$1:$L$32,3,FALSE)+VLOOKUP(B183,'Pre-Calculation'!$H$1:$L$32,4,FALSE)*'Pre-Calculation'!$D$7,0)</f>
        <v>0</v>
      </c>
      <c r="H183" s="175">
        <f>(E183-(F183+G183)*(1+Tax)+N182)</f>
        <v>1507145.117</v>
      </c>
      <c r="I183" s="175">
        <f>IF(B183&lt;PT+1,VLOOKUP(D183,'Pre-Calculation'!$N$3:$P$79,IF(INPUT!$C$4="M",2,3),FALSE)*(J183/1000)*(1/12),0)</f>
        <v>0</v>
      </c>
      <c r="J183" s="175">
        <f t="shared" si="3"/>
        <v>0</v>
      </c>
      <c r="K183" s="175">
        <f>(IF('Pre-Calculation'!$D$17="Type 4 a",MAX(SA,H183,1.05*Q183),IF('Pre-Calculation'!$D$17="Type 4 c",H183,IF('Pre-Calculation'!$D$17="Type 4 d",SA+H183,IF('Pre-Calculation'!$D$17="Type 4 e",MAX(SA,H183),IF('Pre-Calculation'!$D$17="Type 4 f",SA,IF('Pre-Calculation'!$D$17="Type 4 g",1000+H183,IF('Pre-Calculation'!$D$17="Type 4 h",SA+X183,IF('Pre-Calculation'!$D$17="Type 4 i",MAX(H183,Q183),IF('Pre-Calculation'!$D$17="Type 4 k",MAX(H183,1.01*Q183),IF('Pre-Calculation'!$D$17="Type 4 m",MAX(105%*Q183,SA+H183),IF('Pre-Calculation'!$D$17="Type 4 o",MAX(SA,105%*Q183)+X183+Z183,IF('Pre-Calculation'!$D$17="Type 5",0)))))))))))))*IF(AND(A183&lt;Revival!$C$4,C183&gt;=Revival!$D$12),PUP,1)</f>
        <v>1507145.117</v>
      </c>
      <c r="L183" s="175">
        <f>H183-I183*(1+Tax)</f>
        <v>1507145.117</v>
      </c>
      <c r="M183" s="175">
        <f>L183*(1+GROWTH_RATE_L)*(1-FMC*(1+Tax))</f>
        <v>1510072.925</v>
      </c>
      <c r="N183" s="175">
        <f>M183+IF(MOD(A183,B183)=0,VLOOKUP(B183,'Pre-Calculation'!$H$1:$L$31,5,FALSE),0)*IF('Pre-Calculation'!$D$16="% OF FV",M183,IF(OR('Pre-Calculation'!$D$16="% OF AFV(24M)",'Pre-Calculation'!$D$16="% OF AFV(8Q)"),AVERAGE( $M160:$M183),IF('Pre-Calculation'!$D$16="% OF AFV(12M)",AVERAGE($M172:M183),IF('Pre-Calculation'!$D$16="% OF AFV(36M)",AVERAGE($M148:M183)))))</f>
        <v>1510072.925</v>
      </c>
      <c r="O183" s="175">
        <f t="shared" si="4"/>
        <v>1510072.925</v>
      </c>
      <c r="P183" s="175">
        <f>IF('Pre-Calculation'!$D$17="Type 4 a",MAX(SA,N183,1.05*Q183),IF('Pre-Calculation'!$D$17="Type 4 c",N183,IF('Pre-Calculation'!$D$17="Type 4 d",SA+N183,IF('Pre-Calculation'!$D$17="Type 4 e",MAX(SA,N183),IF('Pre-Calculation'!$D$17="Type 4 f",SA,IF('Pre-Calculation'!$D$17="Type 4 g",1000+N183,IF('Pre-Calculation'!$D$17="Type 4 h",SA+X183,IF('Pre-Calculation'!$D$17="Type 4 i",MAX(N183,Q183),IF('Pre-Calculation'!$D$17="Type 4 k",MAX(N183,1.01*Q183),IF('Pre-Calculation'!$D$17="Type 4 m",MAX(105%*Q183,SA+N183),IF('Pre-Calculation'!$D$17="Type 4 o",MAX(SA,105%*Q183)+X183+Z183,IF('Pre-Calculation'!$D$17="Type 5",0))))))))))))</f>
        <v>1510072.925</v>
      </c>
      <c r="Q183" s="175">
        <f t="shared" si="5"/>
        <v>1000000</v>
      </c>
      <c r="R183" s="119">
        <f>L183*(1+GROWTH_RATE)*FMC</f>
        <v>1705.519407</v>
      </c>
      <c r="S183" s="178">
        <f>S182*(1+'Pre-Calculation'!$E$27)</f>
        <v>1079651.31</v>
      </c>
      <c r="T183" s="175">
        <f>-E183+IF(A182=INPUT!$C$11*12,N183,0)</f>
        <v>0</v>
      </c>
      <c r="U183" s="175">
        <f t="shared" si="6"/>
        <v>1499726.714</v>
      </c>
      <c r="V183" s="175">
        <f>U183*(1+GROWTH_RATE_L)*(1-'Pre-Calculation'!$E$31)</f>
        <v>1502130.722</v>
      </c>
      <c r="W183" s="175">
        <f>-E183+IF(A182=INPUT!$C$11*12,V183,0)</f>
        <v>0</v>
      </c>
      <c r="X183" s="179">
        <f t="array" ref="X183">NPV('Pre-Calculation'!$E$20,$E184:E$246)</f>
        <v>0</v>
      </c>
      <c r="Y183" s="171">
        <f>10%*SA</f>
        <v>100000</v>
      </c>
      <c r="Z183" s="179">
        <f t="array" ref="Z183">NPV('Pre-Calculation'!$E$20,Y184:Y193)</f>
        <v>969592.8037</v>
      </c>
    </row>
    <row r="184" ht="15.75" customHeight="1">
      <c r="A184" s="171">
        <f t="shared" si="1"/>
        <v>238</v>
      </c>
      <c r="B184" s="171">
        <f t="shared" si="2"/>
        <v>20</v>
      </c>
      <c r="C184" s="176">
        <f>EDATE(RCD,A183)</f>
        <v>49764</v>
      </c>
      <c r="D184" s="171">
        <f>Age_At_Entry+'Cashflows_4%'!B184-1</f>
        <v>54</v>
      </c>
      <c r="E184" s="175">
        <f>IF(AND(C184&lt;=Last_Prem,MOD(A183,Mode)=0,C184&gt;INPUT!$C$13,A184&lt;=Revival!$C$11),Mod_Prem,0)</f>
        <v>0</v>
      </c>
      <c r="F184" s="177">
        <f>IF(B184&lt;PT+1,E184*VLOOKUP(B184,'Pre-Calculation'!$H$1:$I$31,2,FALSE),0)</f>
        <v>0</v>
      </c>
      <c r="G184" s="177">
        <f>IF(B184&lt;PT+1,VLOOKUP(B184,'Pre-Calculation'!$H$1:$L$32,3,FALSE)+VLOOKUP(B184,'Pre-Calculation'!$H$1:$L$32,4,FALSE)*'Pre-Calculation'!$D$7,0)</f>
        <v>0</v>
      </c>
      <c r="H184" s="175">
        <f>(E184-(F184+G184)*(1+Tax)+N183)</f>
        <v>1510072.925</v>
      </c>
      <c r="I184" s="175">
        <f>IF(B184&lt;PT+1,VLOOKUP(D184,'Pre-Calculation'!$N$3:$P$79,IF(INPUT!$C$4="M",2,3),FALSE)*(J184/1000)*(1/12),0)</f>
        <v>0</v>
      </c>
      <c r="J184" s="175">
        <f t="shared" si="3"/>
        <v>0</v>
      </c>
      <c r="K184" s="175">
        <f>(IF('Pre-Calculation'!$D$17="Type 4 a",MAX(SA,H184,1.05*Q184),IF('Pre-Calculation'!$D$17="Type 4 c",H184,IF('Pre-Calculation'!$D$17="Type 4 d",SA+H184,IF('Pre-Calculation'!$D$17="Type 4 e",MAX(SA,H184),IF('Pre-Calculation'!$D$17="Type 4 f",SA,IF('Pre-Calculation'!$D$17="Type 4 g",1000+H184,IF('Pre-Calculation'!$D$17="Type 4 h",SA+X184,IF('Pre-Calculation'!$D$17="Type 4 i",MAX(H184,Q184),IF('Pre-Calculation'!$D$17="Type 4 k",MAX(H184,1.01*Q184),IF('Pre-Calculation'!$D$17="Type 4 m",MAX(105%*Q184,SA+H184),IF('Pre-Calculation'!$D$17="Type 4 o",MAX(SA,105%*Q184)+X184+Z184,IF('Pre-Calculation'!$D$17="Type 5",0)))))))))))))*IF(AND(A184&lt;Revival!$C$4,C184&gt;=Revival!$D$12),PUP,1)</f>
        <v>1510072.925</v>
      </c>
      <c r="L184" s="175">
        <f>H184-I184*(1+Tax)</f>
        <v>1510072.925</v>
      </c>
      <c r="M184" s="175">
        <f>L184*(1+GROWTH_RATE_L)*(1-FMC*(1+Tax))</f>
        <v>1513006.42</v>
      </c>
      <c r="N184" s="175">
        <f>M184+IF(MOD(A184,B184)=0,VLOOKUP(B184,'Pre-Calculation'!$H$1:$L$31,5,FALSE),0)*IF('Pre-Calculation'!$D$16="% OF FV",M184,IF(OR('Pre-Calculation'!$D$16="% OF AFV(24M)",'Pre-Calculation'!$D$16="% OF AFV(8Q)"),AVERAGE( $M161:$M184),IF('Pre-Calculation'!$D$16="% OF AFV(12M)",AVERAGE($M173:M184),IF('Pre-Calculation'!$D$16="% OF AFV(36M)",AVERAGE($M149:M184)))))</f>
        <v>1513006.42</v>
      </c>
      <c r="O184" s="175">
        <f t="shared" si="4"/>
        <v>1513006.42</v>
      </c>
      <c r="P184" s="175">
        <f>IF('Pre-Calculation'!$D$17="Type 4 a",MAX(SA,N184,1.05*Q184),IF('Pre-Calculation'!$D$17="Type 4 c",N184,IF('Pre-Calculation'!$D$17="Type 4 d",SA+N184,IF('Pre-Calculation'!$D$17="Type 4 e",MAX(SA,N184),IF('Pre-Calculation'!$D$17="Type 4 f",SA,IF('Pre-Calculation'!$D$17="Type 4 g",1000+N184,IF('Pre-Calculation'!$D$17="Type 4 h",SA+X184,IF('Pre-Calculation'!$D$17="Type 4 i",MAX(N184,Q184),IF('Pre-Calculation'!$D$17="Type 4 k",MAX(N184,1.01*Q184),IF('Pre-Calculation'!$D$17="Type 4 m",MAX(105%*Q184,SA+N184),IF('Pre-Calculation'!$D$17="Type 4 o",MAX(SA,105%*Q184)+X184+Z184,IF('Pre-Calculation'!$D$17="Type 5",0))))))))))))</f>
        <v>1513006.42</v>
      </c>
      <c r="Q184" s="175">
        <f t="shared" si="5"/>
        <v>1000000</v>
      </c>
      <c r="R184" s="119">
        <f>L184*(1+GROWTH_RATE)*FMC</f>
        <v>1708.83258</v>
      </c>
      <c r="S184" s="178">
        <f>S183*(1+'Pre-Calculation'!$E$27)</f>
        <v>1082750.88</v>
      </c>
      <c r="T184" s="175">
        <f>-E184+IF(A183=INPUT!$C$11*12,N184,0)</f>
        <v>0</v>
      </c>
      <c r="U184" s="175">
        <f t="shared" si="6"/>
        <v>1502130.722</v>
      </c>
      <c r="V184" s="175">
        <f>U184*(1+GROWTH_RATE_L)*(1-'Pre-Calculation'!$E$31)</f>
        <v>1504538.583</v>
      </c>
      <c r="W184" s="175">
        <f>-E184+IF(A183=INPUT!$C$11*12,V184,0)</f>
        <v>0</v>
      </c>
      <c r="X184" s="179">
        <f t="array" ref="X184">NPV('Pre-Calculation'!$E$20,$E185:E$246)</f>
        <v>0</v>
      </c>
      <c r="Y184" s="171">
        <f>10%*SA</f>
        <v>100000</v>
      </c>
      <c r="Z184" s="179">
        <f t="array" ref="Z184">NPV('Pre-Calculation'!$E$20,Y185:Y194)</f>
        <v>969592.8037</v>
      </c>
    </row>
    <row r="185" ht="15.75" customHeight="1">
      <c r="A185" s="171">
        <f t="shared" si="1"/>
        <v>239</v>
      </c>
      <c r="B185" s="171">
        <f t="shared" si="2"/>
        <v>20</v>
      </c>
      <c r="C185" s="176">
        <f>EDATE(RCD,A184)</f>
        <v>49795</v>
      </c>
      <c r="D185" s="171">
        <f>Age_At_Entry+'Cashflows_4%'!B185-1</f>
        <v>54</v>
      </c>
      <c r="E185" s="175">
        <f>IF(AND(C185&lt;=Last_Prem,MOD(A184,Mode)=0,C185&gt;INPUT!$C$13,A185&lt;=Revival!$C$11),Mod_Prem,0)</f>
        <v>0</v>
      </c>
      <c r="F185" s="177">
        <f>IF(B185&lt;PT+1,E185*VLOOKUP(B185,'Pre-Calculation'!$H$1:$I$31,2,FALSE),0)</f>
        <v>0</v>
      </c>
      <c r="G185" s="177">
        <f>IF(B185&lt;PT+1,VLOOKUP(B185,'Pre-Calculation'!$H$1:$L$32,3,FALSE)+VLOOKUP(B185,'Pre-Calculation'!$H$1:$L$32,4,FALSE)*'Pre-Calculation'!$D$7,0)</f>
        <v>0</v>
      </c>
      <c r="H185" s="175">
        <f>(E185-(F185+G185)*(1+Tax)+N184)</f>
        <v>1513006.42</v>
      </c>
      <c r="I185" s="175">
        <f>IF(B185&lt;PT+1,VLOOKUP(D185,'Pre-Calculation'!$N$3:$P$79,IF(INPUT!$C$4="M",2,3),FALSE)*(J185/1000)*(1/12),0)</f>
        <v>0</v>
      </c>
      <c r="J185" s="175">
        <f t="shared" si="3"/>
        <v>0</v>
      </c>
      <c r="K185" s="175">
        <f>(IF('Pre-Calculation'!$D$17="Type 4 a",MAX(SA,H185,1.05*Q185),IF('Pre-Calculation'!$D$17="Type 4 c",H185,IF('Pre-Calculation'!$D$17="Type 4 d",SA+H185,IF('Pre-Calculation'!$D$17="Type 4 e",MAX(SA,H185),IF('Pre-Calculation'!$D$17="Type 4 f",SA,IF('Pre-Calculation'!$D$17="Type 4 g",1000+H185,IF('Pre-Calculation'!$D$17="Type 4 h",SA+X185,IF('Pre-Calculation'!$D$17="Type 4 i",MAX(H185,Q185),IF('Pre-Calculation'!$D$17="Type 4 k",MAX(H185,1.01*Q185),IF('Pre-Calculation'!$D$17="Type 4 m",MAX(105%*Q185,SA+H185),IF('Pre-Calculation'!$D$17="Type 4 o",MAX(SA,105%*Q185)+X185+Z185,IF('Pre-Calculation'!$D$17="Type 5",0)))))))))))))*IF(AND(A185&lt;Revival!$C$4,C185&gt;=Revival!$D$12),PUP,1)</f>
        <v>1513006.42</v>
      </c>
      <c r="L185" s="175">
        <f>H185-I185*(1+Tax)</f>
        <v>1513006.42</v>
      </c>
      <c r="M185" s="175">
        <f>L185*(1+GROWTH_RATE_L)*(1-FMC*(1+Tax))</f>
        <v>1515945.614</v>
      </c>
      <c r="N185" s="175">
        <f>M185+IF(MOD(A185,B185)=0,VLOOKUP(B185,'Pre-Calculation'!$H$1:$L$31,5,FALSE),0)*IF('Pre-Calculation'!$D$16="% OF FV",M185,IF(OR('Pre-Calculation'!$D$16="% OF AFV(24M)",'Pre-Calculation'!$D$16="% OF AFV(8Q)"),AVERAGE( $M162:$M185),IF('Pre-Calculation'!$D$16="% OF AFV(12M)",AVERAGE($M174:M185),IF('Pre-Calculation'!$D$16="% OF AFV(36M)",AVERAGE($M150:M185)))))</f>
        <v>1515945.614</v>
      </c>
      <c r="O185" s="175">
        <f t="shared" si="4"/>
        <v>1515945.614</v>
      </c>
      <c r="P185" s="175">
        <f>IF('Pre-Calculation'!$D$17="Type 4 a",MAX(SA,N185,1.05*Q185),IF('Pre-Calculation'!$D$17="Type 4 c",N185,IF('Pre-Calculation'!$D$17="Type 4 d",SA+N185,IF('Pre-Calculation'!$D$17="Type 4 e",MAX(SA,N185),IF('Pre-Calculation'!$D$17="Type 4 f",SA,IF('Pre-Calculation'!$D$17="Type 4 g",1000+N185,IF('Pre-Calculation'!$D$17="Type 4 h",SA+X185,IF('Pre-Calculation'!$D$17="Type 4 i",MAX(N185,Q185),IF('Pre-Calculation'!$D$17="Type 4 k",MAX(N185,1.01*Q185),IF('Pre-Calculation'!$D$17="Type 4 m",MAX(105%*Q185,SA+N185),IF('Pre-Calculation'!$D$17="Type 4 o",MAX(SA,105%*Q185)+X185+Z185,IF('Pre-Calculation'!$D$17="Type 5",0))))))))))))</f>
        <v>1515945.614</v>
      </c>
      <c r="Q185" s="175">
        <f t="shared" si="5"/>
        <v>1000000</v>
      </c>
      <c r="R185" s="119">
        <f>L185*(1+GROWTH_RATE)*FMC</f>
        <v>1712.152189</v>
      </c>
      <c r="S185" s="178">
        <f>S184*(1+'Pre-Calculation'!$E$27)</f>
        <v>1085859.348</v>
      </c>
      <c r="T185" s="175">
        <f>-E185+IF(A184=INPUT!$C$11*12,N185,0)</f>
        <v>0</v>
      </c>
      <c r="U185" s="175">
        <f t="shared" si="6"/>
        <v>1504538.583</v>
      </c>
      <c r="V185" s="175">
        <f>U185*(1+GROWTH_RATE_L)*(1-'Pre-Calculation'!$E$31)</f>
        <v>1506950.304</v>
      </c>
      <c r="W185" s="175">
        <f>-E185+IF(A184=INPUT!$C$11*12,V185,0)</f>
        <v>0</v>
      </c>
      <c r="X185" s="179">
        <f t="array" ref="X185">NPV('Pre-Calculation'!$E$20,$E186:E$246)</f>
        <v>0</v>
      </c>
      <c r="Y185" s="171">
        <f>10%*SA</f>
        <v>100000</v>
      </c>
      <c r="Z185" s="179">
        <f t="array" ref="Z185">NPV('Pre-Calculation'!$E$20,Y186:Y195)</f>
        <v>969592.8037</v>
      </c>
    </row>
    <row r="186" ht="15.75" customHeight="1">
      <c r="A186" s="171">
        <f t="shared" si="1"/>
        <v>240</v>
      </c>
      <c r="B186" s="171">
        <f t="shared" si="2"/>
        <v>20</v>
      </c>
      <c r="C186" s="176">
        <f>EDATE(RCD,A185)</f>
        <v>49825</v>
      </c>
      <c r="D186" s="171">
        <f>Age_At_Entry+'Cashflows_4%'!B186-1</f>
        <v>54</v>
      </c>
      <c r="E186" s="175">
        <f>IF(AND(C186&lt;=Last_Prem,MOD(A185,Mode)=0,C186&gt;INPUT!$C$13,A186&lt;=Revival!$C$11),Mod_Prem,0)</f>
        <v>0</v>
      </c>
      <c r="F186" s="177">
        <f>IF(B186&lt;PT+1,E186*VLOOKUP(B186,'Pre-Calculation'!$H$1:$I$31,2,FALSE),0)</f>
        <v>0</v>
      </c>
      <c r="G186" s="177">
        <f>IF(B186&lt;PT+1,VLOOKUP(B186,'Pre-Calculation'!$H$1:$L$32,3,FALSE)+VLOOKUP(B186,'Pre-Calculation'!$H$1:$L$32,4,FALSE)*'Pre-Calculation'!$D$7,0)</f>
        <v>0</v>
      </c>
      <c r="H186" s="175">
        <f>(E186-(F186+G186)*(1+Tax)+N185)</f>
        <v>1515945.614</v>
      </c>
      <c r="I186" s="175">
        <f>IF(B186&lt;PT+1,VLOOKUP(D186,'Pre-Calculation'!$N$3:$P$79,IF(INPUT!$C$4="M",2,3),FALSE)*(J186/1000)*(1/12),0)</f>
        <v>0</v>
      </c>
      <c r="J186" s="175">
        <f t="shared" si="3"/>
        <v>0</v>
      </c>
      <c r="K186" s="175">
        <f>(IF('Pre-Calculation'!$D$17="Type 4 a",MAX(SA,H186,1.05*Q186),IF('Pre-Calculation'!$D$17="Type 4 c",H186,IF('Pre-Calculation'!$D$17="Type 4 d",SA+H186,IF('Pre-Calculation'!$D$17="Type 4 e",MAX(SA,H186),IF('Pre-Calculation'!$D$17="Type 4 f",SA,IF('Pre-Calculation'!$D$17="Type 4 g",1000+H186,IF('Pre-Calculation'!$D$17="Type 4 h",SA+X186,IF('Pre-Calculation'!$D$17="Type 4 i",MAX(H186,Q186),IF('Pre-Calculation'!$D$17="Type 4 k",MAX(H186,1.01*Q186),IF('Pre-Calculation'!$D$17="Type 4 m",MAX(105%*Q186,SA+H186),IF('Pre-Calculation'!$D$17="Type 4 o",MAX(SA,105%*Q186)+X186+Z186,IF('Pre-Calculation'!$D$17="Type 5",0)))))))))))))*IF(AND(A186&lt;Revival!$C$4,C186&gt;=Revival!$D$12),PUP,1)</f>
        <v>1515945.614</v>
      </c>
      <c r="L186" s="175">
        <f>H186-I186*(1+Tax)</f>
        <v>1515945.614</v>
      </c>
      <c r="M186" s="175">
        <f>L186*(1+GROWTH_RATE_L)*(1-FMC*(1+Tax))</f>
        <v>1518890.517</v>
      </c>
      <c r="N186" s="175">
        <f>M186+IF(MOD(A186,B186)=0,VLOOKUP(B186,'Pre-Calculation'!$H$1:$L$31,5,FALSE),0)*IF('Pre-Calculation'!$D$16="% OF FV",M186,IF(OR('Pre-Calculation'!$D$16="% OF AFV(24M)",'Pre-Calculation'!$D$16="% OF AFV(8Q)"),AVERAGE( $M163:$M186),IF('Pre-Calculation'!$D$16="% OF AFV(12M)",AVERAGE($M175:M186),IF('Pre-Calculation'!$D$16="% OF AFV(36M)",AVERAGE($M151:M186)))))</f>
        <v>1518890.517</v>
      </c>
      <c r="O186" s="175">
        <f t="shared" si="4"/>
        <v>1518890.517</v>
      </c>
      <c r="P186" s="175">
        <f>IF('Pre-Calculation'!$D$17="Type 4 a",MAX(SA,N186,1.05*Q186),IF('Pre-Calculation'!$D$17="Type 4 c",N186,IF('Pre-Calculation'!$D$17="Type 4 d",SA+N186,IF('Pre-Calculation'!$D$17="Type 4 e",MAX(SA,N186),IF('Pre-Calculation'!$D$17="Type 4 f",SA,IF('Pre-Calculation'!$D$17="Type 4 g",1000+N186,IF('Pre-Calculation'!$D$17="Type 4 h",SA+X186,IF('Pre-Calculation'!$D$17="Type 4 i",MAX(N186,Q186),IF('Pre-Calculation'!$D$17="Type 4 k",MAX(N186,1.01*Q186),IF('Pre-Calculation'!$D$17="Type 4 m",MAX(105%*Q186,SA+N186),IF('Pre-Calculation'!$D$17="Type 4 o",MAX(SA,105%*Q186)+X186+Z186,IF('Pre-Calculation'!$D$17="Type 5",0))))))))))))</f>
        <v>1518890.517</v>
      </c>
      <c r="Q186" s="175">
        <f t="shared" si="5"/>
        <v>1000000</v>
      </c>
      <c r="R186" s="119">
        <f>L186*(1+GROWTH_RATE)*FMC</f>
        <v>1715.478247</v>
      </c>
      <c r="S186" s="178">
        <f>S185*(1+'Pre-Calculation'!$E$27)</f>
        <v>1088976.74</v>
      </c>
      <c r="T186" s="175">
        <f>-E186+IF(A185=INPUT!$C$11*12,N186,0)</f>
        <v>0</v>
      </c>
      <c r="U186" s="175">
        <f t="shared" si="6"/>
        <v>1506950.304</v>
      </c>
      <c r="V186" s="175">
        <f>U186*(1+GROWTH_RATE_L)*(1-'Pre-Calculation'!$E$31)</f>
        <v>1509365.891</v>
      </c>
      <c r="W186" s="175">
        <f>-E186+IF(A185=INPUT!$C$11*12,V186,0)</f>
        <v>0</v>
      </c>
      <c r="X186" s="179">
        <f t="array" ref="X186">NPV('Pre-Calculation'!$E$20,$E187:E$246)</f>
        <v>0</v>
      </c>
      <c r="Y186" s="171">
        <f>10%*SA</f>
        <v>100000</v>
      </c>
      <c r="Z186" s="179">
        <f t="array" ref="Z186">NPV('Pre-Calculation'!$E$20,Y187:Y196)</f>
        <v>969592.8037</v>
      </c>
    </row>
    <row r="187" ht="15.75" customHeight="1">
      <c r="A187" s="171">
        <f t="shared" si="1"/>
        <v>241</v>
      </c>
      <c r="B187" s="171">
        <f t="shared" si="2"/>
        <v>21</v>
      </c>
      <c r="C187" s="176">
        <f>EDATE(RCD,A186)</f>
        <v>49856</v>
      </c>
      <c r="D187" s="171">
        <f>Age_At_Entry+'Cashflows_4%'!B187-1</f>
        <v>55</v>
      </c>
      <c r="E187" s="175">
        <f>IF(AND(C187&lt;=Last_Prem,MOD(A186,Mode)=0,C187&gt;INPUT!$C$13,A187&lt;=Revival!$C$11),Mod_Prem,0)</f>
        <v>0</v>
      </c>
      <c r="F187" s="177">
        <f>IF(B187&lt;PT+1,E187*VLOOKUP(B187,'Pre-Calculation'!$H$1:$I$31,2,FALSE),0)</f>
        <v>0</v>
      </c>
      <c r="G187" s="177">
        <f>IF(B187&lt;PT+1,VLOOKUP(B187,'Pre-Calculation'!$H$1:$L$32,3,FALSE)+VLOOKUP(B187,'Pre-Calculation'!$H$1:$L$32,4,FALSE)*'Pre-Calculation'!$D$7,0)</f>
        <v>0</v>
      </c>
      <c r="H187" s="175">
        <f>(E187-(F187+G187)*(1+Tax)+N186)</f>
        <v>1518890.517</v>
      </c>
      <c r="I187" s="175">
        <f>IF(B187&lt;PT+1,VLOOKUP(D187,'Pre-Calculation'!$N$3:$P$79,IF(INPUT!$C$4="M",2,3),FALSE)*(J187/1000)*(1/12),0)</f>
        <v>0</v>
      </c>
      <c r="J187" s="175">
        <f t="shared" si="3"/>
        <v>0</v>
      </c>
      <c r="K187" s="175">
        <f>(IF('Pre-Calculation'!$D$17="Type 4 a",MAX(SA,H187,1.05*Q187),IF('Pre-Calculation'!$D$17="Type 4 c",H187,IF('Pre-Calculation'!$D$17="Type 4 d",SA+H187,IF('Pre-Calculation'!$D$17="Type 4 e",MAX(SA,H187),IF('Pre-Calculation'!$D$17="Type 4 f",SA,IF('Pre-Calculation'!$D$17="Type 4 g",1000+H187,IF('Pre-Calculation'!$D$17="Type 4 h",SA+X187,IF('Pre-Calculation'!$D$17="Type 4 i",MAX(H187,Q187),IF('Pre-Calculation'!$D$17="Type 4 k",MAX(H187,1.01*Q187),IF('Pre-Calculation'!$D$17="Type 4 m",MAX(105%*Q187,SA+H187),IF('Pre-Calculation'!$D$17="Type 4 o",MAX(SA,105%*Q187)+X187+Z187,IF('Pre-Calculation'!$D$17="Type 5",0)))))))))))))*IF(AND(A187&lt;Revival!$C$4,C187&gt;=Revival!$D$12),PUP,1)</f>
        <v>1518890.517</v>
      </c>
      <c r="L187" s="175">
        <f>H187-I187*(1+Tax)</f>
        <v>1518890.517</v>
      </c>
      <c r="M187" s="175">
        <f>L187*(1+GROWTH_RATE_L)*(1-FMC*(1+Tax))</f>
        <v>1521841.141</v>
      </c>
      <c r="N187" s="175">
        <f>M187+IF(MOD(A187,B187)=0,VLOOKUP(B187,'Pre-Calculation'!$H$1:$L$31,5,FALSE),0)*IF('Pre-Calculation'!$D$16="% OF FV",M187,IF(OR('Pre-Calculation'!$D$16="% OF AFV(24M)",'Pre-Calculation'!$D$16="% OF AFV(8Q)"),AVERAGE( $M164:$M187),IF('Pre-Calculation'!$D$16="% OF AFV(12M)",AVERAGE($M176:M187),IF('Pre-Calculation'!$D$16="% OF AFV(36M)",AVERAGE($M152:M187)))))</f>
        <v>1521841.141</v>
      </c>
      <c r="O187" s="175">
        <f t="shared" si="4"/>
        <v>1521841.141</v>
      </c>
      <c r="P187" s="175">
        <f>IF('Pre-Calculation'!$D$17="Type 4 a",MAX(SA,N187,1.05*Q187),IF('Pre-Calculation'!$D$17="Type 4 c",N187,IF('Pre-Calculation'!$D$17="Type 4 d",SA+N187,IF('Pre-Calculation'!$D$17="Type 4 e",MAX(SA,N187),IF('Pre-Calculation'!$D$17="Type 4 f",SA,IF('Pre-Calculation'!$D$17="Type 4 g",1000+N187,IF('Pre-Calculation'!$D$17="Type 4 h",SA+X187,IF('Pre-Calculation'!$D$17="Type 4 i",MAX(N187,Q187),IF('Pre-Calculation'!$D$17="Type 4 k",MAX(N187,1.01*Q187),IF('Pre-Calculation'!$D$17="Type 4 m",MAX(105%*Q187,SA+N187),IF('Pre-Calculation'!$D$17="Type 4 o",MAX(SA,105%*Q187)+X187+Z187,IF('Pre-Calculation'!$D$17="Type 5",0))))))))))))</f>
        <v>1521841.141</v>
      </c>
      <c r="Q187" s="175">
        <f t="shared" si="5"/>
        <v>1000000</v>
      </c>
      <c r="R187" s="119">
        <f>L187*(1+GROWTH_RATE)*FMC</f>
        <v>1718.810767</v>
      </c>
      <c r="S187" s="178">
        <f>S186*(1+'Pre-Calculation'!$E$27)</f>
        <v>1092103.082</v>
      </c>
      <c r="T187" s="175">
        <f>-E187+IF(A186=INPUT!$C$11*12,N187,0)</f>
        <v>0</v>
      </c>
      <c r="U187" s="175">
        <f t="shared" si="6"/>
        <v>1509365.891</v>
      </c>
      <c r="V187" s="175">
        <f>U187*(1+GROWTH_RATE_L)*(1-'Pre-Calculation'!$E$31)</f>
        <v>1511785.349</v>
      </c>
      <c r="W187" s="175">
        <f>-E187+IF(A186=INPUT!$C$11*12,V187,0)</f>
        <v>0</v>
      </c>
      <c r="X187" s="179">
        <f t="array" ref="X187">NPV('Pre-Calculation'!$E$20,$E188:E$246)</f>
        <v>0</v>
      </c>
      <c r="Y187" s="171">
        <f>10%*SA</f>
        <v>100000</v>
      </c>
      <c r="Z187" s="179">
        <f t="array" ref="Z187">NPV('Pre-Calculation'!$E$20,Y188:Y197)</f>
        <v>969592.8037</v>
      </c>
    </row>
    <row r="188" ht="15.75" customHeight="1">
      <c r="A188" s="171">
        <f t="shared" si="1"/>
        <v>242</v>
      </c>
      <c r="B188" s="171">
        <f t="shared" si="2"/>
        <v>21</v>
      </c>
      <c r="C188" s="176">
        <f>EDATE(RCD,A187)</f>
        <v>49886</v>
      </c>
      <c r="D188" s="171">
        <f>Age_At_Entry+'Cashflows_4%'!B188-1</f>
        <v>55</v>
      </c>
      <c r="E188" s="175">
        <f>IF(AND(C188&lt;=Last_Prem,MOD(A187,Mode)=0,C188&gt;INPUT!$C$13,A188&lt;=Revival!$C$11),Mod_Prem,0)</f>
        <v>0</v>
      </c>
      <c r="F188" s="177">
        <f>IF(B188&lt;PT+1,E188*VLOOKUP(B188,'Pre-Calculation'!$H$1:$I$31,2,FALSE),0)</f>
        <v>0</v>
      </c>
      <c r="G188" s="177">
        <f>IF(B188&lt;PT+1,VLOOKUP(B188,'Pre-Calculation'!$H$1:$L$32,3,FALSE)+VLOOKUP(B188,'Pre-Calculation'!$H$1:$L$32,4,FALSE)*'Pre-Calculation'!$D$7,0)</f>
        <v>0</v>
      </c>
      <c r="H188" s="175">
        <f>(E188-(F188+G188)*(1+Tax)+N187)</f>
        <v>1521841.141</v>
      </c>
      <c r="I188" s="175">
        <f>IF(B188&lt;PT+1,VLOOKUP(D188,'Pre-Calculation'!$N$3:$P$79,IF(INPUT!$C$4="M",2,3),FALSE)*(J188/1000)*(1/12),0)</f>
        <v>0</v>
      </c>
      <c r="J188" s="175">
        <f t="shared" si="3"/>
        <v>0</v>
      </c>
      <c r="K188" s="175">
        <f>(IF('Pre-Calculation'!$D$17="Type 4 a",MAX(SA,H188,1.05*Q188),IF('Pre-Calculation'!$D$17="Type 4 c",H188,IF('Pre-Calculation'!$D$17="Type 4 d",SA+H188,IF('Pre-Calculation'!$D$17="Type 4 e",MAX(SA,H188),IF('Pre-Calculation'!$D$17="Type 4 f",SA,IF('Pre-Calculation'!$D$17="Type 4 g",1000+H188,IF('Pre-Calculation'!$D$17="Type 4 h",SA+X188,IF('Pre-Calculation'!$D$17="Type 4 i",MAX(H188,Q188),IF('Pre-Calculation'!$D$17="Type 4 k",MAX(H188,1.01*Q188),IF('Pre-Calculation'!$D$17="Type 4 m",MAX(105%*Q188,SA+H188),IF('Pre-Calculation'!$D$17="Type 4 o",MAX(SA,105%*Q188)+X188+Z188,IF('Pre-Calculation'!$D$17="Type 5",0)))))))))))))*IF(AND(A188&lt;Revival!$C$4,C188&gt;=Revival!$D$12),PUP,1)</f>
        <v>1521841.141</v>
      </c>
      <c r="L188" s="175">
        <f>H188-I188*(1+Tax)</f>
        <v>1521841.141</v>
      </c>
      <c r="M188" s="175">
        <f>L188*(1+GROWTH_RATE_L)*(1-FMC*(1+Tax))</f>
        <v>1524797.498</v>
      </c>
      <c r="N188" s="175">
        <f>M188+IF(MOD(A188,B188)=0,VLOOKUP(B188,'Pre-Calculation'!$H$1:$L$31,5,FALSE),0)*IF('Pre-Calculation'!$D$16="% OF FV",M188,IF(OR('Pre-Calculation'!$D$16="% OF AFV(24M)",'Pre-Calculation'!$D$16="% OF AFV(8Q)"),AVERAGE( $M165:$M188),IF('Pre-Calculation'!$D$16="% OF AFV(12M)",AVERAGE($M177:M188),IF('Pre-Calculation'!$D$16="% OF AFV(36M)",AVERAGE($M153:M188)))))</f>
        <v>1524797.498</v>
      </c>
      <c r="O188" s="175">
        <f t="shared" si="4"/>
        <v>1524797.498</v>
      </c>
      <c r="P188" s="175">
        <f>IF('Pre-Calculation'!$D$17="Type 4 a",MAX(SA,N188,1.05*Q188),IF('Pre-Calculation'!$D$17="Type 4 c",N188,IF('Pre-Calculation'!$D$17="Type 4 d",SA+N188,IF('Pre-Calculation'!$D$17="Type 4 e",MAX(SA,N188),IF('Pre-Calculation'!$D$17="Type 4 f",SA,IF('Pre-Calculation'!$D$17="Type 4 g",1000+N188,IF('Pre-Calculation'!$D$17="Type 4 h",SA+X188,IF('Pre-Calculation'!$D$17="Type 4 i",MAX(N188,Q188),IF('Pre-Calculation'!$D$17="Type 4 k",MAX(N188,1.01*Q188),IF('Pre-Calculation'!$D$17="Type 4 m",MAX(105%*Q188,SA+N188),IF('Pre-Calculation'!$D$17="Type 4 o",MAX(SA,105%*Q188)+X188+Z188,IF('Pre-Calculation'!$D$17="Type 5",0))))))))))))</f>
        <v>1524797.498</v>
      </c>
      <c r="Q188" s="175">
        <f t="shared" si="5"/>
        <v>1000000</v>
      </c>
      <c r="R188" s="119">
        <f>L188*(1+GROWTH_RATE)*FMC</f>
        <v>1722.14976</v>
      </c>
      <c r="S188" s="178">
        <f>S187*(1+'Pre-Calculation'!$E$27)</f>
        <v>1095238.399</v>
      </c>
      <c r="T188" s="175">
        <f>-E188+IF(A187=INPUT!$C$11*12,N188,0)</f>
        <v>0</v>
      </c>
      <c r="U188" s="175">
        <f t="shared" si="6"/>
        <v>1511785.349</v>
      </c>
      <c r="V188" s="175">
        <f>U188*(1+GROWTH_RATE_L)*(1-'Pre-Calculation'!$E$31)</f>
        <v>1514208.687</v>
      </c>
      <c r="W188" s="175">
        <f>-E188+IF(A187=INPUT!$C$11*12,V188,0)</f>
        <v>0</v>
      </c>
      <c r="X188" s="179">
        <f t="array" ref="X188">NPV('Pre-Calculation'!$E$20,$E189:E$246)</f>
        <v>0</v>
      </c>
      <c r="Y188" s="171">
        <f>10%*SA</f>
        <v>100000</v>
      </c>
      <c r="Z188" s="179">
        <f t="array" ref="Z188">NPV('Pre-Calculation'!$E$20,Y189:Y198)</f>
        <v>969592.8037</v>
      </c>
    </row>
    <row r="189" ht="15.75" customHeight="1">
      <c r="A189" s="171">
        <f t="shared" si="1"/>
        <v>243</v>
      </c>
      <c r="B189" s="171">
        <f t="shared" si="2"/>
        <v>21</v>
      </c>
      <c r="C189" s="176">
        <f>EDATE(RCD,A188)</f>
        <v>49917</v>
      </c>
      <c r="D189" s="171">
        <f>Age_At_Entry+'Cashflows_4%'!B189-1</f>
        <v>55</v>
      </c>
      <c r="E189" s="175">
        <f>IF(AND(C189&lt;=Last_Prem,MOD(A188,Mode)=0,C189&gt;INPUT!$C$13,A189&lt;=Revival!$C$11),Mod_Prem,0)</f>
        <v>0</v>
      </c>
      <c r="F189" s="177">
        <f>IF(B189&lt;PT+1,E189*VLOOKUP(B189,'Pre-Calculation'!$H$1:$I$31,2,FALSE),0)</f>
        <v>0</v>
      </c>
      <c r="G189" s="177">
        <f>IF(B189&lt;PT+1,VLOOKUP(B189,'Pre-Calculation'!$H$1:$L$32,3,FALSE)+VLOOKUP(B189,'Pre-Calculation'!$H$1:$L$32,4,FALSE)*'Pre-Calculation'!$D$7,0)</f>
        <v>0</v>
      </c>
      <c r="H189" s="175">
        <f>(E189-(F189+G189)*(1+Tax)+N188)</f>
        <v>1524797.498</v>
      </c>
      <c r="I189" s="175">
        <f>IF(B189&lt;PT+1,VLOOKUP(D189,'Pre-Calculation'!$N$3:$P$79,IF(INPUT!$C$4="M",2,3),FALSE)*(J189/1000)*(1/12),0)</f>
        <v>0</v>
      </c>
      <c r="J189" s="175">
        <f t="shared" si="3"/>
        <v>0</v>
      </c>
      <c r="K189" s="175">
        <f>(IF('Pre-Calculation'!$D$17="Type 4 a",MAX(SA,H189,1.05*Q189),IF('Pre-Calculation'!$D$17="Type 4 c",H189,IF('Pre-Calculation'!$D$17="Type 4 d",SA+H189,IF('Pre-Calculation'!$D$17="Type 4 e",MAX(SA,H189),IF('Pre-Calculation'!$D$17="Type 4 f",SA,IF('Pre-Calculation'!$D$17="Type 4 g",1000+H189,IF('Pre-Calculation'!$D$17="Type 4 h",SA+X189,IF('Pre-Calculation'!$D$17="Type 4 i",MAX(H189,Q189),IF('Pre-Calculation'!$D$17="Type 4 k",MAX(H189,1.01*Q189),IF('Pre-Calculation'!$D$17="Type 4 m",MAX(105%*Q189,SA+H189),IF('Pre-Calculation'!$D$17="Type 4 o",MAX(SA,105%*Q189)+X189+Z189,IF('Pre-Calculation'!$D$17="Type 5",0)))))))))))))*IF(AND(A189&lt;Revival!$C$4,C189&gt;=Revival!$D$12),PUP,1)</f>
        <v>1524797.498</v>
      </c>
      <c r="L189" s="175">
        <f>H189-I189*(1+Tax)</f>
        <v>1524797.498</v>
      </c>
      <c r="M189" s="175">
        <f>L189*(1+GROWTH_RATE_L)*(1-FMC*(1+Tax))</f>
        <v>1527759.597</v>
      </c>
      <c r="N189" s="175">
        <f>M189+IF(MOD(A189,B189)=0,VLOOKUP(B189,'Pre-Calculation'!$H$1:$L$31,5,FALSE),0)*IF('Pre-Calculation'!$D$16="% OF FV",M189,IF(OR('Pre-Calculation'!$D$16="% OF AFV(24M)",'Pre-Calculation'!$D$16="% OF AFV(8Q)"),AVERAGE( $M166:$M189),IF('Pre-Calculation'!$D$16="% OF AFV(12M)",AVERAGE($M178:M189),IF('Pre-Calculation'!$D$16="% OF AFV(36M)",AVERAGE($M154:M189)))))</f>
        <v>1527759.597</v>
      </c>
      <c r="O189" s="175">
        <f t="shared" si="4"/>
        <v>1527759.597</v>
      </c>
      <c r="P189" s="175">
        <f>IF('Pre-Calculation'!$D$17="Type 4 a",MAX(SA,N189,1.05*Q189),IF('Pre-Calculation'!$D$17="Type 4 c",N189,IF('Pre-Calculation'!$D$17="Type 4 d",SA+N189,IF('Pre-Calculation'!$D$17="Type 4 e",MAX(SA,N189),IF('Pre-Calculation'!$D$17="Type 4 f",SA,IF('Pre-Calculation'!$D$17="Type 4 g",1000+N189,IF('Pre-Calculation'!$D$17="Type 4 h",SA+X189,IF('Pre-Calculation'!$D$17="Type 4 i",MAX(N189,Q189),IF('Pre-Calculation'!$D$17="Type 4 k",MAX(N189,1.01*Q189),IF('Pre-Calculation'!$D$17="Type 4 m",MAX(105%*Q189,SA+N189),IF('Pre-Calculation'!$D$17="Type 4 o",MAX(SA,105%*Q189)+X189+Z189,IF('Pre-Calculation'!$D$17="Type 5",0))))))))))))</f>
        <v>1527759.597</v>
      </c>
      <c r="Q189" s="175">
        <f t="shared" si="5"/>
        <v>1000000</v>
      </c>
      <c r="R189" s="119">
        <f>L189*(1+GROWTH_RATE)*FMC</f>
        <v>1725.495239</v>
      </c>
      <c r="S189" s="178">
        <f>S188*(1+'Pre-Calculation'!$E$27)</f>
        <v>1098382.718</v>
      </c>
      <c r="T189" s="175">
        <f>-E189+IF(A188=INPUT!$C$11*12,N189,0)</f>
        <v>0</v>
      </c>
      <c r="U189" s="175">
        <f t="shared" si="6"/>
        <v>1514208.687</v>
      </c>
      <c r="V189" s="175">
        <f>U189*(1+GROWTH_RATE_L)*(1-'Pre-Calculation'!$E$31)</f>
        <v>1516635.908</v>
      </c>
      <c r="W189" s="175">
        <f>-E189+IF(A188=INPUT!$C$11*12,V189,0)</f>
        <v>0</v>
      </c>
      <c r="X189" s="179">
        <f t="array" ref="X189">NPV('Pre-Calculation'!$E$20,$E190:E$246)</f>
        <v>0</v>
      </c>
      <c r="Y189" s="171">
        <f>10%*SA</f>
        <v>100000</v>
      </c>
      <c r="Z189" s="179">
        <f t="array" ref="Z189">NPV('Pre-Calculation'!$E$20,Y190:Y199)</f>
        <v>969592.8037</v>
      </c>
    </row>
    <row r="190" ht="15.75" customHeight="1">
      <c r="A190" s="171">
        <f t="shared" si="1"/>
        <v>244</v>
      </c>
      <c r="B190" s="171">
        <f t="shared" si="2"/>
        <v>21</v>
      </c>
      <c r="C190" s="176">
        <f>EDATE(RCD,A189)</f>
        <v>49948</v>
      </c>
      <c r="D190" s="171">
        <f>Age_At_Entry+'Cashflows_4%'!B190-1</f>
        <v>55</v>
      </c>
      <c r="E190" s="175">
        <f>IF(AND(C190&lt;=Last_Prem,MOD(A189,Mode)=0,C190&gt;INPUT!$C$13,A190&lt;=Revival!$C$11),Mod_Prem,0)</f>
        <v>0</v>
      </c>
      <c r="F190" s="177">
        <f>IF(B190&lt;PT+1,E190*VLOOKUP(B190,'Pre-Calculation'!$H$1:$I$31,2,FALSE),0)</f>
        <v>0</v>
      </c>
      <c r="G190" s="177">
        <f>IF(B190&lt;PT+1,VLOOKUP(B190,'Pre-Calculation'!$H$1:$L$32,3,FALSE)+VLOOKUP(B190,'Pre-Calculation'!$H$1:$L$32,4,FALSE)*'Pre-Calculation'!$D$7,0)</f>
        <v>0</v>
      </c>
      <c r="H190" s="175">
        <f>(E190-(F190+G190)*(1+Tax)+N189)</f>
        <v>1527759.597</v>
      </c>
      <c r="I190" s="175">
        <f>IF(B190&lt;PT+1,VLOOKUP(D190,'Pre-Calculation'!$N$3:$P$79,IF(INPUT!$C$4="M",2,3),FALSE)*(J190/1000)*(1/12),0)</f>
        <v>0</v>
      </c>
      <c r="J190" s="175">
        <f t="shared" si="3"/>
        <v>0</v>
      </c>
      <c r="K190" s="175">
        <f>(IF('Pre-Calculation'!$D$17="Type 4 a",MAX(SA,H190,1.05*Q190),IF('Pre-Calculation'!$D$17="Type 4 c",H190,IF('Pre-Calculation'!$D$17="Type 4 d",SA+H190,IF('Pre-Calculation'!$D$17="Type 4 e",MAX(SA,H190),IF('Pre-Calculation'!$D$17="Type 4 f",SA,IF('Pre-Calculation'!$D$17="Type 4 g",1000+H190,IF('Pre-Calculation'!$D$17="Type 4 h",SA+X190,IF('Pre-Calculation'!$D$17="Type 4 i",MAX(H190,Q190),IF('Pre-Calculation'!$D$17="Type 4 k",MAX(H190,1.01*Q190),IF('Pre-Calculation'!$D$17="Type 4 m",MAX(105%*Q190,SA+H190),IF('Pre-Calculation'!$D$17="Type 4 o",MAX(SA,105%*Q190)+X190+Z190,IF('Pre-Calculation'!$D$17="Type 5",0)))))))))))))*IF(AND(A190&lt;Revival!$C$4,C190&gt;=Revival!$D$12),PUP,1)</f>
        <v>1527759.597</v>
      </c>
      <c r="L190" s="175">
        <f>H190-I190*(1+Tax)</f>
        <v>1527759.597</v>
      </c>
      <c r="M190" s="175">
        <f>L190*(1+GROWTH_RATE_L)*(1-FMC*(1+Tax))</f>
        <v>1530727.451</v>
      </c>
      <c r="N190" s="175">
        <f>M190+IF(MOD(A190,B190)=0,VLOOKUP(B190,'Pre-Calculation'!$H$1:$L$31,5,FALSE),0)*IF('Pre-Calculation'!$D$16="% OF FV",M190,IF(OR('Pre-Calculation'!$D$16="% OF AFV(24M)",'Pre-Calculation'!$D$16="% OF AFV(8Q)"),AVERAGE( $M167:$M190),IF('Pre-Calculation'!$D$16="% OF AFV(12M)",AVERAGE($M179:M190),IF('Pre-Calculation'!$D$16="% OF AFV(36M)",AVERAGE($M155:M190)))))</f>
        <v>1530727.451</v>
      </c>
      <c r="O190" s="175">
        <f t="shared" si="4"/>
        <v>1530727.451</v>
      </c>
      <c r="P190" s="175">
        <f>IF('Pre-Calculation'!$D$17="Type 4 a",MAX(SA,N190,1.05*Q190),IF('Pre-Calculation'!$D$17="Type 4 c",N190,IF('Pre-Calculation'!$D$17="Type 4 d",SA+N190,IF('Pre-Calculation'!$D$17="Type 4 e",MAX(SA,N190),IF('Pre-Calculation'!$D$17="Type 4 f",SA,IF('Pre-Calculation'!$D$17="Type 4 g",1000+N190,IF('Pre-Calculation'!$D$17="Type 4 h",SA+X190,IF('Pre-Calculation'!$D$17="Type 4 i",MAX(N190,Q190),IF('Pre-Calculation'!$D$17="Type 4 k",MAX(N190,1.01*Q190),IF('Pre-Calculation'!$D$17="Type 4 m",MAX(105%*Q190,SA+N190),IF('Pre-Calculation'!$D$17="Type 4 o",MAX(SA,105%*Q190)+X190+Z190,IF('Pre-Calculation'!$D$17="Type 5",0))))))))))))</f>
        <v>1530727.451</v>
      </c>
      <c r="Q190" s="175">
        <f t="shared" si="5"/>
        <v>1000000</v>
      </c>
      <c r="R190" s="119">
        <f>L190*(1+GROWTH_RATE)*FMC</f>
        <v>1728.847217</v>
      </c>
      <c r="S190" s="178">
        <f>S189*(1+'Pre-Calculation'!$E$27)</f>
        <v>1101536.063</v>
      </c>
      <c r="T190" s="175">
        <f>-E190+IF(A189=INPUT!$C$11*12,N190,0)</f>
        <v>0</v>
      </c>
      <c r="U190" s="175">
        <f t="shared" si="6"/>
        <v>1516635.908</v>
      </c>
      <c r="V190" s="175">
        <f>U190*(1+GROWTH_RATE_L)*(1-'Pre-Calculation'!$E$31)</f>
        <v>1519067.021</v>
      </c>
      <c r="W190" s="175">
        <f>-E190+IF(A189=INPUT!$C$11*12,V190,0)</f>
        <v>0</v>
      </c>
      <c r="X190" s="179">
        <f t="array" ref="X190">NPV('Pre-Calculation'!$E$20,$E191:E$246)</f>
        <v>0</v>
      </c>
      <c r="Y190" s="171">
        <f>10%*SA</f>
        <v>100000</v>
      </c>
      <c r="Z190" s="179">
        <f t="array" ref="Z190">NPV('Pre-Calculation'!$E$20,Y191:Y200)</f>
        <v>969592.8037</v>
      </c>
    </row>
    <row r="191" ht="15.75" customHeight="1">
      <c r="A191" s="171">
        <f t="shared" si="1"/>
        <v>245</v>
      </c>
      <c r="B191" s="171">
        <f t="shared" si="2"/>
        <v>21</v>
      </c>
      <c r="C191" s="176">
        <f>EDATE(RCD,A190)</f>
        <v>49978</v>
      </c>
      <c r="D191" s="171">
        <f>Age_At_Entry+'Cashflows_4%'!B191-1</f>
        <v>55</v>
      </c>
      <c r="E191" s="175">
        <f>IF(AND(C191&lt;=Last_Prem,MOD(A190,Mode)=0,C191&gt;INPUT!$C$13,A191&lt;=Revival!$C$11),Mod_Prem,0)</f>
        <v>0</v>
      </c>
      <c r="F191" s="177">
        <f>IF(B191&lt;PT+1,E191*VLOOKUP(B191,'Pre-Calculation'!$H$1:$I$31,2,FALSE),0)</f>
        <v>0</v>
      </c>
      <c r="G191" s="177">
        <f>IF(B191&lt;PT+1,VLOOKUP(B191,'Pre-Calculation'!$H$1:$L$32,3,FALSE)+VLOOKUP(B191,'Pre-Calculation'!$H$1:$L$32,4,FALSE)*'Pre-Calculation'!$D$7,0)</f>
        <v>0</v>
      </c>
      <c r="H191" s="175">
        <f>(E191-(F191+G191)*(1+Tax)+N190)</f>
        <v>1530727.451</v>
      </c>
      <c r="I191" s="175">
        <f>IF(B191&lt;PT+1,VLOOKUP(D191,'Pre-Calculation'!$N$3:$P$79,IF(INPUT!$C$4="M",2,3),FALSE)*(J191/1000)*(1/12),0)</f>
        <v>0</v>
      </c>
      <c r="J191" s="175">
        <f t="shared" si="3"/>
        <v>0</v>
      </c>
      <c r="K191" s="175">
        <f>(IF('Pre-Calculation'!$D$17="Type 4 a",MAX(SA,H191,1.05*Q191),IF('Pre-Calculation'!$D$17="Type 4 c",H191,IF('Pre-Calculation'!$D$17="Type 4 d",SA+H191,IF('Pre-Calculation'!$D$17="Type 4 e",MAX(SA,H191),IF('Pre-Calculation'!$D$17="Type 4 f",SA,IF('Pre-Calculation'!$D$17="Type 4 g",1000+H191,IF('Pre-Calculation'!$D$17="Type 4 h",SA+X191,IF('Pre-Calculation'!$D$17="Type 4 i",MAX(H191,Q191),IF('Pre-Calculation'!$D$17="Type 4 k",MAX(H191,1.01*Q191),IF('Pre-Calculation'!$D$17="Type 4 m",MAX(105%*Q191,SA+H191),IF('Pre-Calculation'!$D$17="Type 4 o",MAX(SA,105%*Q191)+X191+Z191,IF('Pre-Calculation'!$D$17="Type 5",0)))))))))))))*IF(AND(A191&lt;Revival!$C$4,C191&gt;=Revival!$D$12),PUP,1)</f>
        <v>1530727.451</v>
      </c>
      <c r="L191" s="175">
        <f>H191-I191*(1+Tax)</f>
        <v>1530727.451</v>
      </c>
      <c r="M191" s="175">
        <f>L191*(1+GROWTH_RATE_L)*(1-FMC*(1+Tax))</f>
        <v>1533701.07</v>
      </c>
      <c r="N191" s="175">
        <f>M191+IF(MOD(A191,B191)=0,VLOOKUP(B191,'Pre-Calculation'!$H$1:$L$31,5,FALSE),0)*IF('Pre-Calculation'!$D$16="% OF FV",M191,IF(OR('Pre-Calculation'!$D$16="% OF AFV(24M)",'Pre-Calculation'!$D$16="% OF AFV(8Q)"),AVERAGE( $M168:$M191),IF('Pre-Calculation'!$D$16="% OF AFV(12M)",AVERAGE($M180:M191),IF('Pre-Calculation'!$D$16="% OF AFV(36M)",AVERAGE($M156:M191)))))</f>
        <v>1533701.07</v>
      </c>
      <c r="O191" s="175">
        <f t="shared" si="4"/>
        <v>1533701.07</v>
      </c>
      <c r="P191" s="175">
        <f>IF('Pre-Calculation'!$D$17="Type 4 a",MAX(SA,N191,1.05*Q191),IF('Pre-Calculation'!$D$17="Type 4 c",N191,IF('Pre-Calculation'!$D$17="Type 4 d",SA+N191,IF('Pre-Calculation'!$D$17="Type 4 e",MAX(SA,N191),IF('Pre-Calculation'!$D$17="Type 4 f",SA,IF('Pre-Calculation'!$D$17="Type 4 g",1000+N191,IF('Pre-Calculation'!$D$17="Type 4 h",SA+X191,IF('Pre-Calculation'!$D$17="Type 4 i",MAX(N191,Q191),IF('Pre-Calculation'!$D$17="Type 4 k",MAX(N191,1.01*Q191),IF('Pre-Calculation'!$D$17="Type 4 m",MAX(105%*Q191,SA+N191),IF('Pre-Calculation'!$D$17="Type 4 o",MAX(SA,105%*Q191)+X191+Z191,IF('Pre-Calculation'!$D$17="Type 5",0))))))))))))</f>
        <v>1533701.07</v>
      </c>
      <c r="Q191" s="175">
        <f t="shared" si="5"/>
        <v>1000000</v>
      </c>
      <c r="R191" s="119">
        <f>L191*(1+GROWTH_RATE)*FMC</f>
        <v>1732.205707</v>
      </c>
      <c r="S191" s="178">
        <f>S190*(1+'Pre-Calculation'!$E$27)</f>
        <v>1104698.462</v>
      </c>
      <c r="T191" s="175">
        <f>-E191+IF(A190=INPUT!$C$11*12,N191,0)</f>
        <v>0</v>
      </c>
      <c r="U191" s="175">
        <f t="shared" si="6"/>
        <v>1519067.021</v>
      </c>
      <c r="V191" s="175">
        <f>U191*(1+GROWTH_RATE_L)*(1-'Pre-Calculation'!$E$31)</f>
        <v>1521502.03</v>
      </c>
      <c r="W191" s="175">
        <f>-E191+IF(A190=INPUT!$C$11*12,V191,0)</f>
        <v>0</v>
      </c>
      <c r="X191" s="179">
        <f t="array" ref="X191">NPV('Pre-Calculation'!$E$20,$E192:E$246)</f>
        <v>0</v>
      </c>
      <c r="Y191" s="171">
        <f>10%*SA</f>
        <v>100000</v>
      </c>
      <c r="Z191" s="179">
        <f t="array" ref="Z191">NPV('Pre-Calculation'!$E$20,Y192:Y201)</f>
        <v>969592.8037</v>
      </c>
    </row>
    <row r="192" ht="15.75" customHeight="1">
      <c r="A192" s="171">
        <f t="shared" si="1"/>
        <v>246</v>
      </c>
      <c r="B192" s="171">
        <f t="shared" si="2"/>
        <v>21</v>
      </c>
      <c r="C192" s="176">
        <f>EDATE(RCD,A191)</f>
        <v>50009</v>
      </c>
      <c r="D192" s="171">
        <f>Age_At_Entry+'Cashflows_4%'!B192-1</f>
        <v>55</v>
      </c>
      <c r="E192" s="175">
        <f>IF(AND(C192&lt;=Last_Prem,MOD(A191,Mode)=0,C192&gt;INPUT!$C$13,A192&lt;=Revival!$C$11),Mod_Prem,0)</f>
        <v>0</v>
      </c>
      <c r="F192" s="177">
        <f>IF(B192&lt;PT+1,E192*VLOOKUP(B192,'Pre-Calculation'!$H$1:$I$31,2,FALSE),0)</f>
        <v>0</v>
      </c>
      <c r="G192" s="177">
        <f>IF(B192&lt;PT+1,VLOOKUP(B192,'Pre-Calculation'!$H$1:$L$32,3,FALSE)+VLOOKUP(B192,'Pre-Calculation'!$H$1:$L$32,4,FALSE)*'Pre-Calculation'!$D$7,0)</f>
        <v>0</v>
      </c>
      <c r="H192" s="175">
        <f>(E192-(F192+G192)*(1+Tax)+N191)</f>
        <v>1533701.07</v>
      </c>
      <c r="I192" s="175">
        <f>IF(B192&lt;PT+1,VLOOKUP(D192,'Pre-Calculation'!$N$3:$P$79,IF(INPUT!$C$4="M",2,3),FALSE)*(J192/1000)*(1/12),0)</f>
        <v>0</v>
      </c>
      <c r="J192" s="175">
        <f t="shared" si="3"/>
        <v>0</v>
      </c>
      <c r="K192" s="175">
        <f>(IF('Pre-Calculation'!$D$17="Type 4 a",MAX(SA,H192,1.05*Q192),IF('Pre-Calculation'!$D$17="Type 4 c",H192,IF('Pre-Calculation'!$D$17="Type 4 d",SA+H192,IF('Pre-Calculation'!$D$17="Type 4 e",MAX(SA,H192),IF('Pre-Calculation'!$D$17="Type 4 f",SA,IF('Pre-Calculation'!$D$17="Type 4 g",1000+H192,IF('Pre-Calculation'!$D$17="Type 4 h",SA+X192,IF('Pre-Calculation'!$D$17="Type 4 i",MAX(H192,Q192),IF('Pre-Calculation'!$D$17="Type 4 k",MAX(H192,1.01*Q192),IF('Pre-Calculation'!$D$17="Type 4 m",MAX(105%*Q192,SA+H192),IF('Pre-Calculation'!$D$17="Type 4 o",MAX(SA,105%*Q192)+X192+Z192,IF('Pre-Calculation'!$D$17="Type 5",0)))))))))))))*IF(AND(A192&lt;Revival!$C$4,C192&gt;=Revival!$D$12),PUP,1)</f>
        <v>1533701.07</v>
      </c>
      <c r="L192" s="175">
        <f>H192-I192*(1+Tax)</f>
        <v>1533701.07</v>
      </c>
      <c r="M192" s="175">
        <f>L192*(1+GROWTH_RATE_L)*(1-FMC*(1+Tax))</f>
        <v>1536680.465</v>
      </c>
      <c r="N192" s="175">
        <f>M192+IF(MOD(A192,B192)=0,VLOOKUP(B192,'Pre-Calculation'!$H$1:$L$31,5,FALSE),0)*IF('Pre-Calculation'!$D$16="% OF FV",M192,IF(OR('Pre-Calculation'!$D$16="% OF AFV(24M)",'Pre-Calculation'!$D$16="% OF AFV(8Q)"),AVERAGE( $M169:$M192),IF('Pre-Calculation'!$D$16="% OF AFV(12M)",AVERAGE($M181:M192),IF('Pre-Calculation'!$D$16="% OF AFV(36M)",AVERAGE($M157:M192)))))</f>
        <v>1536680.465</v>
      </c>
      <c r="O192" s="175">
        <f t="shared" si="4"/>
        <v>1536680.465</v>
      </c>
      <c r="P192" s="175">
        <f>IF('Pre-Calculation'!$D$17="Type 4 a",MAX(SA,N192,1.05*Q192),IF('Pre-Calculation'!$D$17="Type 4 c",N192,IF('Pre-Calculation'!$D$17="Type 4 d",SA+N192,IF('Pre-Calculation'!$D$17="Type 4 e",MAX(SA,N192),IF('Pre-Calculation'!$D$17="Type 4 f",SA,IF('Pre-Calculation'!$D$17="Type 4 g",1000+N192,IF('Pre-Calculation'!$D$17="Type 4 h",SA+X192,IF('Pre-Calculation'!$D$17="Type 4 i",MAX(N192,Q192),IF('Pre-Calculation'!$D$17="Type 4 k",MAX(N192,1.01*Q192),IF('Pre-Calculation'!$D$17="Type 4 m",MAX(105%*Q192,SA+N192),IF('Pre-Calculation'!$D$17="Type 4 o",MAX(SA,105%*Q192)+X192+Z192,IF('Pre-Calculation'!$D$17="Type 5",0))))))))))))</f>
        <v>1536680.465</v>
      </c>
      <c r="Q192" s="175">
        <f t="shared" si="5"/>
        <v>1000000</v>
      </c>
      <c r="R192" s="119">
        <f>L192*(1+GROWTH_RATE)*FMC</f>
        <v>1735.570722</v>
      </c>
      <c r="S192" s="178">
        <f>S191*(1+'Pre-Calculation'!$E$27)</f>
        <v>1107869.939</v>
      </c>
      <c r="T192" s="175">
        <f>-E192+IF(A191=INPUT!$C$11*12,N192,0)</f>
        <v>0</v>
      </c>
      <c r="U192" s="175">
        <f t="shared" si="6"/>
        <v>1521502.03</v>
      </c>
      <c r="V192" s="175">
        <f>U192*(1+GROWTH_RATE_L)*(1-'Pre-Calculation'!$E$31)</f>
        <v>1523940.943</v>
      </c>
      <c r="W192" s="175">
        <f>-E192+IF(A191=INPUT!$C$11*12,V192,0)</f>
        <v>0</v>
      </c>
      <c r="X192" s="179">
        <f t="array" ref="X192">NPV('Pre-Calculation'!$E$20,$E193:E$246)</f>
        <v>0</v>
      </c>
      <c r="Y192" s="171">
        <f>10%*SA</f>
        <v>100000</v>
      </c>
      <c r="Z192" s="179">
        <f t="array" ref="Z192">NPV('Pre-Calculation'!$E$20,Y193:Y202)</f>
        <v>969592.8037</v>
      </c>
    </row>
    <row r="193" ht="15.75" customHeight="1">
      <c r="A193" s="171">
        <f t="shared" si="1"/>
        <v>247</v>
      </c>
      <c r="B193" s="171">
        <f t="shared" si="2"/>
        <v>21</v>
      </c>
      <c r="C193" s="176">
        <f>EDATE(RCD,A192)</f>
        <v>50039</v>
      </c>
      <c r="D193" s="171">
        <f>Age_At_Entry+'Cashflows_4%'!B193-1</f>
        <v>55</v>
      </c>
      <c r="E193" s="175">
        <f>IF(AND(C193&lt;=Last_Prem,MOD(A192,Mode)=0,C193&gt;INPUT!$C$13,A193&lt;=Revival!$C$11),Mod_Prem,0)</f>
        <v>0</v>
      </c>
      <c r="F193" s="177">
        <f>IF(B193&lt;PT+1,E193*VLOOKUP(B193,'Pre-Calculation'!$H$1:$I$31,2,FALSE),0)</f>
        <v>0</v>
      </c>
      <c r="G193" s="177">
        <f>IF(B193&lt;PT+1,VLOOKUP(B193,'Pre-Calculation'!$H$1:$L$32,3,FALSE)+VLOOKUP(B193,'Pre-Calculation'!$H$1:$L$32,4,FALSE)*'Pre-Calculation'!$D$7,0)</f>
        <v>0</v>
      </c>
      <c r="H193" s="175">
        <f>(E193-(F193+G193)*(1+Tax)+N192)</f>
        <v>1536680.465</v>
      </c>
      <c r="I193" s="175">
        <f>IF(B193&lt;PT+1,VLOOKUP(D193,'Pre-Calculation'!$N$3:$P$79,IF(INPUT!$C$4="M",2,3),FALSE)*(J193/1000)*(1/12),0)</f>
        <v>0</v>
      </c>
      <c r="J193" s="175">
        <f t="shared" si="3"/>
        <v>0</v>
      </c>
      <c r="K193" s="175">
        <f>(IF('Pre-Calculation'!$D$17="Type 4 a",MAX(SA,H193,1.05*Q193),IF('Pre-Calculation'!$D$17="Type 4 c",H193,IF('Pre-Calculation'!$D$17="Type 4 d",SA+H193,IF('Pre-Calculation'!$D$17="Type 4 e",MAX(SA,H193),IF('Pre-Calculation'!$D$17="Type 4 f",SA,IF('Pre-Calculation'!$D$17="Type 4 g",1000+H193,IF('Pre-Calculation'!$D$17="Type 4 h",SA+X193,IF('Pre-Calculation'!$D$17="Type 4 i",MAX(H193,Q193),IF('Pre-Calculation'!$D$17="Type 4 k",MAX(H193,1.01*Q193),IF('Pre-Calculation'!$D$17="Type 4 m",MAX(105%*Q193,SA+H193),IF('Pre-Calculation'!$D$17="Type 4 o",MAX(SA,105%*Q193)+X193+Z193,IF('Pre-Calculation'!$D$17="Type 5",0)))))))))))))*IF(AND(A193&lt;Revival!$C$4,C193&gt;=Revival!$D$12),PUP,1)</f>
        <v>1536680.465</v>
      </c>
      <c r="L193" s="175">
        <f>H193-I193*(1+Tax)</f>
        <v>1536680.465</v>
      </c>
      <c r="M193" s="175">
        <f>L193*(1+GROWTH_RATE_L)*(1-FMC*(1+Tax))</f>
        <v>1539665.649</v>
      </c>
      <c r="N193" s="175">
        <f>M193+IF(MOD(A193,B193)=0,VLOOKUP(B193,'Pre-Calculation'!$H$1:$L$31,5,FALSE),0)*IF('Pre-Calculation'!$D$16="% OF FV",M193,IF(OR('Pre-Calculation'!$D$16="% OF AFV(24M)",'Pre-Calculation'!$D$16="% OF AFV(8Q)"),AVERAGE( $M170:$M193),IF('Pre-Calculation'!$D$16="% OF AFV(12M)",AVERAGE($M182:M193),IF('Pre-Calculation'!$D$16="% OF AFV(36M)",AVERAGE($M158:M193)))))</f>
        <v>1539665.649</v>
      </c>
      <c r="O193" s="175">
        <f t="shared" si="4"/>
        <v>1539665.649</v>
      </c>
      <c r="P193" s="175">
        <f>IF('Pre-Calculation'!$D$17="Type 4 a",MAX(SA,N193,1.05*Q193),IF('Pre-Calculation'!$D$17="Type 4 c",N193,IF('Pre-Calculation'!$D$17="Type 4 d",SA+N193,IF('Pre-Calculation'!$D$17="Type 4 e",MAX(SA,N193),IF('Pre-Calculation'!$D$17="Type 4 f",SA,IF('Pre-Calculation'!$D$17="Type 4 g",1000+N193,IF('Pre-Calculation'!$D$17="Type 4 h",SA+X193,IF('Pre-Calculation'!$D$17="Type 4 i",MAX(N193,Q193),IF('Pre-Calculation'!$D$17="Type 4 k",MAX(N193,1.01*Q193),IF('Pre-Calculation'!$D$17="Type 4 m",MAX(105%*Q193,SA+N193),IF('Pre-Calculation'!$D$17="Type 4 o",MAX(SA,105%*Q193)+X193+Z193,IF('Pre-Calculation'!$D$17="Type 5",0))))))))))))</f>
        <v>1539665.649</v>
      </c>
      <c r="Q193" s="175">
        <f t="shared" si="5"/>
        <v>1000000</v>
      </c>
      <c r="R193" s="119">
        <f>L193*(1+GROWTH_RATE)*FMC</f>
        <v>1738.942273</v>
      </c>
      <c r="S193" s="178">
        <f>S192*(1+'Pre-Calculation'!$E$27)</f>
        <v>1111050.522</v>
      </c>
      <c r="T193" s="175">
        <f>-E193+IF(A192=INPUT!$C$11*12,N193,0)</f>
        <v>0</v>
      </c>
      <c r="U193" s="175">
        <f t="shared" si="6"/>
        <v>1523940.943</v>
      </c>
      <c r="V193" s="175">
        <f>U193*(1+GROWTH_RATE_L)*(1-'Pre-Calculation'!$E$31)</f>
        <v>1526383.765</v>
      </c>
      <c r="W193" s="175">
        <f>-E193+IF(A192=INPUT!$C$11*12,V193,0)</f>
        <v>0</v>
      </c>
      <c r="X193" s="179">
        <f t="array" ref="X193">NPV('Pre-Calculation'!$E$20,$E194:E$246)</f>
        <v>0</v>
      </c>
      <c r="Y193" s="171">
        <f>10%*SA</f>
        <v>100000</v>
      </c>
      <c r="Z193" s="179">
        <f t="array" ref="Z193">NPV('Pre-Calculation'!$E$20,Y194:Y203)</f>
        <v>969592.8037</v>
      </c>
    </row>
    <row r="194" ht="15.75" customHeight="1">
      <c r="A194" s="171">
        <f t="shared" si="1"/>
        <v>248</v>
      </c>
      <c r="B194" s="171">
        <f t="shared" si="2"/>
        <v>21</v>
      </c>
      <c r="C194" s="176">
        <f>EDATE(RCD,A193)</f>
        <v>50070</v>
      </c>
      <c r="D194" s="171">
        <f>Age_At_Entry+'Cashflows_4%'!B194-1</f>
        <v>55</v>
      </c>
      <c r="E194" s="175">
        <f>IF(AND(C194&lt;=Last_Prem,MOD(A193,Mode)=0,C194&gt;INPUT!$C$13,A194&lt;=Revival!$C$11),Mod_Prem,0)</f>
        <v>0</v>
      </c>
      <c r="F194" s="177">
        <f>IF(B194&lt;PT+1,E194*VLOOKUP(B194,'Pre-Calculation'!$H$1:$I$31,2,FALSE),0)</f>
        <v>0</v>
      </c>
      <c r="G194" s="177">
        <f>IF(B194&lt;PT+1,VLOOKUP(B194,'Pre-Calculation'!$H$1:$L$32,3,FALSE)+VLOOKUP(B194,'Pre-Calculation'!$H$1:$L$32,4,FALSE)*'Pre-Calculation'!$D$7,0)</f>
        <v>0</v>
      </c>
      <c r="H194" s="175">
        <f>(E194-(F194+G194)*(1+Tax)+N193)</f>
        <v>1539665.649</v>
      </c>
      <c r="I194" s="175">
        <f>IF(B194&lt;PT+1,VLOOKUP(D194,'Pre-Calculation'!$N$3:$P$79,IF(INPUT!$C$4="M",2,3),FALSE)*(J194/1000)*(1/12),0)</f>
        <v>0</v>
      </c>
      <c r="J194" s="175">
        <f t="shared" si="3"/>
        <v>0</v>
      </c>
      <c r="K194" s="175">
        <f>(IF('Pre-Calculation'!$D$17="Type 4 a",MAX(SA,H194,1.05*Q194),IF('Pre-Calculation'!$D$17="Type 4 c",H194,IF('Pre-Calculation'!$D$17="Type 4 d",SA+H194,IF('Pre-Calculation'!$D$17="Type 4 e",MAX(SA,H194),IF('Pre-Calculation'!$D$17="Type 4 f",SA,IF('Pre-Calculation'!$D$17="Type 4 g",1000+H194,IF('Pre-Calculation'!$D$17="Type 4 h",SA+X194,IF('Pre-Calculation'!$D$17="Type 4 i",MAX(H194,Q194),IF('Pre-Calculation'!$D$17="Type 4 k",MAX(H194,1.01*Q194),IF('Pre-Calculation'!$D$17="Type 4 m",MAX(105%*Q194,SA+H194),IF('Pre-Calculation'!$D$17="Type 4 o",MAX(SA,105%*Q194)+X194+Z194,IF('Pre-Calculation'!$D$17="Type 5",0)))))))))))))*IF(AND(A194&lt;Revival!$C$4,C194&gt;=Revival!$D$12),PUP,1)</f>
        <v>1539665.649</v>
      </c>
      <c r="L194" s="175">
        <f>H194-I194*(1+Tax)</f>
        <v>1539665.649</v>
      </c>
      <c r="M194" s="175">
        <f>L194*(1+GROWTH_RATE_L)*(1-FMC*(1+Tax))</f>
        <v>1542656.631</v>
      </c>
      <c r="N194" s="175">
        <f>M194+IF(MOD(A194,B194)=0,VLOOKUP(B194,'Pre-Calculation'!$H$1:$L$31,5,FALSE),0)*IF('Pre-Calculation'!$D$16="% OF FV",M194,IF(OR('Pre-Calculation'!$D$16="% OF AFV(24M)",'Pre-Calculation'!$D$16="% OF AFV(8Q)"),AVERAGE( $M171:$M194),IF('Pre-Calculation'!$D$16="% OF AFV(12M)",AVERAGE($M183:M194),IF('Pre-Calculation'!$D$16="% OF AFV(36M)",AVERAGE($M159:M194)))))</f>
        <v>1542656.631</v>
      </c>
      <c r="O194" s="175">
        <f t="shared" si="4"/>
        <v>1542656.631</v>
      </c>
      <c r="P194" s="175">
        <f>IF('Pre-Calculation'!$D$17="Type 4 a",MAX(SA,N194,1.05*Q194),IF('Pre-Calculation'!$D$17="Type 4 c",N194,IF('Pre-Calculation'!$D$17="Type 4 d",SA+N194,IF('Pre-Calculation'!$D$17="Type 4 e",MAX(SA,N194),IF('Pre-Calculation'!$D$17="Type 4 f",SA,IF('Pre-Calculation'!$D$17="Type 4 g",1000+N194,IF('Pre-Calculation'!$D$17="Type 4 h",SA+X194,IF('Pre-Calculation'!$D$17="Type 4 i",MAX(N194,Q194),IF('Pre-Calculation'!$D$17="Type 4 k",MAX(N194,1.01*Q194),IF('Pre-Calculation'!$D$17="Type 4 m",MAX(105%*Q194,SA+N194),IF('Pre-Calculation'!$D$17="Type 4 o",MAX(SA,105%*Q194)+X194+Z194,IF('Pre-Calculation'!$D$17="Type 5",0))))))))))))</f>
        <v>1542656.631</v>
      </c>
      <c r="Q194" s="175">
        <f t="shared" si="5"/>
        <v>1000000</v>
      </c>
      <c r="R194" s="119">
        <f>L194*(1+GROWTH_RATE)*FMC</f>
        <v>1742.320374</v>
      </c>
      <c r="S194" s="178">
        <f>S193*(1+'Pre-Calculation'!$E$27)</f>
        <v>1114240.235</v>
      </c>
      <c r="T194" s="175">
        <f>-E194+IF(A193=INPUT!$C$11*12,N194,0)</f>
        <v>0</v>
      </c>
      <c r="U194" s="175">
        <f t="shared" si="6"/>
        <v>1526383.765</v>
      </c>
      <c r="V194" s="175">
        <f>U194*(1+GROWTH_RATE_L)*(1-'Pre-Calculation'!$E$31)</f>
        <v>1528830.503</v>
      </c>
      <c r="W194" s="175">
        <f>-E194+IF(A193=INPUT!$C$11*12,V194,0)</f>
        <v>0</v>
      </c>
      <c r="X194" s="179">
        <f t="array" ref="X194">NPV('Pre-Calculation'!$E$20,$E195:E$246)</f>
        <v>0</v>
      </c>
      <c r="Y194" s="171">
        <f>10%*SA</f>
        <v>100000</v>
      </c>
      <c r="Z194" s="179">
        <f t="array" ref="Z194">NPV('Pre-Calculation'!$E$20,Y195:Y204)</f>
        <v>969592.8037</v>
      </c>
    </row>
    <row r="195" ht="15.75" customHeight="1">
      <c r="A195" s="171">
        <f t="shared" si="1"/>
        <v>249</v>
      </c>
      <c r="B195" s="171">
        <f t="shared" si="2"/>
        <v>21</v>
      </c>
      <c r="C195" s="176">
        <f>EDATE(RCD,A194)</f>
        <v>50099</v>
      </c>
      <c r="D195" s="171">
        <f>Age_At_Entry+'Cashflows_4%'!B195-1</f>
        <v>55</v>
      </c>
      <c r="E195" s="175">
        <f>IF(AND(C195&lt;=Last_Prem,MOD(A194,Mode)=0,C195&gt;INPUT!$C$13,A195&lt;=Revival!$C$11),Mod_Prem,0)</f>
        <v>0</v>
      </c>
      <c r="F195" s="177">
        <f>IF(B195&lt;PT+1,E195*VLOOKUP(B195,'Pre-Calculation'!$H$1:$I$31,2,FALSE),0)</f>
        <v>0</v>
      </c>
      <c r="G195" s="177">
        <f>IF(B195&lt;PT+1,VLOOKUP(B195,'Pre-Calculation'!$H$1:$L$32,3,FALSE)+VLOOKUP(B195,'Pre-Calculation'!$H$1:$L$32,4,FALSE)*'Pre-Calculation'!$D$7,0)</f>
        <v>0</v>
      </c>
      <c r="H195" s="175">
        <f>(E195-(F195+G195)*(1+Tax)+N194)</f>
        <v>1542656.631</v>
      </c>
      <c r="I195" s="175">
        <f>IF(B195&lt;PT+1,VLOOKUP(D195,'Pre-Calculation'!$N$3:$P$79,IF(INPUT!$C$4="M",2,3),FALSE)*(J195/1000)*(1/12),0)</f>
        <v>0</v>
      </c>
      <c r="J195" s="175">
        <f t="shared" si="3"/>
        <v>0</v>
      </c>
      <c r="K195" s="175">
        <f>(IF('Pre-Calculation'!$D$17="Type 4 a",MAX(SA,H195,1.05*Q195),IF('Pre-Calculation'!$D$17="Type 4 c",H195,IF('Pre-Calculation'!$D$17="Type 4 d",SA+H195,IF('Pre-Calculation'!$D$17="Type 4 e",MAX(SA,H195),IF('Pre-Calculation'!$D$17="Type 4 f",SA,IF('Pre-Calculation'!$D$17="Type 4 g",1000+H195,IF('Pre-Calculation'!$D$17="Type 4 h",SA+X195,IF('Pre-Calculation'!$D$17="Type 4 i",MAX(H195,Q195),IF('Pre-Calculation'!$D$17="Type 4 k",MAX(H195,1.01*Q195),IF('Pre-Calculation'!$D$17="Type 4 m",MAX(105%*Q195,SA+H195),IF('Pre-Calculation'!$D$17="Type 4 o",MAX(SA,105%*Q195)+X195+Z195,IF('Pre-Calculation'!$D$17="Type 5",0)))))))))))))*IF(AND(A195&lt;Revival!$C$4,C195&gt;=Revival!$D$12),PUP,1)</f>
        <v>1542656.631</v>
      </c>
      <c r="L195" s="175">
        <f>H195-I195*(1+Tax)</f>
        <v>1542656.631</v>
      </c>
      <c r="M195" s="175">
        <f>L195*(1+GROWTH_RATE_L)*(1-FMC*(1+Tax))</f>
        <v>1545653.424</v>
      </c>
      <c r="N195" s="175">
        <f>M195+IF(MOD(A195,B195)=0,VLOOKUP(B195,'Pre-Calculation'!$H$1:$L$31,5,FALSE),0)*IF('Pre-Calculation'!$D$16="% OF FV",M195,IF(OR('Pre-Calculation'!$D$16="% OF AFV(24M)",'Pre-Calculation'!$D$16="% OF AFV(8Q)"),AVERAGE( $M172:$M195),IF('Pre-Calculation'!$D$16="% OF AFV(12M)",AVERAGE($M184:M195),IF('Pre-Calculation'!$D$16="% OF AFV(36M)",AVERAGE($M160:M195)))))</f>
        <v>1545653.424</v>
      </c>
      <c r="O195" s="175">
        <f t="shared" si="4"/>
        <v>1545653.424</v>
      </c>
      <c r="P195" s="175">
        <f>IF('Pre-Calculation'!$D$17="Type 4 a",MAX(SA,N195,1.05*Q195),IF('Pre-Calculation'!$D$17="Type 4 c",N195,IF('Pre-Calculation'!$D$17="Type 4 d",SA+N195,IF('Pre-Calculation'!$D$17="Type 4 e",MAX(SA,N195),IF('Pre-Calculation'!$D$17="Type 4 f",SA,IF('Pre-Calculation'!$D$17="Type 4 g",1000+N195,IF('Pre-Calculation'!$D$17="Type 4 h",SA+X195,IF('Pre-Calculation'!$D$17="Type 4 i",MAX(N195,Q195),IF('Pre-Calculation'!$D$17="Type 4 k",MAX(N195,1.01*Q195),IF('Pre-Calculation'!$D$17="Type 4 m",MAX(105%*Q195,SA+N195),IF('Pre-Calculation'!$D$17="Type 4 o",MAX(SA,105%*Q195)+X195+Z195,IF('Pre-Calculation'!$D$17="Type 5",0))))))))))))</f>
        <v>1545653.424</v>
      </c>
      <c r="Q195" s="175">
        <f t="shared" si="5"/>
        <v>1000000</v>
      </c>
      <c r="R195" s="119">
        <f>L195*(1+GROWTH_RATE)*FMC</f>
        <v>1745.705037</v>
      </c>
      <c r="S195" s="178">
        <f>S194*(1+'Pre-Calculation'!$E$27)</f>
        <v>1117439.106</v>
      </c>
      <c r="T195" s="175">
        <f>-E195+IF(A194=INPUT!$C$11*12,N195,0)</f>
        <v>0</v>
      </c>
      <c r="U195" s="175">
        <f t="shared" si="6"/>
        <v>1528830.503</v>
      </c>
      <c r="V195" s="175">
        <f>U195*(1+GROWTH_RATE_L)*(1-'Pre-Calculation'!$E$31)</f>
        <v>1531281.163</v>
      </c>
      <c r="W195" s="175">
        <f>-E195+IF(A194=INPUT!$C$11*12,V195,0)</f>
        <v>0</v>
      </c>
      <c r="X195" s="179">
        <f t="array" ref="X195">NPV('Pre-Calculation'!$E$20,$E196:E$246)</f>
        <v>0</v>
      </c>
      <c r="Y195" s="171">
        <f>10%*SA</f>
        <v>100000</v>
      </c>
      <c r="Z195" s="179">
        <f t="array" ref="Z195">NPV('Pre-Calculation'!$E$20,Y196:Y205)</f>
        <v>969592.8037</v>
      </c>
    </row>
    <row r="196" ht="15.75" customHeight="1">
      <c r="A196" s="171">
        <f t="shared" si="1"/>
        <v>250</v>
      </c>
      <c r="B196" s="171">
        <f t="shared" si="2"/>
        <v>21</v>
      </c>
      <c r="C196" s="176">
        <f>EDATE(RCD,A195)</f>
        <v>50129</v>
      </c>
      <c r="D196" s="171">
        <f>Age_At_Entry+'Cashflows_4%'!B196-1</f>
        <v>55</v>
      </c>
      <c r="E196" s="175">
        <f>IF(AND(C196&lt;=Last_Prem,MOD(A195,Mode)=0,C196&gt;INPUT!$C$13,A196&lt;=Revival!$C$11),Mod_Prem,0)</f>
        <v>0</v>
      </c>
      <c r="F196" s="177">
        <f>IF(B196&lt;PT+1,E196*VLOOKUP(B196,'Pre-Calculation'!$H$1:$I$31,2,FALSE),0)</f>
        <v>0</v>
      </c>
      <c r="G196" s="177">
        <f>IF(B196&lt;PT+1,VLOOKUP(B196,'Pre-Calculation'!$H$1:$L$32,3,FALSE)+VLOOKUP(B196,'Pre-Calculation'!$H$1:$L$32,4,FALSE)*'Pre-Calculation'!$D$7,0)</f>
        <v>0</v>
      </c>
      <c r="H196" s="175">
        <f>(E196-(F196+G196)*(1+Tax)+N195)</f>
        <v>1545653.424</v>
      </c>
      <c r="I196" s="175">
        <f>IF(B196&lt;PT+1,VLOOKUP(D196,'Pre-Calculation'!$N$3:$P$79,IF(INPUT!$C$4="M",2,3),FALSE)*(J196/1000)*(1/12),0)</f>
        <v>0</v>
      </c>
      <c r="J196" s="175">
        <f t="shared" si="3"/>
        <v>0</v>
      </c>
      <c r="K196" s="175">
        <f>(IF('Pre-Calculation'!$D$17="Type 4 a",MAX(SA,H196,1.05*Q196),IF('Pre-Calculation'!$D$17="Type 4 c",H196,IF('Pre-Calculation'!$D$17="Type 4 d",SA+H196,IF('Pre-Calculation'!$D$17="Type 4 e",MAX(SA,H196),IF('Pre-Calculation'!$D$17="Type 4 f",SA,IF('Pre-Calculation'!$D$17="Type 4 g",1000+H196,IF('Pre-Calculation'!$D$17="Type 4 h",SA+X196,IF('Pre-Calculation'!$D$17="Type 4 i",MAX(H196,Q196),IF('Pre-Calculation'!$D$17="Type 4 k",MAX(H196,1.01*Q196),IF('Pre-Calculation'!$D$17="Type 4 m",MAX(105%*Q196,SA+H196),IF('Pre-Calculation'!$D$17="Type 4 o",MAX(SA,105%*Q196)+X196+Z196,IF('Pre-Calculation'!$D$17="Type 5",0)))))))))))))*IF(AND(A196&lt;Revival!$C$4,C196&gt;=Revival!$D$12),PUP,1)</f>
        <v>1545653.424</v>
      </c>
      <c r="L196" s="175">
        <f>H196-I196*(1+Tax)</f>
        <v>1545653.424</v>
      </c>
      <c r="M196" s="175">
        <f>L196*(1+GROWTH_RATE_L)*(1-FMC*(1+Tax))</f>
        <v>1548656.038</v>
      </c>
      <c r="N196" s="175">
        <f>M196+IF(MOD(A196,B196)=0,VLOOKUP(B196,'Pre-Calculation'!$H$1:$L$31,5,FALSE),0)*IF('Pre-Calculation'!$D$16="% OF FV",M196,IF(OR('Pre-Calculation'!$D$16="% OF AFV(24M)",'Pre-Calculation'!$D$16="% OF AFV(8Q)"),AVERAGE( $M173:$M196),IF('Pre-Calculation'!$D$16="% OF AFV(12M)",AVERAGE($M185:M196),IF('Pre-Calculation'!$D$16="% OF AFV(36M)",AVERAGE($M161:M196)))))</f>
        <v>1548656.038</v>
      </c>
      <c r="O196" s="175">
        <f t="shared" si="4"/>
        <v>1548656.038</v>
      </c>
      <c r="P196" s="175">
        <f>IF('Pre-Calculation'!$D$17="Type 4 a",MAX(SA,N196,1.05*Q196),IF('Pre-Calculation'!$D$17="Type 4 c",N196,IF('Pre-Calculation'!$D$17="Type 4 d",SA+N196,IF('Pre-Calculation'!$D$17="Type 4 e",MAX(SA,N196),IF('Pre-Calculation'!$D$17="Type 4 f",SA,IF('Pre-Calculation'!$D$17="Type 4 g",1000+N196,IF('Pre-Calculation'!$D$17="Type 4 h",SA+X196,IF('Pre-Calculation'!$D$17="Type 4 i",MAX(N196,Q196),IF('Pre-Calculation'!$D$17="Type 4 k",MAX(N196,1.01*Q196),IF('Pre-Calculation'!$D$17="Type 4 m",MAX(105%*Q196,SA+N196),IF('Pre-Calculation'!$D$17="Type 4 o",MAX(SA,105%*Q196)+X196+Z196,IF('Pre-Calculation'!$D$17="Type 5",0))))))))))))</f>
        <v>1548656.038</v>
      </c>
      <c r="Q196" s="175">
        <f t="shared" si="5"/>
        <v>1000000</v>
      </c>
      <c r="R196" s="119">
        <f>L196*(1+GROWTH_RATE)*FMC</f>
        <v>1749.096275</v>
      </c>
      <c r="S196" s="178">
        <f>S195*(1+'Pre-Calculation'!$E$27)</f>
        <v>1120647.16</v>
      </c>
      <c r="T196" s="175">
        <f>-E196+IF(A195=INPUT!$C$11*12,N196,0)</f>
        <v>0</v>
      </c>
      <c r="U196" s="175">
        <f t="shared" si="6"/>
        <v>1531281.163</v>
      </c>
      <c r="V196" s="175">
        <f>U196*(1+GROWTH_RATE_L)*(1-'Pre-Calculation'!$E$31)</f>
        <v>1533735.751</v>
      </c>
      <c r="W196" s="175">
        <f>-E196+IF(A195=INPUT!$C$11*12,V196,0)</f>
        <v>0</v>
      </c>
      <c r="X196" s="179">
        <f t="array" ref="X196">NPV('Pre-Calculation'!$E$20,$E197:E$246)</f>
        <v>0</v>
      </c>
      <c r="Y196" s="171">
        <f>10%*SA</f>
        <v>100000</v>
      </c>
      <c r="Z196" s="179">
        <f t="array" ref="Z196">NPV('Pre-Calculation'!$E$20,Y197:Y206)</f>
        <v>969592.8037</v>
      </c>
    </row>
    <row r="197" ht="15.75" customHeight="1">
      <c r="A197" s="171">
        <f t="shared" si="1"/>
        <v>251</v>
      </c>
      <c r="B197" s="171">
        <f t="shared" si="2"/>
        <v>21</v>
      </c>
      <c r="C197" s="176">
        <f>EDATE(RCD,A196)</f>
        <v>50160</v>
      </c>
      <c r="D197" s="171">
        <f>Age_At_Entry+'Cashflows_4%'!B197-1</f>
        <v>55</v>
      </c>
      <c r="E197" s="175">
        <f>IF(AND(C197&lt;=Last_Prem,MOD(A196,Mode)=0,C197&gt;INPUT!$C$13,A197&lt;=Revival!$C$11),Mod_Prem,0)</f>
        <v>0</v>
      </c>
      <c r="F197" s="177">
        <f>IF(B197&lt;PT+1,E197*VLOOKUP(B197,'Pre-Calculation'!$H$1:$I$31,2,FALSE),0)</f>
        <v>0</v>
      </c>
      <c r="G197" s="177">
        <f>IF(B197&lt;PT+1,VLOOKUP(B197,'Pre-Calculation'!$H$1:$L$32,3,FALSE)+VLOOKUP(B197,'Pre-Calculation'!$H$1:$L$32,4,FALSE)*'Pre-Calculation'!$D$7,0)</f>
        <v>0</v>
      </c>
      <c r="H197" s="175">
        <f>(E197-(F197+G197)*(1+Tax)+N196)</f>
        <v>1548656.038</v>
      </c>
      <c r="I197" s="175">
        <f>IF(B197&lt;PT+1,VLOOKUP(D197,'Pre-Calculation'!$N$3:$P$79,IF(INPUT!$C$4="M",2,3),FALSE)*(J197/1000)*(1/12),0)</f>
        <v>0</v>
      </c>
      <c r="J197" s="175">
        <f t="shared" si="3"/>
        <v>0</v>
      </c>
      <c r="K197" s="175">
        <f>(IF('Pre-Calculation'!$D$17="Type 4 a",MAX(SA,H197,1.05*Q197),IF('Pre-Calculation'!$D$17="Type 4 c",H197,IF('Pre-Calculation'!$D$17="Type 4 d",SA+H197,IF('Pre-Calculation'!$D$17="Type 4 e",MAX(SA,H197),IF('Pre-Calculation'!$D$17="Type 4 f",SA,IF('Pre-Calculation'!$D$17="Type 4 g",1000+H197,IF('Pre-Calculation'!$D$17="Type 4 h",SA+X197,IF('Pre-Calculation'!$D$17="Type 4 i",MAX(H197,Q197),IF('Pre-Calculation'!$D$17="Type 4 k",MAX(H197,1.01*Q197),IF('Pre-Calculation'!$D$17="Type 4 m",MAX(105%*Q197,SA+H197),IF('Pre-Calculation'!$D$17="Type 4 o",MAX(SA,105%*Q197)+X197+Z197,IF('Pre-Calculation'!$D$17="Type 5",0)))))))))))))*IF(AND(A197&lt;Revival!$C$4,C197&gt;=Revival!$D$12),PUP,1)</f>
        <v>1548656.038</v>
      </c>
      <c r="L197" s="175">
        <f>H197-I197*(1+Tax)</f>
        <v>1548656.038</v>
      </c>
      <c r="M197" s="175">
        <f>L197*(1+GROWTH_RATE_L)*(1-FMC*(1+Tax))</f>
        <v>1551664.486</v>
      </c>
      <c r="N197" s="175">
        <f>M197+IF(MOD(A197,B197)=0,VLOOKUP(B197,'Pre-Calculation'!$H$1:$L$31,5,FALSE),0)*IF('Pre-Calculation'!$D$16="% OF FV",M197,IF(OR('Pre-Calculation'!$D$16="% OF AFV(24M)",'Pre-Calculation'!$D$16="% OF AFV(8Q)"),AVERAGE( $M174:$M197),IF('Pre-Calculation'!$D$16="% OF AFV(12M)",AVERAGE($M186:M197),IF('Pre-Calculation'!$D$16="% OF AFV(36M)",AVERAGE($M162:M197)))))</f>
        <v>1551664.486</v>
      </c>
      <c r="O197" s="175">
        <f t="shared" si="4"/>
        <v>1551664.486</v>
      </c>
      <c r="P197" s="175">
        <f>IF('Pre-Calculation'!$D$17="Type 4 a",MAX(SA,N197,1.05*Q197),IF('Pre-Calculation'!$D$17="Type 4 c",N197,IF('Pre-Calculation'!$D$17="Type 4 d",SA+N197,IF('Pre-Calculation'!$D$17="Type 4 e",MAX(SA,N197),IF('Pre-Calculation'!$D$17="Type 4 f",SA,IF('Pre-Calculation'!$D$17="Type 4 g",1000+N197,IF('Pre-Calculation'!$D$17="Type 4 h",SA+X197,IF('Pre-Calculation'!$D$17="Type 4 i",MAX(N197,Q197),IF('Pre-Calculation'!$D$17="Type 4 k",MAX(N197,1.01*Q197),IF('Pre-Calculation'!$D$17="Type 4 m",MAX(105%*Q197,SA+N197),IF('Pre-Calculation'!$D$17="Type 4 o",MAX(SA,105%*Q197)+X197+Z197,IF('Pre-Calculation'!$D$17="Type 5",0))))))))))))</f>
        <v>1551664.486</v>
      </c>
      <c r="Q197" s="175">
        <f t="shared" si="5"/>
        <v>1000000</v>
      </c>
      <c r="R197" s="119">
        <f>L197*(1+GROWTH_RATE)*FMC</f>
        <v>1752.494102</v>
      </c>
      <c r="S197" s="178">
        <f>S196*(1+'Pre-Calculation'!$E$27)</f>
        <v>1123864.425</v>
      </c>
      <c r="T197" s="175">
        <f>-E197+IF(A196=INPUT!$C$11*12,N197,0)</f>
        <v>0</v>
      </c>
      <c r="U197" s="175">
        <f t="shared" si="6"/>
        <v>1533735.751</v>
      </c>
      <c r="V197" s="175">
        <f>U197*(1+GROWTH_RATE_L)*(1-'Pre-Calculation'!$E$31)</f>
        <v>1536194.274</v>
      </c>
      <c r="W197" s="175">
        <f>-E197+IF(A196=INPUT!$C$11*12,V197,0)</f>
        <v>0</v>
      </c>
      <c r="X197" s="179">
        <f t="array" ref="X197">NPV('Pre-Calculation'!$E$20,$E198:E$246)</f>
        <v>0</v>
      </c>
      <c r="Y197" s="171">
        <f>10%*SA</f>
        <v>100000</v>
      </c>
      <c r="Z197" s="179">
        <f t="array" ref="Z197">NPV('Pre-Calculation'!$E$20,Y198:Y207)</f>
        <v>969592.8037</v>
      </c>
    </row>
    <row r="198" ht="15.75" customHeight="1">
      <c r="A198" s="171">
        <f t="shared" si="1"/>
        <v>252</v>
      </c>
      <c r="B198" s="171">
        <f t="shared" si="2"/>
        <v>21</v>
      </c>
      <c r="C198" s="176">
        <f>EDATE(RCD,A197)</f>
        <v>50190</v>
      </c>
      <c r="D198" s="171">
        <f>Age_At_Entry+'Cashflows_4%'!B198-1</f>
        <v>55</v>
      </c>
      <c r="E198" s="175">
        <f>IF(AND(C198&lt;=Last_Prem,MOD(A197,Mode)=0,C198&gt;INPUT!$C$13,A198&lt;=Revival!$C$11),Mod_Prem,0)</f>
        <v>0</v>
      </c>
      <c r="F198" s="177">
        <f>IF(B198&lt;PT+1,E198*VLOOKUP(B198,'Pre-Calculation'!$H$1:$I$31,2,FALSE),0)</f>
        <v>0</v>
      </c>
      <c r="G198" s="177">
        <f>IF(B198&lt;PT+1,VLOOKUP(B198,'Pre-Calculation'!$H$1:$L$32,3,FALSE)+VLOOKUP(B198,'Pre-Calculation'!$H$1:$L$32,4,FALSE)*'Pre-Calculation'!$D$7,0)</f>
        <v>0</v>
      </c>
      <c r="H198" s="175">
        <f>(E198-(F198+G198)*(1+Tax)+N197)</f>
        <v>1551664.486</v>
      </c>
      <c r="I198" s="175">
        <f>IF(B198&lt;PT+1,VLOOKUP(D198,'Pre-Calculation'!$N$3:$P$79,IF(INPUT!$C$4="M",2,3),FALSE)*(J198/1000)*(1/12),0)</f>
        <v>0</v>
      </c>
      <c r="J198" s="175">
        <f t="shared" si="3"/>
        <v>0</v>
      </c>
      <c r="K198" s="175">
        <f>(IF('Pre-Calculation'!$D$17="Type 4 a",MAX(SA,H198,1.05*Q198),IF('Pre-Calculation'!$D$17="Type 4 c",H198,IF('Pre-Calculation'!$D$17="Type 4 d",SA+H198,IF('Pre-Calculation'!$D$17="Type 4 e",MAX(SA,H198),IF('Pre-Calculation'!$D$17="Type 4 f",SA,IF('Pre-Calculation'!$D$17="Type 4 g",1000+H198,IF('Pre-Calculation'!$D$17="Type 4 h",SA+X198,IF('Pre-Calculation'!$D$17="Type 4 i",MAX(H198,Q198),IF('Pre-Calculation'!$D$17="Type 4 k",MAX(H198,1.01*Q198),IF('Pre-Calculation'!$D$17="Type 4 m",MAX(105%*Q198,SA+H198),IF('Pre-Calculation'!$D$17="Type 4 o",MAX(SA,105%*Q198)+X198+Z198,IF('Pre-Calculation'!$D$17="Type 5",0)))))))))))))*IF(AND(A198&lt;Revival!$C$4,C198&gt;=Revival!$D$12),PUP,1)</f>
        <v>1551664.486</v>
      </c>
      <c r="L198" s="175">
        <f>H198-I198*(1+Tax)</f>
        <v>1551664.486</v>
      </c>
      <c r="M198" s="175">
        <f>L198*(1+GROWTH_RATE_L)*(1-FMC*(1+Tax))</f>
        <v>1554678.777</v>
      </c>
      <c r="N198" s="175">
        <f>M198+IF(MOD(A198,B198)=0,VLOOKUP(B198,'Pre-Calculation'!$H$1:$L$31,5,FALSE),0)*IF('Pre-Calculation'!$D$16="% OF FV",M198,IF(OR('Pre-Calculation'!$D$16="% OF AFV(24M)",'Pre-Calculation'!$D$16="% OF AFV(8Q)"),AVERAGE( $M175:$M198),IF('Pre-Calculation'!$D$16="% OF AFV(12M)",AVERAGE($M187:M198),IF('Pre-Calculation'!$D$16="% OF AFV(36M)",AVERAGE($M163:M198)))))</f>
        <v>1554678.777</v>
      </c>
      <c r="O198" s="175">
        <f t="shared" si="4"/>
        <v>1554678.777</v>
      </c>
      <c r="P198" s="175">
        <f>IF('Pre-Calculation'!$D$17="Type 4 a",MAX(SA,N198,1.05*Q198),IF('Pre-Calculation'!$D$17="Type 4 c",N198,IF('Pre-Calculation'!$D$17="Type 4 d",SA+N198,IF('Pre-Calculation'!$D$17="Type 4 e",MAX(SA,N198),IF('Pre-Calculation'!$D$17="Type 4 f",SA,IF('Pre-Calculation'!$D$17="Type 4 g",1000+N198,IF('Pre-Calculation'!$D$17="Type 4 h",SA+X198,IF('Pre-Calculation'!$D$17="Type 4 i",MAX(N198,Q198),IF('Pre-Calculation'!$D$17="Type 4 k",MAX(N198,1.01*Q198),IF('Pre-Calculation'!$D$17="Type 4 m",MAX(105%*Q198,SA+N198),IF('Pre-Calculation'!$D$17="Type 4 o",MAX(SA,105%*Q198)+X198+Z198,IF('Pre-Calculation'!$D$17="Type 5",0))))))))))))</f>
        <v>1554678.777</v>
      </c>
      <c r="Q198" s="175">
        <f t="shared" si="5"/>
        <v>1000000</v>
      </c>
      <c r="R198" s="119">
        <f>L198*(1+GROWTH_RATE)*FMC</f>
        <v>1755.898528</v>
      </c>
      <c r="S198" s="178">
        <f>S197*(1+'Pre-Calculation'!$E$27)</f>
        <v>1127090.926</v>
      </c>
      <c r="T198" s="175">
        <f>-E198+IF(A197=INPUT!$C$11*12,N198,0)</f>
        <v>0</v>
      </c>
      <c r="U198" s="175">
        <f t="shared" si="6"/>
        <v>1536194.274</v>
      </c>
      <c r="V198" s="175">
        <f>U198*(1+GROWTH_RATE_L)*(1-'Pre-Calculation'!$E$31)</f>
        <v>1538656.738</v>
      </c>
      <c r="W198" s="175">
        <f>-E198+IF(A197=INPUT!$C$11*12,V198,0)</f>
        <v>0</v>
      </c>
      <c r="X198" s="179">
        <f t="array" ref="X198">NPV('Pre-Calculation'!$E$20,$E199:E$246)</f>
        <v>0</v>
      </c>
      <c r="Y198" s="171">
        <f>10%*SA</f>
        <v>100000</v>
      </c>
      <c r="Z198" s="179">
        <f t="array" ref="Z198">NPV('Pre-Calculation'!$E$20,Y199:Y208)</f>
        <v>969592.8037</v>
      </c>
    </row>
    <row r="199" ht="15.75" customHeight="1">
      <c r="A199" s="171">
        <f t="shared" si="1"/>
        <v>253</v>
      </c>
      <c r="B199" s="171">
        <f t="shared" si="2"/>
        <v>22</v>
      </c>
      <c r="C199" s="176">
        <f>EDATE(RCD,A198)</f>
        <v>50221</v>
      </c>
      <c r="D199" s="171">
        <f>Age_At_Entry+'Cashflows_4%'!B199-1</f>
        <v>56</v>
      </c>
      <c r="E199" s="175">
        <f>IF(AND(C199&lt;=Last_Prem,MOD(A198,Mode)=0,C199&gt;INPUT!$C$13,A199&lt;=Revival!$C$11),Mod_Prem,0)</f>
        <v>0</v>
      </c>
      <c r="F199" s="177">
        <f>IF(B199&lt;PT+1,E199*VLOOKUP(B199,'Pre-Calculation'!$H$1:$I$31,2,FALSE),0)</f>
        <v>0</v>
      </c>
      <c r="G199" s="177">
        <f>IF(B199&lt;PT+1,VLOOKUP(B199,'Pre-Calculation'!$H$1:$L$32,3,FALSE)+VLOOKUP(B199,'Pre-Calculation'!$H$1:$L$32,4,FALSE)*'Pre-Calculation'!$D$7,0)</f>
        <v>0</v>
      </c>
      <c r="H199" s="175">
        <f>(E199-(F199+G199)*(1+Tax)+N198)</f>
        <v>1554678.777</v>
      </c>
      <c r="I199" s="175">
        <f>IF(B199&lt;PT+1,VLOOKUP(D199,'Pre-Calculation'!$N$3:$P$79,IF(INPUT!$C$4="M",2,3),FALSE)*(J199/1000)*(1/12),0)</f>
        <v>0</v>
      </c>
      <c r="J199" s="175">
        <f t="shared" si="3"/>
        <v>0</v>
      </c>
      <c r="K199" s="175">
        <f>(IF('Pre-Calculation'!$D$17="Type 4 a",MAX(SA,H199,1.05*Q199),IF('Pre-Calculation'!$D$17="Type 4 c",H199,IF('Pre-Calculation'!$D$17="Type 4 d",SA+H199,IF('Pre-Calculation'!$D$17="Type 4 e",MAX(SA,H199),IF('Pre-Calculation'!$D$17="Type 4 f",SA,IF('Pre-Calculation'!$D$17="Type 4 g",1000+H199,IF('Pre-Calculation'!$D$17="Type 4 h",SA+X199,IF('Pre-Calculation'!$D$17="Type 4 i",MAX(H199,Q199),IF('Pre-Calculation'!$D$17="Type 4 k",MAX(H199,1.01*Q199),IF('Pre-Calculation'!$D$17="Type 4 m",MAX(105%*Q199,SA+H199),IF('Pre-Calculation'!$D$17="Type 4 o",MAX(SA,105%*Q199)+X199+Z199,IF('Pre-Calculation'!$D$17="Type 5",0)))))))))))))*IF(AND(A199&lt;Revival!$C$4,C199&gt;=Revival!$D$12),PUP,1)</f>
        <v>1554678.777</v>
      </c>
      <c r="L199" s="175">
        <f>H199-I199*(1+Tax)</f>
        <v>1554678.777</v>
      </c>
      <c r="M199" s="175">
        <f>L199*(1+GROWTH_RATE_L)*(1-FMC*(1+Tax))</f>
        <v>1557698.924</v>
      </c>
      <c r="N199" s="175">
        <f>M199+IF(MOD(A199,B199)=0,VLOOKUP(B199,'Pre-Calculation'!$H$1:$L$31,5,FALSE),0)*IF('Pre-Calculation'!$D$16="% OF FV",M199,IF(OR('Pre-Calculation'!$D$16="% OF AFV(24M)",'Pre-Calculation'!$D$16="% OF AFV(8Q)"),AVERAGE( $M176:$M199),IF('Pre-Calculation'!$D$16="% OF AFV(12M)",AVERAGE($M188:M199),IF('Pre-Calculation'!$D$16="% OF AFV(36M)",AVERAGE($M164:M199)))))</f>
        <v>1557698.924</v>
      </c>
      <c r="O199" s="175">
        <f t="shared" si="4"/>
        <v>1557698.924</v>
      </c>
      <c r="P199" s="175">
        <f>IF('Pre-Calculation'!$D$17="Type 4 a",MAX(SA,N199,1.05*Q199),IF('Pre-Calculation'!$D$17="Type 4 c",N199,IF('Pre-Calculation'!$D$17="Type 4 d",SA+N199,IF('Pre-Calculation'!$D$17="Type 4 e",MAX(SA,N199),IF('Pre-Calculation'!$D$17="Type 4 f",SA,IF('Pre-Calculation'!$D$17="Type 4 g",1000+N199,IF('Pre-Calculation'!$D$17="Type 4 h",SA+X199,IF('Pre-Calculation'!$D$17="Type 4 i",MAX(N199,Q199),IF('Pre-Calculation'!$D$17="Type 4 k",MAX(N199,1.01*Q199),IF('Pre-Calculation'!$D$17="Type 4 m",MAX(105%*Q199,SA+N199),IF('Pre-Calculation'!$D$17="Type 4 o",MAX(SA,105%*Q199)+X199+Z199,IF('Pre-Calculation'!$D$17="Type 5",0))))))))))))</f>
        <v>1557698.924</v>
      </c>
      <c r="Q199" s="175">
        <f t="shared" si="5"/>
        <v>1000000</v>
      </c>
      <c r="R199" s="119">
        <f>L199*(1+GROWTH_RATE)*FMC</f>
        <v>1759.309569</v>
      </c>
      <c r="S199" s="178">
        <f>S198*(1+'Pre-Calculation'!$E$27)</f>
        <v>1130326.69</v>
      </c>
      <c r="T199" s="175">
        <f>-E199+IF(A198=INPUT!$C$11*12,N199,0)</f>
        <v>0</v>
      </c>
      <c r="U199" s="175">
        <f t="shared" si="6"/>
        <v>1538656.738</v>
      </c>
      <c r="V199" s="175">
        <f>U199*(1+GROWTH_RATE_L)*(1-'Pre-Calculation'!$E$31)</f>
        <v>1541123.149</v>
      </c>
      <c r="W199" s="175">
        <f>-E199+IF(A198=INPUT!$C$11*12,V199,0)</f>
        <v>0</v>
      </c>
      <c r="X199" s="179">
        <f t="array" ref="X199">NPV('Pre-Calculation'!$E$20,$E200:E$246)</f>
        <v>0</v>
      </c>
      <c r="Y199" s="171">
        <f>10%*SA</f>
        <v>100000</v>
      </c>
      <c r="Z199" s="179">
        <f t="array" ref="Z199">NPV('Pre-Calculation'!$E$20,Y200:Y209)</f>
        <v>969592.8037</v>
      </c>
    </row>
    <row r="200" ht="15.75" customHeight="1">
      <c r="A200" s="171">
        <f t="shared" si="1"/>
        <v>254</v>
      </c>
      <c r="B200" s="171">
        <f t="shared" si="2"/>
        <v>22</v>
      </c>
      <c r="C200" s="176">
        <f>EDATE(RCD,A199)</f>
        <v>50251</v>
      </c>
      <c r="D200" s="171">
        <f>Age_At_Entry+'Cashflows_4%'!B200-1</f>
        <v>56</v>
      </c>
      <c r="E200" s="175">
        <f>IF(AND(C200&lt;=Last_Prem,MOD(A199,Mode)=0,C200&gt;INPUT!$C$13,A200&lt;=Revival!$C$11),Mod_Prem,0)</f>
        <v>0</v>
      </c>
      <c r="F200" s="177">
        <f>IF(B200&lt;PT+1,E200*VLOOKUP(B200,'Pre-Calculation'!$H$1:$I$31,2,FALSE),0)</f>
        <v>0</v>
      </c>
      <c r="G200" s="177">
        <f>IF(B200&lt;PT+1,VLOOKUP(B200,'Pre-Calculation'!$H$1:$L$32,3,FALSE)+VLOOKUP(B200,'Pre-Calculation'!$H$1:$L$32,4,FALSE)*'Pre-Calculation'!$D$7,0)</f>
        <v>0</v>
      </c>
      <c r="H200" s="175">
        <f>(E200-(F200+G200)*(1+Tax)+N199)</f>
        <v>1557698.924</v>
      </c>
      <c r="I200" s="175">
        <f>IF(B200&lt;PT+1,VLOOKUP(D200,'Pre-Calculation'!$N$3:$P$79,IF(INPUT!$C$4="M",2,3),FALSE)*(J200/1000)*(1/12),0)</f>
        <v>0</v>
      </c>
      <c r="J200" s="175">
        <f t="shared" si="3"/>
        <v>0</v>
      </c>
      <c r="K200" s="175">
        <f>(IF('Pre-Calculation'!$D$17="Type 4 a",MAX(SA,H200,1.05*Q200),IF('Pre-Calculation'!$D$17="Type 4 c",H200,IF('Pre-Calculation'!$D$17="Type 4 d",SA+H200,IF('Pre-Calculation'!$D$17="Type 4 e",MAX(SA,H200),IF('Pre-Calculation'!$D$17="Type 4 f",SA,IF('Pre-Calculation'!$D$17="Type 4 g",1000+H200,IF('Pre-Calculation'!$D$17="Type 4 h",SA+X200,IF('Pre-Calculation'!$D$17="Type 4 i",MAX(H200,Q200),IF('Pre-Calculation'!$D$17="Type 4 k",MAX(H200,1.01*Q200),IF('Pre-Calculation'!$D$17="Type 4 m",MAX(105%*Q200,SA+H200),IF('Pre-Calculation'!$D$17="Type 4 o",MAX(SA,105%*Q200)+X200+Z200,IF('Pre-Calculation'!$D$17="Type 5",0)))))))))))))*IF(AND(A200&lt;Revival!$C$4,C200&gt;=Revival!$D$12),PUP,1)</f>
        <v>1557698.924</v>
      </c>
      <c r="L200" s="175">
        <f>H200-I200*(1+Tax)</f>
        <v>1557698.924</v>
      </c>
      <c r="M200" s="175">
        <f>L200*(1+GROWTH_RATE_L)*(1-FMC*(1+Tax))</f>
        <v>1560724.939</v>
      </c>
      <c r="N200" s="175">
        <f>M200+IF(MOD(A200,B200)=0,VLOOKUP(B200,'Pre-Calculation'!$H$1:$L$31,5,FALSE),0)*IF('Pre-Calculation'!$D$16="% OF FV",M200,IF(OR('Pre-Calculation'!$D$16="% OF AFV(24M)",'Pre-Calculation'!$D$16="% OF AFV(8Q)"),AVERAGE( $M177:$M200),IF('Pre-Calculation'!$D$16="% OF AFV(12M)",AVERAGE($M189:M200),IF('Pre-Calculation'!$D$16="% OF AFV(36M)",AVERAGE($M165:M200)))))</f>
        <v>1560724.939</v>
      </c>
      <c r="O200" s="175">
        <f t="shared" si="4"/>
        <v>1560724.939</v>
      </c>
      <c r="P200" s="175">
        <f>IF('Pre-Calculation'!$D$17="Type 4 a",MAX(SA,N200,1.05*Q200),IF('Pre-Calculation'!$D$17="Type 4 c",N200,IF('Pre-Calculation'!$D$17="Type 4 d",SA+N200,IF('Pre-Calculation'!$D$17="Type 4 e",MAX(SA,N200),IF('Pre-Calculation'!$D$17="Type 4 f",SA,IF('Pre-Calculation'!$D$17="Type 4 g",1000+N200,IF('Pre-Calculation'!$D$17="Type 4 h",SA+X200,IF('Pre-Calculation'!$D$17="Type 4 i",MAX(N200,Q200),IF('Pre-Calculation'!$D$17="Type 4 k",MAX(N200,1.01*Q200),IF('Pre-Calculation'!$D$17="Type 4 m",MAX(105%*Q200,SA+N200),IF('Pre-Calculation'!$D$17="Type 4 o",MAX(SA,105%*Q200)+X200+Z200,IF('Pre-Calculation'!$D$17="Type 5",0))))))))))))</f>
        <v>1560724.939</v>
      </c>
      <c r="Q200" s="175">
        <f t="shared" si="5"/>
        <v>1000000</v>
      </c>
      <c r="R200" s="119">
        <f>L200*(1+GROWTH_RATE)*FMC</f>
        <v>1762.727236</v>
      </c>
      <c r="S200" s="178">
        <f>S199*(1+'Pre-Calculation'!$E$27)</f>
        <v>1133571.743</v>
      </c>
      <c r="T200" s="175">
        <f>-E200+IF(A199=INPUT!$C$11*12,N200,0)</f>
        <v>0</v>
      </c>
      <c r="U200" s="175">
        <f t="shared" si="6"/>
        <v>1541123.149</v>
      </c>
      <c r="V200" s="175">
        <f>U200*(1+GROWTH_RATE_L)*(1-'Pre-Calculation'!$E$31)</f>
        <v>1543593.514</v>
      </c>
      <c r="W200" s="175">
        <f>-E200+IF(A199=INPUT!$C$11*12,V200,0)</f>
        <v>0</v>
      </c>
      <c r="X200" s="179">
        <f t="array" ref="X200">NPV('Pre-Calculation'!$E$20,$E201:E$246)</f>
        <v>0</v>
      </c>
      <c r="Y200" s="171">
        <f>10%*SA</f>
        <v>100000</v>
      </c>
      <c r="Z200" s="179">
        <f t="array" ref="Z200">NPV('Pre-Calculation'!$E$20,Y201:Y210)</f>
        <v>969592.8037</v>
      </c>
    </row>
    <row r="201" ht="15.75" customHeight="1">
      <c r="A201" s="171">
        <f t="shared" si="1"/>
        <v>255</v>
      </c>
      <c r="B201" s="171">
        <f t="shared" si="2"/>
        <v>22</v>
      </c>
      <c r="C201" s="176">
        <f>EDATE(RCD,A200)</f>
        <v>50282</v>
      </c>
      <c r="D201" s="171">
        <f>Age_At_Entry+'Cashflows_4%'!B201-1</f>
        <v>56</v>
      </c>
      <c r="E201" s="175">
        <f>IF(AND(C201&lt;=Last_Prem,MOD(A200,Mode)=0,C201&gt;INPUT!$C$13,A201&lt;=Revival!$C$11),Mod_Prem,0)</f>
        <v>0</v>
      </c>
      <c r="F201" s="177">
        <f>IF(B201&lt;PT+1,E201*VLOOKUP(B201,'Pre-Calculation'!$H$1:$I$31,2,FALSE),0)</f>
        <v>0</v>
      </c>
      <c r="G201" s="177">
        <f>IF(B201&lt;PT+1,VLOOKUP(B201,'Pre-Calculation'!$H$1:$L$32,3,FALSE)+VLOOKUP(B201,'Pre-Calculation'!$H$1:$L$32,4,FALSE)*'Pre-Calculation'!$D$7,0)</f>
        <v>0</v>
      </c>
      <c r="H201" s="175">
        <f>(E201-(F201+G201)*(1+Tax)+N200)</f>
        <v>1560724.939</v>
      </c>
      <c r="I201" s="175">
        <f>IF(B201&lt;PT+1,VLOOKUP(D201,'Pre-Calculation'!$N$3:$P$79,IF(INPUT!$C$4="M",2,3),FALSE)*(J201/1000)*(1/12),0)</f>
        <v>0</v>
      </c>
      <c r="J201" s="175">
        <f t="shared" si="3"/>
        <v>0</v>
      </c>
      <c r="K201" s="175">
        <f>(IF('Pre-Calculation'!$D$17="Type 4 a",MAX(SA,H201,1.05*Q201),IF('Pre-Calculation'!$D$17="Type 4 c",H201,IF('Pre-Calculation'!$D$17="Type 4 d",SA+H201,IF('Pre-Calculation'!$D$17="Type 4 e",MAX(SA,H201),IF('Pre-Calculation'!$D$17="Type 4 f",SA,IF('Pre-Calculation'!$D$17="Type 4 g",1000+H201,IF('Pre-Calculation'!$D$17="Type 4 h",SA+X201,IF('Pre-Calculation'!$D$17="Type 4 i",MAX(H201,Q201),IF('Pre-Calculation'!$D$17="Type 4 k",MAX(H201,1.01*Q201),IF('Pre-Calculation'!$D$17="Type 4 m",MAX(105%*Q201,SA+H201),IF('Pre-Calculation'!$D$17="Type 4 o",MAX(SA,105%*Q201)+X201+Z201,IF('Pre-Calculation'!$D$17="Type 5",0)))))))))))))*IF(AND(A201&lt;Revival!$C$4,C201&gt;=Revival!$D$12),PUP,1)</f>
        <v>1560724.939</v>
      </c>
      <c r="L201" s="175">
        <f>H201-I201*(1+Tax)</f>
        <v>1560724.939</v>
      </c>
      <c r="M201" s="175">
        <f>L201*(1+GROWTH_RATE_L)*(1-FMC*(1+Tax))</f>
        <v>1563756.831</v>
      </c>
      <c r="N201" s="175">
        <f>M201+IF(MOD(A201,B201)=0,VLOOKUP(B201,'Pre-Calculation'!$H$1:$L$31,5,FALSE),0)*IF('Pre-Calculation'!$D$16="% OF FV",M201,IF(OR('Pre-Calculation'!$D$16="% OF AFV(24M)",'Pre-Calculation'!$D$16="% OF AFV(8Q)"),AVERAGE( $M178:$M201),IF('Pre-Calculation'!$D$16="% OF AFV(12M)",AVERAGE($M190:M201),IF('Pre-Calculation'!$D$16="% OF AFV(36M)",AVERAGE($M166:M201)))))</f>
        <v>1563756.831</v>
      </c>
      <c r="O201" s="175">
        <f t="shared" si="4"/>
        <v>1563756.831</v>
      </c>
      <c r="P201" s="175">
        <f>IF('Pre-Calculation'!$D$17="Type 4 a",MAX(SA,N201,1.05*Q201),IF('Pre-Calculation'!$D$17="Type 4 c",N201,IF('Pre-Calculation'!$D$17="Type 4 d",SA+N201,IF('Pre-Calculation'!$D$17="Type 4 e",MAX(SA,N201),IF('Pre-Calculation'!$D$17="Type 4 f",SA,IF('Pre-Calculation'!$D$17="Type 4 g",1000+N201,IF('Pre-Calculation'!$D$17="Type 4 h",SA+X201,IF('Pre-Calculation'!$D$17="Type 4 i",MAX(N201,Q201),IF('Pre-Calculation'!$D$17="Type 4 k",MAX(N201,1.01*Q201),IF('Pre-Calculation'!$D$17="Type 4 m",MAX(105%*Q201,SA+N201),IF('Pre-Calculation'!$D$17="Type 4 o",MAX(SA,105%*Q201)+X201+Z201,IF('Pre-Calculation'!$D$17="Type 5",0))))))))))))</f>
        <v>1563756.831</v>
      </c>
      <c r="Q201" s="175">
        <f t="shared" si="5"/>
        <v>1000000</v>
      </c>
      <c r="R201" s="119">
        <f>L201*(1+GROWTH_RATE)*FMC</f>
        <v>1766.151542</v>
      </c>
      <c r="S201" s="178">
        <f>S200*(1+'Pre-Calculation'!$E$27)</f>
        <v>1136826.113</v>
      </c>
      <c r="T201" s="175">
        <f>-E201+IF(A200=INPUT!$C$11*12,N201,0)</f>
        <v>0</v>
      </c>
      <c r="U201" s="175">
        <f t="shared" si="6"/>
        <v>1543593.514</v>
      </c>
      <c r="V201" s="175">
        <f>U201*(1+GROWTH_RATE_L)*(1-'Pre-Calculation'!$E$31)</f>
        <v>1546067.838</v>
      </c>
      <c r="W201" s="175">
        <f>-E201+IF(A200=INPUT!$C$11*12,V201,0)</f>
        <v>0</v>
      </c>
      <c r="X201" s="179">
        <f t="array" ref="X201">NPV('Pre-Calculation'!$E$20,$E202:E$246)</f>
        <v>0</v>
      </c>
      <c r="Y201" s="171">
        <f>10%*SA</f>
        <v>100000</v>
      </c>
      <c r="Z201" s="179">
        <f t="array" ref="Z201">NPV('Pre-Calculation'!$E$20,Y202:Y211)</f>
        <v>969592.8037</v>
      </c>
    </row>
    <row r="202" ht="15.75" customHeight="1">
      <c r="A202" s="171">
        <f t="shared" si="1"/>
        <v>256</v>
      </c>
      <c r="B202" s="171">
        <f t="shared" si="2"/>
        <v>22</v>
      </c>
      <c r="C202" s="176">
        <f>EDATE(RCD,A201)</f>
        <v>50313</v>
      </c>
      <c r="D202" s="171">
        <f>Age_At_Entry+'Cashflows_4%'!B202-1</f>
        <v>56</v>
      </c>
      <c r="E202" s="175">
        <f>IF(AND(C202&lt;=Last_Prem,MOD(A201,Mode)=0,C202&gt;INPUT!$C$13,A202&lt;=Revival!$C$11),Mod_Prem,0)</f>
        <v>0</v>
      </c>
      <c r="F202" s="177">
        <f>IF(B202&lt;PT+1,E202*VLOOKUP(B202,'Pre-Calculation'!$H$1:$I$31,2,FALSE),0)</f>
        <v>0</v>
      </c>
      <c r="G202" s="177">
        <f>IF(B202&lt;PT+1,VLOOKUP(B202,'Pre-Calculation'!$H$1:$L$32,3,FALSE)+VLOOKUP(B202,'Pre-Calculation'!$H$1:$L$32,4,FALSE)*'Pre-Calculation'!$D$7,0)</f>
        <v>0</v>
      </c>
      <c r="H202" s="175">
        <f>(E202-(F202+G202)*(1+Tax)+N201)</f>
        <v>1563756.831</v>
      </c>
      <c r="I202" s="175">
        <f>IF(B202&lt;PT+1,VLOOKUP(D202,'Pre-Calculation'!$N$3:$P$79,IF(INPUT!$C$4="M",2,3),FALSE)*(J202/1000)*(1/12),0)</f>
        <v>0</v>
      </c>
      <c r="J202" s="175">
        <f t="shared" si="3"/>
        <v>0</v>
      </c>
      <c r="K202" s="175">
        <f>(IF('Pre-Calculation'!$D$17="Type 4 a",MAX(SA,H202,1.05*Q202),IF('Pre-Calculation'!$D$17="Type 4 c",H202,IF('Pre-Calculation'!$D$17="Type 4 d",SA+H202,IF('Pre-Calculation'!$D$17="Type 4 e",MAX(SA,H202),IF('Pre-Calculation'!$D$17="Type 4 f",SA,IF('Pre-Calculation'!$D$17="Type 4 g",1000+H202,IF('Pre-Calculation'!$D$17="Type 4 h",SA+X202,IF('Pre-Calculation'!$D$17="Type 4 i",MAX(H202,Q202),IF('Pre-Calculation'!$D$17="Type 4 k",MAX(H202,1.01*Q202),IF('Pre-Calculation'!$D$17="Type 4 m",MAX(105%*Q202,SA+H202),IF('Pre-Calculation'!$D$17="Type 4 o",MAX(SA,105%*Q202)+X202+Z202,IF('Pre-Calculation'!$D$17="Type 5",0)))))))))))))*IF(AND(A202&lt;Revival!$C$4,C202&gt;=Revival!$D$12),PUP,1)</f>
        <v>1563756.831</v>
      </c>
      <c r="L202" s="175">
        <f>H202-I202*(1+Tax)</f>
        <v>1563756.831</v>
      </c>
      <c r="M202" s="175">
        <f>L202*(1+GROWTH_RATE_L)*(1-FMC*(1+Tax))</f>
        <v>1566794.614</v>
      </c>
      <c r="N202" s="175">
        <f>M202+IF(MOD(A202,B202)=0,VLOOKUP(B202,'Pre-Calculation'!$H$1:$L$31,5,FALSE),0)*IF('Pre-Calculation'!$D$16="% OF FV",M202,IF(OR('Pre-Calculation'!$D$16="% OF AFV(24M)",'Pre-Calculation'!$D$16="% OF AFV(8Q)"),AVERAGE( $M179:$M202),IF('Pre-Calculation'!$D$16="% OF AFV(12M)",AVERAGE($M191:M202),IF('Pre-Calculation'!$D$16="% OF AFV(36M)",AVERAGE($M167:M202)))))</f>
        <v>1566794.614</v>
      </c>
      <c r="O202" s="175">
        <f t="shared" si="4"/>
        <v>1566794.614</v>
      </c>
      <c r="P202" s="175">
        <f>IF('Pre-Calculation'!$D$17="Type 4 a",MAX(SA,N202,1.05*Q202),IF('Pre-Calculation'!$D$17="Type 4 c",N202,IF('Pre-Calculation'!$D$17="Type 4 d",SA+N202,IF('Pre-Calculation'!$D$17="Type 4 e",MAX(SA,N202),IF('Pre-Calculation'!$D$17="Type 4 f",SA,IF('Pre-Calculation'!$D$17="Type 4 g",1000+N202,IF('Pre-Calculation'!$D$17="Type 4 h",SA+X202,IF('Pre-Calculation'!$D$17="Type 4 i",MAX(N202,Q202),IF('Pre-Calculation'!$D$17="Type 4 k",MAX(N202,1.01*Q202),IF('Pre-Calculation'!$D$17="Type 4 m",MAX(105%*Q202,SA+N202),IF('Pre-Calculation'!$D$17="Type 4 o",MAX(SA,105%*Q202)+X202+Z202,IF('Pre-Calculation'!$D$17="Type 5",0))))))))))))</f>
        <v>1566794.614</v>
      </c>
      <c r="Q202" s="175">
        <f t="shared" si="5"/>
        <v>1000000</v>
      </c>
      <c r="R202" s="119">
        <f>L202*(1+GROWTH_RATE)*FMC</f>
        <v>1769.5825</v>
      </c>
      <c r="S202" s="178">
        <f>S201*(1+'Pre-Calculation'!$E$27)</f>
        <v>1140089.826</v>
      </c>
      <c r="T202" s="175">
        <f>-E202+IF(A201=INPUT!$C$11*12,N202,0)</f>
        <v>0</v>
      </c>
      <c r="U202" s="175">
        <f t="shared" si="6"/>
        <v>1546067.838</v>
      </c>
      <c r="V202" s="175">
        <f>U202*(1+GROWTH_RATE_L)*(1-'Pre-Calculation'!$E$31)</f>
        <v>1548546.129</v>
      </c>
      <c r="W202" s="175">
        <f>-E202+IF(A201=INPUT!$C$11*12,V202,0)</f>
        <v>0</v>
      </c>
      <c r="X202" s="179">
        <f t="array" ref="X202">NPV('Pre-Calculation'!$E$20,$E203:E$246)</f>
        <v>0</v>
      </c>
      <c r="Y202" s="171">
        <f>10%*SA</f>
        <v>100000</v>
      </c>
      <c r="Z202" s="179">
        <f t="array" ref="Z202">NPV('Pre-Calculation'!$E$20,Y203:Y212)</f>
        <v>969592.8037</v>
      </c>
    </row>
    <row r="203" ht="15.75" customHeight="1">
      <c r="A203" s="171">
        <f t="shared" si="1"/>
        <v>257</v>
      </c>
      <c r="B203" s="171">
        <f t="shared" si="2"/>
        <v>22</v>
      </c>
      <c r="C203" s="176">
        <f>EDATE(RCD,A202)</f>
        <v>50343</v>
      </c>
      <c r="D203" s="171">
        <f>Age_At_Entry+'Cashflows_4%'!B203-1</f>
        <v>56</v>
      </c>
      <c r="E203" s="175">
        <f>IF(AND(C203&lt;=Last_Prem,MOD(A202,Mode)=0,C203&gt;INPUT!$C$13,A203&lt;=Revival!$C$11),Mod_Prem,0)</f>
        <v>0</v>
      </c>
      <c r="F203" s="177">
        <f>IF(B203&lt;PT+1,E203*VLOOKUP(B203,'Pre-Calculation'!$H$1:$I$31,2,FALSE),0)</f>
        <v>0</v>
      </c>
      <c r="G203" s="177">
        <f>IF(B203&lt;PT+1,VLOOKUP(B203,'Pre-Calculation'!$H$1:$L$32,3,FALSE)+VLOOKUP(B203,'Pre-Calculation'!$H$1:$L$32,4,FALSE)*'Pre-Calculation'!$D$7,0)</f>
        <v>0</v>
      </c>
      <c r="H203" s="175">
        <f>(E203-(F203+G203)*(1+Tax)+N202)</f>
        <v>1566794.614</v>
      </c>
      <c r="I203" s="175">
        <f>IF(B203&lt;PT+1,VLOOKUP(D203,'Pre-Calculation'!$N$3:$P$79,IF(INPUT!$C$4="M",2,3),FALSE)*(J203/1000)*(1/12),0)</f>
        <v>0</v>
      </c>
      <c r="J203" s="175">
        <f t="shared" si="3"/>
        <v>0</v>
      </c>
      <c r="K203" s="175">
        <f>(IF('Pre-Calculation'!$D$17="Type 4 a",MAX(SA,H203,1.05*Q203),IF('Pre-Calculation'!$D$17="Type 4 c",H203,IF('Pre-Calculation'!$D$17="Type 4 d",SA+H203,IF('Pre-Calculation'!$D$17="Type 4 e",MAX(SA,H203),IF('Pre-Calculation'!$D$17="Type 4 f",SA,IF('Pre-Calculation'!$D$17="Type 4 g",1000+H203,IF('Pre-Calculation'!$D$17="Type 4 h",SA+X203,IF('Pre-Calculation'!$D$17="Type 4 i",MAX(H203,Q203),IF('Pre-Calculation'!$D$17="Type 4 k",MAX(H203,1.01*Q203),IF('Pre-Calculation'!$D$17="Type 4 m",MAX(105%*Q203,SA+H203),IF('Pre-Calculation'!$D$17="Type 4 o",MAX(SA,105%*Q203)+X203+Z203,IF('Pre-Calculation'!$D$17="Type 5",0)))))))))))))*IF(AND(A203&lt;Revival!$C$4,C203&gt;=Revival!$D$12),PUP,1)</f>
        <v>1566794.614</v>
      </c>
      <c r="L203" s="175">
        <f>H203-I203*(1+Tax)</f>
        <v>1566794.614</v>
      </c>
      <c r="M203" s="175">
        <f>L203*(1+GROWTH_RATE_L)*(1-FMC*(1+Tax))</f>
        <v>1569838.297</v>
      </c>
      <c r="N203" s="175">
        <f>M203+IF(MOD(A203,B203)=0,VLOOKUP(B203,'Pre-Calculation'!$H$1:$L$31,5,FALSE),0)*IF('Pre-Calculation'!$D$16="% OF FV",M203,IF(OR('Pre-Calculation'!$D$16="% OF AFV(24M)",'Pre-Calculation'!$D$16="% OF AFV(8Q)"),AVERAGE( $M180:$M203),IF('Pre-Calculation'!$D$16="% OF AFV(12M)",AVERAGE($M192:M203),IF('Pre-Calculation'!$D$16="% OF AFV(36M)",AVERAGE($M168:M203)))))</f>
        <v>1569838.297</v>
      </c>
      <c r="O203" s="175">
        <f t="shared" si="4"/>
        <v>1569838.297</v>
      </c>
      <c r="P203" s="175">
        <f>IF('Pre-Calculation'!$D$17="Type 4 a",MAX(SA,N203,1.05*Q203),IF('Pre-Calculation'!$D$17="Type 4 c",N203,IF('Pre-Calculation'!$D$17="Type 4 d",SA+N203,IF('Pre-Calculation'!$D$17="Type 4 e",MAX(SA,N203),IF('Pre-Calculation'!$D$17="Type 4 f",SA,IF('Pre-Calculation'!$D$17="Type 4 g",1000+N203,IF('Pre-Calculation'!$D$17="Type 4 h",SA+X203,IF('Pre-Calculation'!$D$17="Type 4 i",MAX(N203,Q203),IF('Pre-Calculation'!$D$17="Type 4 k",MAX(N203,1.01*Q203),IF('Pre-Calculation'!$D$17="Type 4 m",MAX(105%*Q203,SA+N203),IF('Pre-Calculation'!$D$17="Type 4 o",MAX(SA,105%*Q203)+X203+Z203,IF('Pre-Calculation'!$D$17="Type 5",0))))))))))))</f>
        <v>1569838.297</v>
      </c>
      <c r="Q203" s="175">
        <f t="shared" si="5"/>
        <v>1000000</v>
      </c>
      <c r="R203" s="119">
        <f>L203*(1+GROWTH_RATE)*FMC</f>
        <v>1773.020123</v>
      </c>
      <c r="S203" s="178">
        <f>S202*(1+'Pre-Calculation'!$E$27)</f>
        <v>1143362.908</v>
      </c>
      <c r="T203" s="175">
        <f>-E203+IF(A202=INPUT!$C$11*12,N203,0)</f>
        <v>0</v>
      </c>
      <c r="U203" s="175">
        <f t="shared" si="6"/>
        <v>1548546.129</v>
      </c>
      <c r="V203" s="175">
        <f>U203*(1+GROWTH_RATE_L)*(1-'Pre-Calculation'!$E$31)</f>
        <v>1551028.393</v>
      </c>
      <c r="W203" s="175">
        <f>-E203+IF(A202=INPUT!$C$11*12,V203,0)</f>
        <v>0</v>
      </c>
      <c r="X203" s="179">
        <f t="array" ref="X203">NPV('Pre-Calculation'!$E$20,$E204:E$246)</f>
        <v>0</v>
      </c>
      <c r="Y203" s="171">
        <f>10%*SA</f>
        <v>100000</v>
      </c>
      <c r="Z203" s="179">
        <f t="array" ref="Z203">NPV('Pre-Calculation'!$E$20,Y204:Y213)</f>
        <v>969592.8037</v>
      </c>
    </row>
    <row r="204" ht="15.75" customHeight="1">
      <c r="A204" s="171">
        <f t="shared" si="1"/>
        <v>258</v>
      </c>
      <c r="B204" s="171">
        <f t="shared" si="2"/>
        <v>22</v>
      </c>
      <c r="C204" s="176">
        <f>EDATE(RCD,A203)</f>
        <v>50374</v>
      </c>
      <c r="D204" s="171">
        <f>Age_At_Entry+'Cashflows_4%'!B204-1</f>
        <v>56</v>
      </c>
      <c r="E204" s="175">
        <f>IF(AND(C204&lt;=Last_Prem,MOD(A203,Mode)=0,C204&gt;INPUT!$C$13,A204&lt;=Revival!$C$11),Mod_Prem,0)</f>
        <v>0</v>
      </c>
      <c r="F204" s="177">
        <f>IF(B204&lt;PT+1,E204*VLOOKUP(B204,'Pre-Calculation'!$H$1:$I$31,2,FALSE),0)</f>
        <v>0</v>
      </c>
      <c r="G204" s="177">
        <f>IF(B204&lt;PT+1,VLOOKUP(B204,'Pre-Calculation'!$H$1:$L$32,3,FALSE)+VLOOKUP(B204,'Pre-Calculation'!$H$1:$L$32,4,FALSE)*'Pre-Calculation'!$D$7,0)</f>
        <v>0</v>
      </c>
      <c r="H204" s="175">
        <f>(E204-(F204+G204)*(1+Tax)+N203)</f>
        <v>1569838.297</v>
      </c>
      <c r="I204" s="175">
        <f>IF(B204&lt;PT+1,VLOOKUP(D204,'Pre-Calculation'!$N$3:$P$79,IF(INPUT!$C$4="M",2,3),FALSE)*(J204/1000)*(1/12),0)</f>
        <v>0</v>
      </c>
      <c r="J204" s="175">
        <f t="shared" si="3"/>
        <v>0</v>
      </c>
      <c r="K204" s="175">
        <f>(IF('Pre-Calculation'!$D$17="Type 4 a",MAX(SA,H204,1.05*Q204),IF('Pre-Calculation'!$D$17="Type 4 c",H204,IF('Pre-Calculation'!$D$17="Type 4 d",SA+H204,IF('Pre-Calculation'!$D$17="Type 4 e",MAX(SA,H204),IF('Pre-Calculation'!$D$17="Type 4 f",SA,IF('Pre-Calculation'!$D$17="Type 4 g",1000+H204,IF('Pre-Calculation'!$D$17="Type 4 h",SA+X204,IF('Pre-Calculation'!$D$17="Type 4 i",MAX(H204,Q204),IF('Pre-Calculation'!$D$17="Type 4 k",MAX(H204,1.01*Q204),IF('Pre-Calculation'!$D$17="Type 4 m",MAX(105%*Q204,SA+H204),IF('Pre-Calculation'!$D$17="Type 4 o",MAX(SA,105%*Q204)+X204+Z204,IF('Pre-Calculation'!$D$17="Type 5",0)))))))))))))*IF(AND(A204&lt;Revival!$C$4,C204&gt;=Revival!$D$12),PUP,1)</f>
        <v>1569838.297</v>
      </c>
      <c r="L204" s="175">
        <f>H204-I204*(1+Tax)</f>
        <v>1569838.297</v>
      </c>
      <c r="M204" s="175">
        <f>L204*(1+GROWTH_RATE_L)*(1-FMC*(1+Tax))</f>
        <v>1572887.894</v>
      </c>
      <c r="N204" s="175">
        <f>M204+IF(MOD(A204,B204)=0,VLOOKUP(B204,'Pre-Calculation'!$H$1:$L$31,5,FALSE),0)*IF('Pre-Calculation'!$D$16="% OF FV",M204,IF(OR('Pre-Calculation'!$D$16="% OF AFV(24M)",'Pre-Calculation'!$D$16="% OF AFV(8Q)"),AVERAGE( $M181:$M204),IF('Pre-Calculation'!$D$16="% OF AFV(12M)",AVERAGE($M193:M204),IF('Pre-Calculation'!$D$16="% OF AFV(36M)",AVERAGE($M169:M204)))))</f>
        <v>1572887.894</v>
      </c>
      <c r="O204" s="175">
        <f t="shared" si="4"/>
        <v>1572887.894</v>
      </c>
      <c r="P204" s="175">
        <f>IF('Pre-Calculation'!$D$17="Type 4 a",MAX(SA,N204,1.05*Q204),IF('Pre-Calculation'!$D$17="Type 4 c",N204,IF('Pre-Calculation'!$D$17="Type 4 d",SA+N204,IF('Pre-Calculation'!$D$17="Type 4 e",MAX(SA,N204),IF('Pre-Calculation'!$D$17="Type 4 f",SA,IF('Pre-Calculation'!$D$17="Type 4 g",1000+N204,IF('Pre-Calculation'!$D$17="Type 4 h",SA+X204,IF('Pre-Calculation'!$D$17="Type 4 i",MAX(N204,Q204),IF('Pre-Calculation'!$D$17="Type 4 k",MAX(N204,1.01*Q204),IF('Pre-Calculation'!$D$17="Type 4 m",MAX(105%*Q204,SA+N204),IF('Pre-Calculation'!$D$17="Type 4 o",MAX(SA,105%*Q204)+X204+Z204,IF('Pre-Calculation'!$D$17="Type 5",0))))))))))))</f>
        <v>1572887.894</v>
      </c>
      <c r="Q204" s="175">
        <f t="shared" si="5"/>
        <v>1000000</v>
      </c>
      <c r="R204" s="119">
        <f>L204*(1+GROWTH_RATE)*FMC</f>
        <v>1776.464424</v>
      </c>
      <c r="S204" s="178">
        <f>S203*(1+'Pre-Calculation'!$E$27)</f>
        <v>1146645.387</v>
      </c>
      <c r="T204" s="175">
        <f>-E204+IF(A203=INPUT!$C$11*12,N204,0)</f>
        <v>0</v>
      </c>
      <c r="U204" s="175">
        <f t="shared" si="6"/>
        <v>1551028.393</v>
      </c>
      <c r="V204" s="175">
        <f>U204*(1+GROWTH_RATE_L)*(1-'Pre-Calculation'!$E$31)</f>
        <v>1553514.635</v>
      </c>
      <c r="W204" s="175">
        <f>-E204+IF(A203=INPUT!$C$11*12,V204,0)</f>
        <v>0</v>
      </c>
      <c r="X204" s="179">
        <f t="array" ref="X204">NPV('Pre-Calculation'!$E$20,$E205:E$246)</f>
        <v>0</v>
      </c>
      <c r="Y204" s="171">
        <f>10%*SA</f>
        <v>100000</v>
      </c>
      <c r="Z204" s="179">
        <f t="array" ref="Z204">NPV('Pre-Calculation'!$E$20,Y205:Y214)</f>
        <v>969592.8037</v>
      </c>
    </row>
    <row r="205" ht="15.75" customHeight="1">
      <c r="A205" s="171">
        <f t="shared" si="1"/>
        <v>259</v>
      </c>
      <c r="B205" s="171">
        <f t="shared" si="2"/>
        <v>22</v>
      </c>
      <c r="C205" s="176">
        <f>EDATE(RCD,A204)</f>
        <v>50404</v>
      </c>
      <c r="D205" s="171">
        <f>Age_At_Entry+'Cashflows_4%'!B205-1</f>
        <v>56</v>
      </c>
      <c r="E205" s="175">
        <f>IF(AND(C205&lt;=Last_Prem,MOD(A204,Mode)=0,C205&gt;INPUT!$C$13,A205&lt;=Revival!$C$11),Mod_Prem,0)</f>
        <v>0</v>
      </c>
      <c r="F205" s="177">
        <f>IF(B205&lt;PT+1,E205*VLOOKUP(B205,'Pre-Calculation'!$H$1:$I$31,2,FALSE),0)</f>
        <v>0</v>
      </c>
      <c r="G205" s="177">
        <f>IF(B205&lt;PT+1,VLOOKUP(B205,'Pre-Calculation'!$H$1:$L$32,3,FALSE)+VLOOKUP(B205,'Pre-Calculation'!$H$1:$L$32,4,FALSE)*'Pre-Calculation'!$D$7,0)</f>
        <v>0</v>
      </c>
      <c r="H205" s="175">
        <f>(E205-(F205+G205)*(1+Tax)+N204)</f>
        <v>1572887.894</v>
      </c>
      <c r="I205" s="175">
        <f>IF(B205&lt;PT+1,VLOOKUP(D205,'Pre-Calculation'!$N$3:$P$79,IF(INPUT!$C$4="M",2,3),FALSE)*(J205/1000)*(1/12),0)</f>
        <v>0</v>
      </c>
      <c r="J205" s="175">
        <f t="shared" si="3"/>
        <v>0</v>
      </c>
      <c r="K205" s="175">
        <f>(IF('Pre-Calculation'!$D$17="Type 4 a",MAX(SA,H205,1.05*Q205),IF('Pre-Calculation'!$D$17="Type 4 c",H205,IF('Pre-Calculation'!$D$17="Type 4 d",SA+H205,IF('Pre-Calculation'!$D$17="Type 4 e",MAX(SA,H205),IF('Pre-Calculation'!$D$17="Type 4 f",SA,IF('Pre-Calculation'!$D$17="Type 4 g",1000+H205,IF('Pre-Calculation'!$D$17="Type 4 h",SA+X205,IF('Pre-Calculation'!$D$17="Type 4 i",MAX(H205,Q205),IF('Pre-Calculation'!$D$17="Type 4 k",MAX(H205,1.01*Q205),IF('Pre-Calculation'!$D$17="Type 4 m",MAX(105%*Q205,SA+H205),IF('Pre-Calculation'!$D$17="Type 4 o",MAX(SA,105%*Q205)+X205+Z205,IF('Pre-Calculation'!$D$17="Type 5",0)))))))))))))*IF(AND(A205&lt;Revival!$C$4,C205&gt;=Revival!$D$12),PUP,1)</f>
        <v>1572887.894</v>
      </c>
      <c r="L205" s="175">
        <f>H205-I205*(1+Tax)</f>
        <v>1572887.894</v>
      </c>
      <c r="M205" s="175">
        <f>L205*(1+GROWTH_RATE_L)*(1-FMC*(1+Tax))</f>
        <v>1575943.414</v>
      </c>
      <c r="N205" s="175">
        <f>M205+IF(MOD(A205,B205)=0,VLOOKUP(B205,'Pre-Calculation'!$H$1:$L$31,5,FALSE),0)*IF('Pre-Calculation'!$D$16="% OF FV",M205,IF(OR('Pre-Calculation'!$D$16="% OF AFV(24M)",'Pre-Calculation'!$D$16="% OF AFV(8Q)"),AVERAGE( $M182:$M205),IF('Pre-Calculation'!$D$16="% OF AFV(12M)",AVERAGE($M194:M205),IF('Pre-Calculation'!$D$16="% OF AFV(36M)",AVERAGE($M170:M205)))))</f>
        <v>1575943.414</v>
      </c>
      <c r="O205" s="175">
        <f t="shared" si="4"/>
        <v>1575943.414</v>
      </c>
      <c r="P205" s="175">
        <f>IF('Pre-Calculation'!$D$17="Type 4 a",MAX(SA,N205,1.05*Q205),IF('Pre-Calculation'!$D$17="Type 4 c",N205,IF('Pre-Calculation'!$D$17="Type 4 d",SA+N205,IF('Pre-Calculation'!$D$17="Type 4 e",MAX(SA,N205),IF('Pre-Calculation'!$D$17="Type 4 f",SA,IF('Pre-Calculation'!$D$17="Type 4 g",1000+N205,IF('Pre-Calculation'!$D$17="Type 4 h",SA+X205,IF('Pre-Calculation'!$D$17="Type 4 i",MAX(N205,Q205),IF('Pre-Calculation'!$D$17="Type 4 k",MAX(N205,1.01*Q205),IF('Pre-Calculation'!$D$17="Type 4 m",MAX(105%*Q205,SA+N205),IF('Pre-Calculation'!$D$17="Type 4 o",MAX(SA,105%*Q205)+X205+Z205,IF('Pre-Calculation'!$D$17="Type 5",0))))))))))))</f>
        <v>1575943.414</v>
      </c>
      <c r="Q205" s="175">
        <f t="shared" si="5"/>
        <v>1000000</v>
      </c>
      <c r="R205" s="119">
        <f>L205*(1+GROWTH_RATE)*FMC</f>
        <v>1779.915416</v>
      </c>
      <c r="S205" s="178">
        <f>S204*(1+'Pre-Calculation'!$E$27)</f>
        <v>1149937.29</v>
      </c>
      <c r="T205" s="175">
        <f>-E205+IF(A204=INPUT!$C$11*12,N205,0)</f>
        <v>0</v>
      </c>
      <c r="U205" s="175">
        <f t="shared" si="6"/>
        <v>1553514.635</v>
      </c>
      <c r="V205" s="175">
        <f>U205*(1+GROWTH_RATE_L)*(1-'Pre-Calculation'!$E$31)</f>
        <v>1556004.863</v>
      </c>
      <c r="W205" s="175">
        <f>-E205+IF(A204=INPUT!$C$11*12,V205,0)</f>
        <v>0</v>
      </c>
      <c r="X205" s="179">
        <f t="array" ref="X205">NPV('Pre-Calculation'!$E$20,$E206:E$246)</f>
        <v>0</v>
      </c>
      <c r="Y205" s="171">
        <f>10%*SA</f>
        <v>100000</v>
      </c>
      <c r="Z205" s="179">
        <f t="array" ref="Z205">NPV('Pre-Calculation'!$E$20,Y206:Y215)</f>
        <v>969592.8037</v>
      </c>
    </row>
    <row r="206" ht="15.75" customHeight="1">
      <c r="A206" s="171">
        <f t="shared" si="1"/>
        <v>260</v>
      </c>
      <c r="B206" s="171">
        <f t="shared" si="2"/>
        <v>22</v>
      </c>
      <c r="C206" s="176">
        <f>EDATE(RCD,A205)</f>
        <v>50435</v>
      </c>
      <c r="D206" s="171">
        <f>Age_At_Entry+'Cashflows_4%'!B206-1</f>
        <v>56</v>
      </c>
      <c r="E206" s="175">
        <f>IF(AND(C206&lt;=Last_Prem,MOD(A205,Mode)=0,C206&gt;INPUT!$C$13,A206&lt;=Revival!$C$11),Mod_Prem,0)</f>
        <v>0</v>
      </c>
      <c r="F206" s="177">
        <f>IF(B206&lt;PT+1,E206*VLOOKUP(B206,'Pre-Calculation'!$H$1:$I$31,2,FALSE),0)</f>
        <v>0</v>
      </c>
      <c r="G206" s="177">
        <f>IF(B206&lt;PT+1,VLOOKUP(B206,'Pre-Calculation'!$H$1:$L$32,3,FALSE)+VLOOKUP(B206,'Pre-Calculation'!$H$1:$L$32,4,FALSE)*'Pre-Calculation'!$D$7,0)</f>
        <v>0</v>
      </c>
      <c r="H206" s="175">
        <f>(E206-(F206+G206)*(1+Tax)+N205)</f>
        <v>1575943.414</v>
      </c>
      <c r="I206" s="175">
        <f>IF(B206&lt;PT+1,VLOOKUP(D206,'Pre-Calculation'!$N$3:$P$79,IF(INPUT!$C$4="M",2,3),FALSE)*(J206/1000)*(1/12),0)</f>
        <v>0</v>
      </c>
      <c r="J206" s="175">
        <f t="shared" si="3"/>
        <v>0</v>
      </c>
      <c r="K206" s="175">
        <f>(IF('Pre-Calculation'!$D$17="Type 4 a",MAX(SA,H206,1.05*Q206),IF('Pre-Calculation'!$D$17="Type 4 c",H206,IF('Pre-Calculation'!$D$17="Type 4 d",SA+H206,IF('Pre-Calculation'!$D$17="Type 4 e",MAX(SA,H206),IF('Pre-Calculation'!$D$17="Type 4 f",SA,IF('Pre-Calculation'!$D$17="Type 4 g",1000+H206,IF('Pre-Calculation'!$D$17="Type 4 h",SA+X206,IF('Pre-Calculation'!$D$17="Type 4 i",MAX(H206,Q206),IF('Pre-Calculation'!$D$17="Type 4 k",MAX(H206,1.01*Q206),IF('Pre-Calculation'!$D$17="Type 4 m",MAX(105%*Q206,SA+H206),IF('Pre-Calculation'!$D$17="Type 4 o",MAX(SA,105%*Q206)+X206+Z206,IF('Pre-Calculation'!$D$17="Type 5",0)))))))))))))*IF(AND(A206&lt;Revival!$C$4,C206&gt;=Revival!$D$12),PUP,1)</f>
        <v>1575943.414</v>
      </c>
      <c r="L206" s="175">
        <f>H206-I206*(1+Tax)</f>
        <v>1575943.414</v>
      </c>
      <c r="M206" s="175">
        <f>L206*(1+GROWTH_RATE_L)*(1-FMC*(1+Tax))</f>
        <v>1579004.871</v>
      </c>
      <c r="N206" s="175">
        <f>M206+IF(MOD(A206,B206)=0,VLOOKUP(B206,'Pre-Calculation'!$H$1:$L$31,5,FALSE),0)*IF('Pre-Calculation'!$D$16="% OF FV",M206,IF(OR('Pre-Calculation'!$D$16="% OF AFV(24M)",'Pre-Calculation'!$D$16="% OF AFV(8Q)"),AVERAGE( $M183:$M206),IF('Pre-Calculation'!$D$16="% OF AFV(12M)",AVERAGE($M195:M206),IF('Pre-Calculation'!$D$16="% OF AFV(36M)",AVERAGE($M171:M206)))))</f>
        <v>1579004.871</v>
      </c>
      <c r="O206" s="175">
        <f t="shared" si="4"/>
        <v>1579004.871</v>
      </c>
      <c r="P206" s="175">
        <f>IF('Pre-Calculation'!$D$17="Type 4 a",MAX(SA,N206,1.05*Q206),IF('Pre-Calculation'!$D$17="Type 4 c",N206,IF('Pre-Calculation'!$D$17="Type 4 d",SA+N206,IF('Pre-Calculation'!$D$17="Type 4 e",MAX(SA,N206),IF('Pre-Calculation'!$D$17="Type 4 f",SA,IF('Pre-Calculation'!$D$17="Type 4 g",1000+N206,IF('Pre-Calculation'!$D$17="Type 4 h",SA+X206,IF('Pre-Calculation'!$D$17="Type 4 i",MAX(N206,Q206),IF('Pre-Calculation'!$D$17="Type 4 k",MAX(N206,1.01*Q206),IF('Pre-Calculation'!$D$17="Type 4 m",MAX(105%*Q206,SA+N206),IF('Pre-Calculation'!$D$17="Type 4 o",MAX(SA,105%*Q206)+X206+Z206,IF('Pre-Calculation'!$D$17="Type 5",0))))))))))))</f>
        <v>1579004.871</v>
      </c>
      <c r="Q206" s="175">
        <f t="shared" si="5"/>
        <v>1000000</v>
      </c>
      <c r="R206" s="119">
        <f>L206*(1+GROWTH_RATE)*FMC</f>
        <v>1783.373112</v>
      </c>
      <c r="S206" s="178">
        <f>S205*(1+'Pre-Calculation'!$E$27)</f>
        <v>1153238.643</v>
      </c>
      <c r="T206" s="175">
        <f>-E206+IF(A205=INPUT!$C$11*12,N206,0)</f>
        <v>0</v>
      </c>
      <c r="U206" s="175">
        <f t="shared" si="6"/>
        <v>1556004.863</v>
      </c>
      <c r="V206" s="175">
        <f>U206*(1+GROWTH_RATE_L)*(1-'Pre-Calculation'!$E$31)</f>
        <v>1558499.082</v>
      </c>
      <c r="W206" s="175">
        <f>-E206+IF(A205=INPUT!$C$11*12,V206,0)</f>
        <v>0</v>
      </c>
      <c r="X206" s="179">
        <f t="array" ref="X206">NPV('Pre-Calculation'!$E$20,$E207:E$246)</f>
        <v>0</v>
      </c>
      <c r="Y206" s="171">
        <f>10%*SA</f>
        <v>100000</v>
      </c>
      <c r="Z206" s="179">
        <f t="array" ref="Z206">NPV('Pre-Calculation'!$E$20,Y207:Y216)</f>
        <v>969592.8037</v>
      </c>
    </row>
    <row r="207" ht="15.75" customHeight="1">
      <c r="A207" s="171">
        <f t="shared" si="1"/>
        <v>261</v>
      </c>
      <c r="B207" s="171">
        <f t="shared" si="2"/>
        <v>22</v>
      </c>
      <c r="C207" s="176">
        <f>EDATE(RCD,A206)</f>
        <v>50464</v>
      </c>
      <c r="D207" s="171">
        <f>Age_At_Entry+'Cashflows_4%'!B207-1</f>
        <v>56</v>
      </c>
      <c r="E207" s="175">
        <f>IF(AND(C207&lt;=Last_Prem,MOD(A206,Mode)=0,C207&gt;INPUT!$C$13,A207&lt;=Revival!$C$11),Mod_Prem,0)</f>
        <v>0</v>
      </c>
      <c r="F207" s="177">
        <f>IF(B207&lt;PT+1,E207*VLOOKUP(B207,'Pre-Calculation'!$H$1:$I$31,2,FALSE),0)</f>
        <v>0</v>
      </c>
      <c r="G207" s="177">
        <f>IF(B207&lt;PT+1,VLOOKUP(B207,'Pre-Calculation'!$H$1:$L$32,3,FALSE)+VLOOKUP(B207,'Pre-Calculation'!$H$1:$L$32,4,FALSE)*'Pre-Calculation'!$D$7,0)</f>
        <v>0</v>
      </c>
      <c r="H207" s="175">
        <f>(E207-(F207+G207)*(1+Tax)+N206)</f>
        <v>1579004.871</v>
      </c>
      <c r="I207" s="175">
        <f>IF(B207&lt;PT+1,VLOOKUP(D207,'Pre-Calculation'!$N$3:$P$79,IF(INPUT!$C$4="M",2,3),FALSE)*(J207/1000)*(1/12),0)</f>
        <v>0</v>
      </c>
      <c r="J207" s="175">
        <f t="shared" si="3"/>
        <v>0</v>
      </c>
      <c r="K207" s="175">
        <f>(IF('Pre-Calculation'!$D$17="Type 4 a",MAX(SA,H207,1.05*Q207),IF('Pre-Calculation'!$D$17="Type 4 c",H207,IF('Pre-Calculation'!$D$17="Type 4 d",SA+H207,IF('Pre-Calculation'!$D$17="Type 4 e",MAX(SA,H207),IF('Pre-Calculation'!$D$17="Type 4 f",SA,IF('Pre-Calculation'!$D$17="Type 4 g",1000+H207,IF('Pre-Calculation'!$D$17="Type 4 h",SA+X207,IF('Pre-Calculation'!$D$17="Type 4 i",MAX(H207,Q207),IF('Pre-Calculation'!$D$17="Type 4 k",MAX(H207,1.01*Q207),IF('Pre-Calculation'!$D$17="Type 4 m",MAX(105%*Q207,SA+H207),IF('Pre-Calculation'!$D$17="Type 4 o",MAX(SA,105%*Q207)+X207+Z207,IF('Pre-Calculation'!$D$17="Type 5",0)))))))))))))*IF(AND(A207&lt;Revival!$C$4,C207&gt;=Revival!$D$12),PUP,1)</f>
        <v>1579004.871</v>
      </c>
      <c r="L207" s="175">
        <f>H207-I207*(1+Tax)</f>
        <v>1579004.871</v>
      </c>
      <c r="M207" s="175">
        <f>L207*(1+GROWTH_RATE_L)*(1-FMC*(1+Tax))</f>
        <v>1582072.274</v>
      </c>
      <c r="N207" s="175">
        <f>M207+IF(MOD(A207,B207)=0,VLOOKUP(B207,'Pre-Calculation'!$H$1:$L$31,5,FALSE),0)*IF('Pre-Calculation'!$D$16="% OF FV",M207,IF(OR('Pre-Calculation'!$D$16="% OF AFV(24M)",'Pre-Calculation'!$D$16="% OF AFV(8Q)"),AVERAGE( $M184:$M207),IF('Pre-Calculation'!$D$16="% OF AFV(12M)",AVERAGE($M196:M207),IF('Pre-Calculation'!$D$16="% OF AFV(36M)",AVERAGE($M172:M207)))))</f>
        <v>1582072.274</v>
      </c>
      <c r="O207" s="175">
        <f t="shared" si="4"/>
        <v>1582072.274</v>
      </c>
      <c r="P207" s="175">
        <f>IF('Pre-Calculation'!$D$17="Type 4 a",MAX(SA,N207,1.05*Q207),IF('Pre-Calculation'!$D$17="Type 4 c",N207,IF('Pre-Calculation'!$D$17="Type 4 d",SA+N207,IF('Pre-Calculation'!$D$17="Type 4 e",MAX(SA,N207),IF('Pre-Calculation'!$D$17="Type 4 f",SA,IF('Pre-Calculation'!$D$17="Type 4 g",1000+N207,IF('Pre-Calculation'!$D$17="Type 4 h",SA+X207,IF('Pre-Calculation'!$D$17="Type 4 i",MAX(N207,Q207),IF('Pre-Calculation'!$D$17="Type 4 k",MAX(N207,1.01*Q207),IF('Pre-Calculation'!$D$17="Type 4 m",MAX(105%*Q207,SA+N207),IF('Pre-Calculation'!$D$17="Type 4 o",MAX(SA,105%*Q207)+X207+Z207,IF('Pre-Calculation'!$D$17="Type 5",0))))))))))))</f>
        <v>1582072.274</v>
      </c>
      <c r="Q207" s="175">
        <f t="shared" si="5"/>
        <v>1000000</v>
      </c>
      <c r="R207" s="119">
        <f>L207*(1+GROWTH_RATE)*FMC</f>
        <v>1786.837525</v>
      </c>
      <c r="S207" s="178">
        <f>S206*(1+'Pre-Calculation'!$E$27)</f>
        <v>1156549.475</v>
      </c>
      <c r="T207" s="175">
        <f>-E207+IF(A206=INPUT!$C$11*12,N207,0)</f>
        <v>0</v>
      </c>
      <c r="U207" s="175">
        <f t="shared" si="6"/>
        <v>1558499.082</v>
      </c>
      <c r="V207" s="175">
        <f>U207*(1+GROWTH_RATE_L)*(1-'Pre-Calculation'!$E$31)</f>
        <v>1560997.3</v>
      </c>
      <c r="W207" s="175">
        <f>-E207+IF(A206=INPUT!$C$11*12,V207,0)</f>
        <v>0</v>
      </c>
      <c r="X207" s="179">
        <f t="array" ref="X207">NPV('Pre-Calculation'!$E$20,$E208:E$246)</f>
        <v>0</v>
      </c>
      <c r="Y207" s="171">
        <f>10%*SA</f>
        <v>100000</v>
      </c>
      <c r="Z207" s="179">
        <f t="array" ref="Z207">NPV('Pre-Calculation'!$E$20,Y208:Y217)</f>
        <v>969592.8037</v>
      </c>
    </row>
    <row r="208" ht="15.75" customHeight="1">
      <c r="A208" s="171">
        <f t="shared" si="1"/>
        <v>262</v>
      </c>
      <c r="B208" s="171">
        <f t="shared" si="2"/>
        <v>22</v>
      </c>
      <c r="C208" s="176">
        <f>EDATE(RCD,A207)</f>
        <v>50494</v>
      </c>
      <c r="D208" s="171">
        <f>Age_At_Entry+'Cashflows_4%'!B208-1</f>
        <v>56</v>
      </c>
      <c r="E208" s="175">
        <f>IF(AND(C208&lt;=Last_Prem,MOD(A207,Mode)=0,C208&gt;INPUT!$C$13,A208&lt;=Revival!$C$11),Mod_Prem,0)</f>
        <v>0</v>
      </c>
      <c r="F208" s="177">
        <f>IF(B208&lt;PT+1,E208*VLOOKUP(B208,'Pre-Calculation'!$H$1:$I$31,2,FALSE),0)</f>
        <v>0</v>
      </c>
      <c r="G208" s="177">
        <f>IF(B208&lt;PT+1,VLOOKUP(B208,'Pre-Calculation'!$H$1:$L$32,3,FALSE)+VLOOKUP(B208,'Pre-Calculation'!$H$1:$L$32,4,FALSE)*'Pre-Calculation'!$D$7,0)</f>
        <v>0</v>
      </c>
      <c r="H208" s="175">
        <f>(E208-(F208+G208)*(1+Tax)+N207)</f>
        <v>1582072.274</v>
      </c>
      <c r="I208" s="175">
        <f>IF(B208&lt;PT+1,VLOOKUP(D208,'Pre-Calculation'!$N$3:$P$79,IF(INPUT!$C$4="M",2,3),FALSE)*(J208/1000)*(1/12),0)</f>
        <v>0</v>
      </c>
      <c r="J208" s="175">
        <f t="shared" si="3"/>
        <v>0</v>
      </c>
      <c r="K208" s="175">
        <f>(IF('Pre-Calculation'!$D$17="Type 4 a",MAX(SA,H208,1.05*Q208),IF('Pre-Calculation'!$D$17="Type 4 c",H208,IF('Pre-Calculation'!$D$17="Type 4 d",SA+H208,IF('Pre-Calculation'!$D$17="Type 4 e",MAX(SA,H208),IF('Pre-Calculation'!$D$17="Type 4 f",SA,IF('Pre-Calculation'!$D$17="Type 4 g",1000+H208,IF('Pre-Calculation'!$D$17="Type 4 h",SA+X208,IF('Pre-Calculation'!$D$17="Type 4 i",MAX(H208,Q208),IF('Pre-Calculation'!$D$17="Type 4 k",MAX(H208,1.01*Q208),IF('Pre-Calculation'!$D$17="Type 4 m",MAX(105%*Q208,SA+H208),IF('Pre-Calculation'!$D$17="Type 4 o",MAX(SA,105%*Q208)+X208+Z208,IF('Pre-Calculation'!$D$17="Type 5",0)))))))))))))*IF(AND(A208&lt;Revival!$C$4,C208&gt;=Revival!$D$12),PUP,1)</f>
        <v>1582072.274</v>
      </c>
      <c r="L208" s="175">
        <f>H208-I208*(1+Tax)</f>
        <v>1582072.274</v>
      </c>
      <c r="M208" s="175">
        <f>L208*(1+GROWTH_RATE_L)*(1-FMC*(1+Tax))</f>
        <v>1585145.637</v>
      </c>
      <c r="N208" s="175">
        <f>M208+IF(MOD(A208,B208)=0,VLOOKUP(B208,'Pre-Calculation'!$H$1:$L$31,5,FALSE),0)*IF('Pre-Calculation'!$D$16="% OF FV",M208,IF(OR('Pre-Calculation'!$D$16="% OF AFV(24M)",'Pre-Calculation'!$D$16="% OF AFV(8Q)"),AVERAGE( $M185:$M208),IF('Pre-Calculation'!$D$16="% OF AFV(12M)",AVERAGE($M197:M208),IF('Pre-Calculation'!$D$16="% OF AFV(36M)",AVERAGE($M173:M208)))))</f>
        <v>1585145.637</v>
      </c>
      <c r="O208" s="175">
        <f t="shared" si="4"/>
        <v>1585145.637</v>
      </c>
      <c r="P208" s="175">
        <f>IF('Pre-Calculation'!$D$17="Type 4 a",MAX(SA,N208,1.05*Q208),IF('Pre-Calculation'!$D$17="Type 4 c",N208,IF('Pre-Calculation'!$D$17="Type 4 d",SA+N208,IF('Pre-Calculation'!$D$17="Type 4 e",MAX(SA,N208),IF('Pre-Calculation'!$D$17="Type 4 f",SA,IF('Pre-Calculation'!$D$17="Type 4 g",1000+N208,IF('Pre-Calculation'!$D$17="Type 4 h",SA+X208,IF('Pre-Calculation'!$D$17="Type 4 i",MAX(N208,Q208),IF('Pre-Calculation'!$D$17="Type 4 k",MAX(N208,1.01*Q208),IF('Pre-Calculation'!$D$17="Type 4 m",MAX(105%*Q208,SA+N208),IF('Pre-Calculation'!$D$17="Type 4 o",MAX(SA,105%*Q208)+X208+Z208,IF('Pre-Calculation'!$D$17="Type 5",0))))))))))))</f>
        <v>1585145.637</v>
      </c>
      <c r="Q208" s="175">
        <f t="shared" si="5"/>
        <v>1000000</v>
      </c>
      <c r="R208" s="119">
        <f>L208*(1+GROWTH_RATE)*FMC</f>
        <v>1790.308668</v>
      </c>
      <c r="S208" s="178">
        <f>S207*(1+'Pre-Calculation'!$E$27)</f>
        <v>1159869.811</v>
      </c>
      <c r="T208" s="175">
        <f>-E208+IF(A207=INPUT!$C$11*12,N208,0)</f>
        <v>0</v>
      </c>
      <c r="U208" s="175">
        <f t="shared" si="6"/>
        <v>1560997.3</v>
      </c>
      <c r="V208" s="175">
        <f>U208*(1+GROWTH_RATE_L)*(1-'Pre-Calculation'!$E$31)</f>
        <v>1563499.522</v>
      </c>
      <c r="W208" s="175">
        <f>-E208+IF(A207=INPUT!$C$11*12,V208,0)</f>
        <v>0</v>
      </c>
      <c r="X208" s="179">
        <f t="array" ref="X208">NPV('Pre-Calculation'!$E$20,$E209:E$246)</f>
        <v>0</v>
      </c>
      <c r="Y208" s="171">
        <f>10%*SA</f>
        <v>100000</v>
      </c>
      <c r="Z208" s="179">
        <f t="array" ref="Z208">NPV('Pre-Calculation'!$E$20,Y209:Y218)</f>
        <v>969592.8037</v>
      </c>
    </row>
    <row r="209" ht="15.75" customHeight="1">
      <c r="A209" s="171">
        <f t="shared" si="1"/>
        <v>263</v>
      </c>
      <c r="B209" s="171">
        <f t="shared" si="2"/>
        <v>22</v>
      </c>
      <c r="C209" s="176">
        <f>EDATE(RCD,A208)</f>
        <v>50525</v>
      </c>
      <c r="D209" s="171">
        <f>Age_At_Entry+'Cashflows_4%'!B209-1</f>
        <v>56</v>
      </c>
      <c r="E209" s="175">
        <f>IF(AND(C209&lt;=Last_Prem,MOD(A208,Mode)=0,C209&gt;INPUT!$C$13,A209&lt;=Revival!$C$11),Mod_Prem,0)</f>
        <v>0</v>
      </c>
      <c r="F209" s="177">
        <f>IF(B209&lt;PT+1,E209*VLOOKUP(B209,'Pre-Calculation'!$H$1:$I$31,2,FALSE),0)</f>
        <v>0</v>
      </c>
      <c r="G209" s="177">
        <f>IF(B209&lt;PT+1,VLOOKUP(B209,'Pre-Calculation'!$H$1:$L$32,3,FALSE)+VLOOKUP(B209,'Pre-Calculation'!$H$1:$L$32,4,FALSE)*'Pre-Calculation'!$D$7,0)</f>
        <v>0</v>
      </c>
      <c r="H209" s="175">
        <f>(E209-(F209+G209)*(1+Tax)+N208)</f>
        <v>1585145.637</v>
      </c>
      <c r="I209" s="175">
        <f>IF(B209&lt;PT+1,VLOOKUP(D209,'Pre-Calculation'!$N$3:$P$79,IF(INPUT!$C$4="M",2,3),FALSE)*(J209/1000)*(1/12),0)</f>
        <v>0</v>
      </c>
      <c r="J209" s="175">
        <f t="shared" si="3"/>
        <v>0</v>
      </c>
      <c r="K209" s="175">
        <f>(IF('Pre-Calculation'!$D$17="Type 4 a",MAX(SA,H209,1.05*Q209),IF('Pre-Calculation'!$D$17="Type 4 c",H209,IF('Pre-Calculation'!$D$17="Type 4 d",SA+H209,IF('Pre-Calculation'!$D$17="Type 4 e",MAX(SA,H209),IF('Pre-Calculation'!$D$17="Type 4 f",SA,IF('Pre-Calculation'!$D$17="Type 4 g",1000+H209,IF('Pre-Calculation'!$D$17="Type 4 h",SA+X209,IF('Pre-Calculation'!$D$17="Type 4 i",MAX(H209,Q209),IF('Pre-Calculation'!$D$17="Type 4 k",MAX(H209,1.01*Q209),IF('Pre-Calculation'!$D$17="Type 4 m",MAX(105%*Q209,SA+H209),IF('Pre-Calculation'!$D$17="Type 4 o",MAX(SA,105%*Q209)+X209+Z209,IF('Pre-Calculation'!$D$17="Type 5",0)))))))))))))*IF(AND(A209&lt;Revival!$C$4,C209&gt;=Revival!$D$12),PUP,1)</f>
        <v>1585145.637</v>
      </c>
      <c r="L209" s="175">
        <f>H209-I209*(1+Tax)</f>
        <v>1585145.637</v>
      </c>
      <c r="M209" s="175">
        <f>L209*(1+GROWTH_RATE_L)*(1-FMC*(1+Tax))</f>
        <v>1588224.969</v>
      </c>
      <c r="N209" s="175">
        <f>M209+IF(MOD(A209,B209)=0,VLOOKUP(B209,'Pre-Calculation'!$H$1:$L$31,5,FALSE),0)*IF('Pre-Calculation'!$D$16="% OF FV",M209,IF(OR('Pre-Calculation'!$D$16="% OF AFV(24M)",'Pre-Calculation'!$D$16="% OF AFV(8Q)"),AVERAGE( $M186:$M209),IF('Pre-Calculation'!$D$16="% OF AFV(12M)",AVERAGE($M198:M209),IF('Pre-Calculation'!$D$16="% OF AFV(36M)",AVERAGE($M174:M209)))))</f>
        <v>1588224.969</v>
      </c>
      <c r="O209" s="175">
        <f t="shared" si="4"/>
        <v>1588224.969</v>
      </c>
      <c r="P209" s="175">
        <f>IF('Pre-Calculation'!$D$17="Type 4 a",MAX(SA,N209,1.05*Q209),IF('Pre-Calculation'!$D$17="Type 4 c",N209,IF('Pre-Calculation'!$D$17="Type 4 d",SA+N209,IF('Pre-Calculation'!$D$17="Type 4 e",MAX(SA,N209),IF('Pre-Calculation'!$D$17="Type 4 f",SA,IF('Pre-Calculation'!$D$17="Type 4 g",1000+N209,IF('Pre-Calculation'!$D$17="Type 4 h",SA+X209,IF('Pre-Calculation'!$D$17="Type 4 i",MAX(N209,Q209),IF('Pre-Calculation'!$D$17="Type 4 k",MAX(N209,1.01*Q209),IF('Pre-Calculation'!$D$17="Type 4 m",MAX(105%*Q209,SA+N209),IF('Pre-Calculation'!$D$17="Type 4 o",MAX(SA,105%*Q209)+X209+Z209,IF('Pre-Calculation'!$D$17="Type 5",0))))))))))))</f>
        <v>1588224.969</v>
      </c>
      <c r="Q209" s="175">
        <f t="shared" si="5"/>
        <v>1000000</v>
      </c>
      <c r="R209" s="119">
        <f>L209*(1+GROWTH_RATE)*FMC</f>
        <v>1793.786554</v>
      </c>
      <c r="S209" s="178">
        <f>S208*(1+'Pre-Calculation'!$E$27)</f>
        <v>1163199.68</v>
      </c>
      <c r="T209" s="175">
        <f>-E209+IF(A208=INPUT!$C$11*12,N209,0)</f>
        <v>0</v>
      </c>
      <c r="U209" s="175">
        <f t="shared" si="6"/>
        <v>1563499.522</v>
      </c>
      <c r="V209" s="175">
        <f>U209*(1+GROWTH_RATE_L)*(1-'Pre-Calculation'!$E$31)</f>
        <v>1566005.755</v>
      </c>
      <c r="W209" s="175">
        <f>-E209+IF(A208=INPUT!$C$11*12,V209,0)</f>
        <v>0</v>
      </c>
      <c r="X209" s="179">
        <f t="array" ref="X209">NPV('Pre-Calculation'!$E$20,$E210:E$246)</f>
        <v>0</v>
      </c>
      <c r="Y209" s="171">
        <f>10%*SA</f>
        <v>100000</v>
      </c>
      <c r="Z209" s="179">
        <f t="array" ref="Z209">NPV('Pre-Calculation'!$E$20,Y210:Y219)</f>
        <v>969592.8037</v>
      </c>
    </row>
    <row r="210" ht="15.75" customHeight="1">
      <c r="A210" s="171">
        <f t="shared" si="1"/>
        <v>264</v>
      </c>
      <c r="B210" s="171">
        <f t="shared" si="2"/>
        <v>22</v>
      </c>
      <c r="C210" s="176">
        <f>EDATE(RCD,A209)</f>
        <v>50555</v>
      </c>
      <c r="D210" s="171">
        <f>Age_At_Entry+'Cashflows_4%'!B210-1</f>
        <v>56</v>
      </c>
      <c r="E210" s="175">
        <f>IF(AND(C210&lt;=Last_Prem,MOD(A209,Mode)=0,C210&gt;INPUT!$C$13,A210&lt;=Revival!$C$11),Mod_Prem,0)</f>
        <v>0</v>
      </c>
      <c r="F210" s="177">
        <f>IF(B210&lt;PT+1,E210*VLOOKUP(B210,'Pre-Calculation'!$H$1:$I$31,2,FALSE),0)</f>
        <v>0</v>
      </c>
      <c r="G210" s="177">
        <f>IF(B210&lt;PT+1,VLOOKUP(B210,'Pre-Calculation'!$H$1:$L$32,3,FALSE)+VLOOKUP(B210,'Pre-Calculation'!$H$1:$L$32,4,FALSE)*'Pre-Calculation'!$D$7,0)</f>
        <v>0</v>
      </c>
      <c r="H210" s="175">
        <f>(E210-(F210+G210)*(1+Tax)+N209)</f>
        <v>1588224.969</v>
      </c>
      <c r="I210" s="175">
        <f>IF(B210&lt;PT+1,VLOOKUP(D210,'Pre-Calculation'!$N$3:$P$79,IF(INPUT!$C$4="M",2,3),FALSE)*(J210/1000)*(1/12),0)</f>
        <v>0</v>
      </c>
      <c r="J210" s="175">
        <f t="shared" si="3"/>
        <v>0</v>
      </c>
      <c r="K210" s="175">
        <f>(IF('Pre-Calculation'!$D$17="Type 4 a",MAX(SA,H210,1.05*Q210),IF('Pre-Calculation'!$D$17="Type 4 c",H210,IF('Pre-Calculation'!$D$17="Type 4 d",SA+H210,IF('Pre-Calculation'!$D$17="Type 4 e",MAX(SA,H210),IF('Pre-Calculation'!$D$17="Type 4 f",SA,IF('Pre-Calculation'!$D$17="Type 4 g",1000+H210,IF('Pre-Calculation'!$D$17="Type 4 h",SA+X210,IF('Pre-Calculation'!$D$17="Type 4 i",MAX(H210,Q210),IF('Pre-Calculation'!$D$17="Type 4 k",MAX(H210,1.01*Q210),IF('Pre-Calculation'!$D$17="Type 4 m",MAX(105%*Q210,SA+H210),IF('Pre-Calculation'!$D$17="Type 4 o",MAX(SA,105%*Q210)+X210+Z210,IF('Pre-Calculation'!$D$17="Type 5",0)))))))))))))*IF(AND(A210&lt;Revival!$C$4,C210&gt;=Revival!$D$12),PUP,1)</f>
        <v>1588224.969</v>
      </c>
      <c r="L210" s="175">
        <f>H210-I210*(1+Tax)</f>
        <v>1588224.969</v>
      </c>
      <c r="M210" s="175">
        <f>L210*(1+GROWTH_RATE_L)*(1-FMC*(1+Tax))</f>
        <v>1591310.284</v>
      </c>
      <c r="N210" s="175">
        <f>M210+IF(MOD(A210,B210)=0,VLOOKUP(B210,'Pre-Calculation'!$H$1:$L$31,5,FALSE),0)*IF('Pre-Calculation'!$D$16="% OF FV",M210,IF(OR('Pre-Calculation'!$D$16="% OF AFV(24M)",'Pre-Calculation'!$D$16="% OF AFV(8Q)"),AVERAGE( $M187:$M210),IF('Pre-Calculation'!$D$16="% OF AFV(12M)",AVERAGE($M199:M210),IF('Pre-Calculation'!$D$16="% OF AFV(36M)",AVERAGE($M175:M210)))))</f>
        <v>1591310.284</v>
      </c>
      <c r="O210" s="175">
        <f t="shared" si="4"/>
        <v>1591310.284</v>
      </c>
      <c r="P210" s="175">
        <f>IF('Pre-Calculation'!$D$17="Type 4 a",MAX(SA,N210,1.05*Q210),IF('Pre-Calculation'!$D$17="Type 4 c",N210,IF('Pre-Calculation'!$D$17="Type 4 d",SA+N210,IF('Pre-Calculation'!$D$17="Type 4 e",MAX(SA,N210),IF('Pre-Calculation'!$D$17="Type 4 f",SA,IF('Pre-Calculation'!$D$17="Type 4 g",1000+N210,IF('Pre-Calculation'!$D$17="Type 4 h",SA+X210,IF('Pre-Calculation'!$D$17="Type 4 i",MAX(N210,Q210),IF('Pre-Calculation'!$D$17="Type 4 k",MAX(N210,1.01*Q210),IF('Pre-Calculation'!$D$17="Type 4 m",MAX(105%*Q210,SA+N210),IF('Pre-Calculation'!$D$17="Type 4 o",MAX(SA,105%*Q210)+X210+Z210,IF('Pre-Calculation'!$D$17="Type 5",0))))))))))))</f>
        <v>1591310.284</v>
      </c>
      <c r="Q210" s="175">
        <f t="shared" si="5"/>
        <v>1000000</v>
      </c>
      <c r="R210" s="119">
        <f>L210*(1+GROWTH_RATE)*FMC</f>
        <v>1797.271197</v>
      </c>
      <c r="S210" s="178">
        <f>S209*(1+'Pre-Calculation'!$E$27)</f>
        <v>1166539.108</v>
      </c>
      <c r="T210" s="175">
        <f>-E210+IF(A209=INPUT!$C$11*12,N210,0)</f>
        <v>0</v>
      </c>
      <c r="U210" s="175">
        <f t="shared" si="6"/>
        <v>1566005.755</v>
      </c>
      <c r="V210" s="175">
        <f>U210*(1+GROWTH_RATE_L)*(1-'Pre-Calculation'!$E$31)</f>
        <v>1568516.006</v>
      </c>
      <c r="W210" s="175">
        <f>-E210+IF(A209=INPUT!$C$11*12,V210,0)</f>
        <v>0</v>
      </c>
      <c r="X210" s="179">
        <f t="array" ref="X210">NPV('Pre-Calculation'!$E$20,$E211:E$246)</f>
        <v>0</v>
      </c>
      <c r="Y210" s="171">
        <f>10%*SA</f>
        <v>100000</v>
      </c>
      <c r="Z210" s="179">
        <f t="array" ref="Z210">NPV('Pre-Calculation'!$E$20,Y211:Y220)</f>
        <v>969592.8037</v>
      </c>
    </row>
    <row r="211" ht="15.75" customHeight="1">
      <c r="A211" s="171">
        <f t="shared" si="1"/>
        <v>265</v>
      </c>
      <c r="B211" s="171">
        <f t="shared" si="2"/>
        <v>23</v>
      </c>
      <c r="C211" s="176">
        <f>EDATE(RCD,A210)</f>
        <v>50586</v>
      </c>
      <c r="D211" s="171">
        <f>Age_At_Entry+'Cashflows_4%'!B211-1</f>
        <v>57</v>
      </c>
      <c r="E211" s="175">
        <f>IF(AND(C211&lt;=Last_Prem,MOD(A210,Mode)=0,C211&gt;INPUT!$C$13,A211&lt;=Revival!$C$11),Mod_Prem,0)</f>
        <v>0</v>
      </c>
      <c r="F211" s="177">
        <f>IF(B211&lt;PT+1,E211*VLOOKUP(B211,'Pre-Calculation'!$H$1:$I$31,2,FALSE),0)</f>
        <v>0</v>
      </c>
      <c r="G211" s="177">
        <f>IF(B211&lt;PT+1,VLOOKUP(B211,'Pre-Calculation'!$H$1:$L$32,3,FALSE)+VLOOKUP(B211,'Pre-Calculation'!$H$1:$L$32,4,FALSE)*'Pre-Calculation'!$D$7,0)</f>
        <v>0</v>
      </c>
      <c r="H211" s="175">
        <f>(E211-(F211+G211)*(1+Tax)+N210)</f>
        <v>1591310.284</v>
      </c>
      <c r="I211" s="175">
        <f>IF(B211&lt;PT+1,VLOOKUP(D211,'Pre-Calculation'!$N$3:$P$79,IF(INPUT!$C$4="M",2,3),FALSE)*(J211/1000)*(1/12),0)</f>
        <v>0</v>
      </c>
      <c r="J211" s="175">
        <f t="shared" si="3"/>
        <v>0</v>
      </c>
      <c r="K211" s="175">
        <f>(IF('Pre-Calculation'!$D$17="Type 4 a",MAX(SA,H211,1.05*Q211),IF('Pre-Calculation'!$D$17="Type 4 c",H211,IF('Pre-Calculation'!$D$17="Type 4 d",SA+H211,IF('Pre-Calculation'!$D$17="Type 4 e",MAX(SA,H211),IF('Pre-Calculation'!$D$17="Type 4 f",SA,IF('Pre-Calculation'!$D$17="Type 4 g",1000+H211,IF('Pre-Calculation'!$D$17="Type 4 h",SA+X211,IF('Pre-Calculation'!$D$17="Type 4 i",MAX(H211,Q211),IF('Pre-Calculation'!$D$17="Type 4 k",MAX(H211,1.01*Q211),IF('Pre-Calculation'!$D$17="Type 4 m",MAX(105%*Q211,SA+H211),IF('Pre-Calculation'!$D$17="Type 4 o",MAX(SA,105%*Q211)+X211+Z211,IF('Pre-Calculation'!$D$17="Type 5",0)))))))))))))*IF(AND(A211&lt;Revival!$C$4,C211&gt;=Revival!$D$12),PUP,1)</f>
        <v>1591310.284</v>
      </c>
      <c r="L211" s="175">
        <f>H211-I211*(1+Tax)</f>
        <v>1591310.284</v>
      </c>
      <c r="M211" s="175">
        <f>L211*(1+GROWTH_RATE_L)*(1-FMC*(1+Tax))</f>
        <v>1594401.592</v>
      </c>
      <c r="N211" s="175">
        <f>M211+IF(MOD(A211,B211)=0,VLOOKUP(B211,'Pre-Calculation'!$H$1:$L$31,5,FALSE),0)*IF('Pre-Calculation'!$D$16="% OF FV",M211,IF(OR('Pre-Calculation'!$D$16="% OF AFV(24M)",'Pre-Calculation'!$D$16="% OF AFV(8Q)"),AVERAGE( $M188:$M211),IF('Pre-Calculation'!$D$16="% OF AFV(12M)",AVERAGE($M200:M211),IF('Pre-Calculation'!$D$16="% OF AFV(36M)",AVERAGE($M176:M211)))))</f>
        <v>1594401.592</v>
      </c>
      <c r="O211" s="175">
        <f t="shared" si="4"/>
        <v>1594401.592</v>
      </c>
      <c r="P211" s="175">
        <f>IF('Pre-Calculation'!$D$17="Type 4 a",MAX(SA,N211,1.05*Q211),IF('Pre-Calculation'!$D$17="Type 4 c",N211,IF('Pre-Calculation'!$D$17="Type 4 d",SA+N211,IF('Pre-Calculation'!$D$17="Type 4 e",MAX(SA,N211),IF('Pre-Calculation'!$D$17="Type 4 f",SA,IF('Pre-Calculation'!$D$17="Type 4 g",1000+N211,IF('Pre-Calculation'!$D$17="Type 4 h",SA+X211,IF('Pre-Calculation'!$D$17="Type 4 i",MAX(N211,Q211),IF('Pre-Calculation'!$D$17="Type 4 k",MAX(N211,1.01*Q211),IF('Pre-Calculation'!$D$17="Type 4 m",MAX(105%*Q211,SA+N211),IF('Pre-Calculation'!$D$17="Type 4 o",MAX(SA,105%*Q211)+X211+Z211,IF('Pre-Calculation'!$D$17="Type 5",0))))))))))))</f>
        <v>1594401.592</v>
      </c>
      <c r="Q211" s="175">
        <f t="shared" si="5"/>
        <v>1000000</v>
      </c>
      <c r="R211" s="119">
        <f>L211*(1+GROWTH_RATE)*FMC</f>
        <v>1800.762608</v>
      </c>
      <c r="S211" s="178">
        <f>S210*(1+'Pre-Calculation'!$E$27)</f>
        <v>1169888.124</v>
      </c>
      <c r="T211" s="175">
        <f>-E211+IF(A210=INPUT!$C$11*12,N211,0)</f>
        <v>0</v>
      </c>
      <c r="U211" s="175">
        <f t="shared" si="6"/>
        <v>1568516.006</v>
      </c>
      <c r="V211" s="175">
        <f>U211*(1+GROWTH_RATE_L)*(1-'Pre-Calculation'!$E$31)</f>
        <v>1571030.28</v>
      </c>
      <c r="W211" s="175">
        <f>-E211+IF(A210=INPUT!$C$11*12,V211,0)</f>
        <v>0</v>
      </c>
      <c r="X211" s="179">
        <f t="array" ref="X211">NPV('Pre-Calculation'!$E$20,$E212:E$246)</f>
        <v>0</v>
      </c>
      <c r="Y211" s="171">
        <f>10%*SA</f>
        <v>100000</v>
      </c>
      <c r="Z211" s="179">
        <f t="array" ref="Z211">NPV('Pre-Calculation'!$E$20,Y212:Y221)</f>
        <v>969592.8037</v>
      </c>
    </row>
    <row r="212" ht="15.75" customHeight="1">
      <c r="A212" s="171">
        <f t="shared" si="1"/>
        <v>266</v>
      </c>
      <c r="B212" s="171">
        <f t="shared" si="2"/>
        <v>23</v>
      </c>
      <c r="C212" s="176">
        <f>EDATE(RCD,A211)</f>
        <v>50616</v>
      </c>
      <c r="D212" s="171">
        <f>Age_At_Entry+'Cashflows_4%'!B212-1</f>
        <v>57</v>
      </c>
      <c r="E212" s="175">
        <f>IF(AND(C212&lt;=Last_Prem,MOD(A211,Mode)=0,C212&gt;INPUT!$C$13,A212&lt;=Revival!$C$11),Mod_Prem,0)</f>
        <v>0</v>
      </c>
      <c r="F212" s="177">
        <f>IF(B212&lt;PT+1,E212*VLOOKUP(B212,'Pre-Calculation'!$H$1:$I$31,2,FALSE),0)</f>
        <v>0</v>
      </c>
      <c r="G212" s="177">
        <f>IF(B212&lt;PT+1,VLOOKUP(B212,'Pre-Calculation'!$H$1:$L$32,3,FALSE)+VLOOKUP(B212,'Pre-Calculation'!$H$1:$L$32,4,FALSE)*'Pre-Calculation'!$D$7,0)</f>
        <v>0</v>
      </c>
      <c r="H212" s="175">
        <f>(E212-(F212+G212)*(1+Tax)+N211)</f>
        <v>1594401.592</v>
      </c>
      <c r="I212" s="175">
        <f>IF(B212&lt;PT+1,VLOOKUP(D212,'Pre-Calculation'!$N$3:$P$79,IF(INPUT!$C$4="M",2,3),FALSE)*(J212/1000)*(1/12),0)</f>
        <v>0</v>
      </c>
      <c r="J212" s="175">
        <f t="shared" si="3"/>
        <v>0</v>
      </c>
      <c r="K212" s="175">
        <f>(IF('Pre-Calculation'!$D$17="Type 4 a",MAX(SA,H212,1.05*Q212),IF('Pre-Calculation'!$D$17="Type 4 c",H212,IF('Pre-Calculation'!$D$17="Type 4 d",SA+H212,IF('Pre-Calculation'!$D$17="Type 4 e",MAX(SA,H212),IF('Pre-Calculation'!$D$17="Type 4 f",SA,IF('Pre-Calculation'!$D$17="Type 4 g",1000+H212,IF('Pre-Calculation'!$D$17="Type 4 h",SA+X212,IF('Pre-Calculation'!$D$17="Type 4 i",MAX(H212,Q212),IF('Pre-Calculation'!$D$17="Type 4 k",MAX(H212,1.01*Q212),IF('Pre-Calculation'!$D$17="Type 4 m",MAX(105%*Q212,SA+H212),IF('Pre-Calculation'!$D$17="Type 4 o",MAX(SA,105%*Q212)+X212+Z212,IF('Pre-Calculation'!$D$17="Type 5",0)))))))))))))*IF(AND(A212&lt;Revival!$C$4,C212&gt;=Revival!$D$12),PUP,1)</f>
        <v>1594401.592</v>
      </c>
      <c r="L212" s="175">
        <f>H212-I212*(1+Tax)</f>
        <v>1594401.592</v>
      </c>
      <c r="M212" s="175">
        <f>L212*(1+GROWTH_RATE_L)*(1-FMC*(1+Tax))</f>
        <v>1597498.906</v>
      </c>
      <c r="N212" s="175">
        <f>M212+IF(MOD(A212,B212)=0,VLOOKUP(B212,'Pre-Calculation'!$H$1:$L$31,5,FALSE),0)*IF('Pre-Calculation'!$D$16="% OF FV",M212,IF(OR('Pre-Calculation'!$D$16="% OF AFV(24M)",'Pre-Calculation'!$D$16="% OF AFV(8Q)"),AVERAGE( $M189:$M212),IF('Pre-Calculation'!$D$16="% OF AFV(12M)",AVERAGE($M201:M212),IF('Pre-Calculation'!$D$16="% OF AFV(36M)",AVERAGE($M177:M212)))))</f>
        <v>1597498.906</v>
      </c>
      <c r="O212" s="175">
        <f t="shared" si="4"/>
        <v>1597498.906</v>
      </c>
      <c r="P212" s="175">
        <f>IF('Pre-Calculation'!$D$17="Type 4 a",MAX(SA,N212,1.05*Q212),IF('Pre-Calculation'!$D$17="Type 4 c",N212,IF('Pre-Calculation'!$D$17="Type 4 d",SA+N212,IF('Pre-Calculation'!$D$17="Type 4 e",MAX(SA,N212),IF('Pre-Calculation'!$D$17="Type 4 f",SA,IF('Pre-Calculation'!$D$17="Type 4 g",1000+N212,IF('Pre-Calculation'!$D$17="Type 4 h",SA+X212,IF('Pre-Calculation'!$D$17="Type 4 i",MAX(N212,Q212),IF('Pre-Calculation'!$D$17="Type 4 k",MAX(N212,1.01*Q212),IF('Pre-Calculation'!$D$17="Type 4 m",MAX(105%*Q212,SA+N212),IF('Pre-Calculation'!$D$17="Type 4 o",MAX(SA,105%*Q212)+X212+Z212,IF('Pre-Calculation'!$D$17="Type 5",0))))))))))))</f>
        <v>1597498.906</v>
      </c>
      <c r="Q212" s="175">
        <f t="shared" si="5"/>
        <v>1000000</v>
      </c>
      <c r="R212" s="119">
        <f>L212*(1+GROWTH_RATE)*FMC</f>
        <v>1804.260802</v>
      </c>
      <c r="S212" s="178">
        <f>S211*(1+'Pre-Calculation'!$E$27)</f>
        <v>1173246.754</v>
      </c>
      <c r="T212" s="175">
        <f>-E212+IF(A211=INPUT!$C$11*12,N212,0)</f>
        <v>0</v>
      </c>
      <c r="U212" s="175">
        <f t="shared" si="6"/>
        <v>1571030.28</v>
      </c>
      <c r="V212" s="175">
        <f>U212*(1+GROWTH_RATE_L)*(1-'Pre-Calculation'!$E$31)</f>
        <v>1573548.585</v>
      </c>
      <c r="W212" s="175">
        <f>-E212+IF(A211=INPUT!$C$11*12,V212,0)</f>
        <v>0</v>
      </c>
      <c r="X212" s="179">
        <f t="array" ref="X212">NPV('Pre-Calculation'!$E$20,$E213:E$246)</f>
        <v>0</v>
      </c>
      <c r="Y212" s="171">
        <f>10%*SA</f>
        <v>100000</v>
      </c>
      <c r="Z212" s="179">
        <f t="array" ref="Z212">NPV('Pre-Calculation'!$E$20,Y213:Y222)</f>
        <v>969592.8037</v>
      </c>
    </row>
    <row r="213" ht="15.75" customHeight="1">
      <c r="A213" s="171">
        <f t="shared" si="1"/>
        <v>267</v>
      </c>
      <c r="B213" s="171">
        <f t="shared" si="2"/>
        <v>23</v>
      </c>
      <c r="C213" s="176">
        <f>EDATE(RCD,A212)</f>
        <v>50647</v>
      </c>
      <c r="D213" s="171">
        <f>Age_At_Entry+'Cashflows_4%'!B213-1</f>
        <v>57</v>
      </c>
      <c r="E213" s="175">
        <f>IF(AND(C213&lt;=Last_Prem,MOD(A212,Mode)=0,C213&gt;INPUT!$C$13,A213&lt;=Revival!$C$11),Mod_Prem,0)</f>
        <v>0</v>
      </c>
      <c r="F213" s="177">
        <f>IF(B213&lt;PT+1,E213*VLOOKUP(B213,'Pre-Calculation'!$H$1:$I$31,2,FALSE),0)</f>
        <v>0</v>
      </c>
      <c r="G213" s="177">
        <f>IF(B213&lt;PT+1,VLOOKUP(B213,'Pre-Calculation'!$H$1:$L$32,3,FALSE)+VLOOKUP(B213,'Pre-Calculation'!$H$1:$L$32,4,FALSE)*'Pre-Calculation'!$D$7,0)</f>
        <v>0</v>
      </c>
      <c r="H213" s="175">
        <f>(E213-(F213+G213)*(1+Tax)+N212)</f>
        <v>1597498.906</v>
      </c>
      <c r="I213" s="175">
        <f>IF(B213&lt;PT+1,VLOOKUP(D213,'Pre-Calculation'!$N$3:$P$79,IF(INPUT!$C$4="M",2,3),FALSE)*(J213/1000)*(1/12),0)</f>
        <v>0</v>
      </c>
      <c r="J213" s="175">
        <f t="shared" si="3"/>
        <v>0</v>
      </c>
      <c r="K213" s="175">
        <f>(IF('Pre-Calculation'!$D$17="Type 4 a",MAX(SA,H213,1.05*Q213),IF('Pre-Calculation'!$D$17="Type 4 c",H213,IF('Pre-Calculation'!$D$17="Type 4 d",SA+H213,IF('Pre-Calculation'!$D$17="Type 4 e",MAX(SA,H213),IF('Pre-Calculation'!$D$17="Type 4 f",SA,IF('Pre-Calculation'!$D$17="Type 4 g",1000+H213,IF('Pre-Calculation'!$D$17="Type 4 h",SA+X213,IF('Pre-Calculation'!$D$17="Type 4 i",MAX(H213,Q213),IF('Pre-Calculation'!$D$17="Type 4 k",MAX(H213,1.01*Q213),IF('Pre-Calculation'!$D$17="Type 4 m",MAX(105%*Q213,SA+H213),IF('Pre-Calculation'!$D$17="Type 4 o",MAX(SA,105%*Q213)+X213+Z213,IF('Pre-Calculation'!$D$17="Type 5",0)))))))))))))*IF(AND(A213&lt;Revival!$C$4,C213&gt;=Revival!$D$12),PUP,1)</f>
        <v>1597498.906</v>
      </c>
      <c r="L213" s="175">
        <f>H213-I213*(1+Tax)</f>
        <v>1597498.906</v>
      </c>
      <c r="M213" s="175">
        <f>L213*(1+GROWTH_RATE_L)*(1-FMC*(1+Tax))</f>
        <v>1600602.236</v>
      </c>
      <c r="N213" s="175">
        <f>M213+IF(MOD(A213,B213)=0,VLOOKUP(B213,'Pre-Calculation'!$H$1:$L$31,5,FALSE),0)*IF('Pre-Calculation'!$D$16="% OF FV",M213,IF(OR('Pre-Calculation'!$D$16="% OF AFV(24M)",'Pre-Calculation'!$D$16="% OF AFV(8Q)"),AVERAGE( $M190:$M213),IF('Pre-Calculation'!$D$16="% OF AFV(12M)",AVERAGE($M202:M213),IF('Pre-Calculation'!$D$16="% OF AFV(36M)",AVERAGE($M178:M213)))))</f>
        <v>1600602.236</v>
      </c>
      <c r="O213" s="175">
        <f t="shared" si="4"/>
        <v>1600602.236</v>
      </c>
      <c r="P213" s="175">
        <f>IF('Pre-Calculation'!$D$17="Type 4 a",MAX(SA,N213,1.05*Q213),IF('Pre-Calculation'!$D$17="Type 4 c",N213,IF('Pre-Calculation'!$D$17="Type 4 d",SA+N213,IF('Pre-Calculation'!$D$17="Type 4 e",MAX(SA,N213),IF('Pre-Calculation'!$D$17="Type 4 f",SA,IF('Pre-Calculation'!$D$17="Type 4 g",1000+N213,IF('Pre-Calculation'!$D$17="Type 4 h",SA+X213,IF('Pre-Calculation'!$D$17="Type 4 i",MAX(N213,Q213),IF('Pre-Calculation'!$D$17="Type 4 k",MAX(N213,1.01*Q213),IF('Pre-Calculation'!$D$17="Type 4 m",MAX(105%*Q213,SA+N213),IF('Pre-Calculation'!$D$17="Type 4 o",MAX(SA,105%*Q213)+X213+Z213,IF('Pre-Calculation'!$D$17="Type 5",0))))))))))))</f>
        <v>1600602.236</v>
      </c>
      <c r="Q213" s="175">
        <f t="shared" si="5"/>
        <v>1000000</v>
      </c>
      <c r="R213" s="119">
        <f>L213*(1+GROWTH_RATE)*FMC</f>
        <v>1807.765792</v>
      </c>
      <c r="S213" s="178">
        <f>S212*(1+'Pre-Calculation'!$E$27)</f>
        <v>1176615.027</v>
      </c>
      <c r="T213" s="175">
        <f>-E213+IF(A212=INPUT!$C$11*12,N213,0)</f>
        <v>0</v>
      </c>
      <c r="U213" s="175">
        <f t="shared" si="6"/>
        <v>1573548.585</v>
      </c>
      <c r="V213" s="175">
        <f>U213*(1+GROWTH_RATE_L)*(1-'Pre-Calculation'!$E$31)</f>
        <v>1576070.926</v>
      </c>
      <c r="W213" s="175">
        <f>-E213+IF(A212=INPUT!$C$11*12,V213,0)</f>
        <v>0</v>
      </c>
      <c r="X213" s="179">
        <f t="array" ref="X213">NPV('Pre-Calculation'!$E$20,$E214:E$246)</f>
        <v>0</v>
      </c>
      <c r="Y213" s="171">
        <f>10%*SA</f>
        <v>100000</v>
      </c>
      <c r="Z213" s="179">
        <f t="array" ref="Z213">NPV('Pre-Calculation'!$E$20,Y214:Y223)</f>
        <v>969592.8037</v>
      </c>
    </row>
    <row r="214" ht="15.75" customHeight="1">
      <c r="A214" s="171">
        <f t="shared" si="1"/>
        <v>268</v>
      </c>
      <c r="B214" s="171">
        <f t="shared" si="2"/>
        <v>23</v>
      </c>
      <c r="C214" s="176">
        <f>EDATE(RCD,A213)</f>
        <v>50678</v>
      </c>
      <c r="D214" s="171">
        <f>Age_At_Entry+'Cashflows_4%'!B214-1</f>
        <v>57</v>
      </c>
      <c r="E214" s="175">
        <f>IF(AND(C214&lt;=Last_Prem,MOD(A213,Mode)=0,C214&gt;INPUT!$C$13,A214&lt;=Revival!$C$11),Mod_Prem,0)</f>
        <v>0</v>
      </c>
      <c r="F214" s="177">
        <f>IF(B214&lt;PT+1,E214*VLOOKUP(B214,'Pre-Calculation'!$H$1:$I$31,2,FALSE),0)</f>
        <v>0</v>
      </c>
      <c r="G214" s="177">
        <f>IF(B214&lt;PT+1,VLOOKUP(B214,'Pre-Calculation'!$H$1:$L$32,3,FALSE)+VLOOKUP(B214,'Pre-Calculation'!$H$1:$L$32,4,FALSE)*'Pre-Calculation'!$D$7,0)</f>
        <v>0</v>
      </c>
      <c r="H214" s="175">
        <f>(E214-(F214+G214)*(1+Tax)+N213)</f>
        <v>1600602.236</v>
      </c>
      <c r="I214" s="175">
        <f>IF(B214&lt;PT+1,VLOOKUP(D214,'Pre-Calculation'!$N$3:$P$79,IF(INPUT!$C$4="M",2,3),FALSE)*(J214/1000)*(1/12),0)</f>
        <v>0</v>
      </c>
      <c r="J214" s="175">
        <f t="shared" si="3"/>
        <v>0</v>
      </c>
      <c r="K214" s="175">
        <f>(IF('Pre-Calculation'!$D$17="Type 4 a",MAX(SA,H214,1.05*Q214),IF('Pre-Calculation'!$D$17="Type 4 c",H214,IF('Pre-Calculation'!$D$17="Type 4 d",SA+H214,IF('Pre-Calculation'!$D$17="Type 4 e",MAX(SA,H214),IF('Pre-Calculation'!$D$17="Type 4 f",SA,IF('Pre-Calculation'!$D$17="Type 4 g",1000+H214,IF('Pre-Calculation'!$D$17="Type 4 h",SA+X214,IF('Pre-Calculation'!$D$17="Type 4 i",MAX(H214,Q214),IF('Pre-Calculation'!$D$17="Type 4 k",MAX(H214,1.01*Q214),IF('Pre-Calculation'!$D$17="Type 4 m",MAX(105%*Q214,SA+H214),IF('Pre-Calculation'!$D$17="Type 4 o",MAX(SA,105%*Q214)+X214+Z214,IF('Pre-Calculation'!$D$17="Type 5",0)))))))))))))*IF(AND(A214&lt;Revival!$C$4,C214&gt;=Revival!$D$12),PUP,1)</f>
        <v>1600602.236</v>
      </c>
      <c r="L214" s="175">
        <f>H214-I214*(1+Tax)</f>
        <v>1600602.236</v>
      </c>
      <c r="M214" s="175">
        <f>L214*(1+GROWTH_RATE_L)*(1-FMC*(1+Tax))</f>
        <v>1603711.595</v>
      </c>
      <c r="N214" s="175">
        <f>M214+IF(MOD(A214,B214)=0,VLOOKUP(B214,'Pre-Calculation'!$H$1:$L$31,5,FALSE),0)*IF('Pre-Calculation'!$D$16="% OF FV",M214,IF(OR('Pre-Calculation'!$D$16="% OF AFV(24M)",'Pre-Calculation'!$D$16="% OF AFV(8Q)"),AVERAGE( $M191:$M214),IF('Pre-Calculation'!$D$16="% OF AFV(12M)",AVERAGE($M203:M214),IF('Pre-Calculation'!$D$16="% OF AFV(36M)",AVERAGE($M179:M214)))))</f>
        <v>1603711.595</v>
      </c>
      <c r="O214" s="175">
        <f t="shared" si="4"/>
        <v>1603711.595</v>
      </c>
      <c r="P214" s="175">
        <f>IF('Pre-Calculation'!$D$17="Type 4 a",MAX(SA,N214,1.05*Q214),IF('Pre-Calculation'!$D$17="Type 4 c",N214,IF('Pre-Calculation'!$D$17="Type 4 d",SA+N214,IF('Pre-Calculation'!$D$17="Type 4 e",MAX(SA,N214),IF('Pre-Calculation'!$D$17="Type 4 f",SA,IF('Pre-Calculation'!$D$17="Type 4 g",1000+N214,IF('Pre-Calculation'!$D$17="Type 4 h",SA+X214,IF('Pre-Calculation'!$D$17="Type 4 i",MAX(N214,Q214),IF('Pre-Calculation'!$D$17="Type 4 k",MAX(N214,1.01*Q214),IF('Pre-Calculation'!$D$17="Type 4 m",MAX(105%*Q214,SA+N214),IF('Pre-Calculation'!$D$17="Type 4 o",MAX(SA,105%*Q214)+X214+Z214,IF('Pre-Calculation'!$D$17="Type 5",0))))))))))))</f>
        <v>1603711.595</v>
      </c>
      <c r="Q214" s="175">
        <f t="shared" si="5"/>
        <v>1000000</v>
      </c>
      <c r="R214" s="119">
        <f>L214*(1+GROWTH_RATE)*FMC</f>
        <v>1811.277591</v>
      </c>
      <c r="S214" s="178">
        <f>S213*(1+'Pre-Calculation'!$E$27)</f>
        <v>1179992.969</v>
      </c>
      <c r="T214" s="175">
        <f>-E214+IF(A213=INPUT!$C$11*12,N214,0)</f>
        <v>0</v>
      </c>
      <c r="U214" s="175">
        <f t="shared" si="6"/>
        <v>1576070.926</v>
      </c>
      <c r="V214" s="175">
        <f>U214*(1+GROWTH_RATE_L)*(1-'Pre-Calculation'!$E$31)</f>
        <v>1578597.311</v>
      </c>
      <c r="W214" s="175">
        <f>-E214+IF(A213=INPUT!$C$11*12,V214,0)</f>
        <v>0</v>
      </c>
      <c r="X214" s="179">
        <f t="array" ref="X214">NPV('Pre-Calculation'!$E$20,$E215:E$246)</f>
        <v>0</v>
      </c>
      <c r="Y214" s="171">
        <f>10%*SA</f>
        <v>100000</v>
      </c>
      <c r="Z214" s="179">
        <f t="array" ref="Z214">NPV('Pre-Calculation'!$E$20,Y215:Y224)</f>
        <v>969592.8037</v>
      </c>
    </row>
    <row r="215" ht="15.75" customHeight="1">
      <c r="A215" s="171">
        <f t="shared" si="1"/>
        <v>269</v>
      </c>
      <c r="B215" s="171">
        <f t="shared" si="2"/>
        <v>23</v>
      </c>
      <c r="C215" s="176">
        <f>EDATE(RCD,A214)</f>
        <v>50708</v>
      </c>
      <c r="D215" s="171">
        <f>Age_At_Entry+'Cashflows_4%'!B215-1</f>
        <v>57</v>
      </c>
      <c r="E215" s="175">
        <f>IF(AND(C215&lt;=Last_Prem,MOD(A214,Mode)=0,C215&gt;INPUT!$C$13,A215&lt;=Revival!$C$11),Mod_Prem,0)</f>
        <v>0</v>
      </c>
      <c r="F215" s="177">
        <f>IF(B215&lt;PT+1,E215*VLOOKUP(B215,'Pre-Calculation'!$H$1:$I$31,2,FALSE),0)</f>
        <v>0</v>
      </c>
      <c r="G215" s="177">
        <f>IF(B215&lt;PT+1,VLOOKUP(B215,'Pre-Calculation'!$H$1:$L$32,3,FALSE)+VLOOKUP(B215,'Pre-Calculation'!$H$1:$L$32,4,FALSE)*'Pre-Calculation'!$D$7,0)</f>
        <v>0</v>
      </c>
      <c r="H215" s="175">
        <f>(E215-(F215+G215)*(1+Tax)+N214)</f>
        <v>1603711.595</v>
      </c>
      <c r="I215" s="175">
        <f>IF(B215&lt;PT+1,VLOOKUP(D215,'Pre-Calculation'!$N$3:$P$79,IF(INPUT!$C$4="M",2,3),FALSE)*(J215/1000)*(1/12),0)</f>
        <v>0</v>
      </c>
      <c r="J215" s="175">
        <f t="shared" si="3"/>
        <v>0</v>
      </c>
      <c r="K215" s="175">
        <f>(IF('Pre-Calculation'!$D$17="Type 4 a",MAX(SA,H215,1.05*Q215),IF('Pre-Calculation'!$D$17="Type 4 c",H215,IF('Pre-Calculation'!$D$17="Type 4 d",SA+H215,IF('Pre-Calculation'!$D$17="Type 4 e",MAX(SA,H215),IF('Pre-Calculation'!$D$17="Type 4 f",SA,IF('Pre-Calculation'!$D$17="Type 4 g",1000+H215,IF('Pre-Calculation'!$D$17="Type 4 h",SA+X215,IF('Pre-Calculation'!$D$17="Type 4 i",MAX(H215,Q215),IF('Pre-Calculation'!$D$17="Type 4 k",MAX(H215,1.01*Q215),IF('Pre-Calculation'!$D$17="Type 4 m",MAX(105%*Q215,SA+H215),IF('Pre-Calculation'!$D$17="Type 4 o",MAX(SA,105%*Q215)+X215+Z215,IF('Pre-Calculation'!$D$17="Type 5",0)))))))))))))*IF(AND(A215&lt;Revival!$C$4,C215&gt;=Revival!$D$12),PUP,1)</f>
        <v>1603711.595</v>
      </c>
      <c r="L215" s="175">
        <f>H215-I215*(1+Tax)</f>
        <v>1603711.595</v>
      </c>
      <c r="M215" s="175">
        <f>L215*(1+GROWTH_RATE_L)*(1-FMC*(1+Tax))</f>
        <v>1606826.995</v>
      </c>
      <c r="N215" s="175">
        <f>M215+IF(MOD(A215,B215)=0,VLOOKUP(B215,'Pre-Calculation'!$H$1:$L$31,5,FALSE),0)*IF('Pre-Calculation'!$D$16="% OF FV",M215,IF(OR('Pre-Calculation'!$D$16="% OF AFV(24M)",'Pre-Calculation'!$D$16="% OF AFV(8Q)"),AVERAGE( $M192:$M215),IF('Pre-Calculation'!$D$16="% OF AFV(12M)",AVERAGE($M204:M215),IF('Pre-Calculation'!$D$16="% OF AFV(36M)",AVERAGE($M180:M215)))))</f>
        <v>1606826.995</v>
      </c>
      <c r="O215" s="175">
        <f t="shared" si="4"/>
        <v>1606826.995</v>
      </c>
      <c r="P215" s="175">
        <f>IF('Pre-Calculation'!$D$17="Type 4 a",MAX(SA,N215,1.05*Q215),IF('Pre-Calculation'!$D$17="Type 4 c",N215,IF('Pre-Calculation'!$D$17="Type 4 d",SA+N215,IF('Pre-Calculation'!$D$17="Type 4 e",MAX(SA,N215),IF('Pre-Calculation'!$D$17="Type 4 f",SA,IF('Pre-Calculation'!$D$17="Type 4 g",1000+N215,IF('Pre-Calculation'!$D$17="Type 4 h",SA+X215,IF('Pre-Calculation'!$D$17="Type 4 i",MAX(N215,Q215),IF('Pre-Calculation'!$D$17="Type 4 k",MAX(N215,1.01*Q215),IF('Pre-Calculation'!$D$17="Type 4 m",MAX(105%*Q215,SA+N215),IF('Pre-Calculation'!$D$17="Type 4 o",MAX(SA,105%*Q215)+X215+Z215,IF('Pre-Calculation'!$D$17="Type 5",0))))))))))))</f>
        <v>1606826.995</v>
      </c>
      <c r="Q215" s="175">
        <f t="shared" si="5"/>
        <v>1000000</v>
      </c>
      <c r="R215" s="119">
        <f>L215*(1+GROWTH_RATE)*FMC</f>
        <v>1814.796212</v>
      </c>
      <c r="S215" s="178">
        <f>S214*(1+'Pre-Calculation'!$E$27)</f>
        <v>1183380.61</v>
      </c>
      <c r="T215" s="175">
        <f>-E215+IF(A214=INPUT!$C$11*12,N215,0)</f>
        <v>0</v>
      </c>
      <c r="U215" s="175">
        <f t="shared" si="6"/>
        <v>1578597.311</v>
      </c>
      <c r="V215" s="175">
        <f>U215*(1+GROWTH_RATE_L)*(1-'Pre-Calculation'!$E$31)</f>
        <v>1581127.745</v>
      </c>
      <c r="W215" s="175">
        <f>-E215+IF(A214=INPUT!$C$11*12,V215,0)</f>
        <v>0</v>
      </c>
      <c r="X215" s="179">
        <f t="array" ref="X215">NPV('Pre-Calculation'!$E$20,$E216:E$246)</f>
        <v>0</v>
      </c>
      <c r="Y215" s="171">
        <f>10%*SA</f>
        <v>100000</v>
      </c>
      <c r="Z215" s="179">
        <f t="array" ref="Z215">NPV('Pre-Calculation'!$E$20,Y216:Y225)</f>
        <v>969592.8037</v>
      </c>
    </row>
    <row r="216" ht="15.75" customHeight="1">
      <c r="A216" s="171">
        <f t="shared" si="1"/>
        <v>270</v>
      </c>
      <c r="B216" s="171">
        <f t="shared" si="2"/>
        <v>23</v>
      </c>
      <c r="C216" s="176">
        <f>EDATE(RCD,A215)</f>
        <v>50739</v>
      </c>
      <c r="D216" s="171">
        <f>Age_At_Entry+'Cashflows_4%'!B216-1</f>
        <v>57</v>
      </c>
      <c r="E216" s="175">
        <f>IF(AND(C216&lt;=Last_Prem,MOD(A215,Mode)=0,C216&gt;INPUT!$C$13,A216&lt;=Revival!$C$11),Mod_Prem,0)</f>
        <v>0</v>
      </c>
      <c r="F216" s="177">
        <f>IF(B216&lt;PT+1,E216*VLOOKUP(B216,'Pre-Calculation'!$H$1:$I$31,2,FALSE),0)</f>
        <v>0</v>
      </c>
      <c r="G216" s="177">
        <f>IF(B216&lt;PT+1,VLOOKUP(B216,'Pre-Calculation'!$H$1:$L$32,3,FALSE)+VLOOKUP(B216,'Pre-Calculation'!$H$1:$L$32,4,FALSE)*'Pre-Calculation'!$D$7,0)</f>
        <v>0</v>
      </c>
      <c r="H216" s="175">
        <f>(E216-(F216+G216)*(1+Tax)+N215)</f>
        <v>1606826.995</v>
      </c>
      <c r="I216" s="175">
        <f>IF(B216&lt;PT+1,VLOOKUP(D216,'Pre-Calculation'!$N$3:$P$79,IF(INPUT!$C$4="M",2,3),FALSE)*(J216/1000)*(1/12),0)</f>
        <v>0</v>
      </c>
      <c r="J216" s="175">
        <f t="shared" si="3"/>
        <v>0</v>
      </c>
      <c r="K216" s="175">
        <f>(IF('Pre-Calculation'!$D$17="Type 4 a",MAX(SA,H216,1.05*Q216),IF('Pre-Calculation'!$D$17="Type 4 c",H216,IF('Pre-Calculation'!$D$17="Type 4 d",SA+H216,IF('Pre-Calculation'!$D$17="Type 4 e",MAX(SA,H216),IF('Pre-Calculation'!$D$17="Type 4 f",SA,IF('Pre-Calculation'!$D$17="Type 4 g",1000+H216,IF('Pre-Calculation'!$D$17="Type 4 h",SA+X216,IF('Pre-Calculation'!$D$17="Type 4 i",MAX(H216,Q216),IF('Pre-Calculation'!$D$17="Type 4 k",MAX(H216,1.01*Q216),IF('Pre-Calculation'!$D$17="Type 4 m",MAX(105%*Q216,SA+H216),IF('Pre-Calculation'!$D$17="Type 4 o",MAX(SA,105%*Q216)+X216+Z216,IF('Pre-Calculation'!$D$17="Type 5",0)))))))))))))*IF(AND(A216&lt;Revival!$C$4,C216&gt;=Revival!$D$12),PUP,1)</f>
        <v>1606826.995</v>
      </c>
      <c r="L216" s="175">
        <f>H216-I216*(1+Tax)</f>
        <v>1606826.995</v>
      </c>
      <c r="M216" s="175">
        <f>L216*(1+GROWTH_RATE_L)*(1-FMC*(1+Tax))</f>
        <v>1609948.446</v>
      </c>
      <c r="N216" s="175">
        <f>M216+IF(MOD(A216,B216)=0,VLOOKUP(B216,'Pre-Calculation'!$H$1:$L$31,5,FALSE),0)*IF('Pre-Calculation'!$D$16="% OF FV",M216,IF(OR('Pre-Calculation'!$D$16="% OF AFV(24M)",'Pre-Calculation'!$D$16="% OF AFV(8Q)"),AVERAGE( $M193:$M216),IF('Pre-Calculation'!$D$16="% OF AFV(12M)",AVERAGE($M205:M216),IF('Pre-Calculation'!$D$16="% OF AFV(36M)",AVERAGE($M181:M216)))))</f>
        <v>1609948.446</v>
      </c>
      <c r="O216" s="175">
        <f t="shared" si="4"/>
        <v>1609948.446</v>
      </c>
      <c r="P216" s="175">
        <f>IF('Pre-Calculation'!$D$17="Type 4 a",MAX(SA,N216,1.05*Q216),IF('Pre-Calculation'!$D$17="Type 4 c",N216,IF('Pre-Calculation'!$D$17="Type 4 d",SA+N216,IF('Pre-Calculation'!$D$17="Type 4 e",MAX(SA,N216),IF('Pre-Calculation'!$D$17="Type 4 f",SA,IF('Pre-Calculation'!$D$17="Type 4 g",1000+N216,IF('Pre-Calculation'!$D$17="Type 4 h",SA+X216,IF('Pre-Calculation'!$D$17="Type 4 i",MAX(N216,Q216),IF('Pre-Calculation'!$D$17="Type 4 k",MAX(N216,1.01*Q216),IF('Pre-Calculation'!$D$17="Type 4 m",MAX(105%*Q216,SA+N216),IF('Pre-Calculation'!$D$17="Type 4 o",MAX(SA,105%*Q216)+X216+Z216,IF('Pre-Calculation'!$D$17="Type 5",0))))))))))))</f>
        <v>1609948.446</v>
      </c>
      <c r="Q216" s="175">
        <f t="shared" si="5"/>
        <v>1000000</v>
      </c>
      <c r="R216" s="119">
        <f>L216*(1+GROWTH_RATE)*FMC</f>
        <v>1818.321668</v>
      </c>
      <c r="S216" s="178">
        <f>S215*(1+'Pre-Calculation'!$E$27)</f>
        <v>1186777.976</v>
      </c>
      <c r="T216" s="175">
        <f>-E216+IF(A215=INPUT!$C$11*12,N216,0)</f>
        <v>0</v>
      </c>
      <c r="U216" s="175">
        <f t="shared" si="6"/>
        <v>1581127.745</v>
      </c>
      <c r="V216" s="175">
        <f>U216*(1+GROWTH_RATE_L)*(1-'Pre-Calculation'!$E$31)</f>
        <v>1583662.236</v>
      </c>
      <c r="W216" s="175">
        <f>-E216+IF(A215=INPUT!$C$11*12,V216,0)</f>
        <v>0</v>
      </c>
      <c r="X216" s="179">
        <f t="array" ref="X216">NPV('Pre-Calculation'!$E$20,$E217:E$246)</f>
        <v>0</v>
      </c>
      <c r="Y216" s="171">
        <f>10%*SA</f>
        <v>100000</v>
      </c>
      <c r="Z216" s="179">
        <f t="array" ref="Z216">NPV('Pre-Calculation'!$E$20,Y217:Y226)</f>
        <v>969592.8037</v>
      </c>
    </row>
    <row r="217" ht="15.75" customHeight="1">
      <c r="A217" s="171">
        <f t="shared" si="1"/>
        <v>271</v>
      </c>
      <c r="B217" s="171">
        <f t="shared" si="2"/>
        <v>23</v>
      </c>
      <c r="C217" s="176">
        <f>EDATE(RCD,A216)</f>
        <v>50769</v>
      </c>
      <c r="D217" s="171">
        <f>Age_At_Entry+'Cashflows_4%'!B217-1</f>
        <v>57</v>
      </c>
      <c r="E217" s="175">
        <f>IF(AND(C217&lt;=Last_Prem,MOD(A216,Mode)=0,C217&gt;INPUT!$C$13,A217&lt;=Revival!$C$11),Mod_Prem,0)</f>
        <v>0</v>
      </c>
      <c r="F217" s="177">
        <f>IF(B217&lt;PT+1,E217*VLOOKUP(B217,'Pre-Calculation'!$H$1:$I$31,2,FALSE),0)</f>
        <v>0</v>
      </c>
      <c r="G217" s="177">
        <f>IF(B217&lt;PT+1,VLOOKUP(B217,'Pre-Calculation'!$H$1:$L$32,3,FALSE)+VLOOKUP(B217,'Pre-Calculation'!$H$1:$L$32,4,FALSE)*'Pre-Calculation'!$D$7,0)</f>
        <v>0</v>
      </c>
      <c r="H217" s="175">
        <f>(E217-(F217+G217)*(1+Tax)+N216)</f>
        <v>1609948.446</v>
      </c>
      <c r="I217" s="175">
        <f>IF(B217&lt;PT+1,VLOOKUP(D217,'Pre-Calculation'!$N$3:$P$79,IF(INPUT!$C$4="M",2,3),FALSE)*(J217/1000)*(1/12),0)</f>
        <v>0</v>
      </c>
      <c r="J217" s="175">
        <f t="shared" si="3"/>
        <v>0</v>
      </c>
      <c r="K217" s="175">
        <f>(IF('Pre-Calculation'!$D$17="Type 4 a",MAX(SA,H217,1.05*Q217),IF('Pre-Calculation'!$D$17="Type 4 c",H217,IF('Pre-Calculation'!$D$17="Type 4 d",SA+H217,IF('Pre-Calculation'!$D$17="Type 4 e",MAX(SA,H217),IF('Pre-Calculation'!$D$17="Type 4 f",SA,IF('Pre-Calculation'!$D$17="Type 4 g",1000+H217,IF('Pre-Calculation'!$D$17="Type 4 h",SA+X217,IF('Pre-Calculation'!$D$17="Type 4 i",MAX(H217,Q217),IF('Pre-Calculation'!$D$17="Type 4 k",MAX(H217,1.01*Q217),IF('Pre-Calculation'!$D$17="Type 4 m",MAX(105%*Q217,SA+H217),IF('Pre-Calculation'!$D$17="Type 4 o",MAX(SA,105%*Q217)+X217+Z217,IF('Pre-Calculation'!$D$17="Type 5",0)))))))))))))*IF(AND(A217&lt;Revival!$C$4,C217&gt;=Revival!$D$12),PUP,1)</f>
        <v>1609948.446</v>
      </c>
      <c r="L217" s="175">
        <f>H217-I217*(1+Tax)</f>
        <v>1609948.446</v>
      </c>
      <c r="M217" s="175">
        <f>L217*(1+GROWTH_RATE_L)*(1-FMC*(1+Tax))</f>
        <v>1613075.961</v>
      </c>
      <c r="N217" s="175">
        <f>M217+IF(MOD(A217,B217)=0,VLOOKUP(B217,'Pre-Calculation'!$H$1:$L$31,5,FALSE),0)*IF('Pre-Calculation'!$D$16="% OF FV",M217,IF(OR('Pre-Calculation'!$D$16="% OF AFV(24M)",'Pre-Calculation'!$D$16="% OF AFV(8Q)"),AVERAGE( $M194:$M217),IF('Pre-Calculation'!$D$16="% OF AFV(12M)",AVERAGE($M206:M217),IF('Pre-Calculation'!$D$16="% OF AFV(36M)",AVERAGE($M182:M217)))))</f>
        <v>1613075.961</v>
      </c>
      <c r="O217" s="175">
        <f t="shared" si="4"/>
        <v>1613075.961</v>
      </c>
      <c r="P217" s="175">
        <f>IF('Pre-Calculation'!$D$17="Type 4 a",MAX(SA,N217,1.05*Q217),IF('Pre-Calculation'!$D$17="Type 4 c",N217,IF('Pre-Calculation'!$D$17="Type 4 d",SA+N217,IF('Pre-Calculation'!$D$17="Type 4 e",MAX(SA,N217),IF('Pre-Calculation'!$D$17="Type 4 f",SA,IF('Pre-Calculation'!$D$17="Type 4 g",1000+N217,IF('Pre-Calculation'!$D$17="Type 4 h",SA+X217,IF('Pre-Calculation'!$D$17="Type 4 i",MAX(N217,Q217),IF('Pre-Calculation'!$D$17="Type 4 k",MAX(N217,1.01*Q217),IF('Pre-Calculation'!$D$17="Type 4 m",MAX(105%*Q217,SA+N217),IF('Pre-Calculation'!$D$17="Type 4 o",MAX(SA,105%*Q217)+X217+Z217,IF('Pre-Calculation'!$D$17="Type 5",0))))))))))))</f>
        <v>1613075.961</v>
      </c>
      <c r="Q217" s="175">
        <f t="shared" si="5"/>
        <v>1000000</v>
      </c>
      <c r="R217" s="119">
        <f>L217*(1+GROWTH_RATE)*FMC</f>
        <v>1821.853972</v>
      </c>
      <c r="S217" s="178">
        <f>S216*(1+'Pre-Calculation'!$E$27)</f>
        <v>1190185.095</v>
      </c>
      <c r="T217" s="175">
        <f>-E217+IF(A216=INPUT!$C$11*12,N217,0)</f>
        <v>0</v>
      </c>
      <c r="U217" s="175">
        <f t="shared" si="6"/>
        <v>1583662.236</v>
      </c>
      <c r="V217" s="175">
        <f>U217*(1+GROWTH_RATE_L)*(1-'Pre-Calculation'!$E$31)</f>
        <v>1586200.789</v>
      </c>
      <c r="W217" s="175">
        <f>-E217+IF(A216=INPUT!$C$11*12,V217,0)</f>
        <v>0</v>
      </c>
      <c r="X217" s="179">
        <f t="array" ref="X217">NPV('Pre-Calculation'!$E$20,$E218:E$246)</f>
        <v>0</v>
      </c>
      <c r="Y217" s="171">
        <f>10%*SA</f>
        <v>100000</v>
      </c>
      <c r="Z217" s="179">
        <f t="array" ref="Z217">NPV('Pre-Calculation'!$E$20,Y218:Y227)</f>
        <v>969592.8037</v>
      </c>
    </row>
    <row r="218" ht="15.75" customHeight="1">
      <c r="A218" s="171">
        <f t="shared" si="1"/>
        <v>272</v>
      </c>
      <c r="B218" s="171">
        <f t="shared" si="2"/>
        <v>23</v>
      </c>
      <c r="C218" s="176">
        <f>EDATE(RCD,A217)</f>
        <v>50800</v>
      </c>
      <c r="D218" s="171">
        <f>Age_At_Entry+'Cashflows_4%'!B218-1</f>
        <v>57</v>
      </c>
      <c r="E218" s="175">
        <f>IF(AND(C218&lt;=Last_Prem,MOD(A217,Mode)=0,C218&gt;INPUT!$C$13,A218&lt;=Revival!$C$11),Mod_Prem,0)</f>
        <v>0</v>
      </c>
      <c r="F218" s="177">
        <f>IF(B218&lt;PT+1,E218*VLOOKUP(B218,'Pre-Calculation'!$H$1:$I$31,2,FALSE),0)</f>
        <v>0</v>
      </c>
      <c r="G218" s="177">
        <f>IF(B218&lt;PT+1,VLOOKUP(B218,'Pre-Calculation'!$H$1:$L$32,3,FALSE)+VLOOKUP(B218,'Pre-Calculation'!$H$1:$L$32,4,FALSE)*'Pre-Calculation'!$D$7,0)</f>
        <v>0</v>
      </c>
      <c r="H218" s="175">
        <f>(E218-(F218+G218)*(1+Tax)+N217)</f>
        <v>1613075.961</v>
      </c>
      <c r="I218" s="175">
        <f>IF(B218&lt;PT+1,VLOOKUP(D218,'Pre-Calculation'!$N$3:$P$79,IF(INPUT!$C$4="M",2,3),FALSE)*(J218/1000)*(1/12),0)</f>
        <v>0</v>
      </c>
      <c r="J218" s="175">
        <f t="shared" si="3"/>
        <v>0</v>
      </c>
      <c r="K218" s="175">
        <f>(IF('Pre-Calculation'!$D$17="Type 4 a",MAX(SA,H218,1.05*Q218),IF('Pre-Calculation'!$D$17="Type 4 c",H218,IF('Pre-Calculation'!$D$17="Type 4 d",SA+H218,IF('Pre-Calculation'!$D$17="Type 4 e",MAX(SA,H218),IF('Pre-Calculation'!$D$17="Type 4 f",SA,IF('Pre-Calculation'!$D$17="Type 4 g",1000+H218,IF('Pre-Calculation'!$D$17="Type 4 h",SA+X218,IF('Pre-Calculation'!$D$17="Type 4 i",MAX(H218,Q218),IF('Pre-Calculation'!$D$17="Type 4 k",MAX(H218,1.01*Q218),IF('Pre-Calculation'!$D$17="Type 4 m",MAX(105%*Q218,SA+H218),IF('Pre-Calculation'!$D$17="Type 4 o",MAX(SA,105%*Q218)+X218+Z218,IF('Pre-Calculation'!$D$17="Type 5",0)))))))))))))*IF(AND(A218&lt;Revival!$C$4,C218&gt;=Revival!$D$12),PUP,1)</f>
        <v>1613075.961</v>
      </c>
      <c r="L218" s="175">
        <f>H218-I218*(1+Tax)</f>
        <v>1613075.961</v>
      </c>
      <c r="M218" s="175">
        <f>L218*(1+GROWTH_RATE_L)*(1-FMC*(1+Tax))</f>
        <v>1616209.552</v>
      </c>
      <c r="N218" s="175">
        <f>M218+IF(MOD(A218,B218)=0,VLOOKUP(B218,'Pre-Calculation'!$H$1:$L$31,5,FALSE),0)*IF('Pre-Calculation'!$D$16="% OF FV",M218,IF(OR('Pre-Calculation'!$D$16="% OF AFV(24M)",'Pre-Calculation'!$D$16="% OF AFV(8Q)"),AVERAGE( $M195:$M218),IF('Pre-Calculation'!$D$16="% OF AFV(12M)",AVERAGE($M207:M218),IF('Pre-Calculation'!$D$16="% OF AFV(36M)",AVERAGE($M183:M218)))))</f>
        <v>1616209.552</v>
      </c>
      <c r="O218" s="175">
        <f t="shared" si="4"/>
        <v>1616209.552</v>
      </c>
      <c r="P218" s="175">
        <f>IF('Pre-Calculation'!$D$17="Type 4 a",MAX(SA,N218,1.05*Q218),IF('Pre-Calculation'!$D$17="Type 4 c",N218,IF('Pre-Calculation'!$D$17="Type 4 d",SA+N218,IF('Pre-Calculation'!$D$17="Type 4 e",MAX(SA,N218),IF('Pre-Calculation'!$D$17="Type 4 f",SA,IF('Pre-Calculation'!$D$17="Type 4 g",1000+N218,IF('Pre-Calculation'!$D$17="Type 4 h",SA+X218,IF('Pre-Calculation'!$D$17="Type 4 i",MAX(N218,Q218),IF('Pre-Calculation'!$D$17="Type 4 k",MAX(N218,1.01*Q218),IF('Pre-Calculation'!$D$17="Type 4 m",MAX(105%*Q218,SA+N218),IF('Pre-Calculation'!$D$17="Type 4 o",MAX(SA,105%*Q218)+X218+Z218,IF('Pre-Calculation'!$D$17="Type 5",0))))))))))))</f>
        <v>1616209.552</v>
      </c>
      <c r="Q218" s="175">
        <f t="shared" si="5"/>
        <v>1000000</v>
      </c>
      <c r="R218" s="119">
        <f>L218*(1+GROWTH_RATE)*FMC</f>
        <v>1825.393139</v>
      </c>
      <c r="S218" s="178">
        <f>S217*(1+'Pre-Calculation'!$E$27)</f>
        <v>1193601.996</v>
      </c>
      <c r="T218" s="175">
        <f>-E218+IF(A217=INPUT!$C$11*12,N218,0)</f>
        <v>0</v>
      </c>
      <c r="U218" s="175">
        <f t="shared" si="6"/>
        <v>1586200.789</v>
      </c>
      <c r="V218" s="175">
        <f>U218*(1+GROWTH_RATE_L)*(1-'Pre-Calculation'!$E$31)</f>
        <v>1588743.411</v>
      </c>
      <c r="W218" s="175">
        <f>-E218+IF(A217=INPUT!$C$11*12,V218,0)</f>
        <v>0</v>
      </c>
      <c r="X218" s="179">
        <f t="array" ref="X218">NPV('Pre-Calculation'!$E$20,$E219:E$246)</f>
        <v>0</v>
      </c>
      <c r="Y218" s="171">
        <f>10%*SA</f>
        <v>100000</v>
      </c>
      <c r="Z218" s="179">
        <f t="array" ref="Z218">NPV('Pre-Calculation'!$E$20,Y219:Y228)</f>
        <v>969592.8037</v>
      </c>
    </row>
    <row r="219" ht="15.75" customHeight="1">
      <c r="A219" s="171">
        <f t="shared" si="1"/>
        <v>273</v>
      </c>
      <c r="B219" s="171">
        <f t="shared" si="2"/>
        <v>23</v>
      </c>
      <c r="C219" s="176">
        <f>EDATE(RCD,A218)</f>
        <v>50829</v>
      </c>
      <c r="D219" s="171">
        <f>Age_At_Entry+'Cashflows_4%'!B219-1</f>
        <v>57</v>
      </c>
      <c r="E219" s="175">
        <f>IF(AND(C219&lt;=Last_Prem,MOD(A218,Mode)=0,C219&gt;INPUT!$C$13,A219&lt;=Revival!$C$11),Mod_Prem,0)</f>
        <v>0</v>
      </c>
      <c r="F219" s="177">
        <f>IF(B219&lt;PT+1,E219*VLOOKUP(B219,'Pre-Calculation'!$H$1:$I$31,2,FALSE),0)</f>
        <v>0</v>
      </c>
      <c r="G219" s="177">
        <f>IF(B219&lt;PT+1,VLOOKUP(B219,'Pre-Calculation'!$H$1:$L$32,3,FALSE)+VLOOKUP(B219,'Pre-Calculation'!$H$1:$L$32,4,FALSE)*'Pre-Calculation'!$D$7,0)</f>
        <v>0</v>
      </c>
      <c r="H219" s="175">
        <f>(E219-(F219+G219)*(1+Tax)+N218)</f>
        <v>1616209.552</v>
      </c>
      <c r="I219" s="175">
        <f>IF(B219&lt;PT+1,VLOOKUP(D219,'Pre-Calculation'!$N$3:$P$79,IF(INPUT!$C$4="M",2,3),FALSE)*(J219/1000)*(1/12),0)</f>
        <v>0</v>
      </c>
      <c r="J219" s="175">
        <f t="shared" si="3"/>
        <v>0</v>
      </c>
      <c r="K219" s="175">
        <f>(IF('Pre-Calculation'!$D$17="Type 4 a",MAX(SA,H219,1.05*Q219),IF('Pre-Calculation'!$D$17="Type 4 c",H219,IF('Pre-Calculation'!$D$17="Type 4 d",SA+H219,IF('Pre-Calculation'!$D$17="Type 4 e",MAX(SA,H219),IF('Pre-Calculation'!$D$17="Type 4 f",SA,IF('Pre-Calculation'!$D$17="Type 4 g",1000+H219,IF('Pre-Calculation'!$D$17="Type 4 h",SA+X219,IF('Pre-Calculation'!$D$17="Type 4 i",MAX(H219,Q219),IF('Pre-Calculation'!$D$17="Type 4 k",MAX(H219,1.01*Q219),IF('Pre-Calculation'!$D$17="Type 4 m",MAX(105%*Q219,SA+H219),IF('Pre-Calculation'!$D$17="Type 4 o",MAX(SA,105%*Q219)+X219+Z219,IF('Pre-Calculation'!$D$17="Type 5",0)))))))))))))*IF(AND(A219&lt;Revival!$C$4,C219&gt;=Revival!$D$12),PUP,1)</f>
        <v>1616209.552</v>
      </c>
      <c r="L219" s="175">
        <f>H219-I219*(1+Tax)</f>
        <v>1616209.552</v>
      </c>
      <c r="M219" s="175">
        <f>L219*(1+GROWTH_RATE_L)*(1-FMC*(1+Tax))</f>
        <v>1619349.23</v>
      </c>
      <c r="N219" s="175">
        <f>M219+IF(MOD(A219,B219)=0,VLOOKUP(B219,'Pre-Calculation'!$H$1:$L$31,5,FALSE),0)*IF('Pre-Calculation'!$D$16="% OF FV",M219,IF(OR('Pre-Calculation'!$D$16="% OF AFV(24M)",'Pre-Calculation'!$D$16="% OF AFV(8Q)"),AVERAGE( $M196:$M219),IF('Pre-Calculation'!$D$16="% OF AFV(12M)",AVERAGE($M208:M219),IF('Pre-Calculation'!$D$16="% OF AFV(36M)",AVERAGE($M184:M219)))))</f>
        <v>1619349.23</v>
      </c>
      <c r="O219" s="175">
        <f t="shared" si="4"/>
        <v>1619349.23</v>
      </c>
      <c r="P219" s="175">
        <f>IF('Pre-Calculation'!$D$17="Type 4 a",MAX(SA,N219,1.05*Q219),IF('Pre-Calculation'!$D$17="Type 4 c",N219,IF('Pre-Calculation'!$D$17="Type 4 d",SA+N219,IF('Pre-Calculation'!$D$17="Type 4 e",MAX(SA,N219),IF('Pre-Calculation'!$D$17="Type 4 f",SA,IF('Pre-Calculation'!$D$17="Type 4 g",1000+N219,IF('Pre-Calculation'!$D$17="Type 4 h",SA+X219,IF('Pre-Calculation'!$D$17="Type 4 i",MAX(N219,Q219),IF('Pre-Calculation'!$D$17="Type 4 k",MAX(N219,1.01*Q219),IF('Pre-Calculation'!$D$17="Type 4 m",MAX(105%*Q219,SA+N219),IF('Pre-Calculation'!$D$17="Type 4 o",MAX(SA,105%*Q219)+X219+Z219,IF('Pre-Calculation'!$D$17="Type 5",0))))))))))))</f>
        <v>1619349.23</v>
      </c>
      <c r="Q219" s="175">
        <f t="shared" si="5"/>
        <v>1000000</v>
      </c>
      <c r="R219" s="119">
        <f>L219*(1+GROWTH_RATE)*FMC</f>
        <v>1828.939181</v>
      </c>
      <c r="S219" s="178">
        <f>S218*(1+'Pre-Calculation'!$E$27)</f>
        <v>1197028.706</v>
      </c>
      <c r="T219" s="175">
        <f>-E219+IF(A218=INPUT!$C$11*12,N219,0)</f>
        <v>0</v>
      </c>
      <c r="U219" s="175">
        <f t="shared" si="6"/>
        <v>1588743.411</v>
      </c>
      <c r="V219" s="175">
        <f>U219*(1+GROWTH_RATE_L)*(1-'Pre-Calculation'!$E$31)</f>
        <v>1591290.11</v>
      </c>
      <c r="W219" s="175">
        <f>-E219+IF(A218=INPUT!$C$11*12,V219,0)</f>
        <v>0</v>
      </c>
      <c r="X219" s="179">
        <f t="array" ref="X219">NPV('Pre-Calculation'!$E$20,$E220:E$246)</f>
        <v>0</v>
      </c>
      <c r="Y219" s="171">
        <f>10%*SA</f>
        <v>100000</v>
      </c>
      <c r="Z219" s="179">
        <f t="array" ref="Z219">NPV('Pre-Calculation'!$E$20,Y220:Y229)</f>
        <v>969592.8037</v>
      </c>
    </row>
    <row r="220" ht="15.75" customHeight="1">
      <c r="A220" s="171">
        <f t="shared" si="1"/>
        <v>274</v>
      </c>
      <c r="B220" s="171">
        <f t="shared" si="2"/>
        <v>23</v>
      </c>
      <c r="C220" s="176">
        <f>EDATE(RCD,A219)</f>
        <v>50859</v>
      </c>
      <c r="D220" s="171">
        <f>Age_At_Entry+'Cashflows_4%'!B220-1</f>
        <v>57</v>
      </c>
      <c r="E220" s="175">
        <f>IF(AND(C220&lt;=Last_Prem,MOD(A219,Mode)=0,C220&gt;INPUT!$C$13,A220&lt;=Revival!$C$11),Mod_Prem,0)</f>
        <v>0</v>
      </c>
      <c r="F220" s="177">
        <f>IF(B220&lt;PT+1,E220*VLOOKUP(B220,'Pre-Calculation'!$H$1:$I$31,2,FALSE),0)</f>
        <v>0</v>
      </c>
      <c r="G220" s="177">
        <f>IF(B220&lt;PT+1,VLOOKUP(B220,'Pre-Calculation'!$H$1:$L$32,3,FALSE)+VLOOKUP(B220,'Pre-Calculation'!$H$1:$L$32,4,FALSE)*'Pre-Calculation'!$D$7,0)</f>
        <v>0</v>
      </c>
      <c r="H220" s="175">
        <f>(E220-(F220+G220)*(1+Tax)+N219)</f>
        <v>1619349.23</v>
      </c>
      <c r="I220" s="175">
        <f>IF(B220&lt;PT+1,VLOOKUP(D220,'Pre-Calculation'!$N$3:$P$79,IF(INPUT!$C$4="M",2,3),FALSE)*(J220/1000)*(1/12),0)</f>
        <v>0</v>
      </c>
      <c r="J220" s="175">
        <f t="shared" si="3"/>
        <v>0</v>
      </c>
      <c r="K220" s="175">
        <f>(IF('Pre-Calculation'!$D$17="Type 4 a",MAX(SA,H220,1.05*Q220),IF('Pre-Calculation'!$D$17="Type 4 c",H220,IF('Pre-Calculation'!$D$17="Type 4 d",SA+H220,IF('Pre-Calculation'!$D$17="Type 4 e",MAX(SA,H220),IF('Pre-Calculation'!$D$17="Type 4 f",SA,IF('Pre-Calculation'!$D$17="Type 4 g",1000+H220,IF('Pre-Calculation'!$D$17="Type 4 h",SA+X220,IF('Pre-Calculation'!$D$17="Type 4 i",MAX(H220,Q220),IF('Pre-Calculation'!$D$17="Type 4 k",MAX(H220,1.01*Q220),IF('Pre-Calculation'!$D$17="Type 4 m",MAX(105%*Q220,SA+H220),IF('Pre-Calculation'!$D$17="Type 4 o",MAX(SA,105%*Q220)+X220+Z220,IF('Pre-Calculation'!$D$17="Type 5",0)))))))))))))*IF(AND(A220&lt;Revival!$C$4,C220&gt;=Revival!$D$12),PUP,1)</f>
        <v>1619349.23</v>
      </c>
      <c r="L220" s="175">
        <f>H220-I220*(1+Tax)</f>
        <v>1619349.23</v>
      </c>
      <c r="M220" s="175">
        <f>L220*(1+GROWTH_RATE_L)*(1-FMC*(1+Tax))</f>
        <v>1622495.007</v>
      </c>
      <c r="N220" s="175">
        <f>M220+IF(MOD(A220,B220)=0,VLOOKUP(B220,'Pre-Calculation'!$H$1:$L$31,5,FALSE),0)*IF('Pre-Calculation'!$D$16="% OF FV",M220,IF(OR('Pre-Calculation'!$D$16="% OF AFV(24M)",'Pre-Calculation'!$D$16="% OF AFV(8Q)"),AVERAGE( $M197:$M220),IF('Pre-Calculation'!$D$16="% OF AFV(12M)",AVERAGE($M209:M220),IF('Pre-Calculation'!$D$16="% OF AFV(36M)",AVERAGE($M185:M220)))))</f>
        <v>1622495.007</v>
      </c>
      <c r="O220" s="175">
        <f t="shared" si="4"/>
        <v>1622495.007</v>
      </c>
      <c r="P220" s="175">
        <f>IF('Pre-Calculation'!$D$17="Type 4 a",MAX(SA,N220,1.05*Q220),IF('Pre-Calculation'!$D$17="Type 4 c",N220,IF('Pre-Calculation'!$D$17="Type 4 d",SA+N220,IF('Pre-Calculation'!$D$17="Type 4 e",MAX(SA,N220),IF('Pre-Calculation'!$D$17="Type 4 f",SA,IF('Pre-Calculation'!$D$17="Type 4 g",1000+N220,IF('Pre-Calculation'!$D$17="Type 4 h",SA+X220,IF('Pre-Calculation'!$D$17="Type 4 i",MAX(N220,Q220),IF('Pre-Calculation'!$D$17="Type 4 k",MAX(N220,1.01*Q220),IF('Pre-Calculation'!$D$17="Type 4 m",MAX(105%*Q220,SA+N220),IF('Pre-Calculation'!$D$17="Type 4 o",MAX(SA,105%*Q220)+X220+Z220,IF('Pre-Calculation'!$D$17="Type 5",0))))))))))))</f>
        <v>1622495.007</v>
      </c>
      <c r="Q220" s="175">
        <f t="shared" si="5"/>
        <v>1000000</v>
      </c>
      <c r="R220" s="119">
        <f>L220*(1+GROWTH_RATE)*FMC</f>
        <v>1832.492111</v>
      </c>
      <c r="S220" s="178">
        <f>S219*(1+'Pre-Calculation'!$E$27)</f>
        <v>1200465.254</v>
      </c>
      <c r="T220" s="175">
        <f>-E220+IF(A219=INPUT!$C$11*12,N220,0)</f>
        <v>0</v>
      </c>
      <c r="U220" s="175">
        <f t="shared" si="6"/>
        <v>1591290.11</v>
      </c>
      <c r="V220" s="175">
        <f>U220*(1+GROWTH_RATE_L)*(1-'Pre-Calculation'!$E$31)</f>
        <v>1593840.89</v>
      </c>
      <c r="W220" s="175">
        <f>-E220+IF(A219=INPUT!$C$11*12,V220,0)</f>
        <v>0</v>
      </c>
      <c r="X220" s="179">
        <f t="array" ref="X220">NPV('Pre-Calculation'!$E$20,$E221:E$246)</f>
        <v>0</v>
      </c>
      <c r="Y220" s="171">
        <f>10%*SA</f>
        <v>100000</v>
      </c>
      <c r="Z220" s="179">
        <f t="array" ref="Z220">NPV('Pre-Calculation'!$E$20,Y221:Y230)</f>
        <v>969592.8037</v>
      </c>
    </row>
    <row r="221" ht="15.75" customHeight="1">
      <c r="A221" s="171">
        <f t="shared" si="1"/>
        <v>275</v>
      </c>
      <c r="B221" s="171">
        <f t="shared" si="2"/>
        <v>23</v>
      </c>
      <c r="C221" s="176">
        <f>EDATE(RCD,A220)</f>
        <v>50890</v>
      </c>
      <c r="D221" s="171">
        <f>Age_At_Entry+'Cashflows_4%'!B221-1</f>
        <v>57</v>
      </c>
      <c r="E221" s="175">
        <f>IF(AND(C221&lt;=Last_Prem,MOD(A220,Mode)=0,C221&gt;INPUT!$C$13,A221&lt;=Revival!$C$11),Mod_Prem,0)</f>
        <v>0</v>
      </c>
      <c r="F221" s="177">
        <f>IF(B221&lt;PT+1,E221*VLOOKUP(B221,'Pre-Calculation'!$H$1:$I$31,2,FALSE),0)</f>
        <v>0</v>
      </c>
      <c r="G221" s="177">
        <f>IF(B221&lt;PT+1,VLOOKUP(B221,'Pre-Calculation'!$H$1:$L$32,3,FALSE)+VLOOKUP(B221,'Pre-Calculation'!$H$1:$L$32,4,FALSE)*'Pre-Calculation'!$D$7,0)</f>
        <v>0</v>
      </c>
      <c r="H221" s="175">
        <f>(E221-(F221+G221)*(1+Tax)+N220)</f>
        <v>1622495.007</v>
      </c>
      <c r="I221" s="175">
        <f>IF(B221&lt;PT+1,VLOOKUP(D221,'Pre-Calculation'!$N$3:$P$79,IF(INPUT!$C$4="M",2,3),FALSE)*(J221/1000)*(1/12),0)</f>
        <v>0</v>
      </c>
      <c r="J221" s="175">
        <f t="shared" si="3"/>
        <v>0</v>
      </c>
      <c r="K221" s="175">
        <f>(IF('Pre-Calculation'!$D$17="Type 4 a",MAX(SA,H221,1.05*Q221),IF('Pre-Calculation'!$D$17="Type 4 c",H221,IF('Pre-Calculation'!$D$17="Type 4 d",SA+H221,IF('Pre-Calculation'!$D$17="Type 4 e",MAX(SA,H221),IF('Pre-Calculation'!$D$17="Type 4 f",SA,IF('Pre-Calculation'!$D$17="Type 4 g",1000+H221,IF('Pre-Calculation'!$D$17="Type 4 h",SA+X221,IF('Pre-Calculation'!$D$17="Type 4 i",MAX(H221,Q221),IF('Pre-Calculation'!$D$17="Type 4 k",MAX(H221,1.01*Q221),IF('Pre-Calculation'!$D$17="Type 4 m",MAX(105%*Q221,SA+H221),IF('Pre-Calculation'!$D$17="Type 4 o",MAX(SA,105%*Q221)+X221+Z221,IF('Pre-Calculation'!$D$17="Type 5",0)))))))))))))*IF(AND(A221&lt;Revival!$C$4,C221&gt;=Revival!$D$12),PUP,1)</f>
        <v>1622495.007</v>
      </c>
      <c r="L221" s="175">
        <f>H221-I221*(1+Tax)</f>
        <v>1622495.007</v>
      </c>
      <c r="M221" s="175">
        <f>L221*(1+GROWTH_RATE_L)*(1-FMC*(1+Tax))</f>
        <v>1625646.895</v>
      </c>
      <c r="N221" s="175">
        <f>M221+IF(MOD(A221,B221)=0,VLOOKUP(B221,'Pre-Calculation'!$H$1:$L$31,5,FALSE),0)*IF('Pre-Calculation'!$D$16="% OF FV",M221,IF(OR('Pre-Calculation'!$D$16="% OF AFV(24M)",'Pre-Calculation'!$D$16="% OF AFV(8Q)"),AVERAGE( $M198:$M221),IF('Pre-Calculation'!$D$16="% OF AFV(12M)",AVERAGE($M210:M221),IF('Pre-Calculation'!$D$16="% OF AFV(36M)",AVERAGE($M186:M221)))))</f>
        <v>1625646.895</v>
      </c>
      <c r="O221" s="175">
        <f t="shared" si="4"/>
        <v>1625646.895</v>
      </c>
      <c r="P221" s="175">
        <f>IF('Pre-Calculation'!$D$17="Type 4 a",MAX(SA,N221,1.05*Q221),IF('Pre-Calculation'!$D$17="Type 4 c",N221,IF('Pre-Calculation'!$D$17="Type 4 d",SA+N221,IF('Pre-Calculation'!$D$17="Type 4 e",MAX(SA,N221),IF('Pre-Calculation'!$D$17="Type 4 f",SA,IF('Pre-Calculation'!$D$17="Type 4 g",1000+N221,IF('Pre-Calculation'!$D$17="Type 4 h",SA+X221,IF('Pre-Calculation'!$D$17="Type 4 i",MAX(N221,Q221),IF('Pre-Calculation'!$D$17="Type 4 k",MAX(N221,1.01*Q221),IF('Pre-Calculation'!$D$17="Type 4 m",MAX(105%*Q221,SA+N221),IF('Pre-Calculation'!$D$17="Type 4 o",MAX(SA,105%*Q221)+X221+Z221,IF('Pre-Calculation'!$D$17="Type 5",0))))))))))))</f>
        <v>1625646.895</v>
      </c>
      <c r="Q221" s="175">
        <f t="shared" si="5"/>
        <v>1000000</v>
      </c>
      <c r="R221" s="119">
        <f>L221*(1+GROWTH_RATE)*FMC</f>
        <v>1836.051944</v>
      </c>
      <c r="S221" s="178">
        <f>S220*(1+'Pre-Calculation'!$E$27)</f>
        <v>1203911.669</v>
      </c>
      <c r="T221" s="175">
        <f>-E221+IF(A220=INPUT!$C$11*12,N221,0)</f>
        <v>0</v>
      </c>
      <c r="U221" s="175">
        <f t="shared" si="6"/>
        <v>1593840.89</v>
      </c>
      <c r="V221" s="175">
        <f>U221*(1+GROWTH_RATE_L)*(1-'Pre-Calculation'!$E$31)</f>
        <v>1596395.759</v>
      </c>
      <c r="W221" s="175">
        <f>-E221+IF(A220=INPUT!$C$11*12,V221,0)</f>
        <v>0</v>
      </c>
      <c r="X221" s="179">
        <f t="array" ref="X221">NPV('Pre-Calculation'!$E$20,$E222:E$246)</f>
        <v>0</v>
      </c>
      <c r="Y221" s="171">
        <f>10%*SA</f>
        <v>100000</v>
      </c>
      <c r="Z221" s="179">
        <f t="array" ref="Z221">NPV('Pre-Calculation'!$E$20,Y222:Y231)</f>
        <v>969592.8037</v>
      </c>
    </row>
    <row r="222" ht="15.75" customHeight="1">
      <c r="A222" s="171">
        <f t="shared" si="1"/>
        <v>276</v>
      </c>
      <c r="B222" s="171">
        <f t="shared" si="2"/>
        <v>23</v>
      </c>
      <c r="C222" s="176">
        <f>EDATE(RCD,A221)</f>
        <v>50920</v>
      </c>
      <c r="D222" s="171">
        <f>Age_At_Entry+'Cashflows_4%'!B222-1</f>
        <v>57</v>
      </c>
      <c r="E222" s="175">
        <f>IF(AND(C222&lt;=Last_Prem,MOD(A221,Mode)=0,C222&gt;INPUT!$C$13,A222&lt;=Revival!$C$11),Mod_Prem,0)</f>
        <v>0</v>
      </c>
      <c r="F222" s="177">
        <f>IF(B222&lt;PT+1,E222*VLOOKUP(B222,'Pre-Calculation'!$H$1:$I$31,2,FALSE),0)</f>
        <v>0</v>
      </c>
      <c r="G222" s="177">
        <f>IF(B222&lt;PT+1,VLOOKUP(B222,'Pre-Calculation'!$H$1:$L$32,3,FALSE)+VLOOKUP(B222,'Pre-Calculation'!$H$1:$L$32,4,FALSE)*'Pre-Calculation'!$D$7,0)</f>
        <v>0</v>
      </c>
      <c r="H222" s="175">
        <f>(E222-(F222+G222)*(1+Tax)+N221)</f>
        <v>1625646.895</v>
      </c>
      <c r="I222" s="175">
        <f>IF(B222&lt;PT+1,VLOOKUP(D222,'Pre-Calculation'!$N$3:$P$79,IF(INPUT!$C$4="M",2,3),FALSE)*(J222/1000)*(1/12),0)</f>
        <v>0</v>
      </c>
      <c r="J222" s="175">
        <f t="shared" si="3"/>
        <v>0</v>
      </c>
      <c r="K222" s="175">
        <f>(IF('Pre-Calculation'!$D$17="Type 4 a",MAX(SA,H222,1.05*Q222),IF('Pre-Calculation'!$D$17="Type 4 c",H222,IF('Pre-Calculation'!$D$17="Type 4 d",SA+H222,IF('Pre-Calculation'!$D$17="Type 4 e",MAX(SA,H222),IF('Pre-Calculation'!$D$17="Type 4 f",SA,IF('Pre-Calculation'!$D$17="Type 4 g",1000+H222,IF('Pre-Calculation'!$D$17="Type 4 h",SA+X222,IF('Pre-Calculation'!$D$17="Type 4 i",MAX(H222,Q222),IF('Pre-Calculation'!$D$17="Type 4 k",MAX(H222,1.01*Q222),IF('Pre-Calculation'!$D$17="Type 4 m",MAX(105%*Q222,SA+H222),IF('Pre-Calculation'!$D$17="Type 4 o",MAX(SA,105%*Q222)+X222+Z222,IF('Pre-Calculation'!$D$17="Type 5",0)))))))))))))*IF(AND(A222&lt;Revival!$C$4,C222&gt;=Revival!$D$12),PUP,1)</f>
        <v>1625646.895</v>
      </c>
      <c r="L222" s="175">
        <f>H222-I222*(1+Tax)</f>
        <v>1625646.895</v>
      </c>
      <c r="M222" s="175">
        <f>L222*(1+GROWTH_RATE_L)*(1-FMC*(1+Tax))</f>
        <v>1628804.906</v>
      </c>
      <c r="N222" s="175">
        <f>M222+IF(MOD(A222,B222)=0,VLOOKUP(B222,'Pre-Calculation'!$H$1:$L$31,5,FALSE),0)*IF('Pre-Calculation'!$D$16="% OF FV",M222,IF(OR('Pre-Calculation'!$D$16="% OF AFV(24M)",'Pre-Calculation'!$D$16="% OF AFV(8Q)"),AVERAGE( $M199:$M222),IF('Pre-Calculation'!$D$16="% OF AFV(12M)",AVERAGE($M211:M222),IF('Pre-Calculation'!$D$16="% OF AFV(36M)",AVERAGE($M187:M222)))))</f>
        <v>1628804.906</v>
      </c>
      <c r="O222" s="175">
        <f t="shared" si="4"/>
        <v>1628804.906</v>
      </c>
      <c r="P222" s="175">
        <f>IF('Pre-Calculation'!$D$17="Type 4 a",MAX(SA,N222,1.05*Q222),IF('Pre-Calculation'!$D$17="Type 4 c",N222,IF('Pre-Calculation'!$D$17="Type 4 d",SA+N222,IF('Pre-Calculation'!$D$17="Type 4 e",MAX(SA,N222),IF('Pre-Calculation'!$D$17="Type 4 f",SA,IF('Pre-Calculation'!$D$17="Type 4 g",1000+N222,IF('Pre-Calculation'!$D$17="Type 4 h",SA+X222,IF('Pre-Calculation'!$D$17="Type 4 i",MAX(N222,Q222),IF('Pre-Calculation'!$D$17="Type 4 k",MAX(N222,1.01*Q222),IF('Pre-Calculation'!$D$17="Type 4 m",MAX(105%*Q222,SA+N222),IF('Pre-Calculation'!$D$17="Type 4 o",MAX(SA,105%*Q222)+X222+Z222,IF('Pre-Calculation'!$D$17="Type 5",0))))))))))))</f>
        <v>1628804.906</v>
      </c>
      <c r="Q222" s="175">
        <f t="shared" si="5"/>
        <v>1000000</v>
      </c>
      <c r="R222" s="119">
        <f>L222*(1+GROWTH_RATE)*FMC</f>
        <v>1839.618692</v>
      </c>
      <c r="S222" s="178">
        <f>S221*(1+'Pre-Calculation'!$E$27)</f>
        <v>1207367.977</v>
      </c>
      <c r="T222" s="175">
        <f>-E222+IF(A221=INPUT!$C$11*12,N222,0)</f>
        <v>0</v>
      </c>
      <c r="U222" s="175">
        <f t="shared" si="6"/>
        <v>1596395.759</v>
      </c>
      <c r="V222" s="175">
        <f>U222*(1+GROWTH_RATE_L)*(1-'Pre-Calculation'!$E$31)</f>
        <v>1598954.724</v>
      </c>
      <c r="W222" s="175">
        <f>-E222+IF(A221=INPUT!$C$11*12,V222,0)</f>
        <v>0</v>
      </c>
      <c r="X222" s="179">
        <f t="array" ref="X222">NPV('Pre-Calculation'!$E$20,$E223:E$246)</f>
        <v>0</v>
      </c>
      <c r="Y222" s="171">
        <f>10%*SA</f>
        <v>100000</v>
      </c>
      <c r="Z222" s="179">
        <f t="array" ref="Z222">NPV('Pre-Calculation'!$E$20,Y223:Y232)</f>
        <v>969592.8037</v>
      </c>
    </row>
    <row r="223" ht="15.75" customHeight="1">
      <c r="A223" s="171">
        <f t="shared" si="1"/>
        <v>277</v>
      </c>
      <c r="B223" s="171">
        <f t="shared" si="2"/>
        <v>24</v>
      </c>
      <c r="C223" s="176">
        <f>EDATE(RCD,A222)</f>
        <v>50951</v>
      </c>
      <c r="D223" s="171">
        <f>Age_At_Entry+'Cashflows_4%'!B223-1</f>
        <v>58</v>
      </c>
      <c r="E223" s="175">
        <f>IF(AND(C223&lt;=Last_Prem,MOD(A222,Mode)=0,C223&gt;INPUT!$C$13,A223&lt;=Revival!$C$11),Mod_Prem,0)</f>
        <v>0</v>
      </c>
      <c r="F223" s="177">
        <f>IF(B223&lt;PT+1,E223*VLOOKUP(B223,'Pre-Calculation'!$H$1:$I$31,2,FALSE),0)</f>
        <v>0</v>
      </c>
      <c r="G223" s="177">
        <f>IF(B223&lt;PT+1,VLOOKUP(B223,'Pre-Calculation'!$H$1:$L$32,3,FALSE)+VLOOKUP(B223,'Pre-Calculation'!$H$1:$L$32,4,FALSE)*'Pre-Calculation'!$D$7,0)</f>
        <v>0</v>
      </c>
      <c r="H223" s="175">
        <f>(E223-(F223+G223)*(1+Tax)+N222)</f>
        <v>1628804.906</v>
      </c>
      <c r="I223" s="175">
        <f>IF(B223&lt;PT+1,VLOOKUP(D223,'Pre-Calculation'!$N$3:$P$79,IF(INPUT!$C$4="M",2,3),FALSE)*(J223/1000)*(1/12),0)</f>
        <v>0</v>
      </c>
      <c r="J223" s="175">
        <f t="shared" si="3"/>
        <v>0</v>
      </c>
      <c r="K223" s="175">
        <f>(IF('Pre-Calculation'!$D$17="Type 4 a",MAX(SA,H223,1.05*Q223),IF('Pre-Calculation'!$D$17="Type 4 c",H223,IF('Pre-Calculation'!$D$17="Type 4 d",SA+H223,IF('Pre-Calculation'!$D$17="Type 4 e",MAX(SA,H223),IF('Pre-Calculation'!$D$17="Type 4 f",SA,IF('Pre-Calculation'!$D$17="Type 4 g",1000+H223,IF('Pre-Calculation'!$D$17="Type 4 h",SA+X223,IF('Pre-Calculation'!$D$17="Type 4 i",MAX(H223,Q223),IF('Pre-Calculation'!$D$17="Type 4 k",MAX(H223,1.01*Q223),IF('Pre-Calculation'!$D$17="Type 4 m",MAX(105%*Q223,SA+H223),IF('Pre-Calculation'!$D$17="Type 4 o",MAX(SA,105%*Q223)+X223+Z223,IF('Pre-Calculation'!$D$17="Type 5",0)))))))))))))*IF(AND(A223&lt;Revival!$C$4,C223&gt;=Revival!$D$12),PUP,1)</f>
        <v>1628804.906</v>
      </c>
      <c r="L223" s="175">
        <f>H223-I223*(1+Tax)</f>
        <v>1628804.906</v>
      </c>
      <c r="M223" s="175">
        <f>L223*(1+GROWTH_RATE_L)*(1-FMC*(1+Tax))</f>
        <v>1631969.052</v>
      </c>
      <c r="N223" s="175">
        <f>M223+IF(MOD(A223,B223)=0,VLOOKUP(B223,'Pre-Calculation'!$H$1:$L$31,5,FALSE),0)*IF('Pre-Calculation'!$D$16="% OF FV",M223,IF(OR('Pre-Calculation'!$D$16="% OF AFV(24M)",'Pre-Calculation'!$D$16="% OF AFV(8Q)"),AVERAGE( $M200:$M223),IF('Pre-Calculation'!$D$16="% OF AFV(12M)",AVERAGE($M212:M223),IF('Pre-Calculation'!$D$16="% OF AFV(36M)",AVERAGE($M188:M223)))))</f>
        <v>1631969.052</v>
      </c>
      <c r="O223" s="175">
        <f t="shared" si="4"/>
        <v>1631969.052</v>
      </c>
      <c r="P223" s="175">
        <f>IF('Pre-Calculation'!$D$17="Type 4 a",MAX(SA,N223,1.05*Q223),IF('Pre-Calculation'!$D$17="Type 4 c",N223,IF('Pre-Calculation'!$D$17="Type 4 d",SA+N223,IF('Pre-Calculation'!$D$17="Type 4 e",MAX(SA,N223),IF('Pre-Calculation'!$D$17="Type 4 f",SA,IF('Pre-Calculation'!$D$17="Type 4 g",1000+N223,IF('Pre-Calculation'!$D$17="Type 4 h",SA+X223,IF('Pre-Calculation'!$D$17="Type 4 i",MAX(N223,Q223),IF('Pre-Calculation'!$D$17="Type 4 k",MAX(N223,1.01*Q223),IF('Pre-Calculation'!$D$17="Type 4 m",MAX(105%*Q223,SA+N223),IF('Pre-Calculation'!$D$17="Type 4 o",MAX(SA,105%*Q223)+X223+Z223,IF('Pre-Calculation'!$D$17="Type 5",0))))))))))))</f>
        <v>1631969.052</v>
      </c>
      <c r="Q223" s="175">
        <f t="shared" si="5"/>
        <v>1000000</v>
      </c>
      <c r="R223" s="119">
        <f>L223*(1+GROWTH_RATE)*FMC</f>
        <v>1843.192369</v>
      </c>
      <c r="S223" s="178">
        <f>S222*(1+'Pre-Calculation'!$E$27)</f>
        <v>1210834.208</v>
      </c>
      <c r="T223" s="175">
        <f>-E223+IF(A222=INPUT!$C$11*12,N223,0)</f>
        <v>0</v>
      </c>
      <c r="U223" s="175">
        <f t="shared" si="6"/>
        <v>1598954.724</v>
      </c>
      <c r="V223" s="175">
        <f>U223*(1+GROWTH_RATE_L)*(1-'Pre-Calculation'!$E$31)</f>
        <v>1601517.79</v>
      </c>
      <c r="W223" s="175">
        <f>-E223+IF(A222=INPUT!$C$11*12,V223,0)</f>
        <v>0</v>
      </c>
      <c r="X223" s="179">
        <f t="array" ref="X223">NPV('Pre-Calculation'!$E$20,$E224:E$246)</f>
        <v>0</v>
      </c>
      <c r="Y223" s="171">
        <f>10%*SA</f>
        <v>100000</v>
      </c>
      <c r="Z223" s="179">
        <f t="array" ref="Z223">NPV('Pre-Calculation'!$E$20,Y224:Y233)</f>
        <v>969592.8037</v>
      </c>
    </row>
    <row r="224" ht="15.75" customHeight="1">
      <c r="A224" s="171">
        <f t="shared" si="1"/>
        <v>278</v>
      </c>
      <c r="B224" s="171">
        <f t="shared" si="2"/>
        <v>24</v>
      </c>
      <c r="C224" s="176">
        <f>EDATE(RCD,A223)</f>
        <v>50981</v>
      </c>
      <c r="D224" s="171">
        <f>Age_At_Entry+'Cashflows_4%'!B224-1</f>
        <v>58</v>
      </c>
      <c r="E224" s="175">
        <f>IF(AND(C224&lt;=Last_Prem,MOD(A223,Mode)=0,C224&gt;INPUT!$C$13,A224&lt;=Revival!$C$11),Mod_Prem,0)</f>
        <v>0</v>
      </c>
      <c r="F224" s="177">
        <f>IF(B224&lt;PT+1,E224*VLOOKUP(B224,'Pre-Calculation'!$H$1:$I$31,2,FALSE),0)</f>
        <v>0</v>
      </c>
      <c r="G224" s="177">
        <f>IF(B224&lt;PT+1,VLOOKUP(B224,'Pre-Calculation'!$H$1:$L$32,3,FALSE)+VLOOKUP(B224,'Pre-Calculation'!$H$1:$L$32,4,FALSE)*'Pre-Calculation'!$D$7,0)</f>
        <v>0</v>
      </c>
      <c r="H224" s="175">
        <f>(E224-(F224+G224)*(1+Tax)+N223)</f>
        <v>1631969.052</v>
      </c>
      <c r="I224" s="175">
        <f>IF(B224&lt;PT+1,VLOOKUP(D224,'Pre-Calculation'!$N$3:$P$79,IF(INPUT!$C$4="M",2,3),FALSE)*(J224/1000)*(1/12),0)</f>
        <v>0</v>
      </c>
      <c r="J224" s="175">
        <f t="shared" si="3"/>
        <v>0</v>
      </c>
      <c r="K224" s="175">
        <f>(IF('Pre-Calculation'!$D$17="Type 4 a",MAX(SA,H224,1.05*Q224),IF('Pre-Calculation'!$D$17="Type 4 c",H224,IF('Pre-Calculation'!$D$17="Type 4 d",SA+H224,IF('Pre-Calculation'!$D$17="Type 4 e",MAX(SA,H224),IF('Pre-Calculation'!$D$17="Type 4 f",SA,IF('Pre-Calculation'!$D$17="Type 4 g",1000+H224,IF('Pre-Calculation'!$D$17="Type 4 h",SA+X224,IF('Pre-Calculation'!$D$17="Type 4 i",MAX(H224,Q224),IF('Pre-Calculation'!$D$17="Type 4 k",MAX(H224,1.01*Q224),IF('Pre-Calculation'!$D$17="Type 4 m",MAX(105%*Q224,SA+H224),IF('Pre-Calculation'!$D$17="Type 4 o",MAX(SA,105%*Q224)+X224+Z224,IF('Pre-Calculation'!$D$17="Type 5",0)))))))))))))*IF(AND(A224&lt;Revival!$C$4,C224&gt;=Revival!$D$12),PUP,1)</f>
        <v>1631969.052</v>
      </c>
      <c r="L224" s="175">
        <f>H224-I224*(1+Tax)</f>
        <v>1631969.052</v>
      </c>
      <c r="M224" s="175">
        <f>L224*(1+GROWTH_RATE_L)*(1-FMC*(1+Tax))</f>
        <v>1635139.345</v>
      </c>
      <c r="N224" s="175">
        <f>M224+IF(MOD(A224,B224)=0,VLOOKUP(B224,'Pre-Calculation'!$H$1:$L$31,5,FALSE),0)*IF('Pre-Calculation'!$D$16="% OF FV",M224,IF(OR('Pre-Calculation'!$D$16="% OF AFV(24M)",'Pre-Calculation'!$D$16="% OF AFV(8Q)"),AVERAGE( $M201:$M224),IF('Pre-Calculation'!$D$16="% OF AFV(12M)",AVERAGE($M213:M224),IF('Pre-Calculation'!$D$16="% OF AFV(36M)",AVERAGE($M189:M224)))))</f>
        <v>1635139.345</v>
      </c>
      <c r="O224" s="175">
        <f t="shared" si="4"/>
        <v>1635139.345</v>
      </c>
      <c r="P224" s="175">
        <f>IF('Pre-Calculation'!$D$17="Type 4 a",MAX(SA,N224,1.05*Q224),IF('Pre-Calculation'!$D$17="Type 4 c",N224,IF('Pre-Calculation'!$D$17="Type 4 d",SA+N224,IF('Pre-Calculation'!$D$17="Type 4 e",MAX(SA,N224),IF('Pre-Calculation'!$D$17="Type 4 f",SA,IF('Pre-Calculation'!$D$17="Type 4 g",1000+N224,IF('Pre-Calculation'!$D$17="Type 4 h",SA+X224,IF('Pre-Calculation'!$D$17="Type 4 i",MAX(N224,Q224),IF('Pre-Calculation'!$D$17="Type 4 k",MAX(N224,1.01*Q224),IF('Pre-Calculation'!$D$17="Type 4 m",MAX(105%*Q224,SA+N224),IF('Pre-Calculation'!$D$17="Type 4 o",MAX(SA,105%*Q224)+X224+Z224,IF('Pre-Calculation'!$D$17="Type 5",0))))))))))))</f>
        <v>1635139.345</v>
      </c>
      <c r="Q224" s="175">
        <f t="shared" si="5"/>
        <v>1000000</v>
      </c>
      <c r="R224" s="119">
        <f>L224*(1+GROWTH_RATE)*FMC</f>
        <v>1846.772988</v>
      </c>
      <c r="S224" s="178">
        <f>S223*(1+'Pre-Calculation'!$E$27)</f>
        <v>1214310.391</v>
      </c>
      <c r="T224" s="175">
        <f>-E224+IF(A223=INPUT!$C$11*12,N224,0)</f>
        <v>0</v>
      </c>
      <c r="U224" s="175">
        <f t="shared" si="6"/>
        <v>1601517.79</v>
      </c>
      <c r="V224" s="175">
        <f>U224*(1+GROWTH_RATE_L)*(1-'Pre-Calculation'!$E$31)</f>
        <v>1604084.965</v>
      </c>
      <c r="W224" s="175">
        <f>-E224+IF(A223=INPUT!$C$11*12,V224,0)</f>
        <v>0</v>
      </c>
      <c r="X224" s="179">
        <f t="array" ref="X224">NPV('Pre-Calculation'!$E$20,$E225:E$246)</f>
        <v>0</v>
      </c>
      <c r="Y224" s="171">
        <f>10%*SA</f>
        <v>100000</v>
      </c>
      <c r="Z224" s="179">
        <f t="array" ref="Z224">NPV('Pre-Calculation'!$E$20,Y225:Y234)</f>
        <v>969592.8037</v>
      </c>
    </row>
    <row r="225" ht="15.75" customHeight="1">
      <c r="A225" s="171">
        <f t="shared" si="1"/>
        <v>279</v>
      </c>
      <c r="B225" s="171">
        <f t="shared" si="2"/>
        <v>24</v>
      </c>
      <c r="C225" s="176">
        <f>EDATE(RCD,A224)</f>
        <v>51012</v>
      </c>
      <c r="D225" s="171">
        <f>Age_At_Entry+'Cashflows_4%'!B225-1</f>
        <v>58</v>
      </c>
      <c r="E225" s="175">
        <f>IF(AND(C225&lt;=Last_Prem,MOD(A224,Mode)=0,C225&gt;INPUT!$C$13,A225&lt;=Revival!$C$11),Mod_Prem,0)</f>
        <v>0</v>
      </c>
      <c r="F225" s="177">
        <f>IF(B225&lt;PT+1,E225*VLOOKUP(B225,'Pre-Calculation'!$H$1:$I$31,2,FALSE),0)</f>
        <v>0</v>
      </c>
      <c r="G225" s="177">
        <f>IF(B225&lt;PT+1,VLOOKUP(B225,'Pre-Calculation'!$H$1:$L$32,3,FALSE)+VLOOKUP(B225,'Pre-Calculation'!$H$1:$L$32,4,FALSE)*'Pre-Calculation'!$D$7,0)</f>
        <v>0</v>
      </c>
      <c r="H225" s="175">
        <f>(E225-(F225+G225)*(1+Tax)+N224)</f>
        <v>1635139.345</v>
      </c>
      <c r="I225" s="175">
        <f>IF(B225&lt;PT+1,VLOOKUP(D225,'Pre-Calculation'!$N$3:$P$79,IF(INPUT!$C$4="M",2,3),FALSE)*(J225/1000)*(1/12),0)</f>
        <v>0</v>
      </c>
      <c r="J225" s="175">
        <f t="shared" si="3"/>
        <v>0</v>
      </c>
      <c r="K225" s="175">
        <f>(IF('Pre-Calculation'!$D$17="Type 4 a",MAX(SA,H225,1.05*Q225),IF('Pre-Calculation'!$D$17="Type 4 c",H225,IF('Pre-Calculation'!$D$17="Type 4 d",SA+H225,IF('Pre-Calculation'!$D$17="Type 4 e",MAX(SA,H225),IF('Pre-Calculation'!$D$17="Type 4 f",SA,IF('Pre-Calculation'!$D$17="Type 4 g",1000+H225,IF('Pre-Calculation'!$D$17="Type 4 h",SA+X225,IF('Pre-Calculation'!$D$17="Type 4 i",MAX(H225,Q225),IF('Pre-Calculation'!$D$17="Type 4 k",MAX(H225,1.01*Q225),IF('Pre-Calculation'!$D$17="Type 4 m",MAX(105%*Q225,SA+H225),IF('Pre-Calculation'!$D$17="Type 4 o",MAX(SA,105%*Q225)+X225+Z225,IF('Pre-Calculation'!$D$17="Type 5",0)))))))))))))*IF(AND(A225&lt;Revival!$C$4,C225&gt;=Revival!$D$12),PUP,1)</f>
        <v>1635139.345</v>
      </c>
      <c r="L225" s="175">
        <f>H225-I225*(1+Tax)</f>
        <v>1635139.345</v>
      </c>
      <c r="M225" s="175">
        <f>L225*(1+GROWTH_RATE_L)*(1-FMC*(1+Tax))</f>
        <v>1638315.797</v>
      </c>
      <c r="N225" s="175">
        <f>M225+IF(MOD(A225,B225)=0,VLOOKUP(B225,'Pre-Calculation'!$H$1:$L$31,5,FALSE),0)*IF('Pre-Calculation'!$D$16="% OF FV",M225,IF(OR('Pre-Calculation'!$D$16="% OF AFV(24M)",'Pre-Calculation'!$D$16="% OF AFV(8Q)"),AVERAGE( $M202:$M225),IF('Pre-Calculation'!$D$16="% OF AFV(12M)",AVERAGE($M214:M225),IF('Pre-Calculation'!$D$16="% OF AFV(36M)",AVERAGE($M190:M225)))))</f>
        <v>1638315.797</v>
      </c>
      <c r="O225" s="175">
        <f t="shared" si="4"/>
        <v>1638315.797</v>
      </c>
      <c r="P225" s="175">
        <f>IF('Pre-Calculation'!$D$17="Type 4 a",MAX(SA,N225,1.05*Q225),IF('Pre-Calculation'!$D$17="Type 4 c",N225,IF('Pre-Calculation'!$D$17="Type 4 d",SA+N225,IF('Pre-Calculation'!$D$17="Type 4 e",MAX(SA,N225),IF('Pre-Calculation'!$D$17="Type 4 f",SA,IF('Pre-Calculation'!$D$17="Type 4 g",1000+N225,IF('Pre-Calculation'!$D$17="Type 4 h",SA+X225,IF('Pre-Calculation'!$D$17="Type 4 i",MAX(N225,Q225),IF('Pre-Calculation'!$D$17="Type 4 k",MAX(N225,1.01*Q225),IF('Pre-Calculation'!$D$17="Type 4 m",MAX(105%*Q225,SA+N225),IF('Pre-Calculation'!$D$17="Type 4 o",MAX(SA,105%*Q225)+X225+Z225,IF('Pre-Calculation'!$D$17="Type 5",0))))))))))))</f>
        <v>1638315.797</v>
      </c>
      <c r="Q225" s="175">
        <f t="shared" si="5"/>
        <v>1000000</v>
      </c>
      <c r="R225" s="119">
        <f>L225*(1+GROWTH_RATE)*FMC</f>
        <v>1850.360562</v>
      </c>
      <c r="S225" s="178">
        <f>S224*(1+'Pre-Calculation'!$E$27)</f>
        <v>1217796.553</v>
      </c>
      <c r="T225" s="175">
        <f>-E225+IF(A224=INPUT!$C$11*12,N225,0)</f>
        <v>0</v>
      </c>
      <c r="U225" s="175">
        <f t="shared" si="6"/>
        <v>1604084.965</v>
      </c>
      <c r="V225" s="175">
        <f>U225*(1+GROWTH_RATE_L)*(1-'Pre-Calculation'!$E$31)</f>
        <v>1606656.256</v>
      </c>
      <c r="W225" s="175">
        <f>-E225+IF(A224=INPUT!$C$11*12,V225,0)</f>
        <v>0</v>
      </c>
      <c r="X225" s="179">
        <f t="array" ref="X225">NPV('Pre-Calculation'!$E$20,$E226:E$246)</f>
        <v>0</v>
      </c>
      <c r="Y225" s="171">
        <f>10%*SA</f>
        <v>100000</v>
      </c>
      <c r="Z225" s="179">
        <f t="array" ref="Z225">NPV('Pre-Calculation'!$E$20,Y226:Y235)</f>
        <v>969592.8037</v>
      </c>
    </row>
    <row r="226" ht="15.75" customHeight="1">
      <c r="A226" s="171">
        <f t="shared" si="1"/>
        <v>280</v>
      </c>
      <c r="B226" s="171">
        <f t="shared" si="2"/>
        <v>24</v>
      </c>
      <c r="C226" s="176">
        <f>EDATE(RCD,A225)</f>
        <v>51043</v>
      </c>
      <c r="D226" s="171">
        <f>Age_At_Entry+'Cashflows_4%'!B226-1</f>
        <v>58</v>
      </c>
      <c r="E226" s="175">
        <f>IF(AND(C226&lt;=Last_Prem,MOD(A225,Mode)=0,C226&gt;INPUT!$C$13,A226&lt;=Revival!$C$11),Mod_Prem,0)</f>
        <v>0</v>
      </c>
      <c r="F226" s="177">
        <f>IF(B226&lt;PT+1,E226*VLOOKUP(B226,'Pre-Calculation'!$H$1:$I$31,2,FALSE),0)</f>
        <v>0</v>
      </c>
      <c r="G226" s="177">
        <f>IF(B226&lt;PT+1,VLOOKUP(B226,'Pre-Calculation'!$H$1:$L$32,3,FALSE)+VLOOKUP(B226,'Pre-Calculation'!$H$1:$L$32,4,FALSE)*'Pre-Calculation'!$D$7,0)</f>
        <v>0</v>
      </c>
      <c r="H226" s="175">
        <f>(E226-(F226+G226)*(1+Tax)+N225)</f>
        <v>1638315.797</v>
      </c>
      <c r="I226" s="175">
        <f>IF(B226&lt;PT+1,VLOOKUP(D226,'Pre-Calculation'!$N$3:$P$79,IF(INPUT!$C$4="M",2,3),FALSE)*(J226/1000)*(1/12),0)</f>
        <v>0</v>
      </c>
      <c r="J226" s="175">
        <f t="shared" si="3"/>
        <v>0</v>
      </c>
      <c r="K226" s="175">
        <f>(IF('Pre-Calculation'!$D$17="Type 4 a",MAX(SA,H226,1.05*Q226),IF('Pre-Calculation'!$D$17="Type 4 c",H226,IF('Pre-Calculation'!$D$17="Type 4 d",SA+H226,IF('Pre-Calculation'!$D$17="Type 4 e",MAX(SA,H226),IF('Pre-Calculation'!$D$17="Type 4 f",SA,IF('Pre-Calculation'!$D$17="Type 4 g",1000+H226,IF('Pre-Calculation'!$D$17="Type 4 h",SA+X226,IF('Pre-Calculation'!$D$17="Type 4 i",MAX(H226,Q226),IF('Pre-Calculation'!$D$17="Type 4 k",MAX(H226,1.01*Q226),IF('Pre-Calculation'!$D$17="Type 4 m",MAX(105%*Q226,SA+H226),IF('Pre-Calculation'!$D$17="Type 4 o",MAX(SA,105%*Q226)+X226+Z226,IF('Pre-Calculation'!$D$17="Type 5",0)))))))))))))*IF(AND(A226&lt;Revival!$C$4,C226&gt;=Revival!$D$12),PUP,1)</f>
        <v>1638315.797</v>
      </c>
      <c r="L226" s="175">
        <f>H226-I226*(1+Tax)</f>
        <v>1638315.797</v>
      </c>
      <c r="M226" s="175">
        <f>L226*(1+GROWTH_RATE_L)*(1-FMC*(1+Tax))</f>
        <v>1641498.419</v>
      </c>
      <c r="N226" s="175">
        <f>M226+IF(MOD(A226,B226)=0,VLOOKUP(B226,'Pre-Calculation'!$H$1:$L$31,5,FALSE),0)*IF('Pre-Calculation'!$D$16="% OF FV",M226,IF(OR('Pre-Calculation'!$D$16="% OF AFV(24M)",'Pre-Calculation'!$D$16="% OF AFV(8Q)"),AVERAGE( $M203:$M226),IF('Pre-Calculation'!$D$16="% OF AFV(12M)",AVERAGE($M215:M226),IF('Pre-Calculation'!$D$16="% OF AFV(36M)",AVERAGE($M191:M226)))))</f>
        <v>1641498.419</v>
      </c>
      <c r="O226" s="175">
        <f t="shared" si="4"/>
        <v>1641498.419</v>
      </c>
      <c r="P226" s="175">
        <f>IF('Pre-Calculation'!$D$17="Type 4 a",MAX(SA,N226,1.05*Q226),IF('Pre-Calculation'!$D$17="Type 4 c",N226,IF('Pre-Calculation'!$D$17="Type 4 d",SA+N226,IF('Pre-Calculation'!$D$17="Type 4 e",MAX(SA,N226),IF('Pre-Calculation'!$D$17="Type 4 f",SA,IF('Pre-Calculation'!$D$17="Type 4 g",1000+N226,IF('Pre-Calculation'!$D$17="Type 4 h",SA+X226,IF('Pre-Calculation'!$D$17="Type 4 i",MAX(N226,Q226),IF('Pre-Calculation'!$D$17="Type 4 k",MAX(N226,1.01*Q226),IF('Pre-Calculation'!$D$17="Type 4 m",MAX(105%*Q226,SA+N226),IF('Pre-Calculation'!$D$17="Type 4 o",MAX(SA,105%*Q226)+X226+Z226,IF('Pre-Calculation'!$D$17="Type 5",0))))))))))))</f>
        <v>1641498.419</v>
      </c>
      <c r="Q226" s="175">
        <f t="shared" si="5"/>
        <v>1000000</v>
      </c>
      <c r="R226" s="119">
        <f>L226*(1+GROWTH_RATE)*FMC</f>
        <v>1853.955106</v>
      </c>
      <c r="S226" s="178">
        <f>S225*(1+'Pre-Calculation'!$E$27)</f>
        <v>1221292.723</v>
      </c>
      <c r="T226" s="175">
        <f>-E226+IF(A225=INPUT!$C$11*12,N226,0)</f>
        <v>0</v>
      </c>
      <c r="U226" s="175">
        <f t="shared" si="6"/>
        <v>1606656.256</v>
      </c>
      <c r="V226" s="175">
        <f>U226*(1+GROWTH_RATE_L)*(1-'Pre-Calculation'!$E$31)</f>
        <v>1609231.667</v>
      </c>
      <c r="W226" s="175">
        <f>-E226+IF(A225=INPUT!$C$11*12,V226,0)</f>
        <v>0</v>
      </c>
      <c r="X226" s="179">
        <f t="array" ref="X226">NPV('Pre-Calculation'!$E$20,$E227:E$246)</f>
        <v>0</v>
      </c>
      <c r="Y226" s="171">
        <f>10%*SA</f>
        <v>100000</v>
      </c>
      <c r="Z226" s="179">
        <f t="array" ref="Z226">NPV('Pre-Calculation'!$E$20,Y227:Y236)</f>
        <v>969592.8037</v>
      </c>
    </row>
    <row r="227" ht="15.75" customHeight="1">
      <c r="A227" s="171">
        <f t="shared" si="1"/>
        <v>281</v>
      </c>
      <c r="B227" s="171">
        <f t="shared" si="2"/>
        <v>24</v>
      </c>
      <c r="C227" s="176">
        <f>EDATE(RCD,A226)</f>
        <v>51073</v>
      </c>
      <c r="D227" s="171">
        <f>Age_At_Entry+'Cashflows_4%'!B227-1</f>
        <v>58</v>
      </c>
      <c r="E227" s="175">
        <f>IF(AND(C227&lt;=Last_Prem,MOD(A226,Mode)=0,C227&gt;INPUT!$C$13,A227&lt;=Revival!$C$11),Mod_Prem,0)</f>
        <v>0</v>
      </c>
      <c r="F227" s="177">
        <f>IF(B227&lt;PT+1,E227*VLOOKUP(B227,'Pre-Calculation'!$H$1:$I$31,2,FALSE),0)</f>
        <v>0</v>
      </c>
      <c r="G227" s="177">
        <f>IF(B227&lt;PT+1,VLOOKUP(B227,'Pre-Calculation'!$H$1:$L$32,3,FALSE)+VLOOKUP(B227,'Pre-Calculation'!$H$1:$L$32,4,FALSE)*'Pre-Calculation'!$D$7,0)</f>
        <v>0</v>
      </c>
      <c r="H227" s="175">
        <f>(E227-(F227+G227)*(1+Tax)+N226)</f>
        <v>1641498.419</v>
      </c>
      <c r="I227" s="175">
        <f>IF(B227&lt;PT+1,VLOOKUP(D227,'Pre-Calculation'!$N$3:$P$79,IF(INPUT!$C$4="M",2,3),FALSE)*(J227/1000)*(1/12),0)</f>
        <v>0</v>
      </c>
      <c r="J227" s="175">
        <f t="shared" si="3"/>
        <v>0</v>
      </c>
      <c r="K227" s="175">
        <f>(IF('Pre-Calculation'!$D$17="Type 4 a",MAX(SA,H227,1.05*Q227),IF('Pre-Calculation'!$D$17="Type 4 c",H227,IF('Pre-Calculation'!$D$17="Type 4 d",SA+H227,IF('Pre-Calculation'!$D$17="Type 4 e",MAX(SA,H227),IF('Pre-Calculation'!$D$17="Type 4 f",SA,IF('Pre-Calculation'!$D$17="Type 4 g",1000+H227,IF('Pre-Calculation'!$D$17="Type 4 h",SA+X227,IF('Pre-Calculation'!$D$17="Type 4 i",MAX(H227,Q227),IF('Pre-Calculation'!$D$17="Type 4 k",MAX(H227,1.01*Q227),IF('Pre-Calculation'!$D$17="Type 4 m",MAX(105%*Q227,SA+H227),IF('Pre-Calculation'!$D$17="Type 4 o",MAX(SA,105%*Q227)+X227+Z227,IF('Pre-Calculation'!$D$17="Type 5",0)))))))))))))*IF(AND(A227&lt;Revival!$C$4,C227&gt;=Revival!$D$12),PUP,1)</f>
        <v>1641498.419</v>
      </c>
      <c r="L227" s="175">
        <f>H227-I227*(1+Tax)</f>
        <v>1641498.419</v>
      </c>
      <c r="M227" s="175">
        <f>L227*(1+GROWTH_RATE_L)*(1-FMC*(1+Tax))</f>
        <v>1644687.223</v>
      </c>
      <c r="N227" s="175">
        <f>M227+IF(MOD(A227,B227)=0,VLOOKUP(B227,'Pre-Calculation'!$H$1:$L$31,5,FALSE),0)*IF('Pre-Calculation'!$D$16="% OF FV",M227,IF(OR('Pre-Calculation'!$D$16="% OF AFV(24M)",'Pre-Calculation'!$D$16="% OF AFV(8Q)"),AVERAGE( $M204:$M227),IF('Pre-Calculation'!$D$16="% OF AFV(12M)",AVERAGE($M216:M227),IF('Pre-Calculation'!$D$16="% OF AFV(36M)",AVERAGE($M192:M227)))))</f>
        <v>1644687.223</v>
      </c>
      <c r="O227" s="175">
        <f t="shared" si="4"/>
        <v>1644687.223</v>
      </c>
      <c r="P227" s="175">
        <f>IF('Pre-Calculation'!$D$17="Type 4 a",MAX(SA,N227,1.05*Q227),IF('Pre-Calculation'!$D$17="Type 4 c",N227,IF('Pre-Calculation'!$D$17="Type 4 d",SA+N227,IF('Pre-Calculation'!$D$17="Type 4 e",MAX(SA,N227),IF('Pre-Calculation'!$D$17="Type 4 f",SA,IF('Pre-Calculation'!$D$17="Type 4 g",1000+N227,IF('Pre-Calculation'!$D$17="Type 4 h",SA+X227,IF('Pre-Calculation'!$D$17="Type 4 i",MAX(N227,Q227),IF('Pre-Calculation'!$D$17="Type 4 k",MAX(N227,1.01*Q227),IF('Pre-Calculation'!$D$17="Type 4 m",MAX(105%*Q227,SA+N227),IF('Pre-Calculation'!$D$17="Type 4 o",MAX(SA,105%*Q227)+X227+Z227,IF('Pre-Calculation'!$D$17="Type 5",0))))))))))))</f>
        <v>1644687.223</v>
      </c>
      <c r="Q227" s="175">
        <f t="shared" si="5"/>
        <v>1000000</v>
      </c>
      <c r="R227" s="119">
        <f>L227*(1+GROWTH_RATE)*FMC</f>
        <v>1857.556633</v>
      </c>
      <c r="S227" s="178">
        <f>S226*(1+'Pre-Calculation'!$E$27)</f>
        <v>1224798.931</v>
      </c>
      <c r="T227" s="175">
        <f>-E227+IF(A226=INPUT!$C$11*12,N227,0)</f>
        <v>0</v>
      </c>
      <c r="U227" s="175">
        <f t="shared" si="6"/>
        <v>1609231.667</v>
      </c>
      <c r="V227" s="175">
        <f>U227*(1+GROWTH_RATE_L)*(1-'Pre-Calculation'!$E$31)</f>
        <v>1611811.208</v>
      </c>
      <c r="W227" s="175">
        <f>-E227+IF(A226=INPUT!$C$11*12,V227,0)</f>
        <v>0</v>
      </c>
      <c r="X227" s="179">
        <f t="array" ref="X227">NPV('Pre-Calculation'!$E$20,$E228:E$246)</f>
        <v>0</v>
      </c>
      <c r="Y227" s="171">
        <f>10%*SA</f>
        <v>100000</v>
      </c>
      <c r="Z227" s="179">
        <f t="array" ref="Z227">NPV('Pre-Calculation'!$E$20,Y228:Y237)</f>
        <v>969592.8037</v>
      </c>
    </row>
    <row r="228" ht="15.75" customHeight="1">
      <c r="A228" s="171">
        <f t="shared" si="1"/>
        <v>282</v>
      </c>
      <c r="B228" s="171">
        <f t="shared" si="2"/>
        <v>24</v>
      </c>
      <c r="C228" s="176">
        <f>EDATE(RCD,A227)</f>
        <v>51104</v>
      </c>
      <c r="D228" s="171">
        <f>Age_At_Entry+'Cashflows_4%'!B228-1</f>
        <v>58</v>
      </c>
      <c r="E228" s="175">
        <f>IF(AND(C228&lt;=Last_Prem,MOD(A227,Mode)=0,C228&gt;INPUT!$C$13,A228&lt;=Revival!$C$11),Mod_Prem,0)</f>
        <v>0</v>
      </c>
      <c r="F228" s="177">
        <f>IF(B228&lt;PT+1,E228*VLOOKUP(B228,'Pre-Calculation'!$H$1:$I$31,2,FALSE),0)</f>
        <v>0</v>
      </c>
      <c r="G228" s="177">
        <f>IF(B228&lt;PT+1,VLOOKUP(B228,'Pre-Calculation'!$H$1:$L$32,3,FALSE)+VLOOKUP(B228,'Pre-Calculation'!$H$1:$L$32,4,FALSE)*'Pre-Calculation'!$D$7,0)</f>
        <v>0</v>
      </c>
      <c r="H228" s="175">
        <f>(E228-(F228+G228)*(1+Tax)+N227)</f>
        <v>1644687.223</v>
      </c>
      <c r="I228" s="175">
        <f>IF(B228&lt;PT+1,VLOOKUP(D228,'Pre-Calculation'!$N$3:$P$79,IF(INPUT!$C$4="M",2,3),FALSE)*(J228/1000)*(1/12),0)</f>
        <v>0</v>
      </c>
      <c r="J228" s="175">
        <f t="shared" si="3"/>
        <v>0</v>
      </c>
      <c r="K228" s="175">
        <f>(IF('Pre-Calculation'!$D$17="Type 4 a",MAX(SA,H228,1.05*Q228),IF('Pre-Calculation'!$D$17="Type 4 c",H228,IF('Pre-Calculation'!$D$17="Type 4 d",SA+H228,IF('Pre-Calculation'!$D$17="Type 4 e",MAX(SA,H228),IF('Pre-Calculation'!$D$17="Type 4 f",SA,IF('Pre-Calculation'!$D$17="Type 4 g",1000+H228,IF('Pre-Calculation'!$D$17="Type 4 h",SA+X228,IF('Pre-Calculation'!$D$17="Type 4 i",MAX(H228,Q228),IF('Pre-Calculation'!$D$17="Type 4 k",MAX(H228,1.01*Q228),IF('Pre-Calculation'!$D$17="Type 4 m",MAX(105%*Q228,SA+H228),IF('Pre-Calculation'!$D$17="Type 4 o",MAX(SA,105%*Q228)+X228+Z228,IF('Pre-Calculation'!$D$17="Type 5",0)))))))))))))*IF(AND(A228&lt;Revival!$C$4,C228&gt;=Revival!$D$12),PUP,1)</f>
        <v>1644687.223</v>
      </c>
      <c r="L228" s="175">
        <f>H228-I228*(1+Tax)</f>
        <v>1644687.223</v>
      </c>
      <c r="M228" s="175">
        <f>L228*(1+GROWTH_RATE_L)*(1-FMC*(1+Tax))</f>
        <v>1647882.223</v>
      </c>
      <c r="N228" s="175">
        <f>M228+IF(MOD(A228,B228)=0,VLOOKUP(B228,'Pre-Calculation'!$H$1:$L$31,5,FALSE),0)*IF('Pre-Calculation'!$D$16="% OF FV",M228,IF(OR('Pre-Calculation'!$D$16="% OF AFV(24M)",'Pre-Calculation'!$D$16="% OF AFV(8Q)"),AVERAGE( $M205:$M228),IF('Pre-Calculation'!$D$16="% OF AFV(12M)",AVERAGE($M217:M228),IF('Pre-Calculation'!$D$16="% OF AFV(36M)",AVERAGE($M193:M228)))))</f>
        <v>1647882.223</v>
      </c>
      <c r="O228" s="175">
        <f t="shared" si="4"/>
        <v>1647882.223</v>
      </c>
      <c r="P228" s="175">
        <f>IF('Pre-Calculation'!$D$17="Type 4 a",MAX(SA,N228,1.05*Q228),IF('Pre-Calculation'!$D$17="Type 4 c",N228,IF('Pre-Calculation'!$D$17="Type 4 d",SA+N228,IF('Pre-Calculation'!$D$17="Type 4 e",MAX(SA,N228),IF('Pre-Calculation'!$D$17="Type 4 f",SA,IF('Pre-Calculation'!$D$17="Type 4 g",1000+N228,IF('Pre-Calculation'!$D$17="Type 4 h",SA+X228,IF('Pre-Calculation'!$D$17="Type 4 i",MAX(N228,Q228),IF('Pre-Calculation'!$D$17="Type 4 k",MAX(N228,1.01*Q228),IF('Pre-Calculation'!$D$17="Type 4 m",MAX(105%*Q228,SA+N228),IF('Pre-Calculation'!$D$17="Type 4 o",MAX(SA,105%*Q228)+X228+Z228,IF('Pre-Calculation'!$D$17="Type 5",0))))))))))))</f>
        <v>1647882.223</v>
      </c>
      <c r="Q228" s="175">
        <f t="shared" si="5"/>
        <v>1000000</v>
      </c>
      <c r="R228" s="119">
        <f>L228*(1+GROWTH_RATE)*FMC</f>
        <v>1861.165156</v>
      </c>
      <c r="S228" s="178">
        <f>S227*(1+'Pre-Calculation'!$E$27)</f>
        <v>1228315.205</v>
      </c>
      <c r="T228" s="175">
        <f>-E228+IF(A227=INPUT!$C$11*12,N228,0)</f>
        <v>0</v>
      </c>
      <c r="U228" s="175">
        <f t="shared" si="6"/>
        <v>1611811.208</v>
      </c>
      <c r="V228" s="175">
        <f>U228*(1+GROWTH_RATE_L)*(1-'Pre-Calculation'!$E$31)</f>
        <v>1614394.883</v>
      </c>
      <c r="W228" s="175">
        <f>-E228+IF(A227=INPUT!$C$11*12,V228,0)</f>
        <v>0</v>
      </c>
      <c r="X228" s="179">
        <f t="array" ref="X228">NPV('Pre-Calculation'!$E$20,$E229:E$246)</f>
        <v>0</v>
      </c>
      <c r="Y228" s="171">
        <f>10%*SA</f>
        <v>100000</v>
      </c>
      <c r="Z228" s="179">
        <f t="array" ref="Z228">NPV('Pre-Calculation'!$E$20,Y229:Y238)</f>
        <v>969592.8037</v>
      </c>
    </row>
    <row r="229" ht="15.75" customHeight="1">
      <c r="A229" s="171">
        <f t="shared" si="1"/>
        <v>283</v>
      </c>
      <c r="B229" s="171">
        <f t="shared" si="2"/>
        <v>24</v>
      </c>
      <c r="C229" s="176">
        <f>EDATE(RCD,A228)</f>
        <v>51134</v>
      </c>
      <c r="D229" s="171">
        <f>Age_At_Entry+'Cashflows_4%'!B229-1</f>
        <v>58</v>
      </c>
      <c r="E229" s="175">
        <f>IF(AND(C229&lt;=Last_Prem,MOD(A228,Mode)=0,C229&gt;INPUT!$C$13,A229&lt;=Revival!$C$11),Mod_Prem,0)</f>
        <v>0</v>
      </c>
      <c r="F229" s="177">
        <f>IF(B229&lt;PT+1,E229*VLOOKUP(B229,'Pre-Calculation'!$H$1:$I$31,2,FALSE),0)</f>
        <v>0</v>
      </c>
      <c r="G229" s="177">
        <f>IF(B229&lt;PT+1,VLOOKUP(B229,'Pre-Calculation'!$H$1:$L$32,3,FALSE)+VLOOKUP(B229,'Pre-Calculation'!$H$1:$L$32,4,FALSE)*'Pre-Calculation'!$D$7,0)</f>
        <v>0</v>
      </c>
      <c r="H229" s="175">
        <f>(E229-(F229+G229)*(1+Tax)+N228)</f>
        <v>1647882.223</v>
      </c>
      <c r="I229" s="175">
        <f>IF(B229&lt;PT+1,VLOOKUP(D229,'Pre-Calculation'!$N$3:$P$79,IF(INPUT!$C$4="M",2,3),FALSE)*(J229/1000)*(1/12),0)</f>
        <v>0</v>
      </c>
      <c r="J229" s="175">
        <f t="shared" si="3"/>
        <v>0</v>
      </c>
      <c r="K229" s="175">
        <f>(IF('Pre-Calculation'!$D$17="Type 4 a",MAX(SA,H229,1.05*Q229),IF('Pre-Calculation'!$D$17="Type 4 c",H229,IF('Pre-Calculation'!$D$17="Type 4 d",SA+H229,IF('Pre-Calculation'!$D$17="Type 4 e",MAX(SA,H229),IF('Pre-Calculation'!$D$17="Type 4 f",SA,IF('Pre-Calculation'!$D$17="Type 4 g",1000+H229,IF('Pre-Calculation'!$D$17="Type 4 h",SA+X229,IF('Pre-Calculation'!$D$17="Type 4 i",MAX(H229,Q229),IF('Pre-Calculation'!$D$17="Type 4 k",MAX(H229,1.01*Q229),IF('Pre-Calculation'!$D$17="Type 4 m",MAX(105%*Q229,SA+H229),IF('Pre-Calculation'!$D$17="Type 4 o",MAX(SA,105%*Q229)+X229+Z229,IF('Pre-Calculation'!$D$17="Type 5",0)))))))))))))*IF(AND(A229&lt;Revival!$C$4,C229&gt;=Revival!$D$12),PUP,1)</f>
        <v>1647882.223</v>
      </c>
      <c r="L229" s="175">
        <f>H229-I229*(1+Tax)</f>
        <v>1647882.223</v>
      </c>
      <c r="M229" s="175">
        <f>L229*(1+GROWTH_RATE_L)*(1-FMC*(1+Tax))</f>
        <v>1651083.429</v>
      </c>
      <c r="N229" s="175">
        <f>M229+IF(MOD(A229,B229)=0,VLOOKUP(B229,'Pre-Calculation'!$H$1:$L$31,5,FALSE),0)*IF('Pre-Calculation'!$D$16="% OF FV",M229,IF(OR('Pre-Calculation'!$D$16="% OF AFV(24M)",'Pre-Calculation'!$D$16="% OF AFV(8Q)"),AVERAGE( $M206:$M229),IF('Pre-Calculation'!$D$16="% OF AFV(12M)",AVERAGE($M218:M229),IF('Pre-Calculation'!$D$16="% OF AFV(36M)",AVERAGE($M194:M229)))))</f>
        <v>1651083.429</v>
      </c>
      <c r="O229" s="175">
        <f t="shared" si="4"/>
        <v>1651083.429</v>
      </c>
      <c r="P229" s="175">
        <f>IF('Pre-Calculation'!$D$17="Type 4 a",MAX(SA,N229,1.05*Q229),IF('Pre-Calculation'!$D$17="Type 4 c",N229,IF('Pre-Calculation'!$D$17="Type 4 d",SA+N229,IF('Pre-Calculation'!$D$17="Type 4 e",MAX(SA,N229),IF('Pre-Calculation'!$D$17="Type 4 f",SA,IF('Pre-Calculation'!$D$17="Type 4 g",1000+N229,IF('Pre-Calculation'!$D$17="Type 4 h",SA+X229,IF('Pre-Calculation'!$D$17="Type 4 i",MAX(N229,Q229),IF('Pre-Calculation'!$D$17="Type 4 k",MAX(N229,1.01*Q229),IF('Pre-Calculation'!$D$17="Type 4 m",MAX(105%*Q229,SA+N229),IF('Pre-Calculation'!$D$17="Type 4 o",MAX(SA,105%*Q229)+X229+Z229,IF('Pre-Calculation'!$D$17="Type 5",0))))))))))))</f>
        <v>1651083.429</v>
      </c>
      <c r="Q229" s="175">
        <f t="shared" si="5"/>
        <v>1000000</v>
      </c>
      <c r="R229" s="119">
        <f>L229*(1+GROWTH_RATE)*FMC</f>
        <v>1864.78069</v>
      </c>
      <c r="S229" s="178">
        <f>S228*(1+'Pre-Calculation'!$E$27)</f>
        <v>1231841.573</v>
      </c>
      <c r="T229" s="175">
        <f>-E229+IF(A228=INPUT!$C$11*12,N229,0)</f>
        <v>0</v>
      </c>
      <c r="U229" s="175">
        <f t="shared" si="6"/>
        <v>1614394.883</v>
      </c>
      <c r="V229" s="175">
        <f>U229*(1+GROWTH_RATE_L)*(1-'Pre-Calculation'!$E$31)</f>
        <v>1616982.699</v>
      </c>
      <c r="W229" s="175">
        <f>-E229+IF(A228=INPUT!$C$11*12,V229,0)</f>
        <v>0</v>
      </c>
      <c r="X229" s="179">
        <f t="array" ref="X229">NPV('Pre-Calculation'!$E$20,$E230:E$246)</f>
        <v>0</v>
      </c>
      <c r="Y229" s="171">
        <f>10%*SA</f>
        <v>100000</v>
      </c>
      <c r="Z229" s="179">
        <f t="array" ref="Z229">NPV('Pre-Calculation'!$E$20,Y230:Y239)</f>
        <v>969592.8037</v>
      </c>
    </row>
    <row r="230" ht="15.75" customHeight="1">
      <c r="A230" s="171">
        <f t="shared" si="1"/>
        <v>284</v>
      </c>
      <c r="B230" s="171">
        <f t="shared" si="2"/>
        <v>24</v>
      </c>
      <c r="C230" s="176">
        <f>EDATE(RCD,A229)</f>
        <v>51165</v>
      </c>
      <c r="D230" s="171">
        <f>Age_At_Entry+'Cashflows_4%'!B230-1</f>
        <v>58</v>
      </c>
      <c r="E230" s="175">
        <f>IF(AND(C230&lt;=Last_Prem,MOD(A229,Mode)=0,C230&gt;INPUT!$C$13,A230&lt;=Revival!$C$11),Mod_Prem,0)</f>
        <v>0</v>
      </c>
      <c r="F230" s="177">
        <f>IF(B230&lt;PT+1,E230*VLOOKUP(B230,'Pre-Calculation'!$H$1:$I$31,2,FALSE),0)</f>
        <v>0</v>
      </c>
      <c r="G230" s="177">
        <f>IF(B230&lt;PT+1,VLOOKUP(B230,'Pre-Calculation'!$H$1:$L$32,3,FALSE)+VLOOKUP(B230,'Pre-Calculation'!$H$1:$L$32,4,FALSE)*'Pre-Calculation'!$D$7,0)</f>
        <v>0</v>
      </c>
      <c r="H230" s="175">
        <f>(E230-(F230+G230)*(1+Tax)+N229)</f>
        <v>1651083.429</v>
      </c>
      <c r="I230" s="175">
        <f>IF(B230&lt;PT+1,VLOOKUP(D230,'Pre-Calculation'!$N$3:$P$79,IF(INPUT!$C$4="M",2,3),FALSE)*(J230/1000)*(1/12),0)</f>
        <v>0</v>
      </c>
      <c r="J230" s="175">
        <f t="shared" si="3"/>
        <v>0</v>
      </c>
      <c r="K230" s="175">
        <f>(IF('Pre-Calculation'!$D$17="Type 4 a",MAX(SA,H230,1.05*Q230),IF('Pre-Calculation'!$D$17="Type 4 c",H230,IF('Pre-Calculation'!$D$17="Type 4 d",SA+H230,IF('Pre-Calculation'!$D$17="Type 4 e",MAX(SA,H230),IF('Pre-Calculation'!$D$17="Type 4 f",SA,IF('Pre-Calculation'!$D$17="Type 4 g",1000+H230,IF('Pre-Calculation'!$D$17="Type 4 h",SA+X230,IF('Pre-Calculation'!$D$17="Type 4 i",MAX(H230,Q230),IF('Pre-Calculation'!$D$17="Type 4 k",MAX(H230,1.01*Q230),IF('Pre-Calculation'!$D$17="Type 4 m",MAX(105%*Q230,SA+H230),IF('Pre-Calculation'!$D$17="Type 4 o",MAX(SA,105%*Q230)+X230+Z230,IF('Pre-Calculation'!$D$17="Type 5",0)))))))))))))*IF(AND(A230&lt;Revival!$C$4,C230&gt;=Revival!$D$12),PUP,1)</f>
        <v>1651083.429</v>
      </c>
      <c r="L230" s="175">
        <f>H230-I230*(1+Tax)</f>
        <v>1651083.429</v>
      </c>
      <c r="M230" s="175">
        <f>L230*(1+GROWTH_RATE_L)*(1-FMC*(1+Tax))</f>
        <v>1654290.853</v>
      </c>
      <c r="N230" s="175">
        <f>M230+IF(MOD(A230,B230)=0,VLOOKUP(B230,'Pre-Calculation'!$H$1:$L$31,5,FALSE),0)*IF('Pre-Calculation'!$D$16="% OF FV",M230,IF(OR('Pre-Calculation'!$D$16="% OF AFV(24M)",'Pre-Calculation'!$D$16="% OF AFV(8Q)"),AVERAGE( $M207:$M230),IF('Pre-Calculation'!$D$16="% OF AFV(12M)",AVERAGE($M219:M230),IF('Pre-Calculation'!$D$16="% OF AFV(36M)",AVERAGE($M195:M230)))))</f>
        <v>1654290.853</v>
      </c>
      <c r="O230" s="175">
        <f t="shared" si="4"/>
        <v>1654290.853</v>
      </c>
      <c r="P230" s="175">
        <f>IF('Pre-Calculation'!$D$17="Type 4 a",MAX(SA,N230,1.05*Q230),IF('Pre-Calculation'!$D$17="Type 4 c",N230,IF('Pre-Calculation'!$D$17="Type 4 d",SA+N230,IF('Pre-Calculation'!$D$17="Type 4 e",MAX(SA,N230),IF('Pre-Calculation'!$D$17="Type 4 f",SA,IF('Pre-Calculation'!$D$17="Type 4 g",1000+N230,IF('Pre-Calculation'!$D$17="Type 4 h",SA+X230,IF('Pre-Calculation'!$D$17="Type 4 i",MAX(N230,Q230),IF('Pre-Calculation'!$D$17="Type 4 k",MAX(N230,1.01*Q230),IF('Pre-Calculation'!$D$17="Type 4 m",MAX(105%*Q230,SA+N230),IF('Pre-Calculation'!$D$17="Type 4 o",MAX(SA,105%*Q230)+X230+Z230,IF('Pre-Calculation'!$D$17="Type 5",0))))))))))))</f>
        <v>1654290.853</v>
      </c>
      <c r="Q230" s="175">
        <f t="shared" si="5"/>
        <v>1000000</v>
      </c>
      <c r="R230" s="119">
        <f>L230*(1+GROWTH_RATE)*FMC</f>
        <v>1868.403247</v>
      </c>
      <c r="S230" s="178">
        <f>S229*(1+'Pre-Calculation'!$E$27)</f>
        <v>1235378.066</v>
      </c>
      <c r="T230" s="175">
        <f>-E230+IF(A229=INPUT!$C$11*12,N230,0)</f>
        <v>0</v>
      </c>
      <c r="U230" s="175">
        <f t="shared" si="6"/>
        <v>1616982.699</v>
      </c>
      <c r="V230" s="175">
        <f>U230*(1+GROWTH_RATE_L)*(1-'Pre-Calculation'!$E$31)</f>
        <v>1619574.664</v>
      </c>
      <c r="W230" s="175">
        <f>-E230+IF(A229=INPUT!$C$11*12,V230,0)</f>
        <v>0</v>
      </c>
      <c r="X230" s="179">
        <f t="array" ref="X230">NPV('Pre-Calculation'!$E$20,$E231:E$246)</f>
        <v>0</v>
      </c>
      <c r="Y230" s="171">
        <f>10%*SA</f>
        <v>100000</v>
      </c>
      <c r="Z230" s="179">
        <f t="array" ref="Z230">NPV('Pre-Calculation'!$E$20,Y231:Y240)</f>
        <v>969592.8037</v>
      </c>
    </row>
    <row r="231" ht="15.75" customHeight="1">
      <c r="A231" s="171">
        <f t="shared" si="1"/>
        <v>285</v>
      </c>
      <c r="B231" s="171">
        <f t="shared" si="2"/>
        <v>24</v>
      </c>
      <c r="C231" s="176">
        <f>EDATE(RCD,A230)</f>
        <v>51195</v>
      </c>
      <c r="D231" s="171">
        <f>Age_At_Entry+'Cashflows_4%'!B231-1</f>
        <v>58</v>
      </c>
      <c r="E231" s="175">
        <f>IF(AND(C231&lt;=Last_Prem,MOD(A230,Mode)=0,C231&gt;INPUT!$C$13,A231&lt;=Revival!$C$11),Mod_Prem,0)</f>
        <v>0</v>
      </c>
      <c r="F231" s="177">
        <f>IF(B231&lt;PT+1,E231*VLOOKUP(B231,'Pre-Calculation'!$H$1:$I$31,2,FALSE),0)</f>
        <v>0</v>
      </c>
      <c r="G231" s="177">
        <f>IF(B231&lt;PT+1,VLOOKUP(B231,'Pre-Calculation'!$H$1:$L$32,3,FALSE)+VLOOKUP(B231,'Pre-Calculation'!$H$1:$L$32,4,FALSE)*'Pre-Calculation'!$D$7,0)</f>
        <v>0</v>
      </c>
      <c r="H231" s="175">
        <f>(E231-(F231+G231)*(1+Tax)+N230)</f>
        <v>1654290.853</v>
      </c>
      <c r="I231" s="175">
        <f>IF(B231&lt;PT+1,VLOOKUP(D231,'Pre-Calculation'!$N$3:$P$79,IF(INPUT!$C$4="M",2,3),FALSE)*(J231/1000)*(1/12),0)</f>
        <v>0</v>
      </c>
      <c r="J231" s="175">
        <f t="shared" si="3"/>
        <v>0</v>
      </c>
      <c r="K231" s="175">
        <f>(IF('Pre-Calculation'!$D$17="Type 4 a",MAX(SA,H231,1.05*Q231),IF('Pre-Calculation'!$D$17="Type 4 c",H231,IF('Pre-Calculation'!$D$17="Type 4 d",SA+H231,IF('Pre-Calculation'!$D$17="Type 4 e",MAX(SA,H231),IF('Pre-Calculation'!$D$17="Type 4 f",SA,IF('Pre-Calculation'!$D$17="Type 4 g",1000+H231,IF('Pre-Calculation'!$D$17="Type 4 h",SA+X231,IF('Pre-Calculation'!$D$17="Type 4 i",MAX(H231,Q231),IF('Pre-Calculation'!$D$17="Type 4 k",MAX(H231,1.01*Q231),IF('Pre-Calculation'!$D$17="Type 4 m",MAX(105%*Q231,SA+H231),IF('Pre-Calculation'!$D$17="Type 4 o",MAX(SA,105%*Q231)+X231+Z231,IF('Pre-Calculation'!$D$17="Type 5",0)))))))))))))*IF(AND(A231&lt;Revival!$C$4,C231&gt;=Revival!$D$12),PUP,1)</f>
        <v>1654290.853</v>
      </c>
      <c r="L231" s="175">
        <f>H231-I231*(1+Tax)</f>
        <v>1654290.853</v>
      </c>
      <c r="M231" s="175">
        <f>L231*(1+GROWTH_RATE_L)*(1-FMC*(1+Tax))</f>
        <v>1657504.509</v>
      </c>
      <c r="N231" s="175">
        <f>M231+IF(MOD(A231,B231)=0,VLOOKUP(B231,'Pre-Calculation'!$H$1:$L$31,5,FALSE),0)*IF('Pre-Calculation'!$D$16="% OF FV",M231,IF(OR('Pre-Calculation'!$D$16="% OF AFV(24M)",'Pre-Calculation'!$D$16="% OF AFV(8Q)"),AVERAGE( $M208:$M231),IF('Pre-Calculation'!$D$16="% OF AFV(12M)",AVERAGE($M220:M231),IF('Pre-Calculation'!$D$16="% OF AFV(36M)",AVERAGE($M196:M231)))))</f>
        <v>1657504.509</v>
      </c>
      <c r="O231" s="175">
        <f t="shared" si="4"/>
        <v>1657504.509</v>
      </c>
      <c r="P231" s="175">
        <f>IF('Pre-Calculation'!$D$17="Type 4 a",MAX(SA,N231,1.05*Q231),IF('Pre-Calculation'!$D$17="Type 4 c",N231,IF('Pre-Calculation'!$D$17="Type 4 d",SA+N231,IF('Pre-Calculation'!$D$17="Type 4 e",MAX(SA,N231),IF('Pre-Calculation'!$D$17="Type 4 f",SA,IF('Pre-Calculation'!$D$17="Type 4 g",1000+N231,IF('Pre-Calculation'!$D$17="Type 4 h",SA+X231,IF('Pre-Calculation'!$D$17="Type 4 i",MAX(N231,Q231),IF('Pre-Calculation'!$D$17="Type 4 k",MAX(N231,1.01*Q231),IF('Pre-Calculation'!$D$17="Type 4 m",MAX(105%*Q231,SA+N231),IF('Pre-Calculation'!$D$17="Type 4 o",MAX(SA,105%*Q231)+X231+Z231,IF('Pre-Calculation'!$D$17="Type 5",0))))))))))))</f>
        <v>1657504.509</v>
      </c>
      <c r="Q231" s="175">
        <f t="shared" si="5"/>
        <v>1000000</v>
      </c>
      <c r="R231" s="119">
        <f>L231*(1+GROWTH_RATE)*FMC</f>
        <v>1872.032841</v>
      </c>
      <c r="S231" s="178">
        <f>S230*(1+'Pre-Calculation'!$E$27)</f>
        <v>1238924.711</v>
      </c>
      <c r="T231" s="175">
        <f>-E231+IF(A230=INPUT!$C$11*12,N231,0)</f>
        <v>0</v>
      </c>
      <c r="U231" s="175">
        <f t="shared" si="6"/>
        <v>1619574.664</v>
      </c>
      <c r="V231" s="175">
        <f>U231*(1+GROWTH_RATE_L)*(1-'Pre-Calculation'!$E$31)</f>
        <v>1622170.784</v>
      </c>
      <c r="W231" s="175">
        <f>-E231+IF(A230=INPUT!$C$11*12,V231,0)</f>
        <v>0</v>
      </c>
      <c r="X231" s="179">
        <f t="array" ref="X231">NPV('Pre-Calculation'!$E$20,$E232:E$246)</f>
        <v>0</v>
      </c>
      <c r="Y231" s="171">
        <f>10%*SA</f>
        <v>100000</v>
      </c>
      <c r="Z231" s="179">
        <f t="array" ref="Z231">NPV('Pre-Calculation'!$E$20,Y232:Y241)</f>
        <v>969592.8037</v>
      </c>
    </row>
    <row r="232" ht="15.75" customHeight="1">
      <c r="A232" s="171">
        <f t="shared" si="1"/>
        <v>286</v>
      </c>
      <c r="B232" s="171">
        <f t="shared" si="2"/>
        <v>24</v>
      </c>
      <c r="C232" s="176">
        <f>EDATE(RCD,A231)</f>
        <v>51225</v>
      </c>
      <c r="D232" s="171">
        <f>Age_At_Entry+'Cashflows_4%'!B232-1</f>
        <v>58</v>
      </c>
      <c r="E232" s="175">
        <f>IF(AND(C232&lt;=Last_Prem,MOD(A231,Mode)=0,C232&gt;INPUT!$C$13,A232&lt;=Revival!$C$11),Mod_Prem,0)</f>
        <v>0</v>
      </c>
      <c r="F232" s="177">
        <f>IF(B232&lt;PT+1,E232*VLOOKUP(B232,'Pre-Calculation'!$H$1:$I$31,2,FALSE),0)</f>
        <v>0</v>
      </c>
      <c r="G232" s="177">
        <f>IF(B232&lt;PT+1,VLOOKUP(B232,'Pre-Calculation'!$H$1:$L$32,3,FALSE)+VLOOKUP(B232,'Pre-Calculation'!$H$1:$L$32,4,FALSE)*'Pre-Calculation'!$D$7,0)</f>
        <v>0</v>
      </c>
      <c r="H232" s="175">
        <f>(E232-(F232+G232)*(1+Tax)+N231)</f>
        <v>1657504.509</v>
      </c>
      <c r="I232" s="175">
        <f>IF(B232&lt;PT+1,VLOOKUP(D232,'Pre-Calculation'!$N$3:$P$79,IF(INPUT!$C$4="M",2,3),FALSE)*(J232/1000)*(1/12),0)</f>
        <v>0</v>
      </c>
      <c r="J232" s="175">
        <f t="shared" si="3"/>
        <v>0</v>
      </c>
      <c r="K232" s="175">
        <f>(IF('Pre-Calculation'!$D$17="Type 4 a",MAX(SA,H232,1.05*Q232),IF('Pre-Calculation'!$D$17="Type 4 c",H232,IF('Pre-Calculation'!$D$17="Type 4 d",SA+H232,IF('Pre-Calculation'!$D$17="Type 4 e",MAX(SA,H232),IF('Pre-Calculation'!$D$17="Type 4 f",SA,IF('Pre-Calculation'!$D$17="Type 4 g",1000+H232,IF('Pre-Calculation'!$D$17="Type 4 h",SA+X232,IF('Pre-Calculation'!$D$17="Type 4 i",MAX(H232,Q232),IF('Pre-Calculation'!$D$17="Type 4 k",MAX(H232,1.01*Q232),IF('Pre-Calculation'!$D$17="Type 4 m",MAX(105%*Q232,SA+H232),IF('Pre-Calculation'!$D$17="Type 4 o",MAX(SA,105%*Q232)+X232+Z232,IF('Pre-Calculation'!$D$17="Type 5",0)))))))))))))*IF(AND(A232&lt;Revival!$C$4,C232&gt;=Revival!$D$12),PUP,1)</f>
        <v>1657504.509</v>
      </c>
      <c r="L232" s="175">
        <f>H232-I232*(1+Tax)</f>
        <v>1657504.509</v>
      </c>
      <c r="M232" s="175">
        <f>L232*(1+GROWTH_RATE_L)*(1-FMC*(1+Tax))</f>
        <v>1660724.407</v>
      </c>
      <c r="N232" s="175">
        <f>M232+IF(MOD(A232,B232)=0,VLOOKUP(B232,'Pre-Calculation'!$H$1:$L$31,5,FALSE),0)*IF('Pre-Calculation'!$D$16="% OF FV",M232,IF(OR('Pre-Calculation'!$D$16="% OF AFV(24M)",'Pre-Calculation'!$D$16="% OF AFV(8Q)"),AVERAGE( $M209:$M232),IF('Pre-Calculation'!$D$16="% OF AFV(12M)",AVERAGE($M221:M232),IF('Pre-Calculation'!$D$16="% OF AFV(36M)",AVERAGE($M197:M232)))))</f>
        <v>1660724.407</v>
      </c>
      <c r="O232" s="175">
        <f t="shared" si="4"/>
        <v>1660724.407</v>
      </c>
      <c r="P232" s="175">
        <f>IF('Pre-Calculation'!$D$17="Type 4 a",MAX(SA,N232,1.05*Q232),IF('Pre-Calculation'!$D$17="Type 4 c",N232,IF('Pre-Calculation'!$D$17="Type 4 d",SA+N232,IF('Pre-Calculation'!$D$17="Type 4 e",MAX(SA,N232),IF('Pre-Calculation'!$D$17="Type 4 f",SA,IF('Pre-Calculation'!$D$17="Type 4 g",1000+N232,IF('Pre-Calculation'!$D$17="Type 4 h",SA+X232,IF('Pre-Calculation'!$D$17="Type 4 i",MAX(N232,Q232),IF('Pre-Calculation'!$D$17="Type 4 k",MAX(N232,1.01*Q232),IF('Pre-Calculation'!$D$17="Type 4 m",MAX(105%*Q232,SA+N232),IF('Pre-Calculation'!$D$17="Type 4 o",MAX(SA,105%*Q232)+X232+Z232,IF('Pre-Calculation'!$D$17="Type 5",0))))))))))))</f>
        <v>1660724.407</v>
      </c>
      <c r="Q232" s="175">
        <f t="shared" si="5"/>
        <v>1000000</v>
      </c>
      <c r="R232" s="119">
        <f>L232*(1+GROWTH_RATE)*FMC</f>
        <v>1875.669486</v>
      </c>
      <c r="S232" s="178">
        <f>S231*(1+'Pre-Calculation'!$E$27)</f>
        <v>1242481.538</v>
      </c>
      <c r="T232" s="175">
        <f>-E232+IF(A231=INPUT!$C$11*12,N232,0)</f>
        <v>0</v>
      </c>
      <c r="U232" s="175">
        <f t="shared" si="6"/>
        <v>1622170.784</v>
      </c>
      <c r="V232" s="175">
        <f>U232*(1+GROWTH_RATE_L)*(1-'Pre-Calculation'!$E$31)</f>
        <v>1624771.065</v>
      </c>
      <c r="W232" s="175">
        <f>-E232+IF(A231=INPUT!$C$11*12,V232,0)</f>
        <v>0</v>
      </c>
      <c r="X232" s="179">
        <f t="array" ref="X232">NPV('Pre-Calculation'!$E$20,$E233:E$246)</f>
        <v>0</v>
      </c>
      <c r="Y232" s="171">
        <f>10%*SA</f>
        <v>100000</v>
      </c>
      <c r="Z232" s="179">
        <f t="array" ref="Z232">NPV('Pre-Calculation'!$E$20,Y233:Y242)</f>
        <v>969592.8037</v>
      </c>
    </row>
    <row r="233" ht="15.75" customHeight="1">
      <c r="A233" s="171">
        <f t="shared" si="1"/>
        <v>287</v>
      </c>
      <c r="B233" s="171">
        <f t="shared" si="2"/>
        <v>24</v>
      </c>
      <c r="C233" s="176">
        <f>EDATE(RCD,A232)</f>
        <v>51256</v>
      </c>
      <c r="D233" s="171">
        <f>Age_At_Entry+'Cashflows_4%'!B233-1</f>
        <v>58</v>
      </c>
      <c r="E233" s="175">
        <f>IF(AND(C233&lt;=Last_Prem,MOD(A232,Mode)=0,C233&gt;INPUT!$C$13,A233&lt;=Revival!$C$11),Mod_Prem,0)</f>
        <v>0</v>
      </c>
      <c r="F233" s="177">
        <f>IF(B233&lt;PT+1,E233*VLOOKUP(B233,'Pre-Calculation'!$H$1:$I$31,2,FALSE),0)</f>
        <v>0</v>
      </c>
      <c r="G233" s="177">
        <f>IF(B233&lt;PT+1,VLOOKUP(B233,'Pre-Calculation'!$H$1:$L$32,3,FALSE)+VLOOKUP(B233,'Pre-Calculation'!$H$1:$L$32,4,FALSE)*'Pre-Calculation'!$D$7,0)</f>
        <v>0</v>
      </c>
      <c r="H233" s="175">
        <f>(E233-(F233+G233)*(1+Tax)+N232)</f>
        <v>1660724.407</v>
      </c>
      <c r="I233" s="175">
        <f>IF(B233&lt;PT+1,VLOOKUP(D233,'Pre-Calculation'!$N$3:$P$79,IF(INPUT!$C$4="M",2,3),FALSE)*(J233/1000)*(1/12),0)</f>
        <v>0</v>
      </c>
      <c r="J233" s="175">
        <f t="shared" si="3"/>
        <v>0</v>
      </c>
      <c r="K233" s="175">
        <f>(IF('Pre-Calculation'!$D$17="Type 4 a",MAX(SA,H233,1.05*Q233),IF('Pre-Calculation'!$D$17="Type 4 c",H233,IF('Pre-Calculation'!$D$17="Type 4 d",SA+H233,IF('Pre-Calculation'!$D$17="Type 4 e",MAX(SA,H233),IF('Pre-Calculation'!$D$17="Type 4 f",SA,IF('Pre-Calculation'!$D$17="Type 4 g",1000+H233,IF('Pre-Calculation'!$D$17="Type 4 h",SA+X233,IF('Pre-Calculation'!$D$17="Type 4 i",MAX(H233,Q233),IF('Pre-Calculation'!$D$17="Type 4 k",MAX(H233,1.01*Q233),IF('Pre-Calculation'!$D$17="Type 4 m",MAX(105%*Q233,SA+H233),IF('Pre-Calculation'!$D$17="Type 4 o",MAX(SA,105%*Q233)+X233+Z233,IF('Pre-Calculation'!$D$17="Type 5",0)))))))))))))*IF(AND(A233&lt;Revival!$C$4,C233&gt;=Revival!$D$12),PUP,1)</f>
        <v>1660724.407</v>
      </c>
      <c r="L233" s="175">
        <f>H233-I233*(1+Tax)</f>
        <v>1660724.407</v>
      </c>
      <c r="M233" s="175">
        <f>L233*(1+GROWTH_RATE_L)*(1-FMC*(1+Tax))</f>
        <v>1663950.56</v>
      </c>
      <c r="N233" s="175">
        <f>M233+IF(MOD(A233,B233)=0,VLOOKUP(B233,'Pre-Calculation'!$H$1:$L$31,5,FALSE),0)*IF('Pre-Calculation'!$D$16="% OF FV",M233,IF(OR('Pre-Calculation'!$D$16="% OF AFV(24M)",'Pre-Calculation'!$D$16="% OF AFV(8Q)"),AVERAGE( $M210:$M233),IF('Pre-Calculation'!$D$16="% OF AFV(12M)",AVERAGE($M222:M233),IF('Pre-Calculation'!$D$16="% OF AFV(36M)",AVERAGE($M198:M233)))))</f>
        <v>1663950.56</v>
      </c>
      <c r="O233" s="175">
        <f t="shared" si="4"/>
        <v>1663950.56</v>
      </c>
      <c r="P233" s="175">
        <f>IF('Pre-Calculation'!$D$17="Type 4 a",MAX(SA,N233,1.05*Q233),IF('Pre-Calculation'!$D$17="Type 4 c",N233,IF('Pre-Calculation'!$D$17="Type 4 d",SA+N233,IF('Pre-Calculation'!$D$17="Type 4 e",MAX(SA,N233),IF('Pre-Calculation'!$D$17="Type 4 f",SA,IF('Pre-Calculation'!$D$17="Type 4 g",1000+N233,IF('Pre-Calculation'!$D$17="Type 4 h",SA+X233,IF('Pre-Calculation'!$D$17="Type 4 i",MAX(N233,Q233),IF('Pre-Calculation'!$D$17="Type 4 k",MAX(N233,1.01*Q233),IF('Pre-Calculation'!$D$17="Type 4 m",MAX(105%*Q233,SA+N233),IF('Pre-Calculation'!$D$17="Type 4 o",MAX(SA,105%*Q233)+X233+Z233,IF('Pre-Calculation'!$D$17="Type 5",0))))))))))))</f>
        <v>1663950.56</v>
      </c>
      <c r="Q233" s="175">
        <f t="shared" si="5"/>
        <v>1000000</v>
      </c>
      <c r="R233" s="119">
        <f>L233*(1+GROWTH_RATE)*FMC</f>
        <v>1879.313195</v>
      </c>
      <c r="S233" s="178">
        <f>S232*(1+'Pre-Calculation'!$E$27)</f>
        <v>1246048.577</v>
      </c>
      <c r="T233" s="175">
        <f>-E233+IF(A232=INPUT!$C$11*12,N233,0)</f>
        <v>0</v>
      </c>
      <c r="U233" s="175">
        <f t="shared" si="6"/>
        <v>1624771.065</v>
      </c>
      <c r="V233" s="175">
        <f>U233*(1+GROWTH_RATE_L)*(1-'Pre-Calculation'!$E$31)</f>
        <v>1627375.514</v>
      </c>
      <c r="W233" s="175">
        <f>-E233+IF(A232=INPUT!$C$11*12,V233,0)</f>
        <v>0</v>
      </c>
      <c r="X233" s="179">
        <f t="array" ref="X233">NPV('Pre-Calculation'!$E$20,$E234:E$246)</f>
        <v>0</v>
      </c>
      <c r="Y233" s="171">
        <f>10%*SA</f>
        <v>100000</v>
      </c>
      <c r="Z233" s="179">
        <f t="array" ref="Z233">NPV('Pre-Calculation'!$E$20,Y234:Y243)</f>
        <v>969592.8037</v>
      </c>
    </row>
    <row r="234" ht="15.75" customHeight="1">
      <c r="A234" s="171">
        <f t="shared" si="1"/>
        <v>288</v>
      </c>
      <c r="B234" s="171">
        <f t="shared" si="2"/>
        <v>24</v>
      </c>
      <c r="C234" s="176">
        <f>EDATE(RCD,A233)</f>
        <v>51286</v>
      </c>
      <c r="D234" s="171">
        <f>Age_At_Entry+'Cashflows_4%'!B234-1</f>
        <v>58</v>
      </c>
      <c r="E234" s="175">
        <f>IF(AND(C234&lt;=Last_Prem,MOD(A233,Mode)=0,C234&gt;INPUT!$C$13,A234&lt;=Revival!$C$11),Mod_Prem,0)</f>
        <v>0</v>
      </c>
      <c r="F234" s="177">
        <f>IF(B234&lt;PT+1,E234*VLOOKUP(B234,'Pre-Calculation'!$H$1:$I$31,2,FALSE),0)</f>
        <v>0</v>
      </c>
      <c r="G234" s="177">
        <f>IF(B234&lt;PT+1,VLOOKUP(B234,'Pre-Calculation'!$H$1:$L$32,3,FALSE)+VLOOKUP(B234,'Pre-Calculation'!$H$1:$L$32,4,FALSE)*'Pre-Calculation'!$D$7,0)</f>
        <v>0</v>
      </c>
      <c r="H234" s="175">
        <f>(E234-(F234+G234)*(1+Tax)+N233)</f>
        <v>1663950.56</v>
      </c>
      <c r="I234" s="175">
        <f>IF(B234&lt;PT+1,VLOOKUP(D234,'Pre-Calculation'!$N$3:$P$79,IF(INPUT!$C$4="M",2,3),FALSE)*(J234/1000)*(1/12),0)</f>
        <v>0</v>
      </c>
      <c r="J234" s="175">
        <f t="shared" si="3"/>
        <v>0</v>
      </c>
      <c r="K234" s="175">
        <f>(IF('Pre-Calculation'!$D$17="Type 4 a",MAX(SA,H234,1.05*Q234),IF('Pre-Calculation'!$D$17="Type 4 c",H234,IF('Pre-Calculation'!$D$17="Type 4 d",SA+H234,IF('Pre-Calculation'!$D$17="Type 4 e",MAX(SA,H234),IF('Pre-Calculation'!$D$17="Type 4 f",SA,IF('Pre-Calculation'!$D$17="Type 4 g",1000+H234,IF('Pre-Calculation'!$D$17="Type 4 h",SA+X234,IF('Pre-Calculation'!$D$17="Type 4 i",MAX(H234,Q234),IF('Pre-Calculation'!$D$17="Type 4 k",MAX(H234,1.01*Q234),IF('Pre-Calculation'!$D$17="Type 4 m",MAX(105%*Q234,SA+H234),IF('Pre-Calculation'!$D$17="Type 4 o",MAX(SA,105%*Q234)+X234+Z234,IF('Pre-Calculation'!$D$17="Type 5",0)))))))))))))*IF(AND(A234&lt;Revival!$C$4,C234&gt;=Revival!$D$12),PUP,1)</f>
        <v>1663950.56</v>
      </c>
      <c r="L234" s="175">
        <f>H234-I234*(1+Tax)</f>
        <v>1663950.56</v>
      </c>
      <c r="M234" s="175">
        <f>L234*(1+GROWTH_RATE_L)*(1-FMC*(1+Tax))</f>
        <v>1667182.981</v>
      </c>
      <c r="N234" s="175">
        <f>M234+IF(MOD(A234,B234)=0,VLOOKUP(B234,'Pre-Calculation'!$H$1:$L$31,5,FALSE),0)*IF('Pre-Calculation'!$D$16="% OF FV",M234,IF(OR('Pre-Calculation'!$D$16="% OF AFV(24M)",'Pre-Calculation'!$D$16="% OF AFV(8Q)"),AVERAGE( $M211:$M234),IF('Pre-Calculation'!$D$16="% OF AFV(12M)",AVERAGE($M223:M234),IF('Pre-Calculation'!$D$16="% OF AFV(36M)",AVERAGE($M199:M234)))))</f>
        <v>1667182.981</v>
      </c>
      <c r="O234" s="175">
        <f t="shared" si="4"/>
        <v>1667182.981</v>
      </c>
      <c r="P234" s="175">
        <f>IF('Pre-Calculation'!$D$17="Type 4 a",MAX(SA,N234,1.05*Q234),IF('Pre-Calculation'!$D$17="Type 4 c",N234,IF('Pre-Calculation'!$D$17="Type 4 d",SA+N234,IF('Pre-Calculation'!$D$17="Type 4 e",MAX(SA,N234),IF('Pre-Calculation'!$D$17="Type 4 f",SA,IF('Pre-Calculation'!$D$17="Type 4 g",1000+N234,IF('Pre-Calculation'!$D$17="Type 4 h",SA+X234,IF('Pre-Calculation'!$D$17="Type 4 i",MAX(N234,Q234),IF('Pre-Calculation'!$D$17="Type 4 k",MAX(N234,1.01*Q234),IF('Pre-Calculation'!$D$17="Type 4 m",MAX(105%*Q234,SA+N234),IF('Pre-Calculation'!$D$17="Type 4 o",MAX(SA,105%*Q234)+X234+Z234,IF('Pre-Calculation'!$D$17="Type 5",0))))))))))))</f>
        <v>1667182.981</v>
      </c>
      <c r="Q234" s="175">
        <f t="shared" si="5"/>
        <v>1000000</v>
      </c>
      <c r="R234" s="119">
        <f>L234*(1+GROWTH_RATE)*FMC</f>
        <v>1882.963983</v>
      </c>
      <c r="S234" s="178">
        <f>S233*(1+'Pre-Calculation'!$E$27)</f>
        <v>1249625.856</v>
      </c>
      <c r="T234" s="175">
        <f>-E234+IF(A233=INPUT!$C$11*12,N234,0)</f>
        <v>0</v>
      </c>
      <c r="U234" s="175">
        <f t="shared" si="6"/>
        <v>1627375.514</v>
      </c>
      <c r="V234" s="175">
        <f>U234*(1+GROWTH_RATE_L)*(1-'Pre-Calculation'!$E$31)</f>
        <v>1629984.138</v>
      </c>
      <c r="W234" s="175">
        <f>-E234+IF(A233=INPUT!$C$11*12,V234,0)</f>
        <v>0</v>
      </c>
      <c r="X234" s="179">
        <f t="array" ref="X234">NPV('Pre-Calculation'!$E$20,$E235:E$246)</f>
        <v>0</v>
      </c>
      <c r="Y234" s="171">
        <f>10%*SA</f>
        <v>100000</v>
      </c>
      <c r="Z234" s="179">
        <f t="array" ref="Z234">NPV('Pre-Calculation'!$E$20,Y235:Y244)</f>
        <v>969592.8037</v>
      </c>
    </row>
    <row r="235" ht="15.75" customHeight="1">
      <c r="A235" s="171">
        <f t="shared" si="1"/>
        <v>289</v>
      </c>
      <c r="B235" s="171">
        <f t="shared" si="2"/>
        <v>25</v>
      </c>
      <c r="C235" s="176">
        <f>EDATE(RCD,A234)</f>
        <v>51317</v>
      </c>
      <c r="D235" s="171">
        <f>Age_At_Entry+'Cashflows_4%'!B235-1</f>
        <v>59</v>
      </c>
      <c r="E235" s="175">
        <f>IF(AND(C235&lt;=Last_Prem,MOD(A234,Mode)=0,C235&gt;INPUT!$C$13,A235&lt;=Revival!$C$11),Mod_Prem,0)</f>
        <v>0</v>
      </c>
      <c r="F235" s="177">
        <f>IF(B235&lt;PT+1,E235*VLOOKUP(B235,'Pre-Calculation'!$H$1:$I$31,2,FALSE),0)</f>
        <v>0</v>
      </c>
      <c r="G235" s="177">
        <f>IF(B235&lt;PT+1,VLOOKUP(B235,'Pre-Calculation'!$H$1:$L$32,3,FALSE)+VLOOKUP(B235,'Pre-Calculation'!$H$1:$L$32,4,FALSE)*'Pre-Calculation'!$D$7,0)</f>
        <v>0</v>
      </c>
      <c r="H235" s="175">
        <f>(E235-(F235+G235)*(1+Tax)+N234)</f>
        <v>1667182.981</v>
      </c>
      <c r="I235" s="175">
        <f>IF(B235&lt;PT+1,VLOOKUP(D235,'Pre-Calculation'!$N$3:$P$79,IF(INPUT!$C$4="M",2,3),FALSE)*(J235/1000)*(1/12),0)</f>
        <v>0</v>
      </c>
      <c r="J235" s="175">
        <f t="shared" si="3"/>
        <v>0</v>
      </c>
      <c r="K235" s="175">
        <f>(IF('Pre-Calculation'!$D$17="Type 4 a",MAX(SA,H235,1.05*Q235),IF('Pre-Calculation'!$D$17="Type 4 c",H235,IF('Pre-Calculation'!$D$17="Type 4 d",SA+H235,IF('Pre-Calculation'!$D$17="Type 4 e",MAX(SA,H235),IF('Pre-Calculation'!$D$17="Type 4 f",SA,IF('Pre-Calculation'!$D$17="Type 4 g",1000+H235,IF('Pre-Calculation'!$D$17="Type 4 h",SA+X235,IF('Pre-Calculation'!$D$17="Type 4 i",MAX(H235,Q235),IF('Pre-Calculation'!$D$17="Type 4 k",MAX(H235,1.01*Q235),IF('Pre-Calculation'!$D$17="Type 4 m",MAX(105%*Q235,SA+H235),IF('Pre-Calculation'!$D$17="Type 4 o",MAX(SA,105%*Q235)+X235+Z235,IF('Pre-Calculation'!$D$17="Type 5",0)))))))))))))*IF(AND(A235&lt;Revival!$C$4,C235&gt;=Revival!$D$12),PUP,1)</f>
        <v>1667182.981</v>
      </c>
      <c r="L235" s="175">
        <f>H235-I235*(1+Tax)</f>
        <v>1667182.981</v>
      </c>
      <c r="M235" s="175">
        <f>L235*(1+GROWTH_RATE_L)*(1-FMC*(1+Tax))</f>
        <v>1670421.681</v>
      </c>
      <c r="N235" s="175">
        <f>M235+IF(MOD(A235,B235)=0,VLOOKUP(B235,'Pre-Calculation'!$H$1:$L$31,5,FALSE),0)*IF('Pre-Calculation'!$D$16="% OF FV",M235,IF(OR('Pre-Calculation'!$D$16="% OF AFV(24M)",'Pre-Calculation'!$D$16="% OF AFV(8Q)"),AVERAGE( $M212:$M235),IF('Pre-Calculation'!$D$16="% OF AFV(12M)",AVERAGE($M224:M235),IF('Pre-Calculation'!$D$16="% OF AFV(36M)",AVERAGE($M200:M235)))))</f>
        <v>1670421.681</v>
      </c>
      <c r="O235" s="175">
        <f t="shared" si="4"/>
        <v>1670421.681</v>
      </c>
      <c r="P235" s="175">
        <f>IF('Pre-Calculation'!$D$17="Type 4 a",MAX(SA,N235,1.05*Q235),IF('Pre-Calculation'!$D$17="Type 4 c",N235,IF('Pre-Calculation'!$D$17="Type 4 d",SA+N235,IF('Pre-Calculation'!$D$17="Type 4 e",MAX(SA,N235),IF('Pre-Calculation'!$D$17="Type 4 f",SA,IF('Pre-Calculation'!$D$17="Type 4 g",1000+N235,IF('Pre-Calculation'!$D$17="Type 4 h",SA+X235,IF('Pre-Calculation'!$D$17="Type 4 i",MAX(N235,Q235),IF('Pre-Calculation'!$D$17="Type 4 k",MAX(N235,1.01*Q235),IF('Pre-Calculation'!$D$17="Type 4 m",MAX(105%*Q235,SA+N235),IF('Pre-Calculation'!$D$17="Type 4 o",MAX(SA,105%*Q235)+X235+Z235,IF('Pre-Calculation'!$D$17="Type 5",0))))))))))))</f>
        <v>1670421.681</v>
      </c>
      <c r="Q235" s="175">
        <f t="shared" si="5"/>
        <v>1000000</v>
      </c>
      <c r="R235" s="119">
        <f>L235*(1+GROWTH_RATE)*FMC</f>
        <v>1886.621863</v>
      </c>
      <c r="S235" s="178">
        <f>S234*(1+'Pre-Calculation'!$E$27)</f>
        <v>1253213.406</v>
      </c>
      <c r="T235" s="175">
        <f>-E235+IF(A234=INPUT!$C$11*12,N235,0)</f>
        <v>0</v>
      </c>
      <c r="U235" s="175">
        <f t="shared" si="6"/>
        <v>1629984.138</v>
      </c>
      <c r="V235" s="175">
        <f>U235*(1+GROWTH_RATE_L)*(1-'Pre-Calculation'!$E$31)</f>
        <v>1632596.943</v>
      </c>
      <c r="W235" s="175">
        <f>-E235+IF(A234=INPUT!$C$11*12,V235,0)</f>
        <v>0</v>
      </c>
      <c r="X235" s="179">
        <f t="array" ref="X235">NPV('Pre-Calculation'!$E$20,$E236:E$246)</f>
        <v>0</v>
      </c>
      <c r="Y235" s="171">
        <f>10%*SA</f>
        <v>100000</v>
      </c>
      <c r="Z235" s="179">
        <f t="array" ref="Z235">NPV('Pre-Calculation'!$E$20,Y236:Y245)</f>
        <v>969592.8037</v>
      </c>
    </row>
    <row r="236" ht="15.75" customHeight="1">
      <c r="A236" s="171">
        <f t="shared" si="1"/>
        <v>290</v>
      </c>
      <c r="B236" s="171">
        <f t="shared" si="2"/>
        <v>25</v>
      </c>
      <c r="C236" s="176">
        <f>EDATE(RCD,A235)</f>
        <v>51347</v>
      </c>
      <c r="D236" s="171">
        <f>Age_At_Entry+'Cashflows_4%'!B236-1</f>
        <v>59</v>
      </c>
      <c r="E236" s="175">
        <f>IF(AND(C236&lt;=Last_Prem,MOD(A235,Mode)=0,C236&gt;INPUT!$C$13,A236&lt;=Revival!$C$11),Mod_Prem,0)</f>
        <v>0</v>
      </c>
      <c r="F236" s="177">
        <f>IF(B236&lt;PT+1,E236*VLOOKUP(B236,'Pre-Calculation'!$H$1:$I$31,2,FALSE),0)</f>
        <v>0</v>
      </c>
      <c r="G236" s="177">
        <f>IF(B236&lt;PT+1,VLOOKUP(B236,'Pre-Calculation'!$H$1:$L$32,3,FALSE)+VLOOKUP(B236,'Pre-Calculation'!$H$1:$L$32,4,FALSE)*'Pre-Calculation'!$D$7,0)</f>
        <v>0</v>
      </c>
      <c r="H236" s="175">
        <f>(E236-(F236+G236)*(1+Tax)+N235)</f>
        <v>1670421.681</v>
      </c>
      <c r="I236" s="175">
        <f>IF(B236&lt;PT+1,VLOOKUP(D236,'Pre-Calculation'!$N$3:$P$79,IF(INPUT!$C$4="M",2,3),FALSE)*(J236/1000)*(1/12),0)</f>
        <v>0</v>
      </c>
      <c r="J236" s="175">
        <f t="shared" si="3"/>
        <v>0</v>
      </c>
      <c r="K236" s="175">
        <f>(IF('Pre-Calculation'!$D$17="Type 4 a",MAX(SA,H236,1.05*Q236),IF('Pre-Calculation'!$D$17="Type 4 c",H236,IF('Pre-Calculation'!$D$17="Type 4 d",SA+H236,IF('Pre-Calculation'!$D$17="Type 4 e",MAX(SA,H236),IF('Pre-Calculation'!$D$17="Type 4 f",SA,IF('Pre-Calculation'!$D$17="Type 4 g",1000+H236,IF('Pre-Calculation'!$D$17="Type 4 h",SA+X236,IF('Pre-Calculation'!$D$17="Type 4 i",MAX(H236,Q236),IF('Pre-Calculation'!$D$17="Type 4 k",MAX(H236,1.01*Q236),IF('Pre-Calculation'!$D$17="Type 4 m",MAX(105%*Q236,SA+H236),IF('Pre-Calculation'!$D$17="Type 4 o",MAX(SA,105%*Q236)+X236+Z236,IF('Pre-Calculation'!$D$17="Type 5",0)))))))))))))*IF(AND(A236&lt;Revival!$C$4,C236&gt;=Revival!$D$12),PUP,1)</f>
        <v>1670421.681</v>
      </c>
      <c r="L236" s="175">
        <f>H236-I236*(1+Tax)</f>
        <v>1670421.681</v>
      </c>
      <c r="M236" s="175">
        <f>L236*(1+GROWTH_RATE_L)*(1-FMC*(1+Tax))</f>
        <v>1673666.673</v>
      </c>
      <c r="N236" s="175">
        <f>M236+IF(MOD(A236,B236)=0,VLOOKUP(B236,'Pre-Calculation'!$H$1:$L$31,5,FALSE),0)*IF('Pre-Calculation'!$D$16="% OF FV",M236,IF(OR('Pre-Calculation'!$D$16="% OF AFV(24M)",'Pre-Calculation'!$D$16="% OF AFV(8Q)"),AVERAGE( $M213:$M236),IF('Pre-Calculation'!$D$16="% OF AFV(12M)",AVERAGE($M225:M236),IF('Pre-Calculation'!$D$16="% OF AFV(36M)",AVERAGE($M201:M236)))))</f>
        <v>1673666.673</v>
      </c>
      <c r="O236" s="175">
        <f t="shared" si="4"/>
        <v>1673666.673</v>
      </c>
      <c r="P236" s="175">
        <f>IF('Pre-Calculation'!$D$17="Type 4 a",MAX(SA,N236,1.05*Q236),IF('Pre-Calculation'!$D$17="Type 4 c",N236,IF('Pre-Calculation'!$D$17="Type 4 d",SA+N236,IF('Pre-Calculation'!$D$17="Type 4 e",MAX(SA,N236),IF('Pre-Calculation'!$D$17="Type 4 f",SA,IF('Pre-Calculation'!$D$17="Type 4 g",1000+N236,IF('Pre-Calculation'!$D$17="Type 4 h",SA+X236,IF('Pre-Calculation'!$D$17="Type 4 i",MAX(N236,Q236),IF('Pre-Calculation'!$D$17="Type 4 k",MAX(N236,1.01*Q236),IF('Pre-Calculation'!$D$17="Type 4 m",MAX(105%*Q236,SA+N236),IF('Pre-Calculation'!$D$17="Type 4 o",MAX(SA,105%*Q236)+X236+Z236,IF('Pre-Calculation'!$D$17="Type 5",0))))))))))))</f>
        <v>1673666.673</v>
      </c>
      <c r="Q236" s="175">
        <f t="shared" si="5"/>
        <v>1000000</v>
      </c>
      <c r="R236" s="119">
        <f>L236*(1+GROWTH_RATE)*FMC</f>
        <v>1890.286849</v>
      </c>
      <c r="S236" s="178">
        <f>S235*(1+'Pre-Calculation'!$E$27)</f>
        <v>1256811.254</v>
      </c>
      <c r="T236" s="175">
        <f>-E236+IF(A235=INPUT!$C$11*12,N236,0)</f>
        <v>0</v>
      </c>
      <c r="U236" s="175">
        <f t="shared" si="6"/>
        <v>1632596.943</v>
      </c>
      <c r="V236" s="175">
        <f>U236*(1+GROWTH_RATE_L)*(1-'Pre-Calculation'!$E$31)</f>
        <v>1635213.937</v>
      </c>
      <c r="W236" s="175">
        <f>-E236+IF(A235=INPUT!$C$11*12,V236,0)</f>
        <v>0</v>
      </c>
      <c r="X236" s="179">
        <f t="array" ref="X236">NPV('Pre-Calculation'!$E$20,$E237:E$246)</f>
        <v>0</v>
      </c>
      <c r="Y236" s="171">
        <f>10%*SA</f>
        <v>100000</v>
      </c>
      <c r="Z236" s="179">
        <f t="array" ref="Z236">NPV('Pre-Calculation'!$E$20,Y237:Y246)</f>
        <v>969592.8037</v>
      </c>
    </row>
    <row r="237" ht="15.75" customHeight="1">
      <c r="A237" s="171">
        <f t="shared" si="1"/>
        <v>291</v>
      </c>
      <c r="B237" s="171">
        <f t="shared" si="2"/>
        <v>25</v>
      </c>
      <c r="C237" s="176">
        <f>EDATE(RCD,A236)</f>
        <v>51378</v>
      </c>
      <c r="D237" s="171">
        <f>Age_At_Entry+'Cashflows_4%'!B237-1</f>
        <v>59</v>
      </c>
      <c r="E237" s="175">
        <f>IF(AND(C237&lt;=Last_Prem,MOD(A236,Mode)=0,C237&gt;INPUT!$C$13,A237&lt;=Revival!$C$11),Mod_Prem,0)</f>
        <v>0</v>
      </c>
      <c r="F237" s="177">
        <f>IF(B237&lt;PT+1,E237*VLOOKUP(B237,'Pre-Calculation'!$H$1:$I$31,2,FALSE),0)</f>
        <v>0</v>
      </c>
      <c r="G237" s="177">
        <f>IF(B237&lt;PT+1,VLOOKUP(B237,'Pre-Calculation'!$H$1:$L$32,3,FALSE)+VLOOKUP(B237,'Pre-Calculation'!$H$1:$L$32,4,FALSE)*'Pre-Calculation'!$D$7,0)</f>
        <v>0</v>
      </c>
      <c r="H237" s="175">
        <f>(E237-(F237+G237)*(1+Tax)+N236)</f>
        <v>1673666.673</v>
      </c>
      <c r="I237" s="175">
        <f>IF(B237&lt;PT+1,VLOOKUP(D237,'Pre-Calculation'!$N$3:$P$79,IF(INPUT!$C$4="M",2,3),FALSE)*(J237/1000)*(1/12),0)</f>
        <v>0</v>
      </c>
      <c r="J237" s="175">
        <f t="shared" si="3"/>
        <v>0</v>
      </c>
      <c r="K237" s="175">
        <f>(IF('Pre-Calculation'!$D$17="Type 4 a",MAX(SA,H237,1.05*Q237),IF('Pre-Calculation'!$D$17="Type 4 c",H237,IF('Pre-Calculation'!$D$17="Type 4 d",SA+H237,IF('Pre-Calculation'!$D$17="Type 4 e",MAX(SA,H237),IF('Pre-Calculation'!$D$17="Type 4 f",SA,IF('Pre-Calculation'!$D$17="Type 4 g",1000+H237,IF('Pre-Calculation'!$D$17="Type 4 h",SA+X237,IF('Pre-Calculation'!$D$17="Type 4 i",MAX(H237,Q237),IF('Pre-Calculation'!$D$17="Type 4 k",MAX(H237,1.01*Q237),IF('Pre-Calculation'!$D$17="Type 4 m",MAX(105%*Q237,SA+H237),IF('Pre-Calculation'!$D$17="Type 4 o",MAX(SA,105%*Q237)+X237+Z237,IF('Pre-Calculation'!$D$17="Type 5",0)))))))))))))*IF(AND(A237&lt;Revival!$C$4,C237&gt;=Revival!$D$12),PUP,1)</f>
        <v>1673666.673</v>
      </c>
      <c r="L237" s="175">
        <f>H237-I237*(1+Tax)</f>
        <v>1673666.673</v>
      </c>
      <c r="M237" s="175">
        <f>L237*(1+GROWTH_RATE_L)*(1-FMC*(1+Tax))</f>
        <v>1676917.968</v>
      </c>
      <c r="N237" s="175">
        <f>M237+IF(MOD(A237,B237)=0,VLOOKUP(B237,'Pre-Calculation'!$H$1:$L$31,5,FALSE),0)*IF('Pre-Calculation'!$D$16="% OF FV",M237,IF(OR('Pre-Calculation'!$D$16="% OF AFV(24M)",'Pre-Calculation'!$D$16="% OF AFV(8Q)"),AVERAGE( $M214:$M237),IF('Pre-Calculation'!$D$16="% OF AFV(12M)",AVERAGE($M226:M237),IF('Pre-Calculation'!$D$16="% OF AFV(36M)",AVERAGE($M202:M237)))))</f>
        <v>1676917.968</v>
      </c>
      <c r="O237" s="175">
        <f t="shared" si="4"/>
        <v>1676917.968</v>
      </c>
      <c r="P237" s="175">
        <f>IF('Pre-Calculation'!$D$17="Type 4 a",MAX(SA,N237,1.05*Q237),IF('Pre-Calculation'!$D$17="Type 4 c",N237,IF('Pre-Calculation'!$D$17="Type 4 d",SA+N237,IF('Pre-Calculation'!$D$17="Type 4 e",MAX(SA,N237),IF('Pre-Calculation'!$D$17="Type 4 f",SA,IF('Pre-Calculation'!$D$17="Type 4 g",1000+N237,IF('Pre-Calculation'!$D$17="Type 4 h",SA+X237,IF('Pre-Calculation'!$D$17="Type 4 i",MAX(N237,Q237),IF('Pre-Calculation'!$D$17="Type 4 k",MAX(N237,1.01*Q237),IF('Pre-Calculation'!$D$17="Type 4 m",MAX(105%*Q237,SA+N237),IF('Pre-Calculation'!$D$17="Type 4 o",MAX(SA,105%*Q237)+X237+Z237,IF('Pre-Calculation'!$D$17="Type 5",0))))))))))))</f>
        <v>1676917.968</v>
      </c>
      <c r="Q237" s="175">
        <f t="shared" si="5"/>
        <v>1000000</v>
      </c>
      <c r="R237" s="119">
        <f>L237*(1+GROWTH_RATE)*FMC</f>
        <v>1893.958955</v>
      </c>
      <c r="S237" s="178">
        <f>S236*(1+'Pre-Calculation'!$E$27)</f>
        <v>1260419.432</v>
      </c>
      <c r="T237" s="175">
        <f>-E237+IF(A236=INPUT!$C$11*12,N237,0)</f>
        <v>0</v>
      </c>
      <c r="U237" s="175">
        <f t="shared" si="6"/>
        <v>1635213.937</v>
      </c>
      <c r="V237" s="175">
        <f>U237*(1+GROWTH_RATE_L)*(1-'Pre-Calculation'!$E$31)</f>
        <v>1637835.126</v>
      </c>
      <c r="W237" s="175">
        <f>-E237+IF(A236=INPUT!$C$11*12,V237,0)</f>
        <v>0</v>
      </c>
      <c r="X237" s="179">
        <f t="array" ref="X237">NPV('Pre-Calculation'!$E$20,$E238:E$246)</f>
        <v>0</v>
      </c>
      <c r="Y237" s="171">
        <f>10%*SA</f>
        <v>100000</v>
      </c>
      <c r="Z237" s="179">
        <f t="array" ref="Z237">NPV('Pre-Calculation'!$E$20,Y238:Y247)</f>
        <v>969592.8037</v>
      </c>
    </row>
    <row r="238" ht="15.75" customHeight="1">
      <c r="A238" s="171">
        <f t="shared" si="1"/>
        <v>292</v>
      </c>
      <c r="B238" s="171">
        <f t="shared" si="2"/>
        <v>25</v>
      </c>
      <c r="C238" s="176">
        <f>EDATE(RCD,A237)</f>
        <v>51409</v>
      </c>
      <c r="D238" s="171">
        <f>Age_At_Entry+'Cashflows_4%'!B238-1</f>
        <v>59</v>
      </c>
      <c r="E238" s="175">
        <f>IF(AND(C238&lt;=Last_Prem,MOD(A237,Mode)=0,C238&gt;INPUT!$C$13,A238&lt;=Revival!$C$11),Mod_Prem,0)</f>
        <v>0</v>
      </c>
      <c r="F238" s="177">
        <f>IF(B238&lt;PT+1,E238*VLOOKUP(B238,'Pre-Calculation'!$H$1:$I$31,2,FALSE),0)</f>
        <v>0</v>
      </c>
      <c r="G238" s="177">
        <f>IF(B238&lt;PT+1,VLOOKUP(B238,'Pre-Calculation'!$H$1:$L$32,3,FALSE)+VLOOKUP(B238,'Pre-Calculation'!$H$1:$L$32,4,FALSE)*'Pre-Calculation'!$D$7,0)</f>
        <v>0</v>
      </c>
      <c r="H238" s="175">
        <f>(E238-(F238+G238)*(1+Tax)+N237)</f>
        <v>1676917.968</v>
      </c>
      <c r="I238" s="175">
        <f>IF(B238&lt;PT+1,VLOOKUP(D238,'Pre-Calculation'!$N$3:$P$79,IF(INPUT!$C$4="M",2,3),FALSE)*(J238/1000)*(1/12),0)</f>
        <v>0</v>
      </c>
      <c r="J238" s="175">
        <f t="shared" si="3"/>
        <v>0</v>
      </c>
      <c r="K238" s="175">
        <f>(IF('Pre-Calculation'!$D$17="Type 4 a",MAX(SA,H238,1.05*Q238),IF('Pre-Calculation'!$D$17="Type 4 c",H238,IF('Pre-Calculation'!$D$17="Type 4 d",SA+H238,IF('Pre-Calculation'!$D$17="Type 4 e",MAX(SA,H238),IF('Pre-Calculation'!$D$17="Type 4 f",SA,IF('Pre-Calculation'!$D$17="Type 4 g",1000+H238,IF('Pre-Calculation'!$D$17="Type 4 h",SA+X238,IF('Pre-Calculation'!$D$17="Type 4 i",MAX(H238,Q238),IF('Pre-Calculation'!$D$17="Type 4 k",MAX(H238,1.01*Q238),IF('Pre-Calculation'!$D$17="Type 4 m",MAX(105%*Q238,SA+H238),IF('Pre-Calculation'!$D$17="Type 4 o",MAX(SA,105%*Q238)+X238+Z238,IF('Pre-Calculation'!$D$17="Type 5",0)))))))))))))*IF(AND(A238&lt;Revival!$C$4,C238&gt;=Revival!$D$12),PUP,1)</f>
        <v>1676917.968</v>
      </c>
      <c r="L238" s="175">
        <f>H238-I238*(1+Tax)</f>
        <v>1676917.968</v>
      </c>
      <c r="M238" s="175">
        <f>L238*(1+GROWTH_RATE_L)*(1-FMC*(1+Tax))</f>
        <v>1680175.579</v>
      </c>
      <c r="N238" s="175">
        <f>M238+IF(MOD(A238,B238)=0,VLOOKUP(B238,'Pre-Calculation'!$H$1:$L$31,5,FALSE),0)*IF('Pre-Calculation'!$D$16="% OF FV",M238,IF(OR('Pre-Calculation'!$D$16="% OF AFV(24M)",'Pre-Calculation'!$D$16="% OF AFV(8Q)"),AVERAGE( $M215:$M238),IF('Pre-Calculation'!$D$16="% OF AFV(12M)",AVERAGE($M227:M238),IF('Pre-Calculation'!$D$16="% OF AFV(36M)",AVERAGE($M203:M238)))))</f>
        <v>1680175.579</v>
      </c>
      <c r="O238" s="175">
        <f t="shared" si="4"/>
        <v>1680175.579</v>
      </c>
      <c r="P238" s="175">
        <f>IF('Pre-Calculation'!$D$17="Type 4 a",MAX(SA,N238,1.05*Q238),IF('Pre-Calculation'!$D$17="Type 4 c",N238,IF('Pre-Calculation'!$D$17="Type 4 d",SA+N238,IF('Pre-Calculation'!$D$17="Type 4 e",MAX(SA,N238),IF('Pre-Calculation'!$D$17="Type 4 f",SA,IF('Pre-Calculation'!$D$17="Type 4 g",1000+N238,IF('Pre-Calculation'!$D$17="Type 4 h",SA+X238,IF('Pre-Calculation'!$D$17="Type 4 i",MAX(N238,Q238),IF('Pre-Calculation'!$D$17="Type 4 k",MAX(N238,1.01*Q238),IF('Pre-Calculation'!$D$17="Type 4 m",MAX(105%*Q238,SA+N238),IF('Pre-Calculation'!$D$17="Type 4 o",MAX(SA,105%*Q238)+X238+Z238,IF('Pre-Calculation'!$D$17="Type 5",0))))))))))))</f>
        <v>1680175.579</v>
      </c>
      <c r="Q238" s="175">
        <f t="shared" si="5"/>
        <v>1000000</v>
      </c>
      <c r="R238" s="119">
        <f>L238*(1+GROWTH_RATE)*FMC</f>
        <v>1897.638194</v>
      </c>
      <c r="S238" s="178">
        <f>S237*(1+'Pre-Calculation'!$E$27)</f>
        <v>1264037.969</v>
      </c>
      <c r="T238" s="175">
        <f>-E238+IF(A237=INPUT!$C$11*12,N238,0)</f>
        <v>0</v>
      </c>
      <c r="U238" s="175">
        <f t="shared" si="6"/>
        <v>1637835.126</v>
      </c>
      <c r="V238" s="175">
        <f>U238*(1+GROWTH_RATE_L)*(1-'Pre-Calculation'!$E$31)</f>
        <v>1640460.516</v>
      </c>
      <c r="W238" s="175">
        <f>-E238+IF(A237=INPUT!$C$11*12,V238,0)</f>
        <v>0</v>
      </c>
      <c r="X238" s="179">
        <f t="array" ref="X238">NPV('Pre-Calculation'!$E$20,$E239:E$246)</f>
        <v>0</v>
      </c>
      <c r="Y238" s="171">
        <f>10%*SA</f>
        <v>100000</v>
      </c>
      <c r="Z238" s="179">
        <f t="array" ref="Z238">NPV('Pre-Calculation'!$E$20,Y239:Y248)</f>
        <v>969592.8037</v>
      </c>
    </row>
    <row r="239" ht="15.75" customHeight="1">
      <c r="A239" s="171">
        <f t="shared" si="1"/>
        <v>293</v>
      </c>
      <c r="B239" s="171">
        <f t="shared" si="2"/>
        <v>25</v>
      </c>
      <c r="C239" s="176">
        <f>EDATE(RCD,A238)</f>
        <v>51439</v>
      </c>
      <c r="D239" s="171">
        <f>Age_At_Entry+'Cashflows_4%'!B239-1</f>
        <v>59</v>
      </c>
      <c r="E239" s="175">
        <f>IF(AND(C239&lt;=Last_Prem,MOD(A238,Mode)=0,C239&gt;INPUT!$C$13,A239&lt;=Revival!$C$11),Mod_Prem,0)</f>
        <v>0</v>
      </c>
      <c r="F239" s="177">
        <f>IF(B239&lt;PT+1,E239*VLOOKUP(B239,'Pre-Calculation'!$H$1:$I$31,2,FALSE),0)</f>
        <v>0</v>
      </c>
      <c r="G239" s="177">
        <f>IF(B239&lt;PT+1,VLOOKUP(B239,'Pre-Calculation'!$H$1:$L$32,3,FALSE)+VLOOKUP(B239,'Pre-Calculation'!$H$1:$L$32,4,FALSE)*'Pre-Calculation'!$D$7,0)</f>
        <v>0</v>
      </c>
      <c r="H239" s="175">
        <f>(E239-(F239+G239)*(1+Tax)+N238)</f>
        <v>1680175.579</v>
      </c>
      <c r="I239" s="175">
        <f>IF(B239&lt;PT+1,VLOOKUP(D239,'Pre-Calculation'!$N$3:$P$79,IF(INPUT!$C$4="M",2,3),FALSE)*(J239/1000)*(1/12),0)</f>
        <v>0</v>
      </c>
      <c r="J239" s="175">
        <f t="shared" si="3"/>
        <v>0</v>
      </c>
      <c r="K239" s="175">
        <f>(IF('Pre-Calculation'!$D$17="Type 4 a",MAX(SA,H239,1.05*Q239),IF('Pre-Calculation'!$D$17="Type 4 c",H239,IF('Pre-Calculation'!$D$17="Type 4 d",SA+H239,IF('Pre-Calculation'!$D$17="Type 4 e",MAX(SA,H239),IF('Pre-Calculation'!$D$17="Type 4 f",SA,IF('Pre-Calculation'!$D$17="Type 4 g",1000+H239,IF('Pre-Calculation'!$D$17="Type 4 h",SA+X239,IF('Pre-Calculation'!$D$17="Type 4 i",MAX(H239,Q239),IF('Pre-Calculation'!$D$17="Type 4 k",MAX(H239,1.01*Q239),IF('Pre-Calculation'!$D$17="Type 4 m",MAX(105%*Q239,SA+H239),IF('Pre-Calculation'!$D$17="Type 4 o",MAX(SA,105%*Q239)+X239+Z239,IF('Pre-Calculation'!$D$17="Type 5",0)))))))))))))*IF(AND(A239&lt;Revival!$C$4,C239&gt;=Revival!$D$12),PUP,1)</f>
        <v>1680175.579</v>
      </c>
      <c r="L239" s="175">
        <f>H239-I239*(1+Tax)</f>
        <v>1680175.579</v>
      </c>
      <c r="M239" s="175">
        <f>L239*(1+GROWTH_RATE_L)*(1-FMC*(1+Tax))</f>
        <v>1683439.519</v>
      </c>
      <c r="N239" s="175">
        <f>M239+IF(MOD(A239,B239)=0,VLOOKUP(B239,'Pre-Calculation'!$H$1:$L$31,5,FALSE),0)*IF('Pre-Calculation'!$D$16="% OF FV",M239,IF(OR('Pre-Calculation'!$D$16="% OF AFV(24M)",'Pre-Calculation'!$D$16="% OF AFV(8Q)"),AVERAGE( $M216:$M239),IF('Pre-Calculation'!$D$16="% OF AFV(12M)",AVERAGE($M228:M239),IF('Pre-Calculation'!$D$16="% OF AFV(36M)",AVERAGE($M204:M239)))))</f>
        <v>1683439.519</v>
      </c>
      <c r="O239" s="175">
        <f t="shared" si="4"/>
        <v>1683439.519</v>
      </c>
      <c r="P239" s="175">
        <f>IF('Pre-Calculation'!$D$17="Type 4 a",MAX(SA,N239,1.05*Q239),IF('Pre-Calculation'!$D$17="Type 4 c",N239,IF('Pre-Calculation'!$D$17="Type 4 d",SA+N239,IF('Pre-Calculation'!$D$17="Type 4 e",MAX(SA,N239),IF('Pre-Calculation'!$D$17="Type 4 f",SA,IF('Pre-Calculation'!$D$17="Type 4 g",1000+N239,IF('Pre-Calculation'!$D$17="Type 4 h",SA+X239,IF('Pre-Calculation'!$D$17="Type 4 i",MAX(N239,Q239),IF('Pre-Calculation'!$D$17="Type 4 k",MAX(N239,1.01*Q239),IF('Pre-Calculation'!$D$17="Type 4 m",MAX(105%*Q239,SA+N239),IF('Pre-Calculation'!$D$17="Type 4 o",MAX(SA,105%*Q239)+X239+Z239,IF('Pre-Calculation'!$D$17="Type 5",0))))))))))))</f>
        <v>1683439.519</v>
      </c>
      <c r="Q239" s="175">
        <f t="shared" si="5"/>
        <v>1000000</v>
      </c>
      <c r="R239" s="119">
        <f>L239*(1+GROWTH_RATE)*FMC</f>
        <v>1901.32458</v>
      </c>
      <c r="S239" s="178">
        <f>S238*(1+'Pre-Calculation'!$E$27)</f>
        <v>1267666.894</v>
      </c>
      <c r="T239" s="175">
        <f>-E239+IF(A238=INPUT!$C$11*12,N239,0)</f>
        <v>0</v>
      </c>
      <c r="U239" s="175">
        <f t="shared" si="6"/>
        <v>1640460.516</v>
      </c>
      <c r="V239" s="175">
        <f>U239*(1+GROWTH_RATE_L)*(1-'Pre-Calculation'!$E$31)</f>
        <v>1643090.115</v>
      </c>
      <c r="W239" s="175">
        <f>-E239+IF(A238=INPUT!$C$11*12,V239,0)</f>
        <v>0</v>
      </c>
      <c r="X239" s="179">
        <f t="array" ref="X239">NPV('Pre-Calculation'!$E$20,$E240:E$246)</f>
        <v>0</v>
      </c>
      <c r="Y239" s="171">
        <f>10%*SA</f>
        <v>100000</v>
      </c>
      <c r="Z239" s="179">
        <f t="array" ref="Z239">NPV('Pre-Calculation'!$E$20,Y240:Y249)</f>
        <v>969592.8037</v>
      </c>
    </row>
    <row r="240" ht="15.75" customHeight="1">
      <c r="A240" s="171">
        <f t="shared" si="1"/>
        <v>294</v>
      </c>
      <c r="B240" s="171">
        <f t="shared" si="2"/>
        <v>25</v>
      </c>
      <c r="C240" s="176">
        <f>EDATE(RCD,A239)</f>
        <v>51470</v>
      </c>
      <c r="D240" s="171">
        <f>Age_At_Entry+'Cashflows_4%'!B240-1</f>
        <v>59</v>
      </c>
      <c r="E240" s="175">
        <f>IF(AND(C240&lt;=Last_Prem,MOD(A239,Mode)=0,C240&gt;INPUT!$C$13,A240&lt;=Revival!$C$11),Mod_Prem,0)</f>
        <v>0</v>
      </c>
      <c r="F240" s="177">
        <f>IF(B240&lt;PT+1,E240*VLOOKUP(B240,'Pre-Calculation'!$H$1:$I$31,2,FALSE),0)</f>
        <v>0</v>
      </c>
      <c r="G240" s="177">
        <f>IF(B240&lt;PT+1,VLOOKUP(B240,'Pre-Calculation'!$H$1:$L$32,3,FALSE)+VLOOKUP(B240,'Pre-Calculation'!$H$1:$L$32,4,FALSE)*'Pre-Calculation'!$D$7,0)</f>
        <v>0</v>
      </c>
      <c r="H240" s="175">
        <f>(E240-(F240+G240)*(1+Tax)+N239)</f>
        <v>1683439.519</v>
      </c>
      <c r="I240" s="175">
        <f>IF(B240&lt;PT+1,VLOOKUP(D240,'Pre-Calculation'!$N$3:$P$79,IF(INPUT!$C$4="M",2,3),FALSE)*(J240/1000)*(1/12),0)</f>
        <v>0</v>
      </c>
      <c r="J240" s="175">
        <f t="shared" si="3"/>
        <v>0</v>
      </c>
      <c r="K240" s="175">
        <f>(IF('Pre-Calculation'!$D$17="Type 4 a",MAX(SA,H240,1.05*Q240),IF('Pre-Calculation'!$D$17="Type 4 c",H240,IF('Pre-Calculation'!$D$17="Type 4 d",SA+H240,IF('Pre-Calculation'!$D$17="Type 4 e",MAX(SA,H240),IF('Pre-Calculation'!$D$17="Type 4 f",SA,IF('Pre-Calculation'!$D$17="Type 4 g",1000+H240,IF('Pre-Calculation'!$D$17="Type 4 h",SA+X240,IF('Pre-Calculation'!$D$17="Type 4 i",MAX(H240,Q240),IF('Pre-Calculation'!$D$17="Type 4 k",MAX(H240,1.01*Q240),IF('Pre-Calculation'!$D$17="Type 4 m",MAX(105%*Q240,SA+H240),IF('Pre-Calculation'!$D$17="Type 4 o",MAX(SA,105%*Q240)+X240+Z240,IF('Pre-Calculation'!$D$17="Type 5",0)))))))))))))*IF(AND(A240&lt;Revival!$C$4,C240&gt;=Revival!$D$12),PUP,1)</f>
        <v>1683439.519</v>
      </c>
      <c r="L240" s="175">
        <f>H240-I240*(1+Tax)</f>
        <v>1683439.519</v>
      </c>
      <c r="M240" s="175">
        <f>L240*(1+GROWTH_RATE_L)*(1-FMC*(1+Tax))</f>
        <v>1686709.799</v>
      </c>
      <c r="N240" s="175">
        <f>M240+IF(MOD(A240,B240)=0,VLOOKUP(B240,'Pre-Calculation'!$H$1:$L$31,5,FALSE),0)*IF('Pre-Calculation'!$D$16="% OF FV",M240,IF(OR('Pre-Calculation'!$D$16="% OF AFV(24M)",'Pre-Calculation'!$D$16="% OF AFV(8Q)"),AVERAGE( $M217:$M240),IF('Pre-Calculation'!$D$16="% OF AFV(12M)",AVERAGE($M229:M240),IF('Pre-Calculation'!$D$16="% OF AFV(36M)",AVERAGE($M205:M240)))))</f>
        <v>1686709.799</v>
      </c>
      <c r="O240" s="175">
        <f t="shared" si="4"/>
        <v>1686709.799</v>
      </c>
      <c r="P240" s="175">
        <f>IF('Pre-Calculation'!$D$17="Type 4 a",MAX(SA,N240,1.05*Q240),IF('Pre-Calculation'!$D$17="Type 4 c",N240,IF('Pre-Calculation'!$D$17="Type 4 d",SA+N240,IF('Pre-Calculation'!$D$17="Type 4 e",MAX(SA,N240),IF('Pre-Calculation'!$D$17="Type 4 f",SA,IF('Pre-Calculation'!$D$17="Type 4 g",1000+N240,IF('Pre-Calculation'!$D$17="Type 4 h",SA+X240,IF('Pre-Calculation'!$D$17="Type 4 i",MAX(N240,Q240),IF('Pre-Calculation'!$D$17="Type 4 k",MAX(N240,1.01*Q240),IF('Pre-Calculation'!$D$17="Type 4 m",MAX(105%*Q240,SA+N240),IF('Pre-Calculation'!$D$17="Type 4 o",MAX(SA,105%*Q240)+X240+Z240,IF('Pre-Calculation'!$D$17="Type 5",0))))))))))))</f>
        <v>1686709.799</v>
      </c>
      <c r="Q240" s="175">
        <f t="shared" si="5"/>
        <v>1000000</v>
      </c>
      <c r="R240" s="119">
        <f>L240*(1+GROWTH_RATE)*FMC</f>
        <v>1905.018128</v>
      </c>
      <c r="S240" s="178">
        <f>S239*(1+'Pre-Calculation'!$E$27)</f>
        <v>1271306.237</v>
      </c>
      <c r="T240" s="175">
        <f>-E240+IF(A239=INPUT!$C$11*12,N240,0)</f>
        <v>0</v>
      </c>
      <c r="U240" s="175">
        <f t="shared" si="6"/>
        <v>1643090.115</v>
      </c>
      <c r="V240" s="175">
        <f>U240*(1+GROWTH_RATE_L)*(1-'Pre-Calculation'!$E$31)</f>
        <v>1645723.929</v>
      </c>
      <c r="W240" s="175">
        <f>-E240+IF(A239=INPUT!$C$11*12,V240,0)</f>
        <v>0</v>
      </c>
      <c r="X240" s="179">
        <f t="array" ref="X240">NPV('Pre-Calculation'!$E$20,$E241:E$246)</f>
        <v>0</v>
      </c>
      <c r="Y240" s="171">
        <f>10%*SA</f>
        <v>100000</v>
      </c>
      <c r="Z240" s="179">
        <f t="array" ref="Z240">NPV('Pre-Calculation'!$E$20,Y241:Y250)</f>
        <v>969592.8037</v>
      </c>
    </row>
    <row r="241" ht="15.75" customHeight="1">
      <c r="A241" s="171">
        <f t="shared" si="1"/>
        <v>295</v>
      </c>
      <c r="B241" s="171">
        <f t="shared" si="2"/>
        <v>25</v>
      </c>
      <c r="C241" s="176">
        <f>EDATE(RCD,A240)</f>
        <v>51500</v>
      </c>
      <c r="D241" s="171">
        <f>Age_At_Entry+'Cashflows_4%'!B241-1</f>
        <v>59</v>
      </c>
      <c r="E241" s="175">
        <f>IF(AND(C241&lt;=Last_Prem,MOD(A240,Mode)=0,C241&gt;INPUT!$C$13,A241&lt;=Revival!$C$11),Mod_Prem,0)</f>
        <v>0</v>
      </c>
      <c r="F241" s="177">
        <f>IF(B241&lt;PT+1,E241*VLOOKUP(B241,'Pre-Calculation'!$H$1:$I$31,2,FALSE),0)</f>
        <v>0</v>
      </c>
      <c r="G241" s="177">
        <f>IF(B241&lt;PT+1,VLOOKUP(B241,'Pre-Calculation'!$H$1:$L$32,3,FALSE)+VLOOKUP(B241,'Pre-Calculation'!$H$1:$L$32,4,FALSE)*'Pre-Calculation'!$D$7,0)</f>
        <v>0</v>
      </c>
      <c r="H241" s="175">
        <f>(E241-(F241+G241)*(1+Tax)+N240)</f>
        <v>1686709.799</v>
      </c>
      <c r="I241" s="175">
        <f>IF(B241&lt;PT+1,VLOOKUP(D241,'Pre-Calculation'!$N$3:$P$79,IF(INPUT!$C$4="M",2,3),FALSE)*(J241/1000)*(1/12),0)</f>
        <v>0</v>
      </c>
      <c r="J241" s="175">
        <f t="shared" si="3"/>
        <v>0</v>
      </c>
      <c r="K241" s="175">
        <f>(IF('Pre-Calculation'!$D$17="Type 4 a",MAX(SA,H241,1.05*Q241),IF('Pre-Calculation'!$D$17="Type 4 c",H241,IF('Pre-Calculation'!$D$17="Type 4 d",SA+H241,IF('Pre-Calculation'!$D$17="Type 4 e",MAX(SA,H241),IF('Pre-Calculation'!$D$17="Type 4 f",SA,IF('Pre-Calculation'!$D$17="Type 4 g",1000+H241,IF('Pre-Calculation'!$D$17="Type 4 h",SA+X241,IF('Pre-Calculation'!$D$17="Type 4 i",MAX(H241,Q241),IF('Pre-Calculation'!$D$17="Type 4 k",MAX(H241,1.01*Q241),IF('Pre-Calculation'!$D$17="Type 4 m",MAX(105%*Q241,SA+H241),IF('Pre-Calculation'!$D$17="Type 4 o",MAX(SA,105%*Q241)+X241+Z241,IF('Pre-Calculation'!$D$17="Type 5",0)))))))))))))*IF(AND(A241&lt;Revival!$C$4,C241&gt;=Revival!$D$12),PUP,1)</f>
        <v>1686709.799</v>
      </c>
      <c r="L241" s="175">
        <f>H241-I241*(1+Tax)</f>
        <v>1686709.799</v>
      </c>
      <c r="M241" s="175">
        <f>L241*(1+GROWTH_RATE_L)*(1-FMC*(1+Tax))</f>
        <v>1689986.432</v>
      </c>
      <c r="N241" s="175">
        <f>M241+IF(MOD(A241,B241)=0,VLOOKUP(B241,'Pre-Calculation'!$H$1:$L$31,5,FALSE),0)*IF('Pre-Calculation'!$D$16="% OF FV",M241,IF(OR('Pre-Calculation'!$D$16="% OF AFV(24M)",'Pre-Calculation'!$D$16="% OF AFV(8Q)"),AVERAGE( $M218:$M241),IF('Pre-Calculation'!$D$16="% OF AFV(12M)",AVERAGE($M230:M241),IF('Pre-Calculation'!$D$16="% OF AFV(36M)",AVERAGE($M206:M241)))))</f>
        <v>1689986.432</v>
      </c>
      <c r="O241" s="175">
        <f t="shared" si="4"/>
        <v>1689986.432</v>
      </c>
      <c r="P241" s="175">
        <f>IF('Pre-Calculation'!$D$17="Type 4 a",MAX(SA,N241,1.05*Q241),IF('Pre-Calculation'!$D$17="Type 4 c",N241,IF('Pre-Calculation'!$D$17="Type 4 d",SA+N241,IF('Pre-Calculation'!$D$17="Type 4 e",MAX(SA,N241),IF('Pre-Calculation'!$D$17="Type 4 f",SA,IF('Pre-Calculation'!$D$17="Type 4 g",1000+N241,IF('Pre-Calculation'!$D$17="Type 4 h",SA+X241,IF('Pre-Calculation'!$D$17="Type 4 i",MAX(N241,Q241),IF('Pre-Calculation'!$D$17="Type 4 k",MAX(N241,1.01*Q241),IF('Pre-Calculation'!$D$17="Type 4 m",MAX(105%*Q241,SA+N241),IF('Pre-Calculation'!$D$17="Type 4 o",MAX(SA,105%*Q241)+X241+Z241,IF('Pre-Calculation'!$D$17="Type 5",0))))))))))))</f>
        <v>1689986.432</v>
      </c>
      <c r="Q241" s="175">
        <f t="shared" si="5"/>
        <v>1000000</v>
      </c>
      <c r="R241" s="119">
        <f>L241*(1+GROWTH_RATE)*FMC</f>
        <v>1908.718851</v>
      </c>
      <c r="S241" s="178">
        <f>S240*(1+'Pre-Calculation'!$E$27)</f>
        <v>1274956.028</v>
      </c>
      <c r="T241" s="175">
        <f>-E241+IF(A240=INPUT!$C$11*12,N241,0)</f>
        <v>0</v>
      </c>
      <c r="U241" s="175">
        <f t="shared" si="6"/>
        <v>1645723.929</v>
      </c>
      <c r="V241" s="175">
        <f>U241*(1+GROWTH_RATE_L)*(1-'Pre-Calculation'!$E$31)</f>
        <v>1648361.965</v>
      </c>
      <c r="W241" s="175">
        <f>-E241+IF(A240=INPUT!$C$11*12,V241,0)</f>
        <v>0</v>
      </c>
      <c r="X241" s="179">
        <f t="array" ref="X241">NPV('Pre-Calculation'!$E$20,$E242:E$246)</f>
        <v>0</v>
      </c>
      <c r="Y241" s="171">
        <f>10%*SA</f>
        <v>100000</v>
      </c>
      <c r="Z241" s="179">
        <f t="array" ref="Z241">NPV('Pre-Calculation'!$E$20,Y242:Y251)</f>
        <v>969592.8037</v>
      </c>
    </row>
    <row r="242" ht="15.75" customHeight="1">
      <c r="A242" s="171">
        <f t="shared" si="1"/>
        <v>296</v>
      </c>
      <c r="B242" s="171">
        <f t="shared" si="2"/>
        <v>25</v>
      </c>
      <c r="C242" s="176">
        <f>EDATE(RCD,A241)</f>
        <v>51531</v>
      </c>
      <c r="D242" s="171">
        <f>Age_At_Entry+'Cashflows_4%'!B242-1</f>
        <v>59</v>
      </c>
      <c r="E242" s="175">
        <f>IF(AND(C242&lt;=Last_Prem,MOD(A241,Mode)=0,C242&gt;INPUT!$C$13,A242&lt;=Revival!$C$11),Mod_Prem,0)</f>
        <v>0</v>
      </c>
      <c r="F242" s="177">
        <f>IF(B242&lt;PT+1,E242*VLOOKUP(B242,'Pre-Calculation'!$H$1:$I$31,2,FALSE),0)</f>
        <v>0</v>
      </c>
      <c r="G242" s="177">
        <f>IF(B242&lt;PT+1,VLOOKUP(B242,'Pre-Calculation'!$H$1:$L$32,3,FALSE)+VLOOKUP(B242,'Pre-Calculation'!$H$1:$L$32,4,FALSE)*'Pre-Calculation'!$D$7,0)</f>
        <v>0</v>
      </c>
      <c r="H242" s="175">
        <f>(E242-(F242+G242)*(1+Tax)+N241)</f>
        <v>1689986.432</v>
      </c>
      <c r="I242" s="175">
        <f>IF(B242&lt;PT+1,VLOOKUP(D242,'Pre-Calculation'!$N$3:$P$79,IF(INPUT!$C$4="M",2,3),FALSE)*(J242/1000)*(1/12),0)</f>
        <v>0</v>
      </c>
      <c r="J242" s="175">
        <f t="shared" si="3"/>
        <v>0</v>
      </c>
      <c r="K242" s="175">
        <f>(IF('Pre-Calculation'!$D$17="Type 4 a",MAX(SA,H242,1.05*Q242),IF('Pre-Calculation'!$D$17="Type 4 c",H242,IF('Pre-Calculation'!$D$17="Type 4 d",SA+H242,IF('Pre-Calculation'!$D$17="Type 4 e",MAX(SA,H242),IF('Pre-Calculation'!$D$17="Type 4 f",SA,IF('Pre-Calculation'!$D$17="Type 4 g",1000+H242,IF('Pre-Calculation'!$D$17="Type 4 h",SA+X242,IF('Pre-Calculation'!$D$17="Type 4 i",MAX(H242,Q242),IF('Pre-Calculation'!$D$17="Type 4 k",MAX(H242,1.01*Q242),IF('Pre-Calculation'!$D$17="Type 4 m",MAX(105%*Q242,SA+H242),IF('Pre-Calculation'!$D$17="Type 4 o",MAX(SA,105%*Q242)+X242+Z242,IF('Pre-Calculation'!$D$17="Type 5",0)))))))))))))*IF(AND(A242&lt;Revival!$C$4,C242&gt;=Revival!$D$12),PUP,1)</f>
        <v>1689986.432</v>
      </c>
      <c r="L242" s="175">
        <f>H242-I242*(1+Tax)</f>
        <v>1689986.432</v>
      </c>
      <c r="M242" s="175">
        <f>L242*(1+GROWTH_RATE_L)*(1-FMC*(1+Tax))</f>
        <v>1693269.43</v>
      </c>
      <c r="N242" s="175">
        <f>M242+IF(MOD(A242,B242)=0,VLOOKUP(B242,'Pre-Calculation'!$H$1:$L$31,5,FALSE),0)*IF('Pre-Calculation'!$D$16="% OF FV",M242,IF(OR('Pre-Calculation'!$D$16="% OF AFV(24M)",'Pre-Calculation'!$D$16="% OF AFV(8Q)"),AVERAGE( $M219:$M242),IF('Pre-Calculation'!$D$16="% OF AFV(12M)",AVERAGE($M231:M242),IF('Pre-Calculation'!$D$16="% OF AFV(36M)",AVERAGE($M207:M242)))))</f>
        <v>1693269.43</v>
      </c>
      <c r="O242" s="175">
        <f t="shared" si="4"/>
        <v>1693269.43</v>
      </c>
      <c r="P242" s="175">
        <f>IF('Pre-Calculation'!$D$17="Type 4 a",MAX(SA,N242,1.05*Q242),IF('Pre-Calculation'!$D$17="Type 4 c",N242,IF('Pre-Calculation'!$D$17="Type 4 d",SA+N242,IF('Pre-Calculation'!$D$17="Type 4 e",MAX(SA,N242),IF('Pre-Calculation'!$D$17="Type 4 f",SA,IF('Pre-Calculation'!$D$17="Type 4 g",1000+N242,IF('Pre-Calculation'!$D$17="Type 4 h",SA+X242,IF('Pre-Calculation'!$D$17="Type 4 i",MAX(N242,Q242),IF('Pre-Calculation'!$D$17="Type 4 k",MAX(N242,1.01*Q242),IF('Pre-Calculation'!$D$17="Type 4 m",MAX(105%*Q242,SA+N242),IF('Pre-Calculation'!$D$17="Type 4 o",MAX(SA,105%*Q242)+X242+Z242,IF('Pre-Calculation'!$D$17="Type 5",0))))))))))))</f>
        <v>1693269.43</v>
      </c>
      <c r="Q242" s="175">
        <f t="shared" si="5"/>
        <v>1000000</v>
      </c>
      <c r="R242" s="119">
        <f>L242*(1+GROWTH_RATE)*FMC</f>
        <v>1912.426763</v>
      </c>
      <c r="S242" s="178">
        <f>S241*(1+'Pre-Calculation'!$E$27)</f>
        <v>1278616.298</v>
      </c>
      <c r="T242" s="175">
        <f>-E242+IF(A241=INPUT!$C$11*12,N242,0)</f>
        <v>0</v>
      </c>
      <c r="U242" s="175">
        <f t="shared" si="6"/>
        <v>1648361.965</v>
      </c>
      <c r="V242" s="175">
        <f>U242*(1+GROWTH_RATE_L)*(1-'Pre-Calculation'!$E$31)</f>
        <v>1651004.23</v>
      </c>
      <c r="W242" s="175">
        <f>-E242+IF(A241=INPUT!$C$11*12,V242,0)</f>
        <v>0</v>
      </c>
      <c r="X242" s="179">
        <f t="array" ref="X242">NPV('Pre-Calculation'!$E$20,$E243:E$246)</f>
        <v>0</v>
      </c>
      <c r="Y242" s="171">
        <f>10%*SA</f>
        <v>100000</v>
      </c>
      <c r="Z242" s="179">
        <f t="array" ref="Z242">NPV('Pre-Calculation'!$E$20,Y243:Y252)</f>
        <v>969592.8037</v>
      </c>
    </row>
    <row r="243" ht="15.75" customHeight="1">
      <c r="A243" s="171">
        <f t="shared" si="1"/>
        <v>297</v>
      </c>
      <c r="B243" s="171">
        <f t="shared" si="2"/>
        <v>25</v>
      </c>
      <c r="C243" s="176">
        <f>EDATE(RCD,A242)</f>
        <v>51560</v>
      </c>
      <c r="D243" s="171">
        <f>Age_At_Entry+'Cashflows_4%'!B243-1</f>
        <v>59</v>
      </c>
      <c r="E243" s="175">
        <f>IF(AND(C243&lt;=Last_Prem,MOD(A242,Mode)=0,C243&gt;INPUT!$C$13,A243&lt;=Revival!$C$11),Mod_Prem,0)</f>
        <v>0</v>
      </c>
      <c r="F243" s="177">
        <f>IF(B243&lt;PT+1,E243*VLOOKUP(B243,'Pre-Calculation'!$H$1:$I$31,2,FALSE),0)</f>
        <v>0</v>
      </c>
      <c r="G243" s="177">
        <f>IF(B243&lt;PT+1,VLOOKUP(B243,'Pre-Calculation'!$H$1:$L$32,3,FALSE)+VLOOKUP(B243,'Pre-Calculation'!$H$1:$L$32,4,FALSE)*'Pre-Calculation'!$D$7,0)</f>
        <v>0</v>
      </c>
      <c r="H243" s="175">
        <f>(E243-(F243+G243)*(1+Tax)+N242)</f>
        <v>1693269.43</v>
      </c>
      <c r="I243" s="175">
        <f>IF(B243&lt;PT+1,VLOOKUP(D243,'Pre-Calculation'!$N$3:$P$79,IF(INPUT!$C$4="M",2,3),FALSE)*(J243/1000)*(1/12),0)</f>
        <v>0</v>
      </c>
      <c r="J243" s="175">
        <f t="shared" si="3"/>
        <v>0</v>
      </c>
      <c r="K243" s="175">
        <f>(IF('Pre-Calculation'!$D$17="Type 4 a",MAX(SA,H243,1.05*Q243),IF('Pre-Calculation'!$D$17="Type 4 c",H243,IF('Pre-Calculation'!$D$17="Type 4 d",SA+H243,IF('Pre-Calculation'!$D$17="Type 4 e",MAX(SA,H243),IF('Pre-Calculation'!$D$17="Type 4 f",SA,IF('Pre-Calculation'!$D$17="Type 4 g",1000+H243,IF('Pre-Calculation'!$D$17="Type 4 h",SA+X243,IF('Pre-Calculation'!$D$17="Type 4 i",MAX(H243,Q243),IF('Pre-Calculation'!$D$17="Type 4 k",MAX(H243,1.01*Q243),IF('Pre-Calculation'!$D$17="Type 4 m",MAX(105%*Q243,SA+H243),IF('Pre-Calculation'!$D$17="Type 4 o",MAX(SA,105%*Q243)+X243+Z243,IF('Pre-Calculation'!$D$17="Type 5",0)))))))))))))*IF(AND(A243&lt;Revival!$C$4,C243&gt;=Revival!$D$12),PUP,1)</f>
        <v>1693269.43</v>
      </c>
      <c r="L243" s="175">
        <f>H243-I243*(1+Tax)</f>
        <v>1693269.43</v>
      </c>
      <c r="M243" s="175">
        <f>L243*(1+GROWTH_RATE_L)*(1-FMC*(1+Tax))</f>
        <v>1696558.806</v>
      </c>
      <c r="N243" s="175">
        <f>M243+IF(MOD(A243,B243)=0,VLOOKUP(B243,'Pre-Calculation'!$H$1:$L$31,5,FALSE),0)*IF('Pre-Calculation'!$D$16="% OF FV",M243,IF(OR('Pre-Calculation'!$D$16="% OF AFV(24M)",'Pre-Calculation'!$D$16="% OF AFV(8Q)"),AVERAGE( $M220:$M243),IF('Pre-Calculation'!$D$16="% OF AFV(12M)",AVERAGE($M232:M243),IF('Pre-Calculation'!$D$16="% OF AFV(36M)",AVERAGE($M208:M243)))))</f>
        <v>1696558.806</v>
      </c>
      <c r="O243" s="175">
        <f t="shared" si="4"/>
        <v>1696558.806</v>
      </c>
      <c r="P243" s="175">
        <f>IF('Pre-Calculation'!$D$17="Type 4 a",MAX(SA,N243,1.05*Q243),IF('Pre-Calculation'!$D$17="Type 4 c",N243,IF('Pre-Calculation'!$D$17="Type 4 d",SA+N243,IF('Pre-Calculation'!$D$17="Type 4 e",MAX(SA,N243),IF('Pre-Calculation'!$D$17="Type 4 f",SA,IF('Pre-Calculation'!$D$17="Type 4 g",1000+N243,IF('Pre-Calculation'!$D$17="Type 4 h",SA+X243,IF('Pre-Calculation'!$D$17="Type 4 i",MAX(N243,Q243),IF('Pre-Calculation'!$D$17="Type 4 k",MAX(N243,1.01*Q243),IF('Pre-Calculation'!$D$17="Type 4 m",MAX(105%*Q243,SA+N243),IF('Pre-Calculation'!$D$17="Type 4 o",MAX(SA,105%*Q243)+X243+Z243,IF('Pre-Calculation'!$D$17="Type 5",0))))))))))))</f>
        <v>1696558.806</v>
      </c>
      <c r="Q243" s="175">
        <f t="shared" si="5"/>
        <v>1000000</v>
      </c>
      <c r="R243" s="119">
        <f>L243*(1+GROWTH_RATE)*FMC</f>
        <v>1916.141878</v>
      </c>
      <c r="S243" s="178">
        <f>S242*(1+'Pre-Calculation'!$E$27)</f>
        <v>1282287.076</v>
      </c>
      <c r="T243" s="175">
        <f>-E243+IF(A242=INPUT!$C$11*12,N243,0)</f>
        <v>0</v>
      </c>
      <c r="U243" s="175">
        <f t="shared" si="6"/>
        <v>1651004.23</v>
      </c>
      <c r="V243" s="175">
        <f>U243*(1+GROWTH_RATE_L)*(1-'Pre-Calculation'!$E$31)</f>
        <v>1653650.73</v>
      </c>
      <c r="W243" s="175">
        <f>-E243+IF(A242=INPUT!$C$11*12,V243,0)</f>
        <v>0</v>
      </c>
      <c r="X243" s="179">
        <f t="array" ref="X243">NPV('Pre-Calculation'!$E$20,$E244:E$246)</f>
        <v>0</v>
      </c>
      <c r="Y243" s="171">
        <f>10%*SA</f>
        <v>100000</v>
      </c>
      <c r="Z243" s="179">
        <f t="array" ref="Z243">NPV('Pre-Calculation'!$E$20,Y244:Y253)</f>
        <v>969592.8037</v>
      </c>
    </row>
    <row r="244" ht="15.75" customHeight="1">
      <c r="A244" s="171">
        <f t="shared" si="1"/>
        <v>298</v>
      </c>
      <c r="B244" s="171">
        <f t="shared" si="2"/>
        <v>25</v>
      </c>
      <c r="C244" s="176">
        <f>EDATE(RCD,A243)</f>
        <v>51590</v>
      </c>
      <c r="D244" s="171">
        <f>Age_At_Entry+'Cashflows_4%'!B244-1</f>
        <v>59</v>
      </c>
      <c r="E244" s="175">
        <f>IF(AND(C244&lt;=Last_Prem,MOD(A243,Mode)=0,C244&gt;INPUT!$C$13,A244&lt;=Revival!$C$11),Mod_Prem,0)</f>
        <v>0</v>
      </c>
      <c r="F244" s="177">
        <f>IF(B244&lt;PT+1,E244*VLOOKUP(B244,'Pre-Calculation'!$H$1:$I$31,2,FALSE),0)</f>
        <v>0</v>
      </c>
      <c r="G244" s="177">
        <f>IF(B244&lt;PT+1,VLOOKUP(B244,'Pre-Calculation'!$H$1:$L$32,3,FALSE)+VLOOKUP(B244,'Pre-Calculation'!$H$1:$L$32,4,FALSE)*'Pre-Calculation'!$D$7,0)</f>
        <v>0</v>
      </c>
      <c r="H244" s="175">
        <f>(E244-(F244+G244)*(1+Tax)+N243)</f>
        <v>1696558.806</v>
      </c>
      <c r="I244" s="175">
        <f>IF(B244&lt;PT+1,VLOOKUP(D244,'Pre-Calculation'!$N$3:$P$79,IF(INPUT!$C$4="M",2,3),FALSE)*(J244/1000)*(1/12),0)</f>
        <v>0</v>
      </c>
      <c r="J244" s="175">
        <f t="shared" si="3"/>
        <v>0</v>
      </c>
      <c r="K244" s="175">
        <f>(IF('Pre-Calculation'!$D$17="Type 4 a",MAX(SA,H244,1.05*Q244),IF('Pre-Calculation'!$D$17="Type 4 c",H244,IF('Pre-Calculation'!$D$17="Type 4 d",SA+H244,IF('Pre-Calculation'!$D$17="Type 4 e",MAX(SA,H244),IF('Pre-Calculation'!$D$17="Type 4 f",SA,IF('Pre-Calculation'!$D$17="Type 4 g",1000+H244,IF('Pre-Calculation'!$D$17="Type 4 h",SA+X244,IF('Pre-Calculation'!$D$17="Type 4 i",MAX(H244,Q244),IF('Pre-Calculation'!$D$17="Type 4 k",MAX(H244,1.01*Q244),IF('Pre-Calculation'!$D$17="Type 4 m",MAX(105%*Q244,SA+H244),IF('Pre-Calculation'!$D$17="Type 4 o",MAX(SA,105%*Q244)+X244+Z244,IF('Pre-Calculation'!$D$17="Type 5",0)))))))))))))*IF(AND(A244&lt;Revival!$C$4,C244&gt;=Revival!$D$12),PUP,1)</f>
        <v>1696558.806</v>
      </c>
      <c r="L244" s="175">
        <f>H244-I244*(1+Tax)</f>
        <v>1696558.806</v>
      </c>
      <c r="M244" s="175">
        <f>L244*(1+GROWTH_RATE_L)*(1-FMC*(1+Tax))</f>
        <v>1699854.572</v>
      </c>
      <c r="N244" s="175">
        <f>M244+IF(MOD(A244,B244)=0,VLOOKUP(B244,'Pre-Calculation'!$H$1:$L$31,5,FALSE),0)*IF('Pre-Calculation'!$D$16="% OF FV",M244,IF(OR('Pre-Calculation'!$D$16="% OF AFV(24M)",'Pre-Calculation'!$D$16="% OF AFV(8Q)"),AVERAGE( $M221:$M244),IF('Pre-Calculation'!$D$16="% OF AFV(12M)",AVERAGE($M233:M244),IF('Pre-Calculation'!$D$16="% OF AFV(36M)",AVERAGE($M209:M244)))))</f>
        <v>1699854.572</v>
      </c>
      <c r="O244" s="175">
        <f t="shared" si="4"/>
        <v>1699854.572</v>
      </c>
      <c r="P244" s="175">
        <f>IF('Pre-Calculation'!$D$17="Type 4 a",MAX(SA,N244,1.05*Q244),IF('Pre-Calculation'!$D$17="Type 4 c",N244,IF('Pre-Calculation'!$D$17="Type 4 d",SA+N244,IF('Pre-Calculation'!$D$17="Type 4 e",MAX(SA,N244),IF('Pre-Calculation'!$D$17="Type 4 f",SA,IF('Pre-Calculation'!$D$17="Type 4 g",1000+N244,IF('Pre-Calculation'!$D$17="Type 4 h",SA+X244,IF('Pre-Calculation'!$D$17="Type 4 i",MAX(N244,Q244),IF('Pre-Calculation'!$D$17="Type 4 k",MAX(N244,1.01*Q244),IF('Pre-Calculation'!$D$17="Type 4 m",MAX(105%*Q244,SA+N244),IF('Pre-Calculation'!$D$17="Type 4 o",MAX(SA,105%*Q244)+X244+Z244,IF('Pre-Calculation'!$D$17="Type 5",0))))))))))))</f>
        <v>1699854.572</v>
      </c>
      <c r="Q244" s="175">
        <f t="shared" si="5"/>
        <v>1000000</v>
      </c>
      <c r="R244" s="119">
        <f>L244*(1+GROWTH_RATE)*FMC</f>
        <v>1919.86421</v>
      </c>
      <c r="S244" s="178">
        <f>S243*(1+'Pre-Calculation'!$E$27)</f>
        <v>1285968.392</v>
      </c>
      <c r="T244" s="175">
        <f>-E244+IF(A243=INPUT!$C$11*12,N244,0)</f>
        <v>0</v>
      </c>
      <c r="U244" s="175">
        <f t="shared" si="6"/>
        <v>1653650.73</v>
      </c>
      <c r="V244" s="175">
        <f>U244*(1+GROWTH_RATE_L)*(1-'Pre-Calculation'!$E$31)</f>
        <v>1656301.472</v>
      </c>
      <c r="W244" s="175">
        <f>-E244+IF(A243=INPUT!$C$11*12,V244,0)</f>
        <v>0</v>
      </c>
      <c r="X244" s="179">
        <f t="array" ref="X244">NPV('Pre-Calculation'!$E$20,$E245:E$246)</f>
        <v>0</v>
      </c>
      <c r="Y244" s="171">
        <f>10%*SA</f>
        <v>100000</v>
      </c>
      <c r="Z244" s="179">
        <f t="array" ref="Z244">NPV('Pre-Calculation'!$E$20,Y245:Y254)</f>
        <v>969592.8037</v>
      </c>
    </row>
    <row r="245" ht="15.75" customHeight="1">
      <c r="A245" s="171">
        <f t="shared" si="1"/>
        <v>299</v>
      </c>
      <c r="B245" s="171">
        <f t="shared" si="2"/>
        <v>25</v>
      </c>
      <c r="C245" s="176">
        <f>EDATE(RCD,A244)</f>
        <v>51621</v>
      </c>
      <c r="D245" s="171">
        <f>Age_At_Entry+'Cashflows_4%'!B245-1</f>
        <v>59</v>
      </c>
      <c r="E245" s="175">
        <f>IF(AND(C245&lt;=Last_Prem,MOD(A244,Mode)=0,C245&gt;INPUT!$C$13,A245&lt;=Revival!$C$11),Mod_Prem,0)</f>
        <v>0</v>
      </c>
      <c r="F245" s="177">
        <f>IF(B245&lt;PT+1,E245*VLOOKUP(B245,'Pre-Calculation'!$H$1:$I$31,2,FALSE),0)</f>
        <v>0</v>
      </c>
      <c r="G245" s="177">
        <f>IF(B245&lt;PT+1,VLOOKUP(B245,'Pre-Calculation'!$H$1:$L$32,3,FALSE)+VLOOKUP(B245,'Pre-Calculation'!$H$1:$L$32,4,FALSE)*'Pre-Calculation'!$D$7,0)</f>
        <v>0</v>
      </c>
      <c r="H245" s="175">
        <f>(E245-(F245+G245)*(1+Tax)+N244)</f>
        <v>1699854.572</v>
      </c>
      <c r="I245" s="175">
        <f>IF(B245&lt;PT+1,VLOOKUP(D245,'Pre-Calculation'!$N$3:$P$79,IF(INPUT!$C$4="M",2,3),FALSE)*(J245/1000)*(1/12),0)</f>
        <v>0</v>
      </c>
      <c r="J245" s="175">
        <f t="shared" si="3"/>
        <v>0</v>
      </c>
      <c r="K245" s="175">
        <f>(IF('Pre-Calculation'!$D$17="Type 4 a",MAX(SA,H245,1.05*Q245),IF('Pre-Calculation'!$D$17="Type 4 c",H245,IF('Pre-Calculation'!$D$17="Type 4 d",SA+H245,IF('Pre-Calculation'!$D$17="Type 4 e",MAX(SA,H245),IF('Pre-Calculation'!$D$17="Type 4 f",SA,IF('Pre-Calculation'!$D$17="Type 4 g",1000+H245,IF('Pre-Calculation'!$D$17="Type 4 h",SA+X245,IF('Pre-Calculation'!$D$17="Type 4 i",MAX(H245,Q245),IF('Pre-Calculation'!$D$17="Type 4 k",MAX(H245,1.01*Q245),IF('Pre-Calculation'!$D$17="Type 4 m",MAX(105%*Q245,SA+H245),IF('Pre-Calculation'!$D$17="Type 4 o",MAX(SA,105%*Q245)+X245+Z245,IF('Pre-Calculation'!$D$17="Type 5",0)))))))))))))*IF(AND(A245&lt;Revival!$C$4,C245&gt;=Revival!$D$12),PUP,1)</f>
        <v>1699854.572</v>
      </c>
      <c r="L245" s="175">
        <f>H245-I245*(1+Tax)</f>
        <v>1699854.572</v>
      </c>
      <c r="M245" s="175">
        <f>L245*(1+GROWTH_RATE_L)*(1-FMC*(1+Tax))</f>
        <v>1703156.741</v>
      </c>
      <c r="N245" s="175">
        <f>M245+IF(MOD(A245,B245)=0,VLOOKUP(B245,'Pre-Calculation'!$H$1:$L$31,5,FALSE),0)*IF('Pre-Calculation'!$D$16="% OF FV",M245,IF(OR('Pre-Calculation'!$D$16="% OF AFV(24M)",'Pre-Calculation'!$D$16="% OF AFV(8Q)"),AVERAGE( $M222:$M245),IF('Pre-Calculation'!$D$16="% OF AFV(12M)",AVERAGE($M234:M245),IF('Pre-Calculation'!$D$16="% OF AFV(36M)",AVERAGE($M210:M245)))))</f>
        <v>1703156.741</v>
      </c>
      <c r="O245" s="175">
        <f t="shared" si="4"/>
        <v>1703156.741</v>
      </c>
      <c r="P245" s="175">
        <f>IF('Pre-Calculation'!$D$17="Type 4 a",MAX(SA,N245,1.05*Q245),IF('Pre-Calculation'!$D$17="Type 4 c",N245,IF('Pre-Calculation'!$D$17="Type 4 d",SA+N245,IF('Pre-Calculation'!$D$17="Type 4 e",MAX(SA,N245),IF('Pre-Calculation'!$D$17="Type 4 f",SA,IF('Pre-Calculation'!$D$17="Type 4 g",1000+N245,IF('Pre-Calculation'!$D$17="Type 4 h",SA+X245,IF('Pre-Calculation'!$D$17="Type 4 i",MAX(N245,Q245),IF('Pre-Calculation'!$D$17="Type 4 k",MAX(N245,1.01*Q245),IF('Pre-Calculation'!$D$17="Type 4 m",MAX(105%*Q245,SA+N245),IF('Pre-Calculation'!$D$17="Type 4 o",MAX(SA,105%*Q245)+X245+Z245,IF('Pre-Calculation'!$D$17="Type 5",0))))))))))))</f>
        <v>1703156.741</v>
      </c>
      <c r="Q245" s="175">
        <f t="shared" si="5"/>
        <v>1000000</v>
      </c>
      <c r="R245" s="119">
        <f>L245*(1+GROWTH_RATE)*FMC</f>
        <v>1923.593773</v>
      </c>
      <c r="S245" s="178">
        <f>S244*(1+'Pre-Calculation'!$E$27)</f>
        <v>1289660.277</v>
      </c>
      <c r="T245" s="175">
        <f>-E245+IF(A244=INPUT!$C$11*12,N245,0)</f>
        <v>0</v>
      </c>
      <c r="U245" s="175">
        <f t="shared" si="6"/>
        <v>1656301.472</v>
      </c>
      <c r="V245" s="175">
        <f>U245*(1+GROWTH_RATE_L)*(1-'Pre-Calculation'!$E$31)</f>
        <v>1658956.463</v>
      </c>
      <c r="W245" s="175">
        <f>-E245+IF(A244=INPUT!$C$11*12,V245,0)</f>
        <v>0</v>
      </c>
      <c r="X245" s="179">
        <f t="array" ref="X245">NPV('Pre-Calculation'!$E$20,$E246:E$246)</f>
        <v>0</v>
      </c>
      <c r="Y245" s="171">
        <f>10%*SA</f>
        <v>100000</v>
      </c>
      <c r="Z245" s="179">
        <f t="array" ref="Z245">NPV('Pre-Calculation'!$E$20,Y246:Y255)</f>
        <v>969592.8037</v>
      </c>
    </row>
    <row r="246" ht="15.75" customHeight="1">
      <c r="A246" s="171">
        <f t="shared" si="1"/>
        <v>300</v>
      </c>
      <c r="B246" s="171">
        <f t="shared" si="2"/>
        <v>25</v>
      </c>
      <c r="C246" s="176">
        <f>EDATE(RCD,A245)</f>
        <v>51651</v>
      </c>
      <c r="D246" s="171">
        <f>Age_At_Entry+'Cashflows_4%'!B246-1</f>
        <v>59</v>
      </c>
      <c r="E246" s="175">
        <f>IF(AND(C246&lt;=Last_Prem,MOD(A245,Mode)=0,C246&gt;INPUT!$C$13,A246&lt;=Revival!$C$11),Mod_Prem,0)</f>
        <v>0</v>
      </c>
      <c r="F246" s="177">
        <f>IF(B246&lt;PT+1,E246*VLOOKUP(B246,'Pre-Calculation'!$H$1:$I$31,2,FALSE),0)</f>
        <v>0</v>
      </c>
      <c r="G246" s="177">
        <f>IF(B246&lt;PT+1,VLOOKUP(B246,'Pre-Calculation'!$H$1:$L$32,3,FALSE)+VLOOKUP(B246,'Pre-Calculation'!$H$1:$L$32,4,FALSE)*'Pre-Calculation'!$D$7,0)</f>
        <v>0</v>
      </c>
      <c r="H246" s="175">
        <f>(E246-(F246+G246)*(1+Tax)+N245)</f>
        <v>1703156.741</v>
      </c>
      <c r="I246" s="175">
        <f>IF(B246&lt;PT+1,VLOOKUP(D246,'Pre-Calculation'!$N$3:$P$79,IF(INPUT!$C$4="M",2,3),FALSE)*(J246/1000)*(1/12),0)</f>
        <v>0</v>
      </c>
      <c r="J246" s="175">
        <f t="shared" si="3"/>
        <v>0</v>
      </c>
      <c r="K246" s="175">
        <f>(IF('Pre-Calculation'!$D$17="Type 4 a",MAX(SA,H246,1.05*Q246),IF('Pre-Calculation'!$D$17="Type 4 c",H246,IF('Pre-Calculation'!$D$17="Type 4 d",SA+H246,IF('Pre-Calculation'!$D$17="Type 4 e",MAX(SA,H246),IF('Pre-Calculation'!$D$17="Type 4 f",SA,IF('Pre-Calculation'!$D$17="Type 4 g",1000+H246,IF('Pre-Calculation'!$D$17="Type 4 h",SA+X246,IF('Pre-Calculation'!$D$17="Type 4 i",MAX(H246,Q246),IF('Pre-Calculation'!$D$17="Type 4 k",MAX(H246,1.01*Q246),IF('Pre-Calculation'!$D$17="Type 4 m",MAX(105%*Q246,SA+H246),IF('Pre-Calculation'!$D$17="Type 4 o",MAX(SA,105%*Q246)+X246+Z246,IF('Pre-Calculation'!$D$17="Type 5",0)))))))))))))*IF(AND(A246&lt;Revival!$C$4,C246&gt;=Revival!$D$12),PUP,1)</f>
        <v>1703156.741</v>
      </c>
      <c r="L246" s="175">
        <f>H246-I246*(1+Tax)</f>
        <v>1703156.741</v>
      </c>
      <c r="M246" s="175">
        <f>L246*(1+GROWTH_RATE_L)*(1-FMC*(1+Tax))</f>
        <v>1706465.324</v>
      </c>
      <c r="N246" s="175">
        <f>M246+IF(MOD(A246,B246)=0,VLOOKUP(B246,'Pre-Calculation'!$H$1:$L$31,5,FALSE),0)*IF('Pre-Calculation'!$D$16="% OF FV",M246,IF(OR('Pre-Calculation'!$D$16="% OF AFV(24M)",'Pre-Calculation'!$D$16="% OF AFV(8Q)"),AVERAGE( $M223:$M246),IF('Pre-Calculation'!$D$16="% OF AFV(12M)",AVERAGE($M235:M246),IF('Pre-Calculation'!$D$16="% OF AFV(36M)",AVERAGE($M211:M246)))))</f>
        <v>1706465.324</v>
      </c>
      <c r="O246" s="175">
        <f t="shared" si="4"/>
        <v>1706465.324</v>
      </c>
      <c r="P246" s="175">
        <f>IF('Pre-Calculation'!$D$17="Type 4 a",MAX(SA,N246,1.05*Q246),IF('Pre-Calculation'!$D$17="Type 4 c",N246,IF('Pre-Calculation'!$D$17="Type 4 d",SA+N246,IF('Pre-Calculation'!$D$17="Type 4 e",MAX(SA,N246),IF('Pre-Calculation'!$D$17="Type 4 f",SA,IF('Pre-Calculation'!$D$17="Type 4 g",1000+N246,IF('Pre-Calculation'!$D$17="Type 4 h",SA+X246,IF('Pre-Calculation'!$D$17="Type 4 i",MAX(N246,Q246),IF('Pre-Calculation'!$D$17="Type 4 k",MAX(N246,1.01*Q246),IF('Pre-Calculation'!$D$17="Type 4 m",MAX(105%*Q246,SA+N246),IF('Pre-Calculation'!$D$17="Type 4 o",MAX(SA,105%*Q246)+X246+Z246,IF('Pre-Calculation'!$D$17="Type 5",0))))))))))))</f>
        <v>1706465.324</v>
      </c>
      <c r="Q246" s="175">
        <f t="shared" si="5"/>
        <v>1000000</v>
      </c>
      <c r="R246" s="119">
        <f>L246*(1+GROWTH_RATE)*FMC</f>
        <v>1927.330581</v>
      </c>
      <c r="S246" s="178">
        <f>S245*(1+'Pre-Calculation'!$E$27)</f>
        <v>1293362.761</v>
      </c>
      <c r="T246" s="175">
        <f>-E246+IF(A245=INPUT!$C$11*12,N246,0)</f>
        <v>0</v>
      </c>
      <c r="U246" s="175">
        <f t="shared" si="6"/>
        <v>1658956.463</v>
      </c>
      <c r="V246" s="175">
        <f>U246*(1+GROWTH_RATE_L)*(1-'Pre-Calculation'!$E$31)</f>
        <v>1661615.71</v>
      </c>
      <c r="W246" s="175">
        <f>-E246+IF(A245=INPUT!$C$11*12,V246,0)</f>
        <v>0</v>
      </c>
      <c r="X246" s="179">
        <f t="array" ref="X246">NPV('Pre-Calculation'!$E$20,$E$246:E247)</f>
        <v>0</v>
      </c>
      <c r="Y246" s="171">
        <f>10%*SA</f>
        <v>100000</v>
      </c>
      <c r="Z246" s="179">
        <f t="array" ref="Z246">NPV('Pre-Calculation'!$E$20,Y247:Y256)</f>
        <v>969592.8037</v>
      </c>
    </row>
    <row r="247" ht="15.75" customHeight="1">
      <c r="A247" s="12"/>
      <c r="B247" s="171"/>
      <c r="C247" s="12"/>
      <c r="D247" s="12"/>
      <c r="E247" s="171"/>
      <c r="F247" s="12"/>
      <c r="G247" s="12"/>
      <c r="H247" s="12"/>
      <c r="I247" s="12"/>
      <c r="J247" s="12"/>
      <c r="K247" s="12"/>
      <c r="L247" s="12"/>
      <c r="M247" s="12"/>
      <c r="N247" s="12"/>
      <c r="O247" s="12"/>
      <c r="P247" s="12"/>
      <c r="Q247" s="12"/>
      <c r="R247" s="12"/>
      <c r="S247" s="180"/>
      <c r="T247" s="12"/>
      <c r="U247" s="12"/>
      <c r="V247" s="12"/>
      <c r="W247" s="12"/>
      <c r="X247" s="12"/>
      <c r="Y247" s="36">
        <f>10%*SA</f>
        <v>100000</v>
      </c>
      <c r="Z247" s="12"/>
    </row>
    <row r="248" ht="15.75" customHeight="1">
      <c r="A248" s="12"/>
      <c r="B248" s="12"/>
      <c r="C248" s="12"/>
      <c r="D248" s="12"/>
      <c r="E248" s="171"/>
      <c r="F248" s="12"/>
      <c r="G248" s="12"/>
      <c r="H248" s="12"/>
      <c r="I248" s="12"/>
      <c r="J248" s="12"/>
      <c r="K248" s="12"/>
      <c r="L248" s="12"/>
      <c r="M248" s="12"/>
      <c r="N248" s="12"/>
      <c r="O248" s="12"/>
      <c r="P248" s="12"/>
      <c r="Q248" s="12"/>
      <c r="R248" s="12"/>
      <c r="S248" s="180"/>
      <c r="T248" s="12"/>
      <c r="U248" s="12"/>
      <c r="V248" s="12"/>
      <c r="W248" s="12"/>
      <c r="X248" s="12"/>
      <c r="Y248" s="36">
        <f>10%*SA</f>
        <v>100000</v>
      </c>
      <c r="Z248" s="12"/>
    </row>
    <row r="249" ht="15.75" customHeight="1">
      <c r="A249" s="12"/>
      <c r="B249" s="12"/>
      <c r="C249" s="12"/>
      <c r="D249" s="12"/>
      <c r="E249" s="171"/>
      <c r="F249" s="12"/>
      <c r="G249" s="12"/>
      <c r="H249" s="12"/>
      <c r="I249" s="12"/>
      <c r="J249" s="12"/>
      <c r="K249" s="12"/>
      <c r="L249" s="12"/>
      <c r="M249" s="12"/>
      <c r="N249" s="12"/>
      <c r="O249" s="12"/>
      <c r="P249" s="12"/>
      <c r="Q249" s="12"/>
      <c r="R249" s="12"/>
      <c r="S249" s="180"/>
      <c r="T249" s="12"/>
      <c r="U249" s="12"/>
      <c r="V249" s="12"/>
      <c r="W249" s="12"/>
      <c r="X249" s="12"/>
      <c r="Y249" s="36">
        <f>10%*SA</f>
        <v>100000</v>
      </c>
      <c r="Z249" s="12"/>
    </row>
    <row r="250" ht="15.75" customHeight="1">
      <c r="A250" s="12"/>
      <c r="B250" s="12"/>
      <c r="C250" s="12"/>
      <c r="D250" s="12"/>
      <c r="E250" s="171"/>
      <c r="F250" s="12"/>
      <c r="G250" s="12"/>
      <c r="H250" s="12"/>
      <c r="I250" s="12"/>
      <c r="J250" s="12"/>
      <c r="K250" s="12"/>
      <c r="L250" s="12"/>
      <c r="M250" s="12"/>
      <c r="N250" s="12"/>
      <c r="O250" s="12"/>
      <c r="P250" s="12"/>
      <c r="Q250" s="12"/>
      <c r="R250" s="12"/>
      <c r="S250" s="180"/>
      <c r="T250" s="12"/>
      <c r="U250" s="12"/>
      <c r="V250" s="12"/>
      <c r="W250" s="12"/>
      <c r="X250" s="12"/>
      <c r="Y250" s="36">
        <f>10%*SA</f>
        <v>100000</v>
      </c>
      <c r="Z250" s="12"/>
    </row>
    <row r="251" ht="15.75" customHeight="1">
      <c r="A251" s="12"/>
      <c r="B251" s="12"/>
      <c r="C251" s="12"/>
      <c r="D251" s="12"/>
      <c r="E251" s="171"/>
      <c r="F251" s="12"/>
      <c r="G251" s="12"/>
      <c r="H251" s="12"/>
      <c r="I251" s="12"/>
      <c r="J251" s="12"/>
      <c r="K251" s="12"/>
      <c r="L251" s="12"/>
      <c r="M251" s="12"/>
      <c r="N251" s="12"/>
      <c r="O251" s="12"/>
      <c r="P251" s="12"/>
      <c r="Q251" s="12"/>
      <c r="R251" s="12"/>
      <c r="S251" s="180"/>
      <c r="T251" s="12"/>
      <c r="U251" s="12"/>
      <c r="V251" s="12"/>
      <c r="W251" s="12"/>
      <c r="X251" s="12"/>
      <c r="Y251" s="36">
        <f>10%*SA</f>
        <v>100000</v>
      </c>
      <c r="Z251" s="12"/>
    </row>
    <row r="252" ht="15.75" customHeight="1">
      <c r="A252" s="12"/>
      <c r="B252" s="12"/>
      <c r="C252" s="12"/>
      <c r="D252" s="12"/>
      <c r="E252" s="171"/>
      <c r="F252" s="12"/>
      <c r="G252" s="12"/>
      <c r="H252" s="12"/>
      <c r="I252" s="12"/>
      <c r="J252" s="12"/>
      <c r="K252" s="12"/>
      <c r="L252" s="12"/>
      <c r="M252" s="12"/>
      <c r="N252" s="12"/>
      <c r="O252" s="12"/>
      <c r="P252" s="12"/>
      <c r="Q252" s="12"/>
      <c r="R252" s="12"/>
      <c r="S252" s="180"/>
      <c r="T252" s="12"/>
      <c r="U252" s="12"/>
      <c r="V252" s="12"/>
      <c r="W252" s="12"/>
      <c r="X252" s="12"/>
      <c r="Y252" s="36">
        <f>10%*SA</f>
        <v>100000</v>
      </c>
      <c r="Z252" s="12"/>
    </row>
    <row r="253" ht="15.75" customHeight="1">
      <c r="A253" s="12"/>
      <c r="B253" s="12"/>
      <c r="C253" s="12"/>
      <c r="D253" s="12"/>
      <c r="E253" s="171"/>
      <c r="F253" s="12"/>
      <c r="G253" s="12"/>
      <c r="H253" s="12"/>
      <c r="I253" s="12"/>
      <c r="J253" s="12"/>
      <c r="K253" s="12"/>
      <c r="L253" s="12"/>
      <c r="M253" s="12"/>
      <c r="N253" s="12"/>
      <c r="O253" s="12"/>
      <c r="P253" s="12"/>
      <c r="Q253" s="12"/>
      <c r="R253" s="12"/>
      <c r="S253" s="180"/>
      <c r="T253" s="12"/>
      <c r="U253" s="12"/>
      <c r="V253" s="12"/>
      <c r="W253" s="12"/>
      <c r="X253" s="12"/>
      <c r="Y253" s="36">
        <f>10%*SA</f>
        <v>100000</v>
      </c>
      <c r="Z253" s="12"/>
    </row>
    <row r="254" ht="15.75" customHeight="1">
      <c r="A254" s="12"/>
      <c r="B254" s="12"/>
      <c r="C254" s="12"/>
      <c r="D254" s="12"/>
      <c r="E254" s="171"/>
      <c r="F254" s="12"/>
      <c r="G254" s="12"/>
      <c r="H254" s="12"/>
      <c r="I254" s="12"/>
      <c r="J254" s="12"/>
      <c r="K254" s="12"/>
      <c r="L254" s="12"/>
      <c r="M254" s="12"/>
      <c r="N254" s="12"/>
      <c r="O254" s="12"/>
      <c r="P254" s="12"/>
      <c r="Q254" s="12"/>
      <c r="R254" s="12"/>
      <c r="S254" s="180"/>
      <c r="T254" s="12"/>
      <c r="U254" s="12"/>
      <c r="V254" s="12"/>
      <c r="W254" s="12"/>
      <c r="X254" s="12"/>
      <c r="Y254" s="36">
        <f>10%*SA</f>
        <v>100000</v>
      </c>
      <c r="Z254" s="12"/>
    </row>
    <row r="255" ht="15.75" customHeight="1">
      <c r="A255" s="12"/>
      <c r="B255" s="12"/>
      <c r="C255" s="12"/>
      <c r="D255" s="12"/>
      <c r="E255" s="171"/>
      <c r="F255" s="12"/>
      <c r="G255" s="12"/>
      <c r="H255" s="12"/>
      <c r="I255" s="12"/>
      <c r="J255" s="12"/>
      <c r="K255" s="12"/>
      <c r="L255" s="12"/>
      <c r="M255" s="12"/>
      <c r="N255" s="12"/>
      <c r="O255" s="12"/>
      <c r="P255" s="12"/>
      <c r="Q255" s="12"/>
      <c r="R255" s="12"/>
      <c r="S255" s="180"/>
      <c r="T255" s="12"/>
      <c r="U255" s="12"/>
      <c r="V255" s="12"/>
      <c r="W255" s="12"/>
      <c r="X255" s="12"/>
      <c r="Y255" s="36">
        <f>10%*SA</f>
        <v>100000</v>
      </c>
      <c r="Z255" s="12"/>
    </row>
    <row r="256" ht="15.75" customHeight="1">
      <c r="A256" s="12"/>
      <c r="B256" s="12"/>
      <c r="C256" s="12"/>
      <c r="D256" s="12"/>
      <c r="E256" s="171"/>
      <c r="F256" s="12"/>
      <c r="G256" s="12"/>
      <c r="H256" s="12"/>
      <c r="I256" s="12"/>
      <c r="J256" s="12"/>
      <c r="K256" s="12"/>
      <c r="L256" s="12"/>
      <c r="M256" s="12"/>
      <c r="N256" s="12"/>
      <c r="O256" s="12"/>
      <c r="P256" s="12"/>
      <c r="Q256" s="12"/>
      <c r="R256" s="12"/>
      <c r="S256" s="180"/>
      <c r="T256" s="12"/>
      <c r="U256" s="12"/>
      <c r="V256" s="12"/>
      <c r="W256" s="12"/>
      <c r="X256" s="12"/>
      <c r="Y256" s="36">
        <f>10%*SA</f>
        <v>100000</v>
      </c>
      <c r="Z256" s="12"/>
    </row>
    <row r="257" ht="15.75" customHeight="1">
      <c r="A257" s="12"/>
      <c r="B257" s="12"/>
      <c r="C257" s="12"/>
      <c r="D257" s="12"/>
      <c r="E257" s="171"/>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71"/>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71"/>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71"/>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71"/>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71"/>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71"/>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71"/>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71"/>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71"/>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71"/>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71"/>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71"/>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71"/>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71"/>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71"/>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71"/>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71"/>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71"/>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71"/>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71"/>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71"/>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71"/>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71"/>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71"/>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71"/>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71"/>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71"/>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71"/>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71"/>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71"/>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71"/>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71"/>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71"/>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71"/>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71"/>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71"/>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71"/>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71"/>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71"/>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71"/>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71"/>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71"/>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71"/>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71"/>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71"/>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71"/>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71"/>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71"/>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71"/>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71"/>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71"/>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71"/>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71"/>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71"/>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71"/>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71"/>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71"/>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71"/>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71"/>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71"/>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71"/>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71"/>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71"/>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71"/>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71"/>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71"/>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71"/>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71"/>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71"/>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71"/>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71"/>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71"/>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71"/>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71"/>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71"/>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71"/>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71"/>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71"/>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71"/>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71"/>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71"/>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71"/>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71"/>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71"/>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71"/>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71"/>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71"/>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71"/>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71"/>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71"/>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71"/>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71"/>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71"/>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71"/>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71"/>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71"/>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71"/>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71"/>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71"/>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71"/>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71"/>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71"/>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71"/>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71"/>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71"/>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71"/>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71"/>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71"/>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71"/>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71"/>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71"/>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71"/>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71"/>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71"/>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71"/>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71"/>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71"/>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71"/>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71"/>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71"/>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71"/>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71"/>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71"/>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71"/>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71"/>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71"/>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71"/>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71"/>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71"/>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71"/>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71"/>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71"/>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71"/>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71"/>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71"/>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71"/>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71"/>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71"/>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71"/>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71"/>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71"/>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71"/>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71"/>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71"/>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71"/>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71"/>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71"/>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71"/>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71"/>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71"/>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71"/>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71"/>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71"/>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71"/>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71"/>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71"/>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71"/>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71"/>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71"/>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71"/>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71"/>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71"/>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71"/>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71"/>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71"/>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71"/>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71"/>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71"/>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71"/>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71"/>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71"/>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71"/>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71"/>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71"/>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71"/>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71"/>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71"/>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71"/>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71"/>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71"/>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71"/>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71"/>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71"/>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71"/>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71"/>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71"/>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71"/>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71"/>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71"/>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0" width="12.63"/>
    <col customWidth="1" min="11" max="11" width="20.13"/>
    <col customWidth="1" min="12" max="12" width="12.63"/>
    <col customWidth="1" min="13" max="13" width="16.88"/>
    <col customWidth="1" min="14" max="23" width="12.63"/>
  </cols>
  <sheetData>
    <row r="1">
      <c r="A1" s="12"/>
      <c r="B1" s="36"/>
      <c r="C1" s="169"/>
      <c r="D1" s="36"/>
      <c r="E1" s="36"/>
      <c r="F1" s="170"/>
      <c r="G1" s="12"/>
      <c r="H1" s="36"/>
      <c r="I1" s="36"/>
      <c r="J1" s="170"/>
      <c r="K1" s="170"/>
      <c r="L1" s="12"/>
      <c r="M1" s="36"/>
      <c r="N1" s="12"/>
      <c r="O1" s="12"/>
      <c r="P1" s="12"/>
      <c r="Q1" s="12"/>
      <c r="R1" s="12"/>
      <c r="S1" s="12"/>
      <c r="T1" s="36"/>
      <c r="U1" s="12"/>
      <c r="V1" s="12"/>
      <c r="W1" s="12"/>
      <c r="X1" s="12"/>
      <c r="Y1" s="12"/>
      <c r="Z1" s="12"/>
    </row>
    <row r="2">
      <c r="A2" s="36"/>
      <c r="B2" s="36"/>
      <c r="C2" s="36"/>
      <c r="D2" s="36"/>
      <c r="E2" s="36"/>
      <c r="F2" s="36"/>
      <c r="G2" s="36"/>
      <c r="H2" s="36"/>
      <c r="I2" s="36"/>
      <c r="J2" s="36"/>
      <c r="K2" s="36"/>
      <c r="L2" s="12"/>
      <c r="M2" s="36"/>
      <c r="N2" s="12"/>
      <c r="O2" s="12"/>
      <c r="P2" s="12"/>
      <c r="Q2" s="12"/>
      <c r="R2" s="12"/>
      <c r="S2" s="12"/>
      <c r="T2" s="36"/>
      <c r="U2" s="12"/>
      <c r="V2" s="12"/>
      <c r="W2" s="12"/>
      <c r="X2" s="12"/>
      <c r="Y2" s="12"/>
      <c r="Z2" s="12"/>
    </row>
    <row r="3">
      <c r="A3" s="36"/>
      <c r="B3" s="36"/>
      <c r="C3" s="36"/>
      <c r="D3" s="36"/>
      <c r="E3" s="36"/>
      <c r="F3" s="36"/>
      <c r="G3" s="36"/>
      <c r="H3" s="36"/>
      <c r="I3" s="36"/>
      <c r="J3" s="36"/>
      <c r="K3" s="36"/>
      <c r="L3" s="12"/>
      <c r="M3" s="36"/>
      <c r="N3" s="12"/>
      <c r="O3" s="12"/>
      <c r="P3" s="12"/>
      <c r="Q3" s="12"/>
      <c r="R3" s="12"/>
      <c r="S3" s="12"/>
      <c r="T3" s="36"/>
      <c r="U3" s="12"/>
      <c r="V3" s="12"/>
      <c r="W3" s="12"/>
      <c r="X3" s="12"/>
      <c r="Y3" s="12"/>
      <c r="Z3" s="12"/>
    </row>
    <row r="4">
      <c r="A4" s="171" t="s">
        <v>251</v>
      </c>
      <c r="B4" s="171" t="s">
        <v>215</v>
      </c>
      <c r="C4" s="171" t="s">
        <v>252</v>
      </c>
      <c r="D4" s="171" t="s">
        <v>225</v>
      </c>
      <c r="E4" s="171" t="s">
        <v>253</v>
      </c>
      <c r="F4" s="171" t="s">
        <v>216</v>
      </c>
      <c r="G4" s="171" t="s">
        <v>254</v>
      </c>
      <c r="H4" s="171" t="s">
        <v>255</v>
      </c>
      <c r="I4" s="171" t="s">
        <v>256</v>
      </c>
      <c r="J4" s="171" t="s">
        <v>257</v>
      </c>
      <c r="K4" s="171" t="s">
        <v>258</v>
      </c>
      <c r="L4" s="171" t="s">
        <v>259</v>
      </c>
      <c r="M4" s="171" t="s">
        <v>260</v>
      </c>
      <c r="N4" s="171" t="s">
        <v>261</v>
      </c>
      <c r="O4" s="171" t="s">
        <v>262</v>
      </c>
      <c r="P4" s="171" t="s">
        <v>239</v>
      </c>
      <c r="Q4" s="171" t="s">
        <v>263</v>
      </c>
      <c r="R4" s="112" t="s">
        <v>221</v>
      </c>
      <c r="S4" s="112"/>
      <c r="T4" s="172">
        <f>(IRR(T7:T246)+1)^12-1</f>
        <v>0.1308802</v>
      </c>
      <c r="U4" s="171"/>
      <c r="V4" s="112" t="s">
        <v>267</v>
      </c>
      <c r="W4" s="112" t="s">
        <v>268</v>
      </c>
      <c r="X4" s="112" t="s">
        <v>269</v>
      </c>
      <c r="Y4" s="12"/>
      <c r="Z4" s="12"/>
    </row>
    <row r="5">
      <c r="A5" s="171"/>
      <c r="B5" s="171"/>
      <c r="C5" s="171"/>
      <c r="D5" s="171"/>
      <c r="E5" s="171"/>
      <c r="F5" s="171"/>
      <c r="G5" s="171"/>
      <c r="H5" s="171"/>
      <c r="I5" s="171"/>
      <c r="J5" s="171"/>
      <c r="K5" s="171"/>
      <c r="L5" s="171"/>
      <c r="M5" s="171"/>
      <c r="N5" s="171"/>
      <c r="O5" s="171"/>
      <c r="P5" s="171"/>
      <c r="Q5" s="171"/>
      <c r="R5" s="112"/>
      <c r="S5" s="112"/>
      <c r="T5" s="171"/>
      <c r="U5" s="171"/>
      <c r="V5" s="112"/>
      <c r="W5" s="171"/>
      <c r="X5" s="171"/>
      <c r="Y5" s="12"/>
      <c r="Z5" s="12"/>
    </row>
    <row r="6">
      <c r="A6" s="171">
        <f>'Pre-Calculation'!D12</f>
        <v>60</v>
      </c>
      <c r="B6" s="171"/>
      <c r="C6" s="171"/>
      <c r="D6" s="171"/>
      <c r="E6" s="171"/>
      <c r="F6" s="171"/>
      <c r="G6" s="173"/>
      <c r="H6" s="173"/>
      <c r="I6" s="173"/>
      <c r="J6" s="171"/>
      <c r="K6" s="171"/>
      <c r="L6" s="171"/>
      <c r="M6" s="171"/>
      <c r="N6" s="174">
        <f>SV+Revival!C14-SUM(Revival!D14:E14)*(1+Tax)-PW</f>
        <v>750000</v>
      </c>
      <c r="O6" s="171"/>
      <c r="P6" s="171"/>
      <c r="Q6" s="175">
        <f>Revival!C8+Revival!C14</f>
        <v>600000</v>
      </c>
      <c r="R6" s="112"/>
      <c r="S6" s="112"/>
      <c r="T6" s="175"/>
      <c r="U6" s="171"/>
      <c r="V6" s="112"/>
      <c r="W6" s="171"/>
      <c r="X6" s="171"/>
      <c r="Y6" s="12"/>
      <c r="Z6" s="12"/>
    </row>
    <row r="7">
      <c r="A7" s="171">
        <f t="shared" ref="A7:A246" si="1">A6+1</f>
        <v>61</v>
      </c>
      <c r="B7" s="171">
        <f t="shared" ref="B7:B246" si="2">_xlfn.CEILING.MATH(A7/12)</f>
        <v>6</v>
      </c>
      <c r="C7" s="176">
        <f>EDATE(RCD,A6)</f>
        <v>44377</v>
      </c>
      <c r="D7" s="171">
        <f>Age_At_Entry+Cashflows_HIST!B7-1</f>
        <v>40</v>
      </c>
      <c r="E7" s="175">
        <f>IF(AND(C7&lt;=Last_Prem,MOD(A6,Mode)=0,C7&gt;INPUT!$C$13,A7&lt;=Revival!$C$11),Mod_Prem,0)</f>
        <v>0</v>
      </c>
      <c r="F7" s="177">
        <f>E7*VLOOKUP(B7,'Pre-Calculation'!$H$1:$I$31,2,FALSE)</f>
        <v>0</v>
      </c>
      <c r="G7" s="177">
        <f>IF(B7&lt;PT+1,VLOOKUP(B7,'Pre-Calculation'!$H$1:$L$32,3,FALSE)+VLOOKUP(B7,'Pre-Calculation'!$H$1:$L$32,4,FALSE)*'Pre-Calculation'!$D$7,0)</f>
        <v>830</v>
      </c>
      <c r="H7" s="175">
        <f>(E7-(F7+G7)*(1+Tax)+N6)</f>
        <v>749020.6</v>
      </c>
      <c r="I7" s="175">
        <f>IF(B7&lt;PT+1,VLOOKUP(D7,'Pre-Calculation'!$N$3:$P$79,IF(INPUT!$C$4="M",2,3),FALSE)*(J7/1000)*(1/12),0)</f>
        <v>37.69919738</v>
      </c>
      <c r="J7" s="175">
        <f t="shared" ref="J7:J246" si="3">MAX(0,(K7-H7))</f>
        <v>250979.4</v>
      </c>
      <c r="K7" s="175">
        <f>(IF('Pre-Calculation'!$D$17="Type 4 a",MAX(SA,H7,1.05*Q7),IF('Pre-Calculation'!$D$17="Type 4 c",H7,IF('Pre-Calculation'!$D$17="Type 4 d",SA+H7,IF('Pre-Calculation'!$D$17="Type 4 e",MAX(SA,H7),IF('Pre-Calculation'!$D$17="Type 4 f",SA,IF('Pre-Calculation'!$D$17="Type 4 g",1000+H7,IF('Pre-Calculation'!$D$17="Type 4 h",SA+V7,IF('Pre-Calculation'!$D$17="Type 4 i",MAX(H7,Q7),IF('Pre-Calculation'!$D$17="Type 4 k",MAX(H7,1.01*Q7),IF('Pre-Calculation'!$D$17="Type 4 m",MAX(105%*Q7,SA+H7),IF('Pre-Calculation'!$D$17="Type 4 o",MAX(SA,105%*Q7)+V7+X7,IF('Pre-Calculation'!$D$17="Type 5",0)))))))))))))*IF(AND(A7&lt;Revival!$C$4,C7&gt;Revival!$D$12),PUP,1)</f>
        <v>1000000</v>
      </c>
      <c r="L7" s="175">
        <f>H7-I7*(1+Tax)</f>
        <v>748976.1149</v>
      </c>
      <c r="M7" s="175">
        <f>L7*(1+GROWTH_RATE_HIST)</f>
        <v>757159.6589</v>
      </c>
      <c r="N7" s="175">
        <f>M7+IF(MOD(A7,B7)=0,VLOOKUP(B7,'Pre-Calculation'!$H$1:$L$31,5,FALSE),0)*IF('Pre-Calculation'!$D$16="% OF FV",M7,IF(OR('Pre-Calculation'!$D$16="% OF AFV(24M)",'Pre-Calculation'!$D$16="% OF AFV(8Q)"),AVERAGE( $M$7:$M7),IF('Pre-Calculation'!$D$16="% OF AFV(12M)",AVERAGE($M$7:M7),IF('Pre-Calculation'!$D$16="% OF AFV(36M)",AVERAGE($M$7:M7)))))</f>
        <v>757159.6589</v>
      </c>
      <c r="O7" s="175">
        <f t="shared" ref="O7:O246" si="4">N7</f>
        <v>757159.6589</v>
      </c>
      <c r="P7" s="175">
        <f>IF('Pre-Calculation'!$D$17="Type 4 a",MAX(SA,N7,1.05*Q7),IF('Pre-Calculation'!$D$17="Type 4 c",N7,IF('Pre-Calculation'!$D$17="Type 4 d",SA+N7,IF('Pre-Calculation'!$D$17="Type 4 e",MAX(SA,N7),IF('Pre-Calculation'!$D$17="Type 4 f",SA,IF('Pre-Calculation'!$D$17="Type 4 g",1000+N7,IF('Pre-Calculation'!$D$17="Type 4 h",SA+V7,IF('Pre-Calculation'!$D$17="Type 4 i",MAX(N7,Q7),IF('Pre-Calculation'!$D$17="Type 4 k",MAX(N7,1.01*Q7),IF('Pre-Calculation'!$D$17="Type 4 m",MAX(105%*Q7,SA+N7),IF('Pre-Calculation'!$D$17="Type 4 o",MAX(SA,105%*Q7)+V7+X7,IF('Pre-Calculation'!$D$17="Type 5",0))))))))))))</f>
        <v>1000000</v>
      </c>
      <c r="Q7" s="175">
        <f t="shared" ref="Q7:Q246" si="5">Q6+E7</f>
        <v>600000</v>
      </c>
      <c r="R7" s="119">
        <f>L7*(1+GROWTH_RATE)*FMC</f>
        <v>847.5582643</v>
      </c>
      <c r="S7" s="112"/>
      <c r="T7" s="174">
        <f>-E7+IF(A6=INPUT!$C$11*12,N7,0)-N6</f>
        <v>-750000</v>
      </c>
      <c r="U7" s="171"/>
      <c r="V7" s="179">
        <f t="array" ref="V7">NPV('Pre-Calculation'!$E$20,$E8:E$246)</f>
        <v>338721.1256</v>
      </c>
      <c r="W7" s="171">
        <f>10%*SA</f>
        <v>100000</v>
      </c>
      <c r="X7" s="179">
        <f t="array" ref="X7">NPV('Pre-Calculation'!$E$20,W8:W17)</f>
        <v>969592.8037</v>
      </c>
      <c r="Y7" s="12"/>
      <c r="Z7" s="12"/>
    </row>
    <row r="8">
      <c r="A8" s="171">
        <f t="shared" si="1"/>
        <v>62</v>
      </c>
      <c r="B8" s="171">
        <f t="shared" si="2"/>
        <v>6</v>
      </c>
      <c r="C8" s="176">
        <f>EDATE(RCD,A7)</f>
        <v>44407</v>
      </c>
      <c r="D8" s="171">
        <f>Age_At_Entry+Cashflows_HIST!B8-1</f>
        <v>40</v>
      </c>
      <c r="E8" s="175">
        <f>IF(AND(C8&lt;=Last_Prem,MOD(A7,Mode)=0,C8&gt;INPUT!$C$13,A8&lt;=Revival!$C$11),Mod_Prem,0)</f>
        <v>0</v>
      </c>
      <c r="F8" s="177">
        <f>E8*VLOOKUP(B8,'Pre-Calculation'!$H$1:$I$31,2,FALSE)</f>
        <v>0</v>
      </c>
      <c r="G8" s="177">
        <f>IF(B8&lt;PT+1,VLOOKUP(B8,'Pre-Calculation'!$H$1:$L$32,3,FALSE)+VLOOKUP(B8,'Pre-Calculation'!$H$1:$L$32,4,FALSE)*'Pre-Calculation'!$D$7,0)</f>
        <v>830</v>
      </c>
      <c r="H8" s="175">
        <f>(E8-(F8+G8)*(1+Tax)+N7)</f>
        <v>756180.2589</v>
      </c>
      <c r="I8" s="175">
        <f>IF(B8&lt;PT+1,VLOOKUP(D8,'Pre-Calculation'!$N$3:$P$79,IF(INPUT!$C$4="M",2,3),FALSE)*(J8/1000)*(1/12),0)</f>
        <v>36.62375694</v>
      </c>
      <c r="J8" s="175">
        <f t="shared" si="3"/>
        <v>243819.7411</v>
      </c>
      <c r="K8" s="175">
        <f>(IF('Pre-Calculation'!$D$17="Type 4 a",MAX(SA,H8,1.05*Q8),IF('Pre-Calculation'!$D$17="Type 4 c",H8,IF('Pre-Calculation'!$D$17="Type 4 d",SA+H8,IF('Pre-Calculation'!$D$17="Type 4 e",MAX(SA,H8),IF('Pre-Calculation'!$D$17="Type 4 f",SA,IF('Pre-Calculation'!$D$17="Type 4 g",1000+H8,IF('Pre-Calculation'!$D$17="Type 4 h",SA+V8,IF('Pre-Calculation'!$D$17="Type 4 i",MAX(H8,Q8),IF('Pre-Calculation'!$D$17="Type 4 k",MAX(H8,1.01*Q8),IF('Pre-Calculation'!$D$17="Type 4 m",MAX(105%*Q8,SA+H8),IF('Pre-Calculation'!$D$17="Type 4 o",MAX(SA,105%*Q8)+V8+X8,IF('Pre-Calculation'!$D$17="Type 5",0)))))))))))))*IF(AND(A8&lt;Revival!$C$4,C8&gt;Revival!$D$12),PUP,1)</f>
        <v>1000000</v>
      </c>
      <c r="L8" s="175">
        <f>H8-I8*(1+Tax)</f>
        <v>756137.0429</v>
      </c>
      <c r="M8" s="175">
        <f>L8*(1+GROWTH_RATE_HIST)</f>
        <v>764398.8294</v>
      </c>
      <c r="N8" s="175">
        <f>M8+IF(MOD(A8,B8)=0,VLOOKUP(B8,'Pre-Calculation'!$H$1:$L$31,5,FALSE),0)*IF('Pre-Calculation'!$D$16="% OF FV",M8,IF(OR('Pre-Calculation'!$D$16="% OF AFV(24M)",'Pre-Calculation'!$D$16="% OF AFV(8Q)"),AVERAGE( $M$7:$M8),IF('Pre-Calculation'!$D$16="% OF AFV(12M)",AVERAGE($M$7:M8),IF('Pre-Calculation'!$D$16="% OF AFV(36M)",AVERAGE($M$7:M8)))))</f>
        <v>764398.8294</v>
      </c>
      <c r="O8" s="175">
        <f t="shared" si="4"/>
        <v>764398.8294</v>
      </c>
      <c r="P8" s="175">
        <f>IF('Pre-Calculation'!$D$17="Type 4 a",MAX(SA,N8,1.05*Q8),IF('Pre-Calculation'!$D$17="Type 4 c",N8,IF('Pre-Calculation'!$D$17="Type 4 d",SA+N8,IF('Pre-Calculation'!$D$17="Type 4 e",MAX(SA,N8),IF('Pre-Calculation'!$D$17="Type 4 f",SA,IF('Pre-Calculation'!$D$17="Type 4 g",1000+N8,IF('Pre-Calculation'!$D$17="Type 4 h",SA+V8,IF('Pre-Calculation'!$D$17="Type 4 i",MAX(N8,Q8),IF('Pre-Calculation'!$D$17="Type 4 k",MAX(N8,1.01*Q8),IF('Pre-Calculation'!$D$17="Type 4 m",MAX(105%*Q8,SA+N8),IF('Pre-Calculation'!$D$17="Type 4 o",MAX(SA,105%*Q8)+V8+X8,IF('Pre-Calculation'!$D$17="Type 5",0))))))))))))</f>
        <v>1000000</v>
      </c>
      <c r="Q8" s="175">
        <f t="shared" si="5"/>
        <v>600000</v>
      </c>
      <c r="R8" s="119">
        <f>L8*(1+GROWTH_RATE)*FMC</f>
        <v>855.6617318</v>
      </c>
      <c r="S8" s="112"/>
      <c r="T8" s="175">
        <f>-E8+IF(A7=INPUT!$C$11*12,N8,0)</f>
        <v>0</v>
      </c>
      <c r="U8" s="171"/>
      <c r="V8" s="179">
        <f t="array" ref="V8">NPV('Pre-Calculation'!$E$20,$E9:E$246)</f>
        <v>340636.3041</v>
      </c>
      <c r="W8" s="171">
        <f>10%*SA</f>
        <v>100000</v>
      </c>
      <c r="X8" s="179">
        <f t="array" ref="X8">NPV('Pre-Calculation'!$E$20,W9:W18)</f>
        <v>969592.8037</v>
      </c>
      <c r="Y8" s="12"/>
      <c r="Z8" s="12"/>
    </row>
    <row r="9">
      <c r="A9" s="171">
        <f t="shared" si="1"/>
        <v>63</v>
      </c>
      <c r="B9" s="171">
        <f t="shared" si="2"/>
        <v>6</v>
      </c>
      <c r="C9" s="176">
        <f>EDATE(RCD,A8)</f>
        <v>44438</v>
      </c>
      <c r="D9" s="171">
        <f>Age_At_Entry+Cashflows_HIST!B9-1</f>
        <v>40</v>
      </c>
      <c r="E9" s="175">
        <f>IF(AND(C9&lt;=Last_Prem,MOD(A8,Mode)=0,C9&gt;INPUT!$C$13,A9&lt;=Revival!$C$11),Mod_Prem,0)</f>
        <v>0</v>
      </c>
      <c r="F9" s="177">
        <f>E9*VLOOKUP(B9,'Pre-Calculation'!$H$1:$I$31,2,FALSE)</f>
        <v>0</v>
      </c>
      <c r="G9" s="177">
        <f>IF(B9&lt;PT+1,VLOOKUP(B9,'Pre-Calculation'!$H$1:$L$32,3,FALSE)+VLOOKUP(B9,'Pre-Calculation'!$H$1:$L$32,4,FALSE)*'Pre-Calculation'!$D$7,0)</f>
        <v>830</v>
      </c>
      <c r="H9" s="175">
        <f>(E9-(F9+G9)*(1+Tax)+N8)</f>
        <v>763419.4294</v>
      </c>
      <c r="I9" s="175">
        <f>IF(B9&lt;PT+1,VLOOKUP(D9,'Pre-Calculation'!$N$3:$P$79,IF(INPUT!$C$4="M",2,3),FALSE)*(J9/1000)*(1/12),0)</f>
        <v>35.53637321</v>
      </c>
      <c r="J9" s="175">
        <f t="shared" si="3"/>
        <v>236580.5706</v>
      </c>
      <c r="K9" s="175">
        <f>(IF('Pre-Calculation'!$D$17="Type 4 a",MAX(SA,H9,1.05*Q9),IF('Pre-Calculation'!$D$17="Type 4 c",H9,IF('Pre-Calculation'!$D$17="Type 4 d",SA+H9,IF('Pre-Calculation'!$D$17="Type 4 e",MAX(SA,H9),IF('Pre-Calculation'!$D$17="Type 4 f",SA,IF('Pre-Calculation'!$D$17="Type 4 g",1000+H9,IF('Pre-Calculation'!$D$17="Type 4 h",SA+V9,IF('Pre-Calculation'!$D$17="Type 4 i",MAX(H9,Q9),IF('Pre-Calculation'!$D$17="Type 4 k",MAX(H9,1.01*Q9),IF('Pre-Calculation'!$D$17="Type 4 m",MAX(105%*Q9,SA+H9),IF('Pre-Calculation'!$D$17="Type 4 o",MAX(SA,105%*Q9)+V9+X9,IF('Pre-Calculation'!$D$17="Type 5",0)))))))))))))*IF(AND(A9&lt;Revival!$C$4,C9&gt;Revival!$D$12),PUP,1)</f>
        <v>1000000</v>
      </c>
      <c r="L9" s="175">
        <f>H9-I9*(1+Tax)</f>
        <v>763377.4965</v>
      </c>
      <c r="M9" s="175">
        <f>L9*(1+GROWTH_RATE_HIST)</f>
        <v>771718.3944</v>
      </c>
      <c r="N9" s="175">
        <f>M9+IF(MOD(A9,B9)=0,VLOOKUP(B9,'Pre-Calculation'!$H$1:$L$31,5,FALSE),0)*IF('Pre-Calculation'!$D$16="% OF FV",M9,IF(OR('Pre-Calculation'!$D$16="% OF AFV(24M)",'Pre-Calculation'!$D$16="% OF AFV(8Q)"),AVERAGE( $M$7:$M9),IF('Pre-Calculation'!$D$16="% OF AFV(12M)",AVERAGE($M$7:M9),IF('Pre-Calculation'!$D$16="% OF AFV(36M)",AVERAGE($M$7:M9)))))</f>
        <v>771718.3944</v>
      </c>
      <c r="O9" s="175">
        <f t="shared" si="4"/>
        <v>771718.3944</v>
      </c>
      <c r="P9" s="175">
        <f>IF('Pre-Calculation'!$D$17="Type 4 a",MAX(SA,N9,1.05*Q9),IF('Pre-Calculation'!$D$17="Type 4 c",N9,IF('Pre-Calculation'!$D$17="Type 4 d",SA+N9,IF('Pre-Calculation'!$D$17="Type 4 e",MAX(SA,N9),IF('Pre-Calculation'!$D$17="Type 4 f",SA,IF('Pre-Calculation'!$D$17="Type 4 g",1000+N9,IF('Pre-Calculation'!$D$17="Type 4 h",SA+V9,IF('Pre-Calculation'!$D$17="Type 4 i",MAX(N9,Q9),IF('Pre-Calculation'!$D$17="Type 4 k",MAX(N9,1.01*Q9),IF('Pre-Calculation'!$D$17="Type 4 m",MAX(105%*Q9,SA+N9),IF('Pre-Calculation'!$D$17="Type 4 o",MAX(SA,105%*Q9)+V9+X9,IF('Pre-Calculation'!$D$17="Type 5",0))))))))))))</f>
        <v>1000000</v>
      </c>
      <c r="Q9" s="175">
        <f t="shared" si="5"/>
        <v>600000</v>
      </c>
      <c r="R9" s="119">
        <f>L9*(1+GROWTH_RATE)*FMC</f>
        <v>863.8551924</v>
      </c>
      <c r="S9" s="112"/>
      <c r="T9" s="175">
        <f>-E9+IF(A8=INPUT!$C$11*12,N9,0)</f>
        <v>0</v>
      </c>
      <c r="U9" s="112"/>
      <c r="V9" s="179">
        <f t="array" ref="V9">NPV('Pre-Calculation'!$E$20,$E10:E$246)</f>
        <v>342562.3113</v>
      </c>
      <c r="W9" s="171">
        <f>10%*SA</f>
        <v>100000</v>
      </c>
      <c r="X9" s="179">
        <f t="array" ref="X9">NPV('Pre-Calculation'!$E$20,W10:W19)</f>
        <v>969592.8037</v>
      </c>
      <c r="Y9" s="12"/>
      <c r="Z9" s="12"/>
    </row>
    <row r="10">
      <c r="A10" s="171">
        <f t="shared" si="1"/>
        <v>64</v>
      </c>
      <c r="B10" s="171">
        <f t="shared" si="2"/>
        <v>6</v>
      </c>
      <c r="C10" s="176">
        <f>EDATE(RCD,A9)</f>
        <v>44469</v>
      </c>
      <c r="D10" s="171">
        <f>Age_At_Entry+Cashflows_HIST!B10-1</f>
        <v>40</v>
      </c>
      <c r="E10" s="175">
        <f>IF(AND(C10&lt;=Last_Prem,MOD(A9,Mode)=0,C10&gt;INPUT!$C$13,A10&lt;=Revival!$C$11),Mod_Prem,0)</f>
        <v>0</v>
      </c>
      <c r="F10" s="177">
        <f>E10*VLOOKUP(B10,'Pre-Calculation'!$H$1:$I$31,2,FALSE)</f>
        <v>0</v>
      </c>
      <c r="G10" s="177">
        <f>IF(B10&lt;PT+1,VLOOKUP(B10,'Pre-Calculation'!$H$1:$L$32,3,FALSE)+VLOOKUP(B10,'Pre-Calculation'!$H$1:$L$32,4,FALSE)*'Pre-Calculation'!$D$7,0)</f>
        <v>830</v>
      </c>
      <c r="H10" s="175">
        <f>(E10-(F10+G10)*(1+Tax)+N9)</f>
        <v>770738.9944</v>
      </c>
      <c r="I10" s="175">
        <f>IF(B10&lt;PT+1,VLOOKUP(D10,'Pre-Calculation'!$N$3:$P$79,IF(INPUT!$C$4="M",2,3),FALSE)*(J10/1000)*(1/12),0)</f>
        <v>34.43691355</v>
      </c>
      <c r="J10" s="175">
        <f t="shared" si="3"/>
        <v>229261.0056</v>
      </c>
      <c r="K10" s="175">
        <f>(IF('Pre-Calculation'!$D$17="Type 4 a",MAX(SA,H10,1.05*Q10),IF('Pre-Calculation'!$D$17="Type 4 c",H10,IF('Pre-Calculation'!$D$17="Type 4 d",SA+H10,IF('Pre-Calculation'!$D$17="Type 4 e",MAX(SA,H10),IF('Pre-Calculation'!$D$17="Type 4 f",SA,IF('Pre-Calculation'!$D$17="Type 4 g",1000+H10,IF('Pre-Calculation'!$D$17="Type 4 h",SA+V10,IF('Pre-Calculation'!$D$17="Type 4 i",MAX(H10,Q10),IF('Pre-Calculation'!$D$17="Type 4 k",MAX(H10,1.01*Q10),IF('Pre-Calculation'!$D$17="Type 4 m",MAX(105%*Q10,SA+H10),IF('Pre-Calculation'!$D$17="Type 4 o",MAX(SA,105%*Q10)+V10+X10,IF('Pre-Calculation'!$D$17="Type 5",0)))))))))))))*IF(AND(A10&lt;Revival!$C$4,C10&gt;Revival!$D$12),PUP,1)</f>
        <v>1000000</v>
      </c>
      <c r="L10" s="175">
        <f>H10-I10*(1+Tax)</f>
        <v>770698.3588</v>
      </c>
      <c r="M10" s="175">
        <f>L10*(1+GROWTH_RATE_HIST)</f>
        <v>779119.2468</v>
      </c>
      <c r="N10" s="175">
        <f>M10+IF(MOD(A10,B10)=0,VLOOKUP(B10,'Pre-Calculation'!$H$1:$L$31,5,FALSE),0)*IF('Pre-Calculation'!$D$16="% OF FV",M10,IF(OR('Pre-Calculation'!$D$16="% OF AFV(24M)",'Pre-Calculation'!$D$16="% OF AFV(8Q)"),AVERAGE( $M$7:$M10),IF('Pre-Calculation'!$D$16="% OF AFV(12M)",AVERAGE($M$7:M10),IF('Pre-Calculation'!$D$16="% OF AFV(36M)",AVERAGE($M$7:M10)))))</f>
        <v>779119.2468</v>
      </c>
      <c r="O10" s="175">
        <f t="shared" si="4"/>
        <v>779119.2468</v>
      </c>
      <c r="P10" s="175">
        <f>IF('Pre-Calculation'!$D$17="Type 4 a",MAX(SA,N10,1.05*Q10),IF('Pre-Calculation'!$D$17="Type 4 c",N10,IF('Pre-Calculation'!$D$17="Type 4 d",SA+N10,IF('Pre-Calculation'!$D$17="Type 4 e",MAX(SA,N10),IF('Pre-Calculation'!$D$17="Type 4 f",SA,IF('Pre-Calculation'!$D$17="Type 4 g",1000+N10,IF('Pre-Calculation'!$D$17="Type 4 h",SA+V10,IF('Pre-Calculation'!$D$17="Type 4 i",MAX(N10,Q10),IF('Pre-Calculation'!$D$17="Type 4 k",MAX(N10,1.01*Q10),IF('Pre-Calculation'!$D$17="Type 4 m",MAX(105%*Q10,SA+N10),IF('Pre-Calculation'!$D$17="Type 4 o",MAX(SA,105%*Q10)+V10+X10,IF('Pre-Calculation'!$D$17="Type 5",0))))))))))))</f>
        <v>1000000</v>
      </c>
      <c r="Q10" s="175">
        <f t="shared" si="5"/>
        <v>600000</v>
      </c>
      <c r="R10" s="119">
        <f>L10*(1+GROWTH_RATE)*FMC</f>
        <v>872.1396454</v>
      </c>
      <c r="S10" s="112"/>
      <c r="T10" s="175">
        <f>-E10+IF(A9=INPUT!$C$11*12,N10,0)</f>
        <v>0</v>
      </c>
      <c r="U10" s="171"/>
      <c r="V10" s="179">
        <f t="array" ref="V10">NPV('Pre-Calculation'!$E$20,$E11:E$246)</f>
        <v>344499.2084</v>
      </c>
      <c r="W10" s="171">
        <f>10%*SA</f>
        <v>100000</v>
      </c>
      <c r="X10" s="179">
        <f t="array" ref="X10">NPV('Pre-Calculation'!$E$20,W11:W20)</f>
        <v>969592.8037</v>
      </c>
      <c r="Y10" s="12"/>
      <c r="Z10" s="12"/>
    </row>
    <row r="11">
      <c r="A11" s="171">
        <f t="shared" si="1"/>
        <v>65</v>
      </c>
      <c r="B11" s="171">
        <f t="shared" si="2"/>
        <v>6</v>
      </c>
      <c r="C11" s="176">
        <f>EDATE(RCD,A10)</f>
        <v>44499</v>
      </c>
      <c r="D11" s="171">
        <f>Age_At_Entry+Cashflows_HIST!B11-1</f>
        <v>40</v>
      </c>
      <c r="E11" s="175">
        <f>IF(AND(C11&lt;=Last_Prem,MOD(A10,Mode)=0,C11&gt;INPUT!$C$13,A11&lt;=Revival!$C$11),Mod_Prem,0)</f>
        <v>0</v>
      </c>
      <c r="F11" s="177">
        <f>E11*VLOOKUP(B11,'Pre-Calculation'!$H$1:$I$31,2,FALSE)</f>
        <v>0</v>
      </c>
      <c r="G11" s="177">
        <f>IF(B11&lt;PT+1,VLOOKUP(B11,'Pre-Calculation'!$H$1:$L$32,3,FALSE)+VLOOKUP(B11,'Pre-Calculation'!$H$1:$L$32,4,FALSE)*'Pre-Calculation'!$D$7,0)</f>
        <v>830</v>
      </c>
      <c r="H11" s="175">
        <f>(E11-(F11+G11)*(1+Tax)+N10)</f>
        <v>778139.8468</v>
      </c>
      <c r="I11" s="175">
        <f>IF(B11&lt;PT+1,VLOOKUP(D11,'Pre-Calculation'!$N$3:$P$79,IF(INPUT!$C$4="M",2,3),FALSE)*(J11/1000)*(1/12),0)</f>
        <v>33.32524385</v>
      </c>
      <c r="J11" s="175">
        <f t="shared" si="3"/>
        <v>221860.1532</v>
      </c>
      <c r="K11" s="175">
        <f>(IF('Pre-Calculation'!$D$17="Type 4 a",MAX(SA,H11,1.05*Q11),IF('Pre-Calculation'!$D$17="Type 4 c",H11,IF('Pre-Calculation'!$D$17="Type 4 d",SA+H11,IF('Pre-Calculation'!$D$17="Type 4 e",MAX(SA,H11),IF('Pre-Calculation'!$D$17="Type 4 f",SA,IF('Pre-Calculation'!$D$17="Type 4 g",1000+H11,IF('Pre-Calculation'!$D$17="Type 4 h",SA+V11,IF('Pre-Calculation'!$D$17="Type 4 i",MAX(H11,Q11),IF('Pre-Calculation'!$D$17="Type 4 k",MAX(H11,1.01*Q11),IF('Pre-Calculation'!$D$17="Type 4 m",MAX(105%*Q11,SA+H11),IF('Pre-Calculation'!$D$17="Type 4 o",MAX(SA,105%*Q11)+V11+X11,IF('Pre-Calculation'!$D$17="Type 5",0)))))))))))))*IF(AND(A11&lt;Revival!$C$4,C11&gt;Revival!$D$12),PUP,1)</f>
        <v>1000000</v>
      </c>
      <c r="L11" s="175">
        <f>H11-I11*(1+Tax)</f>
        <v>778100.523</v>
      </c>
      <c r="M11" s="175">
        <f>L11*(1+GROWTH_RATE_HIST)</f>
        <v>786602.2892</v>
      </c>
      <c r="N11" s="175">
        <f>M11+IF(MOD(A11,B11)=0,VLOOKUP(B11,'Pre-Calculation'!$H$1:$L$31,5,FALSE),0)*IF('Pre-Calculation'!$D$16="% OF FV",M11,IF(OR('Pre-Calculation'!$D$16="% OF AFV(24M)",'Pre-Calculation'!$D$16="% OF AFV(8Q)"),AVERAGE( $M$7:$M11),IF('Pre-Calculation'!$D$16="% OF AFV(12M)",AVERAGE($M$7:M11),IF('Pre-Calculation'!$D$16="% OF AFV(36M)",AVERAGE($M$7:M11)))))</f>
        <v>786602.2892</v>
      </c>
      <c r="O11" s="175">
        <f t="shared" si="4"/>
        <v>786602.2892</v>
      </c>
      <c r="P11" s="175">
        <f>IF('Pre-Calculation'!$D$17="Type 4 a",MAX(SA,N11,1.05*Q11),IF('Pre-Calculation'!$D$17="Type 4 c",N11,IF('Pre-Calculation'!$D$17="Type 4 d",SA+N11,IF('Pre-Calculation'!$D$17="Type 4 e",MAX(SA,N11),IF('Pre-Calculation'!$D$17="Type 4 f",SA,IF('Pre-Calculation'!$D$17="Type 4 g",1000+N11,IF('Pre-Calculation'!$D$17="Type 4 h",SA+V11,IF('Pre-Calculation'!$D$17="Type 4 i",MAX(N11,Q11),IF('Pre-Calculation'!$D$17="Type 4 k",MAX(N11,1.01*Q11),IF('Pre-Calculation'!$D$17="Type 4 m",MAX(105%*Q11,SA+N11),IF('Pre-Calculation'!$D$17="Type 4 o",MAX(SA,105%*Q11)+V11+X11,IF('Pre-Calculation'!$D$17="Type 5",0))))))))))))</f>
        <v>1000000</v>
      </c>
      <c r="Q11" s="175">
        <f t="shared" si="5"/>
        <v>600000</v>
      </c>
      <c r="R11" s="119">
        <f>L11*(1+GROWTH_RATE)*FMC</f>
        <v>880.5161012</v>
      </c>
      <c r="S11" s="112"/>
      <c r="T11" s="175">
        <f>-E11+IF(A10=INPUT!$C$11*12,N11,0)</f>
        <v>0</v>
      </c>
      <c r="U11" s="112"/>
      <c r="V11" s="179">
        <f t="array" ref="V11">NPV('Pre-Calculation'!$E$20,$E12:E$246)</f>
        <v>346447.057</v>
      </c>
      <c r="W11" s="171">
        <f>10%*SA</f>
        <v>100000</v>
      </c>
      <c r="X11" s="179">
        <f t="array" ref="X11">NPV('Pre-Calculation'!$E$20,W12:W21)</f>
        <v>969592.8037</v>
      </c>
      <c r="Y11" s="12"/>
      <c r="Z11" s="12"/>
    </row>
    <row r="12">
      <c r="A12" s="171">
        <f t="shared" si="1"/>
        <v>66</v>
      </c>
      <c r="B12" s="171">
        <f t="shared" si="2"/>
        <v>6</v>
      </c>
      <c r="C12" s="176">
        <f>EDATE(RCD,A11)</f>
        <v>44530</v>
      </c>
      <c r="D12" s="171">
        <f>Age_At_Entry+Cashflows_HIST!B12-1</f>
        <v>40</v>
      </c>
      <c r="E12" s="175">
        <f>IF(AND(C12&lt;=Last_Prem,MOD(A11,Mode)=0,C12&gt;INPUT!$C$13,A12&lt;=Revival!$C$11),Mod_Prem,0)</f>
        <v>0</v>
      </c>
      <c r="F12" s="177">
        <f>E12*VLOOKUP(B12,'Pre-Calculation'!$H$1:$I$31,2,FALSE)</f>
        <v>0</v>
      </c>
      <c r="G12" s="177">
        <f>IF(B12&lt;PT+1,VLOOKUP(B12,'Pre-Calculation'!$H$1:$L$32,3,FALSE)+VLOOKUP(B12,'Pre-Calculation'!$H$1:$L$32,4,FALSE)*'Pre-Calculation'!$D$7,0)</f>
        <v>830</v>
      </c>
      <c r="H12" s="175">
        <f>(E12-(F12+G12)*(1+Tax)+N11)</f>
        <v>785622.8892</v>
      </c>
      <c r="I12" s="175">
        <f>IF(B12&lt;PT+1,VLOOKUP(D12,'Pre-Calculation'!$N$3:$P$79,IF(INPUT!$C$4="M",2,3),FALSE)*(J12/1000)*(1/12),0)</f>
        <v>32.20122852</v>
      </c>
      <c r="J12" s="175">
        <f t="shared" si="3"/>
        <v>214377.1108</v>
      </c>
      <c r="K12" s="175">
        <f>(IF('Pre-Calculation'!$D$17="Type 4 a",MAX(SA,H12,1.05*Q12),IF('Pre-Calculation'!$D$17="Type 4 c",H12,IF('Pre-Calculation'!$D$17="Type 4 d",SA+H12,IF('Pre-Calculation'!$D$17="Type 4 e",MAX(SA,H12),IF('Pre-Calculation'!$D$17="Type 4 f",SA,IF('Pre-Calculation'!$D$17="Type 4 g",1000+H12,IF('Pre-Calculation'!$D$17="Type 4 h",SA+V12,IF('Pre-Calculation'!$D$17="Type 4 i",MAX(H12,Q12),IF('Pre-Calculation'!$D$17="Type 4 k",MAX(H12,1.01*Q12),IF('Pre-Calculation'!$D$17="Type 4 m",MAX(105%*Q12,SA+H12),IF('Pre-Calculation'!$D$17="Type 4 o",MAX(SA,105%*Q12)+V12+X12,IF('Pre-Calculation'!$D$17="Type 5",0)))))))))))))*IF(AND(A12&lt;Revival!$C$4,C12&gt;Revival!$D$12),PUP,1)</f>
        <v>1000000</v>
      </c>
      <c r="L12" s="175">
        <f>H12-I12*(1+Tax)</f>
        <v>785584.8918</v>
      </c>
      <c r="M12" s="175">
        <f>L12*(1+GROWTH_RATE_HIST)</f>
        <v>794168.4345</v>
      </c>
      <c r="N12" s="175">
        <f>M12+IF(MOD(A12,B12)=0,VLOOKUP(B12,'Pre-Calculation'!$H$1:$L$31,5,FALSE),0)*IF('Pre-Calculation'!$D$16="% OF FV",M12,IF(OR('Pre-Calculation'!$D$16="% OF AFV(24M)",'Pre-Calculation'!$D$16="% OF AFV(8Q)"),AVERAGE( $M$7:$M12),IF('Pre-Calculation'!$D$16="% OF AFV(12M)",AVERAGE($M$7:M12),IF('Pre-Calculation'!$D$16="% OF AFV(36M)",AVERAGE($M$7:M12)))))</f>
        <v>794168.4345</v>
      </c>
      <c r="O12" s="175">
        <f t="shared" si="4"/>
        <v>794168.4345</v>
      </c>
      <c r="P12" s="175">
        <f>IF('Pre-Calculation'!$D$17="Type 4 a",MAX(SA,N12,1.05*Q12),IF('Pre-Calculation'!$D$17="Type 4 c",N12,IF('Pre-Calculation'!$D$17="Type 4 d",SA+N12,IF('Pre-Calculation'!$D$17="Type 4 e",MAX(SA,N12),IF('Pre-Calculation'!$D$17="Type 4 f",SA,IF('Pre-Calculation'!$D$17="Type 4 g",1000+N12,IF('Pre-Calculation'!$D$17="Type 4 h",SA+V12,IF('Pre-Calculation'!$D$17="Type 4 i",MAX(N12,Q12),IF('Pre-Calculation'!$D$17="Type 4 k",MAX(N12,1.01*Q12),IF('Pre-Calculation'!$D$17="Type 4 m",MAX(105%*Q12,SA+N12),IF('Pre-Calculation'!$D$17="Type 4 o",MAX(SA,105%*Q12)+V12+X12,IF('Pre-Calculation'!$D$17="Type 5",0))))))))))))</f>
        <v>1000000</v>
      </c>
      <c r="Q12" s="175">
        <f t="shared" si="5"/>
        <v>600000</v>
      </c>
      <c r="R12" s="119">
        <f>L12*(1+GROWTH_RATE)*FMC</f>
        <v>888.9855818</v>
      </c>
      <c r="S12" s="112"/>
      <c r="T12" s="175">
        <f>-E12+IF(A11=INPUT!$C$11*12,N12,0)</f>
        <v>0</v>
      </c>
      <c r="U12" s="112"/>
      <c r="V12" s="179">
        <f t="array" ref="V12">NPV('Pre-Calculation'!$E$20,$E13:E$246)</f>
        <v>348405.9191</v>
      </c>
      <c r="W12" s="171">
        <f>10%*SA</f>
        <v>100000</v>
      </c>
      <c r="X12" s="179">
        <f t="array" ref="X12">NPV('Pre-Calculation'!$E$20,W13:W22)</f>
        <v>969592.8037</v>
      </c>
      <c r="Y12" s="12"/>
      <c r="Z12" s="12"/>
    </row>
    <row r="13">
      <c r="A13" s="171">
        <f t="shared" si="1"/>
        <v>67</v>
      </c>
      <c r="B13" s="171">
        <f t="shared" si="2"/>
        <v>6</v>
      </c>
      <c r="C13" s="176">
        <f>EDATE(RCD,A12)</f>
        <v>44560</v>
      </c>
      <c r="D13" s="171">
        <f>Age_At_Entry+Cashflows_HIST!B13-1</f>
        <v>40</v>
      </c>
      <c r="E13" s="175">
        <f>IF(AND(C13&lt;=Last_Prem,MOD(A12,Mode)=0,C13&gt;INPUT!$C$13,A13&lt;=Revival!$C$11),Mod_Prem,0)</f>
        <v>0</v>
      </c>
      <c r="F13" s="177">
        <f>E13*VLOOKUP(B13,'Pre-Calculation'!$H$1:$I$31,2,FALSE)</f>
        <v>0</v>
      </c>
      <c r="G13" s="177">
        <f>IF(B13&lt;PT+1,VLOOKUP(B13,'Pre-Calculation'!$H$1:$L$32,3,FALSE)+VLOOKUP(B13,'Pre-Calculation'!$H$1:$L$32,4,FALSE)*'Pre-Calculation'!$D$7,0)</f>
        <v>830</v>
      </c>
      <c r="H13" s="175">
        <f>(E13-(F13+G13)*(1+Tax)+N12)</f>
        <v>793189.0345</v>
      </c>
      <c r="I13" s="175">
        <f>IF(B13&lt;PT+1,VLOOKUP(D13,'Pre-Calculation'!$N$3:$P$79,IF(INPUT!$C$4="M",2,3),FALSE)*(J13/1000)*(1/12),0)</f>
        <v>31.06473044</v>
      </c>
      <c r="J13" s="175">
        <f t="shared" si="3"/>
        <v>206810.9655</v>
      </c>
      <c r="K13" s="175">
        <f>(IF('Pre-Calculation'!$D$17="Type 4 a",MAX(SA,H13,1.05*Q13),IF('Pre-Calculation'!$D$17="Type 4 c",H13,IF('Pre-Calculation'!$D$17="Type 4 d",SA+H13,IF('Pre-Calculation'!$D$17="Type 4 e",MAX(SA,H13),IF('Pre-Calculation'!$D$17="Type 4 f",SA,IF('Pre-Calculation'!$D$17="Type 4 g",1000+H13,IF('Pre-Calculation'!$D$17="Type 4 h",SA+V13,IF('Pre-Calculation'!$D$17="Type 4 i",MAX(H13,Q13),IF('Pre-Calculation'!$D$17="Type 4 k",MAX(H13,1.01*Q13),IF('Pre-Calculation'!$D$17="Type 4 m",MAX(105%*Q13,SA+H13),IF('Pre-Calculation'!$D$17="Type 4 o",MAX(SA,105%*Q13)+V13+X13,IF('Pre-Calculation'!$D$17="Type 5",0)))))))))))))*IF(AND(A13&lt;Revival!$C$4,C13&gt;Revival!$D$12),PUP,1)</f>
        <v>1000000</v>
      </c>
      <c r="L13" s="175">
        <f>H13-I13*(1+Tax)</f>
        <v>793152.3782</v>
      </c>
      <c r="M13" s="175">
        <f>L13*(1+GROWTH_RATE_HIST)</f>
        <v>801818.6056</v>
      </c>
      <c r="N13" s="175">
        <f>M13+IF(MOD(A13,B13)=0,VLOOKUP(B13,'Pre-Calculation'!$H$1:$L$31,5,FALSE),0)*IF('Pre-Calculation'!$D$16="% OF FV",M13,IF(OR('Pre-Calculation'!$D$16="% OF AFV(24M)",'Pre-Calculation'!$D$16="% OF AFV(8Q)"),AVERAGE( $M$7:$M13),IF('Pre-Calculation'!$D$16="% OF AFV(12M)",AVERAGE($M$7:M13),IF('Pre-Calculation'!$D$16="% OF AFV(36M)",AVERAGE($M$7:M13)))))</f>
        <v>801818.6056</v>
      </c>
      <c r="O13" s="175">
        <f t="shared" si="4"/>
        <v>801818.6056</v>
      </c>
      <c r="P13" s="175">
        <f>IF('Pre-Calculation'!$D$17="Type 4 a",MAX(SA,N13,1.05*Q13),IF('Pre-Calculation'!$D$17="Type 4 c",N13,IF('Pre-Calculation'!$D$17="Type 4 d",SA+N13,IF('Pre-Calculation'!$D$17="Type 4 e",MAX(SA,N13),IF('Pre-Calculation'!$D$17="Type 4 f",SA,IF('Pre-Calculation'!$D$17="Type 4 g",1000+N13,IF('Pre-Calculation'!$D$17="Type 4 h",SA+V13,IF('Pre-Calculation'!$D$17="Type 4 i",MAX(N13,Q13),IF('Pre-Calculation'!$D$17="Type 4 k",MAX(N13,1.01*Q13),IF('Pre-Calculation'!$D$17="Type 4 m",MAX(105%*Q13,SA+N13),IF('Pre-Calculation'!$D$17="Type 4 o",MAX(SA,105%*Q13)+V13+X13,IF('Pre-Calculation'!$D$17="Type 5",0))))))))))))</f>
        <v>1000000</v>
      </c>
      <c r="Q13" s="175">
        <f t="shared" si="5"/>
        <v>600000</v>
      </c>
      <c r="R13" s="119">
        <f>L13*(1+GROWTH_RATE)*FMC</f>
        <v>897.5491201</v>
      </c>
      <c r="S13" s="112"/>
      <c r="T13" s="175">
        <f>-E13+IF(A12=INPUT!$C$11*12,N13,0)</f>
        <v>0</v>
      </c>
      <c r="U13" s="181"/>
      <c r="V13" s="179">
        <f t="array" ref="V13">NPV('Pre-Calculation'!$E$20,$E14:E$246)</f>
        <v>350375.8568</v>
      </c>
      <c r="W13" s="171">
        <f>10%*SA</f>
        <v>100000</v>
      </c>
      <c r="X13" s="179">
        <f t="array" ref="X13">NPV('Pre-Calculation'!$E$20,W14:W23)</f>
        <v>969592.8037</v>
      </c>
      <c r="Y13" s="12"/>
      <c r="Z13" s="12"/>
    </row>
    <row r="14">
      <c r="A14" s="171">
        <f t="shared" si="1"/>
        <v>68</v>
      </c>
      <c r="B14" s="171">
        <f t="shared" si="2"/>
        <v>6</v>
      </c>
      <c r="C14" s="176">
        <f>EDATE(RCD,A13)</f>
        <v>44591</v>
      </c>
      <c r="D14" s="171">
        <f>Age_At_Entry+Cashflows_HIST!B14-1</f>
        <v>40</v>
      </c>
      <c r="E14" s="175">
        <f>IF(AND(C14&lt;=Last_Prem,MOD(A13,Mode)=0,C14&gt;INPUT!$C$13,A14&lt;=Revival!$C$11),Mod_Prem,0)</f>
        <v>0</v>
      </c>
      <c r="F14" s="177">
        <f>E14*VLOOKUP(B14,'Pre-Calculation'!$H$1:$I$31,2,FALSE)</f>
        <v>0</v>
      </c>
      <c r="G14" s="177">
        <f>IF(B14&lt;PT+1,VLOOKUP(B14,'Pre-Calculation'!$H$1:$L$32,3,FALSE)+VLOOKUP(B14,'Pre-Calculation'!$H$1:$L$32,4,FALSE)*'Pre-Calculation'!$D$7,0)</f>
        <v>830</v>
      </c>
      <c r="H14" s="175">
        <f>(E14-(F14+G14)*(1+Tax)+N13)</f>
        <v>800839.2056</v>
      </c>
      <c r="I14" s="175">
        <f>IF(B14&lt;PT+1,VLOOKUP(D14,'Pre-Calculation'!$N$3:$P$79,IF(INPUT!$C$4="M",2,3),FALSE)*(J14/1000)*(1/12),0)</f>
        <v>29.91561099</v>
      </c>
      <c r="J14" s="175">
        <f t="shared" si="3"/>
        <v>199160.7944</v>
      </c>
      <c r="K14" s="175">
        <f>(IF('Pre-Calculation'!$D$17="Type 4 a",MAX(SA,H14,1.05*Q14),IF('Pre-Calculation'!$D$17="Type 4 c",H14,IF('Pre-Calculation'!$D$17="Type 4 d",SA+H14,IF('Pre-Calculation'!$D$17="Type 4 e",MAX(SA,H14),IF('Pre-Calculation'!$D$17="Type 4 f",SA,IF('Pre-Calculation'!$D$17="Type 4 g",1000+H14,IF('Pre-Calculation'!$D$17="Type 4 h",SA+V14,IF('Pre-Calculation'!$D$17="Type 4 i",MAX(H14,Q14),IF('Pre-Calculation'!$D$17="Type 4 k",MAX(H14,1.01*Q14),IF('Pre-Calculation'!$D$17="Type 4 m",MAX(105%*Q14,SA+H14),IF('Pre-Calculation'!$D$17="Type 4 o",MAX(SA,105%*Q14)+V14+X14,IF('Pre-Calculation'!$D$17="Type 5",0)))))))))))))*IF(AND(A14&lt;Revival!$C$4,C14&gt;Revival!$D$12),PUP,1)</f>
        <v>1000000</v>
      </c>
      <c r="L14" s="175">
        <f>H14-I14*(1+Tax)</f>
        <v>800803.9052</v>
      </c>
      <c r="M14" s="175">
        <f>L14*(1+GROWTH_RATE_HIST)</f>
        <v>809553.7356</v>
      </c>
      <c r="N14" s="175">
        <f>M14+IF(MOD(A14,B14)=0,VLOOKUP(B14,'Pre-Calculation'!$H$1:$L$31,5,FALSE),0)*IF('Pre-Calculation'!$D$16="% OF FV",M14,IF(OR('Pre-Calculation'!$D$16="% OF AFV(24M)",'Pre-Calculation'!$D$16="% OF AFV(8Q)"),AVERAGE( $M$7:$M14),IF('Pre-Calculation'!$D$16="% OF AFV(12M)",AVERAGE($M$7:M14),IF('Pre-Calculation'!$D$16="% OF AFV(36M)",AVERAGE($M$7:M14)))))</f>
        <v>809553.7356</v>
      </c>
      <c r="O14" s="175">
        <f t="shared" si="4"/>
        <v>809553.7356</v>
      </c>
      <c r="P14" s="175">
        <f>IF('Pre-Calculation'!$D$17="Type 4 a",MAX(SA,N14,1.05*Q14),IF('Pre-Calculation'!$D$17="Type 4 c",N14,IF('Pre-Calculation'!$D$17="Type 4 d",SA+N14,IF('Pre-Calculation'!$D$17="Type 4 e",MAX(SA,N14),IF('Pre-Calculation'!$D$17="Type 4 f",SA,IF('Pre-Calculation'!$D$17="Type 4 g",1000+N14,IF('Pre-Calculation'!$D$17="Type 4 h",SA+V14,IF('Pre-Calculation'!$D$17="Type 4 i",MAX(N14,Q14),IF('Pre-Calculation'!$D$17="Type 4 k",MAX(N14,1.01*Q14),IF('Pre-Calculation'!$D$17="Type 4 m",MAX(105%*Q14,SA+N14),IF('Pre-Calculation'!$D$17="Type 4 o",MAX(SA,105%*Q14)+V14+X14,IF('Pre-Calculation'!$D$17="Type 5",0))))))))))))</f>
        <v>1000000</v>
      </c>
      <c r="Q14" s="175">
        <f t="shared" si="5"/>
        <v>600000</v>
      </c>
      <c r="R14" s="119">
        <f>L14*(1+GROWTH_RATE)*FMC</f>
        <v>906.2077606</v>
      </c>
      <c r="S14" s="112"/>
      <c r="T14" s="175">
        <f>-E14+IF(A13=INPUT!$C$11*12,N14,0)</f>
        <v>0</v>
      </c>
      <c r="U14" s="181"/>
      <c r="V14" s="179">
        <f t="array" ref="V14">NPV('Pre-Calculation'!$E$20,$E15:E$246)</f>
        <v>352356.9328</v>
      </c>
      <c r="W14" s="171">
        <f>10%*SA</f>
        <v>100000</v>
      </c>
      <c r="X14" s="179">
        <f t="array" ref="X14">NPV('Pre-Calculation'!$E$20,W15:W24)</f>
        <v>969592.8037</v>
      </c>
      <c r="Y14" s="12"/>
      <c r="Z14" s="12"/>
    </row>
    <row r="15">
      <c r="A15" s="171">
        <f t="shared" si="1"/>
        <v>69</v>
      </c>
      <c r="B15" s="171">
        <f t="shared" si="2"/>
        <v>6</v>
      </c>
      <c r="C15" s="176">
        <f>EDATE(RCD,A14)</f>
        <v>44620</v>
      </c>
      <c r="D15" s="171">
        <f>Age_At_Entry+Cashflows_HIST!B15-1</f>
        <v>40</v>
      </c>
      <c r="E15" s="175">
        <f>IF(AND(C15&lt;=Last_Prem,MOD(A14,Mode)=0,C15&gt;INPUT!$C$13,A15&lt;=Revival!$C$11),Mod_Prem,0)</f>
        <v>0</v>
      </c>
      <c r="F15" s="177">
        <f>E15*VLOOKUP(B15,'Pre-Calculation'!$H$1:$I$31,2,FALSE)</f>
        <v>0</v>
      </c>
      <c r="G15" s="177">
        <f>IF(B15&lt;PT+1,VLOOKUP(B15,'Pre-Calculation'!$H$1:$L$32,3,FALSE)+VLOOKUP(B15,'Pre-Calculation'!$H$1:$L$32,4,FALSE)*'Pre-Calculation'!$D$7,0)</f>
        <v>830</v>
      </c>
      <c r="H15" s="175">
        <f>(E15-(F15+G15)*(1+Tax)+N14)</f>
        <v>808574.3356</v>
      </c>
      <c r="I15" s="175">
        <f>IF(B15&lt;PT+1,VLOOKUP(D15,'Pre-Calculation'!$N$3:$P$79,IF(INPUT!$C$4="M",2,3),FALSE)*(J15/1000)*(1/12),0)</f>
        <v>28.75373001</v>
      </c>
      <c r="J15" s="175">
        <f t="shared" si="3"/>
        <v>191425.6644</v>
      </c>
      <c r="K15" s="175">
        <f>(IF('Pre-Calculation'!$D$17="Type 4 a",MAX(SA,H15,1.05*Q15),IF('Pre-Calculation'!$D$17="Type 4 c",H15,IF('Pre-Calculation'!$D$17="Type 4 d",SA+H15,IF('Pre-Calculation'!$D$17="Type 4 e",MAX(SA,H15),IF('Pre-Calculation'!$D$17="Type 4 f",SA,IF('Pre-Calculation'!$D$17="Type 4 g",1000+H15,IF('Pre-Calculation'!$D$17="Type 4 h",SA+V15,IF('Pre-Calculation'!$D$17="Type 4 i",MAX(H15,Q15),IF('Pre-Calculation'!$D$17="Type 4 k",MAX(H15,1.01*Q15),IF('Pre-Calculation'!$D$17="Type 4 m",MAX(105%*Q15,SA+H15),IF('Pre-Calculation'!$D$17="Type 4 o",MAX(SA,105%*Q15)+V15+X15,IF('Pre-Calculation'!$D$17="Type 5",0)))))))))))))*IF(AND(A15&lt;Revival!$C$4,C15&gt;Revival!$D$12),PUP,1)</f>
        <v>1000000</v>
      </c>
      <c r="L15" s="175">
        <f>H15-I15*(1+Tax)</f>
        <v>808540.4062</v>
      </c>
      <c r="M15" s="175">
        <f>L15*(1+GROWTH_RATE_HIST)</f>
        <v>817374.768</v>
      </c>
      <c r="N15" s="175">
        <f>M15+IF(MOD(A15,B15)=0,VLOOKUP(B15,'Pre-Calculation'!$H$1:$L$31,5,FALSE),0)*IF('Pre-Calculation'!$D$16="% OF FV",M15,IF(OR('Pre-Calculation'!$D$16="% OF AFV(24M)",'Pre-Calculation'!$D$16="% OF AFV(8Q)"),AVERAGE( $M$7:$M15),IF('Pre-Calculation'!$D$16="% OF AFV(12M)",AVERAGE($M$7:M15),IF('Pre-Calculation'!$D$16="% OF AFV(36M)",AVERAGE($M$7:M15)))))</f>
        <v>817374.768</v>
      </c>
      <c r="O15" s="175">
        <f t="shared" si="4"/>
        <v>817374.768</v>
      </c>
      <c r="P15" s="175">
        <f>IF('Pre-Calculation'!$D$17="Type 4 a",MAX(SA,N15,1.05*Q15),IF('Pre-Calculation'!$D$17="Type 4 c",N15,IF('Pre-Calculation'!$D$17="Type 4 d",SA+N15,IF('Pre-Calculation'!$D$17="Type 4 e",MAX(SA,N15),IF('Pre-Calculation'!$D$17="Type 4 f",SA,IF('Pre-Calculation'!$D$17="Type 4 g",1000+N15,IF('Pre-Calculation'!$D$17="Type 4 h",SA+V15,IF('Pre-Calculation'!$D$17="Type 4 i",MAX(N15,Q15),IF('Pre-Calculation'!$D$17="Type 4 k",MAX(N15,1.01*Q15),IF('Pre-Calculation'!$D$17="Type 4 m",MAX(105%*Q15,SA+N15),IF('Pre-Calculation'!$D$17="Type 4 o",MAX(SA,105%*Q15)+V15+X15,IF('Pre-Calculation'!$D$17="Type 5",0))))))))))))</f>
        <v>1000000</v>
      </c>
      <c r="Q15" s="175">
        <f t="shared" si="5"/>
        <v>600000</v>
      </c>
      <c r="R15" s="119">
        <f>L15*(1+GROWTH_RATE)*FMC</f>
        <v>914.9625597</v>
      </c>
      <c r="S15" s="112"/>
      <c r="T15" s="175">
        <f>-E15+IF(A14=INPUT!$C$11*12,N15,0)</f>
        <v>0</v>
      </c>
      <c r="U15" s="181"/>
      <c r="V15" s="179">
        <f t="array" ref="V15">NPV('Pre-Calculation'!$E$20,$E16:E$246)</f>
        <v>354349.2102</v>
      </c>
      <c r="W15" s="171">
        <f>10%*SA</f>
        <v>100000</v>
      </c>
      <c r="X15" s="179">
        <f t="array" ref="X15">NPV('Pre-Calculation'!$E$20,W16:W25)</f>
        <v>969592.8037</v>
      </c>
      <c r="Y15" s="12"/>
      <c r="Z15" s="12"/>
    </row>
    <row r="16">
      <c r="A16" s="171">
        <f t="shared" si="1"/>
        <v>70</v>
      </c>
      <c r="B16" s="171">
        <f t="shared" si="2"/>
        <v>6</v>
      </c>
      <c r="C16" s="176">
        <f>EDATE(RCD,A15)</f>
        <v>44650</v>
      </c>
      <c r="D16" s="171">
        <f>Age_At_Entry+Cashflows_HIST!B16-1</f>
        <v>40</v>
      </c>
      <c r="E16" s="175">
        <f>IF(AND(C16&lt;=Last_Prem,MOD(A15,Mode)=0,C16&gt;INPUT!$C$13,A16&lt;=Revival!$C$11),Mod_Prem,0)</f>
        <v>0</v>
      </c>
      <c r="F16" s="177">
        <f>E16*VLOOKUP(B16,'Pre-Calculation'!$H$1:$I$31,2,FALSE)</f>
        <v>0</v>
      </c>
      <c r="G16" s="177">
        <f>IF(B16&lt;PT+1,VLOOKUP(B16,'Pre-Calculation'!$H$1:$L$32,3,FALSE)+VLOOKUP(B16,'Pre-Calculation'!$H$1:$L$32,4,FALSE)*'Pre-Calculation'!$D$7,0)</f>
        <v>830</v>
      </c>
      <c r="H16" s="175">
        <f>(E16-(F16+G16)*(1+Tax)+N15)</f>
        <v>816395.368</v>
      </c>
      <c r="I16" s="175">
        <f>IF(B16&lt;PT+1,VLOOKUP(D16,'Pre-Calculation'!$N$3:$P$79,IF(INPUT!$C$4="M",2,3),FALSE)*(J16/1000)*(1/12),0)</f>
        <v>27.57894577</v>
      </c>
      <c r="J16" s="175">
        <f t="shared" si="3"/>
        <v>183604.632</v>
      </c>
      <c r="K16" s="175">
        <f>(IF('Pre-Calculation'!$D$17="Type 4 a",MAX(SA,H16,1.05*Q16),IF('Pre-Calculation'!$D$17="Type 4 c",H16,IF('Pre-Calculation'!$D$17="Type 4 d",SA+H16,IF('Pre-Calculation'!$D$17="Type 4 e",MAX(SA,H16),IF('Pre-Calculation'!$D$17="Type 4 f",SA,IF('Pre-Calculation'!$D$17="Type 4 g",1000+H16,IF('Pre-Calculation'!$D$17="Type 4 h",SA+V16,IF('Pre-Calculation'!$D$17="Type 4 i",MAX(H16,Q16),IF('Pre-Calculation'!$D$17="Type 4 k",MAX(H16,1.01*Q16),IF('Pre-Calculation'!$D$17="Type 4 m",MAX(105%*Q16,SA+H16),IF('Pre-Calculation'!$D$17="Type 4 o",MAX(SA,105%*Q16)+V16+X16,IF('Pre-Calculation'!$D$17="Type 5",0)))))))))))))*IF(AND(A16&lt;Revival!$C$4,C16&gt;Revival!$D$12),PUP,1)</f>
        <v>1000000</v>
      </c>
      <c r="L16" s="175">
        <f>H16-I16*(1+Tax)</f>
        <v>816362.8248</v>
      </c>
      <c r="M16" s="175">
        <f>L16*(1+GROWTH_RATE_HIST)</f>
        <v>825282.6568</v>
      </c>
      <c r="N16" s="175">
        <f>M16+IF(MOD(A16,B16)=0,VLOOKUP(B16,'Pre-Calculation'!$H$1:$L$31,5,FALSE),0)*IF('Pre-Calculation'!$D$16="% OF FV",M16,IF(OR('Pre-Calculation'!$D$16="% OF AFV(24M)",'Pre-Calculation'!$D$16="% OF AFV(8Q)"),AVERAGE( $M$7:$M16),IF('Pre-Calculation'!$D$16="% OF AFV(12M)",AVERAGE($M$7:M16),IF('Pre-Calculation'!$D$16="% OF AFV(36M)",AVERAGE($M$7:M16)))))</f>
        <v>825282.6568</v>
      </c>
      <c r="O16" s="175">
        <f t="shared" si="4"/>
        <v>825282.6568</v>
      </c>
      <c r="P16" s="175">
        <f>IF('Pre-Calculation'!$D$17="Type 4 a",MAX(SA,N16,1.05*Q16),IF('Pre-Calculation'!$D$17="Type 4 c",N16,IF('Pre-Calculation'!$D$17="Type 4 d",SA+N16,IF('Pre-Calculation'!$D$17="Type 4 e",MAX(SA,N16),IF('Pre-Calculation'!$D$17="Type 4 f",SA,IF('Pre-Calculation'!$D$17="Type 4 g",1000+N16,IF('Pre-Calculation'!$D$17="Type 4 h",SA+V16,IF('Pre-Calculation'!$D$17="Type 4 i",MAX(N16,Q16),IF('Pre-Calculation'!$D$17="Type 4 k",MAX(N16,1.01*Q16),IF('Pre-Calculation'!$D$17="Type 4 m",MAX(105%*Q16,SA+N16),IF('Pre-Calculation'!$D$17="Type 4 o",MAX(SA,105%*Q16)+V16+X16,IF('Pre-Calculation'!$D$17="Type 5",0))))))))))))</f>
        <v>1000000</v>
      </c>
      <c r="Q16" s="175">
        <f t="shared" si="5"/>
        <v>600000</v>
      </c>
      <c r="R16" s="119">
        <f>L16*(1+GROWTH_RATE)*FMC</f>
        <v>923.814585</v>
      </c>
      <c r="S16" s="112"/>
      <c r="T16" s="175">
        <f>-E16+IF(A15=INPUT!$C$11*12,N16,0)</f>
        <v>0</v>
      </c>
      <c r="U16" s="181"/>
      <c r="V16" s="179">
        <f t="array" ref="V16">NPV('Pre-Calculation'!$E$20,$E17:E$246)</f>
        <v>356352.7521</v>
      </c>
      <c r="W16" s="171">
        <f>10%*SA</f>
        <v>100000</v>
      </c>
      <c r="X16" s="179">
        <f t="array" ref="X16">NPV('Pre-Calculation'!$E$20,W17:W26)</f>
        <v>969592.8037</v>
      </c>
      <c r="Y16" s="12"/>
      <c r="Z16" s="12"/>
    </row>
    <row r="17">
      <c r="A17" s="171">
        <f t="shared" si="1"/>
        <v>71</v>
      </c>
      <c r="B17" s="171">
        <f t="shared" si="2"/>
        <v>6</v>
      </c>
      <c r="C17" s="176">
        <f>EDATE(RCD,A16)</f>
        <v>44681</v>
      </c>
      <c r="D17" s="171">
        <f>Age_At_Entry+Cashflows_HIST!B17-1</f>
        <v>40</v>
      </c>
      <c r="E17" s="175">
        <f>IF(AND(C17&lt;=Last_Prem,MOD(A16,Mode)=0,C17&gt;INPUT!$C$13,A17&lt;=Revival!$C$11),Mod_Prem,0)</f>
        <v>0</v>
      </c>
      <c r="F17" s="177">
        <f>E17*VLOOKUP(B17,'Pre-Calculation'!$H$1:$I$31,2,FALSE)</f>
        <v>0</v>
      </c>
      <c r="G17" s="177">
        <f>IF(B17&lt;PT+1,VLOOKUP(B17,'Pre-Calculation'!$H$1:$L$32,3,FALSE)+VLOOKUP(B17,'Pre-Calculation'!$H$1:$L$32,4,FALSE)*'Pre-Calculation'!$D$7,0)</f>
        <v>830</v>
      </c>
      <c r="H17" s="175">
        <f>(E17-(F17+G17)*(1+Tax)+N16)</f>
        <v>824303.2568</v>
      </c>
      <c r="I17" s="175">
        <f>IF(B17&lt;PT+1,VLOOKUP(D17,'Pre-Calculation'!$N$3:$P$79,IF(INPUT!$C$4="M",2,3),FALSE)*(J17/1000)*(1/12),0)</f>
        <v>26.39111497</v>
      </c>
      <c r="J17" s="175">
        <f t="shared" si="3"/>
        <v>175696.7432</v>
      </c>
      <c r="K17" s="175">
        <f>(IF('Pre-Calculation'!$D$17="Type 4 a",MAX(SA,H17,1.05*Q17),IF('Pre-Calculation'!$D$17="Type 4 c",H17,IF('Pre-Calculation'!$D$17="Type 4 d",SA+H17,IF('Pre-Calculation'!$D$17="Type 4 e",MAX(SA,H17),IF('Pre-Calculation'!$D$17="Type 4 f",SA,IF('Pre-Calculation'!$D$17="Type 4 g",1000+H17,IF('Pre-Calculation'!$D$17="Type 4 h",SA+V17,IF('Pre-Calculation'!$D$17="Type 4 i",MAX(H17,Q17),IF('Pre-Calculation'!$D$17="Type 4 k",MAX(H17,1.01*Q17),IF('Pre-Calculation'!$D$17="Type 4 m",MAX(105%*Q17,SA+H17),IF('Pre-Calculation'!$D$17="Type 4 o",MAX(SA,105%*Q17)+V17+X17,IF('Pre-Calculation'!$D$17="Type 5",0)))))))))))))*IF(AND(A17&lt;Revival!$C$4,C17&gt;Revival!$D$12),PUP,1)</f>
        <v>1000000</v>
      </c>
      <c r="L17" s="175">
        <f>H17-I17*(1+Tax)</f>
        <v>824272.1153</v>
      </c>
      <c r="M17" s="175">
        <f>L17*(1+GROWTH_RATE_HIST)</f>
        <v>833278.3666</v>
      </c>
      <c r="N17" s="175">
        <f>M17+IF(MOD(A17,B17)=0,VLOOKUP(B17,'Pre-Calculation'!$H$1:$L$31,5,FALSE),0)*IF('Pre-Calculation'!$D$16="% OF FV",M17,IF(OR('Pre-Calculation'!$D$16="% OF AFV(24M)",'Pre-Calculation'!$D$16="% OF AFV(8Q)"),AVERAGE( $M$7:$M17),IF('Pre-Calculation'!$D$16="% OF AFV(12M)",AVERAGE($M$7:M17),IF('Pre-Calculation'!$D$16="% OF AFV(36M)",AVERAGE($M$7:M17)))))</f>
        <v>833278.3666</v>
      </c>
      <c r="O17" s="175">
        <f t="shared" si="4"/>
        <v>833278.3666</v>
      </c>
      <c r="P17" s="175">
        <f>IF('Pre-Calculation'!$D$17="Type 4 a",MAX(SA,N17,1.05*Q17),IF('Pre-Calculation'!$D$17="Type 4 c",N17,IF('Pre-Calculation'!$D$17="Type 4 d",SA+N17,IF('Pre-Calculation'!$D$17="Type 4 e",MAX(SA,N17),IF('Pre-Calculation'!$D$17="Type 4 f",SA,IF('Pre-Calculation'!$D$17="Type 4 g",1000+N17,IF('Pre-Calculation'!$D$17="Type 4 h",SA+V17,IF('Pre-Calculation'!$D$17="Type 4 i",MAX(N17,Q17),IF('Pre-Calculation'!$D$17="Type 4 k",MAX(N17,1.01*Q17),IF('Pre-Calculation'!$D$17="Type 4 m",MAX(105%*Q17,SA+N17),IF('Pre-Calculation'!$D$17="Type 4 o",MAX(SA,105%*Q17)+V17+X17,IF('Pre-Calculation'!$D$17="Type 5",0))))))))))))</f>
        <v>1000000</v>
      </c>
      <c r="Q17" s="175">
        <f t="shared" si="5"/>
        <v>600000</v>
      </c>
      <c r="R17" s="119">
        <f>L17*(1+GROWTH_RATE)*FMC</f>
        <v>932.7649165</v>
      </c>
      <c r="S17" s="112"/>
      <c r="T17" s="175">
        <f>-E17+IF(A16=INPUT!$C$11*12,N17,0)</f>
        <v>0</v>
      </c>
      <c r="U17" s="181"/>
      <c r="V17" s="179">
        <f t="array" ref="V17">NPV('Pre-Calculation'!$E$20,$E18:E$246)</f>
        <v>358367.6224</v>
      </c>
      <c r="W17" s="171">
        <f>10%*SA</f>
        <v>100000</v>
      </c>
      <c r="X17" s="179">
        <f t="array" ref="X17">NPV('Pre-Calculation'!$E$20,W18:W27)</f>
        <v>969592.8037</v>
      </c>
      <c r="Y17" s="12"/>
      <c r="Z17" s="12"/>
    </row>
    <row r="18">
      <c r="A18" s="171">
        <f t="shared" si="1"/>
        <v>72</v>
      </c>
      <c r="B18" s="171">
        <f t="shared" si="2"/>
        <v>6</v>
      </c>
      <c r="C18" s="176">
        <f>EDATE(RCD,A17)</f>
        <v>44711</v>
      </c>
      <c r="D18" s="171">
        <f>Age_At_Entry+Cashflows_HIST!B18-1</f>
        <v>40</v>
      </c>
      <c r="E18" s="175">
        <f>IF(AND(C18&lt;=Last_Prem,MOD(A17,Mode)=0,C18&gt;INPUT!$C$13,A18&lt;=Revival!$C$11),Mod_Prem,0)</f>
        <v>0</v>
      </c>
      <c r="F18" s="177">
        <f>E18*VLOOKUP(B18,'Pre-Calculation'!$H$1:$I$31,2,FALSE)</f>
        <v>0</v>
      </c>
      <c r="G18" s="177">
        <f>IF(B18&lt;PT+1,VLOOKUP(B18,'Pre-Calculation'!$H$1:$L$32,3,FALSE)+VLOOKUP(B18,'Pre-Calculation'!$H$1:$L$32,4,FALSE)*'Pre-Calculation'!$D$7,0)</f>
        <v>830</v>
      </c>
      <c r="H18" s="175">
        <f>(E18-(F18+G18)*(1+Tax)+N17)</f>
        <v>832298.9666</v>
      </c>
      <c r="I18" s="175">
        <f>IF(B18&lt;PT+1,VLOOKUP(D18,'Pre-Calculation'!$N$3:$P$79,IF(INPUT!$C$4="M",2,3),FALSE)*(J18/1000)*(1/12),0)</f>
        <v>25.19009273</v>
      </c>
      <c r="J18" s="175">
        <f t="shared" si="3"/>
        <v>167701.0334</v>
      </c>
      <c r="K18" s="175">
        <f>(IF('Pre-Calculation'!$D$17="Type 4 a",MAX(SA,H18,1.05*Q18),IF('Pre-Calculation'!$D$17="Type 4 c",H18,IF('Pre-Calculation'!$D$17="Type 4 d",SA+H18,IF('Pre-Calculation'!$D$17="Type 4 e",MAX(SA,H18),IF('Pre-Calculation'!$D$17="Type 4 f",SA,IF('Pre-Calculation'!$D$17="Type 4 g",1000+H18,IF('Pre-Calculation'!$D$17="Type 4 h",SA+V18,IF('Pre-Calculation'!$D$17="Type 4 i",MAX(H18,Q18),IF('Pre-Calculation'!$D$17="Type 4 k",MAX(H18,1.01*Q18),IF('Pre-Calculation'!$D$17="Type 4 m",MAX(105%*Q18,SA+H18),IF('Pre-Calculation'!$D$17="Type 4 o",MAX(SA,105%*Q18)+V18+X18,IF('Pre-Calculation'!$D$17="Type 5",0)))))))))))))*IF(AND(A18&lt;Revival!$C$4,C18&gt;Revival!$D$12),PUP,1)</f>
        <v>1000000</v>
      </c>
      <c r="L18" s="175">
        <f>H18-I18*(1+Tax)</f>
        <v>832269.2423</v>
      </c>
      <c r="M18" s="175">
        <f>L18*(1+GROWTH_RATE_HIST)</f>
        <v>841362.8727</v>
      </c>
      <c r="N18" s="175">
        <f>M18+IF(MOD(A18,B18)=0,VLOOKUP(B18,'Pre-Calculation'!$H$1:$L$31,5,FALSE),0)*IF('Pre-Calculation'!$D$16="% OF FV",M18,IF(OR('Pre-Calculation'!$D$16="% OF AFV(24M)",'Pre-Calculation'!$D$16="% OF AFV(8Q)"),AVERAGE( $M$7:$M18),IF('Pre-Calculation'!$D$16="% OF AFV(12M)",AVERAGE($M7:M18),IF('Pre-Calculation'!$D$16="% OF AFV(36M)",AVERAGE($M$7:M18)))))</f>
        <v>841362.8727</v>
      </c>
      <c r="O18" s="175">
        <f t="shared" si="4"/>
        <v>841362.8727</v>
      </c>
      <c r="P18" s="175">
        <f>IF('Pre-Calculation'!$D$17="Type 4 a",MAX(SA,N18,1.05*Q18),IF('Pre-Calculation'!$D$17="Type 4 c",N18,IF('Pre-Calculation'!$D$17="Type 4 d",SA+N18,IF('Pre-Calculation'!$D$17="Type 4 e",MAX(SA,N18),IF('Pre-Calculation'!$D$17="Type 4 f",SA,IF('Pre-Calculation'!$D$17="Type 4 g",1000+N18,IF('Pre-Calculation'!$D$17="Type 4 h",SA+V18,IF('Pre-Calculation'!$D$17="Type 4 i",MAX(N18,Q18),IF('Pre-Calculation'!$D$17="Type 4 k",MAX(N18,1.01*Q18),IF('Pre-Calculation'!$D$17="Type 4 m",MAX(105%*Q18,SA+N18),IF('Pre-Calculation'!$D$17="Type 4 o",MAX(SA,105%*Q18)+V18+X18,IF('Pre-Calculation'!$D$17="Type 5",0))))))))))))</f>
        <v>1000000</v>
      </c>
      <c r="Q18" s="175">
        <f t="shared" si="5"/>
        <v>600000</v>
      </c>
      <c r="R18" s="119">
        <f>L18*(1+GROWTH_RATE)*FMC</f>
        <v>941.8146458</v>
      </c>
      <c r="S18" s="112"/>
      <c r="T18" s="175">
        <f>-E18+IF(A17=INPUT!$C$11*12,N18,0)</f>
        <v>0</v>
      </c>
      <c r="U18" s="181"/>
      <c r="V18" s="179">
        <f t="array" ref="V18">NPV('Pre-Calculation'!$E$20,$E19:E$246)</f>
        <v>360393.885</v>
      </c>
      <c r="W18" s="171">
        <f>10%*SA</f>
        <v>100000</v>
      </c>
      <c r="X18" s="179">
        <f t="array" ref="X18">NPV('Pre-Calculation'!$E$20,W19:W28)</f>
        <v>969592.8037</v>
      </c>
      <c r="Y18" s="12"/>
      <c r="Z18" s="12"/>
    </row>
    <row r="19">
      <c r="A19" s="171">
        <f t="shared" si="1"/>
        <v>73</v>
      </c>
      <c r="B19" s="171">
        <f t="shared" si="2"/>
        <v>7</v>
      </c>
      <c r="C19" s="176">
        <f>EDATE(RCD,A18)</f>
        <v>44742</v>
      </c>
      <c r="D19" s="171">
        <f>Age_At_Entry+Cashflows_HIST!B19-1</f>
        <v>41</v>
      </c>
      <c r="E19" s="175">
        <f>IF(AND(C19&lt;=Last_Prem,MOD(A18,Mode)=0,C19&gt;INPUT!$C$13,A19&lt;=Revival!$C$11),Mod_Prem,0)</f>
        <v>100000</v>
      </c>
      <c r="F19" s="177">
        <f>E19*VLOOKUP(B19,'Pre-Calculation'!$H$1:$I$31,2,FALSE)</f>
        <v>0</v>
      </c>
      <c r="G19" s="177">
        <f>IF(B19&lt;PT+1,VLOOKUP(B19,'Pre-Calculation'!$H$1:$L$32,3,FALSE)+VLOOKUP(B19,'Pre-Calculation'!$H$1:$L$32,4,FALSE)*'Pre-Calculation'!$D$7,0)</f>
        <v>830</v>
      </c>
      <c r="H19" s="175">
        <f>(E19-(F19+G19)*(1+Tax)+N18)</f>
        <v>940383.4727</v>
      </c>
      <c r="I19" s="175">
        <f>IF(B19&lt;PT+1,VLOOKUP(D19,'Pre-Calculation'!$N$3:$P$79,IF(INPUT!$C$4="M",2,3),FALSE)*(J19/1000)*(1/12),0)</f>
        <v>9.732398089</v>
      </c>
      <c r="J19" s="175">
        <f t="shared" si="3"/>
        <v>59616.52734</v>
      </c>
      <c r="K19" s="175">
        <f>(IF('Pre-Calculation'!$D$17="Type 4 a",MAX(SA,H19,1.05*Q19),IF('Pre-Calculation'!$D$17="Type 4 c",H19,IF('Pre-Calculation'!$D$17="Type 4 d",SA+H19,IF('Pre-Calculation'!$D$17="Type 4 e",MAX(SA,H19),IF('Pre-Calculation'!$D$17="Type 4 f",SA,IF('Pre-Calculation'!$D$17="Type 4 g",1000+H19,IF('Pre-Calculation'!$D$17="Type 4 h",SA+V19,IF('Pre-Calculation'!$D$17="Type 4 i",MAX(H19,Q19),IF('Pre-Calculation'!$D$17="Type 4 k",MAX(H19,1.01*Q19),IF('Pre-Calculation'!$D$17="Type 4 m",MAX(105%*Q19,SA+H19),IF('Pre-Calculation'!$D$17="Type 4 o",MAX(SA,105%*Q19)+V19+X19,IF('Pre-Calculation'!$D$17="Type 5",0)))))))))))))*IF(AND(A19&lt;Revival!$C$4,C19&gt;Revival!$D$12),PUP,1)</f>
        <v>1000000</v>
      </c>
      <c r="L19" s="175">
        <f>H19-I19*(1+Tax)</f>
        <v>940371.9884</v>
      </c>
      <c r="M19" s="175">
        <f>L19*(1+GROWTH_RATE_HIST)</f>
        <v>950646.7827</v>
      </c>
      <c r="N19" s="175">
        <f>M19+IF(MOD(A19,B19)=0,VLOOKUP(B19,'Pre-Calculation'!$H$1:$L$31,5,FALSE),0)*IF('Pre-Calculation'!$D$16="% OF FV",M19,IF(OR('Pre-Calculation'!$D$16="% OF AFV(24M)",'Pre-Calculation'!$D$16="% OF AFV(8Q)"),AVERAGE( $M$7:$M19),IF('Pre-Calculation'!$D$16="% OF AFV(12M)",AVERAGE($M8:M19),IF('Pre-Calculation'!$D$16="% OF AFV(36M)",AVERAGE($M$7:M19)))))</f>
        <v>950646.7827</v>
      </c>
      <c r="O19" s="175">
        <f t="shared" si="4"/>
        <v>950646.7827</v>
      </c>
      <c r="P19" s="175">
        <f>IF('Pre-Calculation'!$D$17="Type 4 a",MAX(SA,N19,1.05*Q19),IF('Pre-Calculation'!$D$17="Type 4 c",N19,IF('Pre-Calculation'!$D$17="Type 4 d",SA+N19,IF('Pre-Calculation'!$D$17="Type 4 e",MAX(SA,N19),IF('Pre-Calculation'!$D$17="Type 4 f",SA,IF('Pre-Calculation'!$D$17="Type 4 g",1000+N19,IF('Pre-Calculation'!$D$17="Type 4 h",SA+V19,IF('Pre-Calculation'!$D$17="Type 4 i",MAX(N19,Q19),IF('Pre-Calculation'!$D$17="Type 4 k",MAX(N19,1.01*Q19),IF('Pre-Calculation'!$D$17="Type 4 m",MAX(105%*Q19,SA+N19),IF('Pre-Calculation'!$D$17="Type 4 o",MAX(SA,105%*Q19)+V19+X19,IF('Pre-Calculation'!$D$17="Type 5",0))))))))))))</f>
        <v>1000000</v>
      </c>
      <c r="Q19" s="175">
        <f t="shared" si="5"/>
        <v>700000</v>
      </c>
      <c r="R19" s="119">
        <f>L19*(1+GROWTH_RATE)*FMC</f>
        <v>1064.146151</v>
      </c>
      <c r="S19" s="112"/>
      <c r="T19" s="175">
        <f>-E19+IF(A18=INPUT!$C$11*12,N19,0)</f>
        <v>-100000</v>
      </c>
      <c r="U19" s="181"/>
      <c r="V19" s="179">
        <f t="array" ref="V19">NPV('Pre-Calculation'!$E$20,$E20:E$246)</f>
        <v>262431.6044</v>
      </c>
      <c r="W19" s="171">
        <f>10%*SA</f>
        <v>100000</v>
      </c>
      <c r="X19" s="179">
        <f t="array" ref="X19">NPV('Pre-Calculation'!$E$20,W20:W29)</f>
        <v>969592.8037</v>
      </c>
      <c r="Y19" s="12"/>
      <c r="Z19" s="12"/>
    </row>
    <row r="20">
      <c r="A20" s="171">
        <f t="shared" si="1"/>
        <v>74</v>
      </c>
      <c r="B20" s="171">
        <f t="shared" si="2"/>
        <v>7</v>
      </c>
      <c r="C20" s="176">
        <f>EDATE(RCD,A19)</f>
        <v>44772</v>
      </c>
      <c r="D20" s="171">
        <f>Age_At_Entry+Cashflows_HIST!B20-1</f>
        <v>41</v>
      </c>
      <c r="E20" s="175">
        <f>IF(AND(C20&lt;=Last_Prem,MOD(A19,Mode)=0,C20&gt;INPUT!$C$13,A20&lt;=Revival!$C$11),Mod_Prem,0)</f>
        <v>0</v>
      </c>
      <c r="F20" s="177">
        <f>E20*VLOOKUP(B20,'Pre-Calculation'!$H$1:$I$31,2,FALSE)</f>
        <v>0</v>
      </c>
      <c r="G20" s="177">
        <f>IF(B20&lt;PT+1,VLOOKUP(B20,'Pre-Calculation'!$H$1:$L$32,3,FALSE)+VLOOKUP(B20,'Pre-Calculation'!$H$1:$L$32,4,FALSE)*'Pre-Calculation'!$D$7,0)</f>
        <v>830</v>
      </c>
      <c r="H20" s="175">
        <f>(E20-(F20+G20)*(1+Tax)+N19)</f>
        <v>949667.3827</v>
      </c>
      <c r="I20" s="175">
        <f>IF(B20&lt;PT+1,VLOOKUP(D20,'Pre-Calculation'!$N$3:$P$79,IF(INPUT!$C$4="M",2,3),FALSE)*(J20/1000)*(1/12),0)</f>
        <v>8.216799767</v>
      </c>
      <c r="J20" s="175">
        <f t="shared" si="3"/>
        <v>50332.61725</v>
      </c>
      <c r="K20" s="175">
        <f>(IF('Pre-Calculation'!$D$17="Type 4 a",MAX(SA,H20,1.05*Q20),IF('Pre-Calculation'!$D$17="Type 4 c",H20,IF('Pre-Calculation'!$D$17="Type 4 d",SA+H20,IF('Pre-Calculation'!$D$17="Type 4 e",MAX(SA,H20),IF('Pre-Calculation'!$D$17="Type 4 f",SA,IF('Pre-Calculation'!$D$17="Type 4 g",1000+H20,IF('Pre-Calculation'!$D$17="Type 4 h",SA+V20,IF('Pre-Calculation'!$D$17="Type 4 i",MAX(H20,Q20),IF('Pre-Calculation'!$D$17="Type 4 k",MAX(H20,1.01*Q20),IF('Pre-Calculation'!$D$17="Type 4 m",MAX(105%*Q20,SA+H20),IF('Pre-Calculation'!$D$17="Type 4 o",MAX(SA,105%*Q20)+V20+X20,IF('Pre-Calculation'!$D$17="Type 5",0)))))))))))))*IF(AND(A20&lt;Revival!$C$4,C20&gt;Revival!$D$12),PUP,1)</f>
        <v>1000000</v>
      </c>
      <c r="L20" s="175">
        <f>H20-I20*(1+Tax)</f>
        <v>949657.6869</v>
      </c>
      <c r="M20" s="175">
        <f>L20*(1+GROWTH_RATE_HIST)</f>
        <v>960033.9396</v>
      </c>
      <c r="N20" s="175">
        <f>M20+IF(MOD(A20,B20)=0,VLOOKUP(B20,'Pre-Calculation'!$H$1:$L$31,5,FALSE),0)*IF('Pre-Calculation'!$D$16="% OF FV",M20,IF(OR('Pre-Calculation'!$D$16="% OF AFV(24M)",'Pre-Calculation'!$D$16="% OF AFV(8Q)"),AVERAGE( $M$7:$M20),IF('Pre-Calculation'!$D$16="% OF AFV(12M)",AVERAGE($M9:M20),IF('Pre-Calculation'!$D$16="% OF AFV(36M)",AVERAGE($M$7:M20)))))</f>
        <v>960033.9396</v>
      </c>
      <c r="O20" s="175">
        <f t="shared" si="4"/>
        <v>960033.9396</v>
      </c>
      <c r="P20" s="175">
        <f>IF('Pre-Calculation'!$D$17="Type 4 a",MAX(SA,N20,1.05*Q20),IF('Pre-Calculation'!$D$17="Type 4 c",N20,IF('Pre-Calculation'!$D$17="Type 4 d",SA+N20,IF('Pre-Calculation'!$D$17="Type 4 e",MAX(SA,N20),IF('Pre-Calculation'!$D$17="Type 4 f",SA,IF('Pre-Calculation'!$D$17="Type 4 g",1000+N20,IF('Pre-Calculation'!$D$17="Type 4 h",SA+V20,IF('Pre-Calculation'!$D$17="Type 4 i",MAX(N20,Q20),IF('Pre-Calculation'!$D$17="Type 4 k",MAX(N20,1.01*Q20),IF('Pre-Calculation'!$D$17="Type 4 m",MAX(105%*Q20,SA+N20),IF('Pre-Calculation'!$D$17="Type 4 o",MAX(SA,105%*Q20)+V20+X20,IF('Pre-Calculation'!$D$17="Type 5",0))))))))))))</f>
        <v>1000000</v>
      </c>
      <c r="Q20" s="175">
        <f t="shared" si="5"/>
        <v>700000</v>
      </c>
      <c r="R20" s="119">
        <f>L20*(1+GROWTH_RATE)*FMC</f>
        <v>1074.654057</v>
      </c>
      <c r="S20" s="112"/>
      <c r="T20" s="175">
        <f>-E20+IF(A19=INPUT!$C$11*12,N20,0)</f>
        <v>0</v>
      </c>
      <c r="U20" s="181"/>
      <c r="V20" s="179">
        <f t="array" ref="V20">NPV('Pre-Calculation'!$E$20,$E21:E$246)</f>
        <v>263915.4309</v>
      </c>
      <c r="W20" s="171">
        <f>10%*SA</f>
        <v>100000</v>
      </c>
      <c r="X20" s="179">
        <f t="array" ref="X20">NPV('Pre-Calculation'!$E$20,W21:W30)</f>
        <v>969592.8037</v>
      </c>
      <c r="Y20" s="12"/>
      <c r="Z20" s="12"/>
    </row>
    <row r="21" ht="15.75" customHeight="1">
      <c r="A21" s="171">
        <f t="shared" si="1"/>
        <v>75</v>
      </c>
      <c r="B21" s="171">
        <f t="shared" si="2"/>
        <v>7</v>
      </c>
      <c r="C21" s="176">
        <f>EDATE(RCD,A20)</f>
        <v>44803</v>
      </c>
      <c r="D21" s="171">
        <f>Age_At_Entry+Cashflows_HIST!B21-1</f>
        <v>41</v>
      </c>
      <c r="E21" s="175">
        <f>IF(AND(C21&lt;=Last_Prem,MOD(A20,Mode)=0,C21&gt;INPUT!$C$13,A21&lt;=Revival!$C$11),Mod_Prem,0)</f>
        <v>0</v>
      </c>
      <c r="F21" s="177">
        <f>E21*VLOOKUP(B21,'Pre-Calculation'!$H$1:$I$31,2,FALSE)</f>
        <v>0</v>
      </c>
      <c r="G21" s="177">
        <f>IF(B21&lt;PT+1,VLOOKUP(B21,'Pre-Calculation'!$H$1:$L$32,3,FALSE)+VLOOKUP(B21,'Pre-Calculation'!$H$1:$L$32,4,FALSE)*'Pre-Calculation'!$D$7,0)</f>
        <v>830</v>
      </c>
      <c r="H21" s="175">
        <f>(E21-(F21+G21)*(1+Tax)+N20)</f>
        <v>959054.5396</v>
      </c>
      <c r="I21" s="175">
        <f>IF(B21&lt;PT+1,VLOOKUP(D21,'Pre-Calculation'!$N$3:$P$79,IF(INPUT!$C$4="M",2,3),FALSE)*(J21/1000)*(1/12),0)</f>
        <v>6.684346403</v>
      </c>
      <c r="J21" s="175">
        <f t="shared" si="3"/>
        <v>40945.46035</v>
      </c>
      <c r="K21" s="175">
        <f>(IF('Pre-Calculation'!$D$17="Type 4 a",MAX(SA,H21,1.05*Q21),IF('Pre-Calculation'!$D$17="Type 4 c",H21,IF('Pre-Calculation'!$D$17="Type 4 d",SA+H21,IF('Pre-Calculation'!$D$17="Type 4 e",MAX(SA,H21),IF('Pre-Calculation'!$D$17="Type 4 f",SA,IF('Pre-Calculation'!$D$17="Type 4 g",1000+H21,IF('Pre-Calculation'!$D$17="Type 4 h",SA+V21,IF('Pre-Calculation'!$D$17="Type 4 i",MAX(H21,Q21),IF('Pre-Calculation'!$D$17="Type 4 k",MAX(H21,1.01*Q21),IF('Pre-Calculation'!$D$17="Type 4 m",MAX(105%*Q21,SA+H21),IF('Pre-Calculation'!$D$17="Type 4 o",MAX(SA,105%*Q21)+V21+X21,IF('Pre-Calculation'!$D$17="Type 5",0)))))))))))))*IF(AND(A21&lt;Revival!$C$4,C21&gt;Revival!$D$12),PUP,1)</f>
        <v>1000000</v>
      </c>
      <c r="L21" s="175">
        <f>H21-I21*(1+Tax)</f>
        <v>959046.6521</v>
      </c>
      <c r="M21" s="175">
        <f>L21*(1+GROWTH_RATE_HIST)</f>
        <v>969525.4916</v>
      </c>
      <c r="N21" s="175">
        <f>M21+IF(MOD(A21,B21)=0,VLOOKUP(B21,'Pre-Calculation'!$H$1:$L$31,5,FALSE),0)*IF('Pre-Calculation'!$D$16="% OF FV",M21,IF(OR('Pre-Calculation'!$D$16="% OF AFV(24M)",'Pre-Calculation'!$D$16="% OF AFV(8Q)"),AVERAGE( $M$7:$M21),IF('Pre-Calculation'!$D$16="% OF AFV(12M)",AVERAGE($M10:M21),IF('Pre-Calculation'!$D$16="% OF AFV(36M)",AVERAGE($M$7:M21)))))</f>
        <v>969525.4916</v>
      </c>
      <c r="O21" s="175">
        <f t="shared" si="4"/>
        <v>969525.4916</v>
      </c>
      <c r="P21" s="175">
        <f>IF('Pre-Calculation'!$D$17="Type 4 a",MAX(SA,N21,1.05*Q21),IF('Pre-Calculation'!$D$17="Type 4 c",N21,IF('Pre-Calculation'!$D$17="Type 4 d",SA+N21,IF('Pre-Calculation'!$D$17="Type 4 e",MAX(SA,N21),IF('Pre-Calculation'!$D$17="Type 4 f",SA,IF('Pre-Calculation'!$D$17="Type 4 g",1000+N21,IF('Pre-Calculation'!$D$17="Type 4 h",SA+V21,IF('Pre-Calculation'!$D$17="Type 4 i",MAX(N21,Q21),IF('Pre-Calculation'!$D$17="Type 4 k",MAX(N21,1.01*Q21),IF('Pre-Calculation'!$D$17="Type 4 m",MAX(105%*Q21,SA+N21),IF('Pre-Calculation'!$D$17="Type 4 o",MAX(SA,105%*Q21)+V21+X21,IF('Pre-Calculation'!$D$17="Type 5",0))))))))))))</f>
        <v>1000000</v>
      </c>
      <c r="Q21" s="175">
        <f t="shared" si="5"/>
        <v>700000</v>
      </c>
      <c r="R21" s="119">
        <f>L21*(1+GROWTH_RATE)*FMC</f>
        <v>1085.278822</v>
      </c>
      <c r="S21" s="112"/>
      <c r="T21" s="175">
        <f>-E21+IF(A20=INPUT!$C$11*12,N21,0)</f>
        <v>0</v>
      </c>
      <c r="U21" s="181"/>
      <c r="V21" s="179">
        <f t="array" ref="V21">NPV('Pre-Calculation'!$E$20,$E22:E$246)</f>
        <v>265407.6471</v>
      </c>
      <c r="W21" s="171">
        <f>10%*SA</f>
        <v>100000</v>
      </c>
      <c r="X21" s="179">
        <f t="array" ref="X21">NPV('Pre-Calculation'!$E$20,W22:W31)</f>
        <v>969592.8037</v>
      </c>
      <c r="Y21" s="12"/>
      <c r="Z21" s="12"/>
    </row>
    <row r="22" ht="15.75" customHeight="1">
      <c r="A22" s="171">
        <f t="shared" si="1"/>
        <v>76</v>
      </c>
      <c r="B22" s="171">
        <f t="shared" si="2"/>
        <v>7</v>
      </c>
      <c r="C22" s="176">
        <f>EDATE(RCD,A21)</f>
        <v>44834</v>
      </c>
      <c r="D22" s="171">
        <f>Age_At_Entry+Cashflows_HIST!B22-1</f>
        <v>41</v>
      </c>
      <c r="E22" s="175">
        <f>IF(AND(C22&lt;=Last_Prem,MOD(A21,Mode)=0,C22&gt;INPUT!$C$13,A22&lt;=Revival!$C$11),Mod_Prem,0)</f>
        <v>0</v>
      </c>
      <c r="F22" s="177">
        <f>E22*VLOOKUP(B22,'Pre-Calculation'!$H$1:$I$31,2,FALSE)</f>
        <v>0</v>
      </c>
      <c r="G22" s="177">
        <f>IF(B22&lt;PT+1,VLOOKUP(B22,'Pre-Calculation'!$H$1:$L$32,3,FALSE)+VLOOKUP(B22,'Pre-Calculation'!$H$1:$L$32,4,FALSE)*'Pre-Calculation'!$D$7,0)</f>
        <v>830</v>
      </c>
      <c r="H22" s="175">
        <f>(E22-(F22+G22)*(1+Tax)+N21)</f>
        <v>968546.0916</v>
      </c>
      <c r="I22" s="175">
        <f>IF(B22&lt;PT+1,VLOOKUP(D22,'Pre-Calculation'!$N$3:$P$79,IF(INPUT!$C$4="M",2,3),FALSE)*(J22/1000)*(1/12),0)</f>
        <v>5.134850551</v>
      </c>
      <c r="J22" s="175">
        <f t="shared" si="3"/>
        <v>31453.90843</v>
      </c>
      <c r="K22" s="175">
        <f>(IF('Pre-Calculation'!$D$17="Type 4 a",MAX(SA,H22,1.05*Q22),IF('Pre-Calculation'!$D$17="Type 4 c",H22,IF('Pre-Calculation'!$D$17="Type 4 d",SA+H22,IF('Pre-Calculation'!$D$17="Type 4 e",MAX(SA,H22),IF('Pre-Calculation'!$D$17="Type 4 f",SA,IF('Pre-Calculation'!$D$17="Type 4 g",1000+H22,IF('Pre-Calculation'!$D$17="Type 4 h",SA+V22,IF('Pre-Calculation'!$D$17="Type 4 i",MAX(H22,Q22),IF('Pre-Calculation'!$D$17="Type 4 k",MAX(H22,1.01*Q22),IF('Pre-Calculation'!$D$17="Type 4 m",MAX(105%*Q22,SA+H22),IF('Pre-Calculation'!$D$17="Type 4 o",MAX(SA,105%*Q22)+V22+X22,IF('Pre-Calculation'!$D$17="Type 5",0)))))))))))))*IF(AND(A22&lt;Revival!$C$4,C22&gt;Revival!$D$12),PUP,1)</f>
        <v>1000000</v>
      </c>
      <c r="L22" s="175">
        <f>H22-I22*(1+Tax)</f>
        <v>968540.0324</v>
      </c>
      <c r="M22" s="175">
        <f>L22*(1+GROWTH_RATE_HIST)</f>
        <v>979122.5995</v>
      </c>
      <c r="N22" s="175">
        <f>M22+IF(MOD(A22,B22)=0,VLOOKUP(B22,'Pre-Calculation'!$H$1:$L$31,5,FALSE),0)*IF('Pre-Calculation'!$D$16="% OF FV",M22,IF(OR('Pre-Calculation'!$D$16="% OF AFV(24M)",'Pre-Calculation'!$D$16="% OF AFV(8Q)"),AVERAGE( $M$7:$M22),IF('Pre-Calculation'!$D$16="% OF AFV(12M)",AVERAGE($M11:M22),IF('Pre-Calculation'!$D$16="% OF AFV(36M)",AVERAGE($M$7:M22)))))</f>
        <v>979122.5995</v>
      </c>
      <c r="O22" s="175">
        <f t="shared" si="4"/>
        <v>979122.5995</v>
      </c>
      <c r="P22" s="175">
        <f>IF('Pre-Calculation'!$D$17="Type 4 a",MAX(SA,N22,1.05*Q22),IF('Pre-Calculation'!$D$17="Type 4 c",N22,IF('Pre-Calculation'!$D$17="Type 4 d",SA+N22,IF('Pre-Calculation'!$D$17="Type 4 e",MAX(SA,N22),IF('Pre-Calculation'!$D$17="Type 4 f",SA,IF('Pre-Calculation'!$D$17="Type 4 g",1000+N22,IF('Pre-Calculation'!$D$17="Type 4 h",SA+V22,IF('Pre-Calculation'!$D$17="Type 4 i",MAX(N22,Q22),IF('Pre-Calculation'!$D$17="Type 4 k",MAX(N22,1.01*Q22),IF('Pre-Calculation'!$D$17="Type 4 m",MAX(105%*Q22,SA+N22),IF('Pre-Calculation'!$D$17="Type 4 o",MAX(SA,105%*Q22)+V22+X22,IF('Pre-Calculation'!$D$17="Type 5",0))))))))))))</f>
        <v>1000000</v>
      </c>
      <c r="Q22" s="175">
        <f t="shared" si="5"/>
        <v>700000</v>
      </c>
      <c r="R22" s="119">
        <f>L22*(1+GROWTH_RATE)*FMC</f>
        <v>1096.021745</v>
      </c>
      <c r="S22" s="112"/>
      <c r="T22" s="175">
        <f>-E22+IF(A21=INPUT!$C$11*12,N22,0)</f>
        <v>0</v>
      </c>
      <c r="U22" s="181"/>
      <c r="V22" s="179">
        <f t="array" ref="V22">NPV('Pre-Calculation'!$E$20,$E23:E$246)</f>
        <v>266908.3005</v>
      </c>
      <c r="W22" s="171">
        <f>10%*SA</f>
        <v>100000</v>
      </c>
      <c r="X22" s="179">
        <f t="array" ref="X22">NPV('Pre-Calculation'!$E$20,W23:W32)</f>
        <v>969592.8037</v>
      </c>
      <c r="Y22" s="12"/>
      <c r="Z22" s="12"/>
    </row>
    <row r="23" ht="15.75" customHeight="1">
      <c r="A23" s="171">
        <f t="shared" si="1"/>
        <v>77</v>
      </c>
      <c r="B23" s="171">
        <f t="shared" si="2"/>
        <v>7</v>
      </c>
      <c r="C23" s="176">
        <f>EDATE(RCD,A22)</f>
        <v>44864</v>
      </c>
      <c r="D23" s="171">
        <f>Age_At_Entry+Cashflows_HIST!B23-1</f>
        <v>41</v>
      </c>
      <c r="E23" s="175">
        <f>IF(AND(C23&lt;=Last_Prem,MOD(A22,Mode)=0,C23&gt;INPUT!$C$13,A23&lt;=Revival!$C$11),Mod_Prem,0)</f>
        <v>0</v>
      </c>
      <c r="F23" s="177">
        <f>E23*VLOOKUP(B23,'Pre-Calculation'!$H$1:$I$31,2,FALSE)</f>
        <v>0</v>
      </c>
      <c r="G23" s="177">
        <f>IF(B23&lt;PT+1,VLOOKUP(B23,'Pre-Calculation'!$H$1:$L$32,3,FALSE)+VLOOKUP(B23,'Pre-Calculation'!$H$1:$L$32,4,FALSE)*'Pre-Calculation'!$D$7,0)</f>
        <v>830</v>
      </c>
      <c r="H23" s="175">
        <f>(E23-(F23+G23)*(1+Tax)+N22)</f>
        <v>978143.1995</v>
      </c>
      <c r="I23" s="175">
        <f>IF(B23&lt;PT+1,VLOOKUP(D23,'Pre-Calculation'!$N$3:$P$79,IF(INPUT!$C$4="M",2,3),FALSE)*(J23/1000)*(1/12),0)</f>
        <v>3.568122682</v>
      </c>
      <c r="J23" s="175">
        <f t="shared" si="3"/>
        <v>21856.8005</v>
      </c>
      <c r="K23" s="175">
        <f>(IF('Pre-Calculation'!$D$17="Type 4 a",MAX(SA,H23,1.05*Q23),IF('Pre-Calculation'!$D$17="Type 4 c",H23,IF('Pre-Calculation'!$D$17="Type 4 d",SA+H23,IF('Pre-Calculation'!$D$17="Type 4 e",MAX(SA,H23),IF('Pre-Calculation'!$D$17="Type 4 f",SA,IF('Pre-Calculation'!$D$17="Type 4 g",1000+H23,IF('Pre-Calculation'!$D$17="Type 4 h",SA+V23,IF('Pre-Calculation'!$D$17="Type 4 i",MAX(H23,Q23),IF('Pre-Calculation'!$D$17="Type 4 k",MAX(H23,1.01*Q23),IF('Pre-Calculation'!$D$17="Type 4 m",MAX(105%*Q23,SA+H23),IF('Pre-Calculation'!$D$17="Type 4 o",MAX(SA,105%*Q23)+V23+X23,IF('Pre-Calculation'!$D$17="Type 5",0)))))))))))))*IF(AND(A23&lt;Revival!$C$4,C23&gt;Revival!$D$12),PUP,1)</f>
        <v>1000000</v>
      </c>
      <c r="L23" s="175">
        <f>H23-I23*(1+Tax)</f>
        <v>978138.9891</v>
      </c>
      <c r="M23" s="175">
        <f>L23*(1+GROWTH_RATE_HIST)</f>
        <v>988826.4373</v>
      </c>
      <c r="N23" s="175">
        <f>M23+IF(MOD(A23,B23)=0,VLOOKUP(B23,'Pre-Calculation'!$H$1:$L$31,5,FALSE),0)*IF('Pre-Calculation'!$D$16="% OF FV",M23,IF(OR('Pre-Calculation'!$D$16="% OF AFV(24M)",'Pre-Calculation'!$D$16="% OF AFV(8Q)"),AVERAGE( $M$7:$M23),IF('Pre-Calculation'!$D$16="% OF AFV(12M)",AVERAGE($M12:M23),IF('Pre-Calculation'!$D$16="% OF AFV(36M)",AVERAGE($M$7:M23)))))</f>
        <v>988826.4373</v>
      </c>
      <c r="O23" s="175">
        <f t="shared" si="4"/>
        <v>988826.4373</v>
      </c>
      <c r="P23" s="175">
        <f>IF('Pre-Calculation'!$D$17="Type 4 a",MAX(SA,N23,1.05*Q23),IF('Pre-Calculation'!$D$17="Type 4 c",N23,IF('Pre-Calculation'!$D$17="Type 4 d",SA+N23,IF('Pre-Calculation'!$D$17="Type 4 e",MAX(SA,N23),IF('Pre-Calculation'!$D$17="Type 4 f",SA,IF('Pre-Calculation'!$D$17="Type 4 g",1000+N23,IF('Pre-Calculation'!$D$17="Type 4 h",SA+V23,IF('Pre-Calculation'!$D$17="Type 4 i",MAX(N23,Q23),IF('Pre-Calculation'!$D$17="Type 4 k",MAX(N23,1.01*Q23),IF('Pre-Calculation'!$D$17="Type 4 m",MAX(105%*Q23,SA+N23),IF('Pre-Calculation'!$D$17="Type 4 o",MAX(SA,105%*Q23)+V23+X23,IF('Pre-Calculation'!$D$17="Type 5",0))))))))))))</f>
        <v>1000000</v>
      </c>
      <c r="Q23" s="175">
        <f t="shared" si="5"/>
        <v>700000</v>
      </c>
      <c r="R23" s="119">
        <f>L23*(1+GROWTH_RATE)*FMC</f>
        <v>1106.884141</v>
      </c>
      <c r="S23" s="112"/>
      <c r="T23" s="175">
        <f>-E23+IF(A22=INPUT!$C$11*12,N23,0)</f>
        <v>0</v>
      </c>
      <c r="U23" s="181"/>
      <c r="V23" s="179">
        <f t="array" ref="V23">NPV('Pre-Calculation'!$E$20,$E24:E$246)</f>
        <v>268417.4389</v>
      </c>
      <c r="W23" s="171">
        <f>10%*SA</f>
        <v>100000</v>
      </c>
      <c r="X23" s="179">
        <f t="array" ref="X23">NPV('Pre-Calculation'!$E$20,W24:W33)</f>
        <v>969592.8037</v>
      </c>
      <c r="Y23" s="12"/>
      <c r="Z23" s="12"/>
    </row>
    <row r="24" ht="15.75" customHeight="1">
      <c r="A24" s="171">
        <f t="shared" si="1"/>
        <v>78</v>
      </c>
      <c r="B24" s="171">
        <f t="shared" si="2"/>
        <v>7</v>
      </c>
      <c r="C24" s="176">
        <f>EDATE(RCD,A23)</f>
        <v>44895</v>
      </c>
      <c r="D24" s="171">
        <f>Age_At_Entry+Cashflows_HIST!B24-1</f>
        <v>41</v>
      </c>
      <c r="E24" s="175">
        <f>IF(AND(C24&lt;=Last_Prem,MOD(A23,Mode)=0,C24&gt;INPUT!$C$13,A24&lt;=Revival!$C$11),Mod_Prem,0)</f>
        <v>0</v>
      </c>
      <c r="F24" s="177">
        <f>E24*VLOOKUP(B24,'Pre-Calculation'!$H$1:$I$31,2,FALSE)</f>
        <v>0</v>
      </c>
      <c r="G24" s="177">
        <f>IF(B24&lt;PT+1,VLOOKUP(B24,'Pre-Calculation'!$H$1:$L$32,3,FALSE)+VLOOKUP(B24,'Pre-Calculation'!$H$1:$L$32,4,FALSE)*'Pre-Calculation'!$D$7,0)</f>
        <v>830</v>
      </c>
      <c r="H24" s="175">
        <f>(E24-(F24+G24)*(1+Tax)+N23)</f>
        <v>987847.0373</v>
      </c>
      <c r="I24" s="175">
        <f>IF(B24&lt;PT+1,VLOOKUP(D24,'Pre-Calculation'!$N$3:$P$79,IF(INPUT!$C$4="M",2,3),FALSE)*(J24/1000)*(1/12),0)</f>
        <v>1.983971156</v>
      </c>
      <c r="J24" s="175">
        <f t="shared" si="3"/>
        <v>12152.96267</v>
      </c>
      <c r="K24" s="175">
        <f>(IF('Pre-Calculation'!$D$17="Type 4 a",MAX(SA,H24,1.05*Q24),IF('Pre-Calculation'!$D$17="Type 4 c",H24,IF('Pre-Calculation'!$D$17="Type 4 d",SA+H24,IF('Pre-Calculation'!$D$17="Type 4 e",MAX(SA,H24),IF('Pre-Calculation'!$D$17="Type 4 f",SA,IF('Pre-Calculation'!$D$17="Type 4 g",1000+H24,IF('Pre-Calculation'!$D$17="Type 4 h",SA+V24,IF('Pre-Calculation'!$D$17="Type 4 i",MAX(H24,Q24),IF('Pre-Calculation'!$D$17="Type 4 k",MAX(H24,1.01*Q24),IF('Pre-Calculation'!$D$17="Type 4 m",MAX(105%*Q24,SA+H24),IF('Pre-Calculation'!$D$17="Type 4 o",MAX(SA,105%*Q24)+V24+X24,IF('Pre-Calculation'!$D$17="Type 5",0)))))))))))))*IF(AND(A24&lt;Revival!$C$4,C24&gt;Revival!$D$12),PUP,1)</f>
        <v>1000000</v>
      </c>
      <c r="L24" s="175">
        <f>H24-I24*(1+Tax)</f>
        <v>987844.6962</v>
      </c>
      <c r="M24" s="175">
        <f>L24*(1+GROWTH_RATE_HIST)</f>
        <v>998638.192</v>
      </c>
      <c r="N24" s="175">
        <f>M24+IF(MOD(A24,B24)=0,VLOOKUP(B24,'Pre-Calculation'!$H$1:$L$31,5,FALSE),0)*IF('Pre-Calculation'!$D$16="% OF FV",M24,IF(OR('Pre-Calculation'!$D$16="% OF AFV(24M)",'Pre-Calculation'!$D$16="% OF AFV(8Q)"),AVERAGE( $M$7:$M24),IF('Pre-Calculation'!$D$16="% OF AFV(12M)",AVERAGE($M13:M24),IF('Pre-Calculation'!$D$16="% OF AFV(36M)",AVERAGE($M$7:M24)))))</f>
        <v>998638.192</v>
      </c>
      <c r="O24" s="175">
        <f t="shared" si="4"/>
        <v>998638.192</v>
      </c>
      <c r="P24" s="175">
        <f>IF('Pre-Calculation'!$D$17="Type 4 a",MAX(SA,N24,1.05*Q24),IF('Pre-Calculation'!$D$17="Type 4 c",N24,IF('Pre-Calculation'!$D$17="Type 4 d",SA+N24,IF('Pre-Calculation'!$D$17="Type 4 e",MAX(SA,N24),IF('Pre-Calculation'!$D$17="Type 4 f",SA,IF('Pre-Calculation'!$D$17="Type 4 g",1000+N24,IF('Pre-Calculation'!$D$17="Type 4 h",SA+V24,IF('Pre-Calculation'!$D$17="Type 4 i",MAX(N24,Q24),IF('Pre-Calculation'!$D$17="Type 4 k",MAX(N24,1.01*Q24),IF('Pre-Calculation'!$D$17="Type 4 m",MAX(105%*Q24,SA+N24),IF('Pre-Calculation'!$D$17="Type 4 o",MAX(SA,105%*Q24)+V24+X24,IF('Pre-Calculation'!$D$17="Type 5",0))))))))))))</f>
        <v>1000000</v>
      </c>
      <c r="Q24" s="175">
        <f t="shared" si="5"/>
        <v>700000</v>
      </c>
      <c r="R24" s="119">
        <f>L24*(1+GROWTH_RATE)*FMC</f>
        <v>1117.867338</v>
      </c>
      <c r="S24" s="112"/>
      <c r="T24" s="175">
        <f>-E24+IF(A23=INPUT!$C$11*12,N24,0)</f>
        <v>0</v>
      </c>
      <c r="U24" s="181"/>
      <c r="V24" s="179">
        <f t="array" ref="V24">NPV('Pre-Calculation'!$E$20,$E25:E$246)</f>
        <v>269935.1101</v>
      </c>
      <c r="W24" s="171">
        <f>10%*SA</f>
        <v>100000</v>
      </c>
      <c r="X24" s="179">
        <f t="array" ref="X24">NPV('Pre-Calculation'!$E$20,W25:W34)</f>
        <v>969592.8037</v>
      </c>
      <c r="Y24" s="12"/>
      <c r="Z24" s="12"/>
    </row>
    <row r="25" ht="15.75" customHeight="1">
      <c r="A25" s="171">
        <f t="shared" si="1"/>
        <v>79</v>
      </c>
      <c r="B25" s="171">
        <f t="shared" si="2"/>
        <v>7</v>
      </c>
      <c r="C25" s="176">
        <f>EDATE(RCD,A24)</f>
        <v>44925</v>
      </c>
      <c r="D25" s="171">
        <f>Age_At_Entry+Cashflows_HIST!B25-1</f>
        <v>41</v>
      </c>
      <c r="E25" s="175">
        <f>IF(AND(C25&lt;=Last_Prem,MOD(A24,Mode)=0,C25&gt;INPUT!$C$13,A25&lt;=Revival!$C$11),Mod_Prem,0)</f>
        <v>0</v>
      </c>
      <c r="F25" s="177">
        <f>E25*VLOOKUP(B25,'Pre-Calculation'!$H$1:$I$31,2,FALSE)</f>
        <v>0</v>
      </c>
      <c r="G25" s="177">
        <f>IF(B25&lt;PT+1,VLOOKUP(B25,'Pre-Calculation'!$H$1:$L$32,3,FALSE)+VLOOKUP(B25,'Pre-Calculation'!$H$1:$L$32,4,FALSE)*'Pre-Calculation'!$D$7,0)</f>
        <v>830</v>
      </c>
      <c r="H25" s="175">
        <f>(E25-(F25+G25)*(1+Tax)+N24)</f>
        <v>997658.792</v>
      </c>
      <c r="I25" s="175">
        <f>IF(B25&lt;PT+1,VLOOKUP(D25,'Pre-Calculation'!$N$3:$P$79,IF(INPUT!$C$4="M",2,3),FALSE)*(J25/1000)*(1/12),0)</f>
        <v>0.3822022054</v>
      </c>
      <c r="J25" s="175">
        <f t="shared" si="3"/>
        <v>2341.207996</v>
      </c>
      <c r="K25" s="175">
        <f>(IF('Pre-Calculation'!$D$17="Type 4 a",MAX(SA,H25,1.05*Q25),IF('Pre-Calculation'!$D$17="Type 4 c",H25,IF('Pre-Calculation'!$D$17="Type 4 d",SA+H25,IF('Pre-Calculation'!$D$17="Type 4 e",MAX(SA,H25),IF('Pre-Calculation'!$D$17="Type 4 f",SA,IF('Pre-Calculation'!$D$17="Type 4 g",1000+H25,IF('Pre-Calculation'!$D$17="Type 4 h",SA+V25,IF('Pre-Calculation'!$D$17="Type 4 i",MAX(H25,Q25),IF('Pre-Calculation'!$D$17="Type 4 k",MAX(H25,1.01*Q25),IF('Pre-Calculation'!$D$17="Type 4 m",MAX(105%*Q25,SA+H25),IF('Pre-Calculation'!$D$17="Type 4 o",MAX(SA,105%*Q25)+V25+X25,IF('Pre-Calculation'!$D$17="Type 5",0)))))))))))))*IF(AND(A25&lt;Revival!$C$4,C25&gt;Revival!$D$12),PUP,1)</f>
        <v>1000000</v>
      </c>
      <c r="L25" s="175">
        <f>H25-I25*(1+Tax)</f>
        <v>997658.341</v>
      </c>
      <c r="M25" s="175">
        <f>L25*(1+GROWTH_RATE_HIST)</f>
        <v>1008559.064</v>
      </c>
      <c r="N25" s="175">
        <f>M25+IF(MOD(A25,B25)=0,VLOOKUP(B25,'Pre-Calculation'!$H$1:$L$31,5,FALSE),0)*IF('Pre-Calculation'!$D$16="% OF FV",M25,IF(OR('Pre-Calculation'!$D$16="% OF AFV(24M)",'Pre-Calculation'!$D$16="% OF AFV(8Q)"),AVERAGE( $M$7:$M25),IF('Pre-Calculation'!$D$16="% OF AFV(12M)",AVERAGE($M14:M25),IF('Pre-Calculation'!$D$16="% OF AFV(36M)",AVERAGE($M$7:M25)))))</f>
        <v>1008559.064</v>
      </c>
      <c r="O25" s="175">
        <f t="shared" si="4"/>
        <v>1008559.064</v>
      </c>
      <c r="P25" s="175">
        <f>IF('Pre-Calculation'!$D$17="Type 4 a",MAX(SA,N25,1.05*Q25),IF('Pre-Calculation'!$D$17="Type 4 c",N25,IF('Pre-Calculation'!$D$17="Type 4 d",SA+N25,IF('Pre-Calculation'!$D$17="Type 4 e",MAX(SA,N25),IF('Pre-Calculation'!$D$17="Type 4 f",SA,IF('Pre-Calculation'!$D$17="Type 4 g",1000+N25,IF('Pre-Calculation'!$D$17="Type 4 h",SA+V25,IF('Pre-Calculation'!$D$17="Type 4 i",MAX(N25,Q25),IF('Pre-Calculation'!$D$17="Type 4 k",MAX(N25,1.01*Q25),IF('Pre-Calculation'!$D$17="Type 4 m",MAX(105%*Q25,SA+N25),IF('Pre-Calculation'!$D$17="Type 4 o",MAX(SA,105%*Q25)+V25+X25,IF('Pre-Calculation'!$D$17="Type 5",0))))))))))))</f>
        <v>1008559.064</v>
      </c>
      <c r="Q25" s="175">
        <f t="shared" si="5"/>
        <v>700000</v>
      </c>
      <c r="R25" s="119">
        <f>L25*(1+GROWTH_RATE)*FMC</f>
        <v>1128.97268</v>
      </c>
      <c r="S25" s="112"/>
      <c r="T25" s="175">
        <f>-E25+IF(A24=INPUT!$C$11*12,N25,0)</f>
        <v>0</v>
      </c>
      <c r="U25" s="181"/>
      <c r="V25" s="179">
        <f t="array" ref="V25">NPV('Pre-Calculation'!$E$20,$E26:E$246)</f>
        <v>271461.3624</v>
      </c>
      <c r="W25" s="171">
        <f>10%*SA</f>
        <v>100000</v>
      </c>
      <c r="X25" s="179">
        <f t="array" ref="X25">NPV('Pre-Calculation'!$E$20,W26:W35)</f>
        <v>969592.8037</v>
      </c>
      <c r="Y25" s="12"/>
      <c r="Z25" s="12"/>
    </row>
    <row r="26" ht="15.75" customHeight="1">
      <c r="A26" s="171">
        <f t="shared" si="1"/>
        <v>80</v>
      </c>
      <c r="B26" s="171">
        <f t="shared" si="2"/>
        <v>7</v>
      </c>
      <c r="C26" s="176">
        <f>EDATE(RCD,A25)</f>
        <v>44956</v>
      </c>
      <c r="D26" s="171">
        <f>Age_At_Entry+Cashflows_HIST!B26-1</f>
        <v>41</v>
      </c>
      <c r="E26" s="175">
        <f>IF(AND(C26&lt;=Last_Prem,MOD(A25,Mode)=0,C26&gt;INPUT!$C$13,A26&lt;=Revival!$C$11),Mod_Prem,0)</f>
        <v>0</v>
      </c>
      <c r="F26" s="177">
        <f>E26*VLOOKUP(B26,'Pre-Calculation'!$H$1:$I$31,2,FALSE)</f>
        <v>0</v>
      </c>
      <c r="G26" s="177">
        <f>IF(B26&lt;PT+1,VLOOKUP(B26,'Pre-Calculation'!$H$1:$L$32,3,FALSE)+VLOOKUP(B26,'Pre-Calculation'!$H$1:$L$32,4,FALSE)*'Pre-Calculation'!$D$7,0)</f>
        <v>830</v>
      </c>
      <c r="H26" s="175">
        <f>(E26-(F26+G26)*(1+Tax)+N25)</f>
        <v>1007579.664</v>
      </c>
      <c r="I26" s="175">
        <f>IF(B26&lt;PT+1,VLOOKUP(D26,'Pre-Calculation'!$N$3:$P$79,IF(INPUT!$C$4="M",2,3),FALSE)*(J26/1000)*(1/12),0)</f>
        <v>0</v>
      </c>
      <c r="J26" s="175">
        <f t="shared" si="3"/>
        <v>0</v>
      </c>
      <c r="K26" s="175">
        <f>(IF('Pre-Calculation'!$D$17="Type 4 a",MAX(SA,H26,1.05*Q26),IF('Pre-Calculation'!$D$17="Type 4 c",H26,IF('Pre-Calculation'!$D$17="Type 4 d",SA+H26,IF('Pre-Calculation'!$D$17="Type 4 e",MAX(SA,H26),IF('Pre-Calculation'!$D$17="Type 4 f",SA,IF('Pre-Calculation'!$D$17="Type 4 g",1000+H26,IF('Pre-Calculation'!$D$17="Type 4 h",SA+V26,IF('Pre-Calculation'!$D$17="Type 4 i",MAX(H26,Q26),IF('Pre-Calculation'!$D$17="Type 4 k",MAX(H26,1.01*Q26),IF('Pre-Calculation'!$D$17="Type 4 m",MAX(105%*Q26,SA+H26),IF('Pre-Calculation'!$D$17="Type 4 o",MAX(SA,105%*Q26)+V26+X26,IF('Pre-Calculation'!$D$17="Type 5",0)))))))))))))*IF(AND(A26&lt;Revival!$C$4,C26&gt;Revival!$D$12),PUP,1)</f>
        <v>1007579.664</v>
      </c>
      <c r="L26" s="175">
        <f>H26-I26*(1+Tax)</f>
        <v>1007579.664</v>
      </c>
      <c r="M26" s="175">
        <f>L26*(1+GROWTH_RATE_HIST)</f>
        <v>1018588.79</v>
      </c>
      <c r="N26" s="175">
        <f>M26+IF(MOD(A26,B26)=0,VLOOKUP(B26,'Pre-Calculation'!$H$1:$L$31,5,FALSE),0)*IF('Pre-Calculation'!$D$16="% OF FV",M26,IF(OR('Pre-Calculation'!$D$16="% OF AFV(24M)",'Pre-Calculation'!$D$16="% OF AFV(8Q)"),AVERAGE( $M$7:$M26),IF('Pre-Calculation'!$D$16="% OF AFV(12M)",AVERAGE($M15:M26),IF('Pre-Calculation'!$D$16="% OF AFV(36M)",AVERAGE($M$7:M26)))))</f>
        <v>1018588.79</v>
      </c>
      <c r="O26" s="175">
        <f t="shared" si="4"/>
        <v>1018588.79</v>
      </c>
      <c r="P26" s="175">
        <f>IF('Pre-Calculation'!$D$17="Type 4 a",MAX(SA,N26,1.05*Q26),IF('Pre-Calculation'!$D$17="Type 4 c",N26,IF('Pre-Calculation'!$D$17="Type 4 d",SA+N26,IF('Pre-Calculation'!$D$17="Type 4 e",MAX(SA,N26),IF('Pre-Calculation'!$D$17="Type 4 f",SA,IF('Pre-Calculation'!$D$17="Type 4 g",1000+N26,IF('Pre-Calculation'!$D$17="Type 4 h",SA+V26,IF('Pre-Calculation'!$D$17="Type 4 i",MAX(N26,Q26),IF('Pre-Calculation'!$D$17="Type 4 k",MAX(N26,1.01*Q26),IF('Pre-Calculation'!$D$17="Type 4 m",MAX(105%*Q26,SA+N26),IF('Pre-Calculation'!$D$17="Type 4 o",MAX(SA,105%*Q26)+V26+X26,IF('Pre-Calculation'!$D$17="Type 5",0))))))))))))</f>
        <v>1018588.79</v>
      </c>
      <c r="Q26" s="175">
        <f t="shared" si="5"/>
        <v>700000</v>
      </c>
      <c r="R26" s="119">
        <f>L26*(1+GROWTH_RATE)*FMC</f>
        <v>1140.199873</v>
      </c>
      <c r="S26" s="112"/>
      <c r="T26" s="175">
        <f>-E26+IF(A25=INPUT!$C$11*12,N26,0)</f>
        <v>0</v>
      </c>
      <c r="U26" s="181"/>
      <c r="V26" s="179">
        <f t="array" ref="V26">NPV('Pre-Calculation'!$E$20,$E27:E$246)</f>
        <v>272996.2445</v>
      </c>
      <c r="W26" s="171">
        <f>10%*SA</f>
        <v>100000</v>
      </c>
      <c r="X26" s="179">
        <f t="array" ref="X26">NPV('Pre-Calculation'!$E$20,W27:W36)</f>
        <v>969592.8037</v>
      </c>
      <c r="Y26" s="12"/>
      <c r="Z26" s="12"/>
    </row>
    <row r="27" ht="15.75" customHeight="1">
      <c r="A27" s="171">
        <f t="shared" si="1"/>
        <v>81</v>
      </c>
      <c r="B27" s="171">
        <f t="shared" si="2"/>
        <v>7</v>
      </c>
      <c r="C27" s="176">
        <f>EDATE(RCD,A26)</f>
        <v>44985</v>
      </c>
      <c r="D27" s="171">
        <f>Age_At_Entry+Cashflows_HIST!B27-1</f>
        <v>41</v>
      </c>
      <c r="E27" s="175">
        <f>IF(AND(C27&lt;=Last_Prem,MOD(A26,Mode)=0,C27&gt;INPUT!$C$13,A27&lt;=Revival!$C$11),Mod_Prem,0)</f>
        <v>0</v>
      </c>
      <c r="F27" s="177">
        <f>E27*VLOOKUP(B27,'Pre-Calculation'!$H$1:$I$31,2,FALSE)</f>
        <v>0</v>
      </c>
      <c r="G27" s="177">
        <f>IF(B27&lt;PT+1,VLOOKUP(B27,'Pre-Calculation'!$H$1:$L$32,3,FALSE)+VLOOKUP(B27,'Pre-Calculation'!$H$1:$L$32,4,FALSE)*'Pre-Calculation'!$D$7,0)</f>
        <v>830</v>
      </c>
      <c r="H27" s="175">
        <f>(E27-(F27+G27)*(1+Tax)+N26)</f>
        <v>1017609.39</v>
      </c>
      <c r="I27" s="175">
        <f>IF(B27&lt;PT+1,VLOOKUP(D27,'Pre-Calculation'!$N$3:$P$79,IF(INPUT!$C$4="M",2,3),FALSE)*(J27/1000)*(1/12),0)</f>
        <v>0</v>
      </c>
      <c r="J27" s="175">
        <f t="shared" si="3"/>
        <v>0</v>
      </c>
      <c r="K27" s="175">
        <f>(IF('Pre-Calculation'!$D$17="Type 4 a",MAX(SA,H27,1.05*Q27),IF('Pre-Calculation'!$D$17="Type 4 c",H27,IF('Pre-Calculation'!$D$17="Type 4 d",SA+H27,IF('Pre-Calculation'!$D$17="Type 4 e",MAX(SA,H27),IF('Pre-Calculation'!$D$17="Type 4 f",SA,IF('Pre-Calculation'!$D$17="Type 4 g",1000+H27,IF('Pre-Calculation'!$D$17="Type 4 h",SA+V27,IF('Pre-Calculation'!$D$17="Type 4 i",MAX(H27,Q27),IF('Pre-Calculation'!$D$17="Type 4 k",MAX(H27,1.01*Q27),IF('Pre-Calculation'!$D$17="Type 4 m",MAX(105%*Q27,SA+H27),IF('Pre-Calculation'!$D$17="Type 4 o",MAX(SA,105%*Q27)+V27+X27,IF('Pre-Calculation'!$D$17="Type 5",0)))))))))))))*IF(AND(A27&lt;Revival!$C$4,C27&gt;Revival!$D$12),PUP,1)</f>
        <v>1017609.39</v>
      </c>
      <c r="L27" s="175">
        <f>H27-I27*(1+Tax)</f>
        <v>1017609.39</v>
      </c>
      <c r="M27" s="175">
        <f>L27*(1+GROWTH_RATE_HIST)</f>
        <v>1028728.104</v>
      </c>
      <c r="N27" s="175">
        <f>M27+IF(MOD(A27,B27)=0,VLOOKUP(B27,'Pre-Calculation'!$H$1:$L$31,5,FALSE),0)*IF('Pre-Calculation'!$D$16="% OF FV",M27,IF(OR('Pre-Calculation'!$D$16="% OF AFV(24M)",'Pre-Calculation'!$D$16="% OF AFV(8Q)"),AVERAGE( $M$7:$M27),IF('Pre-Calculation'!$D$16="% OF AFV(12M)",AVERAGE($M16:M27),IF('Pre-Calculation'!$D$16="% OF AFV(36M)",AVERAGE($M$7:M27)))))</f>
        <v>1028728.104</v>
      </c>
      <c r="O27" s="175">
        <f t="shared" si="4"/>
        <v>1028728.104</v>
      </c>
      <c r="P27" s="175">
        <f>IF('Pre-Calculation'!$D$17="Type 4 a",MAX(SA,N27,1.05*Q27),IF('Pre-Calculation'!$D$17="Type 4 c",N27,IF('Pre-Calculation'!$D$17="Type 4 d",SA+N27,IF('Pre-Calculation'!$D$17="Type 4 e",MAX(SA,N27),IF('Pre-Calculation'!$D$17="Type 4 f",SA,IF('Pre-Calculation'!$D$17="Type 4 g",1000+N27,IF('Pre-Calculation'!$D$17="Type 4 h",SA+V27,IF('Pre-Calculation'!$D$17="Type 4 i",MAX(N27,Q27),IF('Pre-Calculation'!$D$17="Type 4 k",MAX(N27,1.01*Q27),IF('Pre-Calculation'!$D$17="Type 4 m",MAX(105%*Q27,SA+N27),IF('Pre-Calculation'!$D$17="Type 4 o",MAX(SA,105%*Q27)+V27+X27,IF('Pre-Calculation'!$D$17="Type 5",0))))))))))))</f>
        <v>1028728.104</v>
      </c>
      <c r="Q27" s="175">
        <f t="shared" si="5"/>
        <v>700000</v>
      </c>
      <c r="R27" s="119">
        <f>L27*(1+GROWTH_RATE)*FMC</f>
        <v>1151.549737</v>
      </c>
      <c r="S27" s="112"/>
      <c r="T27" s="175">
        <f>-E27+IF(A26=INPUT!$C$11*12,N27,0)</f>
        <v>0</v>
      </c>
      <c r="U27" s="181"/>
      <c r="V27" s="179">
        <f t="array" ref="V27">NPV('Pre-Calculation'!$E$20,$E28:E$246)</f>
        <v>274539.8049</v>
      </c>
      <c r="W27" s="171">
        <f>10%*SA</f>
        <v>100000</v>
      </c>
      <c r="X27" s="179">
        <f t="array" ref="X27">NPV('Pre-Calculation'!$E$20,W28:W37)</f>
        <v>969592.8037</v>
      </c>
      <c r="Y27" s="12"/>
      <c r="Z27" s="12"/>
    </row>
    <row r="28" ht="15.75" customHeight="1">
      <c r="A28" s="171">
        <f t="shared" si="1"/>
        <v>82</v>
      </c>
      <c r="B28" s="171">
        <f t="shared" si="2"/>
        <v>7</v>
      </c>
      <c r="C28" s="176">
        <f>EDATE(RCD,A27)</f>
        <v>45015</v>
      </c>
      <c r="D28" s="171">
        <f>Age_At_Entry+Cashflows_HIST!B28-1</f>
        <v>41</v>
      </c>
      <c r="E28" s="175">
        <f>IF(AND(C28&lt;=Last_Prem,MOD(A27,Mode)=0,C28&gt;INPUT!$C$13,A28&lt;=Revival!$C$11),Mod_Prem,0)</f>
        <v>0</v>
      </c>
      <c r="F28" s="177">
        <f>E28*VLOOKUP(B28,'Pre-Calculation'!$H$1:$I$31,2,FALSE)</f>
        <v>0</v>
      </c>
      <c r="G28" s="177">
        <f>IF(B28&lt;PT+1,VLOOKUP(B28,'Pre-Calculation'!$H$1:$L$32,3,FALSE)+VLOOKUP(B28,'Pre-Calculation'!$H$1:$L$32,4,FALSE)*'Pre-Calculation'!$D$7,0)</f>
        <v>830</v>
      </c>
      <c r="H28" s="175">
        <f>(E28-(F28+G28)*(1+Tax)+N27)</f>
        <v>1027748.704</v>
      </c>
      <c r="I28" s="175">
        <f>IF(B28&lt;PT+1,VLOOKUP(D28,'Pre-Calculation'!$N$3:$P$79,IF(INPUT!$C$4="M",2,3),FALSE)*(J28/1000)*(1/12),0)</f>
        <v>0</v>
      </c>
      <c r="J28" s="175">
        <f t="shared" si="3"/>
        <v>0</v>
      </c>
      <c r="K28" s="175">
        <f>(IF('Pre-Calculation'!$D$17="Type 4 a",MAX(SA,H28,1.05*Q28),IF('Pre-Calculation'!$D$17="Type 4 c",H28,IF('Pre-Calculation'!$D$17="Type 4 d",SA+H28,IF('Pre-Calculation'!$D$17="Type 4 e",MAX(SA,H28),IF('Pre-Calculation'!$D$17="Type 4 f",SA,IF('Pre-Calculation'!$D$17="Type 4 g",1000+H28,IF('Pre-Calculation'!$D$17="Type 4 h",SA+V28,IF('Pre-Calculation'!$D$17="Type 4 i",MAX(H28,Q28),IF('Pre-Calculation'!$D$17="Type 4 k",MAX(H28,1.01*Q28),IF('Pre-Calculation'!$D$17="Type 4 m",MAX(105%*Q28,SA+H28),IF('Pre-Calculation'!$D$17="Type 4 o",MAX(SA,105%*Q28)+V28+X28,IF('Pre-Calculation'!$D$17="Type 5",0)))))))))))))*IF(AND(A28&lt;Revival!$C$4,C28&gt;Revival!$D$12),PUP,1)</f>
        <v>1027748.704</v>
      </c>
      <c r="L28" s="175">
        <f>H28-I28*(1+Tax)</f>
        <v>1027748.704</v>
      </c>
      <c r="M28" s="175">
        <f>L28*(1+GROWTH_RATE_HIST)</f>
        <v>1038978.203</v>
      </c>
      <c r="N28" s="175">
        <f>M28+IF(MOD(A28,B28)=0,VLOOKUP(B28,'Pre-Calculation'!$H$1:$L$31,5,FALSE),0)*IF('Pre-Calculation'!$D$16="% OF FV",M28,IF(OR('Pre-Calculation'!$D$16="% OF AFV(24M)",'Pre-Calculation'!$D$16="% OF AFV(8Q)"),AVERAGE( $M$7:$M28),IF('Pre-Calculation'!$D$16="% OF AFV(12M)",AVERAGE($M17:M28),IF('Pre-Calculation'!$D$16="% OF AFV(36M)",AVERAGE($M$7:M28)))))</f>
        <v>1038978.203</v>
      </c>
      <c r="O28" s="175">
        <f t="shared" si="4"/>
        <v>1038978.203</v>
      </c>
      <c r="P28" s="175">
        <f>IF('Pre-Calculation'!$D$17="Type 4 a",MAX(SA,N28,1.05*Q28),IF('Pre-Calculation'!$D$17="Type 4 c",N28,IF('Pre-Calculation'!$D$17="Type 4 d",SA+N28,IF('Pre-Calculation'!$D$17="Type 4 e",MAX(SA,N28),IF('Pre-Calculation'!$D$17="Type 4 f",SA,IF('Pre-Calculation'!$D$17="Type 4 g",1000+N28,IF('Pre-Calculation'!$D$17="Type 4 h",SA+V28,IF('Pre-Calculation'!$D$17="Type 4 i",MAX(N28,Q28),IF('Pre-Calculation'!$D$17="Type 4 k",MAX(N28,1.01*Q28),IF('Pre-Calculation'!$D$17="Type 4 m",MAX(105%*Q28,SA+N28),IF('Pre-Calculation'!$D$17="Type 4 o",MAX(SA,105%*Q28)+V28+X28,IF('Pre-Calculation'!$D$17="Type 5",0))))))))))))</f>
        <v>1038978.203</v>
      </c>
      <c r="Q28" s="175">
        <f t="shared" si="5"/>
        <v>700000</v>
      </c>
      <c r="R28" s="119">
        <f>L28*(1+GROWTH_RATE)*FMC</f>
        <v>1163.023613</v>
      </c>
      <c r="S28" s="112"/>
      <c r="T28" s="175">
        <f>-E28+IF(A27=INPUT!$C$11*12,N28,0)</f>
        <v>0</v>
      </c>
      <c r="U28" s="181"/>
      <c r="V28" s="179">
        <f t="array" ref="V28">NPV('Pre-Calculation'!$E$20,$E29:E$246)</f>
        <v>276092.0929</v>
      </c>
      <c r="W28" s="171">
        <f>10%*SA</f>
        <v>100000</v>
      </c>
      <c r="X28" s="179">
        <f t="array" ref="X28">NPV('Pre-Calculation'!$E$20,W29:W38)</f>
        <v>969592.8037</v>
      </c>
      <c r="Y28" s="12"/>
      <c r="Z28" s="12"/>
    </row>
    <row r="29" ht="15.75" customHeight="1">
      <c r="A29" s="171">
        <f t="shared" si="1"/>
        <v>83</v>
      </c>
      <c r="B29" s="171">
        <f t="shared" si="2"/>
        <v>7</v>
      </c>
      <c r="C29" s="176">
        <f>EDATE(RCD,A28)</f>
        <v>45046</v>
      </c>
      <c r="D29" s="171">
        <f>Age_At_Entry+Cashflows_HIST!B29-1</f>
        <v>41</v>
      </c>
      <c r="E29" s="175">
        <f>IF(AND(C29&lt;=Last_Prem,MOD(A28,Mode)=0,C29&gt;INPUT!$C$13,A29&lt;=Revival!$C$11),Mod_Prem,0)</f>
        <v>0</v>
      </c>
      <c r="F29" s="177">
        <f>E29*VLOOKUP(B29,'Pre-Calculation'!$H$1:$I$31,2,FALSE)</f>
        <v>0</v>
      </c>
      <c r="G29" s="177">
        <f>IF(B29&lt;PT+1,VLOOKUP(B29,'Pre-Calculation'!$H$1:$L$32,3,FALSE)+VLOOKUP(B29,'Pre-Calculation'!$H$1:$L$32,4,FALSE)*'Pre-Calculation'!$D$7,0)</f>
        <v>830</v>
      </c>
      <c r="H29" s="175">
        <f>(E29-(F29+G29)*(1+Tax)+N28)</f>
        <v>1037998.803</v>
      </c>
      <c r="I29" s="175">
        <f>IF(B29&lt;PT+1,VLOOKUP(D29,'Pre-Calculation'!$N$3:$P$79,IF(INPUT!$C$4="M",2,3),FALSE)*(J29/1000)*(1/12),0)</f>
        <v>0</v>
      </c>
      <c r="J29" s="175">
        <f t="shared" si="3"/>
        <v>0</v>
      </c>
      <c r="K29" s="175">
        <f>(IF('Pre-Calculation'!$D$17="Type 4 a",MAX(SA,H29,1.05*Q29),IF('Pre-Calculation'!$D$17="Type 4 c",H29,IF('Pre-Calculation'!$D$17="Type 4 d",SA+H29,IF('Pre-Calculation'!$D$17="Type 4 e",MAX(SA,H29),IF('Pre-Calculation'!$D$17="Type 4 f",SA,IF('Pre-Calculation'!$D$17="Type 4 g",1000+H29,IF('Pre-Calculation'!$D$17="Type 4 h",SA+V29,IF('Pre-Calculation'!$D$17="Type 4 i",MAX(H29,Q29),IF('Pre-Calculation'!$D$17="Type 4 k",MAX(H29,1.01*Q29),IF('Pre-Calculation'!$D$17="Type 4 m",MAX(105%*Q29,SA+H29),IF('Pre-Calculation'!$D$17="Type 4 o",MAX(SA,105%*Q29)+V29+X29,IF('Pre-Calculation'!$D$17="Type 5",0)))))))))))))*IF(AND(A29&lt;Revival!$C$4,C29&gt;Revival!$D$12),PUP,1)</f>
        <v>1037998.803</v>
      </c>
      <c r="L29" s="175">
        <f>H29-I29*(1+Tax)</f>
        <v>1037998.803</v>
      </c>
      <c r="M29" s="175">
        <f>L29*(1+GROWTH_RATE_HIST)</f>
        <v>1049340.298</v>
      </c>
      <c r="N29" s="175">
        <f>M29+IF(MOD(A29,B29)=0,VLOOKUP(B29,'Pre-Calculation'!$H$1:$L$31,5,FALSE),0)*IF('Pre-Calculation'!$D$16="% OF FV",M29,IF(OR('Pre-Calculation'!$D$16="% OF AFV(24M)",'Pre-Calculation'!$D$16="% OF AFV(8Q)"),AVERAGE( $M$7:$M29),IF('Pre-Calculation'!$D$16="% OF AFV(12M)",AVERAGE($M18:M29),IF('Pre-Calculation'!$D$16="% OF AFV(36M)",AVERAGE($M$7:M29)))))</f>
        <v>1049340.298</v>
      </c>
      <c r="O29" s="175">
        <f t="shared" si="4"/>
        <v>1049340.298</v>
      </c>
      <c r="P29" s="175">
        <f>IF('Pre-Calculation'!$D$17="Type 4 a",MAX(SA,N29,1.05*Q29),IF('Pre-Calculation'!$D$17="Type 4 c",N29,IF('Pre-Calculation'!$D$17="Type 4 d",SA+N29,IF('Pre-Calculation'!$D$17="Type 4 e",MAX(SA,N29),IF('Pre-Calculation'!$D$17="Type 4 f",SA,IF('Pre-Calculation'!$D$17="Type 4 g",1000+N29,IF('Pre-Calculation'!$D$17="Type 4 h",SA+V29,IF('Pre-Calculation'!$D$17="Type 4 i",MAX(N29,Q29),IF('Pre-Calculation'!$D$17="Type 4 k",MAX(N29,1.01*Q29),IF('Pre-Calculation'!$D$17="Type 4 m",MAX(105%*Q29,SA+N29),IF('Pre-Calculation'!$D$17="Type 4 o",MAX(SA,105%*Q29)+V29+X29,IF('Pre-Calculation'!$D$17="Type 5",0))))))))))))</f>
        <v>1049340.298</v>
      </c>
      <c r="Q29" s="175">
        <f t="shared" si="5"/>
        <v>700000</v>
      </c>
      <c r="R29" s="119">
        <f>L29*(1+GROWTH_RATE)*FMC</f>
        <v>1174.622857</v>
      </c>
      <c r="S29" s="112"/>
      <c r="T29" s="175">
        <f>-E29+IF(A28=INPUT!$C$11*12,N29,0)</f>
        <v>0</v>
      </c>
      <c r="U29" s="181"/>
      <c r="V29" s="179">
        <f t="array" ref="V29">NPV('Pre-Calculation'!$E$20,$E30:E$246)</f>
        <v>277653.1577</v>
      </c>
      <c r="W29" s="171">
        <f>10%*SA</f>
        <v>100000</v>
      </c>
      <c r="X29" s="179">
        <f t="array" ref="X29">NPV('Pre-Calculation'!$E$20,W30:W39)</f>
        <v>969592.8037</v>
      </c>
      <c r="Y29" s="12"/>
      <c r="Z29" s="12"/>
    </row>
    <row r="30" ht="15.75" customHeight="1">
      <c r="A30" s="171">
        <f t="shared" si="1"/>
        <v>84</v>
      </c>
      <c r="B30" s="171">
        <f t="shared" si="2"/>
        <v>7</v>
      </c>
      <c r="C30" s="176">
        <f>EDATE(RCD,A29)</f>
        <v>45076</v>
      </c>
      <c r="D30" s="171">
        <f>Age_At_Entry+Cashflows_HIST!B30-1</f>
        <v>41</v>
      </c>
      <c r="E30" s="175">
        <f>IF(AND(C30&lt;=Last_Prem,MOD(A29,Mode)=0,C30&gt;INPUT!$C$13,A30&lt;=Revival!$C$11),Mod_Prem,0)</f>
        <v>0</v>
      </c>
      <c r="F30" s="177">
        <f>E30*VLOOKUP(B30,'Pre-Calculation'!$H$1:$I$31,2,FALSE)</f>
        <v>0</v>
      </c>
      <c r="G30" s="177">
        <f>IF(B30&lt;PT+1,VLOOKUP(B30,'Pre-Calculation'!$H$1:$L$32,3,FALSE)+VLOOKUP(B30,'Pre-Calculation'!$H$1:$L$32,4,FALSE)*'Pre-Calculation'!$D$7,0)</f>
        <v>830</v>
      </c>
      <c r="H30" s="175">
        <f>(E30-(F30+G30)*(1+Tax)+N29)</f>
        <v>1048360.898</v>
      </c>
      <c r="I30" s="175">
        <f>IF(B30&lt;PT+1,VLOOKUP(D30,'Pre-Calculation'!$N$3:$P$79,IF(INPUT!$C$4="M",2,3),FALSE)*(J30/1000)*(1/12),0)</f>
        <v>0</v>
      </c>
      <c r="J30" s="175">
        <f t="shared" si="3"/>
        <v>0</v>
      </c>
      <c r="K30" s="175">
        <f>(IF('Pre-Calculation'!$D$17="Type 4 a",MAX(SA,H30,1.05*Q30),IF('Pre-Calculation'!$D$17="Type 4 c",H30,IF('Pre-Calculation'!$D$17="Type 4 d",SA+H30,IF('Pre-Calculation'!$D$17="Type 4 e",MAX(SA,H30),IF('Pre-Calculation'!$D$17="Type 4 f",SA,IF('Pre-Calculation'!$D$17="Type 4 g",1000+H30,IF('Pre-Calculation'!$D$17="Type 4 h",SA+V30,IF('Pre-Calculation'!$D$17="Type 4 i",MAX(H30,Q30),IF('Pre-Calculation'!$D$17="Type 4 k",MAX(H30,1.01*Q30),IF('Pre-Calculation'!$D$17="Type 4 m",MAX(105%*Q30,SA+H30),IF('Pre-Calculation'!$D$17="Type 4 o",MAX(SA,105%*Q30)+V30+X30,IF('Pre-Calculation'!$D$17="Type 5",0)))))))))))))*IF(AND(A30&lt;Revival!$C$4,C30&gt;Revival!$D$12),PUP,1)</f>
        <v>1048360.898</v>
      </c>
      <c r="L30" s="175">
        <f>H30-I30*(1+Tax)</f>
        <v>1048360.898</v>
      </c>
      <c r="M30" s="175">
        <f>L30*(1+GROWTH_RATE_HIST)</f>
        <v>1059815.612</v>
      </c>
      <c r="N30" s="175">
        <f>M30+IF(MOD(A30,B30)=0,VLOOKUP(B30,'Pre-Calculation'!$H$1:$L$31,5,FALSE),0)*IF('Pre-Calculation'!$D$16="% OF FV",M30,IF(OR('Pre-Calculation'!$D$16="% OF AFV(24M)",'Pre-Calculation'!$D$16="% OF AFV(8Q)"),AVERAGE( $M7:$M30),IF('Pre-Calculation'!$D$16="% OF AFV(12M)",AVERAGE($M19:M30),IF('Pre-Calculation'!$D$16="% OF AFV(36M)",AVERAGE($M$7:M30)))))</f>
        <v>1059815.612</v>
      </c>
      <c r="O30" s="175">
        <f t="shared" si="4"/>
        <v>1059815.612</v>
      </c>
      <c r="P30" s="175">
        <f>IF('Pre-Calculation'!$D$17="Type 4 a",MAX(SA,N30,1.05*Q30),IF('Pre-Calculation'!$D$17="Type 4 c",N30,IF('Pre-Calculation'!$D$17="Type 4 d",SA+N30,IF('Pre-Calculation'!$D$17="Type 4 e",MAX(SA,N30),IF('Pre-Calculation'!$D$17="Type 4 f",SA,IF('Pre-Calculation'!$D$17="Type 4 g",1000+N30,IF('Pre-Calculation'!$D$17="Type 4 h",SA+V30,IF('Pre-Calculation'!$D$17="Type 4 i",MAX(N30,Q30),IF('Pre-Calculation'!$D$17="Type 4 k",MAX(N30,1.01*Q30),IF('Pre-Calculation'!$D$17="Type 4 m",MAX(105%*Q30,SA+N30),IF('Pre-Calculation'!$D$17="Type 4 o",MAX(SA,105%*Q30)+V30+X30,IF('Pre-Calculation'!$D$17="Type 5",0))))))))))))</f>
        <v>1059815.612</v>
      </c>
      <c r="Q30" s="175">
        <f t="shared" si="5"/>
        <v>700000</v>
      </c>
      <c r="R30" s="119">
        <f>L30*(1+GROWTH_RATE)*FMC</f>
        <v>1186.348837</v>
      </c>
      <c r="S30" s="112"/>
      <c r="T30" s="175">
        <f>-E30+IF(A29=INPUT!$C$11*12,N30,0)</f>
        <v>0</v>
      </c>
      <c r="U30" s="171"/>
      <c r="V30" s="179">
        <f t="array" ref="V30">NPV('Pre-Calculation'!$E$20,$E31:E$246)</f>
        <v>279223.049</v>
      </c>
      <c r="W30" s="171">
        <f>10%*SA</f>
        <v>100000</v>
      </c>
      <c r="X30" s="179">
        <f t="array" ref="X30">NPV('Pre-Calculation'!$E$20,W31:W40)</f>
        <v>969592.8037</v>
      </c>
      <c r="Y30" s="12"/>
      <c r="Z30" s="12"/>
    </row>
    <row r="31" ht="15.75" customHeight="1">
      <c r="A31" s="171">
        <f t="shared" si="1"/>
        <v>85</v>
      </c>
      <c r="B31" s="171">
        <f t="shared" si="2"/>
        <v>8</v>
      </c>
      <c r="C31" s="176">
        <f>EDATE(RCD,A30)</f>
        <v>45107</v>
      </c>
      <c r="D31" s="171">
        <f>Age_At_Entry+Cashflows_HIST!B31-1</f>
        <v>42</v>
      </c>
      <c r="E31" s="175">
        <f>IF(AND(C31&lt;=Last_Prem,MOD(A30,Mode)=0,C31&gt;INPUT!$C$13,A31&lt;=Revival!$C$11),Mod_Prem,0)</f>
        <v>100000</v>
      </c>
      <c r="F31" s="177">
        <f>E31*VLOOKUP(B31,'Pre-Calculation'!$H$1:$I$31,2,FALSE)</f>
        <v>0</v>
      </c>
      <c r="G31" s="177">
        <f>IF(B31&lt;PT+1,VLOOKUP(B31,'Pre-Calculation'!$H$1:$L$32,3,FALSE)+VLOOKUP(B31,'Pre-Calculation'!$H$1:$L$32,4,FALSE)*'Pre-Calculation'!$D$7,0)</f>
        <v>830</v>
      </c>
      <c r="H31" s="175">
        <f>(E31-(F31+G31)*(1+Tax)+N30)</f>
        <v>1158836.212</v>
      </c>
      <c r="I31" s="175">
        <f>IF(B31&lt;PT+1,VLOOKUP(D31,'Pre-Calculation'!$N$3:$P$79,IF(INPUT!$C$4="M",2,3),FALSE)*(J31/1000)*(1/12),0)</f>
        <v>0</v>
      </c>
      <c r="J31" s="175">
        <f t="shared" si="3"/>
        <v>0</v>
      </c>
      <c r="K31" s="175">
        <f>(IF('Pre-Calculation'!$D$17="Type 4 a",MAX(SA,H31,1.05*Q31),IF('Pre-Calculation'!$D$17="Type 4 c",H31,IF('Pre-Calculation'!$D$17="Type 4 d",SA+H31,IF('Pre-Calculation'!$D$17="Type 4 e",MAX(SA,H31),IF('Pre-Calculation'!$D$17="Type 4 f",SA,IF('Pre-Calculation'!$D$17="Type 4 g",1000+H31,IF('Pre-Calculation'!$D$17="Type 4 h",SA+V31,IF('Pre-Calculation'!$D$17="Type 4 i",MAX(H31,Q31),IF('Pre-Calculation'!$D$17="Type 4 k",MAX(H31,1.01*Q31),IF('Pre-Calculation'!$D$17="Type 4 m",MAX(105%*Q31,SA+H31),IF('Pre-Calculation'!$D$17="Type 4 o",MAX(SA,105%*Q31)+V31+X31,IF('Pre-Calculation'!$D$17="Type 5",0)))))))))))))*IF(AND(A31&lt;Revival!$C$4,C31&gt;Revival!$D$12),PUP,1)</f>
        <v>1158836.212</v>
      </c>
      <c r="L31" s="175">
        <f>H31-I31*(1+Tax)</f>
        <v>1158836.212</v>
      </c>
      <c r="M31" s="175">
        <f>L31*(1+GROWTH_RATE_HIST)</f>
        <v>1171498.014</v>
      </c>
      <c r="N31" s="175">
        <f>M31+IF(MOD(A31,B31)=0,VLOOKUP(B31,'Pre-Calculation'!$H$1:$L$31,5,FALSE),0)*IF('Pre-Calculation'!$D$16="% OF FV",M31,IF(OR('Pre-Calculation'!$D$16="% OF AFV(24M)",'Pre-Calculation'!$D$16="% OF AFV(8Q)"),AVERAGE( $M8:$M31),IF('Pre-Calculation'!$D$16="% OF AFV(12M)",AVERAGE($M20:M31),IF('Pre-Calculation'!$D$16="% OF AFV(36M)",AVERAGE($M$7:M31)))))</f>
        <v>1171498.014</v>
      </c>
      <c r="O31" s="175">
        <f t="shared" si="4"/>
        <v>1171498.014</v>
      </c>
      <c r="P31" s="175">
        <f>IF('Pre-Calculation'!$D$17="Type 4 a",MAX(SA,N31,1.05*Q31),IF('Pre-Calculation'!$D$17="Type 4 c",N31,IF('Pre-Calculation'!$D$17="Type 4 d",SA+N31,IF('Pre-Calculation'!$D$17="Type 4 e",MAX(SA,N31),IF('Pre-Calculation'!$D$17="Type 4 f",SA,IF('Pre-Calculation'!$D$17="Type 4 g",1000+N31,IF('Pre-Calculation'!$D$17="Type 4 h",SA+V31,IF('Pre-Calculation'!$D$17="Type 4 i",MAX(N31,Q31),IF('Pre-Calculation'!$D$17="Type 4 k",MAX(N31,1.01*Q31),IF('Pre-Calculation'!$D$17="Type 4 m",MAX(105%*Q31,SA+N31),IF('Pre-Calculation'!$D$17="Type 4 o",MAX(SA,105%*Q31)+V31+X31,IF('Pre-Calculation'!$D$17="Type 5",0))))))))))))</f>
        <v>1171498.014</v>
      </c>
      <c r="Q31" s="175">
        <f t="shared" si="5"/>
        <v>800000</v>
      </c>
      <c r="R31" s="119">
        <f>L31*(1+GROWTH_RATE)*FMC</f>
        <v>1311.365195</v>
      </c>
      <c r="S31" s="112"/>
      <c r="T31" s="175">
        <f>-E31+IF(A30=INPUT!$C$11*12,N31,0)</f>
        <v>-100000</v>
      </c>
      <c r="U31" s="171"/>
      <c r="V31" s="179">
        <f t="array" ref="V31">NPV('Pre-Calculation'!$E$20,$E32:E$246)</f>
        <v>180801.8168</v>
      </c>
      <c r="W31" s="171">
        <f>10%*SA</f>
        <v>100000</v>
      </c>
      <c r="X31" s="179">
        <f t="array" ref="X31">NPV('Pre-Calculation'!$E$20,W32:W41)</f>
        <v>969592.8037</v>
      </c>
      <c r="Y31" s="12"/>
      <c r="Z31" s="12"/>
    </row>
    <row r="32" ht="15.75" customHeight="1">
      <c r="A32" s="171">
        <f t="shared" si="1"/>
        <v>86</v>
      </c>
      <c r="B32" s="171">
        <f t="shared" si="2"/>
        <v>8</v>
      </c>
      <c r="C32" s="176">
        <f>EDATE(RCD,A31)</f>
        <v>45137</v>
      </c>
      <c r="D32" s="171">
        <f>Age_At_Entry+Cashflows_HIST!B32-1</f>
        <v>42</v>
      </c>
      <c r="E32" s="175">
        <f>IF(AND(C32&lt;=Last_Prem,MOD(A31,Mode)=0,C32&gt;INPUT!$C$13,A32&lt;=Revival!$C$11),Mod_Prem,0)</f>
        <v>0</v>
      </c>
      <c r="F32" s="177">
        <f>E32*VLOOKUP(B32,'Pre-Calculation'!$H$1:$I$31,2,FALSE)</f>
        <v>0</v>
      </c>
      <c r="G32" s="177">
        <f>IF(B32&lt;PT+1,VLOOKUP(B32,'Pre-Calculation'!$H$1:$L$32,3,FALSE)+VLOOKUP(B32,'Pre-Calculation'!$H$1:$L$32,4,FALSE)*'Pre-Calculation'!$D$7,0)</f>
        <v>830</v>
      </c>
      <c r="H32" s="175">
        <f>(E32-(F32+G32)*(1+Tax)+N31)</f>
        <v>1170518.614</v>
      </c>
      <c r="I32" s="175">
        <f>IF(B32&lt;PT+1,VLOOKUP(D32,'Pre-Calculation'!$N$3:$P$79,IF(INPUT!$C$4="M",2,3),FALSE)*(J32/1000)*(1/12),0)</f>
        <v>0</v>
      </c>
      <c r="J32" s="175">
        <f t="shared" si="3"/>
        <v>0</v>
      </c>
      <c r="K32" s="175">
        <f>(IF('Pre-Calculation'!$D$17="Type 4 a",MAX(SA,H32,1.05*Q32),IF('Pre-Calculation'!$D$17="Type 4 c",H32,IF('Pre-Calculation'!$D$17="Type 4 d",SA+H32,IF('Pre-Calculation'!$D$17="Type 4 e",MAX(SA,H32),IF('Pre-Calculation'!$D$17="Type 4 f",SA,IF('Pre-Calculation'!$D$17="Type 4 g",1000+H32,IF('Pre-Calculation'!$D$17="Type 4 h",SA+V32,IF('Pre-Calculation'!$D$17="Type 4 i",MAX(H32,Q32),IF('Pre-Calculation'!$D$17="Type 4 k",MAX(H32,1.01*Q32),IF('Pre-Calculation'!$D$17="Type 4 m",MAX(105%*Q32,SA+H32),IF('Pre-Calculation'!$D$17="Type 4 o",MAX(SA,105%*Q32)+V32+X32,IF('Pre-Calculation'!$D$17="Type 5",0)))))))))))))*IF(AND(A32&lt;Revival!$C$4,C32&gt;Revival!$D$12),PUP,1)</f>
        <v>1170518.614</v>
      </c>
      <c r="L32" s="175">
        <f>H32-I32*(1+Tax)</f>
        <v>1170518.614</v>
      </c>
      <c r="M32" s="175">
        <f>L32*(1+GROWTH_RATE_HIST)</f>
        <v>1183308.062</v>
      </c>
      <c r="N32" s="175">
        <f>M32+IF(MOD(A32,B32)=0,VLOOKUP(B32,'Pre-Calculation'!$H$1:$L$31,5,FALSE),0)*IF('Pre-Calculation'!$D$16="% OF FV",M32,IF(OR('Pre-Calculation'!$D$16="% OF AFV(24M)",'Pre-Calculation'!$D$16="% OF AFV(8Q)"),AVERAGE( $M9:$M32),IF('Pre-Calculation'!$D$16="% OF AFV(12M)",AVERAGE($M21:M32),IF('Pre-Calculation'!$D$16="% OF AFV(36M)",AVERAGE($M$7:M32)))))</f>
        <v>1183308.062</v>
      </c>
      <c r="O32" s="175">
        <f t="shared" si="4"/>
        <v>1183308.062</v>
      </c>
      <c r="P32" s="175">
        <f>IF('Pre-Calculation'!$D$17="Type 4 a",MAX(SA,N32,1.05*Q32),IF('Pre-Calculation'!$D$17="Type 4 c",N32,IF('Pre-Calculation'!$D$17="Type 4 d",SA+N32,IF('Pre-Calculation'!$D$17="Type 4 e",MAX(SA,N32),IF('Pre-Calculation'!$D$17="Type 4 f",SA,IF('Pre-Calculation'!$D$17="Type 4 g",1000+N32,IF('Pre-Calculation'!$D$17="Type 4 h",SA+V32,IF('Pre-Calculation'!$D$17="Type 4 i",MAX(N32,Q32),IF('Pre-Calculation'!$D$17="Type 4 k",MAX(N32,1.01*Q32),IF('Pre-Calculation'!$D$17="Type 4 m",MAX(105%*Q32,SA+N32),IF('Pre-Calculation'!$D$17="Type 4 o",MAX(SA,105%*Q32)+V32+X32,IF('Pre-Calculation'!$D$17="Type 5",0))))))))))))</f>
        <v>1183308.062</v>
      </c>
      <c r="Q32" s="175">
        <f t="shared" si="5"/>
        <v>800000</v>
      </c>
      <c r="R32" s="119">
        <f>L32*(1+GROWTH_RATE)*FMC</f>
        <v>1324.585264</v>
      </c>
      <c r="S32" s="112"/>
      <c r="T32" s="175">
        <f>-E32+IF(A31=INPUT!$C$11*12,N32,0)</f>
        <v>0</v>
      </c>
      <c r="U32" s="171"/>
      <c r="V32" s="179">
        <f t="array" ref="V32">NPV('Pre-Calculation'!$E$20,$E33:E$246)</f>
        <v>181824.0965</v>
      </c>
      <c r="W32" s="171">
        <f>10%*SA</f>
        <v>100000</v>
      </c>
      <c r="X32" s="179">
        <f t="array" ref="X32">NPV('Pre-Calculation'!$E$20,W33:W42)</f>
        <v>969592.8037</v>
      </c>
      <c r="Y32" s="12"/>
      <c r="Z32" s="12"/>
    </row>
    <row r="33" ht="15.75" customHeight="1">
      <c r="A33" s="171">
        <f t="shared" si="1"/>
        <v>87</v>
      </c>
      <c r="B33" s="171">
        <f t="shared" si="2"/>
        <v>8</v>
      </c>
      <c r="C33" s="176">
        <f>EDATE(RCD,A32)</f>
        <v>45168</v>
      </c>
      <c r="D33" s="171">
        <f>Age_At_Entry+Cashflows_HIST!B33-1</f>
        <v>42</v>
      </c>
      <c r="E33" s="175">
        <f>IF(AND(C33&lt;=Last_Prem,MOD(A32,Mode)=0,C33&gt;INPUT!$C$13,A33&lt;=Revival!$C$11),Mod_Prem,0)</f>
        <v>0</v>
      </c>
      <c r="F33" s="177">
        <f>E33*VLOOKUP(B33,'Pre-Calculation'!$H$1:$I$31,2,FALSE)</f>
        <v>0</v>
      </c>
      <c r="G33" s="177">
        <f>IF(B33&lt;PT+1,VLOOKUP(B33,'Pre-Calculation'!$H$1:$L$32,3,FALSE)+VLOOKUP(B33,'Pre-Calculation'!$H$1:$L$32,4,FALSE)*'Pre-Calculation'!$D$7,0)</f>
        <v>830</v>
      </c>
      <c r="H33" s="175">
        <f>(E33-(F33+G33)*(1+Tax)+N32)</f>
        <v>1182328.662</v>
      </c>
      <c r="I33" s="175">
        <f>IF(B33&lt;PT+1,VLOOKUP(D33,'Pre-Calculation'!$N$3:$P$79,IF(INPUT!$C$4="M",2,3),FALSE)*(J33/1000)*(1/12),0)</f>
        <v>0</v>
      </c>
      <c r="J33" s="175">
        <f t="shared" si="3"/>
        <v>0</v>
      </c>
      <c r="K33" s="175">
        <f>(IF('Pre-Calculation'!$D$17="Type 4 a",MAX(SA,H33,1.05*Q33),IF('Pre-Calculation'!$D$17="Type 4 c",H33,IF('Pre-Calculation'!$D$17="Type 4 d",SA+H33,IF('Pre-Calculation'!$D$17="Type 4 e",MAX(SA,H33),IF('Pre-Calculation'!$D$17="Type 4 f",SA,IF('Pre-Calculation'!$D$17="Type 4 g",1000+H33,IF('Pre-Calculation'!$D$17="Type 4 h",SA+V33,IF('Pre-Calculation'!$D$17="Type 4 i",MAX(H33,Q33),IF('Pre-Calculation'!$D$17="Type 4 k",MAX(H33,1.01*Q33),IF('Pre-Calculation'!$D$17="Type 4 m",MAX(105%*Q33,SA+H33),IF('Pre-Calculation'!$D$17="Type 4 o",MAX(SA,105%*Q33)+V33+X33,IF('Pre-Calculation'!$D$17="Type 5",0)))))))))))))*IF(AND(A33&lt;Revival!$C$4,C33&gt;Revival!$D$12),PUP,1)</f>
        <v>1182328.662</v>
      </c>
      <c r="L33" s="175">
        <f>H33-I33*(1+Tax)</f>
        <v>1182328.662</v>
      </c>
      <c r="M33" s="175">
        <f>L33*(1+GROWTH_RATE_HIST)</f>
        <v>1195247.149</v>
      </c>
      <c r="N33" s="175">
        <f>M33+IF(MOD(A33,B33)=0,VLOOKUP(B33,'Pre-Calculation'!$H$1:$L$31,5,FALSE),0)*IF('Pre-Calculation'!$D$16="% OF FV",M33,IF(OR('Pre-Calculation'!$D$16="% OF AFV(24M)",'Pre-Calculation'!$D$16="% OF AFV(8Q)"),AVERAGE( $M10:$M33),IF('Pre-Calculation'!$D$16="% OF AFV(12M)",AVERAGE($M22:M33),IF('Pre-Calculation'!$D$16="% OF AFV(36M)",AVERAGE($M$7:M33)))))</f>
        <v>1195247.149</v>
      </c>
      <c r="O33" s="175">
        <f t="shared" si="4"/>
        <v>1195247.149</v>
      </c>
      <c r="P33" s="175">
        <f>IF('Pre-Calculation'!$D$17="Type 4 a",MAX(SA,N33,1.05*Q33),IF('Pre-Calculation'!$D$17="Type 4 c",N33,IF('Pre-Calculation'!$D$17="Type 4 d",SA+N33,IF('Pre-Calculation'!$D$17="Type 4 e",MAX(SA,N33),IF('Pre-Calculation'!$D$17="Type 4 f",SA,IF('Pre-Calculation'!$D$17="Type 4 g",1000+N33,IF('Pre-Calculation'!$D$17="Type 4 h",SA+V33,IF('Pre-Calculation'!$D$17="Type 4 i",MAX(N33,Q33),IF('Pre-Calculation'!$D$17="Type 4 k",MAX(N33,1.01*Q33),IF('Pre-Calculation'!$D$17="Type 4 m",MAX(105%*Q33,SA+N33),IF('Pre-Calculation'!$D$17="Type 4 o",MAX(SA,105%*Q33)+V33+X33,IF('Pre-Calculation'!$D$17="Type 5",0))))))))))))</f>
        <v>1195247.149</v>
      </c>
      <c r="Q33" s="175">
        <f t="shared" si="5"/>
        <v>800000</v>
      </c>
      <c r="R33" s="119">
        <f>L33*(1+GROWTH_RATE)*FMC</f>
        <v>1337.94978</v>
      </c>
      <c r="S33" s="112"/>
      <c r="T33" s="175">
        <f>-E33+IF(A32=INPUT!$C$11*12,N33,0)</f>
        <v>0</v>
      </c>
      <c r="U33" s="171"/>
      <c r="V33" s="179">
        <f t="array" ref="V33">NPV('Pre-Calculation'!$E$20,$E34:E$246)</f>
        <v>182852.1564</v>
      </c>
      <c r="W33" s="171">
        <f>10%*SA</f>
        <v>100000</v>
      </c>
      <c r="X33" s="179">
        <f t="array" ref="X33">NPV('Pre-Calculation'!$E$20,W34:W43)</f>
        <v>969592.8037</v>
      </c>
      <c r="Y33" s="12"/>
      <c r="Z33" s="12"/>
    </row>
    <row r="34" ht="15.75" customHeight="1">
      <c r="A34" s="171">
        <f t="shared" si="1"/>
        <v>88</v>
      </c>
      <c r="B34" s="171">
        <f t="shared" si="2"/>
        <v>8</v>
      </c>
      <c r="C34" s="176">
        <f>EDATE(RCD,A33)</f>
        <v>45199</v>
      </c>
      <c r="D34" s="171">
        <f>Age_At_Entry+Cashflows_HIST!B34-1</f>
        <v>42</v>
      </c>
      <c r="E34" s="175">
        <f>IF(AND(C34&lt;=Last_Prem,MOD(A33,Mode)=0,C34&gt;INPUT!$C$13,A34&lt;=Revival!$C$11),Mod_Prem,0)</f>
        <v>0</v>
      </c>
      <c r="F34" s="177">
        <f>E34*VLOOKUP(B34,'Pre-Calculation'!$H$1:$I$31,2,FALSE)</f>
        <v>0</v>
      </c>
      <c r="G34" s="177">
        <f>IF(B34&lt;PT+1,VLOOKUP(B34,'Pre-Calculation'!$H$1:$L$32,3,FALSE)+VLOOKUP(B34,'Pre-Calculation'!$H$1:$L$32,4,FALSE)*'Pre-Calculation'!$D$7,0)</f>
        <v>830</v>
      </c>
      <c r="H34" s="175">
        <f>(E34-(F34+G34)*(1+Tax)+N33)</f>
        <v>1194267.749</v>
      </c>
      <c r="I34" s="175">
        <f>IF(B34&lt;PT+1,VLOOKUP(D34,'Pre-Calculation'!$N$3:$P$79,IF(INPUT!$C$4="M",2,3),FALSE)*(J34/1000)*(1/12),0)</f>
        <v>0</v>
      </c>
      <c r="J34" s="175">
        <f t="shared" si="3"/>
        <v>0</v>
      </c>
      <c r="K34" s="175">
        <f>(IF('Pre-Calculation'!$D$17="Type 4 a",MAX(SA,H34,1.05*Q34),IF('Pre-Calculation'!$D$17="Type 4 c",H34,IF('Pre-Calculation'!$D$17="Type 4 d",SA+H34,IF('Pre-Calculation'!$D$17="Type 4 e",MAX(SA,H34),IF('Pre-Calculation'!$D$17="Type 4 f",SA,IF('Pre-Calculation'!$D$17="Type 4 g",1000+H34,IF('Pre-Calculation'!$D$17="Type 4 h",SA+V34,IF('Pre-Calculation'!$D$17="Type 4 i",MAX(H34,Q34),IF('Pre-Calculation'!$D$17="Type 4 k",MAX(H34,1.01*Q34),IF('Pre-Calculation'!$D$17="Type 4 m",MAX(105%*Q34,SA+H34),IF('Pre-Calculation'!$D$17="Type 4 o",MAX(SA,105%*Q34)+V34+X34,IF('Pre-Calculation'!$D$17="Type 5",0)))))))))))))*IF(AND(A34&lt;Revival!$C$4,C34&gt;Revival!$D$12),PUP,1)</f>
        <v>1194267.749</v>
      </c>
      <c r="L34" s="175">
        <f>H34-I34*(1+Tax)</f>
        <v>1194267.749</v>
      </c>
      <c r="M34" s="175">
        <f>L34*(1+GROWTH_RATE_HIST)</f>
        <v>1207316.687</v>
      </c>
      <c r="N34" s="175">
        <f>M34+IF(MOD(A34,B34)=0,VLOOKUP(B34,'Pre-Calculation'!$H$1:$L$31,5,FALSE),0)*IF('Pre-Calculation'!$D$16="% OF FV",M34,IF(OR('Pre-Calculation'!$D$16="% OF AFV(24M)",'Pre-Calculation'!$D$16="% OF AFV(8Q)"),AVERAGE( $M11:$M34),IF('Pre-Calculation'!$D$16="% OF AFV(12M)",AVERAGE($M23:M34),IF('Pre-Calculation'!$D$16="% OF AFV(36M)",AVERAGE($M$7:M34)))))</f>
        <v>1207316.687</v>
      </c>
      <c r="O34" s="175">
        <f t="shared" si="4"/>
        <v>1207316.687</v>
      </c>
      <c r="P34" s="175">
        <f>IF('Pre-Calculation'!$D$17="Type 4 a",MAX(SA,N34,1.05*Q34),IF('Pre-Calculation'!$D$17="Type 4 c",N34,IF('Pre-Calculation'!$D$17="Type 4 d",SA+N34,IF('Pre-Calculation'!$D$17="Type 4 e",MAX(SA,N34),IF('Pre-Calculation'!$D$17="Type 4 f",SA,IF('Pre-Calculation'!$D$17="Type 4 g",1000+N34,IF('Pre-Calculation'!$D$17="Type 4 h",SA+V34,IF('Pre-Calculation'!$D$17="Type 4 i",MAX(N34,Q34),IF('Pre-Calculation'!$D$17="Type 4 k",MAX(N34,1.01*Q34),IF('Pre-Calculation'!$D$17="Type 4 m",MAX(105%*Q34,SA+N34),IF('Pre-Calculation'!$D$17="Type 4 o",MAX(SA,105%*Q34)+V34+X34,IF('Pre-Calculation'!$D$17="Type 5",0))))))))))))</f>
        <v>1207316.687</v>
      </c>
      <c r="Q34" s="175">
        <f t="shared" si="5"/>
        <v>800000</v>
      </c>
      <c r="R34" s="119">
        <f>L34*(1+GROWTH_RATE)*FMC</f>
        <v>1351.460321</v>
      </c>
      <c r="S34" s="112"/>
      <c r="T34" s="175">
        <f>-E34+IF(A33=INPUT!$C$11*12,N34,0)</f>
        <v>0</v>
      </c>
      <c r="U34" s="171"/>
      <c r="V34" s="179">
        <f t="array" ref="V34">NPV('Pre-Calculation'!$E$20,$E35:E$246)</f>
        <v>183886.0291</v>
      </c>
      <c r="W34" s="171">
        <f>10%*SA</f>
        <v>100000</v>
      </c>
      <c r="X34" s="179">
        <f t="array" ref="X34">NPV('Pre-Calculation'!$E$20,W35:W44)</f>
        <v>969592.8037</v>
      </c>
      <c r="Y34" s="12"/>
      <c r="Z34" s="12"/>
    </row>
    <row r="35" ht="15.75" customHeight="1">
      <c r="A35" s="171">
        <f t="shared" si="1"/>
        <v>89</v>
      </c>
      <c r="B35" s="171">
        <f t="shared" si="2"/>
        <v>8</v>
      </c>
      <c r="C35" s="176">
        <f>EDATE(RCD,A34)</f>
        <v>45229</v>
      </c>
      <c r="D35" s="171">
        <f>Age_At_Entry+Cashflows_HIST!B35-1</f>
        <v>42</v>
      </c>
      <c r="E35" s="175">
        <f>IF(AND(C35&lt;=Last_Prem,MOD(A34,Mode)=0,C35&gt;INPUT!$C$13,A35&lt;=Revival!$C$11),Mod_Prem,0)</f>
        <v>0</v>
      </c>
      <c r="F35" s="177">
        <f>E35*VLOOKUP(B35,'Pre-Calculation'!$H$1:$I$31,2,FALSE)</f>
        <v>0</v>
      </c>
      <c r="G35" s="177">
        <f>IF(B35&lt;PT+1,VLOOKUP(B35,'Pre-Calculation'!$H$1:$L$32,3,FALSE)+VLOOKUP(B35,'Pre-Calculation'!$H$1:$L$32,4,FALSE)*'Pre-Calculation'!$D$7,0)</f>
        <v>830</v>
      </c>
      <c r="H35" s="175">
        <f>(E35-(F35+G35)*(1+Tax)+N34)</f>
        <v>1206337.287</v>
      </c>
      <c r="I35" s="175">
        <f>IF(B35&lt;PT+1,VLOOKUP(D35,'Pre-Calculation'!$N$3:$P$79,IF(INPUT!$C$4="M",2,3),FALSE)*(J35/1000)*(1/12),0)</f>
        <v>0</v>
      </c>
      <c r="J35" s="175">
        <f t="shared" si="3"/>
        <v>0</v>
      </c>
      <c r="K35" s="175">
        <f>(IF('Pre-Calculation'!$D$17="Type 4 a",MAX(SA,H35,1.05*Q35),IF('Pre-Calculation'!$D$17="Type 4 c",H35,IF('Pre-Calculation'!$D$17="Type 4 d",SA+H35,IF('Pre-Calculation'!$D$17="Type 4 e",MAX(SA,H35),IF('Pre-Calculation'!$D$17="Type 4 f",SA,IF('Pre-Calculation'!$D$17="Type 4 g",1000+H35,IF('Pre-Calculation'!$D$17="Type 4 h",SA+V35,IF('Pre-Calculation'!$D$17="Type 4 i",MAX(H35,Q35),IF('Pre-Calculation'!$D$17="Type 4 k",MAX(H35,1.01*Q35),IF('Pre-Calculation'!$D$17="Type 4 m",MAX(105%*Q35,SA+H35),IF('Pre-Calculation'!$D$17="Type 4 o",MAX(SA,105%*Q35)+V35+X35,IF('Pre-Calculation'!$D$17="Type 5",0)))))))))))))*IF(AND(A35&lt;Revival!$C$4,C35&gt;Revival!$D$12),PUP,1)</f>
        <v>1206337.287</v>
      </c>
      <c r="L35" s="175">
        <f>H35-I35*(1+Tax)</f>
        <v>1206337.287</v>
      </c>
      <c r="M35" s="175">
        <f>L35*(1+GROWTH_RATE_HIST)</f>
        <v>1219518.1</v>
      </c>
      <c r="N35" s="175">
        <f>M35+IF(MOD(A35,B35)=0,VLOOKUP(B35,'Pre-Calculation'!$H$1:$L$31,5,FALSE),0)*IF('Pre-Calculation'!$D$16="% OF FV",M35,IF(OR('Pre-Calculation'!$D$16="% OF AFV(24M)",'Pre-Calculation'!$D$16="% OF AFV(8Q)"),AVERAGE( $M12:$M35),IF('Pre-Calculation'!$D$16="% OF AFV(12M)",AVERAGE($M24:M35),IF('Pre-Calculation'!$D$16="% OF AFV(36M)",AVERAGE($M$7:M35)))))</f>
        <v>1219518.1</v>
      </c>
      <c r="O35" s="175">
        <f t="shared" si="4"/>
        <v>1219518.1</v>
      </c>
      <c r="P35" s="175">
        <f>IF('Pre-Calculation'!$D$17="Type 4 a",MAX(SA,N35,1.05*Q35),IF('Pre-Calculation'!$D$17="Type 4 c",N35,IF('Pre-Calculation'!$D$17="Type 4 d",SA+N35,IF('Pre-Calculation'!$D$17="Type 4 e",MAX(SA,N35),IF('Pre-Calculation'!$D$17="Type 4 f",SA,IF('Pre-Calculation'!$D$17="Type 4 g",1000+N35,IF('Pre-Calculation'!$D$17="Type 4 h",SA+V35,IF('Pre-Calculation'!$D$17="Type 4 i",MAX(N35,Q35),IF('Pre-Calculation'!$D$17="Type 4 k",MAX(N35,1.01*Q35),IF('Pre-Calculation'!$D$17="Type 4 m",MAX(105%*Q35,SA+N35),IF('Pre-Calculation'!$D$17="Type 4 o",MAX(SA,105%*Q35)+V35+X35,IF('Pre-Calculation'!$D$17="Type 5",0))))))))))))</f>
        <v>1219518.1</v>
      </c>
      <c r="Q35" s="175">
        <f t="shared" si="5"/>
        <v>800000</v>
      </c>
      <c r="R35" s="119">
        <f>L35*(1+GROWTH_RATE)*FMC</f>
        <v>1365.118482</v>
      </c>
      <c r="S35" s="112"/>
      <c r="T35" s="175">
        <f>-E35+IF(A34=INPUT!$C$11*12,N35,0)</f>
        <v>0</v>
      </c>
      <c r="U35" s="171"/>
      <c r="V35" s="179">
        <f t="array" ref="V35">NPV('Pre-Calculation'!$E$20,$E36:E$246)</f>
        <v>184925.7474</v>
      </c>
      <c r="W35" s="171">
        <f>10%*SA</f>
        <v>100000</v>
      </c>
      <c r="X35" s="179">
        <f t="array" ref="X35">NPV('Pre-Calculation'!$E$20,W36:W45)</f>
        <v>969592.8037</v>
      </c>
      <c r="Y35" s="12"/>
      <c r="Z35" s="12"/>
    </row>
    <row r="36" ht="15.75" customHeight="1">
      <c r="A36" s="171">
        <f t="shared" si="1"/>
        <v>90</v>
      </c>
      <c r="B36" s="171">
        <f t="shared" si="2"/>
        <v>8</v>
      </c>
      <c r="C36" s="176">
        <f>EDATE(RCD,A35)</f>
        <v>45260</v>
      </c>
      <c r="D36" s="171">
        <f>Age_At_Entry+Cashflows_HIST!B36-1</f>
        <v>42</v>
      </c>
      <c r="E36" s="175">
        <f>IF(AND(C36&lt;=Last_Prem,MOD(A35,Mode)=0,C36&gt;INPUT!$C$13,A36&lt;=Revival!$C$11),Mod_Prem,0)</f>
        <v>0</v>
      </c>
      <c r="F36" s="177">
        <f>E36*VLOOKUP(B36,'Pre-Calculation'!$H$1:$I$31,2,FALSE)</f>
        <v>0</v>
      </c>
      <c r="G36" s="177">
        <f>IF(B36&lt;PT+1,VLOOKUP(B36,'Pre-Calculation'!$H$1:$L$32,3,FALSE)+VLOOKUP(B36,'Pre-Calculation'!$H$1:$L$32,4,FALSE)*'Pre-Calculation'!$D$7,0)</f>
        <v>830</v>
      </c>
      <c r="H36" s="175">
        <f>(E36-(F36+G36)*(1+Tax)+N35)</f>
        <v>1218538.7</v>
      </c>
      <c r="I36" s="175">
        <f>IF(B36&lt;PT+1,VLOOKUP(D36,'Pre-Calculation'!$N$3:$P$79,IF(INPUT!$C$4="M",2,3),FALSE)*(J36/1000)*(1/12),0)</f>
        <v>0</v>
      </c>
      <c r="J36" s="175">
        <f t="shared" si="3"/>
        <v>0</v>
      </c>
      <c r="K36" s="175">
        <f>(IF('Pre-Calculation'!$D$17="Type 4 a",MAX(SA,H36,1.05*Q36),IF('Pre-Calculation'!$D$17="Type 4 c",H36,IF('Pre-Calculation'!$D$17="Type 4 d",SA+H36,IF('Pre-Calculation'!$D$17="Type 4 e",MAX(SA,H36),IF('Pre-Calculation'!$D$17="Type 4 f",SA,IF('Pre-Calculation'!$D$17="Type 4 g",1000+H36,IF('Pre-Calculation'!$D$17="Type 4 h",SA+V36,IF('Pre-Calculation'!$D$17="Type 4 i",MAX(H36,Q36),IF('Pre-Calculation'!$D$17="Type 4 k",MAX(H36,1.01*Q36),IF('Pre-Calculation'!$D$17="Type 4 m",MAX(105%*Q36,SA+H36),IF('Pre-Calculation'!$D$17="Type 4 o",MAX(SA,105%*Q36)+V36+X36,IF('Pre-Calculation'!$D$17="Type 5",0)))))))))))))*IF(AND(A36&lt;Revival!$C$4,C36&gt;Revival!$D$12),PUP,1)</f>
        <v>1218538.7</v>
      </c>
      <c r="L36" s="175">
        <f>H36-I36*(1+Tax)</f>
        <v>1218538.7</v>
      </c>
      <c r="M36" s="175">
        <f>L36*(1+GROWTH_RATE_HIST)</f>
        <v>1231852.83</v>
      </c>
      <c r="N36" s="175">
        <f>M36+IF(MOD(A36,B36)=0,VLOOKUP(B36,'Pre-Calculation'!$H$1:$L$31,5,FALSE),0)*IF('Pre-Calculation'!$D$16="% OF FV",M36,IF(OR('Pre-Calculation'!$D$16="% OF AFV(24M)",'Pre-Calculation'!$D$16="% OF AFV(8Q)"),AVERAGE( $M13:$M36),IF('Pre-Calculation'!$D$16="% OF AFV(12M)",AVERAGE($M25:M36),IF('Pre-Calculation'!$D$16="% OF AFV(36M)",AVERAGE($M$7:M36)))))</f>
        <v>1231852.83</v>
      </c>
      <c r="O36" s="175">
        <f t="shared" si="4"/>
        <v>1231852.83</v>
      </c>
      <c r="P36" s="175">
        <f>IF('Pre-Calculation'!$D$17="Type 4 a",MAX(SA,N36,1.05*Q36),IF('Pre-Calculation'!$D$17="Type 4 c",N36,IF('Pre-Calculation'!$D$17="Type 4 d",SA+N36,IF('Pre-Calculation'!$D$17="Type 4 e",MAX(SA,N36),IF('Pre-Calculation'!$D$17="Type 4 f",SA,IF('Pre-Calculation'!$D$17="Type 4 g",1000+N36,IF('Pre-Calculation'!$D$17="Type 4 h",SA+V36,IF('Pre-Calculation'!$D$17="Type 4 i",MAX(N36,Q36),IF('Pre-Calculation'!$D$17="Type 4 k",MAX(N36,1.01*Q36),IF('Pre-Calculation'!$D$17="Type 4 m",MAX(105%*Q36,SA+N36),IF('Pre-Calculation'!$D$17="Type 4 o",MAX(SA,105%*Q36)+V36+X36,IF('Pre-Calculation'!$D$17="Type 5",0))))))))))))</f>
        <v>1231852.83</v>
      </c>
      <c r="Q36" s="175">
        <f t="shared" si="5"/>
        <v>800000</v>
      </c>
      <c r="R36" s="119">
        <f>L36*(1+GROWTH_RATE)*FMC</f>
        <v>1378.925876</v>
      </c>
      <c r="S36" s="112"/>
      <c r="T36" s="175">
        <f>-E36+IF(A35=INPUT!$C$11*12,N36,0)</f>
        <v>0</v>
      </c>
      <c r="U36" s="171"/>
      <c r="V36" s="179">
        <f t="array" ref="V36">NPV('Pre-Calculation'!$E$20,$E37:E$246)</f>
        <v>185971.3445</v>
      </c>
      <c r="W36" s="171">
        <f>10%*SA</f>
        <v>100000</v>
      </c>
      <c r="X36" s="179">
        <f t="array" ref="X36">NPV('Pre-Calculation'!$E$20,W37:W46)</f>
        <v>969592.8037</v>
      </c>
      <c r="Y36" s="12"/>
      <c r="Z36" s="12"/>
    </row>
    <row r="37" ht="15.75" customHeight="1">
      <c r="A37" s="171">
        <f t="shared" si="1"/>
        <v>91</v>
      </c>
      <c r="B37" s="171">
        <f t="shared" si="2"/>
        <v>8</v>
      </c>
      <c r="C37" s="176">
        <f>EDATE(RCD,A36)</f>
        <v>45290</v>
      </c>
      <c r="D37" s="171">
        <f>Age_At_Entry+Cashflows_HIST!B37-1</f>
        <v>42</v>
      </c>
      <c r="E37" s="175">
        <f>IF(AND(C37&lt;=Last_Prem,MOD(A36,Mode)=0,C37&gt;INPUT!$C$13,A37&lt;=Revival!$C$11),Mod_Prem,0)</f>
        <v>0</v>
      </c>
      <c r="F37" s="177">
        <f>E37*VLOOKUP(B37,'Pre-Calculation'!$H$1:$I$31,2,FALSE)</f>
        <v>0</v>
      </c>
      <c r="G37" s="177">
        <f>IF(B37&lt;PT+1,VLOOKUP(B37,'Pre-Calculation'!$H$1:$L$32,3,FALSE)+VLOOKUP(B37,'Pre-Calculation'!$H$1:$L$32,4,FALSE)*'Pre-Calculation'!$D$7,0)</f>
        <v>830</v>
      </c>
      <c r="H37" s="175">
        <f>(E37-(F37+G37)*(1+Tax)+N36)</f>
        <v>1230873.43</v>
      </c>
      <c r="I37" s="175">
        <f>IF(B37&lt;PT+1,VLOOKUP(D37,'Pre-Calculation'!$N$3:$P$79,IF(INPUT!$C$4="M",2,3),FALSE)*(J37/1000)*(1/12),0)</f>
        <v>0</v>
      </c>
      <c r="J37" s="175">
        <f t="shared" si="3"/>
        <v>0</v>
      </c>
      <c r="K37" s="175">
        <f>(IF('Pre-Calculation'!$D$17="Type 4 a",MAX(SA,H37,1.05*Q37),IF('Pre-Calculation'!$D$17="Type 4 c",H37,IF('Pre-Calculation'!$D$17="Type 4 d",SA+H37,IF('Pre-Calculation'!$D$17="Type 4 e",MAX(SA,H37),IF('Pre-Calculation'!$D$17="Type 4 f",SA,IF('Pre-Calculation'!$D$17="Type 4 g",1000+H37,IF('Pre-Calculation'!$D$17="Type 4 h",SA+V37,IF('Pre-Calculation'!$D$17="Type 4 i",MAX(H37,Q37),IF('Pre-Calculation'!$D$17="Type 4 k",MAX(H37,1.01*Q37),IF('Pre-Calculation'!$D$17="Type 4 m",MAX(105%*Q37,SA+H37),IF('Pre-Calculation'!$D$17="Type 4 o",MAX(SA,105%*Q37)+V37+X37,IF('Pre-Calculation'!$D$17="Type 5",0)))))))))))))*IF(AND(A37&lt;Revival!$C$4,C37&gt;Revival!$D$12),PUP,1)</f>
        <v>1230873.43</v>
      </c>
      <c r="L37" s="175">
        <f>H37-I37*(1+Tax)</f>
        <v>1230873.43</v>
      </c>
      <c r="M37" s="175">
        <f>L37*(1+GROWTH_RATE_HIST)</f>
        <v>1244322.332</v>
      </c>
      <c r="N37" s="175">
        <f>M37+IF(MOD(A37,B37)=0,VLOOKUP(B37,'Pre-Calculation'!$H$1:$L$31,5,FALSE),0)*IF('Pre-Calculation'!$D$16="% OF FV",M37,IF(OR('Pre-Calculation'!$D$16="% OF AFV(24M)",'Pre-Calculation'!$D$16="% OF AFV(8Q)"),AVERAGE( $M14:$M37),IF('Pre-Calculation'!$D$16="% OF AFV(12M)",AVERAGE($M26:M37),IF('Pre-Calculation'!$D$16="% OF AFV(36M)",AVERAGE($M$7:M37)))))</f>
        <v>1244322.332</v>
      </c>
      <c r="O37" s="175">
        <f t="shared" si="4"/>
        <v>1244322.332</v>
      </c>
      <c r="P37" s="175">
        <f>IF('Pre-Calculation'!$D$17="Type 4 a",MAX(SA,N37,1.05*Q37),IF('Pre-Calculation'!$D$17="Type 4 c",N37,IF('Pre-Calculation'!$D$17="Type 4 d",SA+N37,IF('Pre-Calculation'!$D$17="Type 4 e",MAX(SA,N37),IF('Pre-Calculation'!$D$17="Type 4 f",SA,IF('Pre-Calculation'!$D$17="Type 4 g",1000+N37,IF('Pre-Calculation'!$D$17="Type 4 h",SA+V37,IF('Pre-Calculation'!$D$17="Type 4 i",MAX(N37,Q37),IF('Pre-Calculation'!$D$17="Type 4 k",MAX(N37,1.01*Q37),IF('Pre-Calculation'!$D$17="Type 4 m",MAX(105%*Q37,SA+N37),IF('Pre-Calculation'!$D$17="Type 4 o",MAX(SA,105%*Q37)+V37+X37,IF('Pre-Calculation'!$D$17="Type 5",0))))))))))))</f>
        <v>1244322.332</v>
      </c>
      <c r="Q37" s="175">
        <f t="shared" si="5"/>
        <v>800000</v>
      </c>
      <c r="R37" s="119">
        <f>L37*(1+GROWTH_RATE)*FMC</f>
        <v>1392.884134</v>
      </c>
      <c r="S37" s="112"/>
      <c r="T37" s="175">
        <f>-E37+IF(A36=INPUT!$C$11*12,N37,0)</f>
        <v>0</v>
      </c>
      <c r="U37" s="171"/>
      <c r="V37" s="179">
        <f t="array" ref="V37">NPV('Pre-Calculation'!$E$20,$E38:E$246)</f>
        <v>187022.8535</v>
      </c>
      <c r="W37" s="171">
        <f>10%*SA</f>
        <v>100000</v>
      </c>
      <c r="X37" s="179">
        <f t="array" ref="X37">NPV('Pre-Calculation'!$E$20,W38:W47)</f>
        <v>969592.8037</v>
      </c>
      <c r="Y37" s="12"/>
      <c r="Z37" s="12"/>
    </row>
    <row r="38" ht="15.75" customHeight="1">
      <c r="A38" s="171">
        <f t="shared" si="1"/>
        <v>92</v>
      </c>
      <c r="B38" s="171">
        <f t="shared" si="2"/>
        <v>8</v>
      </c>
      <c r="C38" s="176">
        <f>EDATE(RCD,A37)</f>
        <v>45321</v>
      </c>
      <c r="D38" s="171">
        <f>Age_At_Entry+Cashflows_HIST!B38-1</f>
        <v>42</v>
      </c>
      <c r="E38" s="175">
        <f>IF(AND(C38&lt;=Last_Prem,MOD(A37,Mode)=0,C38&gt;INPUT!$C$13,A38&lt;=Revival!$C$11),Mod_Prem,0)</f>
        <v>0</v>
      </c>
      <c r="F38" s="177">
        <f>E38*VLOOKUP(B38,'Pre-Calculation'!$H$1:$I$31,2,FALSE)</f>
        <v>0</v>
      </c>
      <c r="G38" s="177">
        <f>IF(B38&lt;PT+1,VLOOKUP(B38,'Pre-Calculation'!$H$1:$L$32,3,FALSE)+VLOOKUP(B38,'Pre-Calculation'!$H$1:$L$32,4,FALSE)*'Pre-Calculation'!$D$7,0)</f>
        <v>830</v>
      </c>
      <c r="H38" s="175">
        <f>(E38-(F38+G38)*(1+Tax)+N37)</f>
        <v>1243342.932</v>
      </c>
      <c r="I38" s="175">
        <f>IF(B38&lt;PT+1,VLOOKUP(D38,'Pre-Calculation'!$N$3:$P$79,IF(INPUT!$C$4="M",2,3),FALSE)*(J38/1000)*(1/12),0)</f>
        <v>0</v>
      </c>
      <c r="J38" s="175">
        <f t="shared" si="3"/>
        <v>0</v>
      </c>
      <c r="K38" s="175">
        <f>(IF('Pre-Calculation'!$D$17="Type 4 a",MAX(SA,H38,1.05*Q38),IF('Pre-Calculation'!$D$17="Type 4 c",H38,IF('Pre-Calculation'!$D$17="Type 4 d",SA+H38,IF('Pre-Calculation'!$D$17="Type 4 e",MAX(SA,H38),IF('Pre-Calculation'!$D$17="Type 4 f",SA,IF('Pre-Calculation'!$D$17="Type 4 g",1000+H38,IF('Pre-Calculation'!$D$17="Type 4 h",SA+V38,IF('Pre-Calculation'!$D$17="Type 4 i",MAX(H38,Q38),IF('Pre-Calculation'!$D$17="Type 4 k",MAX(H38,1.01*Q38),IF('Pre-Calculation'!$D$17="Type 4 m",MAX(105%*Q38,SA+H38),IF('Pre-Calculation'!$D$17="Type 4 o",MAX(SA,105%*Q38)+V38+X38,IF('Pre-Calculation'!$D$17="Type 5",0)))))))))))))*IF(AND(A38&lt;Revival!$C$4,C38&gt;Revival!$D$12),PUP,1)</f>
        <v>1243342.932</v>
      </c>
      <c r="L38" s="175">
        <f>H38-I38*(1+Tax)</f>
        <v>1243342.932</v>
      </c>
      <c r="M38" s="175">
        <f>L38*(1+GROWTH_RATE_HIST)</f>
        <v>1256928.08</v>
      </c>
      <c r="N38" s="175">
        <f>M38+IF(MOD(A38,B38)=0,VLOOKUP(B38,'Pre-Calculation'!$H$1:$L$31,5,FALSE),0)*IF('Pre-Calculation'!$D$16="% OF FV",M38,IF(OR('Pre-Calculation'!$D$16="% OF AFV(24M)",'Pre-Calculation'!$D$16="% OF AFV(8Q)"),AVERAGE( $M15:$M38),IF('Pre-Calculation'!$D$16="% OF AFV(12M)",AVERAGE($M27:M38),IF('Pre-Calculation'!$D$16="% OF AFV(36M)",AVERAGE($M$7:M38)))))</f>
        <v>1256928.08</v>
      </c>
      <c r="O38" s="175">
        <f t="shared" si="4"/>
        <v>1256928.08</v>
      </c>
      <c r="P38" s="175">
        <f>IF('Pre-Calculation'!$D$17="Type 4 a",MAX(SA,N38,1.05*Q38),IF('Pre-Calculation'!$D$17="Type 4 c",N38,IF('Pre-Calculation'!$D$17="Type 4 d",SA+N38,IF('Pre-Calculation'!$D$17="Type 4 e",MAX(SA,N38),IF('Pre-Calculation'!$D$17="Type 4 f",SA,IF('Pre-Calculation'!$D$17="Type 4 g",1000+N38,IF('Pre-Calculation'!$D$17="Type 4 h",SA+V38,IF('Pre-Calculation'!$D$17="Type 4 i",MAX(N38,Q38),IF('Pre-Calculation'!$D$17="Type 4 k",MAX(N38,1.01*Q38),IF('Pre-Calculation'!$D$17="Type 4 m",MAX(105%*Q38,SA+N38),IF('Pre-Calculation'!$D$17="Type 4 o",MAX(SA,105%*Q38)+V38+X38,IF('Pre-Calculation'!$D$17="Type 5",0))))))))))))</f>
        <v>1256928.08</v>
      </c>
      <c r="Q38" s="175">
        <f t="shared" si="5"/>
        <v>800000</v>
      </c>
      <c r="R38" s="119">
        <f>L38*(1+GROWTH_RATE)*FMC</f>
        <v>1406.994905</v>
      </c>
      <c r="S38" s="112"/>
      <c r="T38" s="175">
        <f>-E38+IF(A37=INPUT!$C$11*12,N38,0)</f>
        <v>0</v>
      </c>
      <c r="U38" s="171"/>
      <c r="V38" s="179">
        <f t="array" ref="V38">NPV('Pre-Calculation'!$E$20,$E39:E$246)</f>
        <v>188080.3079</v>
      </c>
      <c r="W38" s="171">
        <f>10%*SA</f>
        <v>100000</v>
      </c>
      <c r="X38" s="179">
        <f t="array" ref="X38">NPV('Pre-Calculation'!$E$20,W39:W48)</f>
        <v>969592.8037</v>
      </c>
      <c r="Y38" s="12"/>
      <c r="Z38" s="12"/>
    </row>
    <row r="39" ht="15.75" customHeight="1">
      <c r="A39" s="171">
        <f t="shared" si="1"/>
        <v>93</v>
      </c>
      <c r="B39" s="171">
        <f t="shared" si="2"/>
        <v>8</v>
      </c>
      <c r="C39" s="176">
        <f>EDATE(RCD,A38)</f>
        <v>45351</v>
      </c>
      <c r="D39" s="171">
        <f>Age_At_Entry+Cashflows_HIST!B39-1</f>
        <v>42</v>
      </c>
      <c r="E39" s="175">
        <f>IF(AND(C39&lt;=Last_Prem,MOD(A38,Mode)=0,C39&gt;INPUT!$C$13,A39&lt;=Revival!$C$11),Mod_Prem,0)</f>
        <v>0</v>
      </c>
      <c r="F39" s="177">
        <f>E39*VLOOKUP(B39,'Pre-Calculation'!$H$1:$I$31,2,FALSE)</f>
        <v>0</v>
      </c>
      <c r="G39" s="177">
        <f>IF(B39&lt;PT+1,VLOOKUP(B39,'Pre-Calculation'!$H$1:$L$32,3,FALSE)+VLOOKUP(B39,'Pre-Calculation'!$H$1:$L$32,4,FALSE)*'Pre-Calculation'!$D$7,0)</f>
        <v>830</v>
      </c>
      <c r="H39" s="175">
        <f>(E39-(F39+G39)*(1+Tax)+N38)</f>
        <v>1255948.68</v>
      </c>
      <c r="I39" s="175">
        <f>IF(B39&lt;PT+1,VLOOKUP(D39,'Pre-Calculation'!$N$3:$P$79,IF(INPUT!$C$4="M",2,3),FALSE)*(J39/1000)*(1/12),0)</f>
        <v>0</v>
      </c>
      <c r="J39" s="175">
        <f t="shared" si="3"/>
        <v>0</v>
      </c>
      <c r="K39" s="175">
        <f>(IF('Pre-Calculation'!$D$17="Type 4 a",MAX(SA,H39,1.05*Q39),IF('Pre-Calculation'!$D$17="Type 4 c",H39,IF('Pre-Calculation'!$D$17="Type 4 d",SA+H39,IF('Pre-Calculation'!$D$17="Type 4 e",MAX(SA,H39),IF('Pre-Calculation'!$D$17="Type 4 f",SA,IF('Pre-Calculation'!$D$17="Type 4 g",1000+H39,IF('Pre-Calculation'!$D$17="Type 4 h",SA+V39,IF('Pre-Calculation'!$D$17="Type 4 i",MAX(H39,Q39),IF('Pre-Calculation'!$D$17="Type 4 k",MAX(H39,1.01*Q39),IF('Pre-Calculation'!$D$17="Type 4 m",MAX(105%*Q39,SA+H39),IF('Pre-Calculation'!$D$17="Type 4 o",MAX(SA,105%*Q39)+V39+X39,IF('Pre-Calculation'!$D$17="Type 5",0)))))))))))))*IF(AND(A39&lt;Revival!$C$4,C39&gt;Revival!$D$12),PUP,1)</f>
        <v>1255948.68</v>
      </c>
      <c r="L39" s="175">
        <f>H39-I39*(1+Tax)</f>
        <v>1255948.68</v>
      </c>
      <c r="M39" s="175">
        <f>L39*(1+GROWTH_RATE_HIST)</f>
        <v>1269671.563</v>
      </c>
      <c r="N39" s="175">
        <f>M39+IF(MOD(A39,B39)=0,VLOOKUP(B39,'Pre-Calculation'!$H$1:$L$31,5,FALSE),0)*IF('Pre-Calculation'!$D$16="% OF FV",M39,IF(OR('Pre-Calculation'!$D$16="% OF AFV(24M)",'Pre-Calculation'!$D$16="% OF AFV(8Q)"),AVERAGE( $M16:$M39),IF('Pre-Calculation'!$D$16="% OF AFV(12M)",AVERAGE($M28:M39),IF('Pre-Calculation'!$D$16="% OF AFV(36M)",AVERAGE($M$7:M39)))))</f>
        <v>1269671.563</v>
      </c>
      <c r="O39" s="175">
        <f t="shared" si="4"/>
        <v>1269671.563</v>
      </c>
      <c r="P39" s="175">
        <f>IF('Pre-Calculation'!$D$17="Type 4 a",MAX(SA,N39,1.05*Q39),IF('Pre-Calculation'!$D$17="Type 4 c",N39,IF('Pre-Calculation'!$D$17="Type 4 d",SA+N39,IF('Pre-Calculation'!$D$17="Type 4 e",MAX(SA,N39),IF('Pre-Calculation'!$D$17="Type 4 f",SA,IF('Pre-Calculation'!$D$17="Type 4 g",1000+N39,IF('Pre-Calculation'!$D$17="Type 4 h",SA+V39,IF('Pre-Calculation'!$D$17="Type 4 i",MAX(N39,Q39),IF('Pre-Calculation'!$D$17="Type 4 k",MAX(N39,1.01*Q39),IF('Pre-Calculation'!$D$17="Type 4 m",MAX(105%*Q39,SA+N39),IF('Pre-Calculation'!$D$17="Type 4 o",MAX(SA,105%*Q39)+V39+X39,IF('Pre-Calculation'!$D$17="Type 5",0))))))))))))</f>
        <v>1269671.563</v>
      </c>
      <c r="Q39" s="175">
        <f t="shared" si="5"/>
        <v>800000</v>
      </c>
      <c r="R39" s="119">
        <f>L39*(1+GROWTH_RATE)*FMC</f>
        <v>1421.259854</v>
      </c>
      <c r="S39" s="112"/>
      <c r="T39" s="175">
        <f>-E39+IF(A38=INPUT!$C$11*12,N39,0)</f>
        <v>0</v>
      </c>
      <c r="U39" s="171"/>
      <c r="V39" s="179">
        <f t="array" ref="V39">NPV('Pre-Calculation'!$E$20,$E40:E$246)</f>
        <v>189143.7413</v>
      </c>
      <c r="W39" s="171">
        <f>10%*SA</f>
        <v>100000</v>
      </c>
      <c r="X39" s="179">
        <f t="array" ref="X39">NPV('Pre-Calculation'!$E$20,W40:W49)</f>
        <v>969592.8037</v>
      </c>
      <c r="Y39" s="12"/>
      <c r="Z39" s="12"/>
    </row>
    <row r="40" ht="15.75" customHeight="1">
      <c r="A40" s="171">
        <f t="shared" si="1"/>
        <v>94</v>
      </c>
      <c r="B40" s="171">
        <f t="shared" si="2"/>
        <v>8</v>
      </c>
      <c r="C40" s="176">
        <f>EDATE(RCD,A39)</f>
        <v>45381</v>
      </c>
      <c r="D40" s="171">
        <f>Age_At_Entry+Cashflows_HIST!B40-1</f>
        <v>42</v>
      </c>
      <c r="E40" s="175">
        <f>IF(AND(C40&lt;=Last_Prem,MOD(A39,Mode)=0,C40&gt;INPUT!$C$13,A40&lt;=Revival!$C$11),Mod_Prem,0)</f>
        <v>0</v>
      </c>
      <c r="F40" s="177">
        <f>E40*VLOOKUP(B40,'Pre-Calculation'!$H$1:$I$31,2,FALSE)</f>
        <v>0</v>
      </c>
      <c r="G40" s="177">
        <f>IF(B40&lt;PT+1,VLOOKUP(B40,'Pre-Calculation'!$H$1:$L$32,3,FALSE)+VLOOKUP(B40,'Pre-Calculation'!$H$1:$L$32,4,FALSE)*'Pre-Calculation'!$D$7,0)</f>
        <v>830</v>
      </c>
      <c r="H40" s="175">
        <f>(E40-(F40+G40)*(1+Tax)+N39)</f>
        <v>1268692.163</v>
      </c>
      <c r="I40" s="175">
        <f>IF(B40&lt;PT+1,VLOOKUP(D40,'Pre-Calculation'!$N$3:$P$79,IF(INPUT!$C$4="M",2,3),FALSE)*(J40/1000)*(1/12),0)</f>
        <v>0</v>
      </c>
      <c r="J40" s="175">
        <f t="shared" si="3"/>
        <v>0</v>
      </c>
      <c r="K40" s="175">
        <f>(IF('Pre-Calculation'!$D$17="Type 4 a",MAX(SA,H40,1.05*Q40),IF('Pre-Calculation'!$D$17="Type 4 c",H40,IF('Pre-Calculation'!$D$17="Type 4 d",SA+H40,IF('Pre-Calculation'!$D$17="Type 4 e",MAX(SA,H40),IF('Pre-Calculation'!$D$17="Type 4 f",SA,IF('Pre-Calculation'!$D$17="Type 4 g",1000+H40,IF('Pre-Calculation'!$D$17="Type 4 h",SA+V40,IF('Pre-Calculation'!$D$17="Type 4 i",MAX(H40,Q40),IF('Pre-Calculation'!$D$17="Type 4 k",MAX(H40,1.01*Q40),IF('Pre-Calculation'!$D$17="Type 4 m",MAX(105%*Q40,SA+H40),IF('Pre-Calculation'!$D$17="Type 4 o",MAX(SA,105%*Q40)+V40+X40,IF('Pre-Calculation'!$D$17="Type 5",0)))))))))))))*IF(AND(A40&lt;Revival!$C$4,C40&gt;Revival!$D$12),PUP,1)</f>
        <v>1268692.163</v>
      </c>
      <c r="L40" s="175">
        <f>H40-I40*(1+Tax)</f>
        <v>1268692.163</v>
      </c>
      <c r="M40" s="175">
        <f>L40*(1+GROWTH_RATE_HIST)</f>
        <v>1282554.285</v>
      </c>
      <c r="N40" s="175">
        <f>M40+IF(MOD(A40,B40)=0,VLOOKUP(B40,'Pre-Calculation'!$H$1:$L$31,5,FALSE),0)*IF('Pre-Calculation'!$D$16="% OF FV",M40,IF(OR('Pre-Calculation'!$D$16="% OF AFV(24M)",'Pre-Calculation'!$D$16="% OF AFV(8Q)"),AVERAGE( $M17:$M40),IF('Pre-Calculation'!$D$16="% OF AFV(12M)",AVERAGE($M29:M40),IF('Pre-Calculation'!$D$16="% OF AFV(36M)",AVERAGE($M$7:M40)))))</f>
        <v>1282554.285</v>
      </c>
      <c r="O40" s="175">
        <f t="shared" si="4"/>
        <v>1282554.285</v>
      </c>
      <c r="P40" s="175">
        <f>IF('Pre-Calculation'!$D$17="Type 4 a",MAX(SA,N40,1.05*Q40),IF('Pre-Calculation'!$D$17="Type 4 c",N40,IF('Pre-Calculation'!$D$17="Type 4 d",SA+N40,IF('Pre-Calculation'!$D$17="Type 4 e",MAX(SA,N40),IF('Pre-Calculation'!$D$17="Type 4 f",SA,IF('Pre-Calculation'!$D$17="Type 4 g",1000+N40,IF('Pre-Calculation'!$D$17="Type 4 h",SA+V40,IF('Pre-Calculation'!$D$17="Type 4 i",MAX(N40,Q40),IF('Pre-Calculation'!$D$17="Type 4 k",MAX(N40,1.01*Q40),IF('Pre-Calculation'!$D$17="Type 4 m",MAX(105%*Q40,SA+N40),IF('Pre-Calculation'!$D$17="Type 4 o",MAX(SA,105%*Q40)+V40+X40,IF('Pre-Calculation'!$D$17="Type 5",0))))))))))))</f>
        <v>1282554.285</v>
      </c>
      <c r="Q40" s="175">
        <f t="shared" si="5"/>
        <v>800000</v>
      </c>
      <c r="R40" s="119">
        <f>L40*(1+GROWTH_RATE)*FMC</f>
        <v>1435.680666</v>
      </c>
      <c r="S40" s="112"/>
      <c r="T40" s="175">
        <f>-E40+IF(A39=INPUT!$C$11*12,N40,0)</f>
        <v>0</v>
      </c>
      <c r="U40" s="171"/>
      <c r="V40" s="179">
        <f t="array" ref="V40">NPV('Pre-Calculation'!$E$20,$E41:E$246)</f>
        <v>190213.1875</v>
      </c>
      <c r="W40" s="171">
        <f>10%*SA</f>
        <v>100000</v>
      </c>
      <c r="X40" s="179">
        <f t="array" ref="X40">NPV('Pre-Calculation'!$E$20,W41:W50)</f>
        <v>969592.8037</v>
      </c>
      <c r="Y40" s="12"/>
      <c r="Z40" s="12"/>
    </row>
    <row r="41" ht="15.75" customHeight="1">
      <c r="A41" s="171">
        <f t="shared" si="1"/>
        <v>95</v>
      </c>
      <c r="B41" s="171">
        <f t="shared" si="2"/>
        <v>8</v>
      </c>
      <c r="C41" s="176">
        <f>EDATE(RCD,A40)</f>
        <v>45412</v>
      </c>
      <c r="D41" s="171">
        <f>Age_At_Entry+Cashflows_HIST!B41-1</f>
        <v>42</v>
      </c>
      <c r="E41" s="175">
        <f>IF(AND(C41&lt;=Last_Prem,MOD(A40,Mode)=0,C41&gt;INPUT!$C$13,A41&lt;=Revival!$C$11),Mod_Prem,0)</f>
        <v>0</v>
      </c>
      <c r="F41" s="177">
        <f>E41*VLOOKUP(B41,'Pre-Calculation'!$H$1:$I$31,2,FALSE)</f>
        <v>0</v>
      </c>
      <c r="G41" s="177">
        <f>IF(B41&lt;PT+1,VLOOKUP(B41,'Pre-Calculation'!$H$1:$L$32,3,FALSE)+VLOOKUP(B41,'Pre-Calculation'!$H$1:$L$32,4,FALSE)*'Pre-Calculation'!$D$7,0)</f>
        <v>830</v>
      </c>
      <c r="H41" s="175">
        <f>(E41-(F41+G41)*(1+Tax)+N40)</f>
        <v>1281574.885</v>
      </c>
      <c r="I41" s="175">
        <f>IF(B41&lt;PT+1,VLOOKUP(D41,'Pre-Calculation'!$N$3:$P$79,IF(INPUT!$C$4="M",2,3),FALSE)*(J41/1000)*(1/12),0)</f>
        <v>0</v>
      </c>
      <c r="J41" s="175">
        <f t="shared" si="3"/>
        <v>0</v>
      </c>
      <c r="K41" s="175">
        <f>(IF('Pre-Calculation'!$D$17="Type 4 a",MAX(SA,H41,1.05*Q41),IF('Pre-Calculation'!$D$17="Type 4 c",H41,IF('Pre-Calculation'!$D$17="Type 4 d",SA+H41,IF('Pre-Calculation'!$D$17="Type 4 e",MAX(SA,H41),IF('Pre-Calculation'!$D$17="Type 4 f",SA,IF('Pre-Calculation'!$D$17="Type 4 g",1000+H41,IF('Pre-Calculation'!$D$17="Type 4 h",SA+V41,IF('Pre-Calculation'!$D$17="Type 4 i",MAX(H41,Q41),IF('Pre-Calculation'!$D$17="Type 4 k",MAX(H41,1.01*Q41),IF('Pre-Calculation'!$D$17="Type 4 m",MAX(105%*Q41,SA+H41),IF('Pre-Calculation'!$D$17="Type 4 o",MAX(SA,105%*Q41)+V41+X41,IF('Pre-Calculation'!$D$17="Type 5",0)))))))))))))*IF(AND(A41&lt;Revival!$C$4,C41&gt;Revival!$D$12),PUP,1)</f>
        <v>1281574.885</v>
      </c>
      <c r="L41" s="175">
        <f>H41-I41*(1+Tax)</f>
        <v>1281574.885</v>
      </c>
      <c r="M41" s="175">
        <f>L41*(1+GROWTH_RATE_HIST)</f>
        <v>1295577.767</v>
      </c>
      <c r="N41" s="175">
        <f>M41+IF(MOD(A41,B41)=0,VLOOKUP(B41,'Pre-Calculation'!$H$1:$L$31,5,FALSE),0)*IF('Pre-Calculation'!$D$16="% OF FV",M41,IF(OR('Pre-Calculation'!$D$16="% OF AFV(24M)",'Pre-Calculation'!$D$16="% OF AFV(8Q)"),AVERAGE( $M18:$M41),IF('Pre-Calculation'!$D$16="% OF AFV(12M)",AVERAGE($M30:M41),IF('Pre-Calculation'!$D$16="% OF AFV(36M)",AVERAGE($M$7:M41)))))</f>
        <v>1295577.767</v>
      </c>
      <c r="O41" s="175">
        <f t="shared" si="4"/>
        <v>1295577.767</v>
      </c>
      <c r="P41" s="175">
        <f>IF('Pre-Calculation'!$D$17="Type 4 a",MAX(SA,N41,1.05*Q41),IF('Pre-Calculation'!$D$17="Type 4 c",N41,IF('Pre-Calculation'!$D$17="Type 4 d",SA+N41,IF('Pre-Calculation'!$D$17="Type 4 e",MAX(SA,N41),IF('Pre-Calculation'!$D$17="Type 4 f",SA,IF('Pre-Calculation'!$D$17="Type 4 g",1000+N41,IF('Pre-Calculation'!$D$17="Type 4 h",SA+V41,IF('Pre-Calculation'!$D$17="Type 4 i",MAX(N41,Q41),IF('Pre-Calculation'!$D$17="Type 4 k",MAX(N41,1.01*Q41),IF('Pre-Calculation'!$D$17="Type 4 m",MAX(105%*Q41,SA+N41),IF('Pre-Calculation'!$D$17="Type 4 o",MAX(SA,105%*Q41)+V41+X41,IF('Pre-Calculation'!$D$17="Type 5",0))))))))))))</f>
        <v>1295577.767</v>
      </c>
      <c r="Q41" s="175">
        <f t="shared" si="5"/>
        <v>800000</v>
      </c>
      <c r="R41" s="119">
        <f>L41*(1+GROWTH_RATE)*FMC</f>
        <v>1450.259045</v>
      </c>
      <c r="S41" s="112"/>
      <c r="T41" s="175">
        <f>-E41+IF(A40=INPUT!$C$11*12,N41,0)</f>
        <v>0</v>
      </c>
      <c r="U41" s="171"/>
      <c r="V41" s="179">
        <f t="array" ref="V41">NPV('Pre-Calculation'!$E$20,$E42:E$246)</f>
        <v>191288.6805</v>
      </c>
      <c r="W41" s="171">
        <f>10%*SA</f>
        <v>100000</v>
      </c>
      <c r="X41" s="179">
        <f t="array" ref="X41">NPV('Pre-Calculation'!$E$20,W42:W51)</f>
        <v>969592.8037</v>
      </c>
      <c r="Y41" s="12"/>
      <c r="Z41" s="12"/>
    </row>
    <row r="42" ht="15.75" customHeight="1">
      <c r="A42" s="171">
        <f t="shared" si="1"/>
        <v>96</v>
      </c>
      <c r="B42" s="171">
        <f t="shared" si="2"/>
        <v>8</v>
      </c>
      <c r="C42" s="176">
        <f>EDATE(RCD,A41)</f>
        <v>45442</v>
      </c>
      <c r="D42" s="171">
        <f>Age_At_Entry+Cashflows_HIST!B42-1</f>
        <v>42</v>
      </c>
      <c r="E42" s="175">
        <f>IF(AND(C42&lt;=Last_Prem,MOD(A41,Mode)=0,C42&gt;INPUT!$C$13,A42&lt;=Revival!$C$11),Mod_Prem,0)</f>
        <v>0</v>
      </c>
      <c r="F42" s="177">
        <f>E42*VLOOKUP(B42,'Pre-Calculation'!$H$1:$I$31,2,FALSE)</f>
        <v>0</v>
      </c>
      <c r="G42" s="177">
        <f>IF(B42&lt;PT+1,VLOOKUP(B42,'Pre-Calculation'!$H$1:$L$32,3,FALSE)+VLOOKUP(B42,'Pre-Calculation'!$H$1:$L$32,4,FALSE)*'Pre-Calculation'!$D$7,0)</f>
        <v>830</v>
      </c>
      <c r="H42" s="175">
        <f>(E42-(F42+G42)*(1+Tax)+N41)</f>
        <v>1294598.367</v>
      </c>
      <c r="I42" s="175">
        <f>IF(B42&lt;PT+1,VLOOKUP(D42,'Pre-Calculation'!$N$3:$P$79,IF(INPUT!$C$4="M",2,3),FALSE)*(J42/1000)*(1/12),0)</f>
        <v>0</v>
      </c>
      <c r="J42" s="175">
        <f t="shared" si="3"/>
        <v>0</v>
      </c>
      <c r="K42" s="175">
        <f>(IF('Pre-Calculation'!$D$17="Type 4 a",MAX(SA,H42,1.05*Q42),IF('Pre-Calculation'!$D$17="Type 4 c",H42,IF('Pre-Calculation'!$D$17="Type 4 d",SA+H42,IF('Pre-Calculation'!$D$17="Type 4 e",MAX(SA,H42),IF('Pre-Calculation'!$D$17="Type 4 f",SA,IF('Pre-Calculation'!$D$17="Type 4 g",1000+H42,IF('Pre-Calculation'!$D$17="Type 4 h",SA+V42,IF('Pre-Calculation'!$D$17="Type 4 i",MAX(H42,Q42),IF('Pre-Calculation'!$D$17="Type 4 k",MAX(H42,1.01*Q42),IF('Pre-Calculation'!$D$17="Type 4 m",MAX(105%*Q42,SA+H42),IF('Pre-Calculation'!$D$17="Type 4 o",MAX(SA,105%*Q42)+V42+X42,IF('Pre-Calculation'!$D$17="Type 5",0)))))))))))))*IF(AND(A42&lt;Revival!$C$4,C42&gt;Revival!$D$12),PUP,1)</f>
        <v>1294598.367</v>
      </c>
      <c r="L42" s="175">
        <f>H42-I42*(1+Tax)</f>
        <v>1294598.367</v>
      </c>
      <c r="M42" s="175">
        <f>L42*(1+GROWTH_RATE_HIST)</f>
        <v>1308743.548</v>
      </c>
      <c r="N42" s="175">
        <f>M42+IF(MOD(A42,B42)=0,VLOOKUP(B42,'Pre-Calculation'!$H$1:$L$31,5,FALSE),0)*IF('Pre-Calculation'!$D$16="% OF FV",M42,IF(OR('Pre-Calculation'!$D$16="% OF AFV(24M)",'Pre-Calculation'!$D$16="% OF AFV(8Q)"),AVERAGE( $M19:$M42),IF('Pre-Calculation'!$D$16="% OF AFV(12M)",AVERAGE($M31:M42),IF('Pre-Calculation'!$D$16="% OF AFV(36M)",AVERAGE($M7:M42)))))</f>
        <v>1308743.548</v>
      </c>
      <c r="O42" s="175">
        <f t="shared" si="4"/>
        <v>1308743.548</v>
      </c>
      <c r="P42" s="175">
        <f>IF('Pre-Calculation'!$D$17="Type 4 a",MAX(SA,N42,1.05*Q42),IF('Pre-Calculation'!$D$17="Type 4 c",N42,IF('Pre-Calculation'!$D$17="Type 4 d",SA+N42,IF('Pre-Calculation'!$D$17="Type 4 e",MAX(SA,N42),IF('Pre-Calculation'!$D$17="Type 4 f",SA,IF('Pre-Calculation'!$D$17="Type 4 g",1000+N42,IF('Pre-Calculation'!$D$17="Type 4 h",SA+V42,IF('Pre-Calculation'!$D$17="Type 4 i",MAX(N42,Q42),IF('Pre-Calculation'!$D$17="Type 4 k",MAX(N42,1.01*Q42),IF('Pre-Calculation'!$D$17="Type 4 m",MAX(105%*Q42,SA+N42),IF('Pre-Calculation'!$D$17="Type 4 o",MAX(SA,105%*Q42)+V42+X42,IF('Pre-Calculation'!$D$17="Type 5",0))))))))))))</f>
        <v>1308743.548</v>
      </c>
      <c r="Q42" s="175">
        <f t="shared" si="5"/>
        <v>800000</v>
      </c>
      <c r="R42" s="119">
        <f>L42*(1+GROWTH_RATE)*FMC</f>
        <v>1464.996711</v>
      </c>
      <c r="S42" s="112"/>
      <c r="T42" s="175">
        <f>-E42+IF(A41=INPUT!$C$11*12,N42,0)</f>
        <v>0</v>
      </c>
      <c r="U42" s="171"/>
      <c r="V42" s="179">
        <f t="array" ref="V42">NPV('Pre-Calculation'!$E$20,$E43:E$246)</f>
        <v>192370.2545</v>
      </c>
      <c r="W42" s="171">
        <f>10%*SA</f>
        <v>100000</v>
      </c>
      <c r="X42" s="179">
        <f t="array" ref="X42">NPV('Pre-Calculation'!$E$20,W43:W52)</f>
        <v>969592.8037</v>
      </c>
      <c r="Y42" s="12"/>
      <c r="Z42" s="12"/>
    </row>
    <row r="43" ht="15.75" customHeight="1">
      <c r="A43" s="171">
        <f t="shared" si="1"/>
        <v>97</v>
      </c>
      <c r="B43" s="171">
        <f t="shared" si="2"/>
        <v>9</v>
      </c>
      <c r="C43" s="176">
        <f>EDATE(RCD,A42)</f>
        <v>45473</v>
      </c>
      <c r="D43" s="171">
        <f>Age_At_Entry+Cashflows_HIST!B43-1</f>
        <v>43</v>
      </c>
      <c r="E43" s="175">
        <f>IF(AND(C43&lt;=Last_Prem,MOD(A42,Mode)=0,C43&gt;INPUT!$C$13,A43&lt;=Revival!$C$11),Mod_Prem,0)</f>
        <v>100000</v>
      </c>
      <c r="F43" s="177">
        <f>E43*VLOOKUP(B43,'Pre-Calculation'!$H$1:$I$31,2,FALSE)</f>
        <v>0</v>
      </c>
      <c r="G43" s="177">
        <f>IF(B43&lt;PT+1,VLOOKUP(B43,'Pre-Calculation'!$H$1:$L$32,3,FALSE)+VLOOKUP(B43,'Pre-Calculation'!$H$1:$L$32,4,FALSE)*'Pre-Calculation'!$D$7,0)</f>
        <v>830</v>
      </c>
      <c r="H43" s="175">
        <f>(E43-(F43+G43)*(1+Tax)+N42)</f>
        <v>1407764.148</v>
      </c>
      <c r="I43" s="175">
        <f>IF(B43&lt;PT+1,VLOOKUP(D43,'Pre-Calculation'!$N$3:$P$79,IF(INPUT!$C$4="M",2,3),FALSE)*(J43/1000)*(1/12),0)</f>
        <v>0</v>
      </c>
      <c r="J43" s="175">
        <f t="shared" si="3"/>
        <v>0</v>
      </c>
      <c r="K43" s="175">
        <f>(IF('Pre-Calculation'!$D$17="Type 4 a",MAX(SA,H43,1.05*Q43),IF('Pre-Calculation'!$D$17="Type 4 c",H43,IF('Pre-Calculation'!$D$17="Type 4 d",SA+H43,IF('Pre-Calculation'!$D$17="Type 4 e",MAX(SA,H43),IF('Pre-Calculation'!$D$17="Type 4 f",SA,IF('Pre-Calculation'!$D$17="Type 4 g",1000+H43,IF('Pre-Calculation'!$D$17="Type 4 h",SA+V43,IF('Pre-Calculation'!$D$17="Type 4 i",MAX(H43,Q43),IF('Pre-Calculation'!$D$17="Type 4 k",MAX(H43,1.01*Q43),IF('Pre-Calculation'!$D$17="Type 4 m",MAX(105%*Q43,SA+H43),IF('Pre-Calculation'!$D$17="Type 4 o",MAX(SA,105%*Q43)+V43+X43,IF('Pre-Calculation'!$D$17="Type 5",0)))))))))))))*IF(AND(A43&lt;Revival!$C$4,C43&gt;Revival!$D$12),PUP,1)</f>
        <v>1407764.148</v>
      </c>
      <c r="L43" s="175">
        <f>H43-I43*(1+Tax)</f>
        <v>1407764.148</v>
      </c>
      <c r="M43" s="175">
        <f>L43*(1+GROWTH_RATE_HIST)</f>
        <v>1423145.813</v>
      </c>
      <c r="N43" s="175">
        <f>M43+IF(MOD(A43,B43)=0,VLOOKUP(B43,'Pre-Calculation'!$H$1:$L$31,5,FALSE),0)*IF('Pre-Calculation'!$D$16="% OF FV",M43,IF(OR('Pre-Calculation'!$D$16="% OF AFV(24M)",'Pre-Calculation'!$D$16="% OF AFV(8Q)"),AVERAGE( $M20:$M43),IF('Pre-Calculation'!$D$16="% OF AFV(12M)",AVERAGE($M32:M43),IF('Pre-Calculation'!$D$16="% OF AFV(36M)",AVERAGE($M8:M43)))))</f>
        <v>1423145.813</v>
      </c>
      <c r="O43" s="175">
        <f t="shared" si="4"/>
        <v>1423145.813</v>
      </c>
      <c r="P43" s="175">
        <f>IF('Pre-Calculation'!$D$17="Type 4 a",MAX(SA,N43,1.05*Q43),IF('Pre-Calculation'!$D$17="Type 4 c",N43,IF('Pre-Calculation'!$D$17="Type 4 d",SA+N43,IF('Pre-Calculation'!$D$17="Type 4 e",MAX(SA,N43),IF('Pre-Calculation'!$D$17="Type 4 f",SA,IF('Pre-Calculation'!$D$17="Type 4 g",1000+N43,IF('Pre-Calculation'!$D$17="Type 4 h",SA+V43,IF('Pre-Calculation'!$D$17="Type 4 i",MAX(N43,Q43),IF('Pre-Calculation'!$D$17="Type 4 k",MAX(N43,1.01*Q43),IF('Pre-Calculation'!$D$17="Type 4 m",MAX(105%*Q43,SA+N43),IF('Pre-Calculation'!$D$17="Type 4 o",MAX(SA,105%*Q43)+V43+X43,IF('Pre-Calculation'!$D$17="Type 5",0))))))))))))</f>
        <v>1423145.813</v>
      </c>
      <c r="Q43" s="175">
        <f t="shared" si="5"/>
        <v>900000</v>
      </c>
      <c r="R43" s="119">
        <f>L43*(1+GROWTH_RATE)*FMC</f>
        <v>1593.057661</v>
      </c>
      <c r="S43" s="112"/>
      <c r="T43" s="175">
        <f>-E43+IF(A42=INPUT!$C$11*12,N43,0)</f>
        <v>-100000</v>
      </c>
      <c r="U43" s="171"/>
      <c r="V43" s="179">
        <f t="array" ref="V43">NPV('Pre-Calculation'!$E$20,$E44:E$246)</f>
        <v>93457.94393</v>
      </c>
      <c r="W43" s="171">
        <f>10%*SA</f>
        <v>100000</v>
      </c>
      <c r="X43" s="179">
        <f t="array" ref="X43">NPV('Pre-Calculation'!$E$20,W44:W53)</f>
        <v>969592.8037</v>
      </c>
      <c r="Y43" s="12"/>
      <c r="Z43" s="12"/>
    </row>
    <row r="44" ht="15.75" customHeight="1">
      <c r="A44" s="171">
        <f t="shared" si="1"/>
        <v>98</v>
      </c>
      <c r="B44" s="171">
        <f t="shared" si="2"/>
        <v>9</v>
      </c>
      <c r="C44" s="176">
        <f>EDATE(RCD,A43)</f>
        <v>45503</v>
      </c>
      <c r="D44" s="171">
        <f>Age_At_Entry+Cashflows_HIST!B44-1</f>
        <v>43</v>
      </c>
      <c r="E44" s="175">
        <f>IF(AND(C44&lt;=Last_Prem,MOD(A43,Mode)=0,C44&gt;INPUT!$C$13,A44&lt;=Revival!$C$11),Mod_Prem,0)</f>
        <v>0</v>
      </c>
      <c r="F44" s="177">
        <f>E44*VLOOKUP(B44,'Pre-Calculation'!$H$1:$I$31,2,FALSE)</f>
        <v>0</v>
      </c>
      <c r="G44" s="177">
        <f>IF(B44&lt;PT+1,VLOOKUP(B44,'Pre-Calculation'!$H$1:$L$32,3,FALSE)+VLOOKUP(B44,'Pre-Calculation'!$H$1:$L$32,4,FALSE)*'Pre-Calculation'!$D$7,0)</f>
        <v>830</v>
      </c>
      <c r="H44" s="175">
        <f>(E44-(F44+G44)*(1+Tax)+N43)</f>
        <v>1422166.413</v>
      </c>
      <c r="I44" s="175">
        <f>IF(B44&lt;PT+1,VLOOKUP(D44,'Pre-Calculation'!$N$3:$P$79,IF(INPUT!$C$4="M",2,3),FALSE)*(J44/1000)*(1/12),0)</f>
        <v>0</v>
      </c>
      <c r="J44" s="175">
        <f t="shared" si="3"/>
        <v>0</v>
      </c>
      <c r="K44" s="175">
        <f>(IF('Pre-Calculation'!$D$17="Type 4 a",MAX(SA,H44,1.05*Q44),IF('Pre-Calculation'!$D$17="Type 4 c",H44,IF('Pre-Calculation'!$D$17="Type 4 d",SA+H44,IF('Pre-Calculation'!$D$17="Type 4 e",MAX(SA,H44),IF('Pre-Calculation'!$D$17="Type 4 f",SA,IF('Pre-Calculation'!$D$17="Type 4 g",1000+H44,IF('Pre-Calculation'!$D$17="Type 4 h",SA+V44,IF('Pre-Calculation'!$D$17="Type 4 i",MAX(H44,Q44),IF('Pre-Calculation'!$D$17="Type 4 k",MAX(H44,1.01*Q44),IF('Pre-Calculation'!$D$17="Type 4 m",MAX(105%*Q44,SA+H44),IF('Pre-Calculation'!$D$17="Type 4 o",MAX(SA,105%*Q44)+V44+X44,IF('Pre-Calculation'!$D$17="Type 5",0)))))))))))))*IF(AND(A44&lt;Revival!$C$4,C44&gt;Revival!$D$12),PUP,1)</f>
        <v>1422166.413</v>
      </c>
      <c r="L44" s="175">
        <f>H44-I44*(1+Tax)</f>
        <v>1422166.413</v>
      </c>
      <c r="M44" s="175">
        <f>L44*(1+GROWTH_RATE_HIST)</f>
        <v>1437705.442</v>
      </c>
      <c r="N44" s="175">
        <f>M44+IF(MOD(A44,B44)=0,VLOOKUP(B44,'Pre-Calculation'!$H$1:$L$31,5,FALSE),0)*IF('Pre-Calculation'!$D$16="% OF FV",M44,IF(OR('Pre-Calculation'!$D$16="% OF AFV(24M)",'Pre-Calculation'!$D$16="% OF AFV(8Q)"),AVERAGE( $M21:$M44),IF('Pre-Calculation'!$D$16="% OF AFV(12M)",AVERAGE($M33:M44),IF('Pre-Calculation'!$D$16="% OF AFV(36M)",AVERAGE($M9:M44)))))</f>
        <v>1437705.442</v>
      </c>
      <c r="O44" s="175">
        <f t="shared" si="4"/>
        <v>1437705.442</v>
      </c>
      <c r="P44" s="175">
        <f>IF('Pre-Calculation'!$D$17="Type 4 a",MAX(SA,N44,1.05*Q44),IF('Pre-Calculation'!$D$17="Type 4 c",N44,IF('Pre-Calculation'!$D$17="Type 4 d",SA+N44,IF('Pre-Calculation'!$D$17="Type 4 e",MAX(SA,N44),IF('Pre-Calculation'!$D$17="Type 4 f",SA,IF('Pre-Calculation'!$D$17="Type 4 g",1000+N44,IF('Pre-Calculation'!$D$17="Type 4 h",SA+V44,IF('Pre-Calculation'!$D$17="Type 4 i",MAX(N44,Q44),IF('Pre-Calculation'!$D$17="Type 4 k",MAX(N44,1.01*Q44),IF('Pre-Calculation'!$D$17="Type 4 m",MAX(105%*Q44,SA+N44),IF('Pre-Calculation'!$D$17="Type 4 o",MAX(SA,105%*Q44)+V44+X44,IF('Pre-Calculation'!$D$17="Type 5",0))))))))))))</f>
        <v>1437705.442</v>
      </c>
      <c r="Q44" s="175">
        <f t="shared" si="5"/>
        <v>900000</v>
      </c>
      <c r="R44" s="119">
        <f>L44*(1+GROWTH_RATE)*FMC</f>
        <v>1609.355589</v>
      </c>
      <c r="S44" s="112"/>
      <c r="T44" s="175">
        <f>-E44+IF(A43=INPUT!$C$11*12,N44,0)</f>
        <v>0</v>
      </c>
      <c r="U44" s="171"/>
      <c r="V44" s="179">
        <f t="array" ref="V44">NPV('Pre-Calculation'!$E$20,$E45:E$246)</f>
        <v>93986.36873</v>
      </c>
      <c r="W44" s="171">
        <f>10%*SA</f>
        <v>100000</v>
      </c>
      <c r="X44" s="179">
        <f t="array" ref="X44">NPV('Pre-Calculation'!$E$20,W45:W54)</f>
        <v>969592.8037</v>
      </c>
      <c r="Y44" s="12"/>
      <c r="Z44" s="12"/>
    </row>
    <row r="45" ht="15.75" customHeight="1">
      <c r="A45" s="171">
        <f t="shared" si="1"/>
        <v>99</v>
      </c>
      <c r="B45" s="171">
        <f t="shared" si="2"/>
        <v>9</v>
      </c>
      <c r="C45" s="176">
        <f>EDATE(RCD,A44)</f>
        <v>45534</v>
      </c>
      <c r="D45" s="171">
        <f>Age_At_Entry+Cashflows_HIST!B45-1</f>
        <v>43</v>
      </c>
      <c r="E45" s="175">
        <f>IF(AND(C45&lt;=Last_Prem,MOD(A44,Mode)=0,C45&gt;INPUT!$C$13,A45&lt;=Revival!$C$11),Mod_Prem,0)</f>
        <v>0</v>
      </c>
      <c r="F45" s="177">
        <f>E45*VLOOKUP(B45,'Pre-Calculation'!$H$1:$I$31,2,FALSE)</f>
        <v>0</v>
      </c>
      <c r="G45" s="177">
        <f>IF(B45&lt;PT+1,VLOOKUP(B45,'Pre-Calculation'!$H$1:$L$32,3,FALSE)+VLOOKUP(B45,'Pre-Calculation'!$H$1:$L$32,4,FALSE)*'Pre-Calculation'!$D$7,0)</f>
        <v>830</v>
      </c>
      <c r="H45" s="175">
        <f>(E45-(F45+G45)*(1+Tax)+N44)</f>
        <v>1436726.042</v>
      </c>
      <c r="I45" s="175">
        <f>IF(B45&lt;PT+1,VLOOKUP(D45,'Pre-Calculation'!$N$3:$P$79,IF(INPUT!$C$4="M",2,3),FALSE)*(J45/1000)*(1/12),0)</f>
        <v>0</v>
      </c>
      <c r="J45" s="175">
        <f t="shared" si="3"/>
        <v>0</v>
      </c>
      <c r="K45" s="175">
        <f>(IF('Pre-Calculation'!$D$17="Type 4 a",MAX(SA,H45,1.05*Q45),IF('Pre-Calculation'!$D$17="Type 4 c",H45,IF('Pre-Calculation'!$D$17="Type 4 d",SA+H45,IF('Pre-Calculation'!$D$17="Type 4 e",MAX(SA,H45),IF('Pre-Calculation'!$D$17="Type 4 f",SA,IF('Pre-Calculation'!$D$17="Type 4 g",1000+H45,IF('Pre-Calculation'!$D$17="Type 4 h",SA+V45,IF('Pre-Calculation'!$D$17="Type 4 i",MAX(H45,Q45),IF('Pre-Calculation'!$D$17="Type 4 k",MAX(H45,1.01*Q45),IF('Pre-Calculation'!$D$17="Type 4 m",MAX(105%*Q45,SA+H45),IF('Pre-Calculation'!$D$17="Type 4 o",MAX(SA,105%*Q45)+V45+X45,IF('Pre-Calculation'!$D$17="Type 5",0)))))))))))))*IF(AND(A45&lt;Revival!$C$4,C45&gt;Revival!$D$12),PUP,1)</f>
        <v>1436726.042</v>
      </c>
      <c r="L45" s="175">
        <f>H45-I45*(1+Tax)</f>
        <v>1436726.042</v>
      </c>
      <c r="M45" s="175">
        <f>L45*(1+GROWTH_RATE_HIST)</f>
        <v>1452424.154</v>
      </c>
      <c r="N45" s="175">
        <f>M45+IF(MOD(A45,B45)=0,VLOOKUP(B45,'Pre-Calculation'!$H$1:$L$31,5,FALSE),0)*IF('Pre-Calculation'!$D$16="% OF FV",M45,IF(OR('Pre-Calculation'!$D$16="% OF AFV(24M)",'Pre-Calculation'!$D$16="% OF AFV(8Q)"),AVERAGE( $M22:$M45),IF('Pre-Calculation'!$D$16="% OF AFV(12M)",AVERAGE($M34:M45),IF('Pre-Calculation'!$D$16="% OF AFV(36M)",AVERAGE($M10:M45)))))</f>
        <v>1452424.154</v>
      </c>
      <c r="O45" s="175">
        <f t="shared" si="4"/>
        <v>1452424.154</v>
      </c>
      <c r="P45" s="175">
        <f>IF('Pre-Calculation'!$D$17="Type 4 a",MAX(SA,N45,1.05*Q45),IF('Pre-Calculation'!$D$17="Type 4 c",N45,IF('Pre-Calculation'!$D$17="Type 4 d",SA+N45,IF('Pre-Calculation'!$D$17="Type 4 e",MAX(SA,N45),IF('Pre-Calculation'!$D$17="Type 4 f",SA,IF('Pre-Calculation'!$D$17="Type 4 g",1000+N45,IF('Pre-Calculation'!$D$17="Type 4 h",SA+V45,IF('Pre-Calculation'!$D$17="Type 4 i",MAX(N45,Q45),IF('Pre-Calculation'!$D$17="Type 4 k",MAX(N45,1.01*Q45),IF('Pre-Calculation'!$D$17="Type 4 m",MAX(105%*Q45,SA+N45),IF('Pre-Calculation'!$D$17="Type 4 o",MAX(SA,105%*Q45)+V45+X45,IF('Pre-Calculation'!$D$17="Type 5",0))))))))))))</f>
        <v>1452424.154</v>
      </c>
      <c r="Q45" s="175">
        <f t="shared" si="5"/>
        <v>900000</v>
      </c>
      <c r="R45" s="119">
        <f>L45*(1+GROWTH_RATE)*FMC</f>
        <v>1625.831594</v>
      </c>
      <c r="S45" s="112"/>
      <c r="T45" s="175">
        <f>-E45+IF(A44=INPUT!$C$11*12,N45,0)</f>
        <v>0</v>
      </c>
      <c r="U45" s="171"/>
      <c r="V45" s="179">
        <f t="array" ref="V45">NPV('Pre-Calculation'!$E$20,$E46:E$246)</f>
        <v>94517.78132</v>
      </c>
      <c r="W45" s="171">
        <f>10%*SA</f>
        <v>100000</v>
      </c>
      <c r="X45" s="179">
        <f t="array" ref="X45">NPV('Pre-Calculation'!$E$20,W46:W55)</f>
        <v>969592.8037</v>
      </c>
      <c r="Y45" s="12"/>
      <c r="Z45" s="12"/>
    </row>
    <row r="46" ht="15.75" customHeight="1">
      <c r="A46" s="171">
        <f t="shared" si="1"/>
        <v>100</v>
      </c>
      <c r="B46" s="171">
        <f t="shared" si="2"/>
        <v>9</v>
      </c>
      <c r="C46" s="176">
        <f>EDATE(RCD,A45)</f>
        <v>45565</v>
      </c>
      <c r="D46" s="171">
        <f>Age_At_Entry+Cashflows_HIST!B46-1</f>
        <v>43</v>
      </c>
      <c r="E46" s="175">
        <f>IF(AND(C46&lt;=Last_Prem,MOD(A45,Mode)=0,C46&gt;INPUT!$C$13,A46&lt;=Revival!$C$11),Mod_Prem,0)</f>
        <v>0</v>
      </c>
      <c r="F46" s="177">
        <f>E46*VLOOKUP(B46,'Pre-Calculation'!$H$1:$I$31,2,FALSE)</f>
        <v>0</v>
      </c>
      <c r="G46" s="177">
        <f>IF(B46&lt;PT+1,VLOOKUP(B46,'Pre-Calculation'!$H$1:$L$32,3,FALSE)+VLOOKUP(B46,'Pre-Calculation'!$H$1:$L$32,4,FALSE)*'Pre-Calculation'!$D$7,0)</f>
        <v>830</v>
      </c>
      <c r="H46" s="175">
        <f>(E46-(F46+G46)*(1+Tax)+N45)</f>
        <v>1451444.754</v>
      </c>
      <c r="I46" s="175">
        <f>IF(B46&lt;PT+1,VLOOKUP(D46,'Pre-Calculation'!$N$3:$P$79,IF(INPUT!$C$4="M",2,3),FALSE)*(J46/1000)*(1/12),0)</f>
        <v>0</v>
      </c>
      <c r="J46" s="175">
        <f t="shared" si="3"/>
        <v>0</v>
      </c>
      <c r="K46" s="175">
        <f>(IF('Pre-Calculation'!$D$17="Type 4 a",MAX(SA,H46,1.05*Q46),IF('Pre-Calculation'!$D$17="Type 4 c",H46,IF('Pre-Calculation'!$D$17="Type 4 d",SA+H46,IF('Pre-Calculation'!$D$17="Type 4 e",MAX(SA,H46),IF('Pre-Calculation'!$D$17="Type 4 f",SA,IF('Pre-Calculation'!$D$17="Type 4 g",1000+H46,IF('Pre-Calculation'!$D$17="Type 4 h",SA+V46,IF('Pre-Calculation'!$D$17="Type 4 i",MAX(H46,Q46),IF('Pre-Calculation'!$D$17="Type 4 k",MAX(H46,1.01*Q46),IF('Pre-Calculation'!$D$17="Type 4 m",MAX(105%*Q46,SA+H46),IF('Pre-Calculation'!$D$17="Type 4 o",MAX(SA,105%*Q46)+V46+X46,IF('Pre-Calculation'!$D$17="Type 5",0)))))))))))))*IF(AND(A46&lt;Revival!$C$4,C46&gt;Revival!$D$12),PUP,1)</f>
        <v>1451444.754</v>
      </c>
      <c r="L46" s="175">
        <f>H46-I46*(1+Tax)</f>
        <v>1451444.754</v>
      </c>
      <c r="M46" s="175">
        <f>L46*(1+GROWTH_RATE_HIST)</f>
        <v>1467303.687</v>
      </c>
      <c r="N46" s="175">
        <f>M46+IF(MOD(A46,B46)=0,VLOOKUP(B46,'Pre-Calculation'!$H$1:$L$31,5,FALSE),0)*IF('Pre-Calculation'!$D$16="% OF FV",M46,IF(OR('Pre-Calculation'!$D$16="% OF AFV(24M)",'Pre-Calculation'!$D$16="% OF AFV(8Q)"),AVERAGE( $M23:$M46),IF('Pre-Calculation'!$D$16="% OF AFV(12M)",AVERAGE($M35:M46),IF('Pre-Calculation'!$D$16="% OF AFV(36M)",AVERAGE($M11:M46)))))</f>
        <v>1467303.687</v>
      </c>
      <c r="O46" s="175">
        <f t="shared" si="4"/>
        <v>1467303.687</v>
      </c>
      <c r="P46" s="175">
        <f>IF('Pre-Calculation'!$D$17="Type 4 a",MAX(SA,N46,1.05*Q46),IF('Pre-Calculation'!$D$17="Type 4 c",N46,IF('Pre-Calculation'!$D$17="Type 4 d",SA+N46,IF('Pre-Calculation'!$D$17="Type 4 e",MAX(SA,N46),IF('Pre-Calculation'!$D$17="Type 4 f",SA,IF('Pre-Calculation'!$D$17="Type 4 g",1000+N46,IF('Pre-Calculation'!$D$17="Type 4 h",SA+V46,IF('Pre-Calculation'!$D$17="Type 4 i",MAX(N46,Q46),IF('Pre-Calculation'!$D$17="Type 4 k",MAX(N46,1.01*Q46),IF('Pre-Calculation'!$D$17="Type 4 m",MAX(105%*Q46,SA+N46),IF('Pre-Calculation'!$D$17="Type 4 o",MAX(SA,105%*Q46)+V46+X46,IF('Pre-Calculation'!$D$17="Type 5",0))))))))))))</f>
        <v>1467303.687</v>
      </c>
      <c r="Q46" s="175">
        <f t="shared" si="5"/>
        <v>900000</v>
      </c>
      <c r="R46" s="119">
        <f>L46*(1+GROWTH_RATE)*FMC</f>
        <v>1642.48762</v>
      </c>
      <c r="S46" s="112"/>
      <c r="T46" s="175">
        <f>-E46+IF(A45=INPUT!$C$11*12,N46,0)</f>
        <v>0</v>
      </c>
      <c r="U46" s="171"/>
      <c r="V46" s="179">
        <f t="array" ref="V46">NPV('Pre-Calculation'!$E$20,$E47:E$246)</f>
        <v>95052.1986</v>
      </c>
      <c r="W46" s="171">
        <f>10%*SA</f>
        <v>100000</v>
      </c>
      <c r="X46" s="179">
        <f t="array" ref="X46">NPV('Pre-Calculation'!$E$20,W47:W56)</f>
        <v>969592.8037</v>
      </c>
      <c r="Y46" s="12"/>
      <c r="Z46" s="12"/>
    </row>
    <row r="47" ht="15.75" customHeight="1">
      <c r="A47" s="171">
        <f t="shared" si="1"/>
        <v>101</v>
      </c>
      <c r="B47" s="171">
        <f t="shared" si="2"/>
        <v>9</v>
      </c>
      <c r="C47" s="176">
        <f>EDATE(RCD,A46)</f>
        <v>45595</v>
      </c>
      <c r="D47" s="171">
        <f>Age_At_Entry+Cashflows_HIST!B47-1</f>
        <v>43</v>
      </c>
      <c r="E47" s="175">
        <f>IF(AND(C47&lt;=Last_Prem,MOD(A46,Mode)=0,C47&gt;INPUT!$C$13,A47&lt;=Revival!$C$11),Mod_Prem,0)</f>
        <v>0</v>
      </c>
      <c r="F47" s="177">
        <f>E47*VLOOKUP(B47,'Pre-Calculation'!$H$1:$I$31,2,FALSE)</f>
        <v>0</v>
      </c>
      <c r="G47" s="177">
        <f>IF(B47&lt;PT+1,VLOOKUP(B47,'Pre-Calculation'!$H$1:$L$32,3,FALSE)+VLOOKUP(B47,'Pre-Calculation'!$H$1:$L$32,4,FALSE)*'Pre-Calculation'!$D$7,0)</f>
        <v>830</v>
      </c>
      <c r="H47" s="175">
        <f>(E47-(F47+G47)*(1+Tax)+N46)</f>
        <v>1466324.287</v>
      </c>
      <c r="I47" s="175">
        <f>IF(B47&lt;PT+1,VLOOKUP(D47,'Pre-Calculation'!$N$3:$P$79,IF(INPUT!$C$4="M",2,3),FALSE)*(J47/1000)*(1/12),0)</f>
        <v>0</v>
      </c>
      <c r="J47" s="175">
        <f t="shared" si="3"/>
        <v>0</v>
      </c>
      <c r="K47" s="175">
        <f>(IF('Pre-Calculation'!$D$17="Type 4 a",MAX(SA,H47,1.05*Q47),IF('Pre-Calculation'!$D$17="Type 4 c",H47,IF('Pre-Calculation'!$D$17="Type 4 d",SA+H47,IF('Pre-Calculation'!$D$17="Type 4 e",MAX(SA,H47),IF('Pre-Calculation'!$D$17="Type 4 f",SA,IF('Pre-Calculation'!$D$17="Type 4 g",1000+H47,IF('Pre-Calculation'!$D$17="Type 4 h",SA+V47,IF('Pre-Calculation'!$D$17="Type 4 i",MAX(H47,Q47),IF('Pre-Calculation'!$D$17="Type 4 k",MAX(H47,1.01*Q47),IF('Pre-Calculation'!$D$17="Type 4 m",MAX(105%*Q47,SA+H47),IF('Pre-Calculation'!$D$17="Type 4 o",MAX(SA,105%*Q47)+V47+X47,IF('Pre-Calculation'!$D$17="Type 5",0)))))))))))))*IF(AND(A47&lt;Revival!$C$4,C47&gt;Revival!$D$12),PUP,1)</f>
        <v>1466324.287</v>
      </c>
      <c r="L47" s="175">
        <f>H47-I47*(1+Tax)</f>
        <v>1466324.287</v>
      </c>
      <c r="M47" s="175">
        <f>L47*(1+GROWTH_RATE_HIST)</f>
        <v>1482345.798</v>
      </c>
      <c r="N47" s="175">
        <f>M47+IF(MOD(A47,B47)=0,VLOOKUP(B47,'Pre-Calculation'!$H$1:$L$31,5,FALSE),0)*IF('Pre-Calculation'!$D$16="% OF FV",M47,IF(OR('Pre-Calculation'!$D$16="% OF AFV(24M)",'Pre-Calculation'!$D$16="% OF AFV(8Q)"),AVERAGE( $M24:$M47),IF('Pre-Calculation'!$D$16="% OF AFV(12M)",AVERAGE($M36:M47),IF('Pre-Calculation'!$D$16="% OF AFV(36M)",AVERAGE($M12:M47)))))</f>
        <v>1482345.798</v>
      </c>
      <c r="O47" s="175">
        <f t="shared" si="4"/>
        <v>1482345.798</v>
      </c>
      <c r="P47" s="175">
        <f>IF('Pre-Calculation'!$D$17="Type 4 a",MAX(SA,N47,1.05*Q47),IF('Pre-Calculation'!$D$17="Type 4 c",N47,IF('Pre-Calculation'!$D$17="Type 4 d",SA+N47,IF('Pre-Calculation'!$D$17="Type 4 e",MAX(SA,N47),IF('Pre-Calculation'!$D$17="Type 4 f",SA,IF('Pre-Calculation'!$D$17="Type 4 g",1000+N47,IF('Pre-Calculation'!$D$17="Type 4 h",SA+V47,IF('Pre-Calculation'!$D$17="Type 4 i",MAX(N47,Q47),IF('Pre-Calculation'!$D$17="Type 4 k",MAX(N47,1.01*Q47),IF('Pre-Calculation'!$D$17="Type 4 m",MAX(105%*Q47,SA+N47),IF('Pre-Calculation'!$D$17="Type 4 o",MAX(SA,105%*Q47)+V47+X47,IF('Pre-Calculation'!$D$17="Type 5",0))))))))))))</f>
        <v>1482345.798</v>
      </c>
      <c r="Q47" s="175">
        <f t="shared" si="5"/>
        <v>900000</v>
      </c>
      <c r="R47" s="119">
        <f>L47*(1+GROWTH_RATE)*FMC</f>
        <v>1659.325635</v>
      </c>
      <c r="S47" s="112"/>
      <c r="T47" s="175">
        <f>-E47+IF(A46=INPUT!$C$11*12,N47,0)</f>
        <v>0</v>
      </c>
      <c r="U47" s="171"/>
      <c r="V47" s="179">
        <f t="array" ref="V47">NPV('Pre-Calculation'!$E$20,$E48:E$246)</f>
        <v>95589.63755</v>
      </c>
      <c r="W47" s="171">
        <f>10%*SA</f>
        <v>100000</v>
      </c>
      <c r="X47" s="179">
        <f t="array" ref="X47">NPV('Pre-Calculation'!$E$20,W48:W57)</f>
        <v>969592.8037</v>
      </c>
      <c r="Y47" s="12"/>
      <c r="Z47" s="12"/>
    </row>
    <row r="48" ht="15.75" customHeight="1">
      <c r="A48" s="171">
        <f t="shared" si="1"/>
        <v>102</v>
      </c>
      <c r="B48" s="171">
        <f t="shared" si="2"/>
        <v>9</v>
      </c>
      <c r="C48" s="176">
        <f>EDATE(RCD,A47)</f>
        <v>45626</v>
      </c>
      <c r="D48" s="171">
        <f>Age_At_Entry+Cashflows_HIST!B48-1</f>
        <v>43</v>
      </c>
      <c r="E48" s="175">
        <f>IF(AND(C48&lt;=Last_Prem,MOD(A47,Mode)=0,C48&gt;INPUT!$C$13,A48&lt;=Revival!$C$11),Mod_Prem,0)</f>
        <v>0</v>
      </c>
      <c r="F48" s="177">
        <f>E48*VLOOKUP(B48,'Pre-Calculation'!$H$1:$I$31,2,FALSE)</f>
        <v>0</v>
      </c>
      <c r="G48" s="177">
        <f>IF(B48&lt;PT+1,VLOOKUP(B48,'Pre-Calculation'!$H$1:$L$32,3,FALSE)+VLOOKUP(B48,'Pre-Calculation'!$H$1:$L$32,4,FALSE)*'Pre-Calculation'!$D$7,0)</f>
        <v>830</v>
      </c>
      <c r="H48" s="175">
        <f>(E48-(F48+G48)*(1+Tax)+N47)</f>
        <v>1481366.398</v>
      </c>
      <c r="I48" s="175">
        <f>IF(B48&lt;PT+1,VLOOKUP(D48,'Pre-Calculation'!$N$3:$P$79,IF(INPUT!$C$4="M",2,3),FALSE)*(J48/1000)*(1/12),0)</f>
        <v>0</v>
      </c>
      <c r="J48" s="175">
        <f t="shared" si="3"/>
        <v>0</v>
      </c>
      <c r="K48" s="175">
        <f>(IF('Pre-Calculation'!$D$17="Type 4 a",MAX(SA,H48,1.05*Q48),IF('Pre-Calculation'!$D$17="Type 4 c",H48,IF('Pre-Calculation'!$D$17="Type 4 d",SA+H48,IF('Pre-Calculation'!$D$17="Type 4 e",MAX(SA,H48),IF('Pre-Calculation'!$D$17="Type 4 f",SA,IF('Pre-Calculation'!$D$17="Type 4 g",1000+H48,IF('Pre-Calculation'!$D$17="Type 4 h",SA+V48,IF('Pre-Calculation'!$D$17="Type 4 i",MAX(H48,Q48),IF('Pre-Calculation'!$D$17="Type 4 k",MAX(H48,1.01*Q48),IF('Pre-Calculation'!$D$17="Type 4 m",MAX(105%*Q48,SA+H48),IF('Pre-Calculation'!$D$17="Type 4 o",MAX(SA,105%*Q48)+V48+X48,IF('Pre-Calculation'!$D$17="Type 5",0)))))))))))))*IF(AND(A48&lt;Revival!$C$4,C48&gt;Revival!$D$12),PUP,1)</f>
        <v>1481366.398</v>
      </c>
      <c r="L48" s="175">
        <f>H48-I48*(1+Tax)</f>
        <v>1481366.398</v>
      </c>
      <c r="M48" s="175">
        <f>L48*(1+GROWTH_RATE_HIST)</f>
        <v>1497552.264</v>
      </c>
      <c r="N48" s="175">
        <f>M48+IF(MOD(A48,B48)=0,VLOOKUP(B48,'Pre-Calculation'!$H$1:$L$31,5,FALSE),0)*IF('Pre-Calculation'!$D$16="% OF FV",M48,IF(OR('Pre-Calculation'!$D$16="% OF AFV(24M)",'Pre-Calculation'!$D$16="% OF AFV(8Q)"),AVERAGE( $M25:$M48),IF('Pre-Calculation'!$D$16="% OF AFV(12M)",AVERAGE($M37:M48),IF('Pre-Calculation'!$D$16="% OF AFV(36M)",AVERAGE($M13:M48)))))</f>
        <v>1497552.264</v>
      </c>
      <c r="O48" s="175">
        <f t="shared" si="4"/>
        <v>1497552.264</v>
      </c>
      <c r="P48" s="175">
        <f>IF('Pre-Calculation'!$D$17="Type 4 a",MAX(SA,N48,1.05*Q48),IF('Pre-Calculation'!$D$17="Type 4 c",N48,IF('Pre-Calculation'!$D$17="Type 4 d",SA+N48,IF('Pre-Calculation'!$D$17="Type 4 e",MAX(SA,N48),IF('Pre-Calculation'!$D$17="Type 4 f",SA,IF('Pre-Calculation'!$D$17="Type 4 g",1000+N48,IF('Pre-Calculation'!$D$17="Type 4 h",SA+V48,IF('Pre-Calculation'!$D$17="Type 4 i",MAX(N48,Q48),IF('Pre-Calculation'!$D$17="Type 4 k",MAX(N48,1.01*Q48),IF('Pre-Calculation'!$D$17="Type 4 m",MAX(105%*Q48,SA+N48),IF('Pre-Calculation'!$D$17="Type 4 o",MAX(SA,105%*Q48)+V48+X48,IF('Pre-Calculation'!$D$17="Type 5",0))))))))))))</f>
        <v>1497552.264</v>
      </c>
      <c r="Q48" s="175">
        <f t="shared" si="5"/>
        <v>900000</v>
      </c>
      <c r="R48" s="119">
        <f>L48*(1+GROWTH_RATE)*FMC</f>
        <v>1676.347627</v>
      </c>
      <c r="S48" s="112"/>
      <c r="T48" s="175">
        <f>-E48+IF(A47=INPUT!$C$11*12,N48,0)</f>
        <v>0</v>
      </c>
      <c r="U48" s="171"/>
      <c r="V48" s="179">
        <f t="array" ref="V48">NPV('Pre-Calculation'!$E$20,$E49:E$246)</f>
        <v>96130.11526</v>
      </c>
      <c r="W48" s="171">
        <f>10%*SA</f>
        <v>100000</v>
      </c>
      <c r="X48" s="179">
        <f t="array" ref="X48">NPV('Pre-Calculation'!$E$20,W49:W58)</f>
        <v>969592.8037</v>
      </c>
      <c r="Y48" s="12"/>
      <c r="Z48" s="12"/>
    </row>
    <row r="49" ht="15.75" customHeight="1">
      <c r="A49" s="171">
        <f t="shared" si="1"/>
        <v>103</v>
      </c>
      <c r="B49" s="171">
        <f t="shared" si="2"/>
        <v>9</v>
      </c>
      <c r="C49" s="176">
        <f>EDATE(RCD,A48)</f>
        <v>45656</v>
      </c>
      <c r="D49" s="171">
        <f>Age_At_Entry+Cashflows_HIST!B49-1</f>
        <v>43</v>
      </c>
      <c r="E49" s="175">
        <f>IF(AND(C49&lt;=Last_Prem,MOD(A48,Mode)=0,C49&gt;INPUT!$C$13,A49&lt;=Revival!$C$11),Mod_Prem,0)</f>
        <v>0</v>
      </c>
      <c r="F49" s="177">
        <f>E49*VLOOKUP(B49,'Pre-Calculation'!$H$1:$I$31,2,FALSE)</f>
        <v>0</v>
      </c>
      <c r="G49" s="177">
        <f>IF(B49&lt;PT+1,VLOOKUP(B49,'Pre-Calculation'!$H$1:$L$32,3,FALSE)+VLOOKUP(B49,'Pre-Calculation'!$H$1:$L$32,4,FALSE)*'Pre-Calculation'!$D$7,0)</f>
        <v>830</v>
      </c>
      <c r="H49" s="175">
        <f>(E49-(F49+G49)*(1+Tax)+N48)</f>
        <v>1496572.864</v>
      </c>
      <c r="I49" s="175">
        <f>IF(B49&lt;PT+1,VLOOKUP(D49,'Pre-Calculation'!$N$3:$P$79,IF(INPUT!$C$4="M",2,3),FALSE)*(J49/1000)*(1/12),0)</f>
        <v>0</v>
      </c>
      <c r="J49" s="175">
        <f t="shared" si="3"/>
        <v>0</v>
      </c>
      <c r="K49" s="175">
        <f>(IF('Pre-Calculation'!$D$17="Type 4 a",MAX(SA,H49,1.05*Q49),IF('Pre-Calculation'!$D$17="Type 4 c",H49,IF('Pre-Calculation'!$D$17="Type 4 d",SA+H49,IF('Pre-Calculation'!$D$17="Type 4 e",MAX(SA,H49),IF('Pre-Calculation'!$D$17="Type 4 f",SA,IF('Pre-Calculation'!$D$17="Type 4 g",1000+H49,IF('Pre-Calculation'!$D$17="Type 4 h",SA+V49,IF('Pre-Calculation'!$D$17="Type 4 i",MAX(H49,Q49),IF('Pre-Calculation'!$D$17="Type 4 k",MAX(H49,1.01*Q49),IF('Pre-Calculation'!$D$17="Type 4 m",MAX(105%*Q49,SA+H49),IF('Pre-Calculation'!$D$17="Type 4 o",MAX(SA,105%*Q49)+V49+X49,IF('Pre-Calculation'!$D$17="Type 5",0)))))))))))))*IF(AND(A49&lt;Revival!$C$4,C49&gt;Revival!$D$12),PUP,1)</f>
        <v>1496572.864</v>
      </c>
      <c r="L49" s="175">
        <f>H49-I49*(1+Tax)</f>
        <v>1496572.864</v>
      </c>
      <c r="M49" s="175">
        <f>L49*(1+GROWTH_RATE_HIST)</f>
        <v>1512924.881</v>
      </c>
      <c r="N49" s="175">
        <f>M49+IF(MOD(A49,B49)=0,VLOOKUP(B49,'Pre-Calculation'!$H$1:$L$31,5,FALSE),0)*IF('Pre-Calculation'!$D$16="% OF FV",M49,IF(OR('Pre-Calculation'!$D$16="% OF AFV(24M)",'Pre-Calculation'!$D$16="% OF AFV(8Q)"),AVERAGE( $M26:$M49),IF('Pre-Calculation'!$D$16="% OF AFV(12M)",AVERAGE($M38:M49),IF('Pre-Calculation'!$D$16="% OF AFV(36M)",AVERAGE($M14:M49)))))</f>
        <v>1512924.881</v>
      </c>
      <c r="O49" s="175">
        <f t="shared" si="4"/>
        <v>1512924.881</v>
      </c>
      <c r="P49" s="175">
        <f>IF('Pre-Calculation'!$D$17="Type 4 a",MAX(SA,N49,1.05*Q49),IF('Pre-Calculation'!$D$17="Type 4 c",N49,IF('Pre-Calculation'!$D$17="Type 4 d",SA+N49,IF('Pre-Calculation'!$D$17="Type 4 e",MAX(SA,N49),IF('Pre-Calculation'!$D$17="Type 4 f",SA,IF('Pre-Calculation'!$D$17="Type 4 g",1000+N49,IF('Pre-Calculation'!$D$17="Type 4 h",SA+V49,IF('Pre-Calculation'!$D$17="Type 4 i",MAX(N49,Q49),IF('Pre-Calculation'!$D$17="Type 4 k",MAX(N49,1.01*Q49),IF('Pre-Calculation'!$D$17="Type 4 m",MAX(105%*Q49,SA+N49),IF('Pre-Calculation'!$D$17="Type 4 o",MAX(SA,105%*Q49)+V49+X49,IF('Pre-Calculation'!$D$17="Type 5",0))))))))))))</f>
        <v>1512924.881</v>
      </c>
      <c r="Q49" s="175">
        <f t="shared" si="5"/>
        <v>900000</v>
      </c>
      <c r="R49" s="119">
        <f>L49*(1+GROWTH_RATE)*FMC</f>
        <v>1693.555607</v>
      </c>
      <c r="S49" s="112"/>
      <c r="T49" s="175">
        <f>-E49+IF(A48=INPUT!$C$11*12,N49,0)</f>
        <v>0</v>
      </c>
      <c r="U49" s="171"/>
      <c r="V49" s="179">
        <f t="array" ref="V49">NPV('Pre-Calculation'!$E$20,$E50:E$246)</f>
        <v>96673.6489</v>
      </c>
      <c r="W49" s="171">
        <f>10%*SA</f>
        <v>100000</v>
      </c>
      <c r="X49" s="179">
        <f t="array" ref="X49">NPV('Pre-Calculation'!$E$20,W50:W59)</f>
        <v>969592.8037</v>
      </c>
      <c r="Y49" s="12"/>
      <c r="Z49" s="12"/>
    </row>
    <row r="50" ht="15.75" customHeight="1">
      <c r="A50" s="171">
        <f t="shared" si="1"/>
        <v>104</v>
      </c>
      <c r="B50" s="171">
        <f t="shared" si="2"/>
        <v>9</v>
      </c>
      <c r="C50" s="176">
        <f>EDATE(RCD,A49)</f>
        <v>45687</v>
      </c>
      <c r="D50" s="171">
        <f>Age_At_Entry+Cashflows_HIST!B50-1</f>
        <v>43</v>
      </c>
      <c r="E50" s="175">
        <f>IF(AND(C50&lt;=Last_Prem,MOD(A49,Mode)=0,C50&gt;INPUT!$C$13,A50&lt;=Revival!$C$11),Mod_Prem,0)</f>
        <v>0</v>
      </c>
      <c r="F50" s="177">
        <f>E50*VLOOKUP(B50,'Pre-Calculation'!$H$1:$I$31,2,FALSE)</f>
        <v>0</v>
      </c>
      <c r="G50" s="177">
        <f>IF(B50&lt;PT+1,VLOOKUP(B50,'Pre-Calculation'!$H$1:$L$32,3,FALSE)+VLOOKUP(B50,'Pre-Calculation'!$H$1:$L$32,4,FALSE)*'Pre-Calculation'!$D$7,0)</f>
        <v>830</v>
      </c>
      <c r="H50" s="175">
        <f>(E50-(F50+G50)*(1+Tax)+N49)</f>
        <v>1511945.481</v>
      </c>
      <c r="I50" s="175">
        <f>IF(B50&lt;PT+1,VLOOKUP(D50,'Pre-Calculation'!$N$3:$P$79,IF(INPUT!$C$4="M",2,3),FALSE)*(J50/1000)*(1/12),0)</f>
        <v>0</v>
      </c>
      <c r="J50" s="175">
        <f t="shared" si="3"/>
        <v>0</v>
      </c>
      <c r="K50" s="175">
        <f>(IF('Pre-Calculation'!$D$17="Type 4 a",MAX(SA,H50,1.05*Q50),IF('Pre-Calculation'!$D$17="Type 4 c",H50,IF('Pre-Calculation'!$D$17="Type 4 d",SA+H50,IF('Pre-Calculation'!$D$17="Type 4 e",MAX(SA,H50),IF('Pre-Calculation'!$D$17="Type 4 f",SA,IF('Pre-Calculation'!$D$17="Type 4 g",1000+H50,IF('Pre-Calculation'!$D$17="Type 4 h",SA+V50,IF('Pre-Calculation'!$D$17="Type 4 i",MAX(H50,Q50),IF('Pre-Calculation'!$D$17="Type 4 k",MAX(H50,1.01*Q50),IF('Pre-Calculation'!$D$17="Type 4 m",MAX(105%*Q50,SA+H50),IF('Pre-Calculation'!$D$17="Type 4 o",MAX(SA,105%*Q50)+V50+X50,IF('Pre-Calculation'!$D$17="Type 5",0)))))))))))))*IF(AND(A50&lt;Revival!$C$4,C50&gt;Revival!$D$12),PUP,1)</f>
        <v>1511945.481</v>
      </c>
      <c r="L50" s="175">
        <f>H50-I50*(1+Tax)</f>
        <v>1511945.481</v>
      </c>
      <c r="M50" s="175">
        <f>L50*(1+GROWTH_RATE_HIST)</f>
        <v>1528465.463</v>
      </c>
      <c r="N50" s="175">
        <f>M50+IF(MOD(A50,B50)=0,VLOOKUP(B50,'Pre-Calculation'!$H$1:$L$31,5,FALSE),0)*IF('Pre-Calculation'!$D$16="% OF FV",M50,IF(OR('Pre-Calculation'!$D$16="% OF AFV(24M)",'Pre-Calculation'!$D$16="% OF AFV(8Q)"),AVERAGE( $M27:$M50),IF('Pre-Calculation'!$D$16="% OF AFV(12M)",AVERAGE($M39:M50),IF('Pre-Calculation'!$D$16="% OF AFV(36M)",AVERAGE($M15:M50)))))</f>
        <v>1528465.463</v>
      </c>
      <c r="O50" s="175">
        <f t="shared" si="4"/>
        <v>1528465.463</v>
      </c>
      <c r="P50" s="175">
        <f>IF('Pre-Calculation'!$D$17="Type 4 a",MAX(SA,N50,1.05*Q50),IF('Pre-Calculation'!$D$17="Type 4 c",N50,IF('Pre-Calculation'!$D$17="Type 4 d",SA+N50,IF('Pre-Calculation'!$D$17="Type 4 e",MAX(SA,N50),IF('Pre-Calculation'!$D$17="Type 4 f",SA,IF('Pre-Calculation'!$D$17="Type 4 g",1000+N50,IF('Pre-Calculation'!$D$17="Type 4 h",SA+V50,IF('Pre-Calculation'!$D$17="Type 4 i",MAX(N50,Q50),IF('Pre-Calculation'!$D$17="Type 4 k",MAX(N50,1.01*Q50),IF('Pre-Calculation'!$D$17="Type 4 m",MAX(105%*Q50,SA+N50),IF('Pre-Calculation'!$D$17="Type 4 o",MAX(SA,105%*Q50)+V50+X50,IF('Pre-Calculation'!$D$17="Type 5",0))))))))))))</f>
        <v>1528465.463</v>
      </c>
      <c r="Q50" s="175">
        <f t="shared" si="5"/>
        <v>900000</v>
      </c>
      <c r="R50" s="119">
        <f>L50*(1+GROWTH_RATE)*FMC</f>
        <v>1710.951607</v>
      </c>
      <c r="S50" s="112"/>
      <c r="T50" s="175">
        <f>-E50+IF(A49=INPUT!$C$11*12,N50,0)</f>
        <v>0</v>
      </c>
      <c r="U50" s="171"/>
      <c r="V50" s="179">
        <f t="array" ref="V50">NPV('Pre-Calculation'!$E$20,$E51:E$246)</f>
        <v>97220.25577</v>
      </c>
      <c r="W50" s="171">
        <f>10%*SA</f>
        <v>100000</v>
      </c>
      <c r="X50" s="179">
        <f t="array" ref="X50">NPV('Pre-Calculation'!$E$20,W51:W60)</f>
        <v>969592.8037</v>
      </c>
      <c r="Y50" s="12"/>
      <c r="Z50" s="12"/>
    </row>
    <row r="51" ht="15.75" customHeight="1">
      <c r="A51" s="171">
        <f t="shared" si="1"/>
        <v>105</v>
      </c>
      <c r="B51" s="171">
        <f t="shared" si="2"/>
        <v>9</v>
      </c>
      <c r="C51" s="176">
        <f>EDATE(RCD,A50)</f>
        <v>45716</v>
      </c>
      <c r="D51" s="171">
        <f>Age_At_Entry+Cashflows_HIST!B51-1</f>
        <v>43</v>
      </c>
      <c r="E51" s="175">
        <f>IF(AND(C51&lt;=Last_Prem,MOD(A50,Mode)=0,C51&gt;INPUT!$C$13,A51&lt;=Revival!$C$11),Mod_Prem,0)</f>
        <v>0</v>
      </c>
      <c r="F51" s="177">
        <f>E51*VLOOKUP(B51,'Pre-Calculation'!$H$1:$I$31,2,FALSE)</f>
        <v>0</v>
      </c>
      <c r="G51" s="177">
        <f>IF(B51&lt;PT+1,VLOOKUP(B51,'Pre-Calculation'!$H$1:$L$32,3,FALSE)+VLOOKUP(B51,'Pre-Calculation'!$H$1:$L$32,4,FALSE)*'Pre-Calculation'!$D$7,0)</f>
        <v>830</v>
      </c>
      <c r="H51" s="175">
        <f>(E51-(F51+G51)*(1+Tax)+N50)</f>
        <v>1527486.063</v>
      </c>
      <c r="I51" s="175">
        <f>IF(B51&lt;PT+1,VLOOKUP(D51,'Pre-Calculation'!$N$3:$P$79,IF(INPUT!$C$4="M",2,3),FALSE)*(J51/1000)*(1/12),0)</f>
        <v>0</v>
      </c>
      <c r="J51" s="175">
        <f t="shared" si="3"/>
        <v>0</v>
      </c>
      <c r="K51" s="175">
        <f>(IF('Pre-Calculation'!$D$17="Type 4 a",MAX(SA,H51,1.05*Q51),IF('Pre-Calculation'!$D$17="Type 4 c",H51,IF('Pre-Calculation'!$D$17="Type 4 d",SA+H51,IF('Pre-Calculation'!$D$17="Type 4 e",MAX(SA,H51),IF('Pre-Calculation'!$D$17="Type 4 f",SA,IF('Pre-Calculation'!$D$17="Type 4 g",1000+H51,IF('Pre-Calculation'!$D$17="Type 4 h",SA+V51,IF('Pre-Calculation'!$D$17="Type 4 i",MAX(H51,Q51),IF('Pre-Calculation'!$D$17="Type 4 k",MAX(H51,1.01*Q51),IF('Pre-Calculation'!$D$17="Type 4 m",MAX(105%*Q51,SA+H51),IF('Pre-Calculation'!$D$17="Type 4 o",MAX(SA,105%*Q51)+V51+X51,IF('Pre-Calculation'!$D$17="Type 5",0)))))))))))))*IF(AND(A51&lt;Revival!$C$4,C51&gt;Revival!$D$12),PUP,1)</f>
        <v>1527486.063</v>
      </c>
      <c r="L51" s="175">
        <f>H51-I51*(1+Tax)</f>
        <v>1527486.063</v>
      </c>
      <c r="M51" s="175">
        <f>L51*(1+GROWTH_RATE_HIST)</f>
        <v>1544175.847</v>
      </c>
      <c r="N51" s="175">
        <f>M51+IF(MOD(A51,B51)=0,VLOOKUP(B51,'Pre-Calculation'!$H$1:$L$31,5,FALSE),0)*IF('Pre-Calculation'!$D$16="% OF FV",M51,IF(OR('Pre-Calculation'!$D$16="% OF AFV(24M)",'Pre-Calculation'!$D$16="% OF AFV(8Q)"),AVERAGE( $M28:$M51),IF('Pre-Calculation'!$D$16="% OF AFV(12M)",AVERAGE($M40:M51),IF('Pre-Calculation'!$D$16="% OF AFV(36M)",AVERAGE($M16:M51)))))</f>
        <v>1544175.847</v>
      </c>
      <c r="O51" s="175">
        <f t="shared" si="4"/>
        <v>1544175.847</v>
      </c>
      <c r="P51" s="175">
        <f>IF('Pre-Calculation'!$D$17="Type 4 a",MAX(SA,N51,1.05*Q51),IF('Pre-Calculation'!$D$17="Type 4 c",N51,IF('Pre-Calculation'!$D$17="Type 4 d",SA+N51,IF('Pre-Calculation'!$D$17="Type 4 e",MAX(SA,N51),IF('Pre-Calculation'!$D$17="Type 4 f",SA,IF('Pre-Calculation'!$D$17="Type 4 g",1000+N51,IF('Pre-Calculation'!$D$17="Type 4 h",SA+V51,IF('Pre-Calculation'!$D$17="Type 4 i",MAX(N51,Q51),IF('Pre-Calculation'!$D$17="Type 4 k",MAX(N51,1.01*Q51),IF('Pre-Calculation'!$D$17="Type 4 m",MAX(105%*Q51,SA+N51),IF('Pre-Calculation'!$D$17="Type 4 o",MAX(SA,105%*Q51)+V51+X51,IF('Pre-Calculation'!$D$17="Type 5",0))))))))))))</f>
        <v>1544175.847</v>
      </c>
      <c r="Q51" s="175">
        <f t="shared" si="5"/>
        <v>900000</v>
      </c>
      <c r="R51" s="119">
        <f>L51*(1+GROWTH_RATE)*FMC</f>
        <v>1728.537681</v>
      </c>
      <c r="S51" s="112"/>
      <c r="T51" s="175">
        <f>-E51+IF(A50=INPUT!$C$11*12,N51,0)</f>
        <v>0</v>
      </c>
      <c r="U51" s="171"/>
      <c r="V51" s="179">
        <f t="array" ref="V51">NPV('Pre-Calculation'!$E$20,$E52:E$246)</f>
        <v>97769.95323</v>
      </c>
      <c r="W51" s="171">
        <f>10%*SA</f>
        <v>100000</v>
      </c>
      <c r="X51" s="179">
        <f t="array" ref="X51">NPV('Pre-Calculation'!$E$20,W52:W61)</f>
        <v>969592.8037</v>
      </c>
      <c r="Y51" s="12"/>
      <c r="Z51" s="12"/>
    </row>
    <row r="52" ht="15.75" customHeight="1">
      <c r="A52" s="171">
        <f t="shared" si="1"/>
        <v>106</v>
      </c>
      <c r="B52" s="171">
        <f t="shared" si="2"/>
        <v>9</v>
      </c>
      <c r="C52" s="176">
        <f>EDATE(RCD,A51)</f>
        <v>45746</v>
      </c>
      <c r="D52" s="171">
        <f>Age_At_Entry+Cashflows_HIST!B52-1</f>
        <v>43</v>
      </c>
      <c r="E52" s="175">
        <f>IF(AND(C52&lt;=Last_Prem,MOD(A51,Mode)=0,C52&gt;INPUT!$C$13,A52&lt;=Revival!$C$11),Mod_Prem,0)</f>
        <v>0</v>
      </c>
      <c r="F52" s="177">
        <f>E52*VLOOKUP(B52,'Pre-Calculation'!$H$1:$I$31,2,FALSE)</f>
        <v>0</v>
      </c>
      <c r="G52" s="177">
        <f>IF(B52&lt;PT+1,VLOOKUP(B52,'Pre-Calculation'!$H$1:$L$32,3,FALSE)+VLOOKUP(B52,'Pre-Calculation'!$H$1:$L$32,4,FALSE)*'Pre-Calculation'!$D$7,0)</f>
        <v>830</v>
      </c>
      <c r="H52" s="175">
        <f>(E52-(F52+G52)*(1+Tax)+N51)</f>
        <v>1543196.447</v>
      </c>
      <c r="I52" s="175">
        <f>IF(B52&lt;PT+1,VLOOKUP(D52,'Pre-Calculation'!$N$3:$P$79,IF(INPUT!$C$4="M",2,3),FALSE)*(J52/1000)*(1/12),0)</f>
        <v>0</v>
      </c>
      <c r="J52" s="175">
        <f t="shared" si="3"/>
        <v>0</v>
      </c>
      <c r="K52" s="175">
        <f>(IF('Pre-Calculation'!$D$17="Type 4 a",MAX(SA,H52,1.05*Q52),IF('Pre-Calculation'!$D$17="Type 4 c",H52,IF('Pre-Calculation'!$D$17="Type 4 d",SA+H52,IF('Pre-Calculation'!$D$17="Type 4 e",MAX(SA,H52),IF('Pre-Calculation'!$D$17="Type 4 f",SA,IF('Pre-Calculation'!$D$17="Type 4 g",1000+H52,IF('Pre-Calculation'!$D$17="Type 4 h",SA+V52,IF('Pre-Calculation'!$D$17="Type 4 i",MAX(H52,Q52),IF('Pre-Calculation'!$D$17="Type 4 k",MAX(H52,1.01*Q52),IF('Pre-Calculation'!$D$17="Type 4 m",MAX(105%*Q52,SA+H52),IF('Pre-Calculation'!$D$17="Type 4 o",MAX(SA,105%*Q52)+V52+X52,IF('Pre-Calculation'!$D$17="Type 5",0)))))))))))))*IF(AND(A52&lt;Revival!$C$4,C52&gt;Revival!$D$12),PUP,1)</f>
        <v>1543196.447</v>
      </c>
      <c r="L52" s="175">
        <f>H52-I52*(1+Tax)</f>
        <v>1543196.447</v>
      </c>
      <c r="M52" s="175">
        <f>L52*(1+GROWTH_RATE_HIST)</f>
        <v>1560057.887</v>
      </c>
      <c r="N52" s="175">
        <f>M52+IF(MOD(A52,B52)=0,VLOOKUP(B52,'Pre-Calculation'!$H$1:$L$31,5,FALSE),0)*IF('Pre-Calculation'!$D$16="% OF FV",M52,IF(OR('Pre-Calculation'!$D$16="% OF AFV(24M)",'Pre-Calculation'!$D$16="% OF AFV(8Q)"),AVERAGE( $M29:$M52),IF('Pre-Calculation'!$D$16="% OF AFV(12M)",AVERAGE($M41:M52),IF('Pre-Calculation'!$D$16="% OF AFV(36M)",AVERAGE($M17:M52)))))</f>
        <v>1560057.887</v>
      </c>
      <c r="O52" s="175">
        <f t="shared" si="4"/>
        <v>1560057.887</v>
      </c>
      <c r="P52" s="175">
        <f>IF('Pre-Calculation'!$D$17="Type 4 a",MAX(SA,N52,1.05*Q52),IF('Pre-Calculation'!$D$17="Type 4 c",N52,IF('Pre-Calculation'!$D$17="Type 4 d",SA+N52,IF('Pre-Calculation'!$D$17="Type 4 e",MAX(SA,N52),IF('Pre-Calculation'!$D$17="Type 4 f",SA,IF('Pre-Calculation'!$D$17="Type 4 g",1000+N52,IF('Pre-Calculation'!$D$17="Type 4 h",SA+V52,IF('Pre-Calculation'!$D$17="Type 4 i",MAX(N52,Q52),IF('Pre-Calculation'!$D$17="Type 4 k",MAX(N52,1.01*Q52),IF('Pre-Calculation'!$D$17="Type 4 m",MAX(105%*Q52,SA+N52),IF('Pre-Calculation'!$D$17="Type 4 o",MAX(SA,105%*Q52)+V52+X52,IF('Pre-Calculation'!$D$17="Type 5",0))))))))))))</f>
        <v>1560057.887</v>
      </c>
      <c r="Q52" s="175">
        <f t="shared" si="5"/>
        <v>900000</v>
      </c>
      <c r="R52" s="119">
        <f>L52*(1+GROWTH_RATE)*FMC</f>
        <v>1746.315905</v>
      </c>
      <c r="S52" s="112"/>
      <c r="T52" s="175">
        <f>-E52+IF(A51=INPUT!$C$11*12,N52,0)</f>
        <v>0</v>
      </c>
      <c r="U52" s="171"/>
      <c r="V52" s="179">
        <f t="array" ref="V52">NPV('Pre-Calculation'!$E$20,$E53:E$246)</f>
        <v>98322.75876</v>
      </c>
      <c r="W52" s="171">
        <f>10%*SA</f>
        <v>100000</v>
      </c>
      <c r="X52" s="179">
        <f t="array" ref="X52">NPV('Pre-Calculation'!$E$20,W53:W62)</f>
        <v>969592.8037</v>
      </c>
      <c r="Y52" s="12"/>
      <c r="Z52" s="12"/>
    </row>
    <row r="53" ht="15.75" customHeight="1">
      <c r="A53" s="171">
        <f t="shared" si="1"/>
        <v>107</v>
      </c>
      <c r="B53" s="171">
        <f t="shared" si="2"/>
        <v>9</v>
      </c>
      <c r="C53" s="176">
        <f>EDATE(RCD,A52)</f>
        <v>45777</v>
      </c>
      <c r="D53" s="171">
        <f>Age_At_Entry+Cashflows_HIST!B53-1</f>
        <v>43</v>
      </c>
      <c r="E53" s="175">
        <f>IF(AND(C53&lt;=Last_Prem,MOD(A52,Mode)=0,C53&gt;INPUT!$C$13,A53&lt;=Revival!$C$11),Mod_Prem,0)</f>
        <v>0</v>
      </c>
      <c r="F53" s="177">
        <f>E53*VLOOKUP(B53,'Pre-Calculation'!$H$1:$I$31,2,FALSE)</f>
        <v>0</v>
      </c>
      <c r="G53" s="177">
        <f>IF(B53&lt;PT+1,VLOOKUP(B53,'Pre-Calculation'!$H$1:$L$32,3,FALSE)+VLOOKUP(B53,'Pre-Calculation'!$H$1:$L$32,4,FALSE)*'Pre-Calculation'!$D$7,0)</f>
        <v>830</v>
      </c>
      <c r="H53" s="175">
        <f>(E53-(F53+G53)*(1+Tax)+N52)</f>
        <v>1559078.487</v>
      </c>
      <c r="I53" s="175">
        <f>IF(B53&lt;PT+1,VLOOKUP(D53,'Pre-Calculation'!$N$3:$P$79,IF(INPUT!$C$4="M",2,3),FALSE)*(J53/1000)*(1/12),0)</f>
        <v>0</v>
      </c>
      <c r="J53" s="175">
        <f t="shared" si="3"/>
        <v>0</v>
      </c>
      <c r="K53" s="175">
        <f>(IF('Pre-Calculation'!$D$17="Type 4 a",MAX(SA,H53,1.05*Q53),IF('Pre-Calculation'!$D$17="Type 4 c",H53,IF('Pre-Calculation'!$D$17="Type 4 d",SA+H53,IF('Pre-Calculation'!$D$17="Type 4 e",MAX(SA,H53),IF('Pre-Calculation'!$D$17="Type 4 f",SA,IF('Pre-Calculation'!$D$17="Type 4 g",1000+H53,IF('Pre-Calculation'!$D$17="Type 4 h",SA+V53,IF('Pre-Calculation'!$D$17="Type 4 i",MAX(H53,Q53),IF('Pre-Calculation'!$D$17="Type 4 k",MAX(H53,1.01*Q53),IF('Pre-Calculation'!$D$17="Type 4 m",MAX(105%*Q53,SA+H53),IF('Pre-Calculation'!$D$17="Type 4 o",MAX(SA,105%*Q53)+V53+X53,IF('Pre-Calculation'!$D$17="Type 5",0)))))))))))))*IF(AND(A53&lt;Revival!$C$4,C53&gt;Revival!$D$12),PUP,1)</f>
        <v>1559078.487</v>
      </c>
      <c r="L53" s="175">
        <f>H53-I53*(1+Tax)</f>
        <v>1559078.487</v>
      </c>
      <c r="M53" s="175">
        <f>L53*(1+GROWTH_RATE_HIST)</f>
        <v>1576113.46</v>
      </c>
      <c r="N53" s="175">
        <f>M53+IF(MOD(A53,B53)=0,VLOOKUP(B53,'Pre-Calculation'!$H$1:$L$31,5,FALSE),0)*IF('Pre-Calculation'!$D$16="% OF FV",M53,IF(OR('Pre-Calculation'!$D$16="% OF AFV(24M)",'Pre-Calculation'!$D$16="% OF AFV(8Q)"),AVERAGE( $M30:$M53),IF('Pre-Calculation'!$D$16="% OF AFV(12M)",AVERAGE($M42:M53),IF('Pre-Calculation'!$D$16="% OF AFV(36M)",AVERAGE($M18:M53)))))</f>
        <v>1576113.46</v>
      </c>
      <c r="O53" s="175">
        <f t="shared" si="4"/>
        <v>1576113.46</v>
      </c>
      <c r="P53" s="175">
        <f>IF('Pre-Calculation'!$D$17="Type 4 a",MAX(SA,N53,1.05*Q53),IF('Pre-Calculation'!$D$17="Type 4 c",N53,IF('Pre-Calculation'!$D$17="Type 4 d",SA+N53,IF('Pre-Calculation'!$D$17="Type 4 e",MAX(SA,N53),IF('Pre-Calculation'!$D$17="Type 4 f",SA,IF('Pre-Calculation'!$D$17="Type 4 g",1000+N53,IF('Pre-Calculation'!$D$17="Type 4 h",SA+V53,IF('Pre-Calculation'!$D$17="Type 4 i",MAX(N53,Q53),IF('Pre-Calculation'!$D$17="Type 4 k",MAX(N53,1.01*Q53),IF('Pre-Calculation'!$D$17="Type 4 m",MAX(105%*Q53,SA+N53),IF('Pre-Calculation'!$D$17="Type 4 o",MAX(SA,105%*Q53)+V53+X53,IF('Pre-Calculation'!$D$17="Type 5",0))))))))))))</f>
        <v>1576113.46</v>
      </c>
      <c r="Q53" s="175">
        <f t="shared" si="5"/>
        <v>900000</v>
      </c>
      <c r="R53" s="119">
        <f>L53*(1+GROWTH_RATE)*FMC</f>
        <v>1764.28838</v>
      </c>
      <c r="S53" s="112"/>
      <c r="T53" s="175">
        <f>-E53+IF(A52=INPUT!$C$11*12,N53,0)</f>
        <v>0</v>
      </c>
      <c r="U53" s="171"/>
      <c r="V53" s="179">
        <f t="array" ref="V53">NPV('Pre-Calculation'!$E$20,$E54:E$246)</f>
        <v>98878.68993</v>
      </c>
      <c r="W53" s="171">
        <f>10%*SA</f>
        <v>100000</v>
      </c>
      <c r="X53" s="179">
        <f t="array" ref="X53">NPV('Pre-Calculation'!$E$20,W54:W63)</f>
        <v>969592.8037</v>
      </c>
      <c r="Y53" s="12"/>
      <c r="Z53" s="12"/>
    </row>
    <row r="54" ht="15.75" customHeight="1">
      <c r="A54" s="171">
        <f t="shared" si="1"/>
        <v>108</v>
      </c>
      <c r="B54" s="171">
        <f t="shared" si="2"/>
        <v>9</v>
      </c>
      <c r="C54" s="176">
        <f>EDATE(RCD,A53)</f>
        <v>45807</v>
      </c>
      <c r="D54" s="171">
        <f>Age_At_Entry+Cashflows_HIST!B54-1</f>
        <v>43</v>
      </c>
      <c r="E54" s="175">
        <f>IF(AND(C54&lt;=Last_Prem,MOD(A53,Mode)=0,C54&gt;INPUT!$C$13,A54&lt;=Revival!$C$11),Mod_Prem,0)</f>
        <v>0</v>
      </c>
      <c r="F54" s="177">
        <f>E54*VLOOKUP(B54,'Pre-Calculation'!$H$1:$I$31,2,FALSE)</f>
        <v>0</v>
      </c>
      <c r="G54" s="177">
        <f>IF(B54&lt;PT+1,VLOOKUP(B54,'Pre-Calculation'!$H$1:$L$32,3,FALSE)+VLOOKUP(B54,'Pre-Calculation'!$H$1:$L$32,4,FALSE)*'Pre-Calculation'!$D$7,0)</f>
        <v>830</v>
      </c>
      <c r="H54" s="175">
        <f>(E54-(F54+G54)*(1+Tax)+N53)</f>
        <v>1575134.06</v>
      </c>
      <c r="I54" s="175">
        <f>IF(B54&lt;PT+1,VLOOKUP(D54,'Pre-Calculation'!$N$3:$P$79,IF(INPUT!$C$4="M",2,3),FALSE)*(J54/1000)*(1/12),0)</f>
        <v>0</v>
      </c>
      <c r="J54" s="175">
        <f t="shared" si="3"/>
        <v>0</v>
      </c>
      <c r="K54" s="175">
        <f>(IF('Pre-Calculation'!$D$17="Type 4 a",MAX(SA,H54,1.05*Q54),IF('Pre-Calculation'!$D$17="Type 4 c",H54,IF('Pre-Calculation'!$D$17="Type 4 d",SA+H54,IF('Pre-Calculation'!$D$17="Type 4 e",MAX(SA,H54),IF('Pre-Calculation'!$D$17="Type 4 f",SA,IF('Pre-Calculation'!$D$17="Type 4 g",1000+H54,IF('Pre-Calculation'!$D$17="Type 4 h",SA+V54,IF('Pre-Calculation'!$D$17="Type 4 i",MAX(H54,Q54),IF('Pre-Calculation'!$D$17="Type 4 k",MAX(H54,1.01*Q54),IF('Pre-Calculation'!$D$17="Type 4 m",MAX(105%*Q54,SA+H54),IF('Pre-Calculation'!$D$17="Type 4 o",MAX(SA,105%*Q54)+V54+X54,IF('Pre-Calculation'!$D$17="Type 5",0)))))))))))))*IF(AND(A54&lt;Revival!$C$4,C54&gt;Revival!$D$12),PUP,1)</f>
        <v>1575134.06</v>
      </c>
      <c r="L54" s="175">
        <f>H54-I54*(1+Tax)</f>
        <v>1575134.06</v>
      </c>
      <c r="M54" s="175">
        <f>L54*(1+GROWTH_RATE_HIST)</f>
        <v>1592344.46</v>
      </c>
      <c r="N54" s="175">
        <f>M54+IF(MOD(A54,B54)=0,VLOOKUP(B54,'Pre-Calculation'!$H$1:$L$31,5,FALSE),0)*IF('Pre-Calculation'!$D$16="% OF FV",M54,IF(OR('Pre-Calculation'!$D$16="% OF AFV(24M)",'Pre-Calculation'!$D$16="% OF AFV(8Q)"),AVERAGE( $M31:$M54),IF('Pre-Calculation'!$D$16="% OF AFV(12M)",AVERAGE($M43:M54),IF('Pre-Calculation'!$D$16="% OF AFV(36M)",AVERAGE($M19:M54)))))</f>
        <v>1592344.46</v>
      </c>
      <c r="O54" s="175">
        <f t="shared" si="4"/>
        <v>1592344.46</v>
      </c>
      <c r="P54" s="175">
        <f>IF('Pre-Calculation'!$D$17="Type 4 a",MAX(SA,N54,1.05*Q54),IF('Pre-Calculation'!$D$17="Type 4 c",N54,IF('Pre-Calculation'!$D$17="Type 4 d",SA+N54,IF('Pre-Calculation'!$D$17="Type 4 e",MAX(SA,N54),IF('Pre-Calculation'!$D$17="Type 4 f",SA,IF('Pre-Calculation'!$D$17="Type 4 g",1000+N54,IF('Pre-Calculation'!$D$17="Type 4 h",SA+V54,IF('Pre-Calculation'!$D$17="Type 4 i",MAX(N54,Q54),IF('Pre-Calculation'!$D$17="Type 4 k",MAX(N54,1.01*Q54),IF('Pre-Calculation'!$D$17="Type 4 m",MAX(105%*Q54,SA+N54),IF('Pre-Calculation'!$D$17="Type 4 o",MAX(SA,105%*Q54)+V54+X54,IF('Pre-Calculation'!$D$17="Type 5",0))))))))))))</f>
        <v>1592344.46</v>
      </c>
      <c r="Q54" s="175">
        <f t="shared" si="5"/>
        <v>900000</v>
      </c>
      <c r="R54" s="119">
        <f>L54*(1+GROWTH_RATE)*FMC</f>
        <v>1782.457228</v>
      </c>
      <c r="S54" s="112"/>
      <c r="T54" s="175">
        <f>-E54+IF(A53=INPUT!$C$11*12,N54,0)</f>
        <v>0</v>
      </c>
      <c r="U54" s="171"/>
      <c r="V54" s="179">
        <f t="array" ref="V54">NPV('Pre-Calculation'!$E$20,$E55:E$246)</f>
        <v>99437.76442</v>
      </c>
      <c r="W54" s="171">
        <f>10%*SA</f>
        <v>100000</v>
      </c>
      <c r="X54" s="179">
        <f t="array" ref="X54">NPV('Pre-Calculation'!$E$20,W55:W64)</f>
        <v>969592.8037</v>
      </c>
      <c r="Y54" s="12"/>
      <c r="Z54" s="12"/>
    </row>
    <row r="55" ht="15.75" customHeight="1">
      <c r="A55" s="171">
        <f t="shared" si="1"/>
        <v>109</v>
      </c>
      <c r="B55" s="171">
        <f t="shared" si="2"/>
        <v>10</v>
      </c>
      <c r="C55" s="176">
        <f>EDATE(RCD,A54)</f>
        <v>45838</v>
      </c>
      <c r="D55" s="171">
        <f>Age_At_Entry+Cashflows_HIST!B55-1</f>
        <v>44</v>
      </c>
      <c r="E55" s="175">
        <f>IF(AND(C55&lt;=Last_Prem,MOD(A54,Mode)=0,C55&gt;INPUT!$C$13,A55&lt;=Revival!$C$11),Mod_Prem,0)</f>
        <v>100000</v>
      </c>
      <c r="F55" s="177">
        <f>E55*VLOOKUP(B55,'Pre-Calculation'!$H$1:$I$31,2,FALSE)</f>
        <v>0</v>
      </c>
      <c r="G55" s="177">
        <f>IF(B55&lt;PT+1,VLOOKUP(B55,'Pre-Calculation'!$H$1:$L$32,3,FALSE)+VLOOKUP(B55,'Pre-Calculation'!$H$1:$L$32,4,FALSE)*'Pre-Calculation'!$D$7,0)</f>
        <v>830</v>
      </c>
      <c r="H55" s="175">
        <f>(E55-(F55+G55)*(1+Tax)+N54)</f>
        <v>1691365.06</v>
      </c>
      <c r="I55" s="175">
        <f>IF(B55&lt;PT+1,VLOOKUP(D55,'Pre-Calculation'!$N$3:$P$79,IF(INPUT!$C$4="M",2,3),FALSE)*(J55/1000)*(1/12),0)</f>
        <v>0</v>
      </c>
      <c r="J55" s="175">
        <f t="shared" si="3"/>
        <v>0</v>
      </c>
      <c r="K55" s="175">
        <f>(IF('Pre-Calculation'!$D$17="Type 4 a",MAX(SA,H55,1.05*Q55),IF('Pre-Calculation'!$D$17="Type 4 c",H55,IF('Pre-Calculation'!$D$17="Type 4 d",SA+H55,IF('Pre-Calculation'!$D$17="Type 4 e",MAX(SA,H55),IF('Pre-Calculation'!$D$17="Type 4 f",SA,IF('Pre-Calculation'!$D$17="Type 4 g",1000+H55,IF('Pre-Calculation'!$D$17="Type 4 h",SA+V55,IF('Pre-Calculation'!$D$17="Type 4 i",MAX(H55,Q55),IF('Pre-Calculation'!$D$17="Type 4 k",MAX(H55,1.01*Q55),IF('Pre-Calculation'!$D$17="Type 4 m",MAX(105%*Q55,SA+H55),IF('Pre-Calculation'!$D$17="Type 4 o",MAX(SA,105%*Q55)+V55+X55,IF('Pre-Calculation'!$D$17="Type 5",0)))))))))))))*IF(AND(A55&lt;Revival!$C$4,C55&gt;Revival!$D$12),PUP,1)</f>
        <v>1691365.06</v>
      </c>
      <c r="L55" s="175">
        <f>H55-I55*(1+Tax)</f>
        <v>1691365.06</v>
      </c>
      <c r="M55" s="175">
        <f>L55*(1+GROWTH_RATE_HIST)</f>
        <v>1709845.436</v>
      </c>
      <c r="N55" s="175">
        <f>M55+IF(MOD(A55,B55)=0,VLOOKUP(B55,'Pre-Calculation'!$H$1:$L$31,5,FALSE),0)*IF('Pre-Calculation'!$D$16="% OF FV",M55,IF(OR('Pre-Calculation'!$D$16="% OF AFV(24M)",'Pre-Calculation'!$D$16="% OF AFV(8Q)"),AVERAGE( $M32:$M55),IF('Pre-Calculation'!$D$16="% OF AFV(12M)",AVERAGE($M44:M55),IF('Pre-Calculation'!$D$16="% OF AFV(36M)",AVERAGE($M20:M55)))))</f>
        <v>1709845.436</v>
      </c>
      <c r="O55" s="175">
        <f t="shared" si="4"/>
        <v>1709845.436</v>
      </c>
      <c r="P55" s="175">
        <f>IF('Pre-Calculation'!$D$17="Type 4 a",MAX(SA,N55,1.05*Q55),IF('Pre-Calculation'!$D$17="Type 4 c",N55,IF('Pre-Calculation'!$D$17="Type 4 d",SA+N55,IF('Pre-Calculation'!$D$17="Type 4 e",MAX(SA,N55),IF('Pre-Calculation'!$D$17="Type 4 f",SA,IF('Pre-Calculation'!$D$17="Type 4 g",1000+N55,IF('Pre-Calculation'!$D$17="Type 4 h",SA+V55,IF('Pre-Calculation'!$D$17="Type 4 i",MAX(N55,Q55),IF('Pre-Calculation'!$D$17="Type 4 k",MAX(N55,1.01*Q55),IF('Pre-Calculation'!$D$17="Type 4 m",MAX(105%*Q55,SA+N55),IF('Pre-Calculation'!$D$17="Type 4 o",MAX(SA,105%*Q55)+V55+X55,IF('Pre-Calculation'!$D$17="Type 5",0))))))))))))</f>
        <v>1709845.436</v>
      </c>
      <c r="Q55" s="175">
        <f t="shared" si="5"/>
        <v>1000000</v>
      </c>
      <c r="R55" s="119">
        <f>L55*(1+GROWTH_RATE)*FMC</f>
        <v>1913.986849</v>
      </c>
      <c r="S55" s="112"/>
      <c r="T55" s="175">
        <f>-E55+IF(A54=INPUT!$C$11*12,N55,0)</f>
        <v>-100000</v>
      </c>
      <c r="U55" s="171"/>
      <c r="V55" s="179">
        <f t="array" ref="V55">NPV('Pre-Calculation'!$E$20,$E56:E$246)</f>
        <v>0</v>
      </c>
      <c r="W55" s="171">
        <f>10%*SA</f>
        <v>100000</v>
      </c>
      <c r="X55" s="179">
        <f t="array" ref="X55">NPV('Pre-Calculation'!$E$20,W56:W65)</f>
        <v>969592.8037</v>
      </c>
      <c r="Y55" s="12"/>
      <c r="Z55" s="12"/>
    </row>
    <row r="56" ht="15.75" customHeight="1">
      <c r="A56" s="171">
        <f t="shared" si="1"/>
        <v>110</v>
      </c>
      <c r="B56" s="171">
        <f t="shared" si="2"/>
        <v>10</v>
      </c>
      <c r="C56" s="176">
        <f>EDATE(RCD,A55)</f>
        <v>45868</v>
      </c>
      <c r="D56" s="171">
        <f>Age_At_Entry+Cashflows_HIST!B56-1</f>
        <v>44</v>
      </c>
      <c r="E56" s="175">
        <f>IF(AND(C56&lt;=Last_Prem,MOD(A55,Mode)=0,C56&gt;INPUT!$C$13,A56&lt;=Revival!$C$11),Mod_Prem,0)</f>
        <v>0</v>
      </c>
      <c r="F56" s="177">
        <f>E56*VLOOKUP(B56,'Pre-Calculation'!$H$1:$I$31,2,FALSE)</f>
        <v>0</v>
      </c>
      <c r="G56" s="177">
        <f>IF(B56&lt;PT+1,VLOOKUP(B56,'Pre-Calculation'!$H$1:$L$32,3,FALSE)+VLOOKUP(B56,'Pre-Calculation'!$H$1:$L$32,4,FALSE)*'Pre-Calculation'!$D$7,0)</f>
        <v>830</v>
      </c>
      <c r="H56" s="175">
        <f>(E56-(F56+G56)*(1+Tax)+N55)</f>
        <v>1708866.036</v>
      </c>
      <c r="I56" s="175">
        <f>IF(B56&lt;PT+1,VLOOKUP(D56,'Pre-Calculation'!$N$3:$P$79,IF(INPUT!$C$4="M",2,3),FALSE)*(J56/1000)*(1/12),0)</f>
        <v>0</v>
      </c>
      <c r="J56" s="175">
        <f t="shared" si="3"/>
        <v>0</v>
      </c>
      <c r="K56" s="175">
        <f>(IF('Pre-Calculation'!$D$17="Type 4 a",MAX(SA,H56,1.05*Q56),IF('Pre-Calculation'!$D$17="Type 4 c",H56,IF('Pre-Calculation'!$D$17="Type 4 d",SA+H56,IF('Pre-Calculation'!$D$17="Type 4 e",MAX(SA,H56),IF('Pre-Calculation'!$D$17="Type 4 f",SA,IF('Pre-Calculation'!$D$17="Type 4 g",1000+H56,IF('Pre-Calculation'!$D$17="Type 4 h",SA+V56,IF('Pre-Calculation'!$D$17="Type 4 i",MAX(H56,Q56),IF('Pre-Calculation'!$D$17="Type 4 k",MAX(H56,1.01*Q56),IF('Pre-Calculation'!$D$17="Type 4 m",MAX(105%*Q56,SA+H56),IF('Pre-Calculation'!$D$17="Type 4 o",MAX(SA,105%*Q56)+V56+X56,IF('Pre-Calculation'!$D$17="Type 5",0)))))))))))))*IF(AND(A56&lt;Revival!$C$4,C56&gt;Revival!$D$12),PUP,1)</f>
        <v>1708866.036</v>
      </c>
      <c r="L56" s="175">
        <f>H56-I56*(1+Tax)</f>
        <v>1708866.036</v>
      </c>
      <c r="M56" s="175">
        <f>L56*(1+GROWTH_RATE_HIST)</f>
        <v>1727537.634</v>
      </c>
      <c r="N56" s="175">
        <f>M56+IF(MOD(A56,B56)=0,VLOOKUP(B56,'Pre-Calculation'!$H$1:$L$31,5,FALSE),0)*IF('Pre-Calculation'!$D$16="% OF FV",M56,IF(OR('Pre-Calculation'!$D$16="% OF AFV(24M)",'Pre-Calculation'!$D$16="% OF AFV(8Q)"),AVERAGE( $M33:$M56),IF('Pre-Calculation'!$D$16="% OF AFV(12M)",AVERAGE($M45:M56),IF('Pre-Calculation'!$D$16="% OF AFV(36M)",AVERAGE($M21:M56)))))</f>
        <v>1727537.634</v>
      </c>
      <c r="O56" s="175">
        <f t="shared" si="4"/>
        <v>1727537.634</v>
      </c>
      <c r="P56" s="175">
        <f>IF('Pre-Calculation'!$D$17="Type 4 a",MAX(SA,N56,1.05*Q56),IF('Pre-Calculation'!$D$17="Type 4 c",N56,IF('Pre-Calculation'!$D$17="Type 4 d",SA+N56,IF('Pre-Calculation'!$D$17="Type 4 e",MAX(SA,N56),IF('Pre-Calculation'!$D$17="Type 4 f",SA,IF('Pre-Calculation'!$D$17="Type 4 g",1000+N56,IF('Pre-Calculation'!$D$17="Type 4 h",SA+V56,IF('Pre-Calculation'!$D$17="Type 4 i",MAX(N56,Q56),IF('Pre-Calculation'!$D$17="Type 4 k",MAX(N56,1.01*Q56),IF('Pre-Calculation'!$D$17="Type 4 m",MAX(105%*Q56,SA+N56),IF('Pre-Calculation'!$D$17="Type 4 o",MAX(SA,105%*Q56)+V56+X56,IF('Pre-Calculation'!$D$17="Type 5",0))))))))))))</f>
        <v>1727537.634</v>
      </c>
      <c r="Q56" s="175">
        <f t="shared" si="5"/>
        <v>1000000</v>
      </c>
      <c r="R56" s="119">
        <f>L56*(1+GROWTH_RATE)*FMC</f>
        <v>1933.791349</v>
      </c>
      <c r="S56" s="112"/>
      <c r="T56" s="175">
        <f>-E56+IF(A55=INPUT!$C$11*12,N56,0)</f>
        <v>0</v>
      </c>
      <c r="U56" s="171"/>
      <c r="V56" s="179">
        <f t="array" ref="V56">NPV('Pre-Calculation'!$E$20,$E57:E$246)</f>
        <v>0</v>
      </c>
      <c r="W56" s="171">
        <f>10%*SA</f>
        <v>100000</v>
      </c>
      <c r="X56" s="179">
        <f t="array" ref="X56">NPV('Pre-Calculation'!$E$20,W57:W66)</f>
        <v>969592.8037</v>
      </c>
      <c r="Y56" s="12"/>
      <c r="Z56" s="12"/>
    </row>
    <row r="57" ht="15.75" customHeight="1">
      <c r="A57" s="171">
        <f t="shared" si="1"/>
        <v>111</v>
      </c>
      <c r="B57" s="171">
        <f t="shared" si="2"/>
        <v>10</v>
      </c>
      <c r="C57" s="176">
        <f>EDATE(RCD,A56)</f>
        <v>45899</v>
      </c>
      <c r="D57" s="171">
        <f>Age_At_Entry+Cashflows_HIST!B57-1</f>
        <v>44</v>
      </c>
      <c r="E57" s="175">
        <f>IF(AND(C57&lt;=Last_Prem,MOD(A56,Mode)=0,C57&gt;INPUT!$C$13,A57&lt;=Revival!$C$11),Mod_Prem,0)</f>
        <v>0</v>
      </c>
      <c r="F57" s="177">
        <f>E57*VLOOKUP(B57,'Pre-Calculation'!$H$1:$I$31,2,FALSE)</f>
        <v>0</v>
      </c>
      <c r="G57" s="177">
        <f>IF(B57&lt;PT+1,VLOOKUP(B57,'Pre-Calculation'!$H$1:$L$32,3,FALSE)+VLOOKUP(B57,'Pre-Calculation'!$H$1:$L$32,4,FALSE)*'Pre-Calculation'!$D$7,0)</f>
        <v>830</v>
      </c>
      <c r="H57" s="175">
        <f>(E57-(F57+G57)*(1+Tax)+N56)</f>
        <v>1726558.234</v>
      </c>
      <c r="I57" s="175">
        <f>IF(B57&lt;PT+1,VLOOKUP(D57,'Pre-Calculation'!$N$3:$P$79,IF(INPUT!$C$4="M",2,3),FALSE)*(J57/1000)*(1/12),0)</f>
        <v>0</v>
      </c>
      <c r="J57" s="175">
        <f t="shared" si="3"/>
        <v>0</v>
      </c>
      <c r="K57" s="175">
        <f>(IF('Pre-Calculation'!$D$17="Type 4 a",MAX(SA,H57,1.05*Q57),IF('Pre-Calculation'!$D$17="Type 4 c",H57,IF('Pre-Calculation'!$D$17="Type 4 d",SA+H57,IF('Pre-Calculation'!$D$17="Type 4 e",MAX(SA,H57),IF('Pre-Calculation'!$D$17="Type 4 f",SA,IF('Pre-Calculation'!$D$17="Type 4 g",1000+H57,IF('Pre-Calculation'!$D$17="Type 4 h",SA+V57,IF('Pre-Calculation'!$D$17="Type 4 i",MAX(H57,Q57),IF('Pre-Calculation'!$D$17="Type 4 k",MAX(H57,1.01*Q57),IF('Pre-Calculation'!$D$17="Type 4 m",MAX(105%*Q57,SA+H57),IF('Pre-Calculation'!$D$17="Type 4 o",MAX(SA,105%*Q57)+V57+X57,IF('Pre-Calculation'!$D$17="Type 5",0)))))))))))))*IF(AND(A57&lt;Revival!$C$4,C57&gt;Revival!$D$12),PUP,1)</f>
        <v>1726558.234</v>
      </c>
      <c r="L57" s="175">
        <f>H57-I57*(1+Tax)</f>
        <v>1726558.234</v>
      </c>
      <c r="M57" s="175">
        <f>L57*(1+GROWTH_RATE_HIST)</f>
        <v>1745423.141</v>
      </c>
      <c r="N57" s="175">
        <f>M57+IF(MOD(A57,B57)=0,VLOOKUP(B57,'Pre-Calculation'!$H$1:$L$31,5,FALSE),0)*IF('Pre-Calculation'!$D$16="% OF FV",M57,IF(OR('Pre-Calculation'!$D$16="% OF AFV(24M)",'Pre-Calculation'!$D$16="% OF AFV(8Q)"),AVERAGE( $M34:$M57),IF('Pre-Calculation'!$D$16="% OF AFV(12M)",AVERAGE($M46:M57),IF('Pre-Calculation'!$D$16="% OF AFV(36M)",AVERAGE($M22:M57)))))</f>
        <v>1745423.141</v>
      </c>
      <c r="O57" s="175">
        <f t="shared" si="4"/>
        <v>1745423.141</v>
      </c>
      <c r="P57" s="175">
        <f>IF('Pre-Calculation'!$D$17="Type 4 a",MAX(SA,N57,1.05*Q57),IF('Pre-Calculation'!$D$17="Type 4 c",N57,IF('Pre-Calculation'!$D$17="Type 4 d",SA+N57,IF('Pre-Calculation'!$D$17="Type 4 e",MAX(SA,N57),IF('Pre-Calculation'!$D$17="Type 4 f",SA,IF('Pre-Calculation'!$D$17="Type 4 g",1000+N57,IF('Pre-Calculation'!$D$17="Type 4 h",SA+V57,IF('Pre-Calculation'!$D$17="Type 4 i",MAX(N57,Q57),IF('Pre-Calculation'!$D$17="Type 4 k",MAX(N57,1.01*Q57),IF('Pre-Calculation'!$D$17="Type 4 m",MAX(105%*Q57,SA+N57),IF('Pre-Calculation'!$D$17="Type 4 o",MAX(SA,105%*Q57)+V57+X57,IF('Pre-Calculation'!$D$17="Type 5",0))))))))))))</f>
        <v>1745423.141</v>
      </c>
      <c r="Q57" s="175">
        <f t="shared" si="5"/>
        <v>1000000</v>
      </c>
      <c r="R57" s="119">
        <f>L57*(1+GROWTH_RATE)*FMC</f>
        <v>1953.812238</v>
      </c>
      <c r="S57" s="112"/>
      <c r="T57" s="175">
        <f>-E57+IF(A56=INPUT!$C$11*12,N57,0)</f>
        <v>0</v>
      </c>
      <c r="U57" s="171"/>
      <c r="V57" s="179">
        <f t="array" ref="V57">NPV('Pre-Calculation'!$E$20,$E58:E$246)</f>
        <v>0</v>
      </c>
      <c r="W57" s="171">
        <f>10%*SA</f>
        <v>100000</v>
      </c>
      <c r="X57" s="179">
        <f t="array" ref="X57">NPV('Pre-Calculation'!$E$20,W58:W67)</f>
        <v>969592.8037</v>
      </c>
      <c r="Y57" s="12"/>
      <c r="Z57" s="12"/>
    </row>
    <row r="58" ht="15.75" customHeight="1">
      <c r="A58" s="171">
        <f t="shared" si="1"/>
        <v>112</v>
      </c>
      <c r="B58" s="171">
        <f t="shared" si="2"/>
        <v>10</v>
      </c>
      <c r="C58" s="176">
        <f>EDATE(RCD,A57)</f>
        <v>45930</v>
      </c>
      <c r="D58" s="171">
        <f>Age_At_Entry+Cashflows_HIST!B58-1</f>
        <v>44</v>
      </c>
      <c r="E58" s="175">
        <f>IF(AND(C58&lt;=Last_Prem,MOD(A57,Mode)=0,C58&gt;INPUT!$C$13,A58&lt;=Revival!$C$11),Mod_Prem,0)</f>
        <v>0</v>
      </c>
      <c r="F58" s="177">
        <f>E58*VLOOKUP(B58,'Pre-Calculation'!$H$1:$I$31,2,FALSE)</f>
        <v>0</v>
      </c>
      <c r="G58" s="177">
        <f>IF(B58&lt;PT+1,VLOOKUP(B58,'Pre-Calculation'!$H$1:$L$32,3,FALSE)+VLOOKUP(B58,'Pre-Calculation'!$H$1:$L$32,4,FALSE)*'Pre-Calculation'!$D$7,0)</f>
        <v>830</v>
      </c>
      <c r="H58" s="175">
        <f>(E58-(F58+G58)*(1+Tax)+N57)</f>
        <v>1744443.741</v>
      </c>
      <c r="I58" s="175">
        <f>IF(B58&lt;PT+1,VLOOKUP(D58,'Pre-Calculation'!$N$3:$P$79,IF(INPUT!$C$4="M",2,3),FALSE)*(J58/1000)*(1/12),0)</f>
        <v>0</v>
      </c>
      <c r="J58" s="175">
        <f t="shared" si="3"/>
        <v>0</v>
      </c>
      <c r="K58" s="175">
        <f>(IF('Pre-Calculation'!$D$17="Type 4 a",MAX(SA,H58,1.05*Q58),IF('Pre-Calculation'!$D$17="Type 4 c",H58,IF('Pre-Calculation'!$D$17="Type 4 d",SA+H58,IF('Pre-Calculation'!$D$17="Type 4 e",MAX(SA,H58),IF('Pre-Calculation'!$D$17="Type 4 f",SA,IF('Pre-Calculation'!$D$17="Type 4 g",1000+H58,IF('Pre-Calculation'!$D$17="Type 4 h",SA+V58,IF('Pre-Calculation'!$D$17="Type 4 i",MAX(H58,Q58),IF('Pre-Calculation'!$D$17="Type 4 k",MAX(H58,1.01*Q58),IF('Pre-Calculation'!$D$17="Type 4 m",MAX(105%*Q58,SA+H58),IF('Pre-Calculation'!$D$17="Type 4 o",MAX(SA,105%*Q58)+V58+X58,IF('Pre-Calculation'!$D$17="Type 5",0)))))))))))))*IF(AND(A58&lt;Revival!$C$4,C58&gt;Revival!$D$12),PUP,1)</f>
        <v>1744443.741</v>
      </c>
      <c r="L58" s="175">
        <f>H58-I58*(1+Tax)</f>
        <v>1744443.741</v>
      </c>
      <c r="M58" s="175">
        <f>L58*(1+GROWTH_RATE_HIST)</f>
        <v>1763504.071</v>
      </c>
      <c r="N58" s="175">
        <f>M58+IF(MOD(A58,B58)=0,VLOOKUP(B58,'Pre-Calculation'!$H$1:$L$31,5,FALSE),0)*IF('Pre-Calculation'!$D$16="% OF FV",M58,IF(OR('Pre-Calculation'!$D$16="% OF AFV(24M)",'Pre-Calculation'!$D$16="% OF AFV(8Q)"),AVERAGE( $M35:$M58),IF('Pre-Calculation'!$D$16="% OF AFV(12M)",AVERAGE($M47:M58),IF('Pre-Calculation'!$D$16="% OF AFV(36M)",AVERAGE($M23:M58)))))</f>
        <v>1763504.071</v>
      </c>
      <c r="O58" s="175">
        <f t="shared" si="4"/>
        <v>1763504.071</v>
      </c>
      <c r="P58" s="175">
        <f>IF('Pre-Calculation'!$D$17="Type 4 a",MAX(SA,N58,1.05*Q58),IF('Pre-Calculation'!$D$17="Type 4 c",N58,IF('Pre-Calculation'!$D$17="Type 4 d",SA+N58,IF('Pre-Calculation'!$D$17="Type 4 e",MAX(SA,N58),IF('Pre-Calculation'!$D$17="Type 4 f",SA,IF('Pre-Calculation'!$D$17="Type 4 g",1000+N58,IF('Pre-Calculation'!$D$17="Type 4 h",SA+V58,IF('Pre-Calculation'!$D$17="Type 4 i",MAX(N58,Q58),IF('Pre-Calculation'!$D$17="Type 4 k",MAX(N58,1.01*Q58),IF('Pre-Calculation'!$D$17="Type 4 m",MAX(105%*Q58,SA+N58),IF('Pre-Calculation'!$D$17="Type 4 o",MAX(SA,105%*Q58)+V58+X58,IF('Pre-Calculation'!$D$17="Type 5",0))))))))))))</f>
        <v>1763504.071</v>
      </c>
      <c r="Q58" s="175">
        <f t="shared" si="5"/>
        <v>1000000</v>
      </c>
      <c r="R58" s="119">
        <f>L58*(1+GROWTH_RATE)*FMC</f>
        <v>1974.051882</v>
      </c>
      <c r="S58" s="112"/>
      <c r="T58" s="175">
        <f>-E58+IF(A57=INPUT!$C$11*12,N58,0)</f>
        <v>0</v>
      </c>
      <c r="U58" s="171"/>
      <c r="V58" s="179">
        <f t="array" ref="V58">NPV('Pre-Calculation'!$E$20,$E59:E$246)</f>
        <v>0</v>
      </c>
      <c r="W58" s="171">
        <f>10%*SA</f>
        <v>100000</v>
      </c>
      <c r="X58" s="179">
        <f t="array" ref="X58">NPV('Pre-Calculation'!$E$20,W59:W68)</f>
        <v>969592.8037</v>
      </c>
      <c r="Y58" s="12"/>
      <c r="Z58" s="12"/>
    </row>
    <row r="59" ht="15.75" customHeight="1">
      <c r="A59" s="171">
        <f t="shared" si="1"/>
        <v>113</v>
      </c>
      <c r="B59" s="171">
        <f t="shared" si="2"/>
        <v>10</v>
      </c>
      <c r="C59" s="176">
        <f>EDATE(RCD,A58)</f>
        <v>45960</v>
      </c>
      <c r="D59" s="171">
        <f>Age_At_Entry+Cashflows_HIST!B59-1</f>
        <v>44</v>
      </c>
      <c r="E59" s="175">
        <f>IF(AND(C59&lt;=Last_Prem,MOD(A58,Mode)=0,C59&gt;INPUT!$C$13,A59&lt;=Revival!$C$11),Mod_Prem,0)</f>
        <v>0</v>
      </c>
      <c r="F59" s="177">
        <f>E59*VLOOKUP(B59,'Pre-Calculation'!$H$1:$I$31,2,FALSE)</f>
        <v>0</v>
      </c>
      <c r="G59" s="177">
        <f>IF(B59&lt;PT+1,VLOOKUP(B59,'Pre-Calculation'!$H$1:$L$32,3,FALSE)+VLOOKUP(B59,'Pre-Calculation'!$H$1:$L$32,4,FALSE)*'Pre-Calculation'!$D$7,0)</f>
        <v>830</v>
      </c>
      <c r="H59" s="175">
        <f>(E59-(F59+G59)*(1+Tax)+N58)</f>
        <v>1762524.671</v>
      </c>
      <c r="I59" s="175">
        <f>IF(B59&lt;PT+1,VLOOKUP(D59,'Pre-Calculation'!$N$3:$P$79,IF(INPUT!$C$4="M",2,3),FALSE)*(J59/1000)*(1/12),0)</f>
        <v>0</v>
      </c>
      <c r="J59" s="175">
        <f t="shared" si="3"/>
        <v>0</v>
      </c>
      <c r="K59" s="175">
        <f>(IF('Pre-Calculation'!$D$17="Type 4 a",MAX(SA,H59,1.05*Q59),IF('Pre-Calculation'!$D$17="Type 4 c",H59,IF('Pre-Calculation'!$D$17="Type 4 d",SA+H59,IF('Pre-Calculation'!$D$17="Type 4 e",MAX(SA,H59),IF('Pre-Calculation'!$D$17="Type 4 f",SA,IF('Pre-Calculation'!$D$17="Type 4 g",1000+H59,IF('Pre-Calculation'!$D$17="Type 4 h",SA+V59,IF('Pre-Calculation'!$D$17="Type 4 i",MAX(H59,Q59),IF('Pre-Calculation'!$D$17="Type 4 k",MAX(H59,1.01*Q59),IF('Pre-Calculation'!$D$17="Type 4 m",MAX(105%*Q59,SA+H59),IF('Pre-Calculation'!$D$17="Type 4 o",MAX(SA,105%*Q59)+V59+X59,IF('Pre-Calculation'!$D$17="Type 5",0)))))))))))))*IF(AND(A59&lt;Revival!$C$4,C59&gt;Revival!$D$12),PUP,1)</f>
        <v>1762524.671</v>
      </c>
      <c r="L59" s="175">
        <f>H59-I59*(1+Tax)</f>
        <v>1762524.671</v>
      </c>
      <c r="M59" s="175">
        <f>L59*(1+GROWTH_RATE_HIST)</f>
        <v>1781782.559</v>
      </c>
      <c r="N59" s="175">
        <f>M59+IF(MOD(A59,B59)=0,VLOOKUP(B59,'Pre-Calculation'!$H$1:$L$31,5,FALSE),0)*IF('Pre-Calculation'!$D$16="% OF FV",M59,IF(OR('Pre-Calculation'!$D$16="% OF AFV(24M)",'Pre-Calculation'!$D$16="% OF AFV(8Q)"),AVERAGE( $M36:$M59),IF('Pre-Calculation'!$D$16="% OF AFV(12M)",AVERAGE($M48:M59),IF('Pre-Calculation'!$D$16="% OF AFV(36M)",AVERAGE($M24:M59)))))</f>
        <v>1781782.559</v>
      </c>
      <c r="O59" s="175">
        <f t="shared" si="4"/>
        <v>1781782.559</v>
      </c>
      <c r="P59" s="175">
        <f>IF('Pre-Calculation'!$D$17="Type 4 a",MAX(SA,N59,1.05*Q59),IF('Pre-Calculation'!$D$17="Type 4 c",N59,IF('Pre-Calculation'!$D$17="Type 4 d",SA+N59,IF('Pre-Calculation'!$D$17="Type 4 e",MAX(SA,N59),IF('Pre-Calculation'!$D$17="Type 4 f",SA,IF('Pre-Calculation'!$D$17="Type 4 g",1000+N59,IF('Pre-Calculation'!$D$17="Type 4 h",SA+V59,IF('Pre-Calculation'!$D$17="Type 4 i",MAX(N59,Q59),IF('Pre-Calculation'!$D$17="Type 4 k",MAX(N59,1.01*Q59),IF('Pre-Calculation'!$D$17="Type 4 m",MAX(105%*Q59,SA+N59),IF('Pre-Calculation'!$D$17="Type 4 o",MAX(SA,105%*Q59)+V59+X59,IF('Pre-Calculation'!$D$17="Type 5",0))))))))))))</f>
        <v>1781782.559</v>
      </c>
      <c r="Q59" s="175">
        <f t="shared" si="5"/>
        <v>1000000</v>
      </c>
      <c r="R59" s="119">
        <f>L59*(1+GROWTH_RATE)*FMC</f>
        <v>1994.512671</v>
      </c>
      <c r="S59" s="112"/>
      <c r="T59" s="175">
        <f>-E59+IF(A58=INPUT!$C$11*12,N59,0)</f>
        <v>0</v>
      </c>
      <c r="U59" s="171"/>
      <c r="V59" s="179">
        <f t="array" ref="V59">NPV('Pre-Calculation'!$E$20,$E60:E$246)</f>
        <v>0</v>
      </c>
      <c r="W59" s="171">
        <f>10%*SA</f>
        <v>100000</v>
      </c>
      <c r="X59" s="179">
        <f t="array" ref="X59">NPV('Pre-Calculation'!$E$20,W60:W69)</f>
        <v>969592.8037</v>
      </c>
      <c r="Y59" s="12"/>
      <c r="Z59" s="12"/>
    </row>
    <row r="60" ht="15.75" customHeight="1">
      <c r="A60" s="171">
        <f t="shared" si="1"/>
        <v>114</v>
      </c>
      <c r="B60" s="171">
        <f t="shared" si="2"/>
        <v>10</v>
      </c>
      <c r="C60" s="176">
        <f>EDATE(RCD,A59)</f>
        <v>45991</v>
      </c>
      <c r="D60" s="171">
        <f>Age_At_Entry+Cashflows_HIST!B60-1</f>
        <v>44</v>
      </c>
      <c r="E60" s="175">
        <f>IF(AND(C60&lt;=Last_Prem,MOD(A59,Mode)=0,C60&gt;INPUT!$C$13,A60&lt;=Revival!$C$11),Mod_Prem,0)</f>
        <v>0</v>
      </c>
      <c r="F60" s="177">
        <f>E60*VLOOKUP(B60,'Pre-Calculation'!$H$1:$I$31,2,FALSE)</f>
        <v>0</v>
      </c>
      <c r="G60" s="177">
        <f>IF(B60&lt;PT+1,VLOOKUP(B60,'Pre-Calculation'!$H$1:$L$32,3,FALSE)+VLOOKUP(B60,'Pre-Calculation'!$H$1:$L$32,4,FALSE)*'Pre-Calculation'!$D$7,0)</f>
        <v>830</v>
      </c>
      <c r="H60" s="175">
        <f>(E60-(F60+G60)*(1+Tax)+N59)</f>
        <v>1780803.159</v>
      </c>
      <c r="I60" s="175">
        <f>IF(B60&lt;PT+1,VLOOKUP(D60,'Pre-Calculation'!$N$3:$P$79,IF(INPUT!$C$4="M",2,3),FALSE)*(J60/1000)*(1/12),0)</f>
        <v>0</v>
      </c>
      <c r="J60" s="175">
        <f t="shared" si="3"/>
        <v>0</v>
      </c>
      <c r="K60" s="175">
        <f>(IF('Pre-Calculation'!$D$17="Type 4 a",MAX(SA,H60,1.05*Q60),IF('Pre-Calculation'!$D$17="Type 4 c",H60,IF('Pre-Calculation'!$D$17="Type 4 d",SA+H60,IF('Pre-Calculation'!$D$17="Type 4 e",MAX(SA,H60),IF('Pre-Calculation'!$D$17="Type 4 f",SA,IF('Pre-Calculation'!$D$17="Type 4 g",1000+H60,IF('Pre-Calculation'!$D$17="Type 4 h",SA+V60,IF('Pre-Calculation'!$D$17="Type 4 i",MAX(H60,Q60),IF('Pre-Calculation'!$D$17="Type 4 k",MAX(H60,1.01*Q60),IF('Pre-Calculation'!$D$17="Type 4 m",MAX(105%*Q60,SA+H60),IF('Pre-Calculation'!$D$17="Type 4 o",MAX(SA,105%*Q60)+V60+X60,IF('Pre-Calculation'!$D$17="Type 5",0)))))))))))))*IF(AND(A60&lt;Revival!$C$4,C60&gt;Revival!$D$12),PUP,1)</f>
        <v>1780803.159</v>
      </c>
      <c r="L60" s="175">
        <f>H60-I60*(1+Tax)</f>
        <v>1780803.159</v>
      </c>
      <c r="M60" s="175">
        <f>L60*(1+GROWTH_RATE_HIST)</f>
        <v>1800260.764</v>
      </c>
      <c r="N60" s="175">
        <f>M60+IF(MOD(A60,B60)=0,VLOOKUP(B60,'Pre-Calculation'!$H$1:$L$31,5,FALSE),0)*IF('Pre-Calculation'!$D$16="% OF FV",M60,IF(OR('Pre-Calculation'!$D$16="% OF AFV(24M)",'Pre-Calculation'!$D$16="% OF AFV(8Q)"),AVERAGE( $M37:$M60),IF('Pre-Calculation'!$D$16="% OF AFV(12M)",AVERAGE($M49:M60),IF('Pre-Calculation'!$D$16="% OF AFV(36M)",AVERAGE($M25:M60)))))</f>
        <v>1800260.764</v>
      </c>
      <c r="O60" s="175">
        <f t="shared" si="4"/>
        <v>1800260.764</v>
      </c>
      <c r="P60" s="175">
        <f>IF('Pre-Calculation'!$D$17="Type 4 a",MAX(SA,N60,1.05*Q60),IF('Pre-Calculation'!$D$17="Type 4 c",N60,IF('Pre-Calculation'!$D$17="Type 4 d",SA+N60,IF('Pre-Calculation'!$D$17="Type 4 e",MAX(SA,N60),IF('Pre-Calculation'!$D$17="Type 4 f",SA,IF('Pre-Calculation'!$D$17="Type 4 g",1000+N60,IF('Pre-Calculation'!$D$17="Type 4 h",SA+V60,IF('Pre-Calculation'!$D$17="Type 4 i",MAX(N60,Q60),IF('Pre-Calculation'!$D$17="Type 4 k",MAX(N60,1.01*Q60),IF('Pre-Calculation'!$D$17="Type 4 m",MAX(105%*Q60,SA+N60),IF('Pre-Calculation'!$D$17="Type 4 o",MAX(SA,105%*Q60)+V60+X60,IF('Pre-Calculation'!$D$17="Type 5",0))))))))))))</f>
        <v>1800260.764</v>
      </c>
      <c r="Q60" s="175">
        <f t="shared" si="5"/>
        <v>1000000</v>
      </c>
      <c r="R60" s="119">
        <f>L60*(1+GROWTH_RATE)*FMC</f>
        <v>2015.19702</v>
      </c>
      <c r="S60" s="112"/>
      <c r="T60" s="175">
        <f>-E60+IF(A59=INPUT!$C$11*12,N60,0)</f>
        <v>0</v>
      </c>
      <c r="U60" s="171"/>
      <c r="V60" s="179">
        <f t="array" ref="V60">NPV('Pre-Calculation'!$E$20,$E61:E$246)</f>
        <v>0</v>
      </c>
      <c r="W60" s="171">
        <f>10%*SA</f>
        <v>100000</v>
      </c>
      <c r="X60" s="179">
        <f t="array" ref="X60">NPV('Pre-Calculation'!$E$20,W61:W70)</f>
        <v>969592.8037</v>
      </c>
      <c r="Y60" s="12"/>
      <c r="Z60" s="12"/>
    </row>
    <row r="61" ht="15.75" customHeight="1">
      <c r="A61" s="171">
        <f t="shared" si="1"/>
        <v>115</v>
      </c>
      <c r="B61" s="171">
        <f t="shared" si="2"/>
        <v>10</v>
      </c>
      <c r="C61" s="176">
        <f>EDATE(RCD,A60)</f>
        <v>46021</v>
      </c>
      <c r="D61" s="171">
        <f>Age_At_Entry+Cashflows_HIST!B61-1</f>
        <v>44</v>
      </c>
      <c r="E61" s="175">
        <f>IF(AND(C61&lt;=Last_Prem,MOD(A60,Mode)=0,C61&gt;INPUT!$C$13,A61&lt;=Revival!$C$11),Mod_Prem,0)</f>
        <v>0</v>
      </c>
      <c r="F61" s="177">
        <f>E61*VLOOKUP(B61,'Pre-Calculation'!$H$1:$I$31,2,FALSE)</f>
        <v>0</v>
      </c>
      <c r="G61" s="177">
        <f>IF(B61&lt;PT+1,VLOOKUP(B61,'Pre-Calculation'!$H$1:$L$32,3,FALSE)+VLOOKUP(B61,'Pre-Calculation'!$H$1:$L$32,4,FALSE)*'Pre-Calculation'!$D$7,0)</f>
        <v>830</v>
      </c>
      <c r="H61" s="175">
        <f>(E61-(F61+G61)*(1+Tax)+N60)</f>
        <v>1799281.364</v>
      </c>
      <c r="I61" s="175">
        <f>IF(B61&lt;PT+1,VLOOKUP(D61,'Pre-Calculation'!$N$3:$P$79,IF(INPUT!$C$4="M",2,3),FALSE)*(J61/1000)*(1/12),0)</f>
        <v>0</v>
      </c>
      <c r="J61" s="175">
        <f t="shared" si="3"/>
        <v>0</v>
      </c>
      <c r="K61" s="175">
        <f>(IF('Pre-Calculation'!$D$17="Type 4 a",MAX(SA,H61,1.05*Q61),IF('Pre-Calculation'!$D$17="Type 4 c",H61,IF('Pre-Calculation'!$D$17="Type 4 d",SA+H61,IF('Pre-Calculation'!$D$17="Type 4 e",MAX(SA,H61),IF('Pre-Calculation'!$D$17="Type 4 f",SA,IF('Pre-Calculation'!$D$17="Type 4 g",1000+H61,IF('Pre-Calculation'!$D$17="Type 4 h",SA+V61,IF('Pre-Calculation'!$D$17="Type 4 i",MAX(H61,Q61),IF('Pre-Calculation'!$D$17="Type 4 k",MAX(H61,1.01*Q61),IF('Pre-Calculation'!$D$17="Type 4 m",MAX(105%*Q61,SA+H61),IF('Pre-Calculation'!$D$17="Type 4 o",MAX(SA,105%*Q61)+V61+X61,IF('Pre-Calculation'!$D$17="Type 5",0)))))))))))))*IF(AND(A61&lt;Revival!$C$4,C61&gt;Revival!$D$12),PUP,1)</f>
        <v>1799281.364</v>
      </c>
      <c r="L61" s="175">
        <f>H61-I61*(1+Tax)</f>
        <v>1799281.364</v>
      </c>
      <c r="M61" s="175">
        <f>L61*(1+GROWTH_RATE_HIST)</f>
        <v>1818940.867</v>
      </c>
      <c r="N61" s="175">
        <f>M61+IF(MOD(A61,B61)=0,VLOOKUP(B61,'Pre-Calculation'!$H$1:$L$31,5,FALSE),0)*IF('Pre-Calculation'!$D$16="% OF FV",M61,IF(OR('Pre-Calculation'!$D$16="% OF AFV(24M)",'Pre-Calculation'!$D$16="% OF AFV(8Q)"),AVERAGE( $M38:$M61),IF('Pre-Calculation'!$D$16="% OF AFV(12M)",AVERAGE($M50:M61),IF('Pre-Calculation'!$D$16="% OF AFV(36M)",AVERAGE($M26:M61)))))</f>
        <v>1818940.867</v>
      </c>
      <c r="O61" s="175">
        <f t="shared" si="4"/>
        <v>1818940.867</v>
      </c>
      <c r="P61" s="175">
        <f>IF('Pre-Calculation'!$D$17="Type 4 a",MAX(SA,N61,1.05*Q61),IF('Pre-Calculation'!$D$17="Type 4 c",N61,IF('Pre-Calculation'!$D$17="Type 4 d",SA+N61,IF('Pre-Calculation'!$D$17="Type 4 e",MAX(SA,N61),IF('Pre-Calculation'!$D$17="Type 4 f",SA,IF('Pre-Calculation'!$D$17="Type 4 g",1000+N61,IF('Pre-Calculation'!$D$17="Type 4 h",SA+V61,IF('Pre-Calculation'!$D$17="Type 4 i",MAX(N61,Q61),IF('Pre-Calculation'!$D$17="Type 4 k",MAX(N61,1.01*Q61),IF('Pre-Calculation'!$D$17="Type 4 m",MAX(105%*Q61,SA+N61),IF('Pre-Calculation'!$D$17="Type 4 o",MAX(SA,105%*Q61)+V61+X61,IF('Pre-Calculation'!$D$17="Type 5",0))))))))))))</f>
        <v>1818940.867</v>
      </c>
      <c r="Q61" s="175">
        <f t="shared" si="5"/>
        <v>1000000</v>
      </c>
      <c r="R61" s="119">
        <f>L61*(1+GROWTH_RATE)*FMC</f>
        <v>2036.107373</v>
      </c>
      <c r="S61" s="112"/>
      <c r="T61" s="175">
        <f>-E61+IF(A60=INPUT!$C$11*12,N61,0)</f>
        <v>0</v>
      </c>
      <c r="U61" s="171"/>
      <c r="V61" s="179">
        <f t="array" ref="V61">NPV('Pre-Calculation'!$E$20,$E62:E$246)</f>
        <v>0</v>
      </c>
      <c r="W61" s="171">
        <f>10%*SA</f>
        <v>100000</v>
      </c>
      <c r="X61" s="179">
        <f t="array" ref="X61">NPV('Pre-Calculation'!$E$20,W62:W71)</f>
        <v>969592.8037</v>
      </c>
      <c r="Y61" s="12"/>
      <c r="Z61" s="12"/>
    </row>
    <row r="62" ht="15.75" customHeight="1">
      <c r="A62" s="171">
        <f t="shared" si="1"/>
        <v>116</v>
      </c>
      <c r="B62" s="171">
        <f t="shared" si="2"/>
        <v>10</v>
      </c>
      <c r="C62" s="176">
        <f>EDATE(RCD,A61)</f>
        <v>46052</v>
      </c>
      <c r="D62" s="171">
        <f>Age_At_Entry+Cashflows_HIST!B62-1</f>
        <v>44</v>
      </c>
      <c r="E62" s="175">
        <f>IF(AND(C62&lt;=Last_Prem,MOD(A61,Mode)=0,C62&gt;INPUT!$C$13,A62&lt;=Revival!$C$11),Mod_Prem,0)</f>
        <v>0</v>
      </c>
      <c r="F62" s="177">
        <f>E62*VLOOKUP(B62,'Pre-Calculation'!$H$1:$I$31,2,FALSE)</f>
        <v>0</v>
      </c>
      <c r="G62" s="177">
        <f>IF(B62&lt;PT+1,VLOOKUP(B62,'Pre-Calculation'!$H$1:$L$32,3,FALSE)+VLOOKUP(B62,'Pre-Calculation'!$H$1:$L$32,4,FALSE)*'Pre-Calculation'!$D$7,0)</f>
        <v>830</v>
      </c>
      <c r="H62" s="175">
        <f>(E62-(F62+G62)*(1+Tax)+N61)</f>
        <v>1817961.467</v>
      </c>
      <c r="I62" s="175">
        <f>IF(B62&lt;PT+1,VLOOKUP(D62,'Pre-Calculation'!$N$3:$P$79,IF(INPUT!$C$4="M",2,3),FALSE)*(J62/1000)*(1/12),0)</f>
        <v>0</v>
      </c>
      <c r="J62" s="175">
        <f t="shared" si="3"/>
        <v>0</v>
      </c>
      <c r="K62" s="175">
        <f>(IF('Pre-Calculation'!$D$17="Type 4 a",MAX(SA,H62,1.05*Q62),IF('Pre-Calculation'!$D$17="Type 4 c",H62,IF('Pre-Calculation'!$D$17="Type 4 d",SA+H62,IF('Pre-Calculation'!$D$17="Type 4 e",MAX(SA,H62),IF('Pre-Calculation'!$D$17="Type 4 f",SA,IF('Pre-Calculation'!$D$17="Type 4 g",1000+H62,IF('Pre-Calculation'!$D$17="Type 4 h",SA+V62,IF('Pre-Calculation'!$D$17="Type 4 i",MAX(H62,Q62),IF('Pre-Calculation'!$D$17="Type 4 k",MAX(H62,1.01*Q62),IF('Pre-Calculation'!$D$17="Type 4 m",MAX(105%*Q62,SA+H62),IF('Pre-Calculation'!$D$17="Type 4 o",MAX(SA,105%*Q62)+V62+X62,IF('Pre-Calculation'!$D$17="Type 5",0)))))))))))))*IF(AND(A62&lt;Revival!$C$4,C62&gt;Revival!$D$12),PUP,1)</f>
        <v>1817961.467</v>
      </c>
      <c r="L62" s="175">
        <f>H62-I62*(1+Tax)</f>
        <v>1817961.467</v>
      </c>
      <c r="M62" s="175">
        <f>L62*(1+GROWTH_RATE_HIST)</f>
        <v>1837825.075</v>
      </c>
      <c r="N62" s="175">
        <f>M62+IF(MOD(A62,B62)=0,VLOOKUP(B62,'Pre-Calculation'!$H$1:$L$31,5,FALSE),0)*IF('Pre-Calculation'!$D$16="% OF FV",M62,IF(OR('Pre-Calculation'!$D$16="% OF AFV(24M)",'Pre-Calculation'!$D$16="% OF AFV(8Q)"),AVERAGE( $M39:$M62),IF('Pre-Calculation'!$D$16="% OF AFV(12M)",AVERAGE($M51:M62),IF('Pre-Calculation'!$D$16="% OF AFV(36M)",AVERAGE($M27:M62)))))</f>
        <v>1837825.075</v>
      </c>
      <c r="O62" s="175">
        <f t="shared" si="4"/>
        <v>1837825.075</v>
      </c>
      <c r="P62" s="175">
        <f>IF('Pre-Calculation'!$D$17="Type 4 a",MAX(SA,N62,1.05*Q62),IF('Pre-Calculation'!$D$17="Type 4 c",N62,IF('Pre-Calculation'!$D$17="Type 4 d",SA+N62,IF('Pre-Calculation'!$D$17="Type 4 e",MAX(SA,N62),IF('Pre-Calculation'!$D$17="Type 4 f",SA,IF('Pre-Calculation'!$D$17="Type 4 g",1000+N62,IF('Pre-Calculation'!$D$17="Type 4 h",SA+V62,IF('Pre-Calculation'!$D$17="Type 4 i",MAX(N62,Q62),IF('Pre-Calculation'!$D$17="Type 4 k",MAX(N62,1.01*Q62),IF('Pre-Calculation'!$D$17="Type 4 m",MAX(105%*Q62,SA+N62),IF('Pre-Calculation'!$D$17="Type 4 o",MAX(SA,105%*Q62)+V62+X62,IF('Pre-Calculation'!$D$17="Type 5",0))))))))))))</f>
        <v>1837825.075</v>
      </c>
      <c r="Q62" s="175">
        <f t="shared" si="5"/>
        <v>1000000</v>
      </c>
      <c r="R62" s="119">
        <f>L62*(1+GROWTH_RATE)*FMC</f>
        <v>2057.246199</v>
      </c>
      <c r="S62" s="112"/>
      <c r="T62" s="175">
        <f>-E62+IF(A61=INPUT!$C$11*12,N62,0)</f>
        <v>0</v>
      </c>
      <c r="U62" s="171"/>
      <c r="V62" s="179">
        <f t="array" ref="V62">NPV('Pre-Calculation'!$E$20,$E63:E$246)</f>
        <v>0</v>
      </c>
      <c r="W62" s="171">
        <f>10%*SA</f>
        <v>100000</v>
      </c>
      <c r="X62" s="179">
        <f t="array" ref="X62">NPV('Pre-Calculation'!$E$20,W63:W72)</f>
        <v>969592.8037</v>
      </c>
      <c r="Y62" s="12"/>
      <c r="Z62" s="12"/>
    </row>
    <row r="63" ht="15.75" customHeight="1">
      <c r="A63" s="171">
        <f t="shared" si="1"/>
        <v>117</v>
      </c>
      <c r="B63" s="171">
        <f t="shared" si="2"/>
        <v>10</v>
      </c>
      <c r="C63" s="176">
        <f>EDATE(RCD,A62)</f>
        <v>46081</v>
      </c>
      <c r="D63" s="171">
        <f>Age_At_Entry+Cashflows_HIST!B63-1</f>
        <v>44</v>
      </c>
      <c r="E63" s="175">
        <f>IF(AND(C63&lt;=Last_Prem,MOD(A62,Mode)=0,C63&gt;INPUT!$C$13,A63&lt;=Revival!$C$11),Mod_Prem,0)</f>
        <v>0</v>
      </c>
      <c r="F63" s="177">
        <f>E63*VLOOKUP(B63,'Pre-Calculation'!$H$1:$I$31,2,FALSE)</f>
        <v>0</v>
      </c>
      <c r="G63" s="177">
        <f>IF(B63&lt;PT+1,VLOOKUP(B63,'Pre-Calculation'!$H$1:$L$32,3,FALSE)+VLOOKUP(B63,'Pre-Calculation'!$H$1:$L$32,4,FALSE)*'Pre-Calculation'!$D$7,0)</f>
        <v>830</v>
      </c>
      <c r="H63" s="175">
        <f>(E63-(F63+G63)*(1+Tax)+N62)</f>
        <v>1836845.675</v>
      </c>
      <c r="I63" s="175">
        <f>IF(B63&lt;PT+1,VLOOKUP(D63,'Pre-Calculation'!$N$3:$P$79,IF(INPUT!$C$4="M",2,3),FALSE)*(J63/1000)*(1/12),0)</f>
        <v>0</v>
      </c>
      <c r="J63" s="175">
        <f t="shared" si="3"/>
        <v>0</v>
      </c>
      <c r="K63" s="175">
        <f>(IF('Pre-Calculation'!$D$17="Type 4 a",MAX(SA,H63,1.05*Q63),IF('Pre-Calculation'!$D$17="Type 4 c",H63,IF('Pre-Calculation'!$D$17="Type 4 d",SA+H63,IF('Pre-Calculation'!$D$17="Type 4 e",MAX(SA,H63),IF('Pre-Calculation'!$D$17="Type 4 f",SA,IF('Pre-Calculation'!$D$17="Type 4 g",1000+H63,IF('Pre-Calculation'!$D$17="Type 4 h",SA+V63,IF('Pre-Calculation'!$D$17="Type 4 i",MAX(H63,Q63),IF('Pre-Calculation'!$D$17="Type 4 k",MAX(H63,1.01*Q63),IF('Pre-Calculation'!$D$17="Type 4 m",MAX(105%*Q63,SA+H63),IF('Pre-Calculation'!$D$17="Type 4 o",MAX(SA,105%*Q63)+V63+X63,IF('Pre-Calculation'!$D$17="Type 5",0)))))))))))))*IF(AND(A63&lt;Revival!$C$4,C63&gt;Revival!$D$12),PUP,1)</f>
        <v>1836845.675</v>
      </c>
      <c r="L63" s="175">
        <f>H63-I63*(1+Tax)</f>
        <v>1836845.675</v>
      </c>
      <c r="M63" s="175">
        <f>L63*(1+GROWTH_RATE_HIST)</f>
        <v>1856915.617</v>
      </c>
      <c r="N63" s="175">
        <f>M63+IF(MOD(A63,B63)=0,VLOOKUP(B63,'Pre-Calculation'!$H$1:$L$31,5,FALSE),0)*IF('Pre-Calculation'!$D$16="% OF FV",M63,IF(OR('Pre-Calculation'!$D$16="% OF AFV(24M)",'Pre-Calculation'!$D$16="% OF AFV(8Q)"),AVERAGE( $M40:$M63),IF('Pre-Calculation'!$D$16="% OF AFV(12M)",AVERAGE($M52:M63),IF('Pre-Calculation'!$D$16="% OF AFV(36M)",AVERAGE($M28:M63)))))</f>
        <v>1856915.617</v>
      </c>
      <c r="O63" s="175">
        <f t="shared" si="4"/>
        <v>1856915.617</v>
      </c>
      <c r="P63" s="175">
        <f>IF('Pre-Calculation'!$D$17="Type 4 a",MAX(SA,N63,1.05*Q63),IF('Pre-Calculation'!$D$17="Type 4 c",N63,IF('Pre-Calculation'!$D$17="Type 4 d",SA+N63,IF('Pre-Calculation'!$D$17="Type 4 e",MAX(SA,N63),IF('Pre-Calculation'!$D$17="Type 4 f",SA,IF('Pre-Calculation'!$D$17="Type 4 g",1000+N63,IF('Pre-Calculation'!$D$17="Type 4 h",SA+V63,IF('Pre-Calculation'!$D$17="Type 4 i",MAX(N63,Q63),IF('Pre-Calculation'!$D$17="Type 4 k",MAX(N63,1.01*Q63),IF('Pre-Calculation'!$D$17="Type 4 m",MAX(105%*Q63,SA+N63),IF('Pre-Calculation'!$D$17="Type 4 o",MAX(SA,105%*Q63)+V63+X63,IF('Pre-Calculation'!$D$17="Type 5",0))))))))))))</f>
        <v>1856915.617</v>
      </c>
      <c r="Q63" s="175">
        <f t="shared" si="5"/>
        <v>1000000</v>
      </c>
      <c r="R63" s="119">
        <f>L63*(1+GROWTH_RATE)*FMC</f>
        <v>2078.615994</v>
      </c>
      <c r="S63" s="112"/>
      <c r="T63" s="175">
        <f>-E63+IF(A62=INPUT!$C$11*12,N63,0)</f>
        <v>0</v>
      </c>
      <c r="U63" s="171"/>
      <c r="V63" s="179">
        <f t="array" ref="V63">NPV('Pre-Calculation'!$E$20,$E64:E$246)</f>
        <v>0</v>
      </c>
      <c r="W63" s="171">
        <f>10%*SA</f>
        <v>100000</v>
      </c>
      <c r="X63" s="179">
        <f t="array" ref="X63">NPV('Pre-Calculation'!$E$20,W64:W73)</f>
        <v>969592.8037</v>
      </c>
      <c r="Y63" s="12"/>
      <c r="Z63" s="12"/>
    </row>
    <row r="64" ht="15.75" customHeight="1">
      <c r="A64" s="171">
        <f t="shared" si="1"/>
        <v>118</v>
      </c>
      <c r="B64" s="171">
        <f t="shared" si="2"/>
        <v>10</v>
      </c>
      <c r="C64" s="176">
        <f>EDATE(RCD,A63)</f>
        <v>46111</v>
      </c>
      <c r="D64" s="171">
        <f>Age_At_Entry+Cashflows_HIST!B64-1</f>
        <v>44</v>
      </c>
      <c r="E64" s="175">
        <f>IF(AND(C64&lt;=Last_Prem,MOD(A63,Mode)=0,C64&gt;INPUT!$C$13,A64&lt;=Revival!$C$11),Mod_Prem,0)</f>
        <v>0</v>
      </c>
      <c r="F64" s="177">
        <f>E64*VLOOKUP(B64,'Pre-Calculation'!$H$1:$I$31,2,FALSE)</f>
        <v>0</v>
      </c>
      <c r="G64" s="177">
        <f>IF(B64&lt;PT+1,VLOOKUP(B64,'Pre-Calculation'!$H$1:$L$32,3,FALSE)+VLOOKUP(B64,'Pre-Calculation'!$H$1:$L$32,4,FALSE)*'Pre-Calculation'!$D$7,0)</f>
        <v>830</v>
      </c>
      <c r="H64" s="175">
        <f>(E64-(F64+G64)*(1+Tax)+N63)</f>
        <v>1855936.217</v>
      </c>
      <c r="I64" s="175">
        <f>IF(B64&lt;PT+1,VLOOKUP(D64,'Pre-Calculation'!$N$3:$P$79,IF(INPUT!$C$4="M",2,3),FALSE)*(J64/1000)*(1/12),0)</f>
        <v>0</v>
      </c>
      <c r="J64" s="175">
        <f t="shared" si="3"/>
        <v>0</v>
      </c>
      <c r="K64" s="175">
        <f>(IF('Pre-Calculation'!$D$17="Type 4 a",MAX(SA,H64,1.05*Q64),IF('Pre-Calculation'!$D$17="Type 4 c",H64,IF('Pre-Calculation'!$D$17="Type 4 d",SA+H64,IF('Pre-Calculation'!$D$17="Type 4 e",MAX(SA,H64),IF('Pre-Calculation'!$D$17="Type 4 f",SA,IF('Pre-Calculation'!$D$17="Type 4 g",1000+H64,IF('Pre-Calculation'!$D$17="Type 4 h",SA+V64,IF('Pre-Calculation'!$D$17="Type 4 i",MAX(H64,Q64),IF('Pre-Calculation'!$D$17="Type 4 k",MAX(H64,1.01*Q64),IF('Pre-Calculation'!$D$17="Type 4 m",MAX(105%*Q64,SA+H64),IF('Pre-Calculation'!$D$17="Type 4 o",MAX(SA,105%*Q64)+V64+X64,IF('Pre-Calculation'!$D$17="Type 5",0)))))))))))))*IF(AND(A64&lt;Revival!$C$4,C64&gt;Revival!$D$12),PUP,1)</f>
        <v>1855936.217</v>
      </c>
      <c r="L64" s="175">
        <f>H64-I64*(1+Tax)</f>
        <v>1855936.217</v>
      </c>
      <c r="M64" s="175">
        <f>L64*(1+GROWTH_RATE_HIST)</f>
        <v>1876214.748</v>
      </c>
      <c r="N64" s="175">
        <f>M64+IF(MOD(A64,B64)=0,VLOOKUP(B64,'Pre-Calculation'!$H$1:$L$31,5,FALSE),0)*IF('Pre-Calculation'!$D$16="% OF FV",M64,IF(OR('Pre-Calculation'!$D$16="% OF AFV(24M)",'Pre-Calculation'!$D$16="% OF AFV(8Q)"),AVERAGE( $M41:$M64),IF('Pre-Calculation'!$D$16="% OF AFV(12M)",AVERAGE($M53:M64),IF('Pre-Calculation'!$D$16="% OF AFV(36M)",AVERAGE($M29:M64)))))</f>
        <v>1876214.748</v>
      </c>
      <c r="O64" s="175">
        <f t="shared" si="4"/>
        <v>1876214.748</v>
      </c>
      <c r="P64" s="175">
        <f>IF('Pre-Calculation'!$D$17="Type 4 a",MAX(SA,N64,1.05*Q64),IF('Pre-Calculation'!$D$17="Type 4 c",N64,IF('Pre-Calculation'!$D$17="Type 4 d",SA+N64,IF('Pre-Calculation'!$D$17="Type 4 e",MAX(SA,N64),IF('Pre-Calculation'!$D$17="Type 4 f",SA,IF('Pre-Calculation'!$D$17="Type 4 g",1000+N64,IF('Pre-Calculation'!$D$17="Type 4 h",SA+V64,IF('Pre-Calculation'!$D$17="Type 4 i",MAX(N64,Q64),IF('Pre-Calculation'!$D$17="Type 4 k",MAX(N64,1.01*Q64),IF('Pre-Calculation'!$D$17="Type 4 m",MAX(105%*Q64,SA+N64),IF('Pre-Calculation'!$D$17="Type 4 o",MAX(SA,105%*Q64)+V64+X64,IF('Pre-Calculation'!$D$17="Type 5",0))))))))))))</f>
        <v>1876214.748</v>
      </c>
      <c r="Q64" s="175">
        <f t="shared" si="5"/>
        <v>1000000</v>
      </c>
      <c r="R64" s="119">
        <f>L64*(1+GROWTH_RATE)*FMC</f>
        <v>2100.219282</v>
      </c>
      <c r="S64" s="112"/>
      <c r="T64" s="175">
        <f>-E64+IF(A63=INPUT!$C$11*12,N64,0)</f>
        <v>0</v>
      </c>
      <c r="U64" s="171"/>
      <c r="V64" s="179">
        <f t="array" ref="V64">NPV('Pre-Calculation'!$E$20,$E65:E$246)</f>
        <v>0</v>
      </c>
      <c r="W64" s="171">
        <f>10%*SA</f>
        <v>100000</v>
      </c>
      <c r="X64" s="179">
        <f t="array" ref="X64">NPV('Pre-Calculation'!$E$20,W65:W74)</f>
        <v>969592.8037</v>
      </c>
      <c r="Y64" s="12"/>
      <c r="Z64" s="12"/>
    </row>
    <row r="65" ht="15.75" customHeight="1">
      <c r="A65" s="171">
        <f t="shared" si="1"/>
        <v>119</v>
      </c>
      <c r="B65" s="171">
        <f t="shared" si="2"/>
        <v>10</v>
      </c>
      <c r="C65" s="176">
        <f>EDATE(RCD,A64)</f>
        <v>46142</v>
      </c>
      <c r="D65" s="171">
        <f>Age_At_Entry+Cashflows_HIST!B65-1</f>
        <v>44</v>
      </c>
      <c r="E65" s="175">
        <f>IF(AND(C65&lt;=Last_Prem,MOD(A64,Mode)=0,C65&gt;INPUT!$C$13,A65&lt;=Revival!$C$11),Mod_Prem,0)</f>
        <v>0</v>
      </c>
      <c r="F65" s="177">
        <f>E65*VLOOKUP(B65,'Pre-Calculation'!$H$1:$I$31,2,FALSE)</f>
        <v>0</v>
      </c>
      <c r="G65" s="177">
        <f>IF(B65&lt;PT+1,VLOOKUP(B65,'Pre-Calculation'!$H$1:$L$32,3,FALSE)+VLOOKUP(B65,'Pre-Calculation'!$H$1:$L$32,4,FALSE)*'Pre-Calculation'!$D$7,0)</f>
        <v>830</v>
      </c>
      <c r="H65" s="175">
        <f>(E65-(F65+G65)*(1+Tax)+N64)</f>
        <v>1875235.348</v>
      </c>
      <c r="I65" s="175">
        <f>IF(B65&lt;PT+1,VLOOKUP(D65,'Pre-Calculation'!$N$3:$P$79,IF(INPUT!$C$4="M",2,3),FALSE)*(J65/1000)*(1/12),0)</f>
        <v>0</v>
      </c>
      <c r="J65" s="175">
        <f t="shared" si="3"/>
        <v>0</v>
      </c>
      <c r="K65" s="175">
        <f>(IF('Pre-Calculation'!$D$17="Type 4 a",MAX(SA,H65,1.05*Q65),IF('Pre-Calculation'!$D$17="Type 4 c",H65,IF('Pre-Calculation'!$D$17="Type 4 d",SA+H65,IF('Pre-Calculation'!$D$17="Type 4 e",MAX(SA,H65),IF('Pre-Calculation'!$D$17="Type 4 f",SA,IF('Pre-Calculation'!$D$17="Type 4 g",1000+H65,IF('Pre-Calculation'!$D$17="Type 4 h",SA+V65,IF('Pre-Calculation'!$D$17="Type 4 i",MAX(H65,Q65),IF('Pre-Calculation'!$D$17="Type 4 k",MAX(H65,1.01*Q65),IF('Pre-Calculation'!$D$17="Type 4 m",MAX(105%*Q65,SA+H65),IF('Pre-Calculation'!$D$17="Type 4 o",MAX(SA,105%*Q65)+V65+X65,IF('Pre-Calculation'!$D$17="Type 5",0)))))))))))))*IF(AND(A65&lt;Revival!$C$4,C65&gt;Revival!$D$12),PUP,1)</f>
        <v>1875235.348</v>
      </c>
      <c r="L65" s="175">
        <f>H65-I65*(1+Tax)</f>
        <v>1875235.348</v>
      </c>
      <c r="M65" s="175">
        <f>L65*(1+GROWTH_RATE_HIST)</f>
        <v>1895724.748</v>
      </c>
      <c r="N65" s="175">
        <f>M65+IF(MOD(A65,B65)=0,VLOOKUP(B65,'Pre-Calculation'!$H$1:$L$31,5,FALSE),0)*IF('Pre-Calculation'!$D$16="% OF FV",M65,IF(OR('Pre-Calculation'!$D$16="% OF AFV(24M)",'Pre-Calculation'!$D$16="% OF AFV(8Q)"),AVERAGE( $M42:$M65),IF('Pre-Calculation'!$D$16="% OF AFV(12M)",AVERAGE($M54:M65),IF('Pre-Calculation'!$D$16="% OF AFV(36M)",AVERAGE($M30:M65)))))</f>
        <v>1895724.748</v>
      </c>
      <c r="O65" s="175">
        <f t="shared" si="4"/>
        <v>1895724.748</v>
      </c>
      <c r="P65" s="175">
        <f>IF('Pre-Calculation'!$D$17="Type 4 a",MAX(SA,N65,1.05*Q65),IF('Pre-Calculation'!$D$17="Type 4 c",N65,IF('Pre-Calculation'!$D$17="Type 4 d",SA+N65,IF('Pre-Calculation'!$D$17="Type 4 e",MAX(SA,N65),IF('Pre-Calculation'!$D$17="Type 4 f",SA,IF('Pre-Calculation'!$D$17="Type 4 g",1000+N65,IF('Pre-Calculation'!$D$17="Type 4 h",SA+V65,IF('Pre-Calculation'!$D$17="Type 4 i",MAX(N65,Q65),IF('Pre-Calculation'!$D$17="Type 4 k",MAX(N65,1.01*Q65),IF('Pre-Calculation'!$D$17="Type 4 m",MAX(105%*Q65,SA+N65),IF('Pre-Calculation'!$D$17="Type 4 o",MAX(SA,105%*Q65)+V65+X65,IF('Pre-Calculation'!$D$17="Type 5",0))))))))))))</f>
        <v>1895724.748</v>
      </c>
      <c r="Q65" s="175">
        <f t="shared" si="5"/>
        <v>1000000</v>
      </c>
      <c r="R65" s="119">
        <f>L65*(1+GROWTH_RATE)*FMC</f>
        <v>2122.058614</v>
      </c>
      <c r="S65" s="112"/>
      <c r="T65" s="175">
        <f>-E65+IF(A64=INPUT!$C$11*12,N65,0)</f>
        <v>0</v>
      </c>
      <c r="U65" s="171"/>
      <c r="V65" s="179">
        <f t="array" ref="V65">NPV('Pre-Calculation'!$E$20,$E66:E$246)</f>
        <v>0</v>
      </c>
      <c r="W65" s="171">
        <f>10%*SA</f>
        <v>100000</v>
      </c>
      <c r="X65" s="179">
        <f t="array" ref="X65">NPV('Pre-Calculation'!$E$20,W66:W75)</f>
        <v>969592.8037</v>
      </c>
      <c r="Y65" s="12"/>
      <c r="Z65" s="12"/>
    </row>
    <row r="66" ht="15.75" customHeight="1">
      <c r="A66" s="171">
        <f t="shared" si="1"/>
        <v>120</v>
      </c>
      <c r="B66" s="171">
        <f t="shared" si="2"/>
        <v>10</v>
      </c>
      <c r="C66" s="176">
        <f>EDATE(RCD,A65)</f>
        <v>46172</v>
      </c>
      <c r="D66" s="171">
        <f>Age_At_Entry+Cashflows_HIST!B66-1</f>
        <v>44</v>
      </c>
      <c r="E66" s="175">
        <f>IF(AND(C66&lt;=Last_Prem,MOD(A65,Mode)=0,C66&gt;INPUT!$C$13,A66&lt;=Revival!$C$11),Mod_Prem,0)</f>
        <v>0</v>
      </c>
      <c r="F66" s="177">
        <f>E66*VLOOKUP(B66,'Pre-Calculation'!$H$1:$I$31,2,FALSE)</f>
        <v>0</v>
      </c>
      <c r="G66" s="177">
        <f>IF(B66&lt;PT+1,VLOOKUP(B66,'Pre-Calculation'!$H$1:$L$32,3,FALSE)+VLOOKUP(B66,'Pre-Calculation'!$H$1:$L$32,4,FALSE)*'Pre-Calculation'!$D$7,0)</f>
        <v>830</v>
      </c>
      <c r="H66" s="175">
        <f>(E66-(F66+G66)*(1+Tax)+N65)</f>
        <v>1894745.348</v>
      </c>
      <c r="I66" s="175">
        <f>IF(B66&lt;PT+1,VLOOKUP(D66,'Pre-Calculation'!$N$3:$P$79,IF(INPUT!$C$4="M",2,3),FALSE)*(J66/1000)*(1/12),0)</f>
        <v>0</v>
      </c>
      <c r="J66" s="175">
        <f t="shared" si="3"/>
        <v>0</v>
      </c>
      <c r="K66" s="175">
        <f>(IF('Pre-Calculation'!$D$17="Type 4 a",MAX(SA,H66,1.05*Q66),IF('Pre-Calculation'!$D$17="Type 4 c",H66,IF('Pre-Calculation'!$D$17="Type 4 d",SA+H66,IF('Pre-Calculation'!$D$17="Type 4 e",MAX(SA,H66),IF('Pre-Calculation'!$D$17="Type 4 f",SA,IF('Pre-Calculation'!$D$17="Type 4 g",1000+H66,IF('Pre-Calculation'!$D$17="Type 4 h",SA+V66,IF('Pre-Calculation'!$D$17="Type 4 i",MAX(H66,Q66),IF('Pre-Calculation'!$D$17="Type 4 k",MAX(H66,1.01*Q66),IF('Pre-Calculation'!$D$17="Type 4 m",MAX(105%*Q66,SA+H66),IF('Pre-Calculation'!$D$17="Type 4 o",MAX(SA,105%*Q66)+V66+X66,IF('Pre-Calculation'!$D$17="Type 5",0)))))))))))))*IF(AND(A66&lt;Revival!$C$4,C66&gt;Revival!$D$12),PUP,1)</f>
        <v>1894745.348</v>
      </c>
      <c r="L66" s="175">
        <f>H66-I66*(1+Tax)</f>
        <v>1894745.348</v>
      </c>
      <c r="M66" s="175">
        <f>L66*(1+GROWTH_RATE_HIST)</f>
        <v>1915447.92</v>
      </c>
      <c r="N66" s="175">
        <f>M66+IF(MOD(A66,B66)=0,VLOOKUP(B66,'Pre-Calculation'!$H$1:$L$31,5,FALSE),0)*IF('Pre-Calculation'!$D$16="% OF FV",M66,IF(OR('Pre-Calculation'!$D$16="% OF AFV(24M)",'Pre-Calculation'!$D$16="% OF AFV(8Q)"),AVERAGE( $M43:$M66),IF('Pre-Calculation'!$D$16="% OF AFV(12M)",AVERAGE($M55:M66),IF('Pre-Calculation'!$D$16="% OF AFV(36M)",AVERAGE($M31:M66)))))</f>
        <v>1915447.92</v>
      </c>
      <c r="O66" s="175">
        <f t="shared" si="4"/>
        <v>1915447.92</v>
      </c>
      <c r="P66" s="175">
        <f>IF('Pre-Calculation'!$D$17="Type 4 a",MAX(SA,N66,1.05*Q66),IF('Pre-Calculation'!$D$17="Type 4 c",N66,IF('Pre-Calculation'!$D$17="Type 4 d",SA+N66,IF('Pre-Calculation'!$D$17="Type 4 e",MAX(SA,N66),IF('Pre-Calculation'!$D$17="Type 4 f",SA,IF('Pre-Calculation'!$D$17="Type 4 g",1000+N66,IF('Pre-Calculation'!$D$17="Type 4 h",SA+V66,IF('Pre-Calculation'!$D$17="Type 4 i",MAX(N66,Q66),IF('Pre-Calculation'!$D$17="Type 4 k",MAX(N66,1.01*Q66),IF('Pre-Calculation'!$D$17="Type 4 m",MAX(105%*Q66,SA+N66),IF('Pre-Calculation'!$D$17="Type 4 o",MAX(SA,105%*Q66)+V66+X66,IF('Pre-Calculation'!$D$17="Type 5",0))))))))))))</f>
        <v>1915447.92</v>
      </c>
      <c r="Q66" s="175">
        <f t="shared" si="5"/>
        <v>1000000</v>
      </c>
      <c r="R66" s="119">
        <f>L66*(1+GROWTH_RATE)*FMC</f>
        <v>2144.13657</v>
      </c>
      <c r="S66" s="112"/>
      <c r="T66" s="175">
        <f>-E66+IF(A65=INPUT!$C$11*12,N66,0)</f>
        <v>0</v>
      </c>
      <c r="U66" s="171"/>
      <c r="V66" s="179">
        <f t="array" ref="V66">NPV('Pre-Calculation'!$E$20,$E67:E$246)</f>
        <v>0</v>
      </c>
      <c r="W66" s="171">
        <f>10%*SA</f>
        <v>100000</v>
      </c>
      <c r="X66" s="179">
        <f t="array" ref="X66">NPV('Pre-Calculation'!$E$20,W67:W76)</f>
        <v>969592.8037</v>
      </c>
      <c r="Y66" s="12"/>
      <c r="Z66" s="12"/>
    </row>
    <row r="67" ht="15.75" customHeight="1">
      <c r="A67" s="171">
        <f t="shared" si="1"/>
        <v>121</v>
      </c>
      <c r="B67" s="171">
        <f t="shared" si="2"/>
        <v>11</v>
      </c>
      <c r="C67" s="176">
        <f>EDATE(RCD,A66)</f>
        <v>46203</v>
      </c>
      <c r="D67" s="171">
        <f>Age_At_Entry+Cashflows_HIST!B67-1</f>
        <v>45</v>
      </c>
      <c r="E67" s="175">
        <f>IF(AND(C67&lt;=Last_Prem,MOD(A66,Mode)=0,C67&gt;INPUT!$C$13,A67&lt;=Revival!$C$11),Mod_Prem,0)</f>
        <v>0</v>
      </c>
      <c r="F67" s="177">
        <f>E67*VLOOKUP(B67,'Pre-Calculation'!$H$1:$I$31,2,FALSE)</f>
        <v>0</v>
      </c>
      <c r="G67" s="177">
        <f>IF(B67&lt;PT+1,VLOOKUP(B67,'Pre-Calculation'!$H$1:$L$32,3,FALSE)+VLOOKUP(B67,'Pre-Calculation'!$H$1:$L$32,4,FALSE)*'Pre-Calculation'!$D$7,0)</f>
        <v>0</v>
      </c>
      <c r="H67" s="175">
        <f>(E67-(F67+G67)*(1+Tax)+N66)</f>
        <v>1915447.92</v>
      </c>
      <c r="I67" s="175">
        <f>IF(B67&lt;PT+1,VLOOKUP(D67,'Pre-Calculation'!$N$3:$P$79,IF(INPUT!$C$4="M",2,3),FALSE)*(J67/1000)*(1/12),0)</f>
        <v>0</v>
      </c>
      <c r="J67" s="175">
        <f t="shared" si="3"/>
        <v>0</v>
      </c>
      <c r="K67" s="175">
        <f>(IF('Pre-Calculation'!$D$17="Type 4 a",MAX(SA,H67,1.05*Q67),IF('Pre-Calculation'!$D$17="Type 4 c",H67,IF('Pre-Calculation'!$D$17="Type 4 d",SA+H67,IF('Pre-Calculation'!$D$17="Type 4 e",MAX(SA,H67),IF('Pre-Calculation'!$D$17="Type 4 f",SA,IF('Pre-Calculation'!$D$17="Type 4 g",1000+H67,IF('Pre-Calculation'!$D$17="Type 4 h",SA+V67,IF('Pre-Calculation'!$D$17="Type 4 i",MAX(H67,Q67),IF('Pre-Calculation'!$D$17="Type 4 k",MAX(H67,1.01*Q67),IF('Pre-Calculation'!$D$17="Type 4 m",MAX(105%*Q67,SA+H67),IF('Pre-Calculation'!$D$17="Type 4 o",MAX(SA,105%*Q67)+V67+X67,IF('Pre-Calculation'!$D$17="Type 5",0)))))))))))))*IF(AND(A67&lt;Revival!$C$4,C67&gt;Revival!$D$12),PUP,1)</f>
        <v>1915447.92</v>
      </c>
      <c r="L67" s="175">
        <f>H67-I67*(1+Tax)</f>
        <v>1915447.92</v>
      </c>
      <c r="M67" s="175">
        <f>L67*(1+GROWTH_RATE_HIST)</f>
        <v>1936376.694</v>
      </c>
      <c r="N67" s="175">
        <f>M67+IF(MOD(A67,B67)=0,VLOOKUP(B67,'Pre-Calculation'!$H$1:$L$31,5,FALSE),0)*IF('Pre-Calculation'!$D$16="% OF FV",M67,IF(OR('Pre-Calculation'!$D$16="% OF AFV(24M)",'Pre-Calculation'!$D$16="% OF AFV(8Q)"),AVERAGE( $M44:$M67),IF('Pre-Calculation'!$D$16="% OF AFV(12M)",AVERAGE($M56:M67),IF('Pre-Calculation'!$D$16="% OF AFV(36M)",AVERAGE($M32:M67)))))</f>
        <v>1936376.694</v>
      </c>
      <c r="O67" s="175">
        <f t="shared" si="4"/>
        <v>1936376.694</v>
      </c>
      <c r="P67" s="175">
        <f>IF('Pre-Calculation'!$D$17="Type 4 a",MAX(SA,N67,1.05*Q67),IF('Pre-Calculation'!$D$17="Type 4 c",N67,IF('Pre-Calculation'!$D$17="Type 4 d",SA+N67,IF('Pre-Calculation'!$D$17="Type 4 e",MAX(SA,N67),IF('Pre-Calculation'!$D$17="Type 4 f",SA,IF('Pre-Calculation'!$D$17="Type 4 g",1000+N67,IF('Pre-Calculation'!$D$17="Type 4 h",SA+V67,IF('Pre-Calculation'!$D$17="Type 4 i",MAX(N67,Q67),IF('Pre-Calculation'!$D$17="Type 4 k",MAX(N67,1.01*Q67),IF('Pre-Calculation'!$D$17="Type 4 m",MAX(105%*Q67,SA+N67),IF('Pre-Calculation'!$D$17="Type 4 o",MAX(SA,105%*Q67)+V67+X67,IF('Pre-Calculation'!$D$17="Type 5",0))))))))))))</f>
        <v>1936376.694</v>
      </c>
      <c r="Q67" s="175">
        <f t="shared" si="5"/>
        <v>1000000</v>
      </c>
      <c r="R67" s="119">
        <f>L67*(1+GROWTH_RATE)*FMC</f>
        <v>2167.564067</v>
      </c>
      <c r="S67" s="112"/>
      <c r="T67" s="175">
        <f>-E67+IF(A66=INPUT!$C$11*12,N67,0)</f>
        <v>1936376.694</v>
      </c>
      <c r="U67" s="171"/>
      <c r="V67" s="179">
        <f t="array" ref="V67">NPV('Pre-Calculation'!$E$20,$E68:E$246)</f>
        <v>0</v>
      </c>
      <c r="W67" s="171">
        <f>10%*SA</f>
        <v>100000</v>
      </c>
      <c r="X67" s="179">
        <f t="array" ref="X67">NPV('Pre-Calculation'!$E$20,W68:W77)</f>
        <v>969592.8037</v>
      </c>
      <c r="Y67" s="12"/>
      <c r="Z67" s="12"/>
    </row>
    <row r="68" ht="15.75" customHeight="1">
      <c r="A68" s="171">
        <f t="shared" si="1"/>
        <v>122</v>
      </c>
      <c r="B68" s="171">
        <f t="shared" si="2"/>
        <v>11</v>
      </c>
      <c r="C68" s="176">
        <f>EDATE(RCD,A67)</f>
        <v>46233</v>
      </c>
      <c r="D68" s="171">
        <f>Age_At_Entry+Cashflows_HIST!B68-1</f>
        <v>45</v>
      </c>
      <c r="E68" s="175">
        <f>IF(AND(C68&lt;=Last_Prem,MOD(A67,Mode)=0,C68&gt;INPUT!$C$13,A68&lt;=Revival!$C$11),Mod_Prem,0)</f>
        <v>0</v>
      </c>
      <c r="F68" s="177">
        <f>E68*VLOOKUP(B68,'Pre-Calculation'!$H$1:$I$31,2,FALSE)</f>
        <v>0</v>
      </c>
      <c r="G68" s="177">
        <f>IF(B68&lt;PT+1,VLOOKUP(B68,'Pre-Calculation'!$H$1:$L$32,3,FALSE)+VLOOKUP(B68,'Pre-Calculation'!$H$1:$L$32,4,FALSE)*'Pre-Calculation'!$D$7,0)</f>
        <v>0</v>
      </c>
      <c r="H68" s="175">
        <f>(E68-(F68+G68)*(1+Tax)+N67)</f>
        <v>1936376.694</v>
      </c>
      <c r="I68" s="175">
        <f>IF(B68&lt;PT+1,VLOOKUP(D68,'Pre-Calculation'!$N$3:$P$79,IF(INPUT!$C$4="M",2,3),FALSE)*(J68/1000)*(1/12),0)</f>
        <v>0</v>
      </c>
      <c r="J68" s="175">
        <f t="shared" si="3"/>
        <v>0</v>
      </c>
      <c r="K68" s="175">
        <f>(IF('Pre-Calculation'!$D$17="Type 4 a",MAX(SA,H68,1.05*Q68),IF('Pre-Calculation'!$D$17="Type 4 c",H68,IF('Pre-Calculation'!$D$17="Type 4 d",SA+H68,IF('Pre-Calculation'!$D$17="Type 4 e",MAX(SA,H68),IF('Pre-Calculation'!$D$17="Type 4 f",SA,IF('Pre-Calculation'!$D$17="Type 4 g",1000+H68,IF('Pre-Calculation'!$D$17="Type 4 h",SA+V68,IF('Pre-Calculation'!$D$17="Type 4 i",MAX(H68,Q68),IF('Pre-Calculation'!$D$17="Type 4 k",MAX(H68,1.01*Q68),IF('Pre-Calculation'!$D$17="Type 4 m",MAX(105%*Q68,SA+H68),IF('Pre-Calculation'!$D$17="Type 4 o",MAX(SA,105%*Q68)+V68+X68,IF('Pre-Calculation'!$D$17="Type 5",0)))))))))))))*IF(AND(A68&lt;Revival!$C$4,C68&gt;Revival!$D$12),PUP,1)</f>
        <v>1936376.694</v>
      </c>
      <c r="L68" s="175">
        <f>H68-I68*(1+Tax)</f>
        <v>1936376.694</v>
      </c>
      <c r="M68" s="175">
        <f>L68*(1+GROWTH_RATE_HIST)</f>
        <v>1957534.143</v>
      </c>
      <c r="N68" s="175">
        <f>M68+IF(MOD(A68,B68)=0,VLOOKUP(B68,'Pre-Calculation'!$H$1:$L$31,5,FALSE),0)*IF('Pre-Calculation'!$D$16="% OF FV",M68,IF(OR('Pre-Calculation'!$D$16="% OF AFV(24M)",'Pre-Calculation'!$D$16="% OF AFV(8Q)"),AVERAGE( $M45:$M68),IF('Pre-Calculation'!$D$16="% OF AFV(12M)",AVERAGE($M57:M68),IF('Pre-Calculation'!$D$16="% OF AFV(36M)",AVERAGE($M33:M68)))))</f>
        <v>1957534.143</v>
      </c>
      <c r="O68" s="175">
        <f t="shared" si="4"/>
        <v>1957534.143</v>
      </c>
      <c r="P68" s="175">
        <f>IF('Pre-Calculation'!$D$17="Type 4 a",MAX(SA,N68,1.05*Q68),IF('Pre-Calculation'!$D$17="Type 4 c",N68,IF('Pre-Calculation'!$D$17="Type 4 d",SA+N68,IF('Pre-Calculation'!$D$17="Type 4 e",MAX(SA,N68),IF('Pre-Calculation'!$D$17="Type 4 f",SA,IF('Pre-Calculation'!$D$17="Type 4 g",1000+N68,IF('Pre-Calculation'!$D$17="Type 4 h",SA+V68,IF('Pre-Calculation'!$D$17="Type 4 i",MAX(N68,Q68),IF('Pre-Calculation'!$D$17="Type 4 k",MAX(N68,1.01*Q68),IF('Pre-Calculation'!$D$17="Type 4 m",MAX(105%*Q68,SA+N68),IF('Pre-Calculation'!$D$17="Type 4 o",MAX(SA,105%*Q68)+V68+X68,IF('Pre-Calculation'!$D$17="Type 5",0))))))))))))</f>
        <v>1957534.143</v>
      </c>
      <c r="Q68" s="175">
        <f t="shared" si="5"/>
        <v>1000000</v>
      </c>
      <c r="R68" s="119">
        <f>L68*(1+GROWTH_RATE)*FMC</f>
        <v>2191.247541</v>
      </c>
      <c r="S68" s="112"/>
      <c r="T68" s="175">
        <f>-E68+IF(A67=INPUT!$C$11*12,N68,0)</f>
        <v>0</v>
      </c>
      <c r="U68" s="171"/>
      <c r="V68" s="179">
        <f t="array" ref="V68">NPV('Pre-Calculation'!$E$20,$E69:E$246)</f>
        <v>0</v>
      </c>
      <c r="W68" s="171">
        <f>10%*SA</f>
        <v>100000</v>
      </c>
      <c r="X68" s="179">
        <f t="array" ref="X68">NPV('Pre-Calculation'!$E$20,W69:W78)</f>
        <v>969592.8037</v>
      </c>
      <c r="Y68" s="12"/>
      <c r="Z68" s="12"/>
    </row>
    <row r="69" ht="15.75" customHeight="1">
      <c r="A69" s="171">
        <f t="shared" si="1"/>
        <v>123</v>
      </c>
      <c r="B69" s="171">
        <f t="shared" si="2"/>
        <v>11</v>
      </c>
      <c r="C69" s="176">
        <f>EDATE(RCD,A68)</f>
        <v>46264</v>
      </c>
      <c r="D69" s="171">
        <f>Age_At_Entry+Cashflows_HIST!B69-1</f>
        <v>45</v>
      </c>
      <c r="E69" s="175">
        <f>IF(AND(C69&lt;=Last_Prem,MOD(A68,Mode)=0,C69&gt;INPUT!$C$13,A69&lt;=Revival!$C$11),Mod_Prem,0)</f>
        <v>0</v>
      </c>
      <c r="F69" s="177">
        <f>E69*VLOOKUP(B69,'Pre-Calculation'!$H$1:$I$31,2,FALSE)</f>
        <v>0</v>
      </c>
      <c r="G69" s="177">
        <f>IF(B69&lt;PT+1,VLOOKUP(B69,'Pre-Calculation'!$H$1:$L$32,3,FALSE)+VLOOKUP(B69,'Pre-Calculation'!$H$1:$L$32,4,FALSE)*'Pre-Calculation'!$D$7,0)</f>
        <v>0</v>
      </c>
      <c r="H69" s="175">
        <f>(E69-(F69+G69)*(1+Tax)+N68)</f>
        <v>1957534.143</v>
      </c>
      <c r="I69" s="175">
        <f>IF(B69&lt;PT+1,VLOOKUP(D69,'Pre-Calculation'!$N$3:$P$79,IF(INPUT!$C$4="M",2,3),FALSE)*(J69/1000)*(1/12),0)</f>
        <v>0</v>
      </c>
      <c r="J69" s="175">
        <f t="shared" si="3"/>
        <v>0</v>
      </c>
      <c r="K69" s="175">
        <f>(IF('Pre-Calculation'!$D$17="Type 4 a",MAX(SA,H69,1.05*Q69),IF('Pre-Calculation'!$D$17="Type 4 c",H69,IF('Pre-Calculation'!$D$17="Type 4 d",SA+H69,IF('Pre-Calculation'!$D$17="Type 4 e",MAX(SA,H69),IF('Pre-Calculation'!$D$17="Type 4 f",SA,IF('Pre-Calculation'!$D$17="Type 4 g",1000+H69,IF('Pre-Calculation'!$D$17="Type 4 h",SA+V69,IF('Pre-Calculation'!$D$17="Type 4 i",MAX(H69,Q69),IF('Pre-Calculation'!$D$17="Type 4 k",MAX(H69,1.01*Q69),IF('Pre-Calculation'!$D$17="Type 4 m",MAX(105%*Q69,SA+H69),IF('Pre-Calculation'!$D$17="Type 4 o",MAX(SA,105%*Q69)+V69+X69,IF('Pre-Calculation'!$D$17="Type 5",0)))))))))))))*IF(AND(A69&lt;Revival!$C$4,C69&gt;Revival!$D$12),PUP,1)</f>
        <v>1957534.143</v>
      </c>
      <c r="L69" s="175">
        <f>H69-I69*(1+Tax)</f>
        <v>1957534.143</v>
      </c>
      <c r="M69" s="175">
        <f>L69*(1+GROWTH_RATE_HIST)</f>
        <v>1978922.765</v>
      </c>
      <c r="N69" s="175">
        <f>M69+IF(MOD(A69,B69)=0,VLOOKUP(B69,'Pre-Calculation'!$H$1:$L$31,5,FALSE),0)*IF('Pre-Calculation'!$D$16="% OF FV",M69,IF(OR('Pre-Calculation'!$D$16="% OF AFV(24M)",'Pre-Calculation'!$D$16="% OF AFV(8Q)"),AVERAGE( $M46:$M69),IF('Pre-Calculation'!$D$16="% OF AFV(12M)",AVERAGE($M58:M69),IF('Pre-Calculation'!$D$16="% OF AFV(36M)",AVERAGE($M34:M69)))))</f>
        <v>1978922.765</v>
      </c>
      <c r="O69" s="175">
        <f t="shared" si="4"/>
        <v>1978922.765</v>
      </c>
      <c r="P69" s="175">
        <f>IF('Pre-Calculation'!$D$17="Type 4 a",MAX(SA,N69,1.05*Q69),IF('Pre-Calculation'!$D$17="Type 4 c",N69,IF('Pre-Calculation'!$D$17="Type 4 d",SA+N69,IF('Pre-Calculation'!$D$17="Type 4 e",MAX(SA,N69),IF('Pre-Calculation'!$D$17="Type 4 f",SA,IF('Pre-Calculation'!$D$17="Type 4 g",1000+N69,IF('Pre-Calculation'!$D$17="Type 4 h",SA+V69,IF('Pre-Calculation'!$D$17="Type 4 i",MAX(N69,Q69),IF('Pre-Calculation'!$D$17="Type 4 k",MAX(N69,1.01*Q69),IF('Pre-Calculation'!$D$17="Type 4 m",MAX(105%*Q69,SA+N69),IF('Pre-Calculation'!$D$17="Type 4 o",MAX(SA,105%*Q69)+V69+X69,IF('Pre-Calculation'!$D$17="Type 5",0))))))))))))</f>
        <v>1978922.765</v>
      </c>
      <c r="Q69" s="175">
        <f t="shared" si="5"/>
        <v>1000000</v>
      </c>
      <c r="R69" s="119">
        <f>L69*(1+GROWTH_RATE)*FMC</f>
        <v>2215.189787</v>
      </c>
      <c r="S69" s="112"/>
      <c r="T69" s="175">
        <f>-E69+IF(A68=INPUT!$C$11*12,N69,0)</f>
        <v>0</v>
      </c>
      <c r="U69" s="171"/>
      <c r="V69" s="179">
        <f t="array" ref="V69">NPV('Pre-Calculation'!$E$20,$E70:E$246)</f>
        <v>0</v>
      </c>
      <c r="W69" s="171">
        <f>10%*SA</f>
        <v>100000</v>
      </c>
      <c r="X69" s="179">
        <f t="array" ref="X69">NPV('Pre-Calculation'!$E$20,W70:W79)</f>
        <v>969592.8037</v>
      </c>
      <c r="Y69" s="12"/>
      <c r="Z69" s="12"/>
    </row>
    <row r="70" ht="15.75" customHeight="1">
      <c r="A70" s="171">
        <f t="shared" si="1"/>
        <v>124</v>
      </c>
      <c r="B70" s="171">
        <f t="shared" si="2"/>
        <v>11</v>
      </c>
      <c r="C70" s="176">
        <f>EDATE(RCD,A69)</f>
        <v>46295</v>
      </c>
      <c r="D70" s="171">
        <f>Age_At_Entry+Cashflows_HIST!B70-1</f>
        <v>45</v>
      </c>
      <c r="E70" s="175">
        <f>IF(AND(C70&lt;=Last_Prem,MOD(A69,Mode)=0,C70&gt;INPUT!$C$13,A70&lt;=Revival!$C$11),Mod_Prem,0)</f>
        <v>0</v>
      </c>
      <c r="F70" s="177">
        <f>E70*VLOOKUP(B70,'Pre-Calculation'!$H$1:$I$31,2,FALSE)</f>
        <v>0</v>
      </c>
      <c r="G70" s="177">
        <f>IF(B70&lt;PT+1,VLOOKUP(B70,'Pre-Calculation'!$H$1:$L$32,3,FALSE)+VLOOKUP(B70,'Pre-Calculation'!$H$1:$L$32,4,FALSE)*'Pre-Calculation'!$D$7,0)</f>
        <v>0</v>
      </c>
      <c r="H70" s="175">
        <f>(E70-(F70+G70)*(1+Tax)+N69)</f>
        <v>1978922.765</v>
      </c>
      <c r="I70" s="175">
        <f>IF(B70&lt;PT+1,VLOOKUP(D70,'Pre-Calculation'!$N$3:$P$79,IF(INPUT!$C$4="M",2,3),FALSE)*(J70/1000)*(1/12),0)</f>
        <v>0</v>
      </c>
      <c r="J70" s="175">
        <f t="shared" si="3"/>
        <v>0</v>
      </c>
      <c r="K70" s="175">
        <f>(IF('Pre-Calculation'!$D$17="Type 4 a",MAX(SA,H70,1.05*Q70),IF('Pre-Calculation'!$D$17="Type 4 c",H70,IF('Pre-Calculation'!$D$17="Type 4 d",SA+H70,IF('Pre-Calculation'!$D$17="Type 4 e",MAX(SA,H70),IF('Pre-Calculation'!$D$17="Type 4 f",SA,IF('Pre-Calculation'!$D$17="Type 4 g",1000+H70,IF('Pre-Calculation'!$D$17="Type 4 h",SA+V70,IF('Pre-Calculation'!$D$17="Type 4 i",MAX(H70,Q70),IF('Pre-Calculation'!$D$17="Type 4 k",MAX(H70,1.01*Q70),IF('Pre-Calculation'!$D$17="Type 4 m",MAX(105%*Q70,SA+H70),IF('Pre-Calculation'!$D$17="Type 4 o",MAX(SA,105%*Q70)+V70+X70,IF('Pre-Calculation'!$D$17="Type 5",0)))))))))))))*IF(AND(A70&lt;Revival!$C$4,C70&gt;Revival!$D$12),PUP,1)</f>
        <v>1978922.765</v>
      </c>
      <c r="L70" s="175">
        <f>H70-I70*(1+Tax)</f>
        <v>1978922.765</v>
      </c>
      <c r="M70" s="175">
        <f>L70*(1+GROWTH_RATE_HIST)</f>
        <v>2000545.085</v>
      </c>
      <c r="N70" s="175">
        <f>M70+IF(MOD(A70,B70)=0,VLOOKUP(B70,'Pre-Calculation'!$H$1:$L$31,5,FALSE),0)*IF('Pre-Calculation'!$D$16="% OF FV",M70,IF(OR('Pre-Calculation'!$D$16="% OF AFV(24M)",'Pre-Calculation'!$D$16="% OF AFV(8Q)"),AVERAGE( $M47:$M70),IF('Pre-Calculation'!$D$16="% OF AFV(12M)",AVERAGE($M59:M70),IF('Pre-Calculation'!$D$16="% OF AFV(36M)",AVERAGE($M35:M70)))))</f>
        <v>2000545.085</v>
      </c>
      <c r="O70" s="175">
        <f t="shared" si="4"/>
        <v>2000545.085</v>
      </c>
      <c r="P70" s="175">
        <f>IF('Pre-Calculation'!$D$17="Type 4 a",MAX(SA,N70,1.05*Q70),IF('Pre-Calculation'!$D$17="Type 4 c",N70,IF('Pre-Calculation'!$D$17="Type 4 d",SA+N70,IF('Pre-Calculation'!$D$17="Type 4 e",MAX(SA,N70),IF('Pre-Calculation'!$D$17="Type 4 f",SA,IF('Pre-Calculation'!$D$17="Type 4 g",1000+N70,IF('Pre-Calculation'!$D$17="Type 4 h",SA+V70,IF('Pre-Calculation'!$D$17="Type 4 i",MAX(N70,Q70),IF('Pre-Calculation'!$D$17="Type 4 k",MAX(N70,1.01*Q70),IF('Pre-Calculation'!$D$17="Type 4 m",MAX(105%*Q70,SA+N70),IF('Pre-Calculation'!$D$17="Type 4 o",MAX(SA,105%*Q70)+V70+X70,IF('Pre-Calculation'!$D$17="Type 5",0))))))))))))</f>
        <v>2000545.085</v>
      </c>
      <c r="Q70" s="175">
        <f t="shared" si="5"/>
        <v>1000000</v>
      </c>
      <c r="R70" s="119">
        <f>L70*(1+GROWTH_RATE)*FMC</f>
        <v>2239.393634</v>
      </c>
      <c r="S70" s="112"/>
      <c r="T70" s="175">
        <f>-E70+IF(A69=INPUT!$C$11*12,N70,0)</f>
        <v>0</v>
      </c>
      <c r="U70" s="171"/>
      <c r="V70" s="179">
        <f t="array" ref="V70">NPV('Pre-Calculation'!$E$20,$E71:E$246)</f>
        <v>0</v>
      </c>
      <c r="W70" s="171">
        <f>10%*SA</f>
        <v>100000</v>
      </c>
      <c r="X70" s="179">
        <f t="array" ref="X70">NPV('Pre-Calculation'!$E$20,W71:W80)</f>
        <v>969592.8037</v>
      </c>
      <c r="Y70" s="12"/>
      <c r="Z70" s="12"/>
    </row>
    <row r="71" ht="15.75" customHeight="1">
      <c r="A71" s="171">
        <f t="shared" si="1"/>
        <v>125</v>
      </c>
      <c r="B71" s="171">
        <f t="shared" si="2"/>
        <v>11</v>
      </c>
      <c r="C71" s="176">
        <f>EDATE(RCD,A70)</f>
        <v>46325</v>
      </c>
      <c r="D71" s="171">
        <f>Age_At_Entry+Cashflows_HIST!B71-1</f>
        <v>45</v>
      </c>
      <c r="E71" s="175">
        <f>IF(AND(C71&lt;=Last_Prem,MOD(A70,Mode)=0,C71&gt;INPUT!$C$13,A71&lt;=Revival!$C$11),Mod_Prem,0)</f>
        <v>0</v>
      </c>
      <c r="F71" s="177">
        <f>E71*VLOOKUP(B71,'Pre-Calculation'!$H$1:$I$31,2,FALSE)</f>
        <v>0</v>
      </c>
      <c r="G71" s="177">
        <f>IF(B71&lt;PT+1,VLOOKUP(B71,'Pre-Calculation'!$H$1:$L$32,3,FALSE)+VLOOKUP(B71,'Pre-Calculation'!$H$1:$L$32,4,FALSE)*'Pre-Calculation'!$D$7,0)</f>
        <v>0</v>
      </c>
      <c r="H71" s="175">
        <f>(E71-(F71+G71)*(1+Tax)+N70)</f>
        <v>2000545.085</v>
      </c>
      <c r="I71" s="175">
        <f>IF(B71&lt;PT+1,VLOOKUP(D71,'Pre-Calculation'!$N$3:$P$79,IF(INPUT!$C$4="M",2,3),FALSE)*(J71/1000)*(1/12),0)</f>
        <v>0</v>
      </c>
      <c r="J71" s="175">
        <f t="shared" si="3"/>
        <v>0</v>
      </c>
      <c r="K71" s="175">
        <f>(IF('Pre-Calculation'!$D$17="Type 4 a",MAX(SA,H71,1.05*Q71),IF('Pre-Calculation'!$D$17="Type 4 c",H71,IF('Pre-Calculation'!$D$17="Type 4 d",SA+H71,IF('Pre-Calculation'!$D$17="Type 4 e",MAX(SA,H71),IF('Pre-Calculation'!$D$17="Type 4 f",SA,IF('Pre-Calculation'!$D$17="Type 4 g",1000+H71,IF('Pre-Calculation'!$D$17="Type 4 h",SA+V71,IF('Pre-Calculation'!$D$17="Type 4 i",MAX(H71,Q71),IF('Pre-Calculation'!$D$17="Type 4 k",MAX(H71,1.01*Q71),IF('Pre-Calculation'!$D$17="Type 4 m",MAX(105%*Q71,SA+H71),IF('Pre-Calculation'!$D$17="Type 4 o",MAX(SA,105%*Q71)+V71+X71,IF('Pre-Calculation'!$D$17="Type 5",0)))))))))))))*IF(AND(A71&lt;Revival!$C$4,C71&gt;Revival!$D$12),PUP,1)</f>
        <v>2000545.085</v>
      </c>
      <c r="L71" s="175">
        <f>H71-I71*(1+Tax)</f>
        <v>2000545.085</v>
      </c>
      <c r="M71" s="175">
        <f>L71*(1+GROWTH_RATE_HIST)</f>
        <v>2022403.658</v>
      </c>
      <c r="N71" s="175">
        <f>M71+IF(MOD(A71,B71)=0,VLOOKUP(B71,'Pre-Calculation'!$H$1:$L$31,5,FALSE),0)*IF('Pre-Calculation'!$D$16="% OF FV",M71,IF(OR('Pre-Calculation'!$D$16="% OF AFV(24M)",'Pre-Calculation'!$D$16="% OF AFV(8Q)"),AVERAGE( $M48:$M71),IF('Pre-Calculation'!$D$16="% OF AFV(12M)",AVERAGE($M60:M71),IF('Pre-Calculation'!$D$16="% OF AFV(36M)",AVERAGE($M36:M71)))))</f>
        <v>2022403.658</v>
      </c>
      <c r="O71" s="175">
        <f t="shared" si="4"/>
        <v>2022403.658</v>
      </c>
      <c r="P71" s="175">
        <f>IF('Pre-Calculation'!$D$17="Type 4 a",MAX(SA,N71,1.05*Q71),IF('Pre-Calculation'!$D$17="Type 4 c",N71,IF('Pre-Calculation'!$D$17="Type 4 d",SA+N71,IF('Pre-Calculation'!$D$17="Type 4 e",MAX(SA,N71),IF('Pre-Calculation'!$D$17="Type 4 f",SA,IF('Pre-Calculation'!$D$17="Type 4 g",1000+N71,IF('Pre-Calculation'!$D$17="Type 4 h",SA+V71,IF('Pre-Calculation'!$D$17="Type 4 i",MAX(N71,Q71),IF('Pre-Calculation'!$D$17="Type 4 k",MAX(N71,1.01*Q71),IF('Pre-Calculation'!$D$17="Type 4 m",MAX(105%*Q71,SA+N71),IF('Pre-Calculation'!$D$17="Type 4 o",MAX(SA,105%*Q71)+V71+X71,IF('Pre-Calculation'!$D$17="Type 5",0))))))))))))</f>
        <v>2022403.658</v>
      </c>
      <c r="Q71" s="175">
        <f t="shared" si="5"/>
        <v>1000000</v>
      </c>
      <c r="R71" s="119">
        <f>L71*(1+GROWTH_RATE)*FMC</f>
        <v>2263.861939</v>
      </c>
      <c r="S71" s="112"/>
      <c r="T71" s="175">
        <f>-E71+IF(A70=INPUT!$C$11*12,N71,0)</f>
        <v>0</v>
      </c>
      <c r="U71" s="171"/>
      <c r="V71" s="179">
        <f t="array" ref="V71">NPV('Pre-Calculation'!$E$20,$E72:E$246)</f>
        <v>0</v>
      </c>
      <c r="W71" s="171">
        <f>10%*SA</f>
        <v>100000</v>
      </c>
      <c r="X71" s="179">
        <f t="array" ref="X71">NPV('Pre-Calculation'!$E$20,W72:W81)</f>
        <v>969592.8037</v>
      </c>
      <c r="Y71" s="12"/>
      <c r="Z71" s="12"/>
    </row>
    <row r="72" ht="15.75" customHeight="1">
      <c r="A72" s="171">
        <f t="shared" si="1"/>
        <v>126</v>
      </c>
      <c r="B72" s="171">
        <f t="shared" si="2"/>
        <v>11</v>
      </c>
      <c r="C72" s="176">
        <f>EDATE(RCD,A71)</f>
        <v>46356</v>
      </c>
      <c r="D72" s="171">
        <f>Age_At_Entry+Cashflows_HIST!B72-1</f>
        <v>45</v>
      </c>
      <c r="E72" s="175">
        <f>IF(AND(C72&lt;=Last_Prem,MOD(A71,Mode)=0,C72&gt;INPUT!$C$13,A72&lt;=Revival!$C$11),Mod_Prem,0)</f>
        <v>0</v>
      </c>
      <c r="F72" s="177">
        <f>E72*VLOOKUP(B72,'Pre-Calculation'!$H$1:$I$31,2,FALSE)</f>
        <v>0</v>
      </c>
      <c r="G72" s="177">
        <f>IF(B72&lt;PT+1,VLOOKUP(B72,'Pre-Calculation'!$H$1:$L$32,3,FALSE)+VLOOKUP(B72,'Pre-Calculation'!$H$1:$L$32,4,FALSE)*'Pre-Calculation'!$D$7,0)</f>
        <v>0</v>
      </c>
      <c r="H72" s="175">
        <f>(E72-(F72+G72)*(1+Tax)+N71)</f>
        <v>2022403.658</v>
      </c>
      <c r="I72" s="175">
        <f>IF(B72&lt;PT+1,VLOOKUP(D72,'Pre-Calculation'!$N$3:$P$79,IF(INPUT!$C$4="M",2,3),FALSE)*(J72/1000)*(1/12),0)</f>
        <v>0</v>
      </c>
      <c r="J72" s="175">
        <f t="shared" si="3"/>
        <v>0</v>
      </c>
      <c r="K72" s="175">
        <f>(IF('Pre-Calculation'!$D$17="Type 4 a",MAX(SA,H72,1.05*Q72),IF('Pre-Calculation'!$D$17="Type 4 c",H72,IF('Pre-Calculation'!$D$17="Type 4 d",SA+H72,IF('Pre-Calculation'!$D$17="Type 4 e",MAX(SA,H72),IF('Pre-Calculation'!$D$17="Type 4 f",SA,IF('Pre-Calculation'!$D$17="Type 4 g",1000+H72,IF('Pre-Calculation'!$D$17="Type 4 h",SA+V72,IF('Pre-Calculation'!$D$17="Type 4 i",MAX(H72,Q72),IF('Pre-Calculation'!$D$17="Type 4 k",MAX(H72,1.01*Q72),IF('Pre-Calculation'!$D$17="Type 4 m",MAX(105%*Q72,SA+H72),IF('Pre-Calculation'!$D$17="Type 4 o",MAX(SA,105%*Q72)+V72+X72,IF('Pre-Calculation'!$D$17="Type 5",0)))))))))))))*IF(AND(A72&lt;Revival!$C$4,C72&gt;Revival!$D$12),PUP,1)</f>
        <v>2022403.658</v>
      </c>
      <c r="L72" s="175">
        <f>H72-I72*(1+Tax)</f>
        <v>2022403.658</v>
      </c>
      <c r="M72" s="175">
        <f>L72*(1+GROWTH_RATE_HIST)</f>
        <v>2044501.064</v>
      </c>
      <c r="N72" s="175">
        <f>M72+IF(MOD(A72,B72)=0,VLOOKUP(B72,'Pre-Calculation'!$H$1:$L$31,5,FALSE),0)*IF('Pre-Calculation'!$D$16="% OF FV",M72,IF(OR('Pre-Calculation'!$D$16="% OF AFV(24M)",'Pre-Calculation'!$D$16="% OF AFV(8Q)"),AVERAGE( $M49:$M72),IF('Pre-Calculation'!$D$16="% OF AFV(12M)",AVERAGE($M61:M72),IF('Pre-Calculation'!$D$16="% OF AFV(36M)",AVERAGE($M37:M72)))))</f>
        <v>2044501.064</v>
      </c>
      <c r="O72" s="175">
        <f t="shared" si="4"/>
        <v>2044501.064</v>
      </c>
      <c r="P72" s="175">
        <f>IF('Pre-Calculation'!$D$17="Type 4 a",MAX(SA,N72,1.05*Q72),IF('Pre-Calculation'!$D$17="Type 4 c",N72,IF('Pre-Calculation'!$D$17="Type 4 d",SA+N72,IF('Pre-Calculation'!$D$17="Type 4 e",MAX(SA,N72),IF('Pre-Calculation'!$D$17="Type 4 f",SA,IF('Pre-Calculation'!$D$17="Type 4 g",1000+N72,IF('Pre-Calculation'!$D$17="Type 4 h",SA+V72,IF('Pre-Calculation'!$D$17="Type 4 i",MAX(N72,Q72),IF('Pre-Calculation'!$D$17="Type 4 k",MAX(N72,1.01*Q72),IF('Pre-Calculation'!$D$17="Type 4 m",MAX(105%*Q72,SA+N72),IF('Pre-Calculation'!$D$17="Type 4 o",MAX(SA,105%*Q72)+V72+X72,IF('Pre-Calculation'!$D$17="Type 5",0))))))))))))</f>
        <v>2044501.064</v>
      </c>
      <c r="Q72" s="175">
        <f t="shared" si="5"/>
        <v>1000000</v>
      </c>
      <c r="R72" s="119">
        <f>L72*(1+GROWTH_RATE)*FMC</f>
        <v>2288.597593</v>
      </c>
      <c r="S72" s="112"/>
      <c r="T72" s="175">
        <f>-E72+IF(A71=INPUT!$C$11*12,N72,0)</f>
        <v>0</v>
      </c>
      <c r="U72" s="171"/>
      <c r="V72" s="179">
        <f t="array" ref="V72">NPV('Pre-Calculation'!$E$20,$E73:E$246)</f>
        <v>0</v>
      </c>
      <c r="W72" s="171">
        <f>10%*SA</f>
        <v>100000</v>
      </c>
      <c r="X72" s="179">
        <f t="array" ref="X72">NPV('Pre-Calculation'!$E$20,W73:W82)</f>
        <v>969592.8037</v>
      </c>
      <c r="Y72" s="12"/>
      <c r="Z72" s="12"/>
    </row>
    <row r="73" ht="15.75" customHeight="1">
      <c r="A73" s="171">
        <f t="shared" si="1"/>
        <v>127</v>
      </c>
      <c r="B73" s="171">
        <f t="shared" si="2"/>
        <v>11</v>
      </c>
      <c r="C73" s="176">
        <f>EDATE(RCD,A72)</f>
        <v>46386</v>
      </c>
      <c r="D73" s="171">
        <f>Age_At_Entry+Cashflows_HIST!B73-1</f>
        <v>45</v>
      </c>
      <c r="E73" s="175">
        <f>IF(AND(C73&lt;=Last_Prem,MOD(A72,Mode)=0,C73&gt;INPUT!$C$13,A73&lt;=Revival!$C$11),Mod_Prem,0)</f>
        <v>0</v>
      </c>
      <c r="F73" s="177">
        <f>E73*VLOOKUP(B73,'Pre-Calculation'!$H$1:$I$31,2,FALSE)</f>
        <v>0</v>
      </c>
      <c r="G73" s="177">
        <f>IF(B73&lt;PT+1,VLOOKUP(B73,'Pre-Calculation'!$H$1:$L$32,3,FALSE)+VLOOKUP(B73,'Pre-Calculation'!$H$1:$L$32,4,FALSE)*'Pre-Calculation'!$D$7,0)</f>
        <v>0</v>
      </c>
      <c r="H73" s="175">
        <f>(E73-(F73+G73)*(1+Tax)+N72)</f>
        <v>2044501.064</v>
      </c>
      <c r="I73" s="175">
        <f>IF(B73&lt;PT+1,VLOOKUP(D73,'Pre-Calculation'!$N$3:$P$79,IF(INPUT!$C$4="M",2,3),FALSE)*(J73/1000)*(1/12),0)</f>
        <v>0</v>
      </c>
      <c r="J73" s="175">
        <f t="shared" si="3"/>
        <v>0</v>
      </c>
      <c r="K73" s="175">
        <f>(IF('Pre-Calculation'!$D$17="Type 4 a",MAX(SA,H73,1.05*Q73),IF('Pre-Calculation'!$D$17="Type 4 c",H73,IF('Pre-Calculation'!$D$17="Type 4 d",SA+H73,IF('Pre-Calculation'!$D$17="Type 4 e",MAX(SA,H73),IF('Pre-Calculation'!$D$17="Type 4 f",SA,IF('Pre-Calculation'!$D$17="Type 4 g",1000+H73,IF('Pre-Calculation'!$D$17="Type 4 h",SA+V73,IF('Pre-Calculation'!$D$17="Type 4 i",MAX(H73,Q73),IF('Pre-Calculation'!$D$17="Type 4 k",MAX(H73,1.01*Q73),IF('Pre-Calculation'!$D$17="Type 4 m",MAX(105%*Q73,SA+H73),IF('Pre-Calculation'!$D$17="Type 4 o",MAX(SA,105%*Q73)+V73+X73,IF('Pre-Calculation'!$D$17="Type 5",0)))))))))))))*IF(AND(A73&lt;Revival!$C$4,C73&gt;Revival!$D$12),PUP,1)</f>
        <v>2044501.064</v>
      </c>
      <c r="L73" s="175">
        <f>H73-I73*(1+Tax)</f>
        <v>2044501.064</v>
      </c>
      <c r="M73" s="175">
        <f>L73*(1+GROWTH_RATE_HIST)</f>
        <v>2066839.913</v>
      </c>
      <c r="N73" s="175">
        <f>M73+IF(MOD(A73,B73)=0,VLOOKUP(B73,'Pre-Calculation'!$H$1:$L$31,5,FALSE),0)*IF('Pre-Calculation'!$D$16="% OF FV",M73,IF(OR('Pre-Calculation'!$D$16="% OF AFV(24M)",'Pre-Calculation'!$D$16="% OF AFV(8Q)"),AVERAGE( $M50:$M73),IF('Pre-Calculation'!$D$16="% OF AFV(12M)",AVERAGE($M62:M73),IF('Pre-Calculation'!$D$16="% OF AFV(36M)",AVERAGE($M38:M73)))))</f>
        <v>2066839.913</v>
      </c>
      <c r="O73" s="175">
        <f t="shared" si="4"/>
        <v>2066839.913</v>
      </c>
      <c r="P73" s="175">
        <f>IF('Pre-Calculation'!$D$17="Type 4 a",MAX(SA,N73,1.05*Q73),IF('Pre-Calculation'!$D$17="Type 4 c",N73,IF('Pre-Calculation'!$D$17="Type 4 d",SA+N73,IF('Pre-Calculation'!$D$17="Type 4 e",MAX(SA,N73),IF('Pre-Calculation'!$D$17="Type 4 f",SA,IF('Pre-Calculation'!$D$17="Type 4 g",1000+N73,IF('Pre-Calculation'!$D$17="Type 4 h",SA+V73,IF('Pre-Calculation'!$D$17="Type 4 i",MAX(N73,Q73),IF('Pre-Calculation'!$D$17="Type 4 k",MAX(N73,1.01*Q73),IF('Pre-Calculation'!$D$17="Type 4 m",MAX(105%*Q73,SA+N73),IF('Pre-Calculation'!$D$17="Type 4 o",MAX(SA,105%*Q73)+V73+X73,IF('Pre-Calculation'!$D$17="Type 5",0))))))))))))</f>
        <v>2066839.913</v>
      </c>
      <c r="Q73" s="175">
        <f t="shared" si="5"/>
        <v>1000000</v>
      </c>
      <c r="R73" s="119">
        <f>L73*(1+GROWTH_RATE)*FMC</f>
        <v>2313.603516</v>
      </c>
      <c r="S73" s="112"/>
      <c r="T73" s="175">
        <f>-E73+IF(A72=INPUT!$C$11*12,N73,0)</f>
        <v>0</v>
      </c>
      <c r="U73" s="171"/>
      <c r="V73" s="179">
        <f t="array" ref="V73">NPV('Pre-Calculation'!$E$20,$E74:E$246)</f>
        <v>0</v>
      </c>
      <c r="W73" s="171">
        <f>10%*SA</f>
        <v>100000</v>
      </c>
      <c r="X73" s="179">
        <f t="array" ref="X73">NPV('Pre-Calculation'!$E$20,W74:W83)</f>
        <v>969592.8037</v>
      </c>
      <c r="Y73" s="12"/>
      <c r="Z73" s="12"/>
    </row>
    <row r="74" ht="15.75" customHeight="1">
      <c r="A74" s="171">
        <f t="shared" si="1"/>
        <v>128</v>
      </c>
      <c r="B74" s="171">
        <f t="shared" si="2"/>
        <v>11</v>
      </c>
      <c r="C74" s="176">
        <f>EDATE(RCD,A73)</f>
        <v>46417</v>
      </c>
      <c r="D74" s="171">
        <f>Age_At_Entry+Cashflows_HIST!B74-1</f>
        <v>45</v>
      </c>
      <c r="E74" s="175">
        <f>IF(AND(C74&lt;=Last_Prem,MOD(A73,Mode)=0,C74&gt;INPUT!$C$13,A74&lt;=Revival!$C$11),Mod_Prem,0)</f>
        <v>0</v>
      </c>
      <c r="F74" s="177">
        <f>E74*VLOOKUP(B74,'Pre-Calculation'!$H$1:$I$31,2,FALSE)</f>
        <v>0</v>
      </c>
      <c r="G74" s="177">
        <f>IF(B74&lt;PT+1,VLOOKUP(B74,'Pre-Calculation'!$H$1:$L$32,3,FALSE)+VLOOKUP(B74,'Pre-Calculation'!$H$1:$L$32,4,FALSE)*'Pre-Calculation'!$D$7,0)</f>
        <v>0</v>
      </c>
      <c r="H74" s="175">
        <f>(E74-(F74+G74)*(1+Tax)+N73)</f>
        <v>2066839.913</v>
      </c>
      <c r="I74" s="175">
        <f>IF(B74&lt;PT+1,VLOOKUP(D74,'Pre-Calculation'!$N$3:$P$79,IF(INPUT!$C$4="M",2,3),FALSE)*(J74/1000)*(1/12),0)</f>
        <v>0</v>
      </c>
      <c r="J74" s="175">
        <f t="shared" si="3"/>
        <v>0</v>
      </c>
      <c r="K74" s="175">
        <f>(IF('Pre-Calculation'!$D$17="Type 4 a",MAX(SA,H74,1.05*Q74),IF('Pre-Calculation'!$D$17="Type 4 c",H74,IF('Pre-Calculation'!$D$17="Type 4 d",SA+H74,IF('Pre-Calculation'!$D$17="Type 4 e",MAX(SA,H74),IF('Pre-Calculation'!$D$17="Type 4 f",SA,IF('Pre-Calculation'!$D$17="Type 4 g",1000+H74,IF('Pre-Calculation'!$D$17="Type 4 h",SA+V74,IF('Pre-Calculation'!$D$17="Type 4 i",MAX(H74,Q74),IF('Pre-Calculation'!$D$17="Type 4 k",MAX(H74,1.01*Q74),IF('Pre-Calculation'!$D$17="Type 4 m",MAX(105%*Q74,SA+H74),IF('Pre-Calculation'!$D$17="Type 4 o",MAX(SA,105%*Q74)+V74+X74,IF('Pre-Calculation'!$D$17="Type 5",0)))))))))))))*IF(AND(A74&lt;Revival!$C$4,C74&gt;Revival!$D$12),PUP,1)</f>
        <v>2066839.913</v>
      </c>
      <c r="L74" s="175">
        <f>H74-I74*(1+Tax)</f>
        <v>2066839.913</v>
      </c>
      <c r="M74" s="175">
        <f>L74*(1+GROWTH_RATE_HIST)</f>
        <v>2089422.843</v>
      </c>
      <c r="N74" s="175">
        <f>M74+IF(MOD(A74,B74)=0,VLOOKUP(B74,'Pre-Calculation'!$H$1:$L$31,5,FALSE),0)*IF('Pre-Calculation'!$D$16="% OF FV",M74,IF(OR('Pre-Calculation'!$D$16="% OF AFV(24M)",'Pre-Calculation'!$D$16="% OF AFV(8Q)"),AVERAGE( $M51:$M74),IF('Pre-Calculation'!$D$16="% OF AFV(12M)",AVERAGE($M63:M74),IF('Pre-Calculation'!$D$16="% OF AFV(36M)",AVERAGE($M39:M74)))))</f>
        <v>2089422.843</v>
      </c>
      <c r="O74" s="175">
        <f t="shared" si="4"/>
        <v>2089422.843</v>
      </c>
      <c r="P74" s="175">
        <f>IF('Pre-Calculation'!$D$17="Type 4 a",MAX(SA,N74,1.05*Q74),IF('Pre-Calculation'!$D$17="Type 4 c",N74,IF('Pre-Calculation'!$D$17="Type 4 d",SA+N74,IF('Pre-Calculation'!$D$17="Type 4 e",MAX(SA,N74),IF('Pre-Calculation'!$D$17="Type 4 f",SA,IF('Pre-Calculation'!$D$17="Type 4 g",1000+N74,IF('Pre-Calculation'!$D$17="Type 4 h",SA+V74,IF('Pre-Calculation'!$D$17="Type 4 i",MAX(N74,Q74),IF('Pre-Calculation'!$D$17="Type 4 k",MAX(N74,1.01*Q74),IF('Pre-Calculation'!$D$17="Type 4 m",MAX(105%*Q74,SA+N74),IF('Pre-Calculation'!$D$17="Type 4 o",MAX(SA,105%*Q74)+V74+X74,IF('Pre-Calculation'!$D$17="Type 5",0))))))))))))</f>
        <v>2089422.843</v>
      </c>
      <c r="Q74" s="175">
        <f t="shared" si="5"/>
        <v>1000000</v>
      </c>
      <c r="R74" s="119">
        <f>L74*(1+GROWTH_RATE)*FMC</f>
        <v>2338.882661</v>
      </c>
      <c r="S74" s="112"/>
      <c r="T74" s="175">
        <f>-E74+IF(A73=INPUT!$C$11*12,N74,0)</f>
        <v>0</v>
      </c>
      <c r="U74" s="171"/>
      <c r="V74" s="179">
        <f t="array" ref="V74">NPV('Pre-Calculation'!$E$20,$E75:E$246)</f>
        <v>0</v>
      </c>
      <c r="W74" s="171">
        <f>10%*SA</f>
        <v>100000</v>
      </c>
      <c r="X74" s="179">
        <f t="array" ref="X74">NPV('Pre-Calculation'!$E$20,W75:W84)</f>
        <v>969592.8037</v>
      </c>
      <c r="Y74" s="12"/>
      <c r="Z74" s="12"/>
    </row>
    <row r="75" ht="15.75" customHeight="1">
      <c r="A75" s="171">
        <f t="shared" si="1"/>
        <v>129</v>
      </c>
      <c r="B75" s="171">
        <f t="shared" si="2"/>
        <v>11</v>
      </c>
      <c r="C75" s="176">
        <f>EDATE(RCD,A74)</f>
        <v>46446</v>
      </c>
      <c r="D75" s="171">
        <f>Age_At_Entry+Cashflows_HIST!B75-1</f>
        <v>45</v>
      </c>
      <c r="E75" s="175">
        <f>IF(AND(C75&lt;=Last_Prem,MOD(A74,Mode)=0,C75&gt;INPUT!$C$13,A75&lt;=Revival!$C$11),Mod_Prem,0)</f>
        <v>0</v>
      </c>
      <c r="F75" s="177">
        <f>E75*VLOOKUP(B75,'Pre-Calculation'!$H$1:$I$31,2,FALSE)</f>
        <v>0</v>
      </c>
      <c r="G75" s="177">
        <f>IF(B75&lt;PT+1,VLOOKUP(B75,'Pre-Calculation'!$H$1:$L$32,3,FALSE)+VLOOKUP(B75,'Pre-Calculation'!$H$1:$L$32,4,FALSE)*'Pre-Calculation'!$D$7,0)</f>
        <v>0</v>
      </c>
      <c r="H75" s="175">
        <f>(E75-(F75+G75)*(1+Tax)+N74)</f>
        <v>2089422.843</v>
      </c>
      <c r="I75" s="175">
        <f>IF(B75&lt;PT+1,VLOOKUP(D75,'Pre-Calculation'!$N$3:$P$79,IF(INPUT!$C$4="M",2,3),FALSE)*(J75/1000)*(1/12),0)</f>
        <v>0</v>
      </c>
      <c r="J75" s="175">
        <f t="shared" si="3"/>
        <v>0</v>
      </c>
      <c r="K75" s="175">
        <f>(IF('Pre-Calculation'!$D$17="Type 4 a",MAX(SA,H75,1.05*Q75),IF('Pre-Calculation'!$D$17="Type 4 c",H75,IF('Pre-Calculation'!$D$17="Type 4 d",SA+H75,IF('Pre-Calculation'!$D$17="Type 4 e",MAX(SA,H75),IF('Pre-Calculation'!$D$17="Type 4 f",SA,IF('Pre-Calculation'!$D$17="Type 4 g",1000+H75,IF('Pre-Calculation'!$D$17="Type 4 h",SA+V75,IF('Pre-Calculation'!$D$17="Type 4 i",MAX(H75,Q75),IF('Pre-Calculation'!$D$17="Type 4 k",MAX(H75,1.01*Q75),IF('Pre-Calculation'!$D$17="Type 4 m",MAX(105%*Q75,SA+H75),IF('Pre-Calculation'!$D$17="Type 4 o",MAX(SA,105%*Q75)+V75+X75,IF('Pre-Calculation'!$D$17="Type 5",0)))))))))))))*IF(AND(A75&lt;Revival!$C$4,C75&gt;Revival!$D$12),PUP,1)</f>
        <v>2089422.843</v>
      </c>
      <c r="L75" s="175">
        <f>H75-I75*(1+Tax)</f>
        <v>2089422.843</v>
      </c>
      <c r="M75" s="175">
        <f>L75*(1+GROWTH_RATE_HIST)</f>
        <v>2112252.521</v>
      </c>
      <c r="N75" s="175">
        <f>M75+IF(MOD(A75,B75)=0,VLOOKUP(B75,'Pre-Calculation'!$H$1:$L$31,5,FALSE),0)*IF('Pre-Calculation'!$D$16="% OF FV",M75,IF(OR('Pre-Calculation'!$D$16="% OF AFV(24M)",'Pre-Calculation'!$D$16="% OF AFV(8Q)"),AVERAGE( $M52:$M75),IF('Pre-Calculation'!$D$16="% OF AFV(12M)",AVERAGE($M64:M75),IF('Pre-Calculation'!$D$16="% OF AFV(36M)",AVERAGE($M40:M75)))))</f>
        <v>2112252.521</v>
      </c>
      <c r="O75" s="175">
        <f t="shared" si="4"/>
        <v>2112252.521</v>
      </c>
      <c r="P75" s="175">
        <f>IF('Pre-Calculation'!$D$17="Type 4 a",MAX(SA,N75,1.05*Q75),IF('Pre-Calculation'!$D$17="Type 4 c",N75,IF('Pre-Calculation'!$D$17="Type 4 d",SA+N75,IF('Pre-Calculation'!$D$17="Type 4 e",MAX(SA,N75),IF('Pre-Calculation'!$D$17="Type 4 f",SA,IF('Pre-Calculation'!$D$17="Type 4 g",1000+N75,IF('Pre-Calculation'!$D$17="Type 4 h",SA+V75,IF('Pre-Calculation'!$D$17="Type 4 i",MAX(N75,Q75),IF('Pre-Calculation'!$D$17="Type 4 k",MAX(N75,1.01*Q75),IF('Pre-Calculation'!$D$17="Type 4 m",MAX(105%*Q75,SA+N75),IF('Pre-Calculation'!$D$17="Type 4 o",MAX(SA,105%*Q75)+V75+X75,IF('Pre-Calculation'!$D$17="Type 5",0))))))))))))</f>
        <v>2112252.521</v>
      </c>
      <c r="Q75" s="175">
        <f t="shared" si="5"/>
        <v>1000000</v>
      </c>
      <c r="R75" s="119">
        <f>L75*(1+GROWTH_RATE)*FMC</f>
        <v>2364.438015</v>
      </c>
      <c r="S75" s="112"/>
      <c r="T75" s="175">
        <f>-E75+IF(A74=INPUT!$C$11*12,N75,0)</f>
        <v>0</v>
      </c>
      <c r="U75" s="171"/>
      <c r="V75" s="179">
        <f t="array" ref="V75">NPV('Pre-Calculation'!$E$20,$E76:E$246)</f>
        <v>0</v>
      </c>
      <c r="W75" s="171">
        <f>10%*SA</f>
        <v>100000</v>
      </c>
      <c r="X75" s="179">
        <f t="array" ref="X75">NPV('Pre-Calculation'!$E$20,W76:W85)</f>
        <v>969592.8037</v>
      </c>
      <c r="Y75" s="12"/>
      <c r="Z75" s="12"/>
    </row>
    <row r="76" ht="15.75" customHeight="1">
      <c r="A76" s="171">
        <f t="shared" si="1"/>
        <v>130</v>
      </c>
      <c r="B76" s="171">
        <f t="shared" si="2"/>
        <v>11</v>
      </c>
      <c r="C76" s="176">
        <f>EDATE(RCD,A75)</f>
        <v>46476</v>
      </c>
      <c r="D76" s="171">
        <f>Age_At_Entry+Cashflows_HIST!B76-1</f>
        <v>45</v>
      </c>
      <c r="E76" s="175">
        <f>IF(AND(C76&lt;=Last_Prem,MOD(A75,Mode)=0,C76&gt;INPUT!$C$13,A76&lt;=Revival!$C$11),Mod_Prem,0)</f>
        <v>0</v>
      </c>
      <c r="F76" s="177">
        <f>E76*VLOOKUP(B76,'Pre-Calculation'!$H$1:$I$31,2,FALSE)</f>
        <v>0</v>
      </c>
      <c r="G76" s="177">
        <f>IF(B76&lt;PT+1,VLOOKUP(B76,'Pre-Calculation'!$H$1:$L$32,3,FALSE)+VLOOKUP(B76,'Pre-Calculation'!$H$1:$L$32,4,FALSE)*'Pre-Calculation'!$D$7,0)</f>
        <v>0</v>
      </c>
      <c r="H76" s="175">
        <f>(E76-(F76+G76)*(1+Tax)+N75)</f>
        <v>2112252.521</v>
      </c>
      <c r="I76" s="175">
        <f>IF(B76&lt;PT+1,VLOOKUP(D76,'Pre-Calculation'!$N$3:$P$79,IF(INPUT!$C$4="M",2,3),FALSE)*(J76/1000)*(1/12),0)</f>
        <v>0</v>
      </c>
      <c r="J76" s="175">
        <f t="shared" si="3"/>
        <v>0</v>
      </c>
      <c r="K76" s="175">
        <f>(IF('Pre-Calculation'!$D$17="Type 4 a",MAX(SA,H76,1.05*Q76),IF('Pre-Calculation'!$D$17="Type 4 c",H76,IF('Pre-Calculation'!$D$17="Type 4 d",SA+H76,IF('Pre-Calculation'!$D$17="Type 4 e",MAX(SA,H76),IF('Pre-Calculation'!$D$17="Type 4 f",SA,IF('Pre-Calculation'!$D$17="Type 4 g",1000+H76,IF('Pre-Calculation'!$D$17="Type 4 h",SA+V76,IF('Pre-Calculation'!$D$17="Type 4 i",MAX(H76,Q76),IF('Pre-Calculation'!$D$17="Type 4 k",MAX(H76,1.01*Q76),IF('Pre-Calculation'!$D$17="Type 4 m",MAX(105%*Q76,SA+H76),IF('Pre-Calculation'!$D$17="Type 4 o",MAX(SA,105%*Q76)+V76+X76,IF('Pre-Calculation'!$D$17="Type 5",0)))))))))))))*IF(AND(A76&lt;Revival!$C$4,C76&gt;Revival!$D$12),PUP,1)</f>
        <v>2112252.521</v>
      </c>
      <c r="L76" s="175">
        <f>H76-I76*(1+Tax)</f>
        <v>2112252.521</v>
      </c>
      <c r="M76" s="175">
        <f>L76*(1+GROWTH_RATE_HIST)</f>
        <v>2135331.644</v>
      </c>
      <c r="N76" s="175">
        <f>M76+IF(MOD(A76,B76)=0,VLOOKUP(B76,'Pre-Calculation'!$H$1:$L$31,5,FALSE),0)*IF('Pre-Calculation'!$D$16="% OF FV",M76,IF(OR('Pre-Calculation'!$D$16="% OF AFV(24M)",'Pre-Calculation'!$D$16="% OF AFV(8Q)"),AVERAGE( $M53:$M76),IF('Pre-Calculation'!$D$16="% OF AFV(12M)",AVERAGE($M65:M76),IF('Pre-Calculation'!$D$16="% OF AFV(36M)",AVERAGE($M41:M76)))))</f>
        <v>2135331.644</v>
      </c>
      <c r="O76" s="175">
        <f t="shared" si="4"/>
        <v>2135331.644</v>
      </c>
      <c r="P76" s="175">
        <f>IF('Pre-Calculation'!$D$17="Type 4 a",MAX(SA,N76,1.05*Q76),IF('Pre-Calculation'!$D$17="Type 4 c",N76,IF('Pre-Calculation'!$D$17="Type 4 d",SA+N76,IF('Pre-Calculation'!$D$17="Type 4 e",MAX(SA,N76),IF('Pre-Calculation'!$D$17="Type 4 f",SA,IF('Pre-Calculation'!$D$17="Type 4 g",1000+N76,IF('Pre-Calculation'!$D$17="Type 4 h",SA+V76,IF('Pre-Calculation'!$D$17="Type 4 i",MAX(N76,Q76),IF('Pre-Calculation'!$D$17="Type 4 k",MAX(N76,1.01*Q76),IF('Pre-Calculation'!$D$17="Type 4 m",MAX(105%*Q76,SA+N76),IF('Pre-Calculation'!$D$17="Type 4 o",MAX(SA,105%*Q76)+V76+X76,IF('Pre-Calculation'!$D$17="Type 5",0))))))))))))</f>
        <v>2135331.644</v>
      </c>
      <c r="Q76" s="175">
        <f t="shared" si="5"/>
        <v>1000000</v>
      </c>
      <c r="R76" s="119">
        <f>L76*(1+GROWTH_RATE)*FMC</f>
        <v>2390.272593</v>
      </c>
      <c r="S76" s="112"/>
      <c r="T76" s="175">
        <f>-E76+IF(A75=INPUT!$C$11*12,N76,0)</f>
        <v>0</v>
      </c>
      <c r="U76" s="171"/>
      <c r="V76" s="179">
        <f t="array" ref="V76">NPV('Pre-Calculation'!$E$20,$E77:E$246)</f>
        <v>0</v>
      </c>
      <c r="W76" s="171">
        <f>10%*SA</f>
        <v>100000</v>
      </c>
      <c r="X76" s="179">
        <f t="array" ref="X76">NPV('Pre-Calculation'!$E$20,W77:W86)</f>
        <v>969592.8037</v>
      </c>
      <c r="Y76" s="12"/>
      <c r="Z76" s="12"/>
    </row>
    <row r="77" ht="15.75" customHeight="1">
      <c r="A77" s="171">
        <f t="shared" si="1"/>
        <v>131</v>
      </c>
      <c r="B77" s="171">
        <f t="shared" si="2"/>
        <v>11</v>
      </c>
      <c r="C77" s="176">
        <f>EDATE(RCD,A76)</f>
        <v>46507</v>
      </c>
      <c r="D77" s="171">
        <f>Age_At_Entry+Cashflows_HIST!B77-1</f>
        <v>45</v>
      </c>
      <c r="E77" s="175">
        <f>IF(AND(C77&lt;=Last_Prem,MOD(A76,Mode)=0,C77&gt;INPUT!$C$13,A77&lt;=Revival!$C$11),Mod_Prem,0)</f>
        <v>0</v>
      </c>
      <c r="F77" s="177">
        <f>E77*VLOOKUP(B77,'Pre-Calculation'!$H$1:$I$31,2,FALSE)</f>
        <v>0</v>
      </c>
      <c r="G77" s="177">
        <f>IF(B77&lt;PT+1,VLOOKUP(B77,'Pre-Calculation'!$H$1:$L$32,3,FALSE)+VLOOKUP(B77,'Pre-Calculation'!$H$1:$L$32,4,FALSE)*'Pre-Calculation'!$D$7,0)</f>
        <v>0</v>
      </c>
      <c r="H77" s="175">
        <f>(E77-(F77+G77)*(1+Tax)+N76)</f>
        <v>2135331.644</v>
      </c>
      <c r="I77" s="175">
        <f>IF(B77&lt;PT+1,VLOOKUP(D77,'Pre-Calculation'!$N$3:$P$79,IF(INPUT!$C$4="M",2,3),FALSE)*(J77/1000)*(1/12),0)</f>
        <v>0</v>
      </c>
      <c r="J77" s="175">
        <f t="shared" si="3"/>
        <v>0</v>
      </c>
      <c r="K77" s="175">
        <f>(IF('Pre-Calculation'!$D$17="Type 4 a",MAX(SA,H77,1.05*Q77),IF('Pre-Calculation'!$D$17="Type 4 c",H77,IF('Pre-Calculation'!$D$17="Type 4 d",SA+H77,IF('Pre-Calculation'!$D$17="Type 4 e",MAX(SA,H77),IF('Pre-Calculation'!$D$17="Type 4 f",SA,IF('Pre-Calculation'!$D$17="Type 4 g",1000+H77,IF('Pre-Calculation'!$D$17="Type 4 h",SA+V77,IF('Pre-Calculation'!$D$17="Type 4 i",MAX(H77,Q77),IF('Pre-Calculation'!$D$17="Type 4 k",MAX(H77,1.01*Q77),IF('Pre-Calculation'!$D$17="Type 4 m",MAX(105%*Q77,SA+H77),IF('Pre-Calculation'!$D$17="Type 4 o",MAX(SA,105%*Q77)+V77+X77,IF('Pre-Calculation'!$D$17="Type 5",0)))))))))))))*IF(AND(A77&lt;Revival!$C$4,C77&gt;Revival!$D$12),PUP,1)</f>
        <v>2135331.644</v>
      </c>
      <c r="L77" s="175">
        <f>H77-I77*(1+Tax)</f>
        <v>2135331.644</v>
      </c>
      <c r="M77" s="175">
        <f>L77*(1+GROWTH_RATE_HIST)</f>
        <v>2158662.936</v>
      </c>
      <c r="N77" s="175">
        <f>M77+IF(MOD(A77,B77)=0,VLOOKUP(B77,'Pre-Calculation'!$H$1:$L$31,5,FALSE),0)*IF('Pre-Calculation'!$D$16="% OF FV",M77,IF(OR('Pre-Calculation'!$D$16="% OF AFV(24M)",'Pre-Calculation'!$D$16="% OF AFV(8Q)"),AVERAGE( $M54:$M77),IF('Pre-Calculation'!$D$16="% OF AFV(12M)",AVERAGE($M66:M77),IF('Pre-Calculation'!$D$16="% OF AFV(36M)",AVERAGE($M42:M77)))))</f>
        <v>2158662.936</v>
      </c>
      <c r="O77" s="175">
        <f t="shared" si="4"/>
        <v>2158662.936</v>
      </c>
      <c r="P77" s="175">
        <f>IF('Pre-Calculation'!$D$17="Type 4 a",MAX(SA,N77,1.05*Q77),IF('Pre-Calculation'!$D$17="Type 4 c",N77,IF('Pre-Calculation'!$D$17="Type 4 d",SA+N77,IF('Pre-Calculation'!$D$17="Type 4 e",MAX(SA,N77),IF('Pre-Calculation'!$D$17="Type 4 f",SA,IF('Pre-Calculation'!$D$17="Type 4 g",1000+N77,IF('Pre-Calculation'!$D$17="Type 4 h",SA+V77,IF('Pre-Calculation'!$D$17="Type 4 i",MAX(N77,Q77),IF('Pre-Calculation'!$D$17="Type 4 k",MAX(N77,1.01*Q77),IF('Pre-Calculation'!$D$17="Type 4 m",MAX(105%*Q77,SA+N77),IF('Pre-Calculation'!$D$17="Type 4 o",MAX(SA,105%*Q77)+V77+X77,IF('Pre-Calculation'!$D$17="Type 5",0))))))))))))</f>
        <v>2158662.936</v>
      </c>
      <c r="Q77" s="175">
        <f t="shared" si="5"/>
        <v>1000000</v>
      </c>
      <c r="R77" s="119">
        <f>L77*(1+GROWTH_RATE)*FMC</f>
        <v>2416.389449</v>
      </c>
      <c r="S77" s="112"/>
      <c r="T77" s="175">
        <f>-E77+IF(A76=INPUT!$C$11*12,N77,0)</f>
        <v>0</v>
      </c>
      <c r="U77" s="171"/>
      <c r="V77" s="179">
        <f t="array" ref="V77">NPV('Pre-Calculation'!$E$20,$E78:E$246)</f>
        <v>0</v>
      </c>
      <c r="W77" s="171">
        <f>10%*SA</f>
        <v>100000</v>
      </c>
      <c r="X77" s="179">
        <f t="array" ref="X77">NPV('Pre-Calculation'!$E$20,W78:W87)</f>
        <v>969592.8037</v>
      </c>
      <c r="Y77" s="12"/>
      <c r="Z77" s="12"/>
    </row>
    <row r="78" ht="15.75" customHeight="1">
      <c r="A78" s="171">
        <f t="shared" si="1"/>
        <v>132</v>
      </c>
      <c r="B78" s="171">
        <f t="shared" si="2"/>
        <v>11</v>
      </c>
      <c r="C78" s="176">
        <f>EDATE(RCD,A77)</f>
        <v>46537</v>
      </c>
      <c r="D78" s="171">
        <f>Age_At_Entry+Cashflows_HIST!B78-1</f>
        <v>45</v>
      </c>
      <c r="E78" s="175">
        <f>IF(AND(C78&lt;=Last_Prem,MOD(A77,Mode)=0,C78&gt;INPUT!$C$13,A78&lt;=Revival!$C$11),Mod_Prem,0)</f>
        <v>0</v>
      </c>
      <c r="F78" s="177">
        <f>E78*VLOOKUP(B78,'Pre-Calculation'!$H$1:$I$31,2,FALSE)</f>
        <v>0</v>
      </c>
      <c r="G78" s="177">
        <f>IF(B78&lt;PT+1,VLOOKUP(B78,'Pre-Calculation'!$H$1:$L$32,3,FALSE)+VLOOKUP(B78,'Pre-Calculation'!$H$1:$L$32,4,FALSE)*'Pre-Calculation'!$D$7,0)</f>
        <v>0</v>
      </c>
      <c r="H78" s="175">
        <f>(E78-(F78+G78)*(1+Tax)+N77)</f>
        <v>2158662.936</v>
      </c>
      <c r="I78" s="175">
        <f>IF(B78&lt;PT+1,VLOOKUP(D78,'Pre-Calculation'!$N$3:$P$79,IF(INPUT!$C$4="M",2,3),FALSE)*(J78/1000)*(1/12),0)</f>
        <v>0</v>
      </c>
      <c r="J78" s="175">
        <f t="shared" si="3"/>
        <v>0</v>
      </c>
      <c r="K78" s="175">
        <f>(IF('Pre-Calculation'!$D$17="Type 4 a",MAX(SA,H78,1.05*Q78),IF('Pre-Calculation'!$D$17="Type 4 c",H78,IF('Pre-Calculation'!$D$17="Type 4 d",SA+H78,IF('Pre-Calculation'!$D$17="Type 4 e",MAX(SA,H78),IF('Pre-Calculation'!$D$17="Type 4 f",SA,IF('Pre-Calculation'!$D$17="Type 4 g",1000+H78,IF('Pre-Calculation'!$D$17="Type 4 h",SA+V78,IF('Pre-Calculation'!$D$17="Type 4 i",MAX(H78,Q78),IF('Pre-Calculation'!$D$17="Type 4 k",MAX(H78,1.01*Q78),IF('Pre-Calculation'!$D$17="Type 4 m",MAX(105%*Q78,SA+H78),IF('Pre-Calculation'!$D$17="Type 4 o",MAX(SA,105%*Q78)+V78+X78,IF('Pre-Calculation'!$D$17="Type 5",0)))))))))))))*IF(AND(A78&lt;Revival!$C$4,C78&gt;Revival!$D$12),PUP,1)</f>
        <v>2158662.936</v>
      </c>
      <c r="L78" s="175">
        <f>H78-I78*(1+Tax)</f>
        <v>2158662.936</v>
      </c>
      <c r="M78" s="175">
        <f>L78*(1+GROWTH_RATE_HIST)</f>
        <v>2182249.153</v>
      </c>
      <c r="N78" s="175">
        <f>M78+IF(MOD(A78,B78)=0,VLOOKUP(B78,'Pre-Calculation'!$H$1:$L$31,5,FALSE),0)*IF('Pre-Calculation'!$D$16="% OF FV",M78,IF(OR('Pre-Calculation'!$D$16="% OF AFV(24M)",'Pre-Calculation'!$D$16="% OF AFV(8Q)"),AVERAGE( $M55:$M78),IF('Pre-Calculation'!$D$16="% OF AFV(12M)",AVERAGE($M67:M78),IF('Pre-Calculation'!$D$16="% OF AFV(36M)",AVERAGE($M43:M78)))))</f>
        <v>2182249.153</v>
      </c>
      <c r="O78" s="175">
        <f t="shared" si="4"/>
        <v>2182249.153</v>
      </c>
      <c r="P78" s="175">
        <f>IF('Pre-Calculation'!$D$17="Type 4 a",MAX(SA,N78,1.05*Q78),IF('Pre-Calculation'!$D$17="Type 4 c",N78,IF('Pre-Calculation'!$D$17="Type 4 d",SA+N78,IF('Pre-Calculation'!$D$17="Type 4 e",MAX(SA,N78),IF('Pre-Calculation'!$D$17="Type 4 f",SA,IF('Pre-Calculation'!$D$17="Type 4 g",1000+N78,IF('Pre-Calculation'!$D$17="Type 4 h",SA+V78,IF('Pre-Calculation'!$D$17="Type 4 i",MAX(N78,Q78),IF('Pre-Calculation'!$D$17="Type 4 k",MAX(N78,1.01*Q78),IF('Pre-Calculation'!$D$17="Type 4 m",MAX(105%*Q78,SA+N78),IF('Pre-Calculation'!$D$17="Type 4 o",MAX(SA,105%*Q78)+V78+X78,IF('Pre-Calculation'!$D$17="Type 5",0))))))))))))</f>
        <v>2182249.153</v>
      </c>
      <c r="Q78" s="175">
        <f t="shared" si="5"/>
        <v>1000000</v>
      </c>
      <c r="R78" s="119">
        <f>L78*(1+GROWTH_RATE)*FMC</f>
        <v>2442.791665</v>
      </c>
      <c r="S78" s="112"/>
      <c r="T78" s="175">
        <f>-E78+IF(A77=INPUT!$C$11*12,N78,0)</f>
        <v>0</v>
      </c>
      <c r="U78" s="171"/>
      <c r="V78" s="179">
        <f t="array" ref="V78">NPV('Pre-Calculation'!$E$20,$E79:E$246)</f>
        <v>0</v>
      </c>
      <c r="W78" s="171">
        <f>10%*SA</f>
        <v>100000</v>
      </c>
      <c r="X78" s="179">
        <f t="array" ref="X78">NPV('Pre-Calculation'!$E$20,W79:W88)</f>
        <v>969592.8037</v>
      </c>
      <c r="Y78" s="12"/>
      <c r="Z78" s="12"/>
    </row>
    <row r="79" ht="15.75" customHeight="1">
      <c r="A79" s="171">
        <f t="shared" si="1"/>
        <v>133</v>
      </c>
      <c r="B79" s="171">
        <f t="shared" si="2"/>
        <v>12</v>
      </c>
      <c r="C79" s="176">
        <f>EDATE(RCD,A78)</f>
        <v>46568</v>
      </c>
      <c r="D79" s="171">
        <f>Age_At_Entry+Cashflows_HIST!B79-1</f>
        <v>46</v>
      </c>
      <c r="E79" s="175">
        <f>IF(AND(C79&lt;=Last_Prem,MOD(A78,Mode)=0,C79&gt;INPUT!$C$13,A79&lt;=Revival!$C$11),Mod_Prem,0)</f>
        <v>0</v>
      </c>
      <c r="F79" s="177">
        <f>E79*VLOOKUP(B79,'Pre-Calculation'!$H$1:$I$31,2,FALSE)</f>
        <v>0</v>
      </c>
      <c r="G79" s="177">
        <f>IF(B79&lt;PT+1,VLOOKUP(B79,'Pre-Calculation'!$H$1:$L$32,3,FALSE)+VLOOKUP(B79,'Pre-Calculation'!$H$1:$L$32,4,FALSE)*'Pre-Calculation'!$D$7,0)</f>
        <v>0</v>
      </c>
      <c r="H79" s="175">
        <f>(E79-(F79+G79)*(1+Tax)+N78)</f>
        <v>2182249.153</v>
      </c>
      <c r="I79" s="175">
        <f>IF(B79&lt;PT+1,VLOOKUP(D79,'Pre-Calculation'!$N$3:$P$79,IF(INPUT!$C$4="M",2,3),FALSE)*(J79/1000)*(1/12),0)</f>
        <v>0</v>
      </c>
      <c r="J79" s="175">
        <f t="shared" si="3"/>
        <v>0</v>
      </c>
      <c r="K79" s="175">
        <f>(IF('Pre-Calculation'!$D$17="Type 4 a",MAX(SA,H79,1.05*Q79),IF('Pre-Calculation'!$D$17="Type 4 c",H79,IF('Pre-Calculation'!$D$17="Type 4 d",SA+H79,IF('Pre-Calculation'!$D$17="Type 4 e",MAX(SA,H79),IF('Pre-Calculation'!$D$17="Type 4 f",SA,IF('Pre-Calculation'!$D$17="Type 4 g",1000+H79,IF('Pre-Calculation'!$D$17="Type 4 h",SA+V79,IF('Pre-Calculation'!$D$17="Type 4 i",MAX(H79,Q79),IF('Pre-Calculation'!$D$17="Type 4 k",MAX(H79,1.01*Q79),IF('Pre-Calculation'!$D$17="Type 4 m",MAX(105%*Q79,SA+H79),IF('Pre-Calculation'!$D$17="Type 4 o",MAX(SA,105%*Q79)+V79+X79,IF('Pre-Calculation'!$D$17="Type 5",0)))))))))))))*IF(AND(A79&lt;Revival!$C$4,C79&gt;Revival!$D$12),PUP,1)</f>
        <v>2182249.153</v>
      </c>
      <c r="L79" s="175">
        <f>H79-I79*(1+Tax)</f>
        <v>2182249.153</v>
      </c>
      <c r="M79" s="175">
        <f>L79*(1+GROWTH_RATE_HIST)</f>
        <v>2206093.08</v>
      </c>
      <c r="N79" s="175">
        <f>M79+IF(MOD(A79,B79)=0,VLOOKUP(B79,'Pre-Calculation'!$H$1:$L$31,5,FALSE),0)*IF('Pre-Calculation'!$D$16="% OF FV",M79,IF(OR('Pre-Calculation'!$D$16="% OF AFV(24M)",'Pre-Calculation'!$D$16="% OF AFV(8Q)"),AVERAGE( $M56:$M79),IF('Pre-Calculation'!$D$16="% OF AFV(12M)",AVERAGE($M68:M79),IF('Pre-Calculation'!$D$16="% OF AFV(36M)",AVERAGE($M44:M79)))))</f>
        <v>2206093.08</v>
      </c>
      <c r="O79" s="175">
        <f t="shared" si="4"/>
        <v>2206093.08</v>
      </c>
      <c r="P79" s="175">
        <f>IF('Pre-Calculation'!$D$17="Type 4 a",MAX(SA,N79,1.05*Q79),IF('Pre-Calculation'!$D$17="Type 4 c",N79,IF('Pre-Calculation'!$D$17="Type 4 d",SA+N79,IF('Pre-Calculation'!$D$17="Type 4 e",MAX(SA,N79),IF('Pre-Calculation'!$D$17="Type 4 f",SA,IF('Pre-Calculation'!$D$17="Type 4 g",1000+N79,IF('Pre-Calculation'!$D$17="Type 4 h",SA+V79,IF('Pre-Calculation'!$D$17="Type 4 i",MAX(N79,Q79),IF('Pre-Calculation'!$D$17="Type 4 k",MAX(N79,1.01*Q79),IF('Pre-Calculation'!$D$17="Type 4 m",MAX(105%*Q79,SA+N79),IF('Pre-Calculation'!$D$17="Type 4 o",MAX(SA,105%*Q79)+V79+X79,IF('Pre-Calculation'!$D$17="Type 5",0))))))))))))</f>
        <v>2206093.08</v>
      </c>
      <c r="Q79" s="175">
        <f t="shared" si="5"/>
        <v>1000000</v>
      </c>
      <c r="R79" s="119">
        <f>L79*(1+GROWTH_RATE)*FMC</f>
        <v>2469.48236</v>
      </c>
      <c r="S79" s="112"/>
      <c r="T79" s="175">
        <f>-E79+IF(A78=INPUT!$C$11*12,N79,0)</f>
        <v>0</v>
      </c>
      <c r="U79" s="171"/>
      <c r="V79" s="179">
        <f t="array" ref="V79">NPV('Pre-Calculation'!$E$20,$E80:E$246)</f>
        <v>0</v>
      </c>
      <c r="W79" s="171">
        <f>10%*SA</f>
        <v>100000</v>
      </c>
      <c r="X79" s="179">
        <f t="array" ref="X79">NPV('Pre-Calculation'!$E$20,W80:W89)</f>
        <v>969592.8037</v>
      </c>
      <c r="Y79" s="12"/>
      <c r="Z79" s="12"/>
    </row>
    <row r="80" ht="15.75" customHeight="1">
      <c r="A80" s="171">
        <f t="shared" si="1"/>
        <v>134</v>
      </c>
      <c r="B80" s="171">
        <f t="shared" si="2"/>
        <v>12</v>
      </c>
      <c r="C80" s="176">
        <f>EDATE(RCD,A79)</f>
        <v>46598</v>
      </c>
      <c r="D80" s="171">
        <f>Age_At_Entry+Cashflows_HIST!B80-1</f>
        <v>46</v>
      </c>
      <c r="E80" s="175">
        <f>IF(AND(C80&lt;=Last_Prem,MOD(A79,Mode)=0,C80&gt;INPUT!$C$13,A80&lt;=Revival!$C$11),Mod_Prem,0)</f>
        <v>0</v>
      </c>
      <c r="F80" s="177">
        <f>E80*VLOOKUP(B80,'Pre-Calculation'!$H$1:$I$31,2,FALSE)</f>
        <v>0</v>
      </c>
      <c r="G80" s="177">
        <f>IF(B80&lt;PT+1,VLOOKUP(B80,'Pre-Calculation'!$H$1:$L$32,3,FALSE)+VLOOKUP(B80,'Pre-Calculation'!$H$1:$L$32,4,FALSE)*'Pre-Calculation'!$D$7,0)</f>
        <v>0</v>
      </c>
      <c r="H80" s="175">
        <f>(E80-(F80+G80)*(1+Tax)+N79)</f>
        <v>2206093.08</v>
      </c>
      <c r="I80" s="175">
        <f>IF(B80&lt;PT+1,VLOOKUP(D80,'Pre-Calculation'!$N$3:$P$79,IF(INPUT!$C$4="M",2,3),FALSE)*(J80/1000)*(1/12),0)</f>
        <v>0</v>
      </c>
      <c r="J80" s="175">
        <f t="shared" si="3"/>
        <v>0</v>
      </c>
      <c r="K80" s="175">
        <f>(IF('Pre-Calculation'!$D$17="Type 4 a",MAX(SA,H80,1.05*Q80),IF('Pre-Calculation'!$D$17="Type 4 c",H80,IF('Pre-Calculation'!$D$17="Type 4 d",SA+H80,IF('Pre-Calculation'!$D$17="Type 4 e",MAX(SA,H80),IF('Pre-Calculation'!$D$17="Type 4 f",SA,IF('Pre-Calculation'!$D$17="Type 4 g",1000+H80,IF('Pre-Calculation'!$D$17="Type 4 h",SA+V80,IF('Pre-Calculation'!$D$17="Type 4 i",MAX(H80,Q80),IF('Pre-Calculation'!$D$17="Type 4 k",MAX(H80,1.01*Q80),IF('Pre-Calculation'!$D$17="Type 4 m",MAX(105%*Q80,SA+H80),IF('Pre-Calculation'!$D$17="Type 4 o",MAX(SA,105%*Q80)+V80+X80,IF('Pre-Calculation'!$D$17="Type 5",0)))))))))))))*IF(AND(A80&lt;Revival!$C$4,C80&gt;Revival!$D$12),PUP,1)</f>
        <v>2206093.08</v>
      </c>
      <c r="L80" s="175">
        <f>H80-I80*(1+Tax)</f>
        <v>2206093.08</v>
      </c>
      <c r="M80" s="175">
        <f>L80*(1+GROWTH_RATE_HIST)</f>
        <v>2230197.533</v>
      </c>
      <c r="N80" s="175">
        <f>M80+IF(MOD(A80,B80)=0,VLOOKUP(B80,'Pre-Calculation'!$H$1:$L$31,5,FALSE),0)*IF('Pre-Calculation'!$D$16="% OF FV",M80,IF(OR('Pre-Calculation'!$D$16="% OF AFV(24M)",'Pre-Calculation'!$D$16="% OF AFV(8Q)"),AVERAGE( $M57:$M80),IF('Pre-Calculation'!$D$16="% OF AFV(12M)",AVERAGE($M69:M80),IF('Pre-Calculation'!$D$16="% OF AFV(36M)",AVERAGE($M45:M80)))))</f>
        <v>2230197.533</v>
      </c>
      <c r="O80" s="175">
        <f t="shared" si="4"/>
        <v>2230197.533</v>
      </c>
      <c r="P80" s="175">
        <f>IF('Pre-Calculation'!$D$17="Type 4 a",MAX(SA,N80,1.05*Q80),IF('Pre-Calculation'!$D$17="Type 4 c",N80,IF('Pre-Calculation'!$D$17="Type 4 d",SA+N80,IF('Pre-Calculation'!$D$17="Type 4 e",MAX(SA,N80),IF('Pre-Calculation'!$D$17="Type 4 f",SA,IF('Pre-Calculation'!$D$17="Type 4 g",1000+N80,IF('Pre-Calculation'!$D$17="Type 4 h",SA+V80,IF('Pre-Calculation'!$D$17="Type 4 i",MAX(N80,Q80),IF('Pre-Calculation'!$D$17="Type 4 k",MAX(N80,1.01*Q80),IF('Pre-Calculation'!$D$17="Type 4 m",MAX(105%*Q80,SA+N80),IF('Pre-Calculation'!$D$17="Type 4 o",MAX(SA,105%*Q80)+V80+X80,IF('Pre-Calculation'!$D$17="Type 5",0))))))))))))</f>
        <v>2230197.533</v>
      </c>
      <c r="Q80" s="175">
        <f t="shared" si="5"/>
        <v>1000000</v>
      </c>
      <c r="R80" s="119">
        <f>L80*(1+GROWTH_RATE)*FMC</f>
        <v>2496.464686</v>
      </c>
      <c r="S80" s="112"/>
      <c r="T80" s="175">
        <f>-E80+IF(A79=INPUT!$C$11*12,N80,0)</f>
        <v>0</v>
      </c>
      <c r="U80" s="171"/>
      <c r="V80" s="179">
        <f t="array" ref="V80">NPV('Pre-Calculation'!$E$20,$E81:E$246)</f>
        <v>0</v>
      </c>
      <c r="W80" s="171">
        <f>10%*SA</f>
        <v>100000</v>
      </c>
      <c r="X80" s="179">
        <f t="array" ref="X80">NPV('Pre-Calculation'!$E$20,W81:W90)</f>
        <v>969592.8037</v>
      </c>
      <c r="Y80" s="12"/>
      <c r="Z80" s="12"/>
    </row>
    <row r="81" ht="15.75" customHeight="1">
      <c r="A81" s="171">
        <f t="shared" si="1"/>
        <v>135</v>
      </c>
      <c r="B81" s="171">
        <f t="shared" si="2"/>
        <v>12</v>
      </c>
      <c r="C81" s="176">
        <f>EDATE(RCD,A80)</f>
        <v>46629</v>
      </c>
      <c r="D81" s="171">
        <f>Age_At_Entry+Cashflows_HIST!B81-1</f>
        <v>46</v>
      </c>
      <c r="E81" s="175">
        <f>IF(AND(C81&lt;=Last_Prem,MOD(A80,Mode)=0,C81&gt;INPUT!$C$13,A81&lt;=Revival!$C$11),Mod_Prem,0)</f>
        <v>0</v>
      </c>
      <c r="F81" s="177">
        <f>E81*VLOOKUP(B81,'Pre-Calculation'!$H$1:$I$31,2,FALSE)</f>
        <v>0</v>
      </c>
      <c r="G81" s="177">
        <f>IF(B81&lt;PT+1,VLOOKUP(B81,'Pre-Calculation'!$H$1:$L$32,3,FALSE)+VLOOKUP(B81,'Pre-Calculation'!$H$1:$L$32,4,FALSE)*'Pre-Calculation'!$D$7,0)</f>
        <v>0</v>
      </c>
      <c r="H81" s="175">
        <f>(E81-(F81+G81)*(1+Tax)+N80)</f>
        <v>2230197.533</v>
      </c>
      <c r="I81" s="175">
        <f>IF(B81&lt;PT+1,VLOOKUP(D81,'Pre-Calculation'!$N$3:$P$79,IF(INPUT!$C$4="M",2,3),FALSE)*(J81/1000)*(1/12),0)</f>
        <v>0</v>
      </c>
      <c r="J81" s="175">
        <f t="shared" si="3"/>
        <v>0</v>
      </c>
      <c r="K81" s="175">
        <f>(IF('Pre-Calculation'!$D$17="Type 4 a",MAX(SA,H81,1.05*Q81),IF('Pre-Calculation'!$D$17="Type 4 c",H81,IF('Pre-Calculation'!$D$17="Type 4 d",SA+H81,IF('Pre-Calculation'!$D$17="Type 4 e",MAX(SA,H81),IF('Pre-Calculation'!$D$17="Type 4 f",SA,IF('Pre-Calculation'!$D$17="Type 4 g",1000+H81,IF('Pre-Calculation'!$D$17="Type 4 h",SA+V81,IF('Pre-Calculation'!$D$17="Type 4 i",MAX(H81,Q81),IF('Pre-Calculation'!$D$17="Type 4 k",MAX(H81,1.01*Q81),IF('Pre-Calculation'!$D$17="Type 4 m",MAX(105%*Q81,SA+H81),IF('Pre-Calculation'!$D$17="Type 4 o",MAX(SA,105%*Q81)+V81+X81,IF('Pre-Calculation'!$D$17="Type 5",0)))))))))))))*IF(AND(A81&lt;Revival!$C$4,C81&gt;Revival!$D$12),PUP,1)</f>
        <v>2230197.533</v>
      </c>
      <c r="L81" s="175">
        <f>H81-I81*(1+Tax)</f>
        <v>2230197.533</v>
      </c>
      <c r="M81" s="175">
        <f>L81*(1+GROWTH_RATE_HIST)</f>
        <v>2254565.359</v>
      </c>
      <c r="N81" s="175">
        <f>M81+IF(MOD(A81,B81)=0,VLOOKUP(B81,'Pre-Calculation'!$H$1:$L$31,5,FALSE),0)*IF('Pre-Calculation'!$D$16="% OF FV",M81,IF(OR('Pre-Calculation'!$D$16="% OF AFV(24M)",'Pre-Calculation'!$D$16="% OF AFV(8Q)"),AVERAGE( $M58:$M81),IF('Pre-Calculation'!$D$16="% OF AFV(12M)",AVERAGE($M70:M81),IF('Pre-Calculation'!$D$16="% OF AFV(36M)",AVERAGE($M46:M81)))))</f>
        <v>2254565.359</v>
      </c>
      <c r="O81" s="175">
        <f t="shared" si="4"/>
        <v>2254565.359</v>
      </c>
      <c r="P81" s="175">
        <f>IF('Pre-Calculation'!$D$17="Type 4 a",MAX(SA,N81,1.05*Q81),IF('Pre-Calculation'!$D$17="Type 4 c",N81,IF('Pre-Calculation'!$D$17="Type 4 d",SA+N81,IF('Pre-Calculation'!$D$17="Type 4 e",MAX(SA,N81),IF('Pre-Calculation'!$D$17="Type 4 f",SA,IF('Pre-Calculation'!$D$17="Type 4 g",1000+N81,IF('Pre-Calculation'!$D$17="Type 4 h",SA+V81,IF('Pre-Calculation'!$D$17="Type 4 i",MAX(N81,Q81),IF('Pre-Calculation'!$D$17="Type 4 k",MAX(N81,1.01*Q81),IF('Pre-Calculation'!$D$17="Type 4 m",MAX(105%*Q81,SA+N81),IF('Pre-Calculation'!$D$17="Type 4 o",MAX(SA,105%*Q81)+V81+X81,IF('Pre-Calculation'!$D$17="Type 5",0))))))))))))</f>
        <v>2254565.359</v>
      </c>
      <c r="Q81" s="175">
        <f t="shared" si="5"/>
        <v>1000000</v>
      </c>
      <c r="R81" s="119">
        <f>L81*(1+GROWTH_RATE)*FMC</f>
        <v>2523.741829</v>
      </c>
      <c r="S81" s="112"/>
      <c r="T81" s="175">
        <f>-E81+IF(A80=INPUT!$C$11*12,N81,0)</f>
        <v>0</v>
      </c>
      <c r="U81" s="171"/>
      <c r="V81" s="179">
        <f t="array" ref="V81">NPV('Pre-Calculation'!$E$20,$E82:E$246)</f>
        <v>0</v>
      </c>
      <c r="W81" s="171">
        <f>10%*SA</f>
        <v>100000</v>
      </c>
      <c r="X81" s="179">
        <f t="array" ref="X81">NPV('Pre-Calculation'!$E$20,W82:W91)</f>
        <v>969592.8037</v>
      </c>
      <c r="Y81" s="12"/>
      <c r="Z81" s="12"/>
    </row>
    <row r="82" ht="15.75" customHeight="1">
      <c r="A82" s="171">
        <f t="shared" si="1"/>
        <v>136</v>
      </c>
      <c r="B82" s="171">
        <f t="shared" si="2"/>
        <v>12</v>
      </c>
      <c r="C82" s="176">
        <f>EDATE(RCD,A81)</f>
        <v>46660</v>
      </c>
      <c r="D82" s="171">
        <f>Age_At_Entry+Cashflows_HIST!B82-1</f>
        <v>46</v>
      </c>
      <c r="E82" s="175">
        <f>IF(AND(C82&lt;=Last_Prem,MOD(A81,Mode)=0,C82&gt;INPUT!$C$13,A82&lt;=Revival!$C$11),Mod_Prem,0)</f>
        <v>0</v>
      </c>
      <c r="F82" s="177">
        <f>E82*VLOOKUP(B82,'Pre-Calculation'!$H$1:$I$31,2,FALSE)</f>
        <v>0</v>
      </c>
      <c r="G82" s="177">
        <f>IF(B82&lt;PT+1,VLOOKUP(B82,'Pre-Calculation'!$H$1:$L$32,3,FALSE)+VLOOKUP(B82,'Pre-Calculation'!$H$1:$L$32,4,FALSE)*'Pre-Calculation'!$D$7,0)</f>
        <v>0</v>
      </c>
      <c r="H82" s="175">
        <f>(E82-(F82+G82)*(1+Tax)+N81)</f>
        <v>2254565.359</v>
      </c>
      <c r="I82" s="175">
        <f>IF(B82&lt;PT+1,VLOOKUP(D82,'Pre-Calculation'!$N$3:$P$79,IF(INPUT!$C$4="M",2,3),FALSE)*(J82/1000)*(1/12),0)</f>
        <v>0</v>
      </c>
      <c r="J82" s="175">
        <f t="shared" si="3"/>
        <v>0</v>
      </c>
      <c r="K82" s="175">
        <f>(IF('Pre-Calculation'!$D$17="Type 4 a",MAX(SA,H82,1.05*Q82),IF('Pre-Calculation'!$D$17="Type 4 c",H82,IF('Pre-Calculation'!$D$17="Type 4 d",SA+H82,IF('Pre-Calculation'!$D$17="Type 4 e",MAX(SA,H82),IF('Pre-Calculation'!$D$17="Type 4 f",SA,IF('Pre-Calculation'!$D$17="Type 4 g",1000+H82,IF('Pre-Calculation'!$D$17="Type 4 h",SA+V82,IF('Pre-Calculation'!$D$17="Type 4 i",MAX(H82,Q82),IF('Pre-Calculation'!$D$17="Type 4 k",MAX(H82,1.01*Q82),IF('Pre-Calculation'!$D$17="Type 4 m",MAX(105%*Q82,SA+H82),IF('Pre-Calculation'!$D$17="Type 4 o",MAX(SA,105%*Q82)+V82+X82,IF('Pre-Calculation'!$D$17="Type 5",0)))))))))))))*IF(AND(A82&lt;Revival!$C$4,C82&gt;Revival!$D$12),PUP,1)</f>
        <v>2254565.359</v>
      </c>
      <c r="L82" s="175">
        <f>H82-I82*(1+Tax)</f>
        <v>2254565.359</v>
      </c>
      <c r="M82" s="175">
        <f>L82*(1+GROWTH_RATE_HIST)</f>
        <v>2279199.435</v>
      </c>
      <c r="N82" s="175">
        <f>M82+IF(MOD(A82,B82)=0,VLOOKUP(B82,'Pre-Calculation'!$H$1:$L$31,5,FALSE),0)*IF('Pre-Calculation'!$D$16="% OF FV",M82,IF(OR('Pre-Calculation'!$D$16="% OF AFV(24M)",'Pre-Calculation'!$D$16="% OF AFV(8Q)"),AVERAGE( $M59:$M82),IF('Pre-Calculation'!$D$16="% OF AFV(12M)",AVERAGE($M71:M82),IF('Pre-Calculation'!$D$16="% OF AFV(36M)",AVERAGE($M47:M82)))))</f>
        <v>2279199.435</v>
      </c>
      <c r="O82" s="175">
        <f t="shared" si="4"/>
        <v>2279199.435</v>
      </c>
      <c r="P82" s="175">
        <f>IF('Pre-Calculation'!$D$17="Type 4 a",MAX(SA,N82,1.05*Q82),IF('Pre-Calculation'!$D$17="Type 4 c",N82,IF('Pre-Calculation'!$D$17="Type 4 d",SA+N82,IF('Pre-Calculation'!$D$17="Type 4 e",MAX(SA,N82),IF('Pre-Calculation'!$D$17="Type 4 f",SA,IF('Pre-Calculation'!$D$17="Type 4 g",1000+N82,IF('Pre-Calculation'!$D$17="Type 4 h",SA+V82,IF('Pre-Calculation'!$D$17="Type 4 i",MAX(N82,Q82),IF('Pre-Calculation'!$D$17="Type 4 k",MAX(N82,1.01*Q82),IF('Pre-Calculation'!$D$17="Type 4 m",MAX(105%*Q82,SA+N82),IF('Pre-Calculation'!$D$17="Type 4 o",MAX(SA,105%*Q82)+V82+X82,IF('Pre-Calculation'!$D$17="Type 5",0))))))))))))</f>
        <v>2279199.435</v>
      </c>
      <c r="Q82" s="175">
        <f t="shared" si="5"/>
        <v>1000000</v>
      </c>
      <c r="R82" s="119">
        <f>L82*(1+GROWTH_RATE)*FMC</f>
        <v>2551.31701</v>
      </c>
      <c r="S82" s="112"/>
      <c r="T82" s="175">
        <f>-E82+IF(A81=INPUT!$C$11*12,N82,0)</f>
        <v>0</v>
      </c>
      <c r="U82" s="171"/>
      <c r="V82" s="179">
        <f t="array" ref="V82">NPV('Pre-Calculation'!$E$20,$E83:E$246)</f>
        <v>0</v>
      </c>
      <c r="W82" s="171">
        <f>10%*SA</f>
        <v>100000</v>
      </c>
      <c r="X82" s="179">
        <f t="array" ref="X82">NPV('Pre-Calculation'!$E$20,W83:W92)</f>
        <v>969592.8037</v>
      </c>
      <c r="Y82" s="12"/>
      <c r="Z82" s="12"/>
    </row>
    <row r="83" ht="15.75" customHeight="1">
      <c r="A83" s="171">
        <f t="shared" si="1"/>
        <v>137</v>
      </c>
      <c r="B83" s="171">
        <f t="shared" si="2"/>
        <v>12</v>
      </c>
      <c r="C83" s="176">
        <f>EDATE(RCD,A82)</f>
        <v>46690</v>
      </c>
      <c r="D83" s="171">
        <f>Age_At_Entry+Cashflows_HIST!B83-1</f>
        <v>46</v>
      </c>
      <c r="E83" s="175">
        <f>IF(AND(C83&lt;=Last_Prem,MOD(A82,Mode)=0,C83&gt;INPUT!$C$13,A83&lt;=Revival!$C$11),Mod_Prem,0)</f>
        <v>0</v>
      </c>
      <c r="F83" s="177">
        <f>E83*VLOOKUP(B83,'Pre-Calculation'!$H$1:$I$31,2,FALSE)</f>
        <v>0</v>
      </c>
      <c r="G83" s="177">
        <f>IF(B83&lt;PT+1,VLOOKUP(B83,'Pre-Calculation'!$H$1:$L$32,3,FALSE)+VLOOKUP(B83,'Pre-Calculation'!$H$1:$L$32,4,FALSE)*'Pre-Calculation'!$D$7,0)</f>
        <v>0</v>
      </c>
      <c r="H83" s="175">
        <f>(E83-(F83+G83)*(1+Tax)+N82)</f>
        <v>2279199.435</v>
      </c>
      <c r="I83" s="175">
        <f>IF(B83&lt;PT+1,VLOOKUP(D83,'Pre-Calculation'!$N$3:$P$79,IF(INPUT!$C$4="M",2,3),FALSE)*(J83/1000)*(1/12),0)</f>
        <v>0</v>
      </c>
      <c r="J83" s="175">
        <f t="shared" si="3"/>
        <v>0</v>
      </c>
      <c r="K83" s="175">
        <f>(IF('Pre-Calculation'!$D$17="Type 4 a",MAX(SA,H83,1.05*Q83),IF('Pre-Calculation'!$D$17="Type 4 c",H83,IF('Pre-Calculation'!$D$17="Type 4 d",SA+H83,IF('Pre-Calculation'!$D$17="Type 4 e",MAX(SA,H83),IF('Pre-Calculation'!$D$17="Type 4 f",SA,IF('Pre-Calculation'!$D$17="Type 4 g",1000+H83,IF('Pre-Calculation'!$D$17="Type 4 h",SA+V83,IF('Pre-Calculation'!$D$17="Type 4 i",MAX(H83,Q83),IF('Pre-Calculation'!$D$17="Type 4 k",MAX(H83,1.01*Q83),IF('Pre-Calculation'!$D$17="Type 4 m",MAX(105%*Q83,SA+H83),IF('Pre-Calculation'!$D$17="Type 4 o",MAX(SA,105%*Q83)+V83+X83,IF('Pre-Calculation'!$D$17="Type 5",0)))))))))))))*IF(AND(A83&lt;Revival!$C$4,C83&gt;Revival!$D$12),PUP,1)</f>
        <v>2279199.435</v>
      </c>
      <c r="L83" s="175">
        <f>H83-I83*(1+Tax)</f>
        <v>2279199.435</v>
      </c>
      <c r="M83" s="175">
        <f>L83*(1+GROWTH_RATE_HIST)</f>
        <v>2304102.671</v>
      </c>
      <c r="N83" s="175">
        <f>M83+IF(MOD(A83,B83)=0,VLOOKUP(B83,'Pre-Calculation'!$H$1:$L$31,5,FALSE),0)*IF('Pre-Calculation'!$D$16="% OF FV",M83,IF(OR('Pre-Calculation'!$D$16="% OF AFV(24M)",'Pre-Calculation'!$D$16="% OF AFV(8Q)"),AVERAGE( $M60:$M83),IF('Pre-Calculation'!$D$16="% OF AFV(12M)",AVERAGE($M72:M83),IF('Pre-Calculation'!$D$16="% OF AFV(36M)",AVERAGE($M48:M83)))))</f>
        <v>2304102.671</v>
      </c>
      <c r="O83" s="175">
        <f t="shared" si="4"/>
        <v>2304102.671</v>
      </c>
      <c r="P83" s="175">
        <f>IF('Pre-Calculation'!$D$17="Type 4 a",MAX(SA,N83,1.05*Q83),IF('Pre-Calculation'!$D$17="Type 4 c",N83,IF('Pre-Calculation'!$D$17="Type 4 d",SA+N83,IF('Pre-Calculation'!$D$17="Type 4 e",MAX(SA,N83),IF('Pre-Calculation'!$D$17="Type 4 f",SA,IF('Pre-Calculation'!$D$17="Type 4 g",1000+N83,IF('Pre-Calculation'!$D$17="Type 4 h",SA+V83,IF('Pre-Calculation'!$D$17="Type 4 i",MAX(N83,Q83),IF('Pre-Calculation'!$D$17="Type 4 k",MAX(N83,1.01*Q83),IF('Pre-Calculation'!$D$17="Type 4 m",MAX(105%*Q83,SA+N83),IF('Pre-Calculation'!$D$17="Type 4 o",MAX(SA,105%*Q83)+V83+X83,IF('Pre-Calculation'!$D$17="Type 5",0))))))))))))</f>
        <v>2304102.671</v>
      </c>
      <c r="Q83" s="175">
        <f t="shared" si="5"/>
        <v>1000000</v>
      </c>
      <c r="R83" s="119">
        <f>L83*(1+GROWTH_RATE)*FMC</f>
        <v>2579.193487</v>
      </c>
      <c r="S83" s="112"/>
      <c r="T83" s="175">
        <f>-E83+IF(A82=INPUT!$C$11*12,N83,0)</f>
        <v>0</v>
      </c>
      <c r="U83" s="171"/>
      <c r="V83" s="179">
        <f t="array" ref="V83">NPV('Pre-Calculation'!$E$20,$E84:E$246)</f>
        <v>0</v>
      </c>
      <c r="W83" s="171">
        <f>10%*SA</f>
        <v>100000</v>
      </c>
      <c r="X83" s="179">
        <f t="array" ref="X83">NPV('Pre-Calculation'!$E$20,W84:W93)</f>
        <v>969592.8037</v>
      </c>
      <c r="Y83" s="12"/>
      <c r="Z83" s="12"/>
    </row>
    <row r="84" ht="15.75" customHeight="1">
      <c r="A84" s="171">
        <f t="shared" si="1"/>
        <v>138</v>
      </c>
      <c r="B84" s="171">
        <f t="shared" si="2"/>
        <v>12</v>
      </c>
      <c r="C84" s="176">
        <f>EDATE(RCD,A83)</f>
        <v>46721</v>
      </c>
      <c r="D84" s="171">
        <f>Age_At_Entry+Cashflows_HIST!B84-1</f>
        <v>46</v>
      </c>
      <c r="E84" s="175">
        <f>IF(AND(C84&lt;=Last_Prem,MOD(A83,Mode)=0,C84&gt;INPUT!$C$13,A84&lt;=Revival!$C$11),Mod_Prem,0)</f>
        <v>0</v>
      </c>
      <c r="F84" s="177">
        <f>E84*VLOOKUP(B84,'Pre-Calculation'!$H$1:$I$31,2,FALSE)</f>
        <v>0</v>
      </c>
      <c r="G84" s="177">
        <f>IF(B84&lt;PT+1,VLOOKUP(B84,'Pre-Calculation'!$H$1:$L$32,3,FALSE)+VLOOKUP(B84,'Pre-Calculation'!$H$1:$L$32,4,FALSE)*'Pre-Calculation'!$D$7,0)</f>
        <v>0</v>
      </c>
      <c r="H84" s="175">
        <f>(E84-(F84+G84)*(1+Tax)+N83)</f>
        <v>2304102.671</v>
      </c>
      <c r="I84" s="175">
        <f>IF(B84&lt;PT+1,VLOOKUP(D84,'Pre-Calculation'!$N$3:$P$79,IF(INPUT!$C$4="M",2,3),FALSE)*(J84/1000)*(1/12),0)</f>
        <v>0</v>
      </c>
      <c r="J84" s="175">
        <f t="shared" si="3"/>
        <v>0</v>
      </c>
      <c r="K84" s="175">
        <f>(IF('Pre-Calculation'!$D$17="Type 4 a",MAX(SA,H84,1.05*Q84),IF('Pre-Calculation'!$D$17="Type 4 c",H84,IF('Pre-Calculation'!$D$17="Type 4 d",SA+H84,IF('Pre-Calculation'!$D$17="Type 4 e",MAX(SA,H84),IF('Pre-Calculation'!$D$17="Type 4 f",SA,IF('Pre-Calculation'!$D$17="Type 4 g",1000+H84,IF('Pre-Calculation'!$D$17="Type 4 h",SA+V84,IF('Pre-Calculation'!$D$17="Type 4 i",MAX(H84,Q84),IF('Pre-Calculation'!$D$17="Type 4 k",MAX(H84,1.01*Q84),IF('Pre-Calculation'!$D$17="Type 4 m",MAX(105%*Q84,SA+H84),IF('Pre-Calculation'!$D$17="Type 4 o",MAX(SA,105%*Q84)+V84+X84,IF('Pre-Calculation'!$D$17="Type 5",0)))))))))))))*IF(AND(A84&lt;Revival!$C$4,C84&gt;Revival!$D$12),PUP,1)</f>
        <v>2304102.671</v>
      </c>
      <c r="L84" s="175">
        <f>H84-I84*(1+Tax)</f>
        <v>2304102.671</v>
      </c>
      <c r="M84" s="175">
        <f>L84*(1+GROWTH_RATE_HIST)</f>
        <v>2329278.007</v>
      </c>
      <c r="N84" s="175">
        <f>M84+IF(MOD(A84,B84)=0,VLOOKUP(B84,'Pre-Calculation'!$H$1:$L$31,5,FALSE),0)*IF('Pre-Calculation'!$D$16="% OF FV",M84,IF(OR('Pre-Calculation'!$D$16="% OF AFV(24M)",'Pre-Calculation'!$D$16="% OF AFV(8Q)"),AVERAGE( $M61:$M84),IF('Pre-Calculation'!$D$16="% OF AFV(12M)",AVERAGE($M73:M84),IF('Pre-Calculation'!$D$16="% OF AFV(36M)",AVERAGE($M49:M84)))))</f>
        <v>2329278.007</v>
      </c>
      <c r="O84" s="175">
        <f t="shared" si="4"/>
        <v>2329278.007</v>
      </c>
      <c r="P84" s="175">
        <f>IF('Pre-Calculation'!$D$17="Type 4 a",MAX(SA,N84,1.05*Q84),IF('Pre-Calculation'!$D$17="Type 4 c",N84,IF('Pre-Calculation'!$D$17="Type 4 d",SA+N84,IF('Pre-Calculation'!$D$17="Type 4 e",MAX(SA,N84),IF('Pre-Calculation'!$D$17="Type 4 f",SA,IF('Pre-Calculation'!$D$17="Type 4 g",1000+N84,IF('Pre-Calculation'!$D$17="Type 4 h",SA+V84,IF('Pre-Calculation'!$D$17="Type 4 i",MAX(N84,Q84),IF('Pre-Calculation'!$D$17="Type 4 k",MAX(N84,1.01*Q84),IF('Pre-Calculation'!$D$17="Type 4 m",MAX(105%*Q84,SA+N84),IF('Pre-Calculation'!$D$17="Type 4 o",MAX(SA,105%*Q84)+V84+X84,IF('Pre-Calculation'!$D$17="Type 5",0))))))))))))</f>
        <v>2329278.007</v>
      </c>
      <c r="Q84" s="175">
        <f t="shared" si="5"/>
        <v>1000000</v>
      </c>
      <c r="R84" s="119">
        <f>L84*(1+GROWTH_RATE)*FMC</f>
        <v>2607.37455</v>
      </c>
      <c r="S84" s="112"/>
      <c r="T84" s="175">
        <f>-E84+IF(A83=INPUT!$C$11*12,N84,0)</f>
        <v>0</v>
      </c>
      <c r="U84" s="171"/>
      <c r="V84" s="179">
        <f t="array" ref="V84">NPV('Pre-Calculation'!$E$20,$E85:E$246)</f>
        <v>0</v>
      </c>
      <c r="W84" s="171">
        <f>10%*SA</f>
        <v>100000</v>
      </c>
      <c r="X84" s="179">
        <f t="array" ref="X84">NPV('Pre-Calculation'!$E$20,W85:W94)</f>
        <v>969592.8037</v>
      </c>
      <c r="Y84" s="12"/>
      <c r="Z84" s="12"/>
    </row>
    <row r="85" ht="15.75" customHeight="1">
      <c r="A85" s="171">
        <f t="shared" si="1"/>
        <v>139</v>
      </c>
      <c r="B85" s="171">
        <f t="shared" si="2"/>
        <v>12</v>
      </c>
      <c r="C85" s="176">
        <f>EDATE(RCD,A84)</f>
        <v>46751</v>
      </c>
      <c r="D85" s="171">
        <f>Age_At_Entry+Cashflows_HIST!B85-1</f>
        <v>46</v>
      </c>
      <c r="E85" s="175">
        <f>IF(AND(C85&lt;=Last_Prem,MOD(A84,Mode)=0,C85&gt;INPUT!$C$13,A85&lt;=Revival!$C$11),Mod_Prem,0)</f>
        <v>0</v>
      </c>
      <c r="F85" s="177">
        <f>E85*VLOOKUP(B85,'Pre-Calculation'!$H$1:$I$31,2,FALSE)</f>
        <v>0</v>
      </c>
      <c r="G85" s="177">
        <f>IF(B85&lt;PT+1,VLOOKUP(B85,'Pre-Calculation'!$H$1:$L$32,3,FALSE)+VLOOKUP(B85,'Pre-Calculation'!$H$1:$L$32,4,FALSE)*'Pre-Calculation'!$D$7,0)</f>
        <v>0</v>
      </c>
      <c r="H85" s="175">
        <f>(E85-(F85+G85)*(1+Tax)+N84)</f>
        <v>2329278.007</v>
      </c>
      <c r="I85" s="175">
        <f>IF(B85&lt;PT+1,VLOOKUP(D85,'Pre-Calculation'!$N$3:$P$79,IF(INPUT!$C$4="M",2,3),FALSE)*(J85/1000)*(1/12),0)</f>
        <v>0</v>
      </c>
      <c r="J85" s="175">
        <f t="shared" si="3"/>
        <v>0</v>
      </c>
      <c r="K85" s="175">
        <f>(IF('Pre-Calculation'!$D$17="Type 4 a",MAX(SA,H85,1.05*Q85),IF('Pre-Calculation'!$D$17="Type 4 c",H85,IF('Pre-Calculation'!$D$17="Type 4 d",SA+H85,IF('Pre-Calculation'!$D$17="Type 4 e",MAX(SA,H85),IF('Pre-Calculation'!$D$17="Type 4 f",SA,IF('Pre-Calculation'!$D$17="Type 4 g",1000+H85,IF('Pre-Calculation'!$D$17="Type 4 h",SA+V85,IF('Pre-Calculation'!$D$17="Type 4 i",MAX(H85,Q85),IF('Pre-Calculation'!$D$17="Type 4 k",MAX(H85,1.01*Q85),IF('Pre-Calculation'!$D$17="Type 4 m",MAX(105%*Q85,SA+H85),IF('Pre-Calculation'!$D$17="Type 4 o",MAX(SA,105%*Q85)+V85+X85,IF('Pre-Calculation'!$D$17="Type 5",0)))))))))))))*IF(AND(A85&lt;Revival!$C$4,C85&gt;Revival!$D$12),PUP,1)</f>
        <v>2329278.007</v>
      </c>
      <c r="L85" s="175">
        <f>H85-I85*(1+Tax)</f>
        <v>2329278.007</v>
      </c>
      <c r="M85" s="175">
        <f>L85*(1+GROWTH_RATE_HIST)</f>
        <v>2354728.417</v>
      </c>
      <c r="N85" s="175">
        <f>M85+IF(MOD(A85,B85)=0,VLOOKUP(B85,'Pre-Calculation'!$H$1:$L$31,5,FALSE),0)*IF('Pre-Calculation'!$D$16="% OF FV",M85,IF(OR('Pre-Calculation'!$D$16="% OF AFV(24M)",'Pre-Calculation'!$D$16="% OF AFV(8Q)"),AVERAGE( $M62:$M85),IF('Pre-Calculation'!$D$16="% OF AFV(12M)",AVERAGE($M74:M85),IF('Pre-Calculation'!$D$16="% OF AFV(36M)",AVERAGE($M50:M85)))))</f>
        <v>2354728.417</v>
      </c>
      <c r="O85" s="175">
        <f t="shared" si="4"/>
        <v>2354728.417</v>
      </c>
      <c r="P85" s="175">
        <f>IF('Pre-Calculation'!$D$17="Type 4 a",MAX(SA,N85,1.05*Q85),IF('Pre-Calculation'!$D$17="Type 4 c",N85,IF('Pre-Calculation'!$D$17="Type 4 d",SA+N85,IF('Pre-Calculation'!$D$17="Type 4 e",MAX(SA,N85),IF('Pre-Calculation'!$D$17="Type 4 f",SA,IF('Pre-Calculation'!$D$17="Type 4 g",1000+N85,IF('Pre-Calculation'!$D$17="Type 4 h",SA+V85,IF('Pre-Calculation'!$D$17="Type 4 i",MAX(N85,Q85),IF('Pre-Calculation'!$D$17="Type 4 k",MAX(N85,1.01*Q85),IF('Pre-Calculation'!$D$17="Type 4 m",MAX(105%*Q85,SA+N85),IF('Pre-Calculation'!$D$17="Type 4 o",MAX(SA,105%*Q85)+V85+X85,IF('Pre-Calculation'!$D$17="Type 5",0))))))))))))</f>
        <v>2354728.417</v>
      </c>
      <c r="Q85" s="175">
        <f t="shared" si="5"/>
        <v>1000000</v>
      </c>
      <c r="R85" s="119">
        <f>L85*(1+GROWTH_RATE)*FMC</f>
        <v>2635.863528</v>
      </c>
      <c r="S85" s="112"/>
      <c r="T85" s="175">
        <f>-E85+IF(A84=INPUT!$C$11*12,N85,0)</f>
        <v>0</v>
      </c>
      <c r="U85" s="171"/>
      <c r="V85" s="179">
        <f t="array" ref="V85">NPV('Pre-Calculation'!$E$20,$E86:E$246)</f>
        <v>0</v>
      </c>
      <c r="W85" s="171">
        <f>10%*SA</f>
        <v>100000</v>
      </c>
      <c r="X85" s="179">
        <f t="array" ref="X85">NPV('Pre-Calculation'!$E$20,W86:W95)</f>
        <v>969592.8037</v>
      </c>
      <c r="Y85" s="12"/>
      <c r="Z85" s="12"/>
    </row>
    <row r="86" ht="15.75" customHeight="1">
      <c r="A86" s="171">
        <f t="shared" si="1"/>
        <v>140</v>
      </c>
      <c r="B86" s="171">
        <f t="shared" si="2"/>
        <v>12</v>
      </c>
      <c r="C86" s="176">
        <f>EDATE(RCD,A85)</f>
        <v>46782</v>
      </c>
      <c r="D86" s="171">
        <f>Age_At_Entry+Cashflows_HIST!B86-1</f>
        <v>46</v>
      </c>
      <c r="E86" s="175">
        <f>IF(AND(C86&lt;=Last_Prem,MOD(A85,Mode)=0,C86&gt;INPUT!$C$13,A86&lt;=Revival!$C$11),Mod_Prem,0)</f>
        <v>0</v>
      </c>
      <c r="F86" s="177">
        <f>E86*VLOOKUP(B86,'Pre-Calculation'!$H$1:$I$31,2,FALSE)</f>
        <v>0</v>
      </c>
      <c r="G86" s="177">
        <f>IF(B86&lt;PT+1,VLOOKUP(B86,'Pre-Calculation'!$H$1:$L$32,3,FALSE)+VLOOKUP(B86,'Pre-Calculation'!$H$1:$L$32,4,FALSE)*'Pre-Calculation'!$D$7,0)</f>
        <v>0</v>
      </c>
      <c r="H86" s="175">
        <f>(E86-(F86+G86)*(1+Tax)+N85)</f>
        <v>2354728.417</v>
      </c>
      <c r="I86" s="175">
        <f>IF(B86&lt;PT+1,VLOOKUP(D86,'Pre-Calculation'!$N$3:$P$79,IF(INPUT!$C$4="M",2,3),FALSE)*(J86/1000)*(1/12),0)</f>
        <v>0</v>
      </c>
      <c r="J86" s="175">
        <f t="shared" si="3"/>
        <v>0</v>
      </c>
      <c r="K86" s="175">
        <f>(IF('Pre-Calculation'!$D$17="Type 4 a",MAX(SA,H86,1.05*Q86),IF('Pre-Calculation'!$D$17="Type 4 c",H86,IF('Pre-Calculation'!$D$17="Type 4 d",SA+H86,IF('Pre-Calculation'!$D$17="Type 4 e",MAX(SA,H86),IF('Pre-Calculation'!$D$17="Type 4 f",SA,IF('Pre-Calculation'!$D$17="Type 4 g",1000+H86,IF('Pre-Calculation'!$D$17="Type 4 h",SA+V86,IF('Pre-Calculation'!$D$17="Type 4 i",MAX(H86,Q86),IF('Pre-Calculation'!$D$17="Type 4 k",MAX(H86,1.01*Q86),IF('Pre-Calculation'!$D$17="Type 4 m",MAX(105%*Q86,SA+H86),IF('Pre-Calculation'!$D$17="Type 4 o",MAX(SA,105%*Q86)+V86+X86,IF('Pre-Calculation'!$D$17="Type 5",0)))))))))))))*IF(AND(A86&lt;Revival!$C$4,C86&gt;Revival!$D$12),PUP,1)</f>
        <v>2354728.417</v>
      </c>
      <c r="L86" s="175">
        <f>H86-I86*(1+Tax)</f>
        <v>2354728.417</v>
      </c>
      <c r="M86" s="175">
        <f>L86*(1+GROWTH_RATE_HIST)</f>
        <v>2380456.906</v>
      </c>
      <c r="N86" s="175">
        <f>M86+IF(MOD(A86,B86)=0,VLOOKUP(B86,'Pre-Calculation'!$H$1:$L$31,5,FALSE),0)*IF('Pre-Calculation'!$D$16="% OF FV",M86,IF(OR('Pre-Calculation'!$D$16="% OF AFV(24M)",'Pre-Calculation'!$D$16="% OF AFV(8Q)"),AVERAGE( $M63:$M86),IF('Pre-Calculation'!$D$16="% OF AFV(12M)",AVERAGE($M75:M86),IF('Pre-Calculation'!$D$16="% OF AFV(36M)",AVERAGE($M51:M86)))))</f>
        <v>2380456.906</v>
      </c>
      <c r="O86" s="175">
        <f t="shared" si="4"/>
        <v>2380456.906</v>
      </c>
      <c r="P86" s="175">
        <f>IF('Pre-Calculation'!$D$17="Type 4 a",MAX(SA,N86,1.05*Q86),IF('Pre-Calculation'!$D$17="Type 4 c",N86,IF('Pre-Calculation'!$D$17="Type 4 d",SA+N86,IF('Pre-Calculation'!$D$17="Type 4 e",MAX(SA,N86),IF('Pre-Calculation'!$D$17="Type 4 f",SA,IF('Pre-Calculation'!$D$17="Type 4 g",1000+N86,IF('Pre-Calculation'!$D$17="Type 4 h",SA+V86,IF('Pre-Calculation'!$D$17="Type 4 i",MAX(N86,Q86),IF('Pre-Calculation'!$D$17="Type 4 k",MAX(N86,1.01*Q86),IF('Pre-Calculation'!$D$17="Type 4 m",MAX(105%*Q86,SA+N86),IF('Pre-Calculation'!$D$17="Type 4 o",MAX(SA,105%*Q86)+V86+X86,IF('Pre-Calculation'!$D$17="Type 5",0))))))))))))</f>
        <v>2380456.906</v>
      </c>
      <c r="Q86" s="175">
        <f t="shared" si="5"/>
        <v>1000000</v>
      </c>
      <c r="R86" s="119">
        <f>L86*(1+GROWTH_RATE)*FMC</f>
        <v>2664.663786</v>
      </c>
      <c r="S86" s="112"/>
      <c r="T86" s="175">
        <f>-E86+IF(A85=INPUT!$C$11*12,N86,0)</f>
        <v>0</v>
      </c>
      <c r="U86" s="171"/>
      <c r="V86" s="179">
        <f t="array" ref="V86">NPV('Pre-Calculation'!$E$20,$E87:E$246)</f>
        <v>0</v>
      </c>
      <c r="W86" s="171">
        <f>10%*SA</f>
        <v>100000</v>
      </c>
      <c r="X86" s="179">
        <f t="array" ref="X86">NPV('Pre-Calculation'!$E$20,W87:W96)</f>
        <v>969592.8037</v>
      </c>
      <c r="Y86" s="12"/>
      <c r="Z86" s="12"/>
    </row>
    <row r="87" ht="15.75" customHeight="1">
      <c r="A87" s="171">
        <f t="shared" si="1"/>
        <v>141</v>
      </c>
      <c r="B87" s="171">
        <f t="shared" si="2"/>
        <v>12</v>
      </c>
      <c r="C87" s="176">
        <f>EDATE(RCD,A86)</f>
        <v>46812</v>
      </c>
      <c r="D87" s="171">
        <f>Age_At_Entry+Cashflows_HIST!B87-1</f>
        <v>46</v>
      </c>
      <c r="E87" s="175">
        <f>IF(AND(C87&lt;=Last_Prem,MOD(A86,Mode)=0,C87&gt;INPUT!$C$13,A87&lt;=Revival!$C$11),Mod_Prem,0)</f>
        <v>0</v>
      </c>
      <c r="F87" s="177">
        <f>E87*VLOOKUP(B87,'Pre-Calculation'!$H$1:$I$31,2,FALSE)</f>
        <v>0</v>
      </c>
      <c r="G87" s="177">
        <f>IF(B87&lt;PT+1,VLOOKUP(B87,'Pre-Calculation'!$H$1:$L$32,3,FALSE)+VLOOKUP(B87,'Pre-Calculation'!$H$1:$L$32,4,FALSE)*'Pre-Calculation'!$D$7,0)</f>
        <v>0</v>
      </c>
      <c r="H87" s="175">
        <f>(E87-(F87+G87)*(1+Tax)+N86)</f>
        <v>2380456.906</v>
      </c>
      <c r="I87" s="175">
        <f>IF(B87&lt;PT+1,VLOOKUP(D87,'Pre-Calculation'!$N$3:$P$79,IF(INPUT!$C$4="M",2,3),FALSE)*(J87/1000)*(1/12),0)</f>
        <v>0</v>
      </c>
      <c r="J87" s="175">
        <f t="shared" si="3"/>
        <v>0</v>
      </c>
      <c r="K87" s="175">
        <f>(IF('Pre-Calculation'!$D$17="Type 4 a",MAX(SA,H87,1.05*Q87),IF('Pre-Calculation'!$D$17="Type 4 c",H87,IF('Pre-Calculation'!$D$17="Type 4 d",SA+H87,IF('Pre-Calculation'!$D$17="Type 4 e",MAX(SA,H87),IF('Pre-Calculation'!$D$17="Type 4 f",SA,IF('Pre-Calculation'!$D$17="Type 4 g",1000+H87,IF('Pre-Calculation'!$D$17="Type 4 h",SA+V87,IF('Pre-Calculation'!$D$17="Type 4 i",MAX(H87,Q87),IF('Pre-Calculation'!$D$17="Type 4 k",MAX(H87,1.01*Q87),IF('Pre-Calculation'!$D$17="Type 4 m",MAX(105%*Q87,SA+H87),IF('Pre-Calculation'!$D$17="Type 4 o",MAX(SA,105%*Q87)+V87+X87,IF('Pre-Calculation'!$D$17="Type 5",0)))))))))))))*IF(AND(A87&lt;Revival!$C$4,C87&gt;Revival!$D$12),PUP,1)</f>
        <v>2380456.906</v>
      </c>
      <c r="L87" s="175">
        <f>H87-I87*(1+Tax)</f>
        <v>2380456.906</v>
      </c>
      <c r="M87" s="175">
        <f>L87*(1+GROWTH_RATE_HIST)</f>
        <v>2406466.512</v>
      </c>
      <c r="N87" s="175">
        <f>M87+IF(MOD(A87,B87)=0,VLOOKUP(B87,'Pre-Calculation'!$H$1:$L$31,5,FALSE),0)*IF('Pre-Calculation'!$D$16="% OF FV",M87,IF(OR('Pre-Calculation'!$D$16="% OF AFV(24M)",'Pre-Calculation'!$D$16="% OF AFV(8Q)"),AVERAGE( $M64:$M87),IF('Pre-Calculation'!$D$16="% OF AFV(12M)",AVERAGE($M76:M87),IF('Pre-Calculation'!$D$16="% OF AFV(36M)",AVERAGE($M52:M87)))))</f>
        <v>2406466.512</v>
      </c>
      <c r="O87" s="175">
        <f t="shared" si="4"/>
        <v>2406466.512</v>
      </c>
      <c r="P87" s="175">
        <f>IF('Pre-Calculation'!$D$17="Type 4 a",MAX(SA,N87,1.05*Q87),IF('Pre-Calculation'!$D$17="Type 4 c",N87,IF('Pre-Calculation'!$D$17="Type 4 d",SA+N87,IF('Pre-Calculation'!$D$17="Type 4 e",MAX(SA,N87),IF('Pre-Calculation'!$D$17="Type 4 f",SA,IF('Pre-Calculation'!$D$17="Type 4 g",1000+N87,IF('Pre-Calculation'!$D$17="Type 4 h",SA+V87,IF('Pre-Calculation'!$D$17="Type 4 i",MAX(N87,Q87),IF('Pre-Calculation'!$D$17="Type 4 k",MAX(N87,1.01*Q87),IF('Pre-Calculation'!$D$17="Type 4 m",MAX(105%*Q87,SA+N87),IF('Pre-Calculation'!$D$17="Type 4 o",MAX(SA,105%*Q87)+V87+X87,IF('Pre-Calculation'!$D$17="Type 5",0))))))))))))</f>
        <v>2406466.512</v>
      </c>
      <c r="Q87" s="175">
        <f t="shared" si="5"/>
        <v>1000000</v>
      </c>
      <c r="R87" s="119">
        <f>L87*(1+GROWTH_RATE)*FMC</f>
        <v>2693.778724</v>
      </c>
      <c r="S87" s="112"/>
      <c r="T87" s="175">
        <f>-E87+IF(A86=INPUT!$C$11*12,N87,0)</f>
        <v>0</v>
      </c>
      <c r="U87" s="171"/>
      <c r="V87" s="179">
        <f t="array" ref="V87">NPV('Pre-Calculation'!$E$20,$E88:E$246)</f>
        <v>0</v>
      </c>
      <c r="W87" s="171">
        <f>10%*SA</f>
        <v>100000</v>
      </c>
      <c r="X87" s="179">
        <f t="array" ref="X87">NPV('Pre-Calculation'!$E$20,W88:W97)</f>
        <v>969592.8037</v>
      </c>
      <c r="Y87" s="12"/>
      <c r="Z87" s="12"/>
    </row>
    <row r="88" ht="15.75" customHeight="1">
      <c r="A88" s="171">
        <f t="shared" si="1"/>
        <v>142</v>
      </c>
      <c r="B88" s="171">
        <f t="shared" si="2"/>
        <v>12</v>
      </c>
      <c r="C88" s="176">
        <f>EDATE(RCD,A87)</f>
        <v>46842</v>
      </c>
      <c r="D88" s="171">
        <f>Age_At_Entry+Cashflows_HIST!B88-1</f>
        <v>46</v>
      </c>
      <c r="E88" s="175">
        <f>IF(AND(C88&lt;=Last_Prem,MOD(A87,Mode)=0,C88&gt;INPUT!$C$13,A88&lt;=Revival!$C$11),Mod_Prem,0)</f>
        <v>0</v>
      </c>
      <c r="F88" s="177">
        <f>E88*VLOOKUP(B88,'Pre-Calculation'!$H$1:$I$31,2,FALSE)</f>
        <v>0</v>
      </c>
      <c r="G88" s="177">
        <f>IF(B88&lt;PT+1,VLOOKUP(B88,'Pre-Calculation'!$H$1:$L$32,3,FALSE)+VLOOKUP(B88,'Pre-Calculation'!$H$1:$L$32,4,FALSE)*'Pre-Calculation'!$D$7,0)</f>
        <v>0</v>
      </c>
      <c r="H88" s="175">
        <f>(E88-(F88+G88)*(1+Tax)+N87)</f>
        <v>2406466.512</v>
      </c>
      <c r="I88" s="175">
        <f>IF(B88&lt;PT+1,VLOOKUP(D88,'Pre-Calculation'!$N$3:$P$79,IF(INPUT!$C$4="M",2,3),FALSE)*(J88/1000)*(1/12),0)</f>
        <v>0</v>
      </c>
      <c r="J88" s="175">
        <f t="shared" si="3"/>
        <v>0</v>
      </c>
      <c r="K88" s="175">
        <f>(IF('Pre-Calculation'!$D$17="Type 4 a",MAX(SA,H88,1.05*Q88),IF('Pre-Calculation'!$D$17="Type 4 c",H88,IF('Pre-Calculation'!$D$17="Type 4 d",SA+H88,IF('Pre-Calculation'!$D$17="Type 4 e",MAX(SA,H88),IF('Pre-Calculation'!$D$17="Type 4 f",SA,IF('Pre-Calculation'!$D$17="Type 4 g",1000+H88,IF('Pre-Calculation'!$D$17="Type 4 h",SA+V88,IF('Pre-Calculation'!$D$17="Type 4 i",MAX(H88,Q88),IF('Pre-Calculation'!$D$17="Type 4 k",MAX(H88,1.01*Q88),IF('Pre-Calculation'!$D$17="Type 4 m",MAX(105%*Q88,SA+H88),IF('Pre-Calculation'!$D$17="Type 4 o",MAX(SA,105%*Q88)+V88+X88,IF('Pre-Calculation'!$D$17="Type 5",0)))))))))))))*IF(AND(A88&lt;Revival!$C$4,C88&gt;Revival!$D$12),PUP,1)</f>
        <v>2406466.512</v>
      </c>
      <c r="L88" s="175">
        <f>H88-I88*(1+Tax)</f>
        <v>2406466.512</v>
      </c>
      <c r="M88" s="175">
        <f>L88*(1+GROWTH_RATE_HIST)</f>
        <v>2432760.307</v>
      </c>
      <c r="N88" s="175">
        <f>M88+IF(MOD(A88,B88)=0,VLOOKUP(B88,'Pre-Calculation'!$H$1:$L$31,5,FALSE),0)*IF('Pre-Calculation'!$D$16="% OF FV",M88,IF(OR('Pre-Calculation'!$D$16="% OF AFV(24M)",'Pre-Calculation'!$D$16="% OF AFV(8Q)"),AVERAGE( $M65:$M88),IF('Pre-Calculation'!$D$16="% OF AFV(12M)",AVERAGE($M77:M88),IF('Pre-Calculation'!$D$16="% OF AFV(36M)",AVERAGE($M53:M88)))))</f>
        <v>2432760.307</v>
      </c>
      <c r="O88" s="175">
        <f t="shared" si="4"/>
        <v>2432760.307</v>
      </c>
      <c r="P88" s="175">
        <f>IF('Pre-Calculation'!$D$17="Type 4 a",MAX(SA,N88,1.05*Q88),IF('Pre-Calculation'!$D$17="Type 4 c",N88,IF('Pre-Calculation'!$D$17="Type 4 d",SA+N88,IF('Pre-Calculation'!$D$17="Type 4 e",MAX(SA,N88),IF('Pre-Calculation'!$D$17="Type 4 f",SA,IF('Pre-Calculation'!$D$17="Type 4 g",1000+N88,IF('Pre-Calculation'!$D$17="Type 4 h",SA+V88,IF('Pre-Calculation'!$D$17="Type 4 i",MAX(N88,Q88),IF('Pre-Calculation'!$D$17="Type 4 k",MAX(N88,1.01*Q88),IF('Pre-Calculation'!$D$17="Type 4 m",MAX(105%*Q88,SA+N88),IF('Pre-Calculation'!$D$17="Type 4 o",MAX(SA,105%*Q88)+V88+X88,IF('Pre-Calculation'!$D$17="Type 5",0))))))))))))</f>
        <v>2432760.307</v>
      </c>
      <c r="Q88" s="175">
        <f t="shared" si="5"/>
        <v>1000000</v>
      </c>
      <c r="R88" s="119">
        <f>L88*(1+GROWTH_RATE)*FMC</f>
        <v>2723.211781</v>
      </c>
      <c r="S88" s="112"/>
      <c r="T88" s="175">
        <f>-E88+IF(A87=INPUT!$C$11*12,N88,0)</f>
        <v>0</v>
      </c>
      <c r="U88" s="171"/>
      <c r="V88" s="179">
        <f t="array" ref="V88">NPV('Pre-Calculation'!$E$20,$E89:E$246)</f>
        <v>0</v>
      </c>
      <c r="W88" s="171">
        <f>10%*SA</f>
        <v>100000</v>
      </c>
      <c r="X88" s="179">
        <f t="array" ref="X88">NPV('Pre-Calculation'!$E$20,W89:W98)</f>
        <v>969592.8037</v>
      </c>
      <c r="Y88" s="12"/>
      <c r="Z88" s="12"/>
    </row>
    <row r="89" ht="15.75" customHeight="1">
      <c r="A89" s="171">
        <f t="shared" si="1"/>
        <v>143</v>
      </c>
      <c r="B89" s="171">
        <f t="shared" si="2"/>
        <v>12</v>
      </c>
      <c r="C89" s="176">
        <f>EDATE(RCD,A88)</f>
        <v>46873</v>
      </c>
      <c r="D89" s="171">
        <f>Age_At_Entry+Cashflows_HIST!B89-1</f>
        <v>46</v>
      </c>
      <c r="E89" s="175">
        <f>IF(AND(C89&lt;=Last_Prem,MOD(A88,Mode)=0,C89&gt;INPUT!$C$13,A89&lt;=Revival!$C$11),Mod_Prem,0)</f>
        <v>0</v>
      </c>
      <c r="F89" s="177">
        <f>E89*VLOOKUP(B89,'Pre-Calculation'!$H$1:$I$31,2,FALSE)</f>
        <v>0</v>
      </c>
      <c r="G89" s="177">
        <f>IF(B89&lt;PT+1,VLOOKUP(B89,'Pre-Calculation'!$H$1:$L$32,3,FALSE)+VLOOKUP(B89,'Pre-Calculation'!$H$1:$L$32,4,FALSE)*'Pre-Calculation'!$D$7,0)</f>
        <v>0</v>
      </c>
      <c r="H89" s="175">
        <f>(E89-(F89+G89)*(1+Tax)+N88)</f>
        <v>2432760.307</v>
      </c>
      <c r="I89" s="175">
        <f>IF(B89&lt;PT+1,VLOOKUP(D89,'Pre-Calculation'!$N$3:$P$79,IF(INPUT!$C$4="M",2,3),FALSE)*(J89/1000)*(1/12),0)</f>
        <v>0</v>
      </c>
      <c r="J89" s="175">
        <f t="shared" si="3"/>
        <v>0</v>
      </c>
      <c r="K89" s="175">
        <f>(IF('Pre-Calculation'!$D$17="Type 4 a",MAX(SA,H89,1.05*Q89),IF('Pre-Calculation'!$D$17="Type 4 c",H89,IF('Pre-Calculation'!$D$17="Type 4 d",SA+H89,IF('Pre-Calculation'!$D$17="Type 4 e",MAX(SA,H89),IF('Pre-Calculation'!$D$17="Type 4 f",SA,IF('Pre-Calculation'!$D$17="Type 4 g",1000+H89,IF('Pre-Calculation'!$D$17="Type 4 h",SA+V89,IF('Pre-Calculation'!$D$17="Type 4 i",MAX(H89,Q89),IF('Pre-Calculation'!$D$17="Type 4 k",MAX(H89,1.01*Q89),IF('Pre-Calculation'!$D$17="Type 4 m",MAX(105%*Q89,SA+H89),IF('Pre-Calculation'!$D$17="Type 4 o",MAX(SA,105%*Q89)+V89+X89,IF('Pre-Calculation'!$D$17="Type 5",0)))))))))))))*IF(AND(A89&lt;Revival!$C$4,C89&gt;Revival!$D$12),PUP,1)</f>
        <v>2432760.307</v>
      </c>
      <c r="L89" s="175">
        <f>H89-I89*(1+Tax)</f>
        <v>2432760.307</v>
      </c>
      <c r="M89" s="175">
        <f>L89*(1+GROWTH_RATE_HIST)</f>
        <v>2459341.397</v>
      </c>
      <c r="N89" s="175">
        <f>M89+IF(MOD(A89,B89)=0,VLOOKUP(B89,'Pre-Calculation'!$H$1:$L$31,5,FALSE),0)*IF('Pre-Calculation'!$D$16="% OF FV",M89,IF(OR('Pre-Calculation'!$D$16="% OF AFV(24M)",'Pre-Calculation'!$D$16="% OF AFV(8Q)"),AVERAGE( $M66:$M89),IF('Pre-Calculation'!$D$16="% OF AFV(12M)",AVERAGE($M78:M89),IF('Pre-Calculation'!$D$16="% OF AFV(36M)",AVERAGE($M54:M89)))))</f>
        <v>2459341.397</v>
      </c>
      <c r="O89" s="175">
        <f t="shared" si="4"/>
        <v>2459341.397</v>
      </c>
      <c r="P89" s="175">
        <f>IF('Pre-Calculation'!$D$17="Type 4 a",MAX(SA,N89,1.05*Q89),IF('Pre-Calculation'!$D$17="Type 4 c",N89,IF('Pre-Calculation'!$D$17="Type 4 d",SA+N89,IF('Pre-Calculation'!$D$17="Type 4 e",MAX(SA,N89),IF('Pre-Calculation'!$D$17="Type 4 f",SA,IF('Pre-Calculation'!$D$17="Type 4 g",1000+N89,IF('Pre-Calculation'!$D$17="Type 4 h",SA+V89,IF('Pre-Calculation'!$D$17="Type 4 i",MAX(N89,Q89),IF('Pre-Calculation'!$D$17="Type 4 k",MAX(N89,1.01*Q89),IF('Pre-Calculation'!$D$17="Type 4 m",MAX(105%*Q89,SA+N89),IF('Pre-Calculation'!$D$17="Type 4 o",MAX(SA,105%*Q89)+V89+X89,IF('Pre-Calculation'!$D$17="Type 5",0))))))))))))</f>
        <v>2459341.397</v>
      </c>
      <c r="Q89" s="175">
        <f t="shared" si="5"/>
        <v>1000000</v>
      </c>
      <c r="R89" s="119">
        <f>L89*(1+GROWTH_RATE)*FMC</f>
        <v>2752.966433</v>
      </c>
      <c r="S89" s="112"/>
      <c r="T89" s="175">
        <f>-E89+IF(A88=INPUT!$C$11*12,N89,0)</f>
        <v>0</v>
      </c>
      <c r="U89" s="112"/>
      <c r="V89" s="179">
        <f t="array" ref="V89">NPV('Pre-Calculation'!$E$20,$E90:E$246)</f>
        <v>0</v>
      </c>
      <c r="W89" s="171">
        <f>10%*SA</f>
        <v>100000</v>
      </c>
      <c r="X89" s="179">
        <f t="array" ref="X89">NPV('Pre-Calculation'!$E$20,W90:W99)</f>
        <v>969592.8037</v>
      </c>
      <c r="Y89" s="12"/>
      <c r="Z89" s="12"/>
    </row>
    <row r="90" ht="15.75" customHeight="1">
      <c r="A90" s="171">
        <f t="shared" si="1"/>
        <v>144</v>
      </c>
      <c r="B90" s="171">
        <f t="shared" si="2"/>
        <v>12</v>
      </c>
      <c r="C90" s="176">
        <f>EDATE(RCD,A89)</f>
        <v>46903</v>
      </c>
      <c r="D90" s="171">
        <f>Age_At_Entry+Cashflows_HIST!B90-1</f>
        <v>46</v>
      </c>
      <c r="E90" s="175">
        <f>IF(AND(C90&lt;=Last_Prem,MOD(A89,Mode)=0,C90&gt;INPUT!$C$13,A90&lt;=Revival!$C$11),Mod_Prem,0)</f>
        <v>0</v>
      </c>
      <c r="F90" s="177">
        <f>E90*VLOOKUP(B90,'Pre-Calculation'!$H$1:$I$31,2,FALSE)</f>
        <v>0</v>
      </c>
      <c r="G90" s="177">
        <f>IF(B90&lt;PT+1,VLOOKUP(B90,'Pre-Calculation'!$H$1:$L$32,3,FALSE)+VLOOKUP(B90,'Pre-Calculation'!$H$1:$L$32,4,FALSE)*'Pre-Calculation'!$D$7,0)</f>
        <v>0</v>
      </c>
      <c r="H90" s="175">
        <f>(E90-(F90+G90)*(1+Tax)+N89)</f>
        <v>2459341.397</v>
      </c>
      <c r="I90" s="175">
        <f>IF(B90&lt;PT+1,VLOOKUP(D90,'Pre-Calculation'!$N$3:$P$79,IF(INPUT!$C$4="M",2,3),FALSE)*(J90/1000)*(1/12),0)</f>
        <v>0</v>
      </c>
      <c r="J90" s="175">
        <f t="shared" si="3"/>
        <v>0</v>
      </c>
      <c r="K90" s="175">
        <f>(IF('Pre-Calculation'!$D$17="Type 4 a",MAX(SA,H90,1.05*Q90),IF('Pre-Calculation'!$D$17="Type 4 c",H90,IF('Pre-Calculation'!$D$17="Type 4 d",SA+H90,IF('Pre-Calculation'!$D$17="Type 4 e",MAX(SA,H90),IF('Pre-Calculation'!$D$17="Type 4 f",SA,IF('Pre-Calculation'!$D$17="Type 4 g",1000+H90,IF('Pre-Calculation'!$D$17="Type 4 h",SA+V90,IF('Pre-Calculation'!$D$17="Type 4 i",MAX(H90,Q90),IF('Pre-Calculation'!$D$17="Type 4 k",MAX(H90,1.01*Q90),IF('Pre-Calculation'!$D$17="Type 4 m",MAX(105%*Q90,SA+H90),IF('Pre-Calculation'!$D$17="Type 4 o",MAX(SA,105%*Q90)+V90+X90,IF('Pre-Calculation'!$D$17="Type 5",0)))))))))))))*IF(AND(A90&lt;Revival!$C$4,C90&gt;Revival!$D$12),PUP,1)</f>
        <v>2459341.397</v>
      </c>
      <c r="L90" s="175">
        <f>H90-I90*(1+Tax)</f>
        <v>2459341.397</v>
      </c>
      <c r="M90" s="175">
        <f>L90*(1+GROWTH_RATE_HIST)</f>
        <v>2486212.919</v>
      </c>
      <c r="N90" s="175">
        <f>M90+IF(MOD(A90,B90)=0,VLOOKUP(B90,'Pre-Calculation'!$H$1:$L$31,5,FALSE),0)*IF('Pre-Calculation'!$D$16="% OF FV",M90,IF(OR('Pre-Calculation'!$D$16="% OF AFV(24M)",'Pre-Calculation'!$D$16="% OF AFV(8Q)"),AVERAGE( $M67:$M90),IF('Pre-Calculation'!$D$16="% OF AFV(12M)",AVERAGE($M79:M90),IF('Pre-Calculation'!$D$16="% OF AFV(36M)",AVERAGE($M55:M90)))))</f>
        <v>2486212.919</v>
      </c>
      <c r="O90" s="175">
        <f t="shared" si="4"/>
        <v>2486212.919</v>
      </c>
      <c r="P90" s="175">
        <f>IF('Pre-Calculation'!$D$17="Type 4 a",MAX(SA,N90,1.05*Q90),IF('Pre-Calculation'!$D$17="Type 4 c",N90,IF('Pre-Calculation'!$D$17="Type 4 d",SA+N90,IF('Pre-Calculation'!$D$17="Type 4 e",MAX(SA,N90),IF('Pre-Calculation'!$D$17="Type 4 f",SA,IF('Pre-Calculation'!$D$17="Type 4 g",1000+N90,IF('Pre-Calculation'!$D$17="Type 4 h",SA+V90,IF('Pre-Calculation'!$D$17="Type 4 i",MAX(N90,Q90),IF('Pre-Calculation'!$D$17="Type 4 k",MAX(N90,1.01*Q90),IF('Pre-Calculation'!$D$17="Type 4 m",MAX(105%*Q90,SA+N90),IF('Pre-Calculation'!$D$17="Type 4 o",MAX(SA,105%*Q90)+V90+X90,IF('Pre-Calculation'!$D$17="Type 5",0))))))))))))</f>
        <v>2486212.919</v>
      </c>
      <c r="Q90" s="175">
        <f t="shared" si="5"/>
        <v>1000000</v>
      </c>
      <c r="R90" s="119">
        <f>L90*(1+GROWTH_RATE)*FMC</f>
        <v>2783.046193</v>
      </c>
      <c r="S90" s="112"/>
      <c r="T90" s="175">
        <f>-E90+IF(A89=INPUT!$C$11*12,N90,0)</f>
        <v>0</v>
      </c>
      <c r="U90" s="112"/>
      <c r="V90" s="179">
        <f t="array" ref="V90">NPV('Pre-Calculation'!$E$20,$E91:E$246)</f>
        <v>0</v>
      </c>
      <c r="W90" s="171">
        <f>10%*SA</f>
        <v>100000</v>
      </c>
      <c r="X90" s="179">
        <f t="array" ref="X90">NPV('Pre-Calculation'!$E$20,W91:W100)</f>
        <v>969592.8037</v>
      </c>
      <c r="Y90" s="12"/>
      <c r="Z90" s="12"/>
    </row>
    <row r="91" ht="15.75" customHeight="1">
      <c r="A91" s="171">
        <f t="shared" si="1"/>
        <v>145</v>
      </c>
      <c r="B91" s="171">
        <f t="shared" si="2"/>
        <v>13</v>
      </c>
      <c r="C91" s="176">
        <f>EDATE(RCD,A90)</f>
        <v>46934</v>
      </c>
      <c r="D91" s="171">
        <f>Age_At_Entry+Cashflows_HIST!B91-1</f>
        <v>47</v>
      </c>
      <c r="E91" s="175">
        <f>IF(AND(C91&lt;=Last_Prem,MOD(A90,Mode)=0,C91&gt;INPUT!$C$13,A91&lt;=Revival!$C$11),Mod_Prem,0)</f>
        <v>0</v>
      </c>
      <c r="F91" s="177">
        <f>E91*VLOOKUP(B91,'Pre-Calculation'!$H$1:$I$31,2,FALSE)</f>
        <v>0</v>
      </c>
      <c r="G91" s="177">
        <f>IF(B91&lt;PT+1,VLOOKUP(B91,'Pre-Calculation'!$H$1:$L$32,3,FALSE)+VLOOKUP(B91,'Pre-Calculation'!$H$1:$L$32,4,FALSE)*'Pre-Calculation'!$D$7,0)</f>
        <v>0</v>
      </c>
      <c r="H91" s="175">
        <f>(E91-(F91+G91)*(1+Tax)+N90)</f>
        <v>2486212.919</v>
      </c>
      <c r="I91" s="175">
        <f>IF(B91&lt;PT+1,VLOOKUP(D91,'Pre-Calculation'!$N$3:$P$79,IF(INPUT!$C$4="M",2,3),FALSE)*(J91/1000)*(1/12),0)</f>
        <v>0</v>
      </c>
      <c r="J91" s="175">
        <f t="shared" si="3"/>
        <v>0</v>
      </c>
      <c r="K91" s="175">
        <f>(IF('Pre-Calculation'!$D$17="Type 4 a",MAX(SA,H91,1.05*Q91),IF('Pre-Calculation'!$D$17="Type 4 c",H91,IF('Pre-Calculation'!$D$17="Type 4 d",SA+H91,IF('Pre-Calculation'!$D$17="Type 4 e",MAX(SA,H91),IF('Pre-Calculation'!$D$17="Type 4 f",SA,IF('Pre-Calculation'!$D$17="Type 4 g",1000+H91,IF('Pre-Calculation'!$D$17="Type 4 h",SA+V91,IF('Pre-Calculation'!$D$17="Type 4 i",MAX(H91,Q91),IF('Pre-Calculation'!$D$17="Type 4 k",MAX(H91,1.01*Q91),IF('Pre-Calculation'!$D$17="Type 4 m",MAX(105%*Q91,SA+H91),IF('Pre-Calculation'!$D$17="Type 4 o",MAX(SA,105%*Q91)+V91+X91,IF('Pre-Calculation'!$D$17="Type 5",0)))))))))))))*IF(AND(A91&lt;Revival!$C$4,C91&gt;Revival!$D$12),PUP,1)</f>
        <v>2486212.919</v>
      </c>
      <c r="L91" s="175">
        <f>H91-I91*(1+Tax)</f>
        <v>2486212.919</v>
      </c>
      <c r="M91" s="175">
        <f>L91*(1+GROWTH_RATE_HIST)</f>
        <v>2513378.048</v>
      </c>
      <c r="N91" s="175">
        <f>M91+IF(MOD(A91,B91)=0,VLOOKUP(B91,'Pre-Calculation'!$H$1:$L$31,5,FALSE),0)*IF('Pre-Calculation'!$D$16="% OF FV",M91,IF(OR('Pre-Calculation'!$D$16="% OF AFV(24M)",'Pre-Calculation'!$D$16="% OF AFV(8Q)"),AVERAGE( $M68:$M91),IF('Pre-Calculation'!$D$16="% OF AFV(12M)",AVERAGE($M80:M91),IF('Pre-Calculation'!$D$16="% OF AFV(36M)",AVERAGE($M56:M91)))))</f>
        <v>2513378.048</v>
      </c>
      <c r="O91" s="175">
        <f t="shared" si="4"/>
        <v>2513378.048</v>
      </c>
      <c r="P91" s="175">
        <f>IF('Pre-Calculation'!$D$17="Type 4 a",MAX(SA,N91,1.05*Q91),IF('Pre-Calculation'!$D$17="Type 4 c",N91,IF('Pre-Calculation'!$D$17="Type 4 d",SA+N91,IF('Pre-Calculation'!$D$17="Type 4 e",MAX(SA,N91),IF('Pre-Calculation'!$D$17="Type 4 f",SA,IF('Pre-Calculation'!$D$17="Type 4 g",1000+N91,IF('Pre-Calculation'!$D$17="Type 4 h",SA+V91,IF('Pre-Calculation'!$D$17="Type 4 i",MAX(N91,Q91),IF('Pre-Calculation'!$D$17="Type 4 k",MAX(N91,1.01*Q91),IF('Pre-Calculation'!$D$17="Type 4 m",MAX(105%*Q91,SA+N91),IF('Pre-Calculation'!$D$17="Type 4 o",MAX(SA,105%*Q91)+V91+X91,IF('Pre-Calculation'!$D$17="Type 5",0))))))))))))</f>
        <v>2513378.048</v>
      </c>
      <c r="Q91" s="175">
        <f t="shared" si="5"/>
        <v>1000000</v>
      </c>
      <c r="R91" s="119">
        <f>L91*(1+GROWTH_RATE)*FMC</f>
        <v>2813.454614</v>
      </c>
      <c r="S91" s="112"/>
      <c r="T91" s="175">
        <f>-E91+IF(A90=INPUT!$C$11*12,N91,0)</f>
        <v>0</v>
      </c>
      <c r="U91" s="112"/>
      <c r="V91" s="179">
        <f t="array" ref="V91">NPV('Pre-Calculation'!$E$20,$E92:E$246)</f>
        <v>0</v>
      </c>
      <c r="W91" s="171">
        <f>10%*SA</f>
        <v>100000</v>
      </c>
      <c r="X91" s="179">
        <f t="array" ref="X91">NPV('Pre-Calculation'!$E$20,W92:W101)</f>
        <v>969592.8037</v>
      </c>
      <c r="Y91" s="12"/>
      <c r="Z91" s="12"/>
    </row>
    <row r="92" ht="15.75" customHeight="1">
      <c r="A92" s="171">
        <f t="shared" si="1"/>
        <v>146</v>
      </c>
      <c r="B92" s="171">
        <f t="shared" si="2"/>
        <v>13</v>
      </c>
      <c r="C92" s="176">
        <f>EDATE(RCD,A91)</f>
        <v>46964</v>
      </c>
      <c r="D92" s="171">
        <f>Age_At_Entry+Cashflows_HIST!B92-1</f>
        <v>47</v>
      </c>
      <c r="E92" s="175">
        <f>IF(AND(C92&lt;=Last_Prem,MOD(A91,Mode)=0,C92&gt;INPUT!$C$13,A92&lt;=Revival!$C$11),Mod_Prem,0)</f>
        <v>0</v>
      </c>
      <c r="F92" s="177">
        <f>E92*VLOOKUP(B92,'Pre-Calculation'!$H$1:$I$31,2,FALSE)</f>
        <v>0</v>
      </c>
      <c r="G92" s="177">
        <f>IF(B92&lt;PT+1,VLOOKUP(B92,'Pre-Calculation'!$H$1:$L$32,3,FALSE)+VLOOKUP(B92,'Pre-Calculation'!$H$1:$L$32,4,FALSE)*'Pre-Calculation'!$D$7,0)</f>
        <v>0</v>
      </c>
      <c r="H92" s="175">
        <f>(E92-(F92+G92)*(1+Tax)+N91)</f>
        <v>2513378.048</v>
      </c>
      <c r="I92" s="175">
        <f>IF(B92&lt;PT+1,VLOOKUP(D92,'Pre-Calculation'!$N$3:$P$79,IF(INPUT!$C$4="M",2,3),FALSE)*(J92/1000)*(1/12),0)</f>
        <v>0</v>
      </c>
      <c r="J92" s="175">
        <f t="shared" si="3"/>
        <v>0</v>
      </c>
      <c r="K92" s="175">
        <f>(IF('Pre-Calculation'!$D$17="Type 4 a",MAX(SA,H92,1.05*Q92),IF('Pre-Calculation'!$D$17="Type 4 c",H92,IF('Pre-Calculation'!$D$17="Type 4 d",SA+H92,IF('Pre-Calculation'!$D$17="Type 4 e",MAX(SA,H92),IF('Pre-Calculation'!$D$17="Type 4 f",SA,IF('Pre-Calculation'!$D$17="Type 4 g",1000+H92,IF('Pre-Calculation'!$D$17="Type 4 h",SA+V92,IF('Pre-Calculation'!$D$17="Type 4 i",MAX(H92,Q92),IF('Pre-Calculation'!$D$17="Type 4 k",MAX(H92,1.01*Q92),IF('Pre-Calculation'!$D$17="Type 4 m",MAX(105%*Q92,SA+H92),IF('Pre-Calculation'!$D$17="Type 4 o",MAX(SA,105%*Q92)+V92+X92,IF('Pre-Calculation'!$D$17="Type 5",0)))))))))))))*IF(AND(A92&lt;Revival!$C$4,C92&gt;Revival!$D$12),PUP,1)</f>
        <v>2513378.048</v>
      </c>
      <c r="L92" s="175">
        <f>H92-I92*(1+Tax)</f>
        <v>2513378.048</v>
      </c>
      <c r="M92" s="175">
        <f>L92*(1+GROWTH_RATE_HIST)</f>
        <v>2540839.992</v>
      </c>
      <c r="N92" s="175">
        <f>M92+IF(MOD(A92,B92)=0,VLOOKUP(B92,'Pre-Calculation'!$H$1:$L$31,5,FALSE),0)*IF('Pre-Calculation'!$D$16="% OF FV",M92,IF(OR('Pre-Calculation'!$D$16="% OF AFV(24M)",'Pre-Calculation'!$D$16="% OF AFV(8Q)"),AVERAGE( $M69:$M92),IF('Pre-Calculation'!$D$16="% OF AFV(12M)",AVERAGE($M81:M92),IF('Pre-Calculation'!$D$16="% OF AFV(36M)",AVERAGE($M57:M92)))))</f>
        <v>2540839.992</v>
      </c>
      <c r="O92" s="175">
        <f t="shared" si="4"/>
        <v>2540839.992</v>
      </c>
      <c r="P92" s="175">
        <f>IF('Pre-Calculation'!$D$17="Type 4 a",MAX(SA,N92,1.05*Q92),IF('Pre-Calculation'!$D$17="Type 4 c",N92,IF('Pre-Calculation'!$D$17="Type 4 d",SA+N92,IF('Pre-Calculation'!$D$17="Type 4 e",MAX(SA,N92),IF('Pre-Calculation'!$D$17="Type 4 f",SA,IF('Pre-Calculation'!$D$17="Type 4 g",1000+N92,IF('Pre-Calculation'!$D$17="Type 4 h",SA+V92,IF('Pre-Calculation'!$D$17="Type 4 i",MAX(N92,Q92),IF('Pre-Calculation'!$D$17="Type 4 k",MAX(N92,1.01*Q92),IF('Pre-Calculation'!$D$17="Type 4 m",MAX(105%*Q92,SA+N92),IF('Pre-Calculation'!$D$17="Type 4 o",MAX(SA,105%*Q92)+V92+X92,IF('Pre-Calculation'!$D$17="Type 5",0))))))))))))</f>
        <v>2540839.992</v>
      </c>
      <c r="Q92" s="175">
        <f t="shared" si="5"/>
        <v>1000000</v>
      </c>
      <c r="R92" s="119">
        <f>L92*(1+GROWTH_RATE)*FMC</f>
        <v>2844.195286</v>
      </c>
      <c r="S92" s="112"/>
      <c r="T92" s="175">
        <f>-E92+IF(A91=INPUT!$C$11*12,N92,0)</f>
        <v>0</v>
      </c>
      <c r="U92" s="112"/>
      <c r="V92" s="179">
        <f t="array" ref="V92">NPV('Pre-Calculation'!$E$20,$E93:E$246)</f>
        <v>0</v>
      </c>
      <c r="W92" s="171">
        <f>10%*SA</f>
        <v>100000</v>
      </c>
      <c r="X92" s="179">
        <f t="array" ref="X92">NPV('Pre-Calculation'!$E$20,W93:W102)</f>
        <v>969592.8037</v>
      </c>
      <c r="Y92" s="12"/>
      <c r="Z92" s="12"/>
    </row>
    <row r="93" ht="15.75" customHeight="1">
      <c r="A93" s="171">
        <f t="shared" si="1"/>
        <v>147</v>
      </c>
      <c r="B93" s="171">
        <f t="shared" si="2"/>
        <v>13</v>
      </c>
      <c r="C93" s="176">
        <f>EDATE(RCD,A92)</f>
        <v>46995</v>
      </c>
      <c r="D93" s="171">
        <f>Age_At_Entry+Cashflows_HIST!B93-1</f>
        <v>47</v>
      </c>
      <c r="E93" s="175">
        <f>IF(AND(C93&lt;=Last_Prem,MOD(A92,Mode)=0,C93&gt;INPUT!$C$13,A93&lt;=Revival!$C$11),Mod_Prem,0)</f>
        <v>0</v>
      </c>
      <c r="F93" s="177">
        <f>E93*VLOOKUP(B93,'Pre-Calculation'!$H$1:$I$31,2,FALSE)</f>
        <v>0</v>
      </c>
      <c r="G93" s="177">
        <f>IF(B93&lt;PT+1,VLOOKUP(B93,'Pre-Calculation'!$H$1:$L$32,3,FALSE)+VLOOKUP(B93,'Pre-Calculation'!$H$1:$L$32,4,FALSE)*'Pre-Calculation'!$D$7,0)</f>
        <v>0</v>
      </c>
      <c r="H93" s="175">
        <f>(E93-(F93+G93)*(1+Tax)+N92)</f>
        <v>2540839.992</v>
      </c>
      <c r="I93" s="175">
        <f>IF(B93&lt;PT+1,VLOOKUP(D93,'Pre-Calculation'!$N$3:$P$79,IF(INPUT!$C$4="M",2,3),FALSE)*(J93/1000)*(1/12),0)</f>
        <v>0</v>
      </c>
      <c r="J93" s="175">
        <f t="shared" si="3"/>
        <v>0</v>
      </c>
      <c r="K93" s="175">
        <f>(IF('Pre-Calculation'!$D$17="Type 4 a",MAX(SA,H93,1.05*Q93),IF('Pre-Calculation'!$D$17="Type 4 c",H93,IF('Pre-Calculation'!$D$17="Type 4 d",SA+H93,IF('Pre-Calculation'!$D$17="Type 4 e",MAX(SA,H93),IF('Pre-Calculation'!$D$17="Type 4 f",SA,IF('Pre-Calculation'!$D$17="Type 4 g",1000+H93,IF('Pre-Calculation'!$D$17="Type 4 h",SA+V93,IF('Pre-Calculation'!$D$17="Type 4 i",MAX(H93,Q93),IF('Pre-Calculation'!$D$17="Type 4 k",MAX(H93,1.01*Q93),IF('Pre-Calculation'!$D$17="Type 4 m",MAX(105%*Q93,SA+H93),IF('Pre-Calculation'!$D$17="Type 4 o",MAX(SA,105%*Q93)+V93+X93,IF('Pre-Calculation'!$D$17="Type 5",0)))))))))))))*IF(AND(A93&lt;Revival!$C$4,C93&gt;Revival!$D$12),PUP,1)</f>
        <v>2540839.992</v>
      </c>
      <c r="L93" s="175">
        <f>H93-I93*(1+Tax)</f>
        <v>2540839.992</v>
      </c>
      <c r="M93" s="175">
        <f>L93*(1+GROWTH_RATE_HIST)</f>
        <v>2568601.993</v>
      </c>
      <c r="N93" s="175">
        <f>M93+IF(MOD(A93,B93)=0,VLOOKUP(B93,'Pre-Calculation'!$H$1:$L$31,5,FALSE),0)*IF('Pre-Calculation'!$D$16="% OF FV",M93,IF(OR('Pre-Calculation'!$D$16="% OF AFV(24M)",'Pre-Calculation'!$D$16="% OF AFV(8Q)"),AVERAGE( $M70:$M93),IF('Pre-Calculation'!$D$16="% OF AFV(12M)",AVERAGE($M82:M93),IF('Pre-Calculation'!$D$16="% OF AFV(36M)",AVERAGE($M58:M93)))))</f>
        <v>2568601.993</v>
      </c>
      <c r="O93" s="175">
        <f t="shared" si="4"/>
        <v>2568601.993</v>
      </c>
      <c r="P93" s="175">
        <f>IF('Pre-Calculation'!$D$17="Type 4 a",MAX(SA,N93,1.05*Q93),IF('Pre-Calculation'!$D$17="Type 4 c",N93,IF('Pre-Calculation'!$D$17="Type 4 d",SA+N93,IF('Pre-Calculation'!$D$17="Type 4 e",MAX(SA,N93),IF('Pre-Calculation'!$D$17="Type 4 f",SA,IF('Pre-Calculation'!$D$17="Type 4 g",1000+N93,IF('Pre-Calculation'!$D$17="Type 4 h",SA+V93,IF('Pre-Calculation'!$D$17="Type 4 i",MAX(N93,Q93),IF('Pre-Calculation'!$D$17="Type 4 k",MAX(N93,1.01*Q93),IF('Pre-Calculation'!$D$17="Type 4 m",MAX(105%*Q93,SA+N93),IF('Pre-Calculation'!$D$17="Type 4 o",MAX(SA,105%*Q93)+V93+X93,IF('Pre-Calculation'!$D$17="Type 5",0))))))))))))</f>
        <v>2568601.993</v>
      </c>
      <c r="Q93" s="175">
        <f t="shared" si="5"/>
        <v>1000000</v>
      </c>
      <c r="R93" s="119">
        <f>L93*(1+GROWTH_RATE)*FMC</f>
        <v>2875.271841</v>
      </c>
      <c r="S93" s="112"/>
      <c r="T93" s="175">
        <f>-E93+IF(A92=INPUT!$C$11*12,N93,0)</f>
        <v>0</v>
      </c>
      <c r="U93" s="112"/>
      <c r="V93" s="179">
        <f t="array" ref="V93">NPV('Pre-Calculation'!$E$20,$E94:E$246)</f>
        <v>0</v>
      </c>
      <c r="W93" s="171">
        <f>10%*SA</f>
        <v>100000</v>
      </c>
      <c r="X93" s="179">
        <f t="array" ref="X93">NPV('Pre-Calculation'!$E$20,W94:W103)</f>
        <v>969592.8037</v>
      </c>
      <c r="Y93" s="12"/>
      <c r="Z93" s="12"/>
    </row>
    <row r="94" ht="15.75" customHeight="1">
      <c r="A94" s="171">
        <f t="shared" si="1"/>
        <v>148</v>
      </c>
      <c r="B94" s="171">
        <f t="shared" si="2"/>
        <v>13</v>
      </c>
      <c r="C94" s="176">
        <f>EDATE(RCD,A93)</f>
        <v>47026</v>
      </c>
      <c r="D94" s="171">
        <f>Age_At_Entry+Cashflows_HIST!B94-1</f>
        <v>47</v>
      </c>
      <c r="E94" s="175">
        <f>IF(AND(C94&lt;=Last_Prem,MOD(A93,Mode)=0,C94&gt;INPUT!$C$13,A94&lt;=Revival!$C$11),Mod_Prem,0)</f>
        <v>0</v>
      </c>
      <c r="F94" s="177">
        <f>E94*VLOOKUP(B94,'Pre-Calculation'!$H$1:$I$31,2,FALSE)</f>
        <v>0</v>
      </c>
      <c r="G94" s="177">
        <f>IF(B94&lt;PT+1,VLOOKUP(B94,'Pre-Calculation'!$H$1:$L$32,3,FALSE)+VLOOKUP(B94,'Pre-Calculation'!$H$1:$L$32,4,FALSE)*'Pre-Calculation'!$D$7,0)</f>
        <v>0</v>
      </c>
      <c r="H94" s="175">
        <f>(E94-(F94+G94)*(1+Tax)+N93)</f>
        <v>2568601.993</v>
      </c>
      <c r="I94" s="175">
        <f>IF(B94&lt;PT+1,VLOOKUP(D94,'Pre-Calculation'!$N$3:$P$79,IF(INPUT!$C$4="M",2,3),FALSE)*(J94/1000)*(1/12),0)</f>
        <v>0</v>
      </c>
      <c r="J94" s="175">
        <f t="shared" si="3"/>
        <v>0</v>
      </c>
      <c r="K94" s="175">
        <f>(IF('Pre-Calculation'!$D$17="Type 4 a",MAX(SA,H94,1.05*Q94),IF('Pre-Calculation'!$D$17="Type 4 c",H94,IF('Pre-Calculation'!$D$17="Type 4 d",SA+H94,IF('Pre-Calculation'!$D$17="Type 4 e",MAX(SA,H94),IF('Pre-Calculation'!$D$17="Type 4 f",SA,IF('Pre-Calculation'!$D$17="Type 4 g",1000+H94,IF('Pre-Calculation'!$D$17="Type 4 h",SA+V94,IF('Pre-Calculation'!$D$17="Type 4 i",MAX(H94,Q94),IF('Pre-Calculation'!$D$17="Type 4 k",MAX(H94,1.01*Q94),IF('Pre-Calculation'!$D$17="Type 4 m",MAX(105%*Q94,SA+H94),IF('Pre-Calculation'!$D$17="Type 4 o",MAX(SA,105%*Q94)+V94+X94,IF('Pre-Calculation'!$D$17="Type 5",0)))))))))))))*IF(AND(A94&lt;Revival!$C$4,C94&gt;Revival!$D$12),PUP,1)</f>
        <v>2568601.993</v>
      </c>
      <c r="L94" s="175">
        <f>H94-I94*(1+Tax)</f>
        <v>2568601.993</v>
      </c>
      <c r="M94" s="175">
        <f>L94*(1+GROWTH_RATE_HIST)</f>
        <v>2596667.33</v>
      </c>
      <c r="N94" s="175">
        <f>M94+IF(MOD(A94,B94)=0,VLOOKUP(B94,'Pre-Calculation'!$H$1:$L$31,5,FALSE),0)*IF('Pre-Calculation'!$D$16="% OF FV",M94,IF(OR('Pre-Calculation'!$D$16="% OF AFV(24M)",'Pre-Calculation'!$D$16="% OF AFV(8Q)"),AVERAGE( $M71:$M94),IF('Pre-Calculation'!$D$16="% OF AFV(12M)",AVERAGE($M83:M94),IF('Pre-Calculation'!$D$16="% OF AFV(36M)",AVERAGE($M59:M94)))))</f>
        <v>2596667.33</v>
      </c>
      <c r="O94" s="175">
        <f t="shared" si="4"/>
        <v>2596667.33</v>
      </c>
      <c r="P94" s="175">
        <f>IF('Pre-Calculation'!$D$17="Type 4 a",MAX(SA,N94,1.05*Q94),IF('Pre-Calculation'!$D$17="Type 4 c",N94,IF('Pre-Calculation'!$D$17="Type 4 d",SA+N94,IF('Pre-Calculation'!$D$17="Type 4 e",MAX(SA,N94),IF('Pre-Calculation'!$D$17="Type 4 f",SA,IF('Pre-Calculation'!$D$17="Type 4 g",1000+N94,IF('Pre-Calculation'!$D$17="Type 4 h",SA+V94,IF('Pre-Calculation'!$D$17="Type 4 i",MAX(N94,Q94),IF('Pre-Calculation'!$D$17="Type 4 k",MAX(N94,1.01*Q94),IF('Pre-Calculation'!$D$17="Type 4 m",MAX(105%*Q94,SA+N94),IF('Pre-Calculation'!$D$17="Type 4 o",MAX(SA,105%*Q94)+V94+X94,IF('Pre-Calculation'!$D$17="Type 5",0))))))))))))</f>
        <v>2596667.33</v>
      </c>
      <c r="Q94" s="175">
        <f t="shared" si="5"/>
        <v>1000000</v>
      </c>
      <c r="R94" s="119">
        <f>L94*(1+GROWTH_RATE)*FMC</f>
        <v>2906.687948</v>
      </c>
      <c r="S94" s="112"/>
      <c r="T94" s="175">
        <f>-E94+IF(A93=INPUT!$C$11*12,N94,0)</f>
        <v>0</v>
      </c>
      <c r="U94" s="112"/>
      <c r="V94" s="179">
        <f t="array" ref="V94">NPV('Pre-Calculation'!$E$20,$E95:E$246)</f>
        <v>0</v>
      </c>
      <c r="W94" s="171">
        <f>10%*SA</f>
        <v>100000</v>
      </c>
      <c r="X94" s="179">
        <f t="array" ref="X94">NPV('Pre-Calculation'!$E$20,W95:W104)</f>
        <v>969592.8037</v>
      </c>
      <c r="Y94" s="12"/>
      <c r="Z94" s="12"/>
    </row>
    <row r="95" ht="15.75" customHeight="1">
      <c r="A95" s="171">
        <f t="shared" si="1"/>
        <v>149</v>
      </c>
      <c r="B95" s="171">
        <f t="shared" si="2"/>
        <v>13</v>
      </c>
      <c r="C95" s="176">
        <f>EDATE(RCD,A94)</f>
        <v>47056</v>
      </c>
      <c r="D95" s="171">
        <f>Age_At_Entry+Cashflows_HIST!B95-1</f>
        <v>47</v>
      </c>
      <c r="E95" s="175">
        <f>IF(AND(C95&lt;=Last_Prem,MOD(A94,Mode)=0,C95&gt;INPUT!$C$13,A95&lt;=Revival!$C$11),Mod_Prem,0)</f>
        <v>0</v>
      </c>
      <c r="F95" s="177">
        <f>E95*VLOOKUP(B95,'Pre-Calculation'!$H$1:$I$31,2,FALSE)</f>
        <v>0</v>
      </c>
      <c r="G95" s="177">
        <f>IF(B95&lt;PT+1,VLOOKUP(B95,'Pre-Calculation'!$H$1:$L$32,3,FALSE)+VLOOKUP(B95,'Pre-Calculation'!$H$1:$L$32,4,FALSE)*'Pre-Calculation'!$D$7,0)</f>
        <v>0</v>
      </c>
      <c r="H95" s="175">
        <f>(E95-(F95+G95)*(1+Tax)+N94)</f>
        <v>2596667.33</v>
      </c>
      <c r="I95" s="175">
        <f>IF(B95&lt;PT+1,VLOOKUP(D95,'Pre-Calculation'!$N$3:$P$79,IF(INPUT!$C$4="M",2,3),FALSE)*(J95/1000)*(1/12),0)</f>
        <v>0</v>
      </c>
      <c r="J95" s="175">
        <f t="shared" si="3"/>
        <v>0</v>
      </c>
      <c r="K95" s="175">
        <f>(IF('Pre-Calculation'!$D$17="Type 4 a",MAX(SA,H95,1.05*Q95),IF('Pre-Calculation'!$D$17="Type 4 c",H95,IF('Pre-Calculation'!$D$17="Type 4 d",SA+H95,IF('Pre-Calculation'!$D$17="Type 4 e",MAX(SA,H95),IF('Pre-Calculation'!$D$17="Type 4 f",SA,IF('Pre-Calculation'!$D$17="Type 4 g",1000+H95,IF('Pre-Calculation'!$D$17="Type 4 h",SA+V95,IF('Pre-Calculation'!$D$17="Type 4 i",MAX(H95,Q95),IF('Pre-Calculation'!$D$17="Type 4 k",MAX(H95,1.01*Q95),IF('Pre-Calculation'!$D$17="Type 4 m",MAX(105%*Q95,SA+H95),IF('Pre-Calculation'!$D$17="Type 4 o",MAX(SA,105%*Q95)+V95+X95,IF('Pre-Calculation'!$D$17="Type 5",0)))))))))))))*IF(AND(A95&lt;Revival!$C$4,C95&gt;Revival!$D$12),PUP,1)</f>
        <v>2596667.33</v>
      </c>
      <c r="L95" s="175">
        <f>H95-I95*(1+Tax)</f>
        <v>2596667.33</v>
      </c>
      <c r="M95" s="175">
        <f>L95*(1+GROWTH_RATE_HIST)</f>
        <v>2625039.318</v>
      </c>
      <c r="N95" s="175">
        <f>M95+IF(MOD(A95,B95)=0,VLOOKUP(B95,'Pre-Calculation'!$H$1:$L$31,5,FALSE),0)*IF('Pre-Calculation'!$D$16="% OF FV",M95,IF(OR('Pre-Calculation'!$D$16="% OF AFV(24M)",'Pre-Calculation'!$D$16="% OF AFV(8Q)"),AVERAGE( $M72:$M95),IF('Pre-Calculation'!$D$16="% OF AFV(12M)",AVERAGE($M84:M95),IF('Pre-Calculation'!$D$16="% OF AFV(36M)",AVERAGE($M60:M95)))))</f>
        <v>2625039.318</v>
      </c>
      <c r="O95" s="175">
        <f t="shared" si="4"/>
        <v>2625039.318</v>
      </c>
      <c r="P95" s="175">
        <f>IF('Pre-Calculation'!$D$17="Type 4 a",MAX(SA,N95,1.05*Q95),IF('Pre-Calculation'!$D$17="Type 4 c",N95,IF('Pre-Calculation'!$D$17="Type 4 d",SA+N95,IF('Pre-Calculation'!$D$17="Type 4 e",MAX(SA,N95),IF('Pre-Calculation'!$D$17="Type 4 f",SA,IF('Pre-Calculation'!$D$17="Type 4 g",1000+N95,IF('Pre-Calculation'!$D$17="Type 4 h",SA+V95,IF('Pre-Calculation'!$D$17="Type 4 i",MAX(N95,Q95),IF('Pre-Calculation'!$D$17="Type 4 k",MAX(N95,1.01*Q95),IF('Pre-Calculation'!$D$17="Type 4 m",MAX(105%*Q95,SA+N95),IF('Pre-Calculation'!$D$17="Type 4 o",MAX(SA,105%*Q95)+V95+X95,IF('Pre-Calculation'!$D$17="Type 5",0))))))))))))</f>
        <v>2625039.318</v>
      </c>
      <c r="Q95" s="175">
        <f t="shared" si="5"/>
        <v>1000000</v>
      </c>
      <c r="R95" s="119">
        <f>L95*(1+GROWTH_RATE)*FMC</f>
        <v>2938.447317</v>
      </c>
      <c r="S95" s="112"/>
      <c r="T95" s="175">
        <f>-E95+IF(A94=INPUT!$C$11*12,N95,0)</f>
        <v>0</v>
      </c>
      <c r="U95" s="112"/>
      <c r="V95" s="179">
        <f t="array" ref="V95">NPV('Pre-Calculation'!$E$20,$E96:E$246)</f>
        <v>0</v>
      </c>
      <c r="W95" s="171">
        <f>10%*SA</f>
        <v>100000</v>
      </c>
      <c r="X95" s="179">
        <f t="array" ref="X95">NPV('Pre-Calculation'!$E$20,W96:W105)</f>
        <v>969592.8037</v>
      </c>
      <c r="Y95" s="12"/>
      <c r="Z95" s="12"/>
    </row>
    <row r="96" ht="15.75" customHeight="1">
      <c r="A96" s="171">
        <f t="shared" si="1"/>
        <v>150</v>
      </c>
      <c r="B96" s="171">
        <f t="shared" si="2"/>
        <v>13</v>
      </c>
      <c r="C96" s="176">
        <f>EDATE(RCD,A95)</f>
        <v>47087</v>
      </c>
      <c r="D96" s="171">
        <f>Age_At_Entry+Cashflows_HIST!B96-1</f>
        <v>47</v>
      </c>
      <c r="E96" s="175">
        <f>IF(AND(C96&lt;=Last_Prem,MOD(A95,Mode)=0,C96&gt;INPUT!$C$13,A96&lt;=Revival!$C$11),Mod_Prem,0)</f>
        <v>0</v>
      </c>
      <c r="F96" s="177">
        <f>E96*VLOOKUP(B96,'Pre-Calculation'!$H$1:$I$31,2,FALSE)</f>
        <v>0</v>
      </c>
      <c r="G96" s="177">
        <f>IF(B96&lt;PT+1,VLOOKUP(B96,'Pre-Calculation'!$H$1:$L$32,3,FALSE)+VLOOKUP(B96,'Pre-Calculation'!$H$1:$L$32,4,FALSE)*'Pre-Calculation'!$D$7,0)</f>
        <v>0</v>
      </c>
      <c r="H96" s="175">
        <f>(E96-(F96+G96)*(1+Tax)+N95)</f>
        <v>2625039.318</v>
      </c>
      <c r="I96" s="175">
        <f>IF(B96&lt;PT+1,VLOOKUP(D96,'Pre-Calculation'!$N$3:$P$79,IF(INPUT!$C$4="M",2,3),FALSE)*(J96/1000)*(1/12),0)</f>
        <v>0</v>
      </c>
      <c r="J96" s="175">
        <f t="shared" si="3"/>
        <v>0</v>
      </c>
      <c r="K96" s="175">
        <f>(IF('Pre-Calculation'!$D$17="Type 4 a",MAX(SA,H96,1.05*Q96),IF('Pre-Calculation'!$D$17="Type 4 c",H96,IF('Pre-Calculation'!$D$17="Type 4 d",SA+H96,IF('Pre-Calculation'!$D$17="Type 4 e",MAX(SA,H96),IF('Pre-Calculation'!$D$17="Type 4 f",SA,IF('Pre-Calculation'!$D$17="Type 4 g",1000+H96,IF('Pre-Calculation'!$D$17="Type 4 h",SA+V96,IF('Pre-Calculation'!$D$17="Type 4 i",MAX(H96,Q96),IF('Pre-Calculation'!$D$17="Type 4 k",MAX(H96,1.01*Q96),IF('Pre-Calculation'!$D$17="Type 4 m",MAX(105%*Q96,SA+H96),IF('Pre-Calculation'!$D$17="Type 4 o",MAX(SA,105%*Q96)+V96+X96,IF('Pre-Calculation'!$D$17="Type 5",0)))))))))))))*IF(AND(A96&lt;Revival!$C$4,C96&gt;Revival!$D$12),PUP,1)</f>
        <v>2625039.318</v>
      </c>
      <c r="L96" s="175">
        <f>H96-I96*(1+Tax)</f>
        <v>2625039.318</v>
      </c>
      <c r="M96" s="175">
        <f>L96*(1+GROWTH_RATE_HIST)</f>
        <v>2653721.307</v>
      </c>
      <c r="N96" s="175">
        <f>M96+IF(MOD(A96,B96)=0,VLOOKUP(B96,'Pre-Calculation'!$H$1:$L$31,5,FALSE),0)*IF('Pre-Calculation'!$D$16="% OF FV",M96,IF(OR('Pre-Calculation'!$D$16="% OF AFV(24M)",'Pre-Calculation'!$D$16="% OF AFV(8Q)"),AVERAGE( $M73:$M96),IF('Pre-Calculation'!$D$16="% OF AFV(12M)",AVERAGE($M85:M96),IF('Pre-Calculation'!$D$16="% OF AFV(36M)",AVERAGE($M61:M96)))))</f>
        <v>2653721.307</v>
      </c>
      <c r="O96" s="175">
        <f t="shared" si="4"/>
        <v>2653721.307</v>
      </c>
      <c r="P96" s="175">
        <f>IF('Pre-Calculation'!$D$17="Type 4 a",MAX(SA,N96,1.05*Q96),IF('Pre-Calculation'!$D$17="Type 4 c",N96,IF('Pre-Calculation'!$D$17="Type 4 d",SA+N96,IF('Pre-Calculation'!$D$17="Type 4 e",MAX(SA,N96),IF('Pre-Calculation'!$D$17="Type 4 f",SA,IF('Pre-Calculation'!$D$17="Type 4 g",1000+N96,IF('Pre-Calculation'!$D$17="Type 4 h",SA+V96,IF('Pre-Calculation'!$D$17="Type 4 i",MAX(N96,Q96),IF('Pre-Calculation'!$D$17="Type 4 k",MAX(N96,1.01*Q96),IF('Pre-Calculation'!$D$17="Type 4 m",MAX(105%*Q96,SA+N96),IF('Pre-Calculation'!$D$17="Type 4 o",MAX(SA,105%*Q96)+V96+X96,IF('Pre-Calculation'!$D$17="Type 5",0))))))))))))</f>
        <v>2653721.307</v>
      </c>
      <c r="Q96" s="175">
        <f t="shared" si="5"/>
        <v>1000000</v>
      </c>
      <c r="R96" s="119">
        <f>L96*(1+GROWTH_RATE)*FMC</f>
        <v>2970.553698</v>
      </c>
      <c r="S96" s="112"/>
      <c r="T96" s="175">
        <f>-E96+IF(A95=INPUT!$C$11*12,N96,0)</f>
        <v>0</v>
      </c>
      <c r="U96" s="112"/>
      <c r="V96" s="179">
        <f t="array" ref="V96">NPV('Pre-Calculation'!$E$20,$E97:E$246)</f>
        <v>0</v>
      </c>
      <c r="W96" s="171">
        <f>10%*SA</f>
        <v>100000</v>
      </c>
      <c r="X96" s="179">
        <f t="array" ref="X96">NPV('Pre-Calculation'!$E$20,W97:W106)</f>
        <v>969592.8037</v>
      </c>
      <c r="Y96" s="12"/>
      <c r="Z96" s="12"/>
    </row>
    <row r="97" ht="15.75" customHeight="1">
      <c r="A97" s="171">
        <f t="shared" si="1"/>
        <v>151</v>
      </c>
      <c r="B97" s="171">
        <f t="shared" si="2"/>
        <v>13</v>
      </c>
      <c r="C97" s="176">
        <f>EDATE(RCD,A96)</f>
        <v>47117</v>
      </c>
      <c r="D97" s="171">
        <f>Age_At_Entry+Cashflows_HIST!B97-1</f>
        <v>47</v>
      </c>
      <c r="E97" s="175">
        <f>IF(AND(C97&lt;=Last_Prem,MOD(A96,Mode)=0,C97&gt;INPUT!$C$13,A97&lt;=Revival!$C$11),Mod_Prem,0)</f>
        <v>0</v>
      </c>
      <c r="F97" s="177">
        <f>E97*VLOOKUP(B97,'Pre-Calculation'!$H$1:$I$31,2,FALSE)</f>
        <v>0</v>
      </c>
      <c r="G97" s="177">
        <f>IF(B97&lt;PT+1,VLOOKUP(B97,'Pre-Calculation'!$H$1:$L$32,3,FALSE)+VLOOKUP(B97,'Pre-Calculation'!$H$1:$L$32,4,FALSE)*'Pre-Calculation'!$D$7,0)</f>
        <v>0</v>
      </c>
      <c r="H97" s="175">
        <f>(E97-(F97+G97)*(1+Tax)+N96)</f>
        <v>2653721.307</v>
      </c>
      <c r="I97" s="175">
        <f>IF(B97&lt;PT+1,VLOOKUP(D97,'Pre-Calculation'!$N$3:$P$79,IF(INPUT!$C$4="M",2,3),FALSE)*(J97/1000)*(1/12),0)</f>
        <v>0</v>
      </c>
      <c r="J97" s="175">
        <f t="shared" si="3"/>
        <v>0</v>
      </c>
      <c r="K97" s="175">
        <f>(IF('Pre-Calculation'!$D$17="Type 4 a",MAX(SA,H97,1.05*Q97),IF('Pre-Calculation'!$D$17="Type 4 c",H97,IF('Pre-Calculation'!$D$17="Type 4 d",SA+H97,IF('Pre-Calculation'!$D$17="Type 4 e",MAX(SA,H97),IF('Pre-Calculation'!$D$17="Type 4 f",SA,IF('Pre-Calculation'!$D$17="Type 4 g",1000+H97,IF('Pre-Calculation'!$D$17="Type 4 h",SA+V97,IF('Pre-Calculation'!$D$17="Type 4 i",MAX(H97,Q97),IF('Pre-Calculation'!$D$17="Type 4 k",MAX(H97,1.01*Q97),IF('Pre-Calculation'!$D$17="Type 4 m",MAX(105%*Q97,SA+H97),IF('Pre-Calculation'!$D$17="Type 4 o",MAX(SA,105%*Q97)+V97+X97,IF('Pre-Calculation'!$D$17="Type 5",0)))))))))))))*IF(AND(A97&lt;Revival!$C$4,C97&gt;Revival!$D$12),PUP,1)</f>
        <v>2653721.307</v>
      </c>
      <c r="L97" s="175">
        <f>H97-I97*(1+Tax)</f>
        <v>2653721.307</v>
      </c>
      <c r="M97" s="175">
        <f>L97*(1+GROWTH_RATE_HIST)</f>
        <v>2682716.685</v>
      </c>
      <c r="N97" s="175">
        <f>M97+IF(MOD(A97,B97)=0,VLOOKUP(B97,'Pre-Calculation'!$H$1:$L$31,5,FALSE),0)*IF('Pre-Calculation'!$D$16="% OF FV",M97,IF(OR('Pre-Calculation'!$D$16="% OF AFV(24M)",'Pre-Calculation'!$D$16="% OF AFV(8Q)"),AVERAGE( $M74:$M97),IF('Pre-Calculation'!$D$16="% OF AFV(12M)",AVERAGE($M86:M97),IF('Pre-Calculation'!$D$16="% OF AFV(36M)",AVERAGE($M62:M97)))))</f>
        <v>2682716.685</v>
      </c>
      <c r="O97" s="175">
        <f t="shared" si="4"/>
        <v>2682716.685</v>
      </c>
      <c r="P97" s="175">
        <f>IF('Pre-Calculation'!$D$17="Type 4 a",MAX(SA,N97,1.05*Q97),IF('Pre-Calculation'!$D$17="Type 4 c",N97,IF('Pre-Calculation'!$D$17="Type 4 d",SA+N97,IF('Pre-Calculation'!$D$17="Type 4 e",MAX(SA,N97),IF('Pre-Calculation'!$D$17="Type 4 f",SA,IF('Pre-Calculation'!$D$17="Type 4 g",1000+N97,IF('Pre-Calculation'!$D$17="Type 4 h",SA+V97,IF('Pre-Calculation'!$D$17="Type 4 i",MAX(N97,Q97),IF('Pre-Calculation'!$D$17="Type 4 k",MAX(N97,1.01*Q97),IF('Pre-Calculation'!$D$17="Type 4 m",MAX(105%*Q97,SA+N97),IF('Pre-Calculation'!$D$17="Type 4 o",MAX(SA,105%*Q97)+V97+X97,IF('Pre-Calculation'!$D$17="Type 5",0))))))))))))</f>
        <v>2682716.685</v>
      </c>
      <c r="Q97" s="175">
        <f t="shared" si="5"/>
        <v>1000000</v>
      </c>
      <c r="R97" s="119">
        <f>L97*(1+GROWTH_RATE)*FMC</f>
        <v>3003.010884</v>
      </c>
      <c r="S97" s="112"/>
      <c r="T97" s="175">
        <f>-E97+IF(A96=INPUT!$C$11*12,N97,0)</f>
        <v>0</v>
      </c>
      <c r="U97" s="112"/>
      <c r="V97" s="179">
        <f t="array" ref="V97">NPV('Pre-Calculation'!$E$20,$E98:E$246)</f>
        <v>0</v>
      </c>
      <c r="W97" s="171">
        <f>10%*SA</f>
        <v>100000</v>
      </c>
      <c r="X97" s="179">
        <f t="array" ref="X97">NPV('Pre-Calculation'!$E$20,W98:W107)</f>
        <v>969592.8037</v>
      </c>
      <c r="Y97" s="12"/>
      <c r="Z97" s="12"/>
    </row>
    <row r="98" ht="15.75" customHeight="1">
      <c r="A98" s="171">
        <f t="shared" si="1"/>
        <v>152</v>
      </c>
      <c r="B98" s="171">
        <f t="shared" si="2"/>
        <v>13</v>
      </c>
      <c r="C98" s="176">
        <f>EDATE(RCD,A97)</f>
        <v>47148</v>
      </c>
      <c r="D98" s="171">
        <f>Age_At_Entry+Cashflows_HIST!B98-1</f>
        <v>47</v>
      </c>
      <c r="E98" s="175">
        <f>IF(AND(C98&lt;=Last_Prem,MOD(A97,Mode)=0,C98&gt;INPUT!$C$13,A98&lt;=Revival!$C$11),Mod_Prem,0)</f>
        <v>0</v>
      </c>
      <c r="F98" s="177">
        <f>E98*VLOOKUP(B98,'Pre-Calculation'!$H$1:$I$31,2,FALSE)</f>
        <v>0</v>
      </c>
      <c r="G98" s="177">
        <f>IF(B98&lt;PT+1,VLOOKUP(B98,'Pre-Calculation'!$H$1:$L$32,3,FALSE)+VLOOKUP(B98,'Pre-Calculation'!$H$1:$L$32,4,FALSE)*'Pre-Calculation'!$D$7,0)</f>
        <v>0</v>
      </c>
      <c r="H98" s="175">
        <f>(E98-(F98+G98)*(1+Tax)+N97)</f>
        <v>2682716.685</v>
      </c>
      <c r="I98" s="175">
        <f>IF(B98&lt;PT+1,VLOOKUP(D98,'Pre-Calculation'!$N$3:$P$79,IF(INPUT!$C$4="M",2,3),FALSE)*(J98/1000)*(1/12),0)</f>
        <v>0</v>
      </c>
      <c r="J98" s="175">
        <f t="shared" si="3"/>
        <v>0</v>
      </c>
      <c r="K98" s="175">
        <f>(IF('Pre-Calculation'!$D$17="Type 4 a",MAX(SA,H98,1.05*Q98),IF('Pre-Calculation'!$D$17="Type 4 c",H98,IF('Pre-Calculation'!$D$17="Type 4 d",SA+H98,IF('Pre-Calculation'!$D$17="Type 4 e",MAX(SA,H98),IF('Pre-Calculation'!$D$17="Type 4 f",SA,IF('Pre-Calculation'!$D$17="Type 4 g",1000+H98,IF('Pre-Calculation'!$D$17="Type 4 h",SA+V98,IF('Pre-Calculation'!$D$17="Type 4 i",MAX(H98,Q98),IF('Pre-Calculation'!$D$17="Type 4 k",MAX(H98,1.01*Q98),IF('Pre-Calculation'!$D$17="Type 4 m",MAX(105%*Q98,SA+H98),IF('Pre-Calculation'!$D$17="Type 4 o",MAX(SA,105%*Q98)+V98+X98,IF('Pre-Calculation'!$D$17="Type 5",0)))))))))))))*IF(AND(A98&lt;Revival!$C$4,C98&gt;Revival!$D$12),PUP,1)</f>
        <v>2682716.685</v>
      </c>
      <c r="L98" s="175">
        <f>H98-I98*(1+Tax)</f>
        <v>2682716.685</v>
      </c>
      <c r="M98" s="175">
        <f>L98*(1+GROWTH_RATE_HIST)</f>
        <v>2712028.874</v>
      </c>
      <c r="N98" s="175">
        <f>M98+IF(MOD(A98,B98)=0,VLOOKUP(B98,'Pre-Calculation'!$H$1:$L$31,5,FALSE),0)*IF('Pre-Calculation'!$D$16="% OF FV",M98,IF(OR('Pre-Calculation'!$D$16="% OF AFV(24M)",'Pre-Calculation'!$D$16="% OF AFV(8Q)"),AVERAGE( $M75:$M98),IF('Pre-Calculation'!$D$16="% OF AFV(12M)",AVERAGE($M87:M98),IF('Pre-Calculation'!$D$16="% OF AFV(36M)",AVERAGE($M63:M98)))))</f>
        <v>2712028.874</v>
      </c>
      <c r="O98" s="175">
        <f t="shared" si="4"/>
        <v>2712028.874</v>
      </c>
      <c r="P98" s="175">
        <f>IF('Pre-Calculation'!$D$17="Type 4 a",MAX(SA,N98,1.05*Q98),IF('Pre-Calculation'!$D$17="Type 4 c",N98,IF('Pre-Calculation'!$D$17="Type 4 d",SA+N98,IF('Pre-Calculation'!$D$17="Type 4 e",MAX(SA,N98),IF('Pre-Calculation'!$D$17="Type 4 f",SA,IF('Pre-Calculation'!$D$17="Type 4 g",1000+N98,IF('Pre-Calculation'!$D$17="Type 4 h",SA+V98,IF('Pre-Calculation'!$D$17="Type 4 i",MAX(N98,Q98),IF('Pre-Calculation'!$D$17="Type 4 k",MAX(N98,1.01*Q98),IF('Pre-Calculation'!$D$17="Type 4 m",MAX(105%*Q98,SA+N98),IF('Pre-Calculation'!$D$17="Type 4 o",MAX(SA,105%*Q98)+V98+X98,IF('Pre-Calculation'!$D$17="Type 5",0))))))))))))</f>
        <v>2712028.874</v>
      </c>
      <c r="Q98" s="175">
        <f t="shared" si="5"/>
        <v>1000000</v>
      </c>
      <c r="R98" s="119">
        <f>L98*(1+GROWTH_RATE)*FMC</f>
        <v>3035.822707</v>
      </c>
      <c r="S98" s="112"/>
      <c r="T98" s="175">
        <f>-E98+IF(A97=INPUT!$C$11*12,N98,0)</f>
        <v>0</v>
      </c>
      <c r="U98" s="112"/>
      <c r="V98" s="179">
        <f t="array" ref="V98">NPV('Pre-Calculation'!$E$20,$E99:E$246)</f>
        <v>0</v>
      </c>
      <c r="W98" s="171">
        <f>10%*SA</f>
        <v>100000</v>
      </c>
      <c r="X98" s="179">
        <f t="array" ref="X98">NPV('Pre-Calculation'!$E$20,W99:W108)</f>
        <v>969592.8037</v>
      </c>
      <c r="Y98" s="12"/>
      <c r="Z98" s="12"/>
    </row>
    <row r="99" ht="15.75" customHeight="1">
      <c r="A99" s="171">
        <f t="shared" si="1"/>
        <v>153</v>
      </c>
      <c r="B99" s="171">
        <f t="shared" si="2"/>
        <v>13</v>
      </c>
      <c r="C99" s="176">
        <f>EDATE(RCD,A98)</f>
        <v>47177</v>
      </c>
      <c r="D99" s="171">
        <f>Age_At_Entry+Cashflows_HIST!B99-1</f>
        <v>47</v>
      </c>
      <c r="E99" s="175">
        <f>IF(AND(C99&lt;=Last_Prem,MOD(A98,Mode)=0,C99&gt;INPUT!$C$13,A99&lt;=Revival!$C$11),Mod_Prem,0)</f>
        <v>0</v>
      </c>
      <c r="F99" s="177">
        <f>E99*VLOOKUP(B99,'Pre-Calculation'!$H$1:$I$31,2,FALSE)</f>
        <v>0</v>
      </c>
      <c r="G99" s="177">
        <f>IF(B99&lt;PT+1,VLOOKUP(B99,'Pre-Calculation'!$H$1:$L$32,3,FALSE)+VLOOKUP(B99,'Pre-Calculation'!$H$1:$L$32,4,FALSE)*'Pre-Calculation'!$D$7,0)</f>
        <v>0</v>
      </c>
      <c r="H99" s="175">
        <f>(E99-(F99+G99)*(1+Tax)+N98)</f>
        <v>2712028.874</v>
      </c>
      <c r="I99" s="175">
        <f>IF(B99&lt;PT+1,VLOOKUP(D99,'Pre-Calculation'!$N$3:$P$79,IF(INPUT!$C$4="M",2,3),FALSE)*(J99/1000)*(1/12),0)</f>
        <v>0</v>
      </c>
      <c r="J99" s="175">
        <f t="shared" si="3"/>
        <v>0</v>
      </c>
      <c r="K99" s="175">
        <f>(IF('Pre-Calculation'!$D$17="Type 4 a",MAX(SA,H99,1.05*Q99),IF('Pre-Calculation'!$D$17="Type 4 c",H99,IF('Pre-Calculation'!$D$17="Type 4 d",SA+H99,IF('Pre-Calculation'!$D$17="Type 4 e",MAX(SA,H99),IF('Pre-Calculation'!$D$17="Type 4 f",SA,IF('Pre-Calculation'!$D$17="Type 4 g",1000+H99,IF('Pre-Calculation'!$D$17="Type 4 h",SA+V99,IF('Pre-Calculation'!$D$17="Type 4 i",MAX(H99,Q99),IF('Pre-Calculation'!$D$17="Type 4 k",MAX(H99,1.01*Q99),IF('Pre-Calculation'!$D$17="Type 4 m",MAX(105%*Q99,SA+H99),IF('Pre-Calculation'!$D$17="Type 4 o",MAX(SA,105%*Q99)+V99+X99,IF('Pre-Calculation'!$D$17="Type 5",0)))))))))))))*IF(AND(A99&lt;Revival!$C$4,C99&gt;Revival!$D$12),PUP,1)</f>
        <v>2712028.874</v>
      </c>
      <c r="L99" s="175">
        <f>H99-I99*(1+Tax)</f>
        <v>2712028.874</v>
      </c>
      <c r="M99" s="175">
        <f>L99*(1+GROWTH_RATE_HIST)</f>
        <v>2741661.338</v>
      </c>
      <c r="N99" s="175">
        <f>M99+IF(MOD(A99,B99)=0,VLOOKUP(B99,'Pre-Calculation'!$H$1:$L$31,5,FALSE),0)*IF('Pre-Calculation'!$D$16="% OF FV",M99,IF(OR('Pre-Calculation'!$D$16="% OF AFV(24M)",'Pre-Calculation'!$D$16="% OF AFV(8Q)"),AVERAGE( $M76:$M99),IF('Pre-Calculation'!$D$16="% OF AFV(12M)",AVERAGE($M88:M99),IF('Pre-Calculation'!$D$16="% OF AFV(36M)",AVERAGE($M64:M99)))))</f>
        <v>2741661.338</v>
      </c>
      <c r="O99" s="175">
        <f t="shared" si="4"/>
        <v>2741661.338</v>
      </c>
      <c r="P99" s="175">
        <f>IF('Pre-Calculation'!$D$17="Type 4 a",MAX(SA,N99,1.05*Q99),IF('Pre-Calculation'!$D$17="Type 4 c",N99,IF('Pre-Calculation'!$D$17="Type 4 d",SA+N99,IF('Pre-Calculation'!$D$17="Type 4 e",MAX(SA,N99),IF('Pre-Calculation'!$D$17="Type 4 f",SA,IF('Pre-Calculation'!$D$17="Type 4 g",1000+N99,IF('Pre-Calculation'!$D$17="Type 4 h",SA+V99,IF('Pre-Calculation'!$D$17="Type 4 i",MAX(N99,Q99),IF('Pre-Calculation'!$D$17="Type 4 k",MAX(N99,1.01*Q99),IF('Pre-Calculation'!$D$17="Type 4 m",MAX(105%*Q99,SA+N99),IF('Pre-Calculation'!$D$17="Type 4 o",MAX(SA,105%*Q99)+V99+X99,IF('Pre-Calculation'!$D$17="Type 5",0))))))))))))</f>
        <v>2741661.338</v>
      </c>
      <c r="Q99" s="175">
        <f t="shared" si="5"/>
        <v>1000000</v>
      </c>
      <c r="R99" s="119">
        <f>L99*(1+GROWTH_RATE)*FMC</f>
        <v>3068.993042</v>
      </c>
      <c r="S99" s="112"/>
      <c r="T99" s="175">
        <f>-E99+IF(A98=INPUT!$C$11*12,N99,0)</f>
        <v>0</v>
      </c>
      <c r="U99" s="112"/>
      <c r="V99" s="179">
        <f t="array" ref="V99">NPV('Pre-Calculation'!$E$20,$E100:E$246)</f>
        <v>0</v>
      </c>
      <c r="W99" s="171">
        <f>10%*SA</f>
        <v>100000</v>
      </c>
      <c r="X99" s="179">
        <f t="array" ref="X99">NPV('Pre-Calculation'!$E$20,W100:W109)</f>
        <v>969592.8037</v>
      </c>
      <c r="Y99" s="12"/>
      <c r="Z99" s="12"/>
    </row>
    <row r="100" ht="15.75" customHeight="1">
      <c r="A100" s="171">
        <f t="shared" si="1"/>
        <v>154</v>
      </c>
      <c r="B100" s="171">
        <f t="shared" si="2"/>
        <v>13</v>
      </c>
      <c r="C100" s="176">
        <f>EDATE(RCD,A99)</f>
        <v>47207</v>
      </c>
      <c r="D100" s="171">
        <f>Age_At_Entry+Cashflows_HIST!B100-1</f>
        <v>47</v>
      </c>
      <c r="E100" s="175">
        <f>IF(AND(C100&lt;=Last_Prem,MOD(A99,Mode)=0,C100&gt;INPUT!$C$13,A100&lt;=Revival!$C$11),Mod_Prem,0)</f>
        <v>0</v>
      </c>
      <c r="F100" s="177">
        <f>E100*VLOOKUP(B100,'Pre-Calculation'!$H$1:$I$31,2,FALSE)</f>
        <v>0</v>
      </c>
      <c r="G100" s="177">
        <f>IF(B100&lt;PT+1,VLOOKUP(B100,'Pre-Calculation'!$H$1:$L$32,3,FALSE)+VLOOKUP(B100,'Pre-Calculation'!$H$1:$L$32,4,FALSE)*'Pre-Calculation'!$D$7,0)</f>
        <v>0</v>
      </c>
      <c r="H100" s="175">
        <f>(E100-(F100+G100)*(1+Tax)+N99)</f>
        <v>2741661.338</v>
      </c>
      <c r="I100" s="175">
        <f>IF(B100&lt;PT+1,VLOOKUP(D100,'Pre-Calculation'!$N$3:$P$79,IF(INPUT!$C$4="M",2,3),FALSE)*(J100/1000)*(1/12),0)</f>
        <v>0</v>
      </c>
      <c r="J100" s="175">
        <f t="shared" si="3"/>
        <v>0</v>
      </c>
      <c r="K100" s="175">
        <f>(IF('Pre-Calculation'!$D$17="Type 4 a",MAX(SA,H100,1.05*Q100),IF('Pre-Calculation'!$D$17="Type 4 c",H100,IF('Pre-Calculation'!$D$17="Type 4 d",SA+H100,IF('Pre-Calculation'!$D$17="Type 4 e",MAX(SA,H100),IF('Pre-Calculation'!$D$17="Type 4 f",SA,IF('Pre-Calculation'!$D$17="Type 4 g",1000+H100,IF('Pre-Calculation'!$D$17="Type 4 h",SA+V100,IF('Pre-Calculation'!$D$17="Type 4 i",MAX(H100,Q100),IF('Pre-Calculation'!$D$17="Type 4 k",MAX(H100,1.01*Q100),IF('Pre-Calculation'!$D$17="Type 4 m",MAX(105%*Q100,SA+H100),IF('Pre-Calculation'!$D$17="Type 4 o",MAX(SA,105%*Q100)+V100+X100,IF('Pre-Calculation'!$D$17="Type 5",0)))))))))))))*IF(AND(A100&lt;Revival!$C$4,C100&gt;Revival!$D$12),PUP,1)</f>
        <v>2741661.338</v>
      </c>
      <c r="L100" s="175">
        <f>H100-I100*(1+Tax)</f>
        <v>2741661.338</v>
      </c>
      <c r="M100" s="175">
        <f>L100*(1+GROWTH_RATE_HIST)</f>
        <v>2771617.575</v>
      </c>
      <c r="N100" s="175">
        <f>M100+IF(MOD(A100,B100)=0,VLOOKUP(B100,'Pre-Calculation'!$H$1:$L$31,5,FALSE),0)*IF('Pre-Calculation'!$D$16="% OF FV",M100,IF(OR('Pre-Calculation'!$D$16="% OF AFV(24M)",'Pre-Calculation'!$D$16="% OF AFV(8Q)"),AVERAGE( $M77:$M100),IF('Pre-Calculation'!$D$16="% OF AFV(12M)",AVERAGE($M89:M100),IF('Pre-Calculation'!$D$16="% OF AFV(36M)",AVERAGE($M65:M100)))))</f>
        <v>2771617.575</v>
      </c>
      <c r="O100" s="175">
        <f t="shared" si="4"/>
        <v>2771617.575</v>
      </c>
      <c r="P100" s="175">
        <f>IF('Pre-Calculation'!$D$17="Type 4 a",MAX(SA,N100,1.05*Q100),IF('Pre-Calculation'!$D$17="Type 4 c",N100,IF('Pre-Calculation'!$D$17="Type 4 d",SA+N100,IF('Pre-Calculation'!$D$17="Type 4 e",MAX(SA,N100),IF('Pre-Calculation'!$D$17="Type 4 f",SA,IF('Pre-Calculation'!$D$17="Type 4 g",1000+N100,IF('Pre-Calculation'!$D$17="Type 4 h",SA+V100,IF('Pre-Calculation'!$D$17="Type 4 i",MAX(N100,Q100),IF('Pre-Calculation'!$D$17="Type 4 k",MAX(N100,1.01*Q100),IF('Pre-Calculation'!$D$17="Type 4 m",MAX(105%*Q100,SA+N100),IF('Pre-Calculation'!$D$17="Type 4 o",MAX(SA,105%*Q100)+V100+X100,IF('Pre-Calculation'!$D$17="Type 5",0))))))))))))</f>
        <v>2771617.575</v>
      </c>
      <c r="Q100" s="175">
        <f t="shared" si="5"/>
        <v>1000000</v>
      </c>
      <c r="R100" s="119">
        <f>L100*(1+GROWTH_RATE)*FMC</f>
        <v>3102.525806</v>
      </c>
      <c r="S100" s="112"/>
      <c r="T100" s="175">
        <f>-E100+IF(A99=INPUT!$C$11*12,N100,0)</f>
        <v>0</v>
      </c>
      <c r="U100" s="112"/>
      <c r="V100" s="179">
        <f t="array" ref="V100">NPV('Pre-Calculation'!$E$20,$E101:E$246)</f>
        <v>0</v>
      </c>
      <c r="W100" s="171">
        <f>10%*SA</f>
        <v>100000</v>
      </c>
      <c r="X100" s="179">
        <f t="array" ref="X100">NPV('Pre-Calculation'!$E$20,W101:W110)</f>
        <v>969592.8037</v>
      </c>
      <c r="Y100" s="12"/>
      <c r="Z100" s="12"/>
    </row>
    <row r="101" ht="15.75" customHeight="1">
      <c r="A101" s="171">
        <f t="shared" si="1"/>
        <v>155</v>
      </c>
      <c r="B101" s="171">
        <f t="shared" si="2"/>
        <v>13</v>
      </c>
      <c r="C101" s="176">
        <f>EDATE(RCD,A100)</f>
        <v>47238</v>
      </c>
      <c r="D101" s="171">
        <f>Age_At_Entry+Cashflows_HIST!B101-1</f>
        <v>47</v>
      </c>
      <c r="E101" s="175">
        <f>IF(AND(C101&lt;=Last_Prem,MOD(A100,Mode)=0,C101&gt;INPUT!$C$13,A101&lt;=Revival!$C$11),Mod_Prem,0)</f>
        <v>0</v>
      </c>
      <c r="F101" s="177">
        <f>E101*VLOOKUP(B101,'Pre-Calculation'!$H$1:$I$31,2,FALSE)</f>
        <v>0</v>
      </c>
      <c r="G101" s="177">
        <f>IF(B101&lt;PT+1,VLOOKUP(B101,'Pre-Calculation'!$H$1:$L$32,3,FALSE)+VLOOKUP(B101,'Pre-Calculation'!$H$1:$L$32,4,FALSE)*'Pre-Calculation'!$D$7,0)</f>
        <v>0</v>
      </c>
      <c r="H101" s="175">
        <f>(E101-(F101+G101)*(1+Tax)+N100)</f>
        <v>2771617.575</v>
      </c>
      <c r="I101" s="175">
        <f>IF(B101&lt;PT+1,VLOOKUP(D101,'Pre-Calculation'!$N$3:$P$79,IF(INPUT!$C$4="M",2,3),FALSE)*(J101/1000)*(1/12),0)</f>
        <v>0</v>
      </c>
      <c r="J101" s="175">
        <f t="shared" si="3"/>
        <v>0</v>
      </c>
      <c r="K101" s="175">
        <f>(IF('Pre-Calculation'!$D$17="Type 4 a",MAX(SA,H101,1.05*Q101),IF('Pre-Calculation'!$D$17="Type 4 c",H101,IF('Pre-Calculation'!$D$17="Type 4 d",SA+H101,IF('Pre-Calculation'!$D$17="Type 4 e",MAX(SA,H101),IF('Pre-Calculation'!$D$17="Type 4 f",SA,IF('Pre-Calculation'!$D$17="Type 4 g",1000+H101,IF('Pre-Calculation'!$D$17="Type 4 h",SA+V101,IF('Pre-Calculation'!$D$17="Type 4 i",MAX(H101,Q101),IF('Pre-Calculation'!$D$17="Type 4 k",MAX(H101,1.01*Q101),IF('Pre-Calculation'!$D$17="Type 4 m",MAX(105%*Q101,SA+H101),IF('Pre-Calculation'!$D$17="Type 4 o",MAX(SA,105%*Q101)+V101+X101,IF('Pre-Calculation'!$D$17="Type 5",0)))))))))))))*IF(AND(A101&lt;Revival!$C$4,C101&gt;Revival!$D$12),PUP,1)</f>
        <v>2771617.575</v>
      </c>
      <c r="L101" s="175">
        <f>H101-I101*(1+Tax)</f>
        <v>2771617.575</v>
      </c>
      <c r="M101" s="175">
        <f>L101*(1+GROWTH_RATE_HIST)</f>
        <v>2801901.124</v>
      </c>
      <c r="N101" s="175">
        <f>M101+IF(MOD(A101,B101)=0,VLOOKUP(B101,'Pre-Calculation'!$H$1:$L$31,5,FALSE),0)*IF('Pre-Calculation'!$D$16="% OF FV",M101,IF(OR('Pre-Calculation'!$D$16="% OF AFV(24M)",'Pre-Calculation'!$D$16="% OF AFV(8Q)"),AVERAGE( $M78:$M101),IF('Pre-Calculation'!$D$16="% OF AFV(12M)",AVERAGE($M90:M101),IF('Pre-Calculation'!$D$16="% OF AFV(36M)",AVERAGE($M66:M101)))))</f>
        <v>2801901.124</v>
      </c>
      <c r="O101" s="175">
        <f t="shared" si="4"/>
        <v>2801901.124</v>
      </c>
      <c r="P101" s="175">
        <f>IF('Pre-Calculation'!$D$17="Type 4 a",MAX(SA,N101,1.05*Q101),IF('Pre-Calculation'!$D$17="Type 4 c",N101,IF('Pre-Calculation'!$D$17="Type 4 d",SA+N101,IF('Pre-Calculation'!$D$17="Type 4 e",MAX(SA,N101),IF('Pre-Calculation'!$D$17="Type 4 f",SA,IF('Pre-Calculation'!$D$17="Type 4 g",1000+N101,IF('Pre-Calculation'!$D$17="Type 4 h",SA+V101,IF('Pre-Calculation'!$D$17="Type 4 i",MAX(N101,Q101),IF('Pre-Calculation'!$D$17="Type 4 k",MAX(N101,1.01*Q101),IF('Pre-Calculation'!$D$17="Type 4 m",MAX(105%*Q101,SA+N101),IF('Pre-Calculation'!$D$17="Type 4 o",MAX(SA,105%*Q101)+V101+X101,IF('Pre-Calculation'!$D$17="Type 5",0))))))))))))</f>
        <v>2801901.124</v>
      </c>
      <c r="Q101" s="175">
        <f t="shared" si="5"/>
        <v>1000000</v>
      </c>
      <c r="R101" s="119">
        <f>L101*(1+GROWTH_RATE)*FMC</f>
        <v>3136.42496</v>
      </c>
      <c r="S101" s="112"/>
      <c r="T101" s="175">
        <f>-E101+IF(A100=INPUT!$C$11*12,N101,0)</f>
        <v>0</v>
      </c>
      <c r="U101" s="112"/>
      <c r="V101" s="179">
        <f t="array" ref="V101">NPV('Pre-Calculation'!$E$20,$E102:E$246)</f>
        <v>0</v>
      </c>
      <c r="W101" s="171">
        <f>10%*SA</f>
        <v>100000</v>
      </c>
      <c r="X101" s="179">
        <f t="array" ref="X101">NPV('Pre-Calculation'!$E$20,W102:W111)</f>
        <v>969592.8037</v>
      </c>
      <c r="Y101" s="12"/>
      <c r="Z101" s="12"/>
    </row>
    <row r="102" ht="15.75" customHeight="1">
      <c r="A102" s="171">
        <f t="shared" si="1"/>
        <v>156</v>
      </c>
      <c r="B102" s="171">
        <f t="shared" si="2"/>
        <v>13</v>
      </c>
      <c r="C102" s="176">
        <f>EDATE(RCD,A101)</f>
        <v>47268</v>
      </c>
      <c r="D102" s="171">
        <f>Age_At_Entry+Cashflows_HIST!B102-1</f>
        <v>47</v>
      </c>
      <c r="E102" s="175">
        <f>IF(AND(C102&lt;=Last_Prem,MOD(A101,Mode)=0,C102&gt;INPUT!$C$13,A102&lt;=Revival!$C$11),Mod_Prem,0)</f>
        <v>0</v>
      </c>
      <c r="F102" s="177">
        <f>E102*VLOOKUP(B102,'Pre-Calculation'!$H$1:$I$31,2,FALSE)</f>
        <v>0</v>
      </c>
      <c r="G102" s="177">
        <f>IF(B102&lt;PT+1,VLOOKUP(B102,'Pre-Calculation'!$H$1:$L$32,3,FALSE)+VLOOKUP(B102,'Pre-Calculation'!$H$1:$L$32,4,FALSE)*'Pre-Calculation'!$D$7,0)</f>
        <v>0</v>
      </c>
      <c r="H102" s="175">
        <f>(E102-(F102+G102)*(1+Tax)+N101)</f>
        <v>2801901.124</v>
      </c>
      <c r="I102" s="175">
        <f>IF(B102&lt;PT+1,VLOOKUP(D102,'Pre-Calculation'!$N$3:$P$79,IF(INPUT!$C$4="M",2,3),FALSE)*(J102/1000)*(1/12),0)</f>
        <v>0</v>
      </c>
      <c r="J102" s="175">
        <f t="shared" si="3"/>
        <v>0</v>
      </c>
      <c r="K102" s="175">
        <f>(IF('Pre-Calculation'!$D$17="Type 4 a",MAX(SA,H102,1.05*Q102),IF('Pre-Calculation'!$D$17="Type 4 c",H102,IF('Pre-Calculation'!$D$17="Type 4 d",SA+H102,IF('Pre-Calculation'!$D$17="Type 4 e",MAX(SA,H102),IF('Pre-Calculation'!$D$17="Type 4 f",SA,IF('Pre-Calculation'!$D$17="Type 4 g",1000+H102,IF('Pre-Calculation'!$D$17="Type 4 h",SA+V102,IF('Pre-Calculation'!$D$17="Type 4 i",MAX(H102,Q102),IF('Pre-Calculation'!$D$17="Type 4 k",MAX(H102,1.01*Q102),IF('Pre-Calculation'!$D$17="Type 4 m",MAX(105%*Q102,SA+H102),IF('Pre-Calculation'!$D$17="Type 4 o",MAX(SA,105%*Q102)+V102+X102,IF('Pre-Calculation'!$D$17="Type 5",0)))))))))))))*IF(AND(A102&lt;Revival!$C$4,C102&gt;Revival!$D$12),PUP,1)</f>
        <v>2801901.124</v>
      </c>
      <c r="L102" s="175">
        <f>H102-I102*(1+Tax)</f>
        <v>2801901.124</v>
      </c>
      <c r="M102" s="175">
        <f>L102*(1+GROWTH_RATE_HIST)</f>
        <v>2832515.559</v>
      </c>
      <c r="N102" s="175">
        <f>M102+IF(MOD(A102,B102)=0,VLOOKUP(B102,'Pre-Calculation'!$H$1:$L$31,5,FALSE),0)*IF('Pre-Calculation'!$D$16="% OF FV",M102,IF(OR('Pre-Calculation'!$D$16="% OF AFV(24M)",'Pre-Calculation'!$D$16="% OF AFV(8Q)"),AVERAGE( $M79:$M102),IF('Pre-Calculation'!$D$16="% OF AFV(12M)",AVERAGE($M91:M102),IF('Pre-Calculation'!$D$16="% OF AFV(36M)",AVERAGE($M67:M102)))))</f>
        <v>2832515.559</v>
      </c>
      <c r="O102" s="175">
        <f t="shared" si="4"/>
        <v>2832515.559</v>
      </c>
      <c r="P102" s="175">
        <f>IF('Pre-Calculation'!$D$17="Type 4 a",MAX(SA,N102,1.05*Q102),IF('Pre-Calculation'!$D$17="Type 4 c",N102,IF('Pre-Calculation'!$D$17="Type 4 d",SA+N102,IF('Pre-Calculation'!$D$17="Type 4 e",MAX(SA,N102),IF('Pre-Calculation'!$D$17="Type 4 f",SA,IF('Pre-Calculation'!$D$17="Type 4 g",1000+N102,IF('Pre-Calculation'!$D$17="Type 4 h",SA+V102,IF('Pre-Calculation'!$D$17="Type 4 i",MAX(N102,Q102),IF('Pre-Calculation'!$D$17="Type 4 k",MAX(N102,1.01*Q102),IF('Pre-Calculation'!$D$17="Type 4 m",MAX(105%*Q102,SA+N102),IF('Pre-Calculation'!$D$17="Type 4 o",MAX(SA,105%*Q102)+V102+X102,IF('Pre-Calculation'!$D$17="Type 5",0))))))))))))</f>
        <v>2832515.559</v>
      </c>
      <c r="Q102" s="175">
        <f t="shared" si="5"/>
        <v>1000000</v>
      </c>
      <c r="R102" s="119">
        <f>L102*(1+GROWTH_RATE)*FMC</f>
        <v>3170.694506</v>
      </c>
      <c r="S102" s="112"/>
      <c r="T102" s="175">
        <f>-E102+IF(A101=INPUT!$C$11*12,N102,0)</f>
        <v>0</v>
      </c>
      <c r="U102" s="112"/>
      <c r="V102" s="179">
        <f t="array" ref="V102">NPV('Pre-Calculation'!$E$20,$E103:E$246)</f>
        <v>0</v>
      </c>
      <c r="W102" s="171">
        <f>10%*SA</f>
        <v>100000</v>
      </c>
      <c r="X102" s="179">
        <f t="array" ref="X102">NPV('Pre-Calculation'!$E$20,W103:W112)</f>
        <v>969592.8037</v>
      </c>
      <c r="Y102" s="12"/>
      <c r="Z102" s="12"/>
    </row>
    <row r="103" ht="15.75" customHeight="1">
      <c r="A103" s="171">
        <f t="shared" si="1"/>
        <v>157</v>
      </c>
      <c r="B103" s="171">
        <f t="shared" si="2"/>
        <v>14</v>
      </c>
      <c r="C103" s="176">
        <f>EDATE(RCD,A102)</f>
        <v>47299</v>
      </c>
      <c r="D103" s="171">
        <f>Age_At_Entry+Cashflows_HIST!B103-1</f>
        <v>48</v>
      </c>
      <c r="E103" s="175">
        <f>IF(AND(C103&lt;=Last_Prem,MOD(A102,Mode)=0,C103&gt;INPUT!$C$13,A103&lt;=Revival!$C$11),Mod_Prem,0)</f>
        <v>0</v>
      </c>
      <c r="F103" s="177">
        <f>E103*VLOOKUP(B103,'Pre-Calculation'!$H$1:$I$31,2,FALSE)</f>
        <v>0</v>
      </c>
      <c r="G103" s="177">
        <f>IF(B103&lt;PT+1,VLOOKUP(B103,'Pre-Calculation'!$H$1:$L$32,3,FALSE)+VLOOKUP(B103,'Pre-Calculation'!$H$1:$L$32,4,FALSE)*'Pre-Calculation'!$D$7,0)</f>
        <v>0</v>
      </c>
      <c r="H103" s="175">
        <f>(E103-(F103+G103)*(1+Tax)+N102)</f>
        <v>2832515.559</v>
      </c>
      <c r="I103" s="175">
        <f>IF(B103&lt;PT+1,VLOOKUP(D103,'Pre-Calculation'!$N$3:$P$79,IF(INPUT!$C$4="M",2,3),FALSE)*(J103/1000)*(1/12),0)</f>
        <v>0</v>
      </c>
      <c r="J103" s="175">
        <f t="shared" si="3"/>
        <v>0</v>
      </c>
      <c r="K103" s="175">
        <f>(IF('Pre-Calculation'!$D$17="Type 4 a",MAX(SA,H103,1.05*Q103),IF('Pre-Calculation'!$D$17="Type 4 c",H103,IF('Pre-Calculation'!$D$17="Type 4 d",SA+H103,IF('Pre-Calculation'!$D$17="Type 4 e",MAX(SA,H103),IF('Pre-Calculation'!$D$17="Type 4 f",SA,IF('Pre-Calculation'!$D$17="Type 4 g",1000+H103,IF('Pre-Calculation'!$D$17="Type 4 h",SA+V103,IF('Pre-Calculation'!$D$17="Type 4 i",MAX(H103,Q103),IF('Pre-Calculation'!$D$17="Type 4 k",MAX(H103,1.01*Q103),IF('Pre-Calculation'!$D$17="Type 4 m",MAX(105%*Q103,SA+H103),IF('Pre-Calculation'!$D$17="Type 4 o",MAX(SA,105%*Q103)+V103+X103,IF('Pre-Calculation'!$D$17="Type 5",0)))))))))))))*IF(AND(A103&lt;Revival!$C$4,C103&gt;Revival!$D$12),PUP,1)</f>
        <v>2832515.559</v>
      </c>
      <c r="L103" s="175">
        <f>H103-I103*(1+Tax)</f>
        <v>2832515.559</v>
      </c>
      <c r="M103" s="175">
        <f>L103*(1+GROWTH_RATE_HIST)</f>
        <v>2863464.498</v>
      </c>
      <c r="N103" s="175">
        <f>M103+IF(MOD(A103,B103)=0,VLOOKUP(B103,'Pre-Calculation'!$H$1:$L$31,5,FALSE),0)*IF('Pre-Calculation'!$D$16="% OF FV",M103,IF(OR('Pre-Calculation'!$D$16="% OF AFV(24M)",'Pre-Calculation'!$D$16="% OF AFV(8Q)"),AVERAGE( $M80:$M103),IF('Pre-Calculation'!$D$16="% OF AFV(12M)",AVERAGE($M92:M103),IF('Pre-Calculation'!$D$16="% OF AFV(36M)",AVERAGE($M68:M103)))))</f>
        <v>2863464.498</v>
      </c>
      <c r="O103" s="175">
        <f t="shared" si="4"/>
        <v>2863464.498</v>
      </c>
      <c r="P103" s="175">
        <f>IF('Pre-Calculation'!$D$17="Type 4 a",MAX(SA,N103,1.05*Q103),IF('Pre-Calculation'!$D$17="Type 4 c",N103,IF('Pre-Calculation'!$D$17="Type 4 d",SA+N103,IF('Pre-Calculation'!$D$17="Type 4 e",MAX(SA,N103),IF('Pre-Calculation'!$D$17="Type 4 f",SA,IF('Pre-Calculation'!$D$17="Type 4 g",1000+N103,IF('Pre-Calculation'!$D$17="Type 4 h",SA+V103,IF('Pre-Calculation'!$D$17="Type 4 i",MAX(N103,Q103),IF('Pre-Calculation'!$D$17="Type 4 k",MAX(N103,1.01*Q103),IF('Pre-Calculation'!$D$17="Type 4 m",MAX(105%*Q103,SA+N103),IF('Pre-Calculation'!$D$17="Type 4 o",MAX(SA,105%*Q103)+V103+X103,IF('Pre-Calculation'!$D$17="Type 5",0))))))))))))</f>
        <v>2863464.498</v>
      </c>
      <c r="Q103" s="175">
        <f t="shared" si="5"/>
        <v>1000000</v>
      </c>
      <c r="R103" s="119">
        <f>L103*(1+GROWTH_RATE)*FMC</f>
        <v>3205.338492</v>
      </c>
      <c r="S103" s="112"/>
      <c r="T103" s="175">
        <f>-E103+IF(A102=INPUT!$C$11*12,N103,0)</f>
        <v>0</v>
      </c>
      <c r="U103" s="112"/>
      <c r="V103" s="179">
        <f t="array" ref="V103">NPV('Pre-Calculation'!$E$20,$E104:E$246)</f>
        <v>0</v>
      </c>
      <c r="W103" s="171">
        <f>10%*SA</f>
        <v>100000</v>
      </c>
      <c r="X103" s="179">
        <f t="array" ref="X103">NPV('Pre-Calculation'!$E$20,W104:W113)</f>
        <v>969592.8037</v>
      </c>
      <c r="Y103" s="12"/>
      <c r="Z103" s="12"/>
    </row>
    <row r="104" ht="15.75" customHeight="1">
      <c r="A104" s="171">
        <f t="shared" si="1"/>
        <v>158</v>
      </c>
      <c r="B104" s="171">
        <f t="shared" si="2"/>
        <v>14</v>
      </c>
      <c r="C104" s="176">
        <f>EDATE(RCD,A103)</f>
        <v>47329</v>
      </c>
      <c r="D104" s="171">
        <f>Age_At_Entry+Cashflows_HIST!B104-1</f>
        <v>48</v>
      </c>
      <c r="E104" s="175">
        <f>IF(AND(C104&lt;=Last_Prem,MOD(A103,Mode)=0,C104&gt;INPUT!$C$13,A104&lt;=Revival!$C$11),Mod_Prem,0)</f>
        <v>0</v>
      </c>
      <c r="F104" s="177">
        <f>E104*VLOOKUP(B104,'Pre-Calculation'!$H$1:$I$31,2,FALSE)</f>
        <v>0</v>
      </c>
      <c r="G104" s="177">
        <f>IF(B104&lt;PT+1,VLOOKUP(B104,'Pre-Calculation'!$H$1:$L$32,3,FALSE)+VLOOKUP(B104,'Pre-Calculation'!$H$1:$L$32,4,FALSE)*'Pre-Calculation'!$D$7,0)</f>
        <v>0</v>
      </c>
      <c r="H104" s="175">
        <f>(E104-(F104+G104)*(1+Tax)+N103)</f>
        <v>2863464.498</v>
      </c>
      <c r="I104" s="175">
        <f>IF(B104&lt;PT+1,VLOOKUP(D104,'Pre-Calculation'!$N$3:$P$79,IF(INPUT!$C$4="M",2,3),FALSE)*(J104/1000)*(1/12),0)</f>
        <v>0</v>
      </c>
      <c r="J104" s="175">
        <f t="shared" si="3"/>
        <v>0</v>
      </c>
      <c r="K104" s="175">
        <f>(IF('Pre-Calculation'!$D$17="Type 4 a",MAX(SA,H104,1.05*Q104),IF('Pre-Calculation'!$D$17="Type 4 c",H104,IF('Pre-Calculation'!$D$17="Type 4 d",SA+H104,IF('Pre-Calculation'!$D$17="Type 4 e",MAX(SA,H104),IF('Pre-Calculation'!$D$17="Type 4 f",SA,IF('Pre-Calculation'!$D$17="Type 4 g",1000+H104,IF('Pre-Calculation'!$D$17="Type 4 h",SA+V104,IF('Pre-Calculation'!$D$17="Type 4 i",MAX(H104,Q104),IF('Pre-Calculation'!$D$17="Type 4 k",MAX(H104,1.01*Q104),IF('Pre-Calculation'!$D$17="Type 4 m",MAX(105%*Q104,SA+H104),IF('Pre-Calculation'!$D$17="Type 4 o",MAX(SA,105%*Q104)+V104+X104,IF('Pre-Calculation'!$D$17="Type 5",0)))))))))))))*IF(AND(A104&lt;Revival!$C$4,C104&gt;Revival!$D$12),PUP,1)</f>
        <v>2863464.498</v>
      </c>
      <c r="L104" s="175">
        <f>H104-I104*(1+Tax)</f>
        <v>2863464.498</v>
      </c>
      <c r="M104" s="175">
        <f>L104*(1+GROWTH_RATE_HIST)</f>
        <v>2894751.594</v>
      </c>
      <c r="N104" s="175">
        <f>M104+IF(MOD(A104,B104)=0,VLOOKUP(B104,'Pre-Calculation'!$H$1:$L$31,5,FALSE),0)*IF('Pre-Calculation'!$D$16="% OF FV",M104,IF(OR('Pre-Calculation'!$D$16="% OF AFV(24M)",'Pre-Calculation'!$D$16="% OF AFV(8Q)"),AVERAGE( $M81:$M104),IF('Pre-Calculation'!$D$16="% OF AFV(12M)",AVERAGE($M93:M104),IF('Pre-Calculation'!$D$16="% OF AFV(36M)",AVERAGE($M69:M104)))))</f>
        <v>2894751.594</v>
      </c>
      <c r="O104" s="175">
        <f t="shared" si="4"/>
        <v>2894751.594</v>
      </c>
      <c r="P104" s="175">
        <f>IF('Pre-Calculation'!$D$17="Type 4 a",MAX(SA,N104,1.05*Q104),IF('Pre-Calculation'!$D$17="Type 4 c",N104,IF('Pre-Calculation'!$D$17="Type 4 d",SA+N104,IF('Pre-Calculation'!$D$17="Type 4 e",MAX(SA,N104),IF('Pre-Calculation'!$D$17="Type 4 f",SA,IF('Pre-Calculation'!$D$17="Type 4 g",1000+N104,IF('Pre-Calculation'!$D$17="Type 4 h",SA+V104,IF('Pre-Calculation'!$D$17="Type 4 i",MAX(N104,Q104),IF('Pre-Calculation'!$D$17="Type 4 k",MAX(N104,1.01*Q104),IF('Pre-Calculation'!$D$17="Type 4 m",MAX(105%*Q104,SA+N104),IF('Pre-Calculation'!$D$17="Type 4 o",MAX(SA,105%*Q104)+V104+X104,IF('Pre-Calculation'!$D$17="Type 5",0))))))))))))</f>
        <v>2894751.594</v>
      </c>
      <c r="Q104" s="175">
        <f t="shared" si="5"/>
        <v>1000000</v>
      </c>
      <c r="R104" s="119">
        <f>L104*(1+GROWTH_RATE)*FMC</f>
        <v>3240.361009</v>
      </c>
      <c r="S104" s="112"/>
      <c r="T104" s="175">
        <f>-E104+IF(A103=INPUT!$C$11*12,N104,0)</f>
        <v>0</v>
      </c>
      <c r="U104" s="112"/>
      <c r="V104" s="179">
        <f t="array" ref="V104">NPV('Pre-Calculation'!$E$20,$E105:E$246)</f>
        <v>0</v>
      </c>
      <c r="W104" s="171">
        <f>10%*SA</f>
        <v>100000</v>
      </c>
      <c r="X104" s="179">
        <f t="array" ref="X104">NPV('Pre-Calculation'!$E$20,W105:W114)</f>
        <v>969592.8037</v>
      </c>
      <c r="Y104" s="12"/>
      <c r="Z104" s="12"/>
    </row>
    <row r="105" ht="15.75" customHeight="1">
      <c r="A105" s="171">
        <f t="shared" si="1"/>
        <v>159</v>
      </c>
      <c r="B105" s="171">
        <f t="shared" si="2"/>
        <v>14</v>
      </c>
      <c r="C105" s="176">
        <f>EDATE(RCD,A104)</f>
        <v>47360</v>
      </c>
      <c r="D105" s="171">
        <f>Age_At_Entry+Cashflows_HIST!B105-1</f>
        <v>48</v>
      </c>
      <c r="E105" s="175">
        <f>IF(AND(C105&lt;=Last_Prem,MOD(A104,Mode)=0,C105&gt;INPUT!$C$13,A105&lt;=Revival!$C$11),Mod_Prem,0)</f>
        <v>0</v>
      </c>
      <c r="F105" s="177">
        <f>E105*VLOOKUP(B105,'Pre-Calculation'!$H$1:$I$31,2,FALSE)</f>
        <v>0</v>
      </c>
      <c r="G105" s="177">
        <f>IF(B105&lt;PT+1,VLOOKUP(B105,'Pre-Calculation'!$H$1:$L$32,3,FALSE)+VLOOKUP(B105,'Pre-Calculation'!$H$1:$L$32,4,FALSE)*'Pre-Calculation'!$D$7,0)</f>
        <v>0</v>
      </c>
      <c r="H105" s="175">
        <f>(E105-(F105+G105)*(1+Tax)+N104)</f>
        <v>2894751.594</v>
      </c>
      <c r="I105" s="175">
        <f>IF(B105&lt;PT+1,VLOOKUP(D105,'Pre-Calculation'!$N$3:$P$79,IF(INPUT!$C$4="M",2,3),FALSE)*(J105/1000)*(1/12),0)</f>
        <v>0</v>
      </c>
      <c r="J105" s="175">
        <f t="shared" si="3"/>
        <v>0</v>
      </c>
      <c r="K105" s="175">
        <f>(IF('Pre-Calculation'!$D$17="Type 4 a",MAX(SA,H105,1.05*Q105),IF('Pre-Calculation'!$D$17="Type 4 c",H105,IF('Pre-Calculation'!$D$17="Type 4 d",SA+H105,IF('Pre-Calculation'!$D$17="Type 4 e",MAX(SA,H105),IF('Pre-Calculation'!$D$17="Type 4 f",SA,IF('Pre-Calculation'!$D$17="Type 4 g",1000+H105,IF('Pre-Calculation'!$D$17="Type 4 h",SA+V105,IF('Pre-Calculation'!$D$17="Type 4 i",MAX(H105,Q105),IF('Pre-Calculation'!$D$17="Type 4 k",MAX(H105,1.01*Q105),IF('Pre-Calculation'!$D$17="Type 4 m",MAX(105%*Q105,SA+H105),IF('Pre-Calculation'!$D$17="Type 4 o",MAX(SA,105%*Q105)+V105+X105,IF('Pre-Calculation'!$D$17="Type 5",0)))))))))))))*IF(AND(A105&lt;Revival!$C$4,C105&gt;Revival!$D$12),PUP,1)</f>
        <v>2894751.594</v>
      </c>
      <c r="L105" s="175">
        <f>H105-I105*(1+Tax)</f>
        <v>2894751.594</v>
      </c>
      <c r="M105" s="175">
        <f>L105*(1+GROWTH_RATE_HIST)</f>
        <v>2926380.542</v>
      </c>
      <c r="N105" s="175">
        <f>M105+IF(MOD(A105,B105)=0,VLOOKUP(B105,'Pre-Calculation'!$H$1:$L$31,5,FALSE),0)*IF('Pre-Calculation'!$D$16="% OF FV",M105,IF(OR('Pre-Calculation'!$D$16="% OF AFV(24M)",'Pre-Calculation'!$D$16="% OF AFV(8Q)"),AVERAGE( $M82:$M105),IF('Pre-Calculation'!$D$16="% OF AFV(12M)",AVERAGE($M94:M105),IF('Pre-Calculation'!$D$16="% OF AFV(36M)",AVERAGE($M70:M105)))))</f>
        <v>2926380.542</v>
      </c>
      <c r="O105" s="175">
        <f t="shared" si="4"/>
        <v>2926380.542</v>
      </c>
      <c r="P105" s="175">
        <f>IF('Pre-Calculation'!$D$17="Type 4 a",MAX(SA,N105,1.05*Q105),IF('Pre-Calculation'!$D$17="Type 4 c",N105,IF('Pre-Calculation'!$D$17="Type 4 d",SA+N105,IF('Pre-Calculation'!$D$17="Type 4 e",MAX(SA,N105),IF('Pre-Calculation'!$D$17="Type 4 f",SA,IF('Pre-Calculation'!$D$17="Type 4 g",1000+N105,IF('Pre-Calculation'!$D$17="Type 4 h",SA+V105,IF('Pre-Calculation'!$D$17="Type 4 i",MAX(N105,Q105),IF('Pre-Calculation'!$D$17="Type 4 k",MAX(N105,1.01*Q105),IF('Pre-Calculation'!$D$17="Type 4 m",MAX(105%*Q105,SA+N105),IF('Pre-Calculation'!$D$17="Type 4 o",MAX(SA,105%*Q105)+V105+X105,IF('Pre-Calculation'!$D$17="Type 5",0))))))))))))</f>
        <v>2926380.542</v>
      </c>
      <c r="Q105" s="175">
        <f t="shared" si="5"/>
        <v>1000000</v>
      </c>
      <c r="R105" s="119">
        <f>L105*(1+GROWTH_RATE)*FMC</f>
        <v>3275.766192</v>
      </c>
      <c r="S105" s="112"/>
      <c r="T105" s="175">
        <f>-E105+IF(A104=INPUT!$C$11*12,N105,0)</f>
        <v>0</v>
      </c>
      <c r="U105" s="112"/>
      <c r="V105" s="179">
        <f t="array" ref="V105">NPV('Pre-Calculation'!$E$20,$E106:E$246)</f>
        <v>0</v>
      </c>
      <c r="W105" s="171">
        <f>10%*SA</f>
        <v>100000</v>
      </c>
      <c r="X105" s="179">
        <f t="array" ref="X105">NPV('Pre-Calculation'!$E$20,W106:W115)</f>
        <v>969592.8037</v>
      </c>
      <c r="Y105" s="12"/>
      <c r="Z105" s="12"/>
    </row>
    <row r="106" ht="15.75" customHeight="1">
      <c r="A106" s="171">
        <f t="shared" si="1"/>
        <v>160</v>
      </c>
      <c r="B106" s="171">
        <f t="shared" si="2"/>
        <v>14</v>
      </c>
      <c r="C106" s="176">
        <f>EDATE(RCD,A105)</f>
        <v>47391</v>
      </c>
      <c r="D106" s="171">
        <f>Age_At_Entry+Cashflows_HIST!B106-1</f>
        <v>48</v>
      </c>
      <c r="E106" s="175">
        <f>IF(AND(C106&lt;=Last_Prem,MOD(A105,Mode)=0,C106&gt;INPUT!$C$13,A106&lt;=Revival!$C$11),Mod_Prem,0)</f>
        <v>0</v>
      </c>
      <c r="F106" s="177">
        <f>E106*VLOOKUP(B106,'Pre-Calculation'!$H$1:$I$31,2,FALSE)</f>
        <v>0</v>
      </c>
      <c r="G106" s="177">
        <f>IF(B106&lt;PT+1,VLOOKUP(B106,'Pre-Calculation'!$H$1:$L$32,3,FALSE)+VLOOKUP(B106,'Pre-Calculation'!$H$1:$L$32,4,FALSE)*'Pre-Calculation'!$D$7,0)</f>
        <v>0</v>
      </c>
      <c r="H106" s="175">
        <f>(E106-(F106+G106)*(1+Tax)+N105)</f>
        <v>2926380.542</v>
      </c>
      <c r="I106" s="175">
        <f>IF(B106&lt;PT+1,VLOOKUP(D106,'Pre-Calculation'!$N$3:$P$79,IF(INPUT!$C$4="M",2,3),FALSE)*(J106/1000)*(1/12),0)</f>
        <v>0</v>
      </c>
      <c r="J106" s="175">
        <f t="shared" si="3"/>
        <v>0</v>
      </c>
      <c r="K106" s="175">
        <f>(IF('Pre-Calculation'!$D$17="Type 4 a",MAX(SA,H106,1.05*Q106),IF('Pre-Calculation'!$D$17="Type 4 c",H106,IF('Pre-Calculation'!$D$17="Type 4 d",SA+H106,IF('Pre-Calculation'!$D$17="Type 4 e",MAX(SA,H106),IF('Pre-Calculation'!$D$17="Type 4 f",SA,IF('Pre-Calculation'!$D$17="Type 4 g",1000+H106,IF('Pre-Calculation'!$D$17="Type 4 h",SA+V106,IF('Pre-Calculation'!$D$17="Type 4 i",MAX(H106,Q106),IF('Pre-Calculation'!$D$17="Type 4 k",MAX(H106,1.01*Q106),IF('Pre-Calculation'!$D$17="Type 4 m",MAX(105%*Q106,SA+H106),IF('Pre-Calculation'!$D$17="Type 4 o",MAX(SA,105%*Q106)+V106+X106,IF('Pre-Calculation'!$D$17="Type 5",0)))))))))))))*IF(AND(A106&lt;Revival!$C$4,C106&gt;Revival!$D$12),PUP,1)</f>
        <v>2926380.542</v>
      </c>
      <c r="L106" s="175">
        <f>H106-I106*(1+Tax)</f>
        <v>2926380.542</v>
      </c>
      <c r="M106" s="175">
        <f>L106*(1+GROWTH_RATE_HIST)</f>
        <v>2958355.078</v>
      </c>
      <c r="N106" s="175">
        <f>M106+IF(MOD(A106,B106)=0,VLOOKUP(B106,'Pre-Calculation'!$H$1:$L$31,5,FALSE),0)*IF('Pre-Calculation'!$D$16="% OF FV",M106,IF(OR('Pre-Calculation'!$D$16="% OF AFV(24M)",'Pre-Calculation'!$D$16="% OF AFV(8Q)"),AVERAGE( $M83:$M106),IF('Pre-Calculation'!$D$16="% OF AFV(12M)",AVERAGE($M95:M106),IF('Pre-Calculation'!$D$16="% OF AFV(36M)",AVERAGE($M71:M106)))))</f>
        <v>2958355.078</v>
      </c>
      <c r="O106" s="175">
        <f t="shared" si="4"/>
        <v>2958355.078</v>
      </c>
      <c r="P106" s="175">
        <f>IF('Pre-Calculation'!$D$17="Type 4 a",MAX(SA,N106,1.05*Q106),IF('Pre-Calculation'!$D$17="Type 4 c",N106,IF('Pre-Calculation'!$D$17="Type 4 d",SA+N106,IF('Pre-Calculation'!$D$17="Type 4 e",MAX(SA,N106),IF('Pre-Calculation'!$D$17="Type 4 f",SA,IF('Pre-Calculation'!$D$17="Type 4 g",1000+N106,IF('Pre-Calculation'!$D$17="Type 4 h",SA+V106,IF('Pre-Calculation'!$D$17="Type 4 i",MAX(N106,Q106),IF('Pre-Calculation'!$D$17="Type 4 k",MAX(N106,1.01*Q106),IF('Pre-Calculation'!$D$17="Type 4 m",MAX(105%*Q106,SA+N106),IF('Pre-Calculation'!$D$17="Type 4 o",MAX(SA,105%*Q106)+V106+X106,IF('Pre-Calculation'!$D$17="Type 5",0))))))))))))</f>
        <v>2958355.078</v>
      </c>
      <c r="Q106" s="175">
        <f t="shared" si="5"/>
        <v>1000000</v>
      </c>
      <c r="R106" s="119">
        <f>L106*(1+GROWTH_RATE)*FMC</f>
        <v>3311.558224</v>
      </c>
      <c r="S106" s="112"/>
      <c r="T106" s="175">
        <f>-E106+IF(A105=INPUT!$C$11*12,N106,0)</f>
        <v>0</v>
      </c>
      <c r="U106" s="112"/>
      <c r="V106" s="179">
        <f t="array" ref="V106">NPV('Pre-Calculation'!$E$20,$E107:E$246)</f>
        <v>0</v>
      </c>
      <c r="W106" s="171">
        <f>10%*SA</f>
        <v>100000</v>
      </c>
      <c r="X106" s="179">
        <f t="array" ref="X106">NPV('Pre-Calculation'!$E$20,W107:W116)</f>
        <v>969592.8037</v>
      </c>
      <c r="Y106" s="12"/>
      <c r="Z106" s="12"/>
    </row>
    <row r="107" ht="15.75" customHeight="1">
      <c r="A107" s="171">
        <f t="shared" si="1"/>
        <v>161</v>
      </c>
      <c r="B107" s="171">
        <f t="shared" si="2"/>
        <v>14</v>
      </c>
      <c r="C107" s="176">
        <f>EDATE(RCD,A106)</f>
        <v>47421</v>
      </c>
      <c r="D107" s="171">
        <f>Age_At_Entry+Cashflows_HIST!B107-1</f>
        <v>48</v>
      </c>
      <c r="E107" s="175">
        <f>IF(AND(C107&lt;=Last_Prem,MOD(A106,Mode)=0,C107&gt;INPUT!$C$13,A107&lt;=Revival!$C$11),Mod_Prem,0)</f>
        <v>0</v>
      </c>
      <c r="F107" s="177">
        <f>E107*VLOOKUP(B107,'Pre-Calculation'!$H$1:$I$31,2,FALSE)</f>
        <v>0</v>
      </c>
      <c r="G107" s="177">
        <f>IF(B107&lt;PT+1,VLOOKUP(B107,'Pre-Calculation'!$H$1:$L$32,3,FALSE)+VLOOKUP(B107,'Pre-Calculation'!$H$1:$L$32,4,FALSE)*'Pre-Calculation'!$D$7,0)</f>
        <v>0</v>
      </c>
      <c r="H107" s="175">
        <f>(E107-(F107+G107)*(1+Tax)+N106)</f>
        <v>2958355.078</v>
      </c>
      <c r="I107" s="175">
        <f>IF(B107&lt;PT+1,VLOOKUP(D107,'Pre-Calculation'!$N$3:$P$79,IF(INPUT!$C$4="M",2,3),FALSE)*(J107/1000)*(1/12),0)</f>
        <v>0</v>
      </c>
      <c r="J107" s="175">
        <f t="shared" si="3"/>
        <v>0</v>
      </c>
      <c r="K107" s="175">
        <f>(IF('Pre-Calculation'!$D$17="Type 4 a",MAX(SA,H107,1.05*Q107),IF('Pre-Calculation'!$D$17="Type 4 c",H107,IF('Pre-Calculation'!$D$17="Type 4 d",SA+H107,IF('Pre-Calculation'!$D$17="Type 4 e",MAX(SA,H107),IF('Pre-Calculation'!$D$17="Type 4 f",SA,IF('Pre-Calculation'!$D$17="Type 4 g",1000+H107,IF('Pre-Calculation'!$D$17="Type 4 h",SA+V107,IF('Pre-Calculation'!$D$17="Type 4 i",MAX(H107,Q107),IF('Pre-Calculation'!$D$17="Type 4 k",MAX(H107,1.01*Q107),IF('Pre-Calculation'!$D$17="Type 4 m",MAX(105%*Q107,SA+H107),IF('Pre-Calculation'!$D$17="Type 4 o",MAX(SA,105%*Q107)+V107+X107,IF('Pre-Calculation'!$D$17="Type 5",0)))))))))))))*IF(AND(A107&lt;Revival!$C$4,C107&gt;Revival!$D$12),PUP,1)</f>
        <v>2958355.078</v>
      </c>
      <c r="L107" s="175">
        <f>H107-I107*(1+Tax)</f>
        <v>2958355.078</v>
      </c>
      <c r="M107" s="175">
        <f>L107*(1+GROWTH_RATE_HIST)</f>
        <v>2990678.978</v>
      </c>
      <c r="N107" s="175">
        <f>M107+IF(MOD(A107,B107)=0,VLOOKUP(B107,'Pre-Calculation'!$H$1:$L$31,5,FALSE),0)*IF('Pre-Calculation'!$D$16="% OF FV",M107,IF(OR('Pre-Calculation'!$D$16="% OF AFV(24M)",'Pre-Calculation'!$D$16="% OF AFV(8Q)"),AVERAGE( $M84:$M107),IF('Pre-Calculation'!$D$16="% OF AFV(12M)",AVERAGE($M96:M107),IF('Pre-Calculation'!$D$16="% OF AFV(36M)",AVERAGE($M72:M107)))))</f>
        <v>2990678.978</v>
      </c>
      <c r="O107" s="175">
        <f t="shared" si="4"/>
        <v>2990678.978</v>
      </c>
      <c r="P107" s="175">
        <f>IF('Pre-Calculation'!$D$17="Type 4 a",MAX(SA,N107,1.05*Q107),IF('Pre-Calculation'!$D$17="Type 4 c",N107,IF('Pre-Calculation'!$D$17="Type 4 d",SA+N107,IF('Pre-Calculation'!$D$17="Type 4 e",MAX(SA,N107),IF('Pre-Calculation'!$D$17="Type 4 f",SA,IF('Pre-Calculation'!$D$17="Type 4 g",1000+N107,IF('Pre-Calculation'!$D$17="Type 4 h",SA+V107,IF('Pre-Calculation'!$D$17="Type 4 i",MAX(N107,Q107),IF('Pre-Calculation'!$D$17="Type 4 k",MAX(N107,1.01*Q107),IF('Pre-Calculation'!$D$17="Type 4 m",MAX(105%*Q107,SA+N107),IF('Pre-Calculation'!$D$17="Type 4 o",MAX(SA,105%*Q107)+V107+X107,IF('Pre-Calculation'!$D$17="Type 5",0))))))))))))</f>
        <v>2990678.978</v>
      </c>
      <c r="Q107" s="175">
        <f t="shared" si="5"/>
        <v>1000000</v>
      </c>
      <c r="R107" s="119">
        <f>L107*(1+GROWTH_RATE)*FMC</f>
        <v>3347.74133</v>
      </c>
      <c r="S107" s="112"/>
      <c r="T107" s="175">
        <f>-E107+IF(A106=INPUT!$C$11*12,N107,0)</f>
        <v>0</v>
      </c>
      <c r="U107" s="112"/>
      <c r="V107" s="179">
        <f t="array" ref="V107">NPV('Pre-Calculation'!$E$20,$E108:E$246)</f>
        <v>0</v>
      </c>
      <c r="W107" s="171">
        <f>10%*SA</f>
        <v>100000</v>
      </c>
      <c r="X107" s="179">
        <f t="array" ref="X107">NPV('Pre-Calculation'!$E$20,W108:W117)</f>
        <v>969592.8037</v>
      </c>
      <c r="Y107" s="12"/>
      <c r="Z107" s="12"/>
    </row>
    <row r="108" ht="15.75" customHeight="1">
      <c r="A108" s="171">
        <f t="shared" si="1"/>
        <v>162</v>
      </c>
      <c r="B108" s="171">
        <f t="shared" si="2"/>
        <v>14</v>
      </c>
      <c r="C108" s="176">
        <f>EDATE(RCD,A107)</f>
        <v>47452</v>
      </c>
      <c r="D108" s="171">
        <f>Age_At_Entry+Cashflows_HIST!B108-1</f>
        <v>48</v>
      </c>
      <c r="E108" s="175">
        <f>IF(AND(C108&lt;=Last_Prem,MOD(A107,Mode)=0,C108&gt;INPUT!$C$13,A108&lt;=Revival!$C$11),Mod_Prem,0)</f>
        <v>0</v>
      </c>
      <c r="F108" s="177">
        <f>E108*VLOOKUP(B108,'Pre-Calculation'!$H$1:$I$31,2,FALSE)</f>
        <v>0</v>
      </c>
      <c r="G108" s="177">
        <f>IF(B108&lt;PT+1,VLOOKUP(B108,'Pre-Calculation'!$H$1:$L$32,3,FALSE)+VLOOKUP(B108,'Pre-Calculation'!$H$1:$L$32,4,FALSE)*'Pre-Calculation'!$D$7,0)</f>
        <v>0</v>
      </c>
      <c r="H108" s="175">
        <f>(E108-(F108+G108)*(1+Tax)+N107)</f>
        <v>2990678.978</v>
      </c>
      <c r="I108" s="175">
        <f>IF(B108&lt;PT+1,VLOOKUP(D108,'Pre-Calculation'!$N$3:$P$79,IF(INPUT!$C$4="M",2,3),FALSE)*(J108/1000)*(1/12),0)</f>
        <v>0</v>
      </c>
      <c r="J108" s="175">
        <f t="shared" si="3"/>
        <v>0</v>
      </c>
      <c r="K108" s="175">
        <f>(IF('Pre-Calculation'!$D$17="Type 4 a",MAX(SA,H108,1.05*Q108),IF('Pre-Calculation'!$D$17="Type 4 c",H108,IF('Pre-Calculation'!$D$17="Type 4 d",SA+H108,IF('Pre-Calculation'!$D$17="Type 4 e",MAX(SA,H108),IF('Pre-Calculation'!$D$17="Type 4 f",SA,IF('Pre-Calculation'!$D$17="Type 4 g",1000+H108,IF('Pre-Calculation'!$D$17="Type 4 h",SA+V108,IF('Pre-Calculation'!$D$17="Type 4 i",MAX(H108,Q108),IF('Pre-Calculation'!$D$17="Type 4 k",MAX(H108,1.01*Q108),IF('Pre-Calculation'!$D$17="Type 4 m",MAX(105%*Q108,SA+H108),IF('Pre-Calculation'!$D$17="Type 4 o",MAX(SA,105%*Q108)+V108+X108,IF('Pre-Calculation'!$D$17="Type 5",0)))))))))))))*IF(AND(A108&lt;Revival!$C$4,C108&gt;Revival!$D$12),PUP,1)</f>
        <v>2990678.978</v>
      </c>
      <c r="L108" s="175">
        <f>H108-I108*(1+Tax)</f>
        <v>2990678.978</v>
      </c>
      <c r="M108" s="175">
        <f>L108*(1+GROWTH_RATE_HIST)</f>
        <v>3023356.059</v>
      </c>
      <c r="N108" s="175">
        <f>M108+IF(MOD(A108,B108)=0,VLOOKUP(B108,'Pre-Calculation'!$H$1:$L$31,5,FALSE),0)*IF('Pre-Calculation'!$D$16="% OF FV",M108,IF(OR('Pre-Calculation'!$D$16="% OF AFV(24M)",'Pre-Calculation'!$D$16="% OF AFV(8Q)"),AVERAGE( $M85:$M108),IF('Pre-Calculation'!$D$16="% OF AFV(12M)",AVERAGE($M97:M108),IF('Pre-Calculation'!$D$16="% OF AFV(36M)",AVERAGE($M73:M108)))))</f>
        <v>3023356.059</v>
      </c>
      <c r="O108" s="175">
        <f t="shared" si="4"/>
        <v>3023356.059</v>
      </c>
      <c r="P108" s="175">
        <f>IF('Pre-Calculation'!$D$17="Type 4 a",MAX(SA,N108,1.05*Q108),IF('Pre-Calculation'!$D$17="Type 4 c",N108,IF('Pre-Calculation'!$D$17="Type 4 d",SA+N108,IF('Pre-Calculation'!$D$17="Type 4 e",MAX(SA,N108),IF('Pre-Calculation'!$D$17="Type 4 f",SA,IF('Pre-Calculation'!$D$17="Type 4 g",1000+N108,IF('Pre-Calculation'!$D$17="Type 4 h",SA+V108,IF('Pre-Calculation'!$D$17="Type 4 i",MAX(N108,Q108),IF('Pre-Calculation'!$D$17="Type 4 k",MAX(N108,1.01*Q108),IF('Pre-Calculation'!$D$17="Type 4 m",MAX(105%*Q108,SA+N108),IF('Pre-Calculation'!$D$17="Type 4 o",MAX(SA,105%*Q108)+V108+X108,IF('Pre-Calculation'!$D$17="Type 5",0))))))))))))</f>
        <v>3023356.059</v>
      </c>
      <c r="Q108" s="175">
        <f t="shared" si="5"/>
        <v>1000000</v>
      </c>
      <c r="R108" s="119">
        <f>L108*(1+GROWTH_RATE)*FMC</f>
        <v>3384.319784</v>
      </c>
      <c r="S108" s="112"/>
      <c r="T108" s="175">
        <f>-E108+IF(A107=INPUT!$C$11*12,N108,0)</f>
        <v>0</v>
      </c>
      <c r="U108" s="112"/>
      <c r="V108" s="179">
        <f t="array" ref="V108">NPV('Pre-Calculation'!$E$20,$E109:E$246)</f>
        <v>0</v>
      </c>
      <c r="W108" s="171">
        <f>10%*SA</f>
        <v>100000</v>
      </c>
      <c r="X108" s="179">
        <f t="array" ref="X108">NPV('Pre-Calculation'!$E$20,W109:W118)</f>
        <v>969592.8037</v>
      </c>
      <c r="Y108" s="12"/>
      <c r="Z108" s="12"/>
    </row>
    <row r="109" ht="15.75" customHeight="1">
      <c r="A109" s="171">
        <f t="shared" si="1"/>
        <v>163</v>
      </c>
      <c r="B109" s="171">
        <f t="shared" si="2"/>
        <v>14</v>
      </c>
      <c r="C109" s="176">
        <f>EDATE(RCD,A108)</f>
        <v>47482</v>
      </c>
      <c r="D109" s="171">
        <f>Age_At_Entry+Cashflows_HIST!B109-1</f>
        <v>48</v>
      </c>
      <c r="E109" s="175">
        <f>IF(AND(C109&lt;=Last_Prem,MOD(A108,Mode)=0,C109&gt;INPUT!$C$13,A109&lt;=Revival!$C$11),Mod_Prem,0)</f>
        <v>0</v>
      </c>
      <c r="F109" s="177">
        <f>E109*VLOOKUP(B109,'Pre-Calculation'!$H$1:$I$31,2,FALSE)</f>
        <v>0</v>
      </c>
      <c r="G109" s="177">
        <f>IF(B109&lt;PT+1,VLOOKUP(B109,'Pre-Calculation'!$H$1:$L$32,3,FALSE)+VLOOKUP(B109,'Pre-Calculation'!$H$1:$L$32,4,FALSE)*'Pre-Calculation'!$D$7,0)</f>
        <v>0</v>
      </c>
      <c r="H109" s="175">
        <f>(E109-(F109+G109)*(1+Tax)+N108)</f>
        <v>3023356.059</v>
      </c>
      <c r="I109" s="175">
        <f>IF(B109&lt;PT+1,VLOOKUP(D109,'Pre-Calculation'!$N$3:$P$79,IF(INPUT!$C$4="M",2,3),FALSE)*(J109/1000)*(1/12),0)</f>
        <v>0</v>
      </c>
      <c r="J109" s="175">
        <f t="shared" si="3"/>
        <v>0</v>
      </c>
      <c r="K109" s="175">
        <f>(IF('Pre-Calculation'!$D$17="Type 4 a",MAX(SA,H109,1.05*Q109),IF('Pre-Calculation'!$D$17="Type 4 c",H109,IF('Pre-Calculation'!$D$17="Type 4 d",SA+H109,IF('Pre-Calculation'!$D$17="Type 4 e",MAX(SA,H109),IF('Pre-Calculation'!$D$17="Type 4 f",SA,IF('Pre-Calculation'!$D$17="Type 4 g",1000+H109,IF('Pre-Calculation'!$D$17="Type 4 h",SA+V109,IF('Pre-Calculation'!$D$17="Type 4 i",MAX(H109,Q109),IF('Pre-Calculation'!$D$17="Type 4 k",MAX(H109,1.01*Q109),IF('Pre-Calculation'!$D$17="Type 4 m",MAX(105%*Q109,SA+H109),IF('Pre-Calculation'!$D$17="Type 4 o",MAX(SA,105%*Q109)+V109+X109,IF('Pre-Calculation'!$D$17="Type 5",0)))))))))))))*IF(AND(A109&lt;Revival!$C$4,C109&gt;Revival!$D$12),PUP,1)</f>
        <v>3023356.059</v>
      </c>
      <c r="L109" s="175">
        <f>H109-I109*(1+Tax)</f>
        <v>3023356.059</v>
      </c>
      <c r="M109" s="175">
        <f>L109*(1+GROWTH_RATE_HIST)</f>
        <v>3056390.18</v>
      </c>
      <c r="N109" s="175">
        <f>M109+IF(MOD(A109,B109)=0,VLOOKUP(B109,'Pre-Calculation'!$H$1:$L$31,5,FALSE),0)*IF('Pre-Calculation'!$D$16="% OF FV",M109,IF(OR('Pre-Calculation'!$D$16="% OF AFV(24M)",'Pre-Calculation'!$D$16="% OF AFV(8Q)"),AVERAGE( $M86:$M109),IF('Pre-Calculation'!$D$16="% OF AFV(12M)",AVERAGE($M98:M109),IF('Pre-Calculation'!$D$16="% OF AFV(36M)",AVERAGE($M74:M109)))))</f>
        <v>3056390.18</v>
      </c>
      <c r="O109" s="175">
        <f t="shared" si="4"/>
        <v>3056390.18</v>
      </c>
      <c r="P109" s="175">
        <f>IF('Pre-Calculation'!$D$17="Type 4 a",MAX(SA,N109,1.05*Q109),IF('Pre-Calculation'!$D$17="Type 4 c",N109,IF('Pre-Calculation'!$D$17="Type 4 d",SA+N109,IF('Pre-Calculation'!$D$17="Type 4 e",MAX(SA,N109),IF('Pre-Calculation'!$D$17="Type 4 f",SA,IF('Pre-Calculation'!$D$17="Type 4 g",1000+N109,IF('Pre-Calculation'!$D$17="Type 4 h",SA+V109,IF('Pre-Calculation'!$D$17="Type 4 i",MAX(N109,Q109),IF('Pre-Calculation'!$D$17="Type 4 k",MAX(N109,1.01*Q109),IF('Pre-Calculation'!$D$17="Type 4 m",MAX(105%*Q109,SA+N109),IF('Pre-Calculation'!$D$17="Type 4 o",MAX(SA,105%*Q109)+V109+X109,IF('Pre-Calculation'!$D$17="Type 5",0))))))))))))</f>
        <v>3056390.18</v>
      </c>
      <c r="Q109" s="175">
        <f t="shared" si="5"/>
        <v>1000000</v>
      </c>
      <c r="R109" s="119">
        <f>L109*(1+GROWTH_RATE)*FMC</f>
        <v>3421.297906</v>
      </c>
      <c r="S109" s="112"/>
      <c r="T109" s="175">
        <f>-E109+IF(A108=INPUT!$C$11*12,N109,0)</f>
        <v>0</v>
      </c>
      <c r="U109" s="112"/>
      <c r="V109" s="179">
        <f t="array" ref="V109">NPV('Pre-Calculation'!$E$20,$E110:E$246)</f>
        <v>0</v>
      </c>
      <c r="W109" s="171">
        <f>10%*SA</f>
        <v>100000</v>
      </c>
      <c r="X109" s="179">
        <f t="array" ref="X109">NPV('Pre-Calculation'!$E$20,W110:W119)</f>
        <v>969592.8037</v>
      </c>
      <c r="Y109" s="12"/>
      <c r="Z109" s="12"/>
    </row>
    <row r="110" ht="15.75" customHeight="1">
      <c r="A110" s="171">
        <f t="shared" si="1"/>
        <v>164</v>
      </c>
      <c r="B110" s="171">
        <f t="shared" si="2"/>
        <v>14</v>
      </c>
      <c r="C110" s="176">
        <f>EDATE(RCD,A109)</f>
        <v>47513</v>
      </c>
      <c r="D110" s="171">
        <f>Age_At_Entry+Cashflows_HIST!B110-1</f>
        <v>48</v>
      </c>
      <c r="E110" s="175">
        <f>IF(AND(C110&lt;=Last_Prem,MOD(A109,Mode)=0,C110&gt;INPUT!$C$13,A110&lt;=Revival!$C$11),Mod_Prem,0)</f>
        <v>0</v>
      </c>
      <c r="F110" s="177">
        <f>E110*VLOOKUP(B110,'Pre-Calculation'!$H$1:$I$31,2,FALSE)</f>
        <v>0</v>
      </c>
      <c r="G110" s="177">
        <f>IF(B110&lt;PT+1,VLOOKUP(B110,'Pre-Calculation'!$H$1:$L$32,3,FALSE)+VLOOKUP(B110,'Pre-Calculation'!$H$1:$L$32,4,FALSE)*'Pre-Calculation'!$D$7,0)</f>
        <v>0</v>
      </c>
      <c r="H110" s="175">
        <f>(E110-(F110+G110)*(1+Tax)+N109)</f>
        <v>3056390.18</v>
      </c>
      <c r="I110" s="175">
        <f>IF(B110&lt;PT+1,VLOOKUP(D110,'Pre-Calculation'!$N$3:$P$79,IF(INPUT!$C$4="M",2,3),FALSE)*(J110/1000)*(1/12),0)</f>
        <v>0</v>
      </c>
      <c r="J110" s="175">
        <f t="shared" si="3"/>
        <v>0</v>
      </c>
      <c r="K110" s="175">
        <f>(IF('Pre-Calculation'!$D$17="Type 4 a",MAX(SA,H110,1.05*Q110),IF('Pre-Calculation'!$D$17="Type 4 c",H110,IF('Pre-Calculation'!$D$17="Type 4 d",SA+H110,IF('Pre-Calculation'!$D$17="Type 4 e",MAX(SA,H110),IF('Pre-Calculation'!$D$17="Type 4 f",SA,IF('Pre-Calculation'!$D$17="Type 4 g",1000+H110,IF('Pre-Calculation'!$D$17="Type 4 h",SA+V110,IF('Pre-Calculation'!$D$17="Type 4 i",MAX(H110,Q110),IF('Pre-Calculation'!$D$17="Type 4 k",MAX(H110,1.01*Q110),IF('Pre-Calculation'!$D$17="Type 4 m",MAX(105%*Q110,SA+H110),IF('Pre-Calculation'!$D$17="Type 4 o",MAX(SA,105%*Q110)+V110+X110,IF('Pre-Calculation'!$D$17="Type 5",0)))))))))))))*IF(AND(A110&lt;Revival!$C$4,C110&gt;Revival!$D$12),PUP,1)</f>
        <v>3056390.18</v>
      </c>
      <c r="L110" s="175">
        <f>H110-I110*(1+Tax)</f>
        <v>3056390.18</v>
      </c>
      <c r="M110" s="175">
        <f>L110*(1+GROWTH_RATE_HIST)</f>
        <v>3089785.241</v>
      </c>
      <c r="N110" s="175">
        <f>M110+IF(MOD(A110,B110)=0,VLOOKUP(B110,'Pre-Calculation'!$H$1:$L$31,5,FALSE),0)*IF('Pre-Calculation'!$D$16="% OF FV",M110,IF(OR('Pre-Calculation'!$D$16="% OF AFV(24M)",'Pre-Calculation'!$D$16="% OF AFV(8Q)"),AVERAGE( $M87:$M110),IF('Pre-Calculation'!$D$16="% OF AFV(12M)",AVERAGE($M99:M110),IF('Pre-Calculation'!$D$16="% OF AFV(36M)",AVERAGE($M75:M110)))))</f>
        <v>3089785.241</v>
      </c>
      <c r="O110" s="175">
        <f t="shared" si="4"/>
        <v>3089785.241</v>
      </c>
      <c r="P110" s="175">
        <f>IF('Pre-Calculation'!$D$17="Type 4 a",MAX(SA,N110,1.05*Q110),IF('Pre-Calculation'!$D$17="Type 4 c",N110,IF('Pre-Calculation'!$D$17="Type 4 d",SA+N110,IF('Pre-Calculation'!$D$17="Type 4 e",MAX(SA,N110),IF('Pre-Calculation'!$D$17="Type 4 f",SA,IF('Pre-Calculation'!$D$17="Type 4 g",1000+N110,IF('Pre-Calculation'!$D$17="Type 4 h",SA+V110,IF('Pre-Calculation'!$D$17="Type 4 i",MAX(N110,Q110),IF('Pre-Calculation'!$D$17="Type 4 k",MAX(N110,1.01*Q110),IF('Pre-Calculation'!$D$17="Type 4 m",MAX(105%*Q110,SA+N110),IF('Pre-Calculation'!$D$17="Type 4 o",MAX(SA,105%*Q110)+V110+X110,IF('Pre-Calculation'!$D$17="Type 5",0))))))))))))</f>
        <v>3089785.241</v>
      </c>
      <c r="Q110" s="175">
        <f t="shared" si="5"/>
        <v>1000000</v>
      </c>
      <c r="R110" s="119">
        <f>L110*(1+GROWTH_RATE)*FMC</f>
        <v>3458.680062</v>
      </c>
      <c r="S110" s="112"/>
      <c r="T110" s="175">
        <f>-E110+IF(A109=INPUT!$C$11*12,N110,0)</f>
        <v>0</v>
      </c>
      <c r="U110" s="112"/>
      <c r="V110" s="179">
        <f t="array" ref="V110">NPV('Pre-Calculation'!$E$20,$E111:E$246)</f>
        <v>0</v>
      </c>
      <c r="W110" s="171">
        <f>10%*SA</f>
        <v>100000</v>
      </c>
      <c r="X110" s="179">
        <f t="array" ref="X110">NPV('Pre-Calculation'!$E$20,W111:W120)</f>
        <v>969592.8037</v>
      </c>
      <c r="Y110" s="12"/>
      <c r="Z110" s="12"/>
    </row>
    <row r="111" ht="15.75" customHeight="1">
      <c r="A111" s="171">
        <f t="shared" si="1"/>
        <v>165</v>
      </c>
      <c r="B111" s="171">
        <f t="shared" si="2"/>
        <v>14</v>
      </c>
      <c r="C111" s="176">
        <f>EDATE(RCD,A110)</f>
        <v>47542</v>
      </c>
      <c r="D111" s="171">
        <f>Age_At_Entry+Cashflows_HIST!B111-1</f>
        <v>48</v>
      </c>
      <c r="E111" s="175">
        <f>IF(AND(C111&lt;=Last_Prem,MOD(A110,Mode)=0,C111&gt;INPUT!$C$13,A111&lt;=Revival!$C$11),Mod_Prem,0)</f>
        <v>0</v>
      </c>
      <c r="F111" s="177">
        <f>E111*VLOOKUP(B111,'Pre-Calculation'!$H$1:$I$31,2,FALSE)</f>
        <v>0</v>
      </c>
      <c r="G111" s="177">
        <f>IF(B111&lt;PT+1,VLOOKUP(B111,'Pre-Calculation'!$H$1:$L$32,3,FALSE)+VLOOKUP(B111,'Pre-Calculation'!$H$1:$L$32,4,FALSE)*'Pre-Calculation'!$D$7,0)</f>
        <v>0</v>
      </c>
      <c r="H111" s="175">
        <f>(E111-(F111+G111)*(1+Tax)+N110)</f>
        <v>3089785.241</v>
      </c>
      <c r="I111" s="175">
        <f>IF(B111&lt;PT+1,VLOOKUP(D111,'Pre-Calculation'!$N$3:$P$79,IF(INPUT!$C$4="M",2,3),FALSE)*(J111/1000)*(1/12),0)</f>
        <v>0</v>
      </c>
      <c r="J111" s="175">
        <f t="shared" si="3"/>
        <v>0</v>
      </c>
      <c r="K111" s="175">
        <f>(IF('Pre-Calculation'!$D$17="Type 4 a",MAX(SA,H111,1.05*Q111),IF('Pre-Calculation'!$D$17="Type 4 c",H111,IF('Pre-Calculation'!$D$17="Type 4 d",SA+H111,IF('Pre-Calculation'!$D$17="Type 4 e",MAX(SA,H111),IF('Pre-Calculation'!$D$17="Type 4 f",SA,IF('Pre-Calculation'!$D$17="Type 4 g",1000+H111,IF('Pre-Calculation'!$D$17="Type 4 h",SA+V111,IF('Pre-Calculation'!$D$17="Type 4 i",MAX(H111,Q111),IF('Pre-Calculation'!$D$17="Type 4 k",MAX(H111,1.01*Q111),IF('Pre-Calculation'!$D$17="Type 4 m",MAX(105%*Q111,SA+H111),IF('Pre-Calculation'!$D$17="Type 4 o",MAX(SA,105%*Q111)+V111+X111,IF('Pre-Calculation'!$D$17="Type 5",0)))))))))))))*IF(AND(A111&lt;Revival!$C$4,C111&gt;Revival!$D$12),PUP,1)</f>
        <v>3089785.241</v>
      </c>
      <c r="L111" s="175">
        <f>H111-I111*(1+Tax)</f>
        <v>3089785.241</v>
      </c>
      <c r="M111" s="175">
        <f>L111*(1+GROWTH_RATE_HIST)</f>
        <v>3123545.187</v>
      </c>
      <c r="N111" s="175">
        <f>M111+IF(MOD(A111,B111)=0,VLOOKUP(B111,'Pre-Calculation'!$H$1:$L$31,5,FALSE),0)*IF('Pre-Calculation'!$D$16="% OF FV",M111,IF(OR('Pre-Calculation'!$D$16="% OF AFV(24M)",'Pre-Calculation'!$D$16="% OF AFV(8Q)"),AVERAGE( $M88:$M111),IF('Pre-Calculation'!$D$16="% OF AFV(12M)",AVERAGE($M100:M111),IF('Pre-Calculation'!$D$16="% OF AFV(36M)",AVERAGE($M76:M111)))))</f>
        <v>3123545.187</v>
      </c>
      <c r="O111" s="175">
        <f t="shared" si="4"/>
        <v>3123545.187</v>
      </c>
      <c r="P111" s="175">
        <f>IF('Pre-Calculation'!$D$17="Type 4 a",MAX(SA,N111,1.05*Q111),IF('Pre-Calculation'!$D$17="Type 4 c",N111,IF('Pre-Calculation'!$D$17="Type 4 d",SA+N111,IF('Pre-Calculation'!$D$17="Type 4 e",MAX(SA,N111),IF('Pre-Calculation'!$D$17="Type 4 f",SA,IF('Pre-Calculation'!$D$17="Type 4 g",1000+N111,IF('Pre-Calculation'!$D$17="Type 4 h",SA+V111,IF('Pre-Calculation'!$D$17="Type 4 i",MAX(N111,Q111),IF('Pre-Calculation'!$D$17="Type 4 k",MAX(N111,1.01*Q111),IF('Pre-Calculation'!$D$17="Type 4 m",MAX(105%*Q111,SA+N111),IF('Pre-Calculation'!$D$17="Type 4 o",MAX(SA,105%*Q111)+V111+X111,IF('Pre-Calculation'!$D$17="Type 5",0))))))))))))</f>
        <v>3123545.187</v>
      </c>
      <c r="Q111" s="175">
        <f t="shared" si="5"/>
        <v>1000000</v>
      </c>
      <c r="R111" s="119">
        <f>L111*(1+GROWTH_RATE)*FMC</f>
        <v>3496.470667</v>
      </c>
      <c r="S111" s="112"/>
      <c r="T111" s="175">
        <f>-E111+IF(A110=INPUT!$C$11*12,N111,0)</f>
        <v>0</v>
      </c>
      <c r="U111" s="112"/>
      <c r="V111" s="179">
        <f t="array" ref="V111">NPV('Pre-Calculation'!$E$20,$E112:E$246)</f>
        <v>0</v>
      </c>
      <c r="W111" s="171">
        <f>10%*SA</f>
        <v>100000</v>
      </c>
      <c r="X111" s="179">
        <f t="array" ref="X111">NPV('Pre-Calculation'!$E$20,W112:W121)</f>
        <v>969592.8037</v>
      </c>
      <c r="Y111" s="12"/>
      <c r="Z111" s="12"/>
    </row>
    <row r="112" ht="15.75" customHeight="1">
      <c r="A112" s="171">
        <f t="shared" si="1"/>
        <v>166</v>
      </c>
      <c r="B112" s="171">
        <f t="shared" si="2"/>
        <v>14</v>
      </c>
      <c r="C112" s="176">
        <f>EDATE(RCD,A111)</f>
        <v>47572</v>
      </c>
      <c r="D112" s="171">
        <f>Age_At_Entry+Cashflows_HIST!B112-1</f>
        <v>48</v>
      </c>
      <c r="E112" s="175">
        <f>IF(AND(C112&lt;=Last_Prem,MOD(A111,Mode)=0,C112&gt;INPUT!$C$13,A112&lt;=Revival!$C$11),Mod_Prem,0)</f>
        <v>0</v>
      </c>
      <c r="F112" s="177">
        <f>E112*VLOOKUP(B112,'Pre-Calculation'!$H$1:$I$31,2,FALSE)</f>
        <v>0</v>
      </c>
      <c r="G112" s="177">
        <f>IF(B112&lt;PT+1,VLOOKUP(B112,'Pre-Calculation'!$H$1:$L$32,3,FALSE)+VLOOKUP(B112,'Pre-Calculation'!$H$1:$L$32,4,FALSE)*'Pre-Calculation'!$D$7,0)</f>
        <v>0</v>
      </c>
      <c r="H112" s="175">
        <f>(E112-(F112+G112)*(1+Tax)+N111)</f>
        <v>3123545.187</v>
      </c>
      <c r="I112" s="175">
        <f>IF(B112&lt;PT+1,VLOOKUP(D112,'Pre-Calculation'!$N$3:$P$79,IF(INPUT!$C$4="M",2,3),FALSE)*(J112/1000)*(1/12),0)</f>
        <v>0</v>
      </c>
      <c r="J112" s="175">
        <f t="shared" si="3"/>
        <v>0</v>
      </c>
      <c r="K112" s="175">
        <f>(IF('Pre-Calculation'!$D$17="Type 4 a",MAX(SA,H112,1.05*Q112),IF('Pre-Calculation'!$D$17="Type 4 c",H112,IF('Pre-Calculation'!$D$17="Type 4 d",SA+H112,IF('Pre-Calculation'!$D$17="Type 4 e",MAX(SA,H112),IF('Pre-Calculation'!$D$17="Type 4 f",SA,IF('Pre-Calculation'!$D$17="Type 4 g",1000+H112,IF('Pre-Calculation'!$D$17="Type 4 h",SA+V112,IF('Pre-Calculation'!$D$17="Type 4 i",MAX(H112,Q112),IF('Pre-Calculation'!$D$17="Type 4 k",MAX(H112,1.01*Q112),IF('Pre-Calculation'!$D$17="Type 4 m",MAX(105%*Q112,SA+H112),IF('Pre-Calculation'!$D$17="Type 4 o",MAX(SA,105%*Q112)+V112+X112,IF('Pre-Calculation'!$D$17="Type 5",0)))))))))))))*IF(AND(A112&lt;Revival!$C$4,C112&gt;Revival!$D$12),PUP,1)</f>
        <v>3123545.187</v>
      </c>
      <c r="L112" s="175">
        <f>H112-I112*(1+Tax)</f>
        <v>3123545.187</v>
      </c>
      <c r="M112" s="175">
        <f>L112*(1+GROWTH_RATE_HIST)</f>
        <v>3157674.005</v>
      </c>
      <c r="N112" s="175">
        <f>M112+IF(MOD(A112,B112)=0,VLOOKUP(B112,'Pre-Calculation'!$H$1:$L$31,5,FALSE),0)*IF('Pre-Calculation'!$D$16="% OF FV",M112,IF(OR('Pre-Calculation'!$D$16="% OF AFV(24M)",'Pre-Calculation'!$D$16="% OF AFV(8Q)"),AVERAGE( $M89:$M112),IF('Pre-Calculation'!$D$16="% OF AFV(12M)",AVERAGE($M101:M112),IF('Pre-Calculation'!$D$16="% OF AFV(36M)",AVERAGE($M77:M112)))))</f>
        <v>3157674.005</v>
      </c>
      <c r="O112" s="175">
        <f t="shared" si="4"/>
        <v>3157674.005</v>
      </c>
      <c r="P112" s="175">
        <f>IF('Pre-Calculation'!$D$17="Type 4 a",MAX(SA,N112,1.05*Q112),IF('Pre-Calculation'!$D$17="Type 4 c",N112,IF('Pre-Calculation'!$D$17="Type 4 d",SA+N112,IF('Pre-Calculation'!$D$17="Type 4 e",MAX(SA,N112),IF('Pre-Calculation'!$D$17="Type 4 f",SA,IF('Pre-Calculation'!$D$17="Type 4 g",1000+N112,IF('Pre-Calculation'!$D$17="Type 4 h",SA+V112,IF('Pre-Calculation'!$D$17="Type 4 i",MAX(N112,Q112),IF('Pre-Calculation'!$D$17="Type 4 k",MAX(N112,1.01*Q112),IF('Pre-Calculation'!$D$17="Type 4 m",MAX(105%*Q112,SA+N112),IF('Pre-Calculation'!$D$17="Type 4 o",MAX(SA,105%*Q112)+V112+X112,IF('Pre-Calculation'!$D$17="Type 5",0))))))))))))</f>
        <v>3157674.005</v>
      </c>
      <c r="Q112" s="175">
        <f t="shared" si="5"/>
        <v>1000000</v>
      </c>
      <c r="R112" s="119">
        <f>L112*(1+GROWTH_RATE)*FMC</f>
        <v>3534.674183</v>
      </c>
      <c r="S112" s="112"/>
      <c r="T112" s="175">
        <f>-E112+IF(A111=INPUT!$C$11*12,N112,0)</f>
        <v>0</v>
      </c>
      <c r="U112" s="112"/>
      <c r="V112" s="179">
        <f t="array" ref="V112">NPV('Pre-Calculation'!$E$20,$E113:E$246)</f>
        <v>0</v>
      </c>
      <c r="W112" s="171">
        <f>10%*SA</f>
        <v>100000</v>
      </c>
      <c r="X112" s="179">
        <f t="array" ref="X112">NPV('Pre-Calculation'!$E$20,W113:W122)</f>
        <v>969592.8037</v>
      </c>
      <c r="Y112" s="12"/>
      <c r="Z112" s="12"/>
    </row>
    <row r="113" ht="15.75" customHeight="1">
      <c r="A113" s="171">
        <f t="shared" si="1"/>
        <v>167</v>
      </c>
      <c r="B113" s="171">
        <f t="shared" si="2"/>
        <v>14</v>
      </c>
      <c r="C113" s="176">
        <f>EDATE(RCD,A112)</f>
        <v>47603</v>
      </c>
      <c r="D113" s="171">
        <f>Age_At_Entry+Cashflows_HIST!B113-1</f>
        <v>48</v>
      </c>
      <c r="E113" s="175">
        <f>IF(AND(C113&lt;=Last_Prem,MOD(A112,Mode)=0,C113&gt;INPUT!$C$13,A113&lt;=Revival!$C$11),Mod_Prem,0)</f>
        <v>0</v>
      </c>
      <c r="F113" s="177">
        <f>E113*VLOOKUP(B113,'Pre-Calculation'!$H$1:$I$31,2,FALSE)</f>
        <v>0</v>
      </c>
      <c r="G113" s="177">
        <f>IF(B113&lt;PT+1,VLOOKUP(B113,'Pre-Calculation'!$H$1:$L$32,3,FALSE)+VLOOKUP(B113,'Pre-Calculation'!$H$1:$L$32,4,FALSE)*'Pre-Calculation'!$D$7,0)</f>
        <v>0</v>
      </c>
      <c r="H113" s="175">
        <f>(E113-(F113+G113)*(1+Tax)+N112)</f>
        <v>3157674.005</v>
      </c>
      <c r="I113" s="175">
        <f>IF(B113&lt;PT+1,VLOOKUP(D113,'Pre-Calculation'!$N$3:$P$79,IF(INPUT!$C$4="M",2,3),FALSE)*(J113/1000)*(1/12),0)</f>
        <v>0</v>
      </c>
      <c r="J113" s="175">
        <f t="shared" si="3"/>
        <v>0</v>
      </c>
      <c r="K113" s="175">
        <f>(IF('Pre-Calculation'!$D$17="Type 4 a",MAX(SA,H113,1.05*Q113),IF('Pre-Calculation'!$D$17="Type 4 c",H113,IF('Pre-Calculation'!$D$17="Type 4 d",SA+H113,IF('Pre-Calculation'!$D$17="Type 4 e",MAX(SA,H113),IF('Pre-Calculation'!$D$17="Type 4 f",SA,IF('Pre-Calculation'!$D$17="Type 4 g",1000+H113,IF('Pre-Calculation'!$D$17="Type 4 h",SA+V113,IF('Pre-Calculation'!$D$17="Type 4 i",MAX(H113,Q113),IF('Pre-Calculation'!$D$17="Type 4 k",MAX(H113,1.01*Q113),IF('Pre-Calculation'!$D$17="Type 4 m",MAX(105%*Q113,SA+H113),IF('Pre-Calculation'!$D$17="Type 4 o",MAX(SA,105%*Q113)+V113+X113,IF('Pre-Calculation'!$D$17="Type 5",0)))))))))))))*IF(AND(A113&lt;Revival!$C$4,C113&gt;Revival!$D$12),PUP,1)</f>
        <v>3157674.005</v>
      </c>
      <c r="L113" s="175">
        <f>H113-I113*(1+Tax)</f>
        <v>3157674.005</v>
      </c>
      <c r="M113" s="175">
        <f>L113*(1+GROWTH_RATE_HIST)</f>
        <v>3192175.725</v>
      </c>
      <c r="N113" s="175">
        <f>M113+IF(MOD(A113,B113)=0,VLOOKUP(B113,'Pre-Calculation'!$H$1:$L$31,5,FALSE),0)*IF('Pre-Calculation'!$D$16="% OF FV",M113,IF(OR('Pre-Calculation'!$D$16="% OF AFV(24M)",'Pre-Calculation'!$D$16="% OF AFV(8Q)"),AVERAGE( $M90:$M113),IF('Pre-Calculation'!$D$16="% OF AFV(12M)",AVERAGE($M102:M113),IF('Pre-Calculation'!$D$16="% OF AFV(36M)",AVERAGE($M78:M113)))))</f>
        <v>3192175.725</v>
      </c>
      <c r="O113" s="175">
        <f t="shared" si="4"/>
        <v>3192175.725</v>
      </c>
      <c r="P113" s="175">
        <f>IF('Pre-Calculation'!$D$17="Type 4 a",MAX(SA,N113,1.05*Q113),IF('Pre-Calculation'!$D$17="Type 4 c",N113,IF('Pre-Calculation'!$D$17="Type 4 d",SA+N113,IF('Pre-Calculation'!$D$17="Type 4 e",MAX(SA,N113),IF('Pre-Calculation'!$D$17="Type 4 f",SA,IF('Pre-Calculation'!$D$17="Type 4 g",1000+N113,IF('Pre-Calculation'!$D$17="Type 4 h",SA+V113,IF('Pre-Calculation'!$D$17="Type 4 i",MAX(N113,Q113),IF('Pre-Calculation'!$D$17="Type 4 k",MAX(N113,1.01*Q113),IF('Pre-Calculation'!$D$17="Type 4 m",MAX(105%*Q113,SA+N113),IF('Pre-Calculation'!$D$17="Type 4 o",MAX(SA,105%*Q113)+V113+X113,IF('Pre-Calculation'!$D$17="Type 5",0))))))))))))</f>
        <v>3192175.725</v>
      </c>
      <c r="Q113" s="175">
        <f t="shared" si="5"/>
        <v>1000000</v>
      </c>
      <c r="R113" s="119">
        <f>L113*(1+GROWTH_RATE)*FMC</f>
        <v>3573.295123</v>
      </c>
      <c r="S113" s="112"/>
      <c r="T113" s="175">
        <f>-E113+IF(A112=INPUT!$C$11*12,N113,0)</f>
        <v>0</v>
      </c>
      <c r="U113" s="112"/>
      <c r="V113" s="179">
        <f t="array" ref="V113">NPV('Pre-Calculation'!$E$20,$E114:E$246)</f>
        <v>0</v>
      </c>
      <c r="W113" s="171">
        <f>10%*SA</f>
        <v>100000</v>
      </c>
      <c r="X113" s="179">
        <f t="array" ref="X113">NPV('Pre-Calculation'!$E$20,W114:W123)</f>
        <v>969592.8037</v>
      </c>
      <c r="Y113" s="12"/>
      <c r="Z113" s="12"/>
    </row>
    <row r="114" ht="15.75" customHeight="1">
      <c r="A114" s="171">
        <f t="shared" si="1"/>
        <v>168</v>
      </c>
      <c r="B114" s="171">
        <f t="shared" si="2"/>
        <v>14</v>
      </c>
      <c r="C114" s="176">
        <f>EDATE(RCD,A113)</f>
        <v>47633</v>
      </c>
      <c r="D114" s="171">
        <f>Age_At_Entry+Cashflows_HIST!B114-1</f>
        <v>48</v>
      </c>
      <c r="E114" s="175">
        <f>IF(AND(C114&lt;=Last_Prem,MOD(A113,Mode)=0,C114&gt;INPUT!$C$13,A114&lt;=Revival!$C$11),Mod_Prem,0)</f>
        <v>0</v>
      </c>
      <c r="F114" s="177">
        <f>E114*VLOOKUP(B114,'Pre-Calculation'!$H$1:$I$31,2,FALSE)</f>
        <v>0</v>
      </c>
      <c r="G114" s="177">
        <f>IF(B114&lt;PT+1,VLOOKUP(B114,'Pre-Calculation'!$H$1:$L$32,3,FALSE)+VLOOKUP(B114,'Pre-Calculation'!$H$1:$L$32,4,FALSE)*'Pre-Calculation'!$D$7,0)</f>
        <v>0</v>
      </c>
      <c r="H114" s="175">
        <f>(E114-(F114+G114)*(1+Tax)+N113)</f>
        <v>3192175.725</v>
      </c>
      <c r="I114" s="175">
        <f>IF(B114&lt;PT+1,VLOOKUP(D114,'Pre-Calculation'!$N$3:$P$79,IF(INPUT!$C$4="M",2,3),FALSE)*(J114/1000)*(1/12),0)</f>
        <v>0</v>
      </c>
      <c r="J114" s="175">
        <f t="shared" si="3"/>
        <v>0</v>
      </c>
      <c r="K114" s="175">
        <f>(IF('Pre-Calculation'!$D$17="Type 4 a",MAX(SA,H114,1.05*Q114),IF('Pre-Calculation'!$D$17="Type 4 c",H114,IF('Pre-Calculation'!$D$17="Type 4 d",SA+H114,IF('Pre-Calculation'!$D$17="Type 4 e",MAX(SA,H114),IF('Pre-Calculation'!$D$17="Type 4 f",SA,IF('Pre-Calculation'!$D$17="Type 4 g",1000+H114,IF('Pre-Calculation'!$D$17="Type 4 h",SA+V114,IF('Pre-Calculation'!$D$17="Type 4 i",MAX(H114,Q114),IF('Pre-Calculation'!$D$17="Type 4 k",MAX(H114,1.01*Q114),IF('Pre-Calculation'!$D$17="Type 4 m",MAX(105%*Q114,SA+H114),IF('Pre-Calculation'!$D$17="Type 4 o",MAX(SA,105%*Q114)+V114+X114,IF('Pre-Calculation'!$D$17="Type 5",0)))))))))))))*IF(AND(A114&lt;Revival!$C$4,C114&gt;Revival!$D$12),PUP,1)</f>
        <v>3192175.725</v>
      </c>
      <c r="L114" s="175">
        <f>H114-I114*(1+Tax)</f>
        <v>3192175.725</v>
      </c>
      <c r="M114" s="175">
        <f>L114*(1+GROWTH_RATE_HIST)</f>
        <v>3227054.422</v>
      </c>
      <c r="N114" s="175">
        <f>M114+IF(MOD(A114,B114)=0,VLOOKUP(B114,'Pre-Calculation'!$H$1:$L$31,5,FALSE),0)*IF('Pre-Calculation'!$D$16="% OF FV",M114,IF(OR('Pre-Calculation'!$D$16="% OF AFV(24M)",'Pre-Calculation'!$D$16="% OF AFV(8Q)"),AVERAGE( $M91:$M114),IF('Pre-Calculation'!$D$16="% OF AFV(12M)",AVERAGE($M103:M114),IF('Pre-Calculation'!$D$16="% OF AFV(36M)",AVERAGE($M79:M114)))))</f>
        <v>3227054.422</v>
      </c>
      <c r="O114" s="175">
        <f t="shared" si="4"/>
        <v>3227054.422</v>
      </c>
      <c r="P114" s="175">
        <f>IF('Pre-Calculation'!$D$17="Type 4 a",MAX(SA,N114,1.05*Q114),IF('Pre-Calculation'!$D$17="Type 4 c",N114,IF('Pre-Calculation'!$D$17="Type 4 d",SA+N114,IF('Pre-Calculation'!$D$17="Type 4 e",MAX(SA,N114),IF('Pre-Calculation'!$D$17="Type 4 f",SA,IF('Pre-Calculation'!$D$17="Type 4 g",1000+N114,IF('Pre-Calculation'!$D$17="Type 4 h",SA+V114,IF('Pre-Calculation'!$D$17="Type 4 i",MAX(N114,Q114),IF('Pre-Calculation'!$D$17="Type 4 k",MAX(N114,1.01*Q114),IF('Pre-Calculation'!$D$17="Type 4 m",MAX(105%*Q114,SA+N114),IF('Pre-Calculation'!$D$17="Type 4 o",MAX(SA,105%*Q114)+V114+X114,IF('Pre-Calculation'!$D$17="Type 5",0))))))))))))</f>
        <v>3227054.422</v>
      </c>
      <c r="Q114" s="175">
        <f t="shared" si="5"/>
        <v>1000000</v>
      </c>
      <c r="R114" s="119">
        <f>L114*(1+GROWTH_RATE)*FMC</f>
        <v>3612.338048</v>
      </c>
      <c r="S114" s="112"/>
      <c r="T114" s="175">
        <f>-E114+IF(A113=INPUT!$C$11*12,N114,0)</f>
        <v>0</v>
      </c>
      <c r="U114" s="112"/>
      <c r="V114" s="179">
        <f t="array" ref="V114">NPV('Pre-Calculation'!$E$20,$E115:E$246)</f>
        <v>0</v>
      </c>
      <c r="W114" s="171">
        <f>10%*SA</f>
        <v>100000</v>
      </c>
      <c r="X114" s="179">
        <f t="array" ref="X114">NPV('Pre-Calculation'!$E$20,W115:W124)</f>
        <v>969592.8037</v>
      </c>
      <c r="Y114" s="12"/>
      <c r="Z114" s="12"/>
    </row>
    <row r="115" ht="15.75" customHeight="1">
      <c r="A115" s="171">
        <f t="shared" si="1"/>
        <v>169</v>
      </c>
      <c r="B115" s="171">
        <f t="shared" si="2"/>
        <v>15</v>
      </c>
      <c r="C115" s="176">
        <f>EDATE(RCD,A114)</f>
        <v>47664</v>
      </c>
      <c r="D115" s="171">
        <f>Age_At_Entry+Cashflows_HIST!B115-1</f>
        <v>49</v>
      </c>
      <c r="E115" s="175">
        <f>IF(AND(C115&lt;=Last_Prem,MOD(A114,Mode)=0,C115&gt;INPUT!$C$13,A115&lt;=Revival!$C$11),Mod_Prem,0)</f>
        <v>0</v>
      </c>
      <c r="F115" s="177">
        <f>E115*VLOOKUP(B115,'Pre-Calculation'!$H$1:$I$31,2,FALSE)</f>
        <v>0</v>
      </c>
      <c r="G115" s="177">
        <f>IF(B115&lt;PT+1,VLOOKUP(B115,'Pre-Calculation'!$H$1:$L$32,3,FALSE)+VLOOKUP(B115,'Pre-Calculation'!$H$1:$L$32,4,FALSE)*'Pre-Calculation'!$D$7,0)</f>
        <v>0</v>
      </c>
      <c r="H115" s="175">
        <f>(E115-(F115+G115)*(1+Tax)+N114)</f>
        <v>3227054.422</v>
      </c>
      <c r="I115" s="175">
        <f>IF(B115&lt;PT+1,VLOOKUP(D115,'Pre-Calculation'!$N$3:$P$79,IF(INPUT!$C$4="M",2,3),FALSE)*(J115/1000)*(1/12),0)</f>
        <v>0</v>
      </c>
      <c r="J115" s="175">
        <f t="shared" si="3"/>
        <v>0</v>
      </c>
      <c r="K115" s="175">
        <f>(IF('Pre-Calculation'!$D$17="Type 4 a",MAX(SA,H115,1.05*Q115),IF('Pre-Calculation'!$D$17="Type 4 c",H115,IF('Pre-Calculation'!$D$17="Type 4 d",SA+H115,IF('Pre-Calculation'!$D$17="Type 4 e",MAX(SA,H115),IF('Pre-Calculation'!$D$17="Type 4 f",SA,IF('Pre-Calculation'!$D$17="Type 4 g",1000+H115,IF('Pre-Calculation'!$D$17="Type 4 h",SA+V115,IF('Pre-Calculation'!$D$17="Type 4 i",MAX(H115,Q115),IF('Pre-Calculation'!$D$17="Type 4 k",MAX(H115,1.01*Q115),IF('Pre-Calculation'!$D$17="Type 4 m",MAX(105%*Q115,SA+H115),IF('Pre-Calculation'!$D$17="Type 4 o",MAX(SA,105%*Q115)+V115+X115,IF('Pre-Calculation'!$D$17="Type 5",0)))))))))))))*IF(AND(A115&lt;Revival!$C$4,C115&gt;Revival!$D$12),PUP,1)</f>
        <v>3227054.422</v>
      </c>
      <c r="L115" s="175">
        <f>H115-I115*(1+Tax)</f>
        <v>3227054.422</v>
      </c>
      <c r="M115" s="175">
        <f>L115*(1+GROWTH_RATE_HIST)</f>
        <v>3262314.213</v>
      </c>
      <c r="N115" s="175">
        <f>M115+IF(MOD(A115,B115)=0,VLOOKUP(B115,'Pre-Calculation'!$H$1:$L$31,5,FALSE),0)*IF('Pre-Calculation'!$D$16="% OF FV",M115,IF(OR('Pre-Calculation'!$D$16="% OF AFV(24M)",'Pre-Calculation'!$D$16="% OF AFV(8Q)"),AVERAGE( $M92:$M115),IF('Pre-Calculation'!$D$16="% OF AFV(12M)",AVERAGE($M104:M115),IF('Pre-Calculation'!$D$16="% OF AFV(36M)",AVERAGE($M80:M115)))))</f>
        <v>3262314.213</v>
      </c>
      <c r="O115" s="175">
        <f t="shared" si="4"/>
        <v>3262314.213</v>
      </c>
      <c r="P115" s="175">
        <f>IF('Pre-Calculation'!$D$17="Type 4 a",MAX(SA,N115,1.05*Q115),IF('Pre-Calculation'!$D$17="Type 4 c",N115,IF('Pre-Calculation'!$D$17="Type 4 d",SA+N115,IF('Pre-Calculation'!$D$17="Type 4 e",MAX(SA,N115),IF('Pre-Calculation'!$D$17="Type 4 f",SA,IF('Pre-Calculation'!$D$17="Type 4 g",1000+N115,IF('Pre-Calculation'!$D$17="Type 4 h",SA+V115,IF('Pre-Calculation'!$D$17="Type 4 i",MAX(N115,Q115),IF('Pre-Calculation'!$D$17="Type 4 k",MAX(N115,1.01*Q115),IF('Pre-Calculation'!$D$17="Type 4 m",MAX(105%*Q115,SA+N115),IF('Pre-Calculation'!$D$17="Type 4 o",MAX(SA,105%*Q115)+V115+X115,IF('Pre-Calculation'!$D$17="Type 5",0))))))))))))</f>
        <v>3262314.213</v>
      </c>
      <c r="Q115" s="175">
        <f t="shared" si="5"/>
        <v>1000000</v>
      </c>
      <c r="R115" s="119">
        <f>L115*(1+GROWTH_RATE)*FMC</f>
        <v>3651.807567</v>
      </c>
      <c r="S115" s="112"/>
      <c r="T115" s="175">
        <f>-E115+IF(A114=INPUT!$C$11*12,N115,0)</f>
        <v>0</v>
      </c>
      <c r="U115" s="112"/>
      <c r="V115" s="179">
        <f t="array" ref="V115">NPV('Pre-Calculation'!$E$20,$E116:E$246)</f>
        <v>0</v>
      </c>
      <c r="W115" s="171">
        <f>10%*SA</f>
        <v>100000</v>
      </c>
      <c r="X115" s="179">
        <f t="array" ref="X115">NPV('Pre-Calculation'!$E$20,W116:W125)</f>
        <v>969592.8037</v>
      </c>
      <c r="Y115" s="12"/>
      <c r="Z115" s="12"/>
    </row>
    <row r="116" ht="15.75" customHeight="1">
      <c r="A116" s="171">
        <f t="shared" si="1"/>
        <v>170</v>
      </c>
      <c r="B116" s="171">
        <f t="shared" si="2"/>
        <v>15</v>
      </c>
      <c r="C116" s="176">
        <f>EDATE(RCD,A115)</f>
        <v>47694</v>
      </c>
      <c r="D116" s="171">
        <f>Age_At_Entry+Cashflows_HIST!B116-1</f>
        <v>49</v>
      </c>
      <c r="E116" s="175">
        <f>IF(AND(C116&lt;=Last_Prem,MOD(A115,Mode)=0,C116&gt;INPUT!$C$13,A116&lt;=Revival!$C$11),Mod_Prem,0)</f>
        <v>0</v>
      </c>
      <c r="F116" s="177">
        <f>E116*VLOOKUP(B116,'Pre-Calculation'!$H$1:$I$31,2,FALSE)</f>
        <v>0</v>
      </c>
      <c r="G116" s="177">
        <f>IF(B116&lt;PT+1,VLOOKUP(B116,'Pre-Calculation'!$H$1:$L$32,3,FALSE)+VLOOKUP(B116,'Pre-Calculation'!$H$1:$L$32,4,FALSE)*'Pre-Calculation'!$D$7,0)</f>
        <v>0</v>
      </c>
      <c r="H116" s="175">
        <f>(E116-(F116+G116)*(1+Tax)+N115)</f>
        <v>3262314.213</v>
      </c>
      <c r="I116" s="175">
        <f>IF(B116&lt;PT+1,VLOOKUP(D116,'Pre-Calculation'!$N$3:$P$79,IF(INPUT!$C$4="M",2,3),FALSE)*(J116/1000)*(1/12),0)</f>
        <v>0</v>
      </c>
      <c r="J116" s="175">
        <f t="shared" si="3"/>
        <v>0</v>
      </c>
      <c r="K116" s="175">
        <f>(IF('Pre-Calculation'!$D$17="Type 4 a",MAX(SA,H116,1.05*Q116),IF('Pre-Calculation'!$D$17="Type 4 c",H116,IF('Pre-Calculation'!$D$17="Type 4 d",SA+H116,IF('Pre-Calculation'!$D$17="Type 4 e",MAX(SA,H116),IF('Pre-Calculation'!$D$17="Type 4 f",SA,IF('Pre-Calculation'!$D$17="Type 4 g",1000+H116,IF('Pre-Calculation'!$D$17="Type 4 h",SA+V116,IF('Pre-Calculation'!$D$17="Type 4 i",MAX(H116,Q116),IF('Pre-Calculation'!$D$17="Type 4 k",MAX(H116,1.01*Q116),IF('Pre-Calculation'!$D$17="Type 4 m",MAX(105%*Q116,SA+H116),IF('Pre-Calculation'!$D$17="Type 4 o",MAX(SA,105%*Q116)+V116+X116,IF('Pre-Calculation'!$D$17="Type 5",0)))))))))))))*IF(AND(A116&lt;Revival!$C$4,C116&gt;Revival!$D$12),PUP,1)</f>
        <v>3262314.213</v>
      </c>
      <c r="L116" s="175">
        <f>H116-I116*(1+Tax)</f>
        <v>3262314.213</v>
      </c>
      <c r="M116" s="175">
        <f>L116*(1+GROWTH_RATE_HIST)</f>
        <v>3297959.264</v>
      </c>
      <c r="N116" s="175">
        <f>M116+IF(MOD(A116,B116)=0,VLOOKUP(B116,'Pre-Calculation'!$H$1:$L$31,5,FALSE),0)*IF('Pre-Calculation'!$D$16="% OF FV",M116,IF(OR('Pre-Calculation'!$D$16="% OF AFV(24M)",'Pre-Calculation'!$D$16="% OF AFV(8Q)"),AVERAGE( $M93:$M116),IF('Pre-Calculation'!$D$16="% OF AFV(12M)",AVERAGE($M105:M116),IF('Pre-Calculation'!$D$16="% OF AFV(36M)",AVERAGE($M81:M116)))))</f>
        <v>3297959.264</v>
      </c>
      <c r="O116" s="175">
        <f t="shared" si="4"/>
        <v>3297959.264</v>
      </c>
      <c r="P116" s="175">
        <f>IF('Pre-Calculation'!$D$17="Type 4 a",MAX(SA,N116,1.05*Q116),IF('Pre-Calculation'!$D$17="Type 4 c",N116,IF('Pre-Calculation'!$D$17="Type 4 d",SA+N116,IF('Pre-Calculation'!$D$17="Type 4 e",MAX(SA,N116),IF('Pre-Calculation'!$D$17="Type 4 f",SA,IF('Pre-Calculation'!$D$17="Type 4 g",1000+N116,IF('Pre-Calculation'!$D$17="Type 4 h",SA+V116,IF('Pre-Calculation'!$D$17="Type 4 i",MAX(N116,Q116),IF('Pre-Calculation'!$D$17="Type 4 k",MAX(N116,1.01*Q116),IF('Pre-Calculation'!$D$17="Type 4 m",MAX(105%*Q116,SA+N116),IF('Pre-Calculation'!$D$17="Type 4 o",MAX(SA,105%*Q116)+V116+X116,IF('Pre-Calculation'!$D$17="Type 5",0))))))))))))</f>
        <v>3297959.264</v>
      </c>
      <c r="Q116" s="175">
        <f t="shared" si="5"/>
        <v>1000000</v>
      </c>
      <c r="R116" s="119">
        <f>L116*(1+GROWTH_RATE)*FMC</f>
        <v>3691.708343</v>
      </c>
      <c r="S116" s="112"/>
      <c r="T116" s="175">
        <f>-E116+IF(A115=INPUT!$C$11*12,N116,0)</f>
        <v>0</v>
      </c>
      <c r="U116" s="112"/>
      <c r="V116" s="179">
        <f t="array" ref="V116">NPV('Pre-Calculation'!$E$20,$E117:E$246)</f>
        <v>0</v>
      </c>
      <c r="W116" s="171">
        <f>10%*SA</f>
        <v>100000</v>
      </c>
      <c r="X116" s="179">
        <f t="array" ref="X116">NPV('Pre-Calculation'!$E$20,W117:W126)</f>
        <v>969592.8037</v>
      </c>
      <c r="Y116" s="12"/>
      <c r="Z116" s="12"/>
    </row>
    <row r="117" ht="15.75" customHeight="1">
      <c r="A117" s="171">
        <f t="shared" si="1"/>
        <v>171</v>
      </c>
      <c r="B117" s="171">
        <f t="shared" si="2"/>
        <v>15</v>
      </c>
      <c r="C117" s="176">
        <f>EDATE(RCD,A116)</f>
        <v>47725</v>
      </c>
      <c r="D117" s="171">
        <f>Age_At_Entry+Cashflows_HIST!B117-1</f>
        <v>49</v>
      </c>
      <c r="E117" s="175">
        <f>IF(AND(C117&lt;=Last_Prem,MOD(A116,Mode)=0,C117&gt;INPUT!$C$13,A117&lt;=Revival!$C$11),Mod_Prem,0)</f>
        <v>0</v>
      </c>
      <c r="F117" s="177">
        <f>E117*VLOOKUP(B117,'Pre-Calculation'!$H$1:$I$31,2,FALSE)</f>
        <v>0</v>
      </c>
      <c r="G117" s="177">
        <f>IF(B117&lt;PT+1,VLOOKUP(B117,'Pre-Calculation'!$H$1:$L$32,3,FALSE)+VLOOKUP(B117,'Pre-Calculation'!$H$1:$L$32,4,FALSE)*'Pre-Calculation'!$D$7,0)</f>
        <v>0</v>
      </c>
      <c r="H117" s="175">
        <f>(E117-(F117+G117)*(1+Tax)+N116)</f>
        <v>3297959.264</v>
      </c>
      <c r="I117" s="175">
        <f>IF(B117&lt;PT+1,VLOOKUP(D117,'Pre-Calculation'!$N$3:$P$79,IF(INPUT!$C$4="M",2,3),FALSE)*(J117/1000)*(1/12),0)</f>
        <v>0</v>
      </c>
      <c r="J117" s="175">
        <f t="shared" si="3"/>
        <v>0</v>
      </c>
      <c r="K117" s="175">
        <f>(IF('Pre-Calculation'!$D$17="Type 4 a",MAX(SA,H117,1.05*Q117),IF('Pre-Calculation'!$D$17="Type 4 c",H117,IF('Pre-Calculation'!$D$17="Type 4 d",SA+H117,IF('Pre-Calculation'!$D$17="Type 4 e",MAX(SA,H117),IF('Pre-Calculation'!$D$17="Type 4 f",SA,IF('Pre-Calculation'!$D$17="Type 4 g",1000+H117,IF('Pre-Calculation'!$D$17="Type 4 h",SA+V117,IF('Pre-Calculation'!$D$17="Type 4 i",MAX(H117,Q117),IF('Pre-Calculation'!$D$17="Type 4 k",MAX(H117,1.01*Q117),IF('Pre-Calculation'!$D$17="Type 4 m",MAX(105%*Q117,SA+H117),IF('Pre-Calculation'!$D$17="Type 4 o",MAX(SA,105%*Q117)+V117+X117,IF('Pre-Calculation'!$D$17="Type 5",0)))))))))))))*IF(AND(A117&lt;Revival!$C$4,C117&gt;Revival!$D$12),PUP,1)</f>
        <v>3297959.264</v>
      </c>
      <c r="L117" s="175">
        <f>H117-I117*(1+Tax)</f>
        <v>3297959.264</v>
      </c>
      <c r="M117" s="175">
        <f>L117*(1+GROWTH_RATE_HIST)</f>
        <v>3333993.784</v>
      </c>
      <c r="N117" s="175">
        <f>M117+IF(MOD(A117,B117)=0,VLOOKUP(B117,'Pre-Calculation'!$H$1:$L$31,5,FALSE),0)*IF('Pre-Calculation'!$D$16="% OF FV",M117,IF(OR('Pre-Calculation'!$D$16="% OF AFV(24M)",'Pre-Calculation'!$D$16="% OF AFV(8Q)"),AVERAGE( $M94:$M117),IF('Pre-Calculation'!$D$16="% OF AFV(12M)",AVERAGE($M106:M117),IF('Pre-Calculation'!$D$16="% OF AFV(36M)",AVERAGE($M82:M117)))))</f>
        <v>3333993.784</v>
      </c>
      <c r="O117" s="175">
        <f t="shared" si="4"/>
        <v>3333993.784</v>
      </c>
      <c r="P117" s="175">
        <f>IF('Pre-Calculation'!$D$17="Type 4 a",MAX(SA,N117,1.05*Q117),IF('Pre-Calculation'!$D$17="Type 4 c",N117,IF('Pre-Calculation'!$D$17="Type 4 d",SA+N117,IF('Pre-Calculation'!$D$17="Type 4 e",MAX(SA,N117),IF('Pre-Calculation'!$D$17="Type 4 f",SA,IF('Pre-Calculation'!$D$17="Type 4 g",1000+N117,IF('Pre-Calculation'!$D$17="Type 4 h",SA+V117,IF('Pre-Calculation'!$D$17="Type 4 i",MAX(N117,Q117),IF('Pre-Calculation'!$D$17="Type 4 k",MAX(N117,1.01*Q117),IF('Pre-Calculation'!$D$17="Type 4 m",MAX(105%*Q117,SA+N117),IF('Pre-Calculation'!$D$17="Type 4 o",MAX(SA,105%*Q117)+V117+X117,IF('Pre-Calculation'!$D$17="Type 5",0))))))))))))</f>
        <v>3333993.784</v>
      </c>
      <c r="Q117" s="175">
        <f t="shared" si="5"/>
        <v>1000000</v>
      </c>
      <c r="R117" s="119">
        <f>L117*(1+GROWTH_RATE)*FMC</f>
        <v>3732.045086</v>
      </c>
      <c r="S117" s="112"/>
      <c r="T117" s="175">
        <f>-E117+IF(A116=INPUT!$C$11*12,N117,0)</f>
        <v>0</v>
      </c>
      <c r="U117" s="112"/>
      <c r="V117" s="179">
        <f t="array" ref="V117">NPV('Pre-Calculation'!$E$20,$E118:E$246)</f>
        <v>0</v>
      </c>
      <c r="W117" s="171">
        <f>10%*SA</f>
        <v>100000</v>
      </c>
      <c r="X117" s="179">
        <f t="array" ref="X117">NPV('Pre-Calculation'!$E$20,W118:W127)</f>
        <v>969592.8037</v>
      </c>
      <c r="Y117" s="12"/>
      <c r="Z117" s="12"/>
    </row>
    <row r="118" ht="15.75" customHeight="1">
      <c r="A118" s="171">
        <f t="shared" si="1"/>
        <v>172</v>
      </c>
      <c r="B118" s="171">
        <f t="shared" si="2"/>
        <v>15</v>
      </c>
      <c r="C118" s="176">
        <f>EDATE(RCD,A117)</f>
        <v>47756</v>
      </c>
      <c r="D118" s="171">
        <f>Age_At_Entry+Cashflows_HIST!B118-1</f>
        <v>49</v>
      </c>
      <c r="E118" s="175">
        <f>IF(AND(C118&lt;=Last_Prem,MOD(A117,Mode)=0,C118&gt;INPUT!$C$13,A118&lt;=Revival!$C$11),Mod_Prem,0)</f>
        <v>0</v>
      </c>
      <c r="F118" s="177">
        <f>E118*VLOOKUP(B118,'Pre-Calculation'!$H$1:$I$31,2,FALSE)</f>
        <v>0</v>
      </c>
      <c r="G118" s="177">
        <f>IF(B118&lt;PT+1,VLOOKUP(B118,'Pre-Calculation'!$H$1:$L$32,3,FALSE)+VLOOKUP(B118,'Pre-Calculation'!$H$1:$L$32,4,FALSE)*'Pre-Calculation'!$D$7,0)</f>
        <v>0</v>
      </c>
      <c r="H118" s="175">
        <f>(E118-(F118+G118)*(1+Tax)+N117)</f>
        <v>3333993.784</v>
      </c>
      <c r="I118" s="175">
        <f>IF(B118&lt;PT+1,VLOOKUP(D118,'Pre-Calculation'!$N$3:$P$79,IF(INPUT!$C$4="M",2,3),FALSE)*(J118/1000)*(1/12),0)</f>
        <v>0</v>
      </c>
      <c r="J118" s="175">
        <f t="shared" si="3"/>
        <v>0</v>
      </c>
      <c r="K118" s="175">
        <f>(IF('Pre-Calculation'!$D$17="Type 4 a",MAX(SA,H118,1.05*Q118),IF('Pre-Calculation'!$D$17="Type 4 c",H118,IF('Pre-Calculation'!$D$17="Type 4 d",SA+H118,IF('Pre-Calculation'!$D$17="Type 4 e",MAX(SA,H118),IF('Pre-Calculation'!$D$17="Type 4 f",SA,IF('Pre-Calculation'!$D$17="Type 4 g",1000+H118,IF('Pre-Calculation'!$D$17="Type 4 h",SA+V118,IF('Pre-Calculation'!$D$17="Type 4 i",MAX(H118,Q118),IF('Pre-Calculation'!$D$17="Type 4 k",MAX(H118,1.01*Q118),IF('Pre-Calculation'!$D$17="Type 4 m",MAX(105%*Q118,SA+H118),IF('Pre-Calculation'!$D$17="Type 4 o",MAX(SA,105%*Q118)+V118+X118,IF('Pre-Calculation'!$D$17="Type 5",0)))))))))))))*IF(AND(A118&lt;Revival!$C$4,C118&gt;Revival!$D$12),PUP,1)</f>
        <v>3333993.784</v>
      </c>
      <c r="L118" s="175">
        <f>H118-I118*(1+Tax)</f>
        <v>3333993.784</v>
      </c>
      <c r="M118" s="175">
        <f>L118*(1+GROWTH_RATE_HIST)</f>
        <v>3370422.028</v>
      </c>
      <c r="N118" s="175">
        <f>M118+IF(MOD(A118,B118)=0,VLOOKUP(B118,'Pre-Calculation'!$H$1:$L$31,5,FALSE),0)*IF('Pre-Calculation'!$D$16="% OF FV",M118,IF(OR('Pre-Calculation'!$D$16="% OF AFV(24M)",'Pre-Calculation'!$D$16="% OF AFV(8Q)"),AVERAGE( $M95:$M118),IF('Pre-Calculation'!$D$16="% OF AFV(12M)",AVERAGE($M107:M118),IF('Pre-Calculation'!$D$16="% OF AFV(36M)",AVERAGE($M83:M118)))))</f>
        <v>3370422.028</v>
      </c>
      <c r="O118" s="175">
        <f t="shared" si="4"/>
        <v>3370422.028</v>
      </c>
      <c r="P118" s="175">
        <f>IF('Pre-Calculation'!$D$17="Type 4 a",MAX(SA,N118,1.05*Q118),IF('Pre-Calculation'!$D$17="Type 4 c",N118,IF('Pre-Calculation'!$D$17="Type 4 d",SA+N118,IF('Pre-Calculation'!$D$17="Type 4 e",MAX(SA,N118),IF('Pre-Calculation'!$D$17="Type 4 f",SA,IF('Pre-Calculation'!$D$17="Type 4 g",1000+N118,IF('Pre-Calculation'!$D$17="Type 4 h",SA+V118,IF('Pre-Calculation'!$D$17="Type 4 i",MAX(N118,Q118),IF('Pre-Calculation'!$D$17="Type 4 k",MAX(N118,1.01*Q118),IF('Pre-Calculation'!$D$17="Type 4 m",MAX(105%*Q118,SA+N118),IF('Pre-Calculation'!$D$17="Type 4 o",MAX(SA,105%*Q118)+V118+X118,IF('Pre-Calculation'!$D$17="Type 5",0))))))))))))</f>
        <v>3370422.028</v>
      </c>
      <c r="Q118" s="175">
        <f t="shared" si="5"/>
        <v>1000000</v>
      </c>
      <c r="R118" s="119">
        <f>L118*(1+GROWTH_RATE)*FMC</f>
        <v>3772.822562</v>
      </c>
      <c r="S118" s="112"/>
      <c r="T118" s="175">
        <f>-E118+IF(A117=INPUT!$C$11*12,N118,0)</f>
        <v>0</v>
      </c>
      <c r="U118" s="112"/>
      <c r="V118" s="179">
        <f t="array" ref="V118">NPV('Pre-Calculation'!$E$20,$E119:E$246)</f>
        <v>0</v>
      </c>
      <c r="W118" s="171">
        <f>10%*SA</f>
        <v>100000</v>
      </c>
      <c r="X118" s="179">
        <f t="array" ref="X118">NPV('Pre-Calculation'!$E$20,W119:W128)</f>
        <v>969592.8037</v>
      </c>
      <c r="Y118" s="12"/>
      <c r="Z118" s="12"/>
    </row>
    <row r="119" ht="15.75" customHeight="1">
      <c r="A119" s="171">
        <f t="shared" si="1"/>
        <v>173</v>
      </c>
      <c r="B119" s="171">
        <f t="shared" si="2"/>
        <v>15</v>
      </c>
      <c r="C119" s="176">
        <f>EDATE(RCD,A118)</f>
        <v>47786</v>
      </c>
      <c r="D119" s="171">
        <f>Age_At_Entry+Cashflows_HIST!B119-1</f>
        <v>49</v>
      </c>
      <c r="E119" s="175">
        <f>IF(AND(C119&lt;=Last_Prem,MOD(A118,Mode)=0,C119&gt;INPUT!$C$13,A119&lt;=Revival!$C$11),Mod_Prem,0)</f>
        <v>0</v>
      </c>
      <c r="F119" s="177">
        <f>E119*VLOOKUP(B119,'Pre-Calculation'!$H$1:$I$31,2,FALSE)</f>
        <v>0</v>
      </c>
      <c r="G119" s="177">
        <f>IF(B119&lt;PT+1,VLOOKUP(B119,'Pre-Calculation'!$H$1:$L$32,3,FALSE)+VLOOKUP(B119,'Pre-Calculation'!$H$1:$L$32,4,FALSE)*'Pre-Calculation'!$D$7,0)</f>
        <v>0</v>
      </c>
      <c r="H119" s="175">
        <f>(E119-(F119+G119)*(1+Tax)+N118)</f>
        <v>3370422.028</v>
      </c>
      <c r="I119" s="175">
        <f>IF(B119&lt;PT+1,VLOOKUP(D119,'Pre-Calculation'!$N$3:$P$79,IF(INPUT!$C$4="M",2,3),FALSE)*(J119/1000)*(1/12),0)</f>
        <v>0</v>
      </c>
      <c r="J119" s="175">
        <f t="shared" si="3"/>
        <v>0</v>
      </c>
      <c r="K119" s="175">
        <f>(IF('Pre-Calculation'!$D$17="Type 4 a",MAX(SA,H119,1.05*Q119),IF('Pre-Calculation'!$D$17="Type 4 c",H119,IF('Pre-Calculation'!$D$17="Type 4 d",SA+H119,IF('Pre-Calculation'!$D$17="Type 4 e",MAX(SA,H119),IF('Pre-Calculation'!$D$17="Type 4 f",SA,IF('Pre-Calculation'!$D$17="Type 4 g",1000+H119,IF('Pre-Calculation'!$D$17="Type 4 h",SA+V119,IF('Pre-Calculation'!$D$17="Type 4 i",MAX(H119,Q119),IF('Pre-Calculation'!$D$17="Type 4 k",MAX(H119,1.01*Q119),IF('Pre-Calculation'!$D$17="Type 4 m",MAX(105%*Q119,SA+H119),IF('Pre-Calculation'!$D$17="Type 4 o",MAX(SA,105%*Q119)+V119+X119,IF('Pre-Calculation'!$D$17="Type 5",0)))))))))))))*IF(AND(A119&lt;Revival!$C$4,C119&gt;Revival!$D$12),PUP,1)</f>
        <v>3370422.028</v>
      </c>
      <c r="L119" s="175">
        <f>H119-I119*(1+Tax)</f>
        <v>3370422.028</v>
      </c>
      <c r="M119" s="175">
        <f>L119*(1+GROWTH_RATE_HIST)</f>
        <v>3407248.299</v>
      </c>
      <c r="N119" s="175">
        <f>M119+IF(MOD(A119,B119)=0,VLOOKUP(B119,'Pre-Calculation'!$H$1:$L$31,5,FALSE),0)*IF('Pre-Calculation'!$D$16="% OF FV",M119,IF(OR('Pre-Calculation'!$D$16="% OF AFV(24M)",'Pre-Calculation'!$D$16="% OF AFV(8Q)"),AVERAGE( $M96:$M119),IF('Pre-Calculation'!$D$16="% OF AFV(12M)",AVERAGE($M108:M119),IF('Pre-Calculation'!$D$16="% OF AFV(36M)",AVERAGE($M84:M119)))))</f>
        <v>3407248.299</v>
      </c>
      <c r="O119" s="175">
        <f t="shared" si="4"/>
        <v>3407248.299</v>
      </c>
      <c r="P119" s="175">
        <f>IF('Pre-Calculation'!$D$17="Type 4 a",MAX(SA,N119,1.05*Q119),IF('Pre-Calculation'!$D$17="Type 4 c",N119,IF('Pre-Calculation'!$D$17="Type 4 d",SA+N119,IF('Pre-Calculation'!$D$17="Type 4 e",MAX(SA,N119),IF('Pre-Calculation'!$D$17="Type 4 f",SA,IF('Pre-Calculation'!$D$17="Type 4 g",1000+N119,IF('Pre-Calculation'!$D$17="Type 4 h",SA+V119,IF('Pre-Calculation'!$D$17="Type 4 i",MAX(N119,Q119),IF('Pre-Calculation'!$D$17="Type 4 k",MAX(N119,1.01*Q119),IF('Pre-Calculation'!$D$17="Type 4 m",MAX(105%*Q119,SA+N119),IF('Pre-Calculation'!$D$17="Type 4 o",MAX(SA,105%*Q119)+V119+X119,IF('Pre-Calculation'!$D$17="Type 5",0))))))))))))</f>
        <v>3407248.299</v>
      </c>
      <c r="Q119" s="175">
        <f t="shared" si="5"/>
        <v>1000000</v>
      </c>
      <c r="R119" s="119">
        <f>L119*(1+GROWTH_RATE)*FMC</f>
        <v>3814.045585</v>
      </c>
      <c r="S119" s="112"/>
      <c r="T119" s="175">
        <f>-E119+IF(A118=INPUT!$C$11*12,N119,0)</f>
        <v>0</v>
      </c>
      <c r="U119" s="112"/>
      <c r="V119" s="179">
        <f t="array" ref="V119">NPV('Pre-Calculation'!$E$20,$E120:E$246)</f>
        <v>0</v>
      </c>
      <c r="W119" s="171">
        <f>10%*SA</f>
        <v>100000</v>
      </c>
      <c r="X119" s="179">
        <f t="array" ref="X119">NPV('Pre-Calculation'!$E$20,W120:W129)</f>
        <v>969592.8037</v>
      </c>
      <c r="Y119" s="12"/>
      <c r="Z119" s="12"/>
    </row>
    <row r="120" ht="15.75" customHeight="1">
      <c r="A120" s="171">
        <f t="shared" si="1"/>
        <v>174</v>
      </c>
      <c r="B120" s="171">
        <f t="shared" si="2"/>
        <v>15</v>
      </c>
      <c r="C120" s="176">
        <f>EDATE(RCD,A119)</f>
        <v>47817</v>
      </c>
      <c r="D120" s="171">
        <f>Age_At_Entry+Cashflows_HIST!B120-1</f>
        <v>49</v>
      </c>
      <c r="E120" s="175">
        <f>IF(AND(C120&lt;=Last_Prem,MOD(A119,Mode)=0,C120&gt;INPUT!$C$13,A120&lt;=Revival!$C$11),Mod_Prem,0)</f>
        <v>0</v>
      </c>
      <c r="F120" s="177">
        <f>E120*VLOOKUP(B120,'Pre-Calculation'!$H$1:$I$31,2,FALSE)</f>
        <v>0</v>
      </c>
      <c r="G120" s="177">
        <f>IF(B120&lt;PT+1,VLOOKUP(B120,'Pre-Calculation'!$H$1:$L$32,3,FALSE)+VLOOKUP(B120,'Pre-Calculation'!$H$1:$L$32,4,FALSE)*'Pre-Calculation'!$D$7,0)</f>
        <v>0</v>
      </c>
      <c r="H120" s="175">
        <f>(E120-(F120+G120)*(1+Tax)+N119)</f>
        <v>3407248.299</v>
      </c>
      <c r="I120" s="175">
        <f>IF(B120&lt;PT+1,VLOOKUP(D120,'Pre-Calculation'!$N$3:$P$79,IF(INPUT!$C$4="M",2,3),FALSE)*(J120/1000)*(1/12),0)</f>
        <v>0</v>
      </c>
      <c r="J120" s="175">
        <f t="shared" si="3"/>
        <v>0</v>
      </c>
      <c r="K120" s="175">
        <f>(IF('Pre-Calculation'!$D$17="Type 4 a",MAX(SA,H120,1.05*Q120),IF('Pre-Calculation'!$D$17="Type 4 c",H120,IF('Pre-Calculation'!$D$17="Type 4 d",SA+H120,IF('Pre-Calculation'!$D$17="Type 4 e",MAX(SA,H120),IF('Pre-Calculation'!$D$17="Type 4 f",SA,IF('Pre-Calculation'!$D$17="Type 4 g",1000+H120,IF('Pre-Calculation'!$D$17="Type 4 h",SA+V120,IF('Pre-Calculation'!$D$17="Type 4 i",MAX(H120,Q120),IF('Pre-Calculation'!$D$17="Type 4 k",MAX(H120,1.01*Q120),IF('Pre-Calculation'!$D$17="Type 4 m",MAX(105%*Q120,SA+H120),IF('Pre-Calculation'!$D$17="Type 4 o",MAX(SA,105%*Q120)+V120+X120,IF('Pre-Calculation'!$D$17="Type 5",0)))))))))))))*IF(AND(A120&lt;Revival!$C$4,C120&gt;Revival!$D$12),PUP,1)</f>
        <v>3407248.299</v>
      </c>
      <c r="L120" s="175">
        <f>H120-I120*(1+Tax)</f>
        <v>3407248.299</v>
      </c>
      <c r="M120" s="175">
        <f>L120*(1+GROWTH_RATE_HIST)</f>
        <v>3444476.944</v>
      </c>
      <c r="N120" s="175">
        <f>M120+IF(MOD(A120,B120)=0,VLOOKUP(B120,'Pre-Calculation'!$H$1:$L$31,5,FALSE),0)*IF('Pre-Calculation'!$D$16="% OF FV",M120,IF(OR('Pre-Calculation'!$D$16="% OF AFV(24M)",'Pre-Calculation'!$D$16="% OF AFV(8Q)"),AVERAGE( $M97:$M120),IF('Pre-Calculation'!$D$16="% OF AFV(12M)",AVERAGE($M109:M120),IF('Pre-Calculation'!$D$16="% OF AFV(36M)",AVERAGE($M85:M120)))))</f>
        <v>3444476.944</v>
      </c>
      <c r="O120" s="175">
        <f t="shared" si="4"/>
        <v>3444476.944</v>
      </c>
      <c r="P120" s="175">
        <f>IF('Pre-Calculation'!$D$17="Type 4 a",MAX(SA,N120,1.05*Q120),IF('Pre-Calculation'!$D$17="Type 4 c",N120,IF('Pre-Calculation'!$D$17="Type 4 d",SA+N120,IF('Pre-Calculation'!$D$17="Type 4 e",MAX(SA,N120),IF('Pre-Calculation'!$D$17="Type 4 f",SA,IF('Pre-Calculation'!$D$17="Type 4 g",1000+N120,IF('Pre-Calculation'!$D$17="Type 4 h",SA+V120,IF('Pre-Calculation'!$D$17="Type 4 i",MAX(N120,Q120),IF('Pre-Calculation'!$D$17="Type 4 k",MAX(N120,1.01*Q120),IF('Pre-Calculation'!$D$17="Type 4 m",MAX(105%*Q120,SA+N120),IF('Pre-Calculation'!$D$17="Type 4 o",MAX(SA,105%*Q120)+V120+X120,IF('Pre-Calculation'!$D$17="Type 5",0))))))))))))</f>
        <v>3444476.944</v>
      </c>
      <c r="Q120" s="175">
        <f t="shared" si="5"/>
        <v>1000000</v>
      </c>
      <c r="R120" s="119">
        <f>L120*(1+GROWTH_RATE)*FMC</f>
        <v>3855.719023</v>
      </c>
      <c r="S120" s="112"/>
      <c r="T120" s="175">
        <f>-E120+IF(A119=INPUT!$C$11*12,N120,0)</f>
        <v>0</v>
      </c>
      <c r="U120" s="112"/>
      <c r="V120" s="179">
        <f t="array" ref="V120">NPV('Pre-Calculation'!$E$20,$E121:E$246)</f>
        <v>0</v>
      </c>
      <c r="W120" s="171">
        <f>10%*SA</f>
        <v>100000</v>
      </c>
      <c r="X120" s="179">
        <f t="array" ref="X120">NPV('Pre-Calculation'!$E$20,W121:W130)</f>
        <v>969592.8037</v>
      </c>
      <c r="Y120" s="12"/>
      <c r="Z120" s="12"/>
    </row>
    <row r="121" ht="15.75" customHeight="1">
      <c r="A121" s="171">
        <f t="shared" si="1"/>
        <v>175</v>
      </c>
      <c r="B121" s="171">
        <f t="shared" si="2"/>
        <v>15</v>
      </c>
      <c r="C121" s="176">
        <f>EDATE(RCD,A120)</f>
        <v>47847</v>
      </c>
      <c r="D121" s="171">
        <f>Age_At_Entry+Cashflows_HIST!B121-1</f>
        <v>49</v>
      </c>
      <c r="E121" s="175">
        <f>IF(AND(C121&lt;=Last_Prem,MOD(A120,Mode)=0,C121&gt;INPUT!$C$13,A121&lt;=Revival!$C$11),Mod_Prem,0)</f>
        <v>0</v>
      </c>
      <c r="F121" s="177">
        <f>E121*VLOOKUP(B121,'Pre-Calculation'!$H$1:$I$31,2,FALSE)</f>
        <v>0</v>
      </c>
      <c r="G121" s="177">
        <f>IF(B121&lt;PT+1,VLOOKUP(B121,'Pre-Calculation'!$H$1:$L$32,3,FALSE)+VLOOKUP(B121,'Pre-Calculation'!$H$1:$L$32,4,FALSE)*'Pre-Calculation'!$D$7,0)</f>
        <v>0</v>
      </c>
      <c r="H121" s="175">
        <f>(E121-(F121+G121)*(1+Tax)+N120)</f>
        <v>3444476.944</v>
      </c>
      <c r="I121" s="175">
        <f>IF(B121&lt;PT+1,VLOOKUP(D121,'Pre-Calculation'!$N$3:$P$79,IF(INPUT!$C$4="M",2,3),FALSE)*(J121/1000)*(1/12),0)</f>
        <v>0</v>
      </c>
      <c r="J121" s="175">
        <f t="shared" si="3"/>
        <v>0</v>
      </c>
      <c r="K121" s="175">
        <f>(IF('Pre-Calculation'!$D$17="Type 4 a",MAX(SA,H121,1.05*Q121),IF('Pre-Calculation'!$D$17="Type 4 c",H121,IF('Pre-Calculation'!$D$17="Type 4 d",SA+H121,IF('Pre-Calculation'!$D$17="Type 4 e",MAX(SA,H121),IF('Pre-Calculation'!$D$17="Type 4 f",SA,IF('Pre-Calculation'!$D$17="Type 4 g",1000+H121,IF('Pre-Calculation'!$D$17="Type 4 h",SA+V121,IF('Pre-Calculation'!$D$17="Type 4 i",MAX(H121,Q121),IF('Pre-Calculation'!$D$17="Type 4 k",MAX(H121,1.01*Q121),IF('Pre-Calculation'!$D$17="Type 4 m",MAX(105%*Q121,SA+H121),IF('Pre-Calculation'!$D$17="Type 4 o",MAX(SA,105%*Q121)+V121+X121,IF('Pre-Calculation'!$D$17="Type 5",0)))))))))))))*IF(AND(A121&lt;Revival!$C$4,C121&gt;Revival!$D$12),PUP,1)</f>
        <v>3444476.944</v>
      </c>
      <c r="L121" s="175">
        <f>H121-I121*(1+Tax)</f>
        <v>3444476.944</v>
      </c>
      <c r="M121" s="175">
        <f>L121*(1+GROWTH_RATE_HIST)</f>
        <v>3482112.362</v>
      </c>
      <c r="N121" s="175">
        <f>M121+IF(MOD(A121,B121)=0,VLOOKUP(B121,'Pre-Calculation'!$H$1:$L$31,5,FALSE),0)*IF('Pre-Calculation'!$D$16="% OF FV",M121,IF(OR('Pre-Calculation'!$D$16="% OF AFV(24M)",'Pre-Calculation'!$D$16="% OF AFV(8Q)"),AVERAGE( $M98:$M121),IF('Pre-Calculation'!$D$16="% OF AFV(12M)",AVERAGE($M110:M121),IF('Pre-Calculation'!$D$16="% OF AFV(36M)",AVERAGE($M86:M121)))))</f>
        <v>3482112.362</v>
      </c>
      <c r="O121" s="175">
        <f t="shared" si="4"/>
        <v>3482112.362</v>
      </c>
      <c r="P121" s="175">
        <f>IF('Pre-Calculation'!$D$17="Type 4 a",MAX(SA,N121,1.05*Q121),IF('Pre-Calculation'!$D$17="Type 4 c",N121,IF('Pre-Calculation'!$D$17="Type 4 d",SA+N121,IF('Pre-Calculation'!$D$17="Type 4 e",MAX(SA,N121),IF('Pre-Calculation'!$D$17="Type 4 f",SA,IF('Pre-Calculation'!$D$17="Type 4 g",1000+N121,IF('Pre-Calculation'!$D$17="Type 4 h",SA+V121,IF('Pre-Calculation'!$D$17="Type 4 i",MAX(N121,Q121),IF('Pre-Calculation'!$D$17="Type 4 k",MAX(N121,1.01*Q121),IF('Pre-Calculation'!$D$17="Type 4 m",MAX(105%*Q121,SA+N121),IF('Pre-Calculation'!$D$17="Type 4 o",MAX(SA,105%*Q121)+V121+X121,IF('Pre-Calculation'!$D$17="Type 5",0))))))))))))</f>
        <v>3482112.362</v>
      </c>
      <c r="Q121" s="175">
        <f t="shared" si="5"/>
        <v>1000000</v>
      </c>
      <c r="R121" s="119">
        <f>L121*(1+GROWTH_RATE)*FMC</f>
        <v>3897.847798</v>
      </c>
      <c r="S121" s="112"/>
      <c r="T121" s="175">
        <f>-E121+IF(A120=INPUT!$C$11*12,N121,0)</f>
        <v>0</v>
      </c>
      <c r="U121" s="112"/>
      <c r="V121" s="179">
        <f t="array" ref="V121">NPV('Pre-Calculation'!$E$20,$E122:E$246)</f>
        <v>0</v>
      </c>
      <c r="W121" s="171">
        <f>10%*SA</f>
        <v>100000</v>
      </c>
      <c r="X121" s="179">
        <f t="array" ref="X121">NPV('Pre-Calculation'!$E$20,W122:W131)</f>
        <v>969592.8037</v>
      </c>
      <c r="Y121" s="12"/>
      <c r="Z121" s="12"/>
    </row>
    <row r="122" ht="15.75" customHeight="1">
      <c r="A122" s="171">
        <f t="shared" si="1"/>
        <v>176</v>
      </c>
      <c r="B122" s="171">
        <f t="shared" si="2"/>
        <v>15</v>
      </c>
      <c r="C122" s="176">
        <f>EDATE(RCD,A121)</f>
        <v>47878</v>
      </c>
      <c r="D122" s="171">
        <f>Age_At_Entry+Cashflows_HIST!B122-1</f>
        <v>49</v>
      </c>
      <c r="E122" s="175">
        <f>IF(AND(C122&lt;=Last_Prem,MOD(A121,Mode)=0,C122&gt;INPUT!$C$13,A122&lt;=Revival!$C$11),Mod_Prem,0)</f>
        <v>0</v>
      </c>
      <c r="F122" s="177">
        <f>E122*VLOOKUP(B122,'Pre-Calculation'!$H$1:$I$31,2,FALSE)</f>
        <v>0</v>
      </c>
      <c r="G122" s="177">
        <f>IF(B122&lt;PT+1,VLOOKUP(B122,'Pre-Calculation'!$H$1:$L$32,3,FALSE)+VLOOKUP(B122,'Pre-Calculation'!$H$1:$L$32,4,FALSE)*'Pre-Calculation'!$D$7,0)</f>
        <v>0</v>
      </c>
      <c r="H122" s="175">
        <f>(E122-(F122+G122)*(1+Tax)+N121)</f>
        <v>3482112.362</v>
      </c>
      <c r="I122" s="175">
        <f>IF(B122&lt;PT+1,VLOOKUP(D122,'Pre-Calculation'!$N$3:$P$79,IF(INPUT!$C$4="M",2,3),FALSE)*(J122/1000)*(1/12),0)</f>
        <v>0</v>
      </c>
      <c r="J122" s="175">
        <f t="shared" si="3"/>
        <v>0</v>
      </c>
      <c r="K122" s="175">
        <f>(IF('Pre-Calculation'!$D$17="Type 4 a",MAX(SA,H122,1.05*Q122),IF('Pre-Calculation'!$D$17="Type 4 c",H122,IF('Pre-Calculation'!$D$17="Type 4 d",SA+H122,IF('Pre-Calculation'!$D$17="Type 4 e",MAX(SA,H122),IF('Pre-Calculation'!$D$17="Type 4 f",SA,IF('Pre-Calculation'!$D$17="Type 4 g",1000+H122,IF('Pre-Calculation'!$D$17="Type 4 h",SA+V122,IF('Pre-Calculation'!$D$17="Type 4 i",MAX(H122,Q122),IF('Pre-Calculation'!$D$17="Type 4 k",MAX(H122,1.01*Q122),IF('Pre-Calculation'!$D$17="Type 4 m",MAX(105%*Q122,SA+H122),IF('Pre-Calculation'!$D$17="Type 4 o",MAX(SA,105%*Q122)+V122+X122,IF('Pre-Calculation'!$D$17="Type 5",0)))))))))))))*IF(AND(A122&lt;Revival!$C$4,C122&gt;Revival!$D$12),PUP,1)</f>
        <v>3482112.362</v>
      </c>
      <c r="L122" s="175">
        <f>H122-I122*(1+Tax)</f>
        <v>3482112.362</v>
      </c>
      <c r="M122" s="175">
        <f>L122*(1+GROWTH_RATE_HIST)</f>
        <v>3520158.995</v>
      </c>
      <c r="N122" s="175">
        <f>M122+IF(MOD(A122,B122)=0,VLOOKUP(B122,'Pre-Calculation'!$H$1:$L$31,5,FALSE),0)*IF('Pre-Calculation'!$D$16="% OF FV",M122,IF(OR('Pre-Calculation'!$D$16="% OF AFV(24M)",'Pre-Calculation'!$D$16="% OF AFV(8Q)"),AVERAGE( $M99:$M122),IF('Pre-Calculation'!$D$16="% OF AFV(12M)",AVERAGE($M111:M122),IF('Pre-Calculation'!$D$16="% OF AFV(36M)",AVERAGE($M87:M122)))))</f>
        <v>3520158.995</v>
      </c>
      <c r="O122" s="175">
        <f t="shared" si="4"/>
        <v>3520158.995</v>
      </c>
      <c r="P122" s="175">
        <f>IF('Pre-Calculation'!$D$17="Type 4 a",MAX(SA,N122,1.05*Q122),IF('Pre-Calculation'!$D$17="Type 4 c",N122,IF('Pre-Calculation'!$D$17="Type 4 d",SA+N122,IF('Pre-Calculation'!$D$17="Type 4 e",MAX(SA,N122),IF('Pre-Calculation'!$D$17="Type 4 f",SA,IF('Pre-Calculation'!$D$17="Type 4 g",1000+N122,IF('Pre-Calculation'!$D$17="Type 4 h",SA+V122,IF('Pre-Calculation'!$D$17="Type 4 i",MAX(N122,Q122),IF('Pre-Calculation'!$D$17="Type 4 k",MAX(N122,1.01*Q122),IF('Pre-Calculation'!$D$17="Type 4 m",MAX(105%*Q122,SA+N122),IF('Pre-Calculation'!$D$17="Type 4 o",MAX(SA,105%*Q122)+V122+X122,IF('Pre-Calculation'!$D$17="Type 5",0))))))))))))</f>
        <v>3520158.995</v>
      </c>
      <c r="Q122" s="175">
        <f t="shared" si="5"/>
        <v>1000000</v>
      </c>
      <c r="R122" s="119">
        <f>L122*(1+GROWTH_RATE)*FMC</f>
        <v>3940.436885</v>
      </c>
      <c r="S122" s="112"/>
      <c r="T122" s="175">
        <f>-E122+IF(A121=INPUT!$C$11*12,N122,0)</f>
        <v>0</v>
      </c>
      <c r="U122" s="112"/>
      <c r="V122" s="179">
        <f t="array" ref="V122">NPV('Pre-Calculation'!$E$20,$E123:E$246)</f>
        <v>0</v>
      </c>
      <c r="W122" s="171">
        <f>10%*SA</f>
        <v>100000</v>
      </c>
      <c r="X122" s="179">
        <f t="array" ref="X122">NPV('Pre-Calculation'!$E$20,W123:W132)</f>
        <v>969592.8037</v>
      </c>
      <c r="Y122" s="12"/>
      <c r="Z122" s="12"/>
    </row>
    <row r="123" ht="15.75" customHeight="1">
      <c r="A123" s="171">
        <f t="shared" si="1"/>
        <v>177</v>
      </c>
      <c r="B123" s="171">
        <f t="shared" si="2"/>
        <v>15</v>
      </c>
      <c r="C123" s="176">
        <f>EDATE(RCD,A122)</f>
        <v>47907</v>
      </c>
      <c r="D123" s="171">
        <f>Age_At_Entry+Cashflows_HIST!B123-1</f>
        <v>49</v>
      </c>
      <c r="E123" s="175">
        <f>IF(AND(C123&lt;=Last_Prem,MOD(A122,Mode)=0,C123&gt;INPUT!$C$13,A123&lt;=Revival!$C$11),Mod_Prem,0)</f>
        <v>0</v>
      </c>
      <c r="F123" s="177">
        <f>E123*VLOOKUP(B123,'Pre-Calculation'!$H$1:$I$31,2,FALSE)</f>
        <v>0</v>
      </c>
      <c r="G123" s="177">
        <f>IF(B123&lt;PT+1,VLOOKUP(B123,'Pre-Calculation'!$H$1:$L$32,3,FALSE)+VLOOKUP(B123,'Pre-Calculation'!$H$1:$L$32,4,FALSE)*'Pre-Calculation'!$D$7,0)</f>
        <v>0</v>
      </c>
      <c r="H123" s="175">
        <f>(E123-(F123+G123)*(1+Tax)+N122)</f>
        <v>3520158.995</v>
      </c>
      <c r="I123" s="175">
        <f>IF(B123&lt;PT+1,VLOOKUP(D123,'Pre-Calculation'!$N$3:$P$79,IF(INPUT!$C$4="M",2,3),FALSE)*(J123/1000)*(1/12),0)</f>
        <v>0</v>
      </c>
      <c r="J123" s="175">
        <f t="shared" si="3"/>
        <v>0</v>
      </c>
      <c r="K123" s="175">
        <f>(IF('Pre-Calculation'!$D$17="Type 4 a",MAX(SA,H123,1.05*Q123),IF('Pre-Calculation'!$D$17="Type 4 c",H123,IF('Pre-Calculation'!$D$17="Type 4 d",SA+H123,IF('Pre-Calculation'!$D$17="Type 4 e",MAX(SA,H123),IF('Pre-Calculation'!$D$17="Type 4 f",SA,IF('Pre-Calculation'!$D$17="Type 4 g",1000+H123,IF('Pre-Calculation'!$D$17="Type 4 h",SA+V123,IF('Pre-Calculation'!$D$17="Type 4 i",MAX(H123,Q123),IF('Pre-Calculation'!$D$17="Type 4 k",MAX(H123,1.01*Q123),IF('Pre-Calculation'!$D$17="Type 4 m",MAX(105%*Q123,SA+H123),IF('Pre-Calculation'!$D$17="Type 4 o",MAX(SA,105%*Q123)+V123+X123,IF('Pre-Calculation'!$D$17="Type 5",0)))))))))))))*IF(AND(A123&lt;Revival!$C$4,C123&gt;Revival!$D$12),PUP,1)</f>
        <v>3520158.995</v>
      </c>
      <c r="L123" s="175">
        <f>H123-I123*(1+Tax)</f>
        <v>3520158.995</v>
      </c>
      <c r="M123" s="175">
        <f>L123*(1+GROWTH_RATE_HIST)</f>
        <v>3558621.338</v>
      </c>
      <c r="N123" s="175">
        <f>M123+IF(MOD(A123,B123)=0,VLOOKUP(B123,'Pre-Calculation'!$H$1:$L$31,5,FALSE),0)*IF('Pre-Calculation'!$D$16="% OF FV",M123,IF(OR('Pre-Calculation'!$D$16="% OF AFV(24M)",'Pre-Calculation'!$D$16="% OF AFV(8Q)"),AVERAGE( $M100:$M123),IF('Pre-Calculation'!$D$16="% OF AFV(12M)",AVERAGE($M112:M123),IF('Pre-Calculation'!$D$16="% OF AFV(36M)",AVERAGE($M88:M123)))))</f>
        <v>3558621.338</v>
      </c>
      <c r="O123" s="175">
        <f t="shared" si="4"/>
        <v>3558621.338</v>
      </c>
      <c r="P123" s="175">
        <f>IF('Pre-Calculation'!$D$17="Type 4 a",MAX(SA,N123,1.05*Q123),IF('Pre-Calculation'!$D$17="Type 4 c",N123,IF('Pre-Calculation'!$D$17="Type 4 d",SA+N123,IF('Pre-Calculation'!$D$17="Type 4 e",MAX(SA,N123),IF('Pre-Calculation'!$D$17="Type 4 f",SA,IF('Pre-Calculation'!$D$17="Type 4 g",1000+N123,IF('Pre-Calculation'!$D$17="Type 4 h",SA+V123,IF('Pre-Calculation'!$D$17="Type 4 i",MAX(N123,Q123),IF('Pre-Calculation'!$D$17="Type 4 k",MAX(N123,1.01*Q123),IF('Pre-Calculation'!$D$17="Type 4 m",MAX(105%*Q123,SA+N123),IF('Pre-Calculation'!$D$17="Type 4 o",MAX(SA,105%*Q123)+V123+X123,IF('Pre-Calculation'!$D$17="Type 5",0))))))))))))</f>
        <v>3558621.338</v>
      </c>
      <c r="Q123" s="175">
        <f t="shared" si="5"/>
        <v>1000000</v>
      </c>
      <c r="R123" s="119">
        <f>L123*(1+GROWTH_RATE)*FMC</f>
        <v>3983.491313</v>
      </c>
      <c r="S123" s="112"/>
      <c r="T123" s="175">
        <f>-E123+IF(A122=INPUT!$C$11*12,N123,0)</f>
        <v>0</v>
      </c>
      <c r="U123" s="112"/>
      <c r="V123" s="179">
        <f t="array" ref="V123">NPV('Pre-Calculation'!$E$20,$E124:E$246)</f>
        <v>0</v>
      </c>
      <c r="W123" s="171">
        <f>10%*SA</f>
        <v>100000</v>
      </c>
      <c r="X123" s="179">
        <f t="array" ref="X123">NPV('Pre-Calculation'!$E$20,W124:W133)</f>
        <v>969592.8037</v>
      </c>
      <c r="Y123" s="12"/>
      <c r="Z123" s="12"/>
    </row>
    <row r="124" ht="15.75" customHeight="1">
      <c r="A124" s="171">
        <f t="shared" si="1"/>
        <v>178</v>
      </c>
      <c r="B124" s="171">
        <f t="shared" si="2"/>
        <v>15</v>
      </c>
      <c r="C124" s="176">
        <f>EDATE(RCD,A123)</f>
        <v>47937</v>
      </c>
      <c r="D124" s="171">
        <f>Age_At_Entry+Cashflows_HIST!B124-1</f>
        <v>49</v>
      </c>
      <c r="E124" s="175">
        <f>IF(AND(C124&lt;=Last_Prem,MOD(A123,Mode)=0,C124&gt;INPUT!$C$13,A124&lt;=Revival!$C$11),Mod_Prem,0)</f>
        <v>0</v>
      </c>
      <c r="F124" s="177">
        <f>E124*VLOOKUP(B124,'Pre-Calculation'!$H$1:$I$31,2,FALSE)</f>
        <v>0</v>
      </c>
      <c r="G124" s="177">
        <f>IF(B124&lt;PT+1,VLOOKUP(B124,'Pre-Calculation'!$H$1:$L$32,3,FALSE)+VLOOKUP(B124,'Pre-Calculation'!$H$1:$L$32,4,FALSE)*'Pre-Calculation'!$D$7,0)</f>
        <v>0</v>
      </c>
      <c r="H124" s="175">
        <f>(E124-(F124+G124)*(1+Tax)+N123)</f>
        <v>3558621.338</v>
      </c>
      <c r="I124" s="175">
        <f>IF(B124&lt;PT+1,VLOOKUP(D124,'Pre-Calculation'!$N$3:$P$79,IF(INPUT!$C$4="M",2,3),FALSE)*(J124/1000)*(1/12),0)</f>
        <v>0</v>
      </c>
      <c r="J124" s="175">
        <f t="shared" si="3"/>
        <v>0</v>
      </c>
      <c r="K124" s="175">
        <f>(IF('Pre-Calculation'!$D$17="Type 4 a",MAX(SA,H124,1.05*Q124),IF('Pre-Calculation'!$D$17="Type 4 c",H124,IF('Pre-Calculation'!$D$17="Type 4 d",SA+H124,IF('Pre-Calculation'!$D$17="Type 4 e",MAX(SA,H124),IF('Pre-Calculation'!$D$17="Type 4 f",SA,IF('Pre-Calculation'!$D$17="Type 4 g",1000+H124,IF('Pre-Calculation'!$D$17="Type 4 h",SA+V124,IF('Pre-Calculation'!$D$17="Type 4 i",MAX(H124,Q124),IF('Pre-Calculation'!$D$17="Type 4 k",MAX(H124,1.01*Q124),IF('Pre-Calculation'!$D$17="Type 4 m",MAX(105%*Q124,SA+H124),IF('Pre-Calculation'!$D$17="Type 4 o",MAX(SA,105%*Q124)+V124+X124,IF('Pre-Calculation'!$D$17="Type 5",0)))))))))))))*IF(AND(A124&lt;Revival!$C$4,C124&gt;Revival!$D$12),PUP,1)</f>
        <v>3558621.338</v>
      </c>
      <c r="L124" s="175">
        <f>H124-I124*(1+Tax)</f>
        <v>3558621.338</v>
      </c>
      <c r="M124" s="175">
        <f>L124*(1+GROWTH_RATE_HIST)</f>
        <v>3597503.932</v>
      </c>
      <c r="N124" s="175">
        <f>M124+IF(MOD(A124,B124)=0,VLOOKUP(B124,'Pre-Calculation'!$H$1:$L$31,5,FALSE),0)*IF('Pre-Calculation'!$D$16="% OF FV",M124,IF(OR('Pre-Calculation'!$D$16="% OF AFV(24M)",'Pre-Calculation'!$D$16="% OF AFV(8Q)"),AVERAGE( $M101:$M124),IF('Pre-Calculation'!$D$16="% OF AFV(12M)",AVERAGE($M113:M124),IF('Pre-Calculation'!$D$16="% OF AFV(36M)",AVERAGE($M89:M124)))))</f>
        <v>3597503.932</v>
      </c>
      <c r="O124" s="175">
        <f t="shared" si="4"/>
        <v>3597503.932</v>
      </c>
      <c r="P124" s="175">
        <f>IF('Pre-Calculation'!$D$17="Type 4 a",MAX(SA,N124,1.05*Q124),IF('Pre-Calculation'!$D$17="Type 4 c",N124,IF('Pre-Calculation'!$D$17="Type 4 d",SA+N124,IF('Pre-Calculation'!$D$17="Type 4 e",MAX(SA,N124),IF('Pre-Calculation'!$D$17="Type 4 f",SA,IF('Pre-Calculation'!$D$17="Type 4 g",1000+N124,IF('Pre-Calculation'!$D$17="Type 4 h",SA+V124,IF('Pre-Calculation'!$D$17="Type 4 i",MAX(N124,Q124),IF('Pre-Calculation'!$D$17="Type 4 k",MAX(N124,1.01*Q124),IF('Pre-Calculation'!$D$17="Type 4 m",MAX(105%*Q124,SA+N124),IF('Pre-Calculation'!$D$17="Type 4 o",MAX(SA,105%*Q124)+V124+X124,IF('Pre-Calculation'!$D$17="Type 5",0))))))))))))</f>
        <v>3597503.932</v>
      </c>
      <c r="Q124" s="175">
        <f t="shared" si="5"/>
        <v>1000000</v>
      </c>
      <c r="R124" s="119">
        <f>L124*(1+GROWTH_RATE)*FMC</f>
        <v>4027.016168</v>
      </c>
      <c r="S124" s="112"/>
      <c r="T124" s="175">
        <f>-E124+IF(A123=INPUT!$C$11*12,N124,0)</f>
        <v>0</v>
      </c>
      <c r="U124" s="112"/>
      <c r="V124" s="179">
        <f t="array" ref="V124">NPV('Pre-Calculation'!$E$20,$E125:E$246)</f>
        <v>0</v>
      </c>
      <c r="W124" s="171">
        <f>10%*SA</f>
        <v>100000</v>
      </c>
      <c r="X124" s="179">
        <f t="array" ref="X124">NPV('Pre-Calculation'!$E$20,W125:W134)</f>
        <v>969592.8037</v>
      </c>
      <c r="Y124" s="12"/>
      <c r="Z124" s="12"/>
    </row>
    <row r="125" ht="15.75" customHeight="1">
      <c r="A125" s="171">
        <f t="shared" si="1"/>
        <v>179</v>
      </c>
      <c r="B125" s="171">
        <f t="shared" si="2"/>
        <v>15</v>
      </c>
      <c r="C125" s="176">
        <f>EDATE(RCD,A124)</f>
        <v>47968</v>
      </c>
      <c r="D125" s="171">
        <f>Age_At_Entry+Cashflows_HIST!B125-1</f>
        <v>49</v>
      </c>
      <c r="E125" s="175">
        <f>IF(AND(C125&lt;=Last_Prem,MOD(A124,Mode)=0,C125&gt;INPUT!$C$13,A125&lt;=Revival!$C$11),Mod_Prem,0)</f>
        <v>0</v>
      </c>
      <c r="F125" s="177">
        <f>E125*VLOOKUP(B125,'Pre-Calculation'!$H$1:$I$31,2,FALSE)</f>
        <v>0</v>
      </c>
      <c r="G125" s="177">
        <f>IF(B125&lt;PT+1,VLOOKUP(B125,'Pre-Calculation'!$H$1:$L$32,3,FALSE)+VLOOKUP(B125,'Pre-Calculation'!$H$1:$L$32,4,FALSE)*'Pre-Calculation'!$D$7,0)</f>
        <v>0</v>
      </c>
      <c r="H125" s="175">
        <f>(E125-(F125+G125)*(1+Tax)+N124)</f>
        <v>3597503.932</v>
      </c>
      <c r="I125" s="175">
        <f>IF(B125&lt;PT+1,VLOOKUP(D125,'Pre-Calculation'!$N$3:$P$79,IF(INPUT!$C$4="M",2,3),FALSE)*(J125/1000)*(1/12),0)</f>
        <v>0</v>
      </c>
      <c r="J125" s="175">
        <f t="shared" si="3"/>
        <v>0</v>
      </c>
      <c r="K125" s="175">
        <f>(IF('Pre-Calculation'!$D$17="Type 4 a",MAX(SA,H125,1.05*Q125),IF('Pre-Calculation'!$D$17="Type 4 c",H125,IF('Pre-Calculation'!$D$17="Type 4 d",SA+H125,IF('Pre-Calculation'!$D$17="Type 4 e",MAX(SA,H125),IF('Pre-Calculation'!$D$17="Type 4 f",SA,IF('Pre-Calculation'!$D$17="Type 4 g",1000+H125,IF('Pre-Calculation'!$D$17="Type 4 h",SA+V125,IF('Pre-Calculation'!$D$17="Type 4 i",MAX(H125,Q125),IF('Pre-Calculation'!$D$17="Type 4 k",MAX(H125,1.01*Q125),IF('Pre-Calculation'!$D$17="Type 4 m",MAX(105%*Q125,SA+H125),IF('Pre-Calculation'!$D$17="Type 4 o",MAX(SA,105%*Q125)+V125+X125,IF('Pre-Calculation'!$D$17="Type 5",0)))))))))))))*IF(AND(A125&lt;Revival!$C$4,C125&gt;Revival!$D$12),PUP,1)</f>
        <v>3597503.932</v>
      </c>
      <c r="L125" s="175">
        <f>H125-I125*(1+Tax)</f>
        <v>3597503.932</v>
      </c>
      <c r="M125" s="175">
        <f>L125*(1+GROWTH_RATE_HIST)</f>
        <v>3636811.369</v>
      </c>
      <c r="N125" s="175">
        <f>M125+IF(MOD(A125,B125)=0,VLOOKUP(B125,'Pre-Calculation'!$H$1:$L$31,5,FALSE),0)*IF('Pre-Calculation'!$D$16="% OF FV",M125,IF(OR('Pre-Calculation'!$D$16="% OF AFV(24M)",'Pre-Calculation'!$D$16="% OF AFV(8Q)"),AVERAGE( $M102:$M125),IF('Pre-Calculation'!$D$16="% OF AFV(12M)",AVERAGE($M114:M125),IF('Pre-Calculation'!$D$16="% OF AFV(36M)",AVERAGE($M90:M125)))))</f>
        <v>3636811.369</v>
      </c>
      <c r="O125" s="175">
        <f t="shared" si="4"/>
        <v>3636811.369</v>
      </c>
      <c r="P125" s="175">
        <f>IF('Pre-Calculation'!$D$17="Type 4 a",MAX(SA,N125,1.05*Q125),IF('Pre-Calculation'!$D$17="Type 4 c",N125,IF('Pre-Calculation'!$D$17="Type 4 d",SA+N125,IF('Pre-Calculation'!$D$17="Type 4 e",MAX(SA,N125),IF('Pre-Calculation'!$D$17="Type 4 f",SA,IF('Pre-Calculation'!$D$17="Type 4 g",1000+N125,IF('Pre-Calculation'!$D$17="Type 4 h",SA+V125,IF('Pre-Calculation'!$D$17="Type 4 i",MAX(N125,Q125),IF('Pre-Calculation'!$D$17="Type 4 k",MAX(N125,1.01*Q125),IF('Pre-Calculation'!$D$17="Type 4 m",MAX(105%*Q125,SA+N125),IF('Pre-Calculation'!$D$17="Type 4 o",MAX(SA,105%*Q125)+V125+X125,IF('Pre-Calculation'!$D$17="Type 5",0))))))))))))</f>
        <v>3636811.369</v>
      </c>
      <c r="Q125" s="175">
        <f t="shared" si="5"/>
        <v>1000000</v>
      </c>
      <c r="R125" s="119">
        <f>L125*(1+GROWTH_RATE)*FMC</f>
        <v>4071.016588</v>
      </c>
      <c r="S125" s="112"/>
      <c r="T125" s="175">
        <f>-E125+IF(A124=INPUT!$C$11*12,N125,0)</f>
        <v>0</v>
      </c>
      <c r="U125" s="112"/>
      <c r="V125" s="179">
        <f t="array" ref="V125">NPV('Pre-Calculation'!$E$20,$E126:E$246)</f>
        <v>0</v>
      </c>
      <c r="W125" s="171">
        <f>10%*SA</f>
        <v>100000</v>
      </c>
      <c r="X125" s="179">
        <f t="array" ref="X125">NPV('Pre-Calculation'!$E$20,W126:W135)</f>
        <v>969592.8037</v>
      </c>
      <c r="Y125" s="12"/>
      <c r="Z125" s="12"/>
    </row>
    <row r="126" ht="15.75" customHeight="1">
      <c r="A126" s="171">
        <f t="shared" si="1"/>
        <v>180</v>
      </c>
      <c r="B126" s="171">
        <f t="shared" si="2"/>
        <v>15</v>
      </c>
      <c r="C126" s="176">
        <f>EDATE(RCD,A125)</f>
        <v>47998</v>
      </c>
      <c r="D126" s="171">
        <f>Age_At_Entry+Cashflows_HIST!B126-1</f>
        <v>49</v>
      </c>
      <c r="E126" s="175">
        <f>IF(AND(C126&lt;=Last_Prem,MOD(A125,Mode)=0,C126&gt;INPUT!$C$13,A126&lt;=Revival!$C$11),Mod_Prem,0)</f>
        <v>0</v>
      </c>
      <c r="F126" s="177">
        <f>E126*VLOOKUP(B126,'Pre-Calculation'!$H$1:$I$31,2,FALSE)</f>
        <v>0</v>
      </c>
      <c r="G126" s="177">
        <f>IF(B126&lt;PT+1,VLOOKUP(B126,'Pre-Calculation'!$H$1:$L$32,3,FALSE)+VLOOKUP(B126,'Pre-Calculation'!$H$1:$L$32,4,FALSE)*'Pre-Calculation'!$D$7,0)</f>
        <v>0</v>
      </c>
      <c r="H126" s="175">
        <f>(E126-(F126+G126)*(1+Tax)+N125)</f>
        <v>3636811.369</v>
      </c>
      <c r="I126" s="175">
        <f>IF(B126&lt;PT+1,VLOOKUP(D126,'Pre-Calculation'!$N$3:$P$79,IF(INPUT!$C$4="M",2,3),FALSE)*(J126/1000)*(1/12),0)</f>
        <v>0</v>
      </c>
      <c r="J126" s="175">
        <f t="shared" si="3"/>
        <v>0</v>
      </c>
      <c r="K126" s="175">
        <f>(IF('Pre-Calculation'!$D$17="Type 4 a",MAX(SA,H126,1.05*Q126),IF('Pre-Calculation'!$D$17="Type 4 c",H126,IF('Pre-Calculation'!$D$17="Type 4 d",SA+H126,IF('Pre-Calculation'!$D$17="Type 4 e",MAX(SA,H126),IF('Pre-Calculation'!$D$17="Type 4 f",SA,IF('Pre-Calculation'!$D$17="Type 4 g",1000+H126,IF('Pre-Calculation'!$D$17="Type 4 h",SA+V126,IF('Pre-Calculation'!$D$17="Type 4 i",MAX(H126,Q126),IF('Pre-Calculation'!$D$17="Type 4 k",MAX(H126,1.01*Q126),IF('Pre-Calculation'!$D$17="Type 4 m",MAX(105%*Q126,SA+H126),IF('Pre-Calculation'!$D$17="Type 4 o",MAX(SA,105%*Q126)+V126+X126,IF('Pre-Calculation'!$D$17="Type 5",0)))))))))))))*IF(AND(A126&lt;Revival!$C$4,C126&gt;Revival!$D$12),PUP,1)</f>
        <v>3636811.369</v>
      </c>
      <c r="L126" s="175">
        <f>H126-I126*(1+Tax)</f>
        <v>3636811.369</v>
      </c>
      <c r="M126" s="175">
        <f>L126*(1+GROWTH_RATE_HIST)</f>
        <v>3676548.291</v>
      </c>
      <c r="N126" s="175">
        <f>M126+IF(MOD(A126,B126)=0,VLOOKUP(B126,'Pre-Calculation'!$H$1:$L$31,5,FALSE),0)*IF('Pre-Calculation'!$D$16="% OF FV",M126,IF(OR('Pre-Calculation'!$D$16="% OF AFV(24M)",'Pre-Calculation'!$D$16="% OF AFV(8Q)"),AVERAGE( $M103:$M126),IF('Pre-Calculation'!$D$16="% OF AFV(12M)",AVERAGE($M115:M126),IF('Pre-Calculation'!$D$16="% OF AFV(36M)",AVERAGE($M91:M126)))))</f>
        <v>3676548.291</v>
      </c>
      <c r="O126" s="175">
        <f t="shared" si="4"/>
        <v>3676548.291</v>
      </c>
      <c r="P126" s="175">
        <f>IF('Pre-Calculation'!$D$17="Type 4 a",MAX(SA,N126,1.05*Q126),IF('Pre-Calculation'!$D$17="Type 4 c",N126,IF('Pre-Calculation'!$D$17="Type 4 d",SA+N126,IF('Pre-Calculation'!$D$17="Type 4 e",MAX(SA,N126),IF('Pre-Calculation'!$D$17="Type 4 f",SA,IF('Pre-Calculation'!$D$17="Type 4 g",1000+N126,IF('Pre-Calculation'!$D$17="Type 4 h",SA+V126,IF('Pre-Calculation'!$D$17="Type 4 i",MAX(N126,Q126),IF('Pre-Calculation'!$D$17="Type 4 k",MAX(N126,1.01*Q126),IF('Pre-Calculation'!$D$17="Type 4 m",MAX(105%*Q126,SA+N126),IF('Pre-Calculation'!$D$17="Type 4 o",MAX(SA,105%*Q126)+V126+X126,IF('Pre-Calculation'!$D$17="Type 5",0))))))))))))</f>
        <v>3676548.291</v>
      </c>
      <c r="Q126" s="175">
        <f t="shared" si="5"/>
        <v>1000000</v>
      </c>
      <c r="R126" s="119">
        <f>L126*(1+GROWTH_RATE)*FMC</f>
        <v>4115.497771</v>
      </c>
      <c r="S126" s="112"/>
      <c r="T126" s="175">
        <f>-E126+IF(A125=INPUT!$C$11*12,N126,0)</f>
        <v>0</v>
      </c>
      <c r="U126" s="112"/>
      <c r="V126" s="179">
        <f t="array" ref="V126">NPV('Pre-Calculation'!$E$20,$E127:E$246)</f>
        <v>0</v>
      </c>
      <c r="W126" s="171">
        <f>10%*SA</f>
        <v>100000</v>
      </c>
      <c r="X126" s="179">
        <f t="array" ref="X126">NPV('Pre-Calculation'!$E$20,W127:W136)</f>
        <v>969592.8037</v>
      </c>
      <c r="Y126" s="12"/>
      <c r="Z126" s="12"/>
    </row>
    <row r="127" ht="15.75" customHeight="1">
      <c r="A127" s="171">
        <f t="shared" si="1"/>
        <v>181</v>
      </c>
      <c r="B127" s="171">
        <f t="shared" si="2"/>
        <v>16</v>
      </c>
      <c r="C127" s="176">
        <f>EDATE(RCD,A126)</f>
        <v>48029</v>
      </c>
      <c r="D127" s="171">
        <f>Age_At_Entry+Cashflows_HIST!B127-1</f>
        <v>50</v>
      </c>
      <c r="E127" s="175">
        <f>IF(AND(C127&lt;=Last_Prem,MOD(A126,Mode)=0,C127&gt;INPUT!$C$13,A127&lt;=Revival!$C$11),Mod_Prem,0)</f>
        <v>0</v>
      </c>
      <c r="F127" s="177">
        <f>E127*VLOOKUP(B127,'Pre-Calculation'!$H$1:$I$31,2,FALSE)</f>
        <v>0</v>
      </c>
      <c r="G127" s="177">
        <f>IF(B127&lt;PT+1,VLOOKUP(B127,'Pre-Calculation'!$H$1:$L$32,3,FALSE)+VLOOKUP(B127,'Pre-Calculation'!$H$1:$L$32,4,FALSE)*'Pre-Calculation'!$D$7,0)</f>
        <v>0</v>
      </c>
      <c r="H127" s="175">
        <f>(E127-(F127+G127)*(1+Tax)+N126)</f>
        <v>3676548.291</v>
      </c>
      <c r="I127" s="175">
        <f>IF(B127&lt;PT+1,VLOOKUP(D127,'Pre-Calculation'!$N$3:$P$79,IF(INPUT!$C$4="M",2,3),FALSE)*(J127/1000)*(1/12),0)</f>
        <v>0</v>
      </c>
      <c r="J127" s="175">
        <f t="shared" si="3"/>
        <v>0</v>
      </c>
      <c r="K127" s="175">
        <f>(IF('Pre-Calculation'!$D$17="Type 4 a",MAX(SA,H127,1.05*Q127),IF('Pre-Calculation'!$D$17="Type 4 c",H127,IF('Pre-Calculation'!$D$17="Type 4 d",SA+H127,IF('Pre-Calculation'!$D$17="Type 4 e",MAX(SA,H127),IF('Pre-Calculation'!$D$17="Type 4 f",SA,IF('Pre-Calculation'!$D$17="Type 4 g",1000+H127,IF('Pre-Calculation'!$D$17="Type 4 h",SA+V127,IF('Pre-Calculation'!$D$17="Type 4 i",MAX(H127,Q127),IF('Pre-Calculation'!$D$17="Type 4 k",MAX(H127,1.01*Q127),IF('Pre-Calculation'!$D$17="Type 4 m",MAX(105%*Q127,SA+H127),IF('Pre-Calculation'!$D$17="Type 4 o",MAX(SA,105%*Q127)+V127+X127,IF('Pre-Calculation'!$D$17="Type 5",0)))))))))))))*IF(AND(A127&lt;Revival!$C$4,C127&gt;Revival!$D$12),PUP,1)</f>
        <v>3676548.291</v>
      </c>
      <c r="L127" s="175">
        <f>H127-I127*(1+Tax)</f>
        <v>3676548.291</v>
      </c>
      <c r="M127" s="175">
        <f>L127*(1+GROWTH_RATE_HIST)</f>
        <v>3716719.392</v>
      </c>
      <c r="N127" s="175">
        <f>M127+IF(MOD(A127,B127)=0,VLOOKUP(B127,'Pre-Calculation'!$H$1:$L$31,5,FALSE),0)*IF('Pre-Calculation'!$D$16="% OF FV",M127,IF(OR('Pre-Calculation'!$D$16="% OF AFV(24M)",'Pre-Calculation'!$D$16="% OF AFV(8Q)"),AVERAGE( $M104:$M127),IF('Pre-Calculation'!$D$16="% OF AFV(12M)",AVERAGE($M116:M127),IF('Pre-Calculation'!$D$16="% OF AFV(36M)",AVERAGE($M92:M127)))))</f>
        <v>3716719.392</v>
      </c>
      <c r="O127" s="175">
        <f t="shared" si="4"/>
        <v>3716719.392</v>
      </c>
      <c r="P127" s="175">
        <f>IF('Pre-Calculation'!$D$17="Type 4 a",MAX(SA,N127,1.05*Q127),IF('Pre-Calculation'!$D$17="Type 4 c",N127,IF('Pre-Calculation'!$D$17="Type 4 d",SA+N127,IF('Pre-Calculation'!$D$17="Type 4 e",MAX(SA,N127),IF('Pre-Calculation'!$D$17="Type 4 f",SA,IF('Pre-Calculation'!$D$17="Type 4 g",1000+N127,IF('Pre-Calculation'!$D$17="Type 4 h",SA+V127,IF('Pre-Calculation'!$D$17="Type 4 i",MAX(N127,Q127),IF('Pre-Calculation'!$D$17="Type 4 k",MAX(N127,1.01*Q127),IF('Pre-Calculation'!$D$17="Type 4 m",MAX(105%*Q127,SA+N127),IF('Pre-Calculation'!$D$17="Type 4 o",MAX(SA,105%*Q127)+V127+X127,IF('Pre-Calculation'!$D$17="Type 5",0))))))))))))</f>
        <v>3716719.392</v>
      </c>
      <c r="Q127" s="175">
        <f t="shared" si="5"/>
        <v>1000000</v>
      </c>
      <c r="R127" s="119">
        <f>L127*(1+GROWTH_RATE)*FMC</f>
        <v>4160.464968</v>
      </c>
      <c r="S127" s="112"/>
      <c r="T127" s="175">
        <f>-E127+IF(A126=INPUT!$C$11*12,N127,0)</f>
        <v>0</v>
      </c>
      <c r="U127" s="112"/>
      <c r="V127" s="179">
        <f t="array" ref="V127">NPV('Pre-Calculation'!$E$20,$E128:E$246)</f>
        <v>0</v>
      </c>
      <c r="W127" s="171">
        <f>10%*SA</f>
        <v>100000</v>
      </c>
      <c r="X127" s="179">
        <f t="array" ref="X127">NPV('Pre-Calculation'!$E$20,W128:W137)</f>
        <v>969592.8037</v>
      </c>
      <c r="Y127" s="12"/>
      <c r="Z127" s="12"/>
    </row>
    <row r="128" ht="15.75" customHeight="1">
      <c r="A128" s="171">
        <f t="shared" si="1"/>
        <v>182</v>
      </c>
      <c r="B128" s="171">
        <f t="shared" si="2"/>
        <v>16</v>
      </c>
      <c r="C128" s="176">
        <f>EDATE(RCD,A127)</f>
        <v>48059</v>
      </c>
      <c r="D128" s="171">
        <f>Age_At_Entry+Cashflows_HIST!B128-1</f>
        <v>50</v>
      </c>
      <c r="E128" s="175">
        <f>IF(AND(C128&lt;=Last_Prem,MOD(A127,Mode)=0,C128&gt;INPUT!$C$13,A128&lt;=Revival!$C$11),Mod_Prem,0)</f>
        <v>0</v>
      </c>
      <c r="F128" s="177">
        <f>E128*VLOOKUP(B128,'Pre-Calculation'!$H$1:$I$31,2,FALSE)</f>
        <v>0</v>
      </c>
      <c r="G128" s="177">
        <f>IF(B128&lt;PT+1,VLOOKUP(B128,'Pre-Calculation'!$H$1:$L$32,3,FALSE)+VLOOKUP(B128,'Pre-Calculation'!$H$1:$L$32,4,FALSE)*'Pre-Calculation'!$D$7,0)</f>
        <v>0</v>
      </c>
      <c r="H128" s="175">
        <f>(E128-(F128+G128)*(1+Tax)+N127)</f>
        <v>3716719.392</v>
      </c>
      <c r="I128" s="175">
        <f>IF(B128&lt;PT+1,VLOOKUP(D128,'Pre-Calculation'!$N$3:$P$79,IF(INPUT!$C$4="M",2,3),FALSE)*(J128/1000)*(1/12),0)</f>
        <v>0</v>
      </c>
      <c r="J128" s="175">
        <f t="shared" si="3"/>
        <v>0</v>
      </c>
      <c r="K128" s="175">
        <f>(IF('Pre-Calculation'!$D$17="Type 4 a",MAX(SA,H128,1.05*Q128),IF('Pre-Calculation'!$D$17="Type 4 c",H128,IF('Pre-Calculation'!$D$17="Type 4 d",SA+H128,IF('Pre-Calculation'!$D$17="Type 4 e",MAX(SA,H128),IF('Pre-Calculation'!$D$17="Type 4 f",SA,IF('Pre-Calculation'!$D$17="Type 4 g",1000+H128,IF('Pre-Calculation'!$D$17="Type 4 h",SA+V128,IF('Pre-Calculation'!$D$17="Type 4 i",MAX(H128,Q128),IF('Pre-Calculation'!$D$17="Type 4 k",MAX(H128,1.01*Q128),IF('Pre-Calculation'!$D$17="Type 4 m",MAX(105%*Q128,SA+H128),IF('Pre-Calculation'!$D$17="Type 4 o",MAX(SA,105%*Q128)+V128+X128,IF('Pre-Calculation'!$D$17="Type 5",0)))))))))))))*IF(AND(A128&lt;Revival!$C$4,C128&gt;Revival!$D$12),PUP,1)</f>
        <v>3716719.392</v>
      </c>
      <c r="L128" s="175">
        <f>H128-I128*(1+Tax)</f>
        <v>3716719.392</v>
      </c>
      <c r="M128" s="175">
        <f>L128*(1+GROWTH_RATE_HIST)</f>
        <v>3757329.414</v>
      </c>
      <c r="N128" s="175">
        <f>M128+IF(MOD(A128,B128)=0,VLOOKUP(B128,'Pre-Calculation'!$H$1:$L$31,5,FALSE),0)*IF('Pre-Calculation'!$D$16="% OF FV",M128,IF(OR('Pre-Calculation'!$D$16="% OF AFV(24M)",'Pre-Calculation'!$D$16="% OF AFV(8Q)"),AVERAGE( $M105:$M128),IF('Pre-Calculation'!$D$16="% OF AFV(12M)",AVERAGE($M117:M128),IF('Pre-Calculation'!$D$16="% OF AFV(36M)",AVERAGE($M93:M128)))))</f>
        <v>3757329.414</v>
      </c>
      <c r="O128" s="175">
        <f t="shared" si="4"/>
        <v>3757329.414</v>
      </c>
      <c r="P128" s="175">
        <f>IF('Pre-Calculation'!$D$17="Type 4 a",MAX(SA,N128,1.05*Q128),IF('Pre-Calculation'!$D$17="Type 4 c",N128,IF('Pre-Calculation'!$D$17="Type 4 d",SA+N128,IF('Pre-Calculation'!$D$17="Type 4 e",MAX(SA,N128),IF('Pre-Calculation'!$D$17="Type 4 f",SA,IF('Pre-Calculation'!$D$17="Type 4 g",1000+N128,IF('Pre-Calculation'!$D$17="Type 4 h",SA+V128,IF('Pre-Calculation'!$D$17="Type 4 i",MAX(N128,Q128),IF('Pre-Calculation'!$D$17="Type 4 k",MAX(N128,1.01*Q128),IF('Pre-Calculation'!$D$17="Type 4 m",MAX(105%*Q128,SA+N128),IF('Pre-Calculation'!$D$17="Type 4 o",MAX(SA,105%*Q128)+V128+X128,IF('Pre-Calculation'!$D$17="Type 5",0))))))))))))</f>
        <v>3757329.414</v>
      </c>
      <c r="Q128" s="175">
        <f t="shared" si="5"/>
        <v>1000000</v>
      </c>
      <c r="R128" s="119">
        <f>L128*(1+GROWTH_RATE)*FMC</f>
        <v>4205.923491</v>
      </c>
      <c r="S128" s="112"/>
      <c r="T128" s="175">
        <f>-E128+IF(A127=INPUT!$C$11*12,N128,0)</f>
        <v>0</v>
      </c>
      <c r="U128" s="112"/>
      <c r="V128" s="179">
        <f t="array" ref="V128">NPV('Pre-Calculation'!$E$20,$E129:E$246)</f>
        <v>0</v>
      </c>
      <c r="W128" s="171">
        <f>10%*SA</f>
        <v>100000</v>
      </c>
      <c r="X128" s="179">
        <f t="array" ref="X128">NPV('Pre-Calculation'!$E$20,W129:W138)</f>
        <v>969592.8037</v>
      </c>
      <c r="Y128" s="12"/>
      <c r="Z128" s="12"/>
    </row>
    <row r="129" ht="15.75" customHeight="1">
      <c r="A129" s="171">
        <f t="shared" si="1"/>
        <v>183</v>
      </c>
      <c r="B129" s="171">
        <f t="shared" si="2"/>
        <v>16</v>
      </c>
      <c r="C129" s="176">
        <f>EDATE(RCD,A128)</f>
        <v>48090</v>
      </c>
      <c r="D129" s="171">
        <f>Age_At_Entry+Cashflows_HIST!B129-1</f>
        <v>50</v>
      </c>
      <c r="E129" s="175">
        <f>IF(AND(C129&lt;=Last_Prem,MOD(A128,Mode)=0,C129&gt;INPUT!$C$13,A129&lt;=Revival!$C$11),Mod_Prem,0)</f>
        <v>0</v>
      </c>
      <c r="F129" s="177">
        <f>E129*VLOOKUP(B129,'Pre-Calculation'!$H$1:$I$31,2,FALSE)</f>
        <v>0</v>
      </c>
      <c r="G129" s="177">
        <f>IF(B129&lt;PT+1,VLOOKUP(B129,'Pre-Calculation'!$H$1:$L$32,3,FALSE)+VLOOKUP(B129,'Pre-Calculation'!$H$1:$L$32,4,FALSE)*'Pre-Calculation'!$D$7,0)</f>
        <v>0</v>
      </c>
      <c r="H129" s="175">
        <f>(E129-(F129+G129)*(1+Tax)+N128)</f>
        <v>3757329.414</v>
      </c>
      <c r="I129" s="175">
        <f>IF(B129&lt;PT+1,VLOOKUP(D129,'Pre-Calculation'!$N$3:$P$79,IF(INPUT!$C$4="M",2,3),FALSE)*(J129/1000)*(1/12),0)</f>
        <v>0</v>
      </c>
      <c r="J129" s="175">
        <f t="shared" si="3"/>
        <v>0</v>
      </c>
      <c r="K129" s="175">
        <f>(IF('Pre-Calculation'!$D$17="Type 4 a",MAX(SA,H129,1.05*Q129),IF('Pre-Calculation'!$D$17="Type 4 c",H129,IF('Pre-Calculation'!$D$17="Type 4 d",SA+H129,IF('Pre-Calculation'!$D$17="Type 4 e",MAX(SA,H129),IF('Pre-Calculation'!$D$17="Type 4 f",SA,IF('Pre-Calculation'!$D$17="Type 4 g",1000+H129,IF('Pre-Calculation'!$D$17="Type 4 h",SA+V129,IF('Pre-Calculation'!$D$17="Type 4 i",MAX(H129,Q129),IF('Pre-Calculation'!$D$17="Type 4 k",MAX(H129,1.01*Q129),IF('Pre-Calculation'!$D$17="Type 4 m",MAX(105%*Q129,SA+H129),IF('Pre-Calculation'!$D$17="Type 4 o",MAX(SA,105%*Q129)+V129+X129,IF('Pre-Calculation'!$D$17="Type 5",0)))))))))))))*IF(AND(A129&lt;Revival!$C$4,C129&gt;Revival!$D$12),PUP,1)</f>
        <v>3757329.414</v>
      </c>
      <c r="L129" s="175">
        <f>H129-I129*(1+Tax)</f>
        <v>3757329.414</v>
      </c>
      <c r="M129" s="175">
        <f>L129*(1+GROWTH_RATE_HIST)</f>
        <v>3798383.154</v>
      </c>
      <c r="N129" s="175">
        <f>M129+IF(MOD(A129,B129)=0,VLOOKUP(B129,'Pre-Calculation'!$H$1:$L$31,5,FALSE),0)*IF('Pre-Calculation'!$D$16="% OF FV",M129,IF(OR('Pre-Calculation'!$D$16="% OF AFV(24M)",'Pre-Calculation'!$D$16="% OF AFV(8Q)"),AVERAGE( $M106:$M129),IF('Pre-Calculation'!$D$16="% OF AFV(12M)",AVERAGE($M118:M129),IF('Pre-Calculation'!$D$16="% OF AFV(36M)",AVERAGE($M94:M129)))))</f>
        <v>3798383.154</v>
      </c>
      <c r="O129" s="175">
        <f t="shared" si="4"/>
        <v>3798383.154</v>
      </c>
      <c r="P129" s="175">
        <f>IF('Pre-Calculation'!$D$17="Type 4 a",MAX(SA,N129,1.05*Q129),IF('Pre-Calculation'!$D$17="Type 4 c",N129,IF('Pre-Calculation'!$D$17="Type 4 d",SA+N129,IF('Pre-Calculation'!$D$17="Type 4 e",MAX(SA,N129),IF('Pre-Calculation'!$D$17="Type 4 f",SA,IF('Pre-Calculation'!$D$17="Type 4 g",1000+N129,IF('Pre-Calculation'!$D$17="Type 4 h",SA+V129,IF('Pre-Calculation'!$D$17="Type 4 i",MAX(N129,Q129),IF('Pre-Calculation'!$D$17="Type 4 k",MAX(N129,1.01*Q129),IF('Pre-Calculation'!$D$17="Type 4 m",MAX(105%*Q129,SA+N129),IF('Pre-Calculation'!$D$17="Type 4 o",MAX(SA,105%*Q129)+V129+X129,IF('Pre-Calculation'!$D$17="Type 5",0))))))))))))</f>
        <v>3798383.154</v>
      </c>
      <c r="Q129" s="175">
        <f t="shared" si="5"/>
        <v>1000000</v>
      </c>
      <c r="R129" s="119">
        <f>L129*(1+GROWTH_RATE)*FMC</f>
        <v>4251.878708</v>
      </c>
      <c r="S129" s="112"/>
      <c r="T129" s="175">
        <f>-E129+IF(A128=INPUT!$C$11*12,N129,0)</f>
        <v>0</v>
      </c>
      <c r="U129" s="112"/>
      <c r="V129" s="179">
        <f t="array" ref="V129">NPV('Pre-Calculation'!$E$20,$E130:E$246)</f>
        <v>0</v>
      </c>
      <c r="W129" s="171">
        <f>10%*SA</f>
        <v>100000</v>
      </c>
      <c r="X129" s="179">
        <f t="array" ref="X129">NPV('Pre-Calculation'!$E$20,W130:W139)</f>
        <v>969592.8037</v>
      </c>
      <c r="Y129" s="12"/>
      <c r="Z129" s="12"/>
    </row>
    <row r="130" ht="15.75" customHeight="1">
      <c r="A130" s="171">
        <f t="shared" si="1"/>
        <v>184</v>
      </c>
      <c r="B130" s="171">
        <f t="shared" si="2"/>
        <v>16</v>
      </c>
      <c r="C130" s="176">
        <f>EDATE(RCD,A129)</f>
        <v>48121</v>
      </c>
      <c r="D130" s="171">
        <f>Age_At_Entry+Cashflows_HIST!B130-1</f>
        <v>50</v>
      </c>
      <c r="E130" s="175">
        <f>IF(AND(C130&lt;=Last_Prem,MOD(A129,Mode)=0,C130&gt;INPUT!$C$13,A130&lt;=Revival!$C$11),Mod_Prem,0)</f>
        <v>0</v>
      </c>
      <c r="F130" s="177">
        <f>E130*VLOOKUP(B130,'Pre-Calculation'!$H$1:$I$31,2,FALSE)</f>
        <v>0</v>
      </c>
      <c r="G130" s="177">
        <f>IF(B130&lt;PT+1,VLOOKUP(B130,'Pre-Calculation'!$H$1:$L$32,3,FALSE)+VLOOKUP(B130,'Pre-Calculation'!$H$1:$L$32,4,FALSE)*'Pre-Calculation'!$D$7,0)</f>
        <v>0</v>
      </c>
      <c r="H130" s="175">
        <f>(E130-(F130+G130)*(1+Tax)+N129)</f>
        <v>3798383.154</v>
      </c>
      <c r="I130" s="175">
        <f>IF(B130&lt;PT+1,VLOOKUP(D130,'Pre-Calculation'!$N$3:$P$79,IF(INPUT!$C$4="M",2,3),FALSE)*(J130/1000)*(1/12),0)</f>
        <v>0</v>
      </c>
      <c r="J130" s="175">
        <f t="shared" si="3"/>
        <v>0</v>
      </c>
      <c r="K130" s="175">
        <f>(IF('Pre-Calculation'!$D$17="Type 4 a",MAX(SA,H130,1.05*Q130),IF('Pre-Calculation'!$D$17="Type 4 c",H130,IF('Pre-Calculation'!$D$17="Type 4 d",SA+H130,IF('Pre-Calculation'!$D$17="Type 4 e",MAX(SA,H130),IF('Pre-Calculation'!$D$17="Type 4 f",SA,IF('Pre-Calculation'!$D$17="Type 4 g",1000+H130,IF('Pre-Calculation'!$D$17="Type 4 h",SA+V130,IF('Pre-Calculation'!$D$17="Type 4 i",MAX(H130,Q130),IF('Pre-Calculation'!$D$17="Type 4 k",MAX(H130,1.01*Q130),IF('Pre-Calculation'!$D$17="Type 4 m",MAX(105%*Q130,SA+H130),IF('Pre-Calculation'!$D$17="Type 4 o",MAX(SA,105%*Q130)+V130+X130,IF('Pre-Calculation'!$D$17="Type 5",0)))))))))))))*IF(AND(A130&lt;Revival!$C$4,C130&gt;Revival!$D$12),PUP,1)</f>
        <v>3798383.154</v>
      </c>
      <c r="L130" s="175">
        <f>H130-I130*(1+Tax)</f>
        <v>3798383.154</v>
      </c>
      <c r="M130" s="175">
        <f>L130*(1+GROWTH_RATE_HIST)</f>
        <v>3839885.459</v>
      </c>
      <c r="N130" s="175">
        <f>M130+IF(MOD(A130,B130)=0,VLOOKUP(B130,'Pre-Calculation'!$H$1:$L$31,5,FALSE),0)*IF('Pre-Calculation'!$D$16="% OF FV",M130,IF(OR('Pre-Calculation'!$D$16="% OF AFV(24M)",'Pre-Calculation'!$D$16="% OF AFV(8Q)"),AVERAGE( $M107:$M130),IF('Pre-Calculation'!$D$16="% OF AFV(12M)",AVERAGE($M119:M130),IF('Pre-Calculation'!$D$16="% OF AFV(36M)",AVERAGE($M95:M130)))))</f>
        <v>3839885.459</v>
      </c>
      <c r="O130" s="175">
        <f t="shared" si="4"/>
        <v>3839885.459</v>
      </c>
      <c r="P130" s="175">
        <f>IF('Pre-Calculation'!$D$17="Type 4 a",MAX(SA,N130,1.05*Q130),IF('Pre-Calculation'!$D$17="Type 4 c",N130,IF('Pre-Calculation'!$D$17="Type 4 d",SA+N130,IF('Pre-Calculation'!$D$17="Type 4 e",MAX(SA,N130),IF('Pre-Calculation'!$D$17="Type 4 f",SA,IF('Pre-Calculation'!$D$17="Type 4 g",1000+N130,IF('Pre-Calculation'!$D$17="Type 4 h",SA+V130,IF('Pre-Calculation'!$D$17="Type 4 i",MAX(N130,Q130),IF('Pre-Calculation'!$D$17="Type 4 k",MAX(N130,1.01*Q130),IF('Pre-Calculation'!$D$17="Type 4 m",MAX(105%*Q130,SA+N130),IF('Pre-Calculation'!$D$17="Type 4 o",MAX(SA,105%*Q130)+V130+X130,IF('Pre-Calculation'!$D$17="Type 5",0))))))))))))</f>
        <v>3839885.459</v>
      </c>
      <c r="Q130" s="175">
        <f t="shared" si="5"/>
        <v>1000000</v>
      </c>
      <c r="R130" s="119">
        <f>L130*(1+GROWTH_RATE)*FMC</f>
        <v>4298.336046</v>
      </c>
      <c r="S130" s="112"/>
      <c r="T130" s="175">
        <f>-E130+IF(A129=INPUT!$C$11*12,N130,0)</f>
        <v>0</v>
      </c>
      <c r="U130" s="112"/>
      <c r="V130" s="179">
        <f t="array" ref="V130">NPV('Pre-Calculation'!$E$20,$E131:E$246)</f>
        <v>0</v>
      </c>
      <c r="W130" s="171">
        <f>10%*SA</f>
        <v>100000</v>
      </c>
      <c r="X130" s="179">
        <f t="array" ref="X130">NPV('Pre-Calculation'!$E$20,W131:W140)</f>
        <v>969592.8037</v>
      </c>
      <c r="Y130" s="12"/>
      <c r="Z130" s="12"/>
    </row>
    <row r="131" ht="15.75" customHeight="1">
      <c r="A131" s="171">
        <f t="shared" si="1"/>
        <v>185</v>
      </c>
      <c r="B131" s="171">
        <f t="shared" si="2"/>
        <v>16</v>
      </c>
      <c r="C131" s="176">
        <f>EDATE(RCD,A130)</f>
        <v>48151</v>
      </c>
      <c r="D131" s="171">
        <f>Age_At_Entry+Cashflows_HIST!B131-1</f>
        <v>50</v>
      </c>
      <c r="E131" s="175">
        <f>IF(AND(C131&lt;=Last_Prem,MOD(A130,Mode)=0,C131&gt;INPUT!$C$13,A131&lt;=Revival!$C$11),Mod_Prem,0)</f>
        <v>0</v>
      </c>
      <c r="F131" s="177">
        <f>E131*VLOOKUP(B131,'Pre-Calculation'!$H$1:$I$31,2,FALSE)</f>
        <v>0</v>
      </c>
      <c r="G131" s="177">
        <f>IF(B131&lt;PT+1,VLOOKUP(B131,'Pre-Calculation'!$H$1:$L$32,3,FALSE)+VLOOKUP(B131,'Pre-Calculation'!$H$1:$L$32,4,FALSE)*'Pre-Calculation'!$D$7,0)</f>
        <v>0</v>
      </c>
      <c r="H131" s="175">
        <f>(E131-(F131+G131)*(1+Tax)+N130)</f>
        <v>3839885.459</v>
      </c>
      <c r="I131" s="175">
        <f>IF(B131&lt;PT+1,VLOOKUP(D131,'Pre-Calculation'!$N$3:$P$79,IF(INPUT!$C$4="M",2,3),FALSE)*(J131/1000)*(1/12),0)</f>
        <v>0</v>
      </c>
      <c r="J131" s="175">
        <f t="shared" si="3"/>
        <v>0</v>
      </c>
      <c r="K131" s="175">
        <f>(IF('Pre-Calculation'!$D$17="Type 4 a",MAX(SA,H131,1.05*Q131),IF('Pre-Calculation'!$D$17="Type 4 c",H131,IF('Pre-Calculation'!$D$17="Type 4 d",SA+H131,IF('Pre-Calculation'!$D$17="Type 4 e",MAX(SA,H131),IF('Pre-Calculation'!$D$17="Type 4 f",SA,IF('Pre-Calculation'!$D$17="Type 4 g",1000+H131,IF('Pre-Calculation'!$D$17="Type 4 h",SA+V131,IF('Pre-Calculation'!$D$17="Type 4 i",MAX(H131,Q131),IF('Pre-Calculation'!$D$17="Type 4 k",MAX(H131,1.01*Q131),IF('Pre-Calculation'!$D$17="Type 4 m",MAX(105%*Q131,SA+H131),IF('Pre-Calculation'!$D$17="Type 4 o",MAX(SA,105%*Q131)+V131+X131,IF('Pre-Calculation'!$D$17="Type 5",0)))))))))))))*IF(AND(A131&lt;Revival!$C$4,C131&gt;Revival!$D$12),PUP,1)</f>
        <v>3839885.459</v>
      </c>
      <c r="L131" s="175">
        <f>H131-I131*(1+Tax)</f>
        <v>3839885.459</v>
      </c>
      <c r="M131" s="175">
        <f>L131*(1+GROWTH_RATE_HIST)</f>
        <v>3881841.232</v>
      </c>
      <c r="N131" s="175">
        <f>M131+IF(MOD(A131,B131)=0,VLOOKUP(B131,'Pre-Calculation'!$H$1:$L$31,5,FALSE),0)*IF('Pre-Calculation'!$D$16="% OF FV",M131,IF(OR('Pre-Calculation'!$D$16="% OF AFV(24M)",'Pre-Calculation'!$D$16="% OF AFV(8Q)"),AVERAGE( $M108:$M131),IF('Pre-Calculation'!$D$16="% OF AFV(12M)",AVERAGE($M120:M131),IF('Pre-Calculation'!$D$16="% OF AFV(36M)",AVERAGE($M96:M131)))))</f>
        <v>3881841.232</v>
      </c>
      <c r="O131" s="175">
        <f t="shared" si="4"/>
        <v>3881841.232</v>
      </c>
      <c r="P131" s="175">
        <f>IF('Pre-Calculation'!$D$17="Type 4 a",MAX(SA,N131,1.05*Q131),IF('Pre-Calculation'!$D$17="Type 4 c",N131,IF('Pre-Calculation'!$D$17="Type 4 d",SA+N131,IF('Pre-Calculation'!$D$17="Type 4 e",MAX(SA,N131),IF('Pre-Calculation'!$D$17="Type 4 f",SA,IF('Pre-Calculation'!$D$17="Type 4 g",1000+N131,IF('Pre-Calculation'!$D$17="Type 4 h",SA+V131,IF('Pre-Calculation'!$D$17="Type 4 i",MAX(N131,Q131),IF('Pre-Calculation'!$D$17="Type 4 k",MAX(N131,1.01*Q131),IF('Pre-Calculation'!$D$17="Type 4 m",MAX(105%*Q131,SA+N131),IF('Pre-Calculation'!$D$17="Type 4 o",MAX(SA,105%*Q131)+V131+X131,IF('Pre-Calculation'!$D$17="Type 5",0))))))))))))</f>
        <v>3881841.232</v>
      </c>
      <c r="Q131" s="175">
        <f t="shared" si="5"/>
        <v>1000000</v>
      </c>
      <c r="R131" s="119">
        <f>L131*(1+GROWTH_RATE)*FMC</f>
        <v>4345.300991</v>
      </c>
      <c r="S131" s="112"/>
      <c r="T131" s="175">
        <f>-E131+IF(A130=INPUT!$C$11*12,N131,0)</f>
        <v>0</v>
      </c>
      <c r="U131" s="112"/>
      <c r="V131" s="179">
        <f t="array" ref="V131">NPV('Pre-Calculation'!$E$20,$E132:E$246)</f>
        <v>0</v>
      </c>
      <c r="W131" s="171">
        <f>10%*SA</f>
        <v>100000</v>
      </c>
      <c r="X131" s="179">
        <f t="array" ref="X131">NPV('Pre-Calculation'!$E$20,W132:W141)</f>
        <v>969592.8037</v>
      </c>
      <c r="Y131" s="12"/>
      <c r="Z131" s="12"/>
    </row>
    <row r="132" ht="15.75" customHeight="1">
      <c r="A132" s="171">
        <f t="shared" si="1"/>
        <v>186</v>
      </c>
      <c r="B132" s="171">
        <f t="shared" si="2"/>
        <v>16</v>
      </c>
      <c r="C132" s="176">
        <f>EDATE(RCD,A131)</f>
        <v>48182</v>
      </c>
      <c r="D132" s="171">
        <f>Age_At_Entry+Cashflows_HIST!B132-1</f>
        <v>50</v>
      </c>
      <c r="E132" s="175">
        <f>IF(AND(C132&lt;=Last_Prem,MOD(A131,Mode)=0,C132&gt;INPUT!$C$13,A132&lt;=Revival!$C$11),Mod_Prem,0)</f>
        <v>0</v>
      </c>
      <c r="F132" s="177">
        <f>E132*VLOOKUP(B132,'Pre-Calculation'!$H$1:$I$31,2,FALSE)</f>
        <v>0</v>
      </c>
      <c r="G132" s="177">
        <f>IF(B132&lt;PT+1,VLOOKUP(B132,'Pre-Calculation'!$H$1:$L$32,3,FALSE)+VLOOKUP(B132,'Pre-Calculation'!$H$1:$L$32,4,FALSE)*'Pre-Calculation'!$D$7,0)</f>
        <v>0</v>
      </c>
      <c r="H132" s="175">
        <f>(E132-(F132+G132)*(1+Tax)+N131)</f>
        <v>3881841.232</v>
      </c>
      <c r="I132" s="175">
        <f>IF(B132&lt;PT+1,VLOOKUP(D132,'Pre-Calculation'!$N$3:$P$79,IF(INPUT!$C$4="M",2,3),FALSE)*(J132/1000)*(1/12),0)</f>
        <v>0</v>
      </c>
      <c r="J132" s="175">
        <f t="shared" si="3"/>
        <v>0</v>
      </c>
      <c r="K132" s="175">
        <f>(IF('Pre-Calculation'!$D$17="Type 4 a",MAX(SA,H132,1.05*Q132),IF('Pre-Calculation'!$D$17="Type 4 c",H132,IF('Pre-Calculation'!$D$17="Type 4 d",SA+H132,IF('Pre-Calculation'!$D$17="Type 4 e",MAX(SA,H132),IF('Pre-Calculation'!$D$17="Type 4 f",SA,IF('Pre-Calculation'!$D$17="Type 4 g",1000+H132,IF('Pre-Calculation'!$D$17="Type 4 h",SA+V132,IF('Pre-Calculation'!$D$17="Type 4 i",MAX(H132,Q132),IF('Pre-Calculation'!$D$17="Type 4 k",MAX(H132,1.01*Q132),IF('Pre-Calculation'!$D$17="Type 4 m",MAX(105%*Q132,SA+H132),IF('Pre-Calculation'!$D$17="Type 4 o",MAX(SA,105%*Q132)+V132+X132,IF('Pre-Calculation'!$D$17="Type 5",0)))))))))))))*IF(AND(A132&lt;Revival!$C$4,C132&gt;Revival!$D$12),PUP,1)</f>
        <v>3881841.232</v>
      </c>
      <c r="L132" s="175">
        <f>H132-I132*(1+Tax)</f>
        <v>3881841.232</v>
      </c>
      <c r="M132" s="175">
        <f>L132*(1+GROWTH_RATE_HIST)</f>
        <v>3924255.426</v>
      </c>
      <c r="N132" s="175">
        <f>M132+IF(MOD(A132,B132)=0,VLOOKUP(B132,'Pre-Calculation'!$H$1:$L$31,5,FALSE),0)*IF('Pre-Calculation'!$D$16="% OF FV",M132,IF(OR('Pre-Calculation'!$D$16="% OF AFV(24M)",'Pre-Calculation'!$D$16="% OF AFV(8Q)"),AVERAGE( $M109:$M132),IF('Pre-Calculation'!$D$16="% OF AFV(12M)",AVERAGE($M121:M132),IF('Pre-Calculation'!$D$16="% OF AFV(36M)",AVERAGE($M97:M132)))))</f>
        <v>3924255.426</v>
      </c>
      <c r="O132" s="175">
        <f t="shared" si="4"/>
        <v>3924255.426</v>
      </c>
      <c r="P132" s="175">
        <f>IF('Pre-Calculation'!$D$17="Type 4 a",MAX(SA,N132,1.05*Q132),IF('Pre-Calculation'!$D$17="Type 4 c",N132,IF('Pre-Calculation'!$D$17="Type 4 d",SA+N132,IF('Pre-Calculation'!$D$17="Type 4 e",MAX(SA,N132),IF('Pre-Calculation'!$D$17="Type 4 f",SA,IF('Pre-Calculation'!$D$17="Type 4 g",1000+N132,IF('Pre-Calculation'!$D$17="Type 4 h",SA+V132,IF('Pre-Calculation'!$D$17="Type 4 i",MAX(N132,Q132),IF('Pre-Calculation'!$D$17="Type 4 k",MAX(N132,1.01*Q132),IF('Pre-Calculation'!$D$17="Type 4 m",MAX(105%*Q132,SA+N132),IF('Pre-Calculation'!$D$17="Type 4 o",MAX(SA,105%*Q132)+V132+X132,IF('Pre-Calculation'!$D$17="Type 5",0))))))))))))</f>
        <v>3924255.426</v>
      </c>
      <c r="Q132" s="175">
        <f t="shared" si="5"/>
        <v>1000000</v>
      </c>
      <c r="R132" s="119">
        <f>L132*(1+GROWTH_RATE)*FMC</f>
        <v>4392.77909</v>
      </c>
      <c r="S132" s="112"/>
      <c r="T132" s="175">
        <f>-E132+IF(A131=INPUT!$C$11*12,N132,0)</f>
        <v>0</v>
      </c>
      <c r="U132" s="112"/>
      <c r="V132" s="179">
        <f t="array" ref="V132">NPV('Pre-Calculation'!$E$20,$E133:E$246)</f>
        <v>0</v>
      </c>
      <c r="W132" s="171">
        <f>10%*SA</f>
        <v>100000</v>
      </c>
      <c r="X132" s="179">
        <f t="array" ref="X132">NPV('Pre-Calculation'!$E$20,W133:W142)</f>
        <v>969592.8037</v>
      </c>
      <c r="Y132" s="12"/>
      <c r="Z132" s="12"/>
    </row>
    <row r="133" ht="15.75" customHeight="1">
      <c r="A133" s="171">
        <f t="shared" si="1"/>
        <v>187</v>
      </c>
      <c r="B133" s="171">
        <f t="shared" si="2"/>
        <v>16</v>
      </c>
      <c r="C133" s="176">
        <f>EDATE(RCD,A132)</f>
        <v>48212</v>
      </c>
      <c r="D133" s="171">
        <f>Age_At_Entry+Cashflows_HIST!B133-1</f>
        <v>50</v>
      </c>
      <c r="E133" s="175">
        <f>IF(AND(C133&lt;=Last_Prem,MOD(A132,Mode)=0,C133&gt;INPUT!$C$13,A133&lt;=Revival!$C$11),Mod_Prem,0)</f>
        <v>0</v>
      </c>
      <c r="F133" s="177">
        <f>E133*VLOOKUP(B133,'Pre-Calculation'!$H$1:$I$31,2,FALSE)</f>
        <v>0</v>
      </c>
      <c r="G133" s="177">
        <f>IF(B133&lt;PT+1,VLOOKUP(B133,'Pre-Calculation'!$H$1:$L$32,3,FALSE)+VLOOKUP(B133,'Pre-Calculation'!$H$1:$L$32,4,FALSE)*'Pre-Calculation'!$D$7,0)</f>
        <v>0</v>
      </c>
      <c r="H133" s="175">
        <f>(E133-(F133+G133)*(1+Tax)+N132)</f>
        <v>3924255.426</v>
      </c>
      <c r="I133" s="175">
        <f>IF(B133&lt;PT+1,VLOOKUP(D133,'Pre-Calculation'!$N$3:$P$79,IF(INPUT!$C$4="M",2,3),FALSE)*(J133/1000)*(1/12),0)</f>
        <v>0</v>
      </c>
      <c r="J133" s="175">
        <f t="shared" si="3"/>
        <v>0</v>
      </c>
      <c r="K133" s="175">
        <f>(IF('Pre-Calculation'!$D$17="Type 4 a",MAX(SA,H133,1.05*Q133),IF('Pre-Calculation'!$D$17="Type 4 c",H133,IF('Pre-Calculation'!$D$17="Type 4 d",SA+H133,IF('Pre-Calculation'!$D$17="Type 4 e",MAX(SA,H133),IF('Pre-Calculation'!$D$17="Type 4 f",SA,IF('Pre-Calculation'!$D$17="Type 4 g",1000+H133,IF('Pre-Calculation'!$D$17="Type 4 h",SA+V133,IF('Pre-Calculation'!$D$17="Type 4 i",MAX(H133,Q133),IF('Pre-Calculation'!$D$17="Type 4 k",MAX(H133,1.01*Q133),IF('Pre-Calculation'!$D$17="Type 4 m",MAX(105%*Q133,SA+H133),IF('Pre-Calculation'!$D$17="Type 4 o",MAX(SA,105%*Q133)+V133+X133,IF('Pre-Calculation'!$D$17="Type 5",0)))))))))))))*IF(AND(A133&lt;Revival!$C$4,C133&gt;Revival!$D$12),PUP,1)</f>
        <v>3924255.426</v>
      </c>
      <c r="L133" s="175">
        <f>H133-I133*(1+Tax)</f>
        <v>3924255.426</v>
      </c>
      <c r="M133" s="175">
        <f>L133*(1+GROWTH_RATE_HIST)</f>
        <v>3967133.051</v>
      </c>
      <c r="N133" s="175">
        <f>M133+IF(MOD(A133,B133)=0,VLOOKUP(B133,'Pre-Calculation'!$H$1:$L$31,5,FALSE),0)*IF('Pre-Calculation'!$D$16="% OF FV",M133,IF(OR('Pre-Calculation'!$D$16="% OF AFV(24M)",'Pre-Calculation'!$D$16="% OF AFV(8Q)"),AVERAGE( $M110:$M133),IF('Pre-Calculation'!$D$16="% OF AFV(12M)",AVERAGE($M122:M133),IF('Pre-Calculation'!$D$16="% OF AFV(36M)",AVERAGE($M98:M133)))))</f>
        <v>3967133.051</v>
      </c>
      <c r="O133" s="175">
        <f t="shared" si="4"/>
        <v>3967133.051</v>
      </c>
      <c r="P133" s="175">
        <f>IF('Pre-Calculation'!$D$17="Type 4 a",MAX(SA,N133,1.05*Q133),IF('Pre-Calculation'!$D$17="Type 4 c",N133,IF('Pre-Calculation'!$D$17="Type 4 d",SA+N133,IF('Pre-Calculation'!$D$17="Type 4 e",MAX(SA,N133),IF('Pre-Calculation'!$D$17="Type 4 f",SA,IF('Pre-Calculation'!$D$17="Type 4 g",1000+N133,IF('Pre-Calculation'!$D$17="Type 4 h",SA+V133,IF('Pre-Calculation'!$D$17="Type 4 i",MAX(N133,Q133),IF('Pre-Calculation'!$D$17="Type 4 k",MAX(N133,1.01*Q133),IF('Pre-Calculation'!$D$17="Type 4 m",MAX(105%*Q133,SA+N133),IF('Pre-Calculation'!$D$17="Type 4 o",MAX(SA,105%*Q133)+V133+X133,IF('Pre-Calculation'!$D$17="Type 5",0))))))))))))</f>
        <v>3967133.051</v>
      </c>
      <c r="Q133" s="175">
        <f t="shared" si="5"/>
        <v>1000000</v>
      </c>
      <c r="R133" s="119">
        <f>L133*(1+GROWTH_RATE)*FMC</f>
        <v>4440.775949</v>
      </c>
      <c r="S133" s="112"/>
      <c r="T133" s="175">
        <f>-E133+IF(A132=INPUT!$C$11*12,N133,0)</f>
        <v>0</v>
      </c>
      <c r="U133" s="112"/>
      <c r="V133" s="179">
        <f t="array" ref="V133">NPV('Pre-Calculation'!$E$20,$E134:E$246)</f>
        <v>0</v>
      </c>
      <c r="W133" s="171">
        <f>10%*SA</f>
        <v>100000</v>
      </c>
      <c r="X133" s="179">
        <f t="array" ref="X133">NPV('Pre-Calculation'!$E$20,W134:W143)</f>
        <v>969592.8037</v>
      </c>
      <c r="Y133" s="12"/>
      <c r="Z133" s="12"/>
    </row>
    <row r="134" ht="15.75" customHeight="1">
      <c r="A134" s="171">
        <f t="shared" si="1"/>
        <v>188</v>
      </c>
      <c r="B134" s="171">
        <f t="shared" si="2"/>
        <v>16</v>
      </c>
      <c r="C134" s="176">
        <f>EDATE(RCD,A133)</f>
        <v>48243</v>
      </c>
      <c r="D134" s="171">
        <f>Age_At_Entry+Cashflows_HIST!B134-1</f>
        <v>50</v>
      </c>
      <c r="E134" s="175">
        <f>IF(AND(C134&lt;=Last_Prem,MOD(A133,Mode)=0,C134&gt;INPUT!$C$13,A134&lt;=Revival!$C$11),Mod_Prem,0)</f>
        <v>0</v>
      </c>
      <c r="F134" s="177">
        <f>E134*VLOOKUP(B134,'Pre-Calculation'!$H$1:$I$31,2,FALSE)</f>
        <v>0</v>
      </c>
      <c r="G134" s="177">
        <f>IF(B134&lt;PT+1,VLOOKUP(B134,'Pre-Calculation'!$H$1:$L$32,3,FALSE)+VLOOKUP(B134,'Pre-Calculation'!$H$1:$L$32,4,FALSE)*'Pre-Calculation'!$D$7,0)</f>
        <v>0</v>
      </c>
      <c r="H134" s="175">
        <f>(E134-(F134+G134)*(1+Tax)+N133)</f>
        <v>3967133.051</v>
      </c>
      <c r="I134" s="175">
        <f>IF(B134&lt;PT+1,VLOOKUP(D134,'Pre-Calculation'!$N$3:$P$79,IF(INPUT!$C$4="M",2,3),FALSE)*(J134/1000)*(1/12),0)</f>
        <v>0</v>
      </c>
      <c r="J134" s="175">
        <f t="shared" si="3"/>
        <v>0</v>
      </c>
      <c r="K134" s="175">
        <f>(IF('Pre-Calculation'!$D$17="Type 4 a",MAX(SA,H134,1.05*Q134),IF('Pre-Calculation'!$D$17="Type 4 c",H134,IF('Pre-Calculation'!$D$17="Type 4 d",SA+H134,IF('Pre-Calculation'!$D$17="Type 4 e",MAX(SA,H134),IF('Pre-Calculation'!$D$17="Type 4 f",SA,IF('Pre-Calculation'!$D$17="Type 4 g",1000+H134,IF('Pre-Calculation'!$D$17="Type 4 h",SA+V134,IF('Pre-Calculation'!$D$17="Type 4 i",MAX(H134,Q134),IF('Pre-Calculation'!$D$17="Type 4 k",MAX(H134,1.01*Q134),IF('Pre-Calculation'!$D$17="Type 4 m",MAX(105%*Q134,SA+H134),IF('Pre-Calculation'!$D$17="Type 4 o",MAX(SA,105%*Q134)+V134+X134,IF('Pre-Calculation'!$D$17="Type 5",0)))))))))))))*IF(AND(A134&lt;Revival!$C$4,C134&gt;Revival!$D$12),PUP,1)</f>
        <v>3967133.051</v>
      </c>
      <c r="L134" s="175">
        <f>H134-I134*(1+Tax)</f>
        <v>3967133.051</v>
      </c>
      <c r="M134" s="175">
        <f>L134*(1+GROWTH_RATE_HIST)</f>
        <v>4010479.17</v>
      </c>
      <c r="N134" s="175">
        <f>M134+IF(MOD(A134,B134)=0,VLOOKUP(B134,'Pre-Calculation'!$H$1:$L$31,5,FALSE),0)*IF('Pre-Calculation'!$D$16="% OF FV",M134,IF(OR('Pre-Calculation'!$D$16="% OF AFV(24M)",'Pre-Calculation'!$D$16="% OF AFV(8Q)"),AVERAGE( $M111:$M134),IF('Pre-Calculation'!$D$16="% OF AFV(12M)",AVERAGE($M123:M134),IF('Pre-Calculation'!$D$16="% OF AFV(36M)",AVERAGE($M99:M134)))))</f>
        <v>4010479.17</v>
      </c>
      <c r="O134" s="175">
        <f t="shared" si="4"/>
        <v>4010479.17</v>
      </c>
      <c r="P134" s="175">
        <f>IF('Pre-Calculation'!$D$17="Type 4 a",MAX(SA,N134,1.05*Q134),IF('Pre-Calculation'!$D$17="Type 4 c",N134,IF('Pre-Calculation'!$D$17="Type 4 d",SA+N134,IF('Pre-Calculation'!$D$17="Type 4 e",MAX(SA,N134),IF('Pre-Calculation'!$D$17="Type 4 f",SA,IF('Pre-Calculation'!$D$17="Type 4 g",1000+N134,IF('Pre-Calculation'!$D$17="Type 4 h",SA+V134,IF('Pre-Calculation'!$D$17="Type 4 i",MAX(N134,Q134),IF('Pre-Calculation'!$D$17="Type 4 k",MAX(N134,1.01*Q134),IF('Pre-Calculation'!$D$17="Type 4 m",MAX(105%*Q134,SA+N134),IF('Pre-Calculation'!$D$17="Type 4 o",MAX(SA,105%*Q134)+V134+X134,IF('Pre-Calculation'!$D$17="Type 5",0))))))))))))</f>
        <v>4010479.17</v>
      </c>
      <c r="Q134" s="175">
        <f t="shared" si="5"/>
        <v>1000000</v>
      </c>
      <c r="R134" s="119">
        <f>L134*(1+GROWTH_RATE)*FMC</f>
        <v>4489.297236</v>
      </c>
      <c r="S134" s="112"/>
      <c r="T134" s="175">
        <f>-E134+IF(A133=INPUT!$C$11*12,N134,0)</f>
        <v>0</v>
      </c>
      <c r="U134" s="112"/>
      <c r="V134" s="179">
        <f t="array" ref="V134">NPV('Pre-Calculation'!$E$20,$E135:E$246)</f>
        <v>0</v>
      </c>
      <c r="W134" s="171">
        <f>10%*SA</f>
        <v>100000</v>
      </c>
      <c r="X134" s="179">
        <f t="array" ref="X134">NPV('Pre-Calculation'!$E$20,W135:W144)</f>
        <v>969592.8037</v>
      </c>
      <c r="Y134" s="12"/>
      <c r="Z134" s="12"/>
    </row>
    <row r="135" ht="15.75" customHeight="1">
      <c r="A135" s="171">
        <f t="shared" si="1"/>
        <v>189</v>
      </c>
      <c r="B135" s="171">
        <f t="shared" si="2"/>
        <v>16</v>
      </c>
      <c r="C135" s="176">
        <f>EDATE(RCD,A134)</f>
        <v>48273</v>
      </c>
      <c r="D135" s="171">
        <f>Age_At_Entry+Cashflows_HIST!B135-1</f>
        <v>50</v>
      </c>
      <c r="E135" s="175">
        <f>IF(AND(C135&lt;=Last_Prem,MOD(A134,Mode)=0,C135&gt;INPUT!$C$13,A135&lt;=Revival!$C$11),Mod_Prem,0)</f>
        <v>0</v>
      </c>
      <c r="F135" s="177">
        <f>E135*VLOOKUP(B135,'Pre-Calculation'!$H$1:$I$31,2,FALSE)</f>
        <v>0</v>
      </c>
      <c r="G135" s="177">
        <f>IF(B135&lt;PT+1,VLOOKUP(B135,'Pre-Calculation'!$H$1:$L$32,3,FALSE)+VLOOKUP(B135,'Pre-Calculation'!$H$1:$L$32,4,FALSE)*'Pre-Calculation'!$D$7,0)</f>
        <v>0</v>
      </c>
      <c r="H135" s="175">
        <f>(E135-(F135+G135)*(1+Tax)+N134)</f>
        <v>4010479.17</v>
      </c>
      <c r="I135" s="175">
        <f>IF(B135&lt;PT+1,VLOOKUP(D135,'Pre-Calculation'!$N$3:$P$79,IF(INPUT!$C$4="M",2,3),FALSE)*(J135/1000)*(1/12),0)</f>
        <v>0</v>
      </c>
      <c r="J135" s="175">
        <f t="shared" si="3"/>
        <v>0</v>
      </c>
      <c r="K135" s="175">
        <f>(IF('Pre-Calculation'!$D$17="Type 4 a",MAX(SA,H135,1.05*Q135),IF('Pre-Calculation'!$D$17="Type 4 c",H135,IF('Pre-Calculation'!$D$17="Type 4 d",SA+H135,IF('Pre-Calculation'!$D$17="Type 4 e",MAX(SA,H135),IF('Pre-Calculation'!$D$17="Type 4 f",SA,IF('Pre-Calculation'!$D$17="Type 4 g",1000+H135,IF('Pre-Calculation'!$D$17="Type 4 h",SA+V135,IF('Pre-Calculation'!$D$17="Type 4 i",MAX(H135,Q135),IF('Pre-Calculation'!$D$17="Type 4 k",MAX(H135,1.01*Q135),IF('Pre-Calculation'!$D$17="Type 4 m",MAX(105%*Q135,SA+H135),IF('Pre-Calculation'!$D$17="Type 4 o",MAX(SA,105%*Q135)+V135+X135,IF('Pre-Calculation'!$D$17="Type 5",0)))))))))))))*IF(AND(A135&lt;Revival!$C$4,C135&gt;Revival!$D$12),PUP,1)</f>
        <v>4010479.17</v>
      </c>
      <c r="L135" s="175">
        <f>H135-I135*(1+Tax)</f>
        <v>4010479.17</v>
      </c>
      <c r="M135" s="175">
        <f>L135*(1+GROWTH_RATE_HIST)</f>
        <v>4054298.902</v>
      </c>
      <c r="N135" s="175">
        <f>M135+IF(MOD(A135,B135)=0,VLOOKUP(B135,'Pre-Calculation'!$H$1:$L$31,5,FALSE),0)*IF('Pre-Calculation'!$D$16="% OF FV",M135,IF(OR('Pre-Calculation'!$D$16="% OF AFV(24M)",'Pre-Calculation'!$D$16="% OF AFV(8Q)"),AVERAGE( $M112:$M135),IF('Pre-Calculation'!$D$16="% OF AFV(12M)",AVERAGE($M124:M135),IF('Pre-Calculation'!$D$16="% OF AFV(36M)",AVERAGE($M100:M135)))))</f>
        <v>4054298.902</v>
      </c>
      <c r="O135" s="175">
        <f t="shared" si="4"/>
        <v>4054298.902</v>
      </c>
      <c r="P135" s="175">
        <f>IF('Pre-Calculation'!$D$17="Type 4 a",MAX(SA,N135,1.05*Q135),IF('Pre-Calculation'!$D$17="Type 4 c",N135,IF('Pre-Calculation'!$D$17="Type 4 d",SA+N135,IF('Pre-Calculation'!$D$17="Type 4 e",MAX(SA,N135),IF('Pre-Calculation'!$D$17="Type 4 f",SA,IF('Pre-Calculation'!$D$17="Type 4 g",1000+N135,IF('Pre-Calculation'!$D$17="Type 4 h",SA+V135,IF('Pre-Calculation'!$D$17="Type 4 i",MAX(N135,Q135),IF('Pre-Calculation'!$D$17="Type 4 k",MAX(N135,1.01*Q135),IF('Pre-Calculation'!$D$17="Type 4 m",MAX(105%*Q135,SA+N135),IF('Pre-Calculation'!$D$17="Type 4 o",MAX(SA,105%*Q135)+V135+X135,IF('Pre-Calculation'!$D$17="Type 5",0))))))))))))</f>
        <v>4054298.902</v>
      </c>
      <c r="Q135" s="175">
        <f t="shared" si="5"/>
        <v>1000000</v>
      </c>
      <c r="R135" s="119">
        <f>L135*(1+GROWTH_RATE)*FMC</f>
        <v>4538.348682</v>
      </c>
      <c r="S135" s="112"/>
      <c r="T135" s="175">
        <f>-E135+IF(A134=INPUT!$C$11*12,N135,0)</f>
        <v>0</v>
      </c>
      <c r="U135" s="112"/>
      <c r="V135" s="179">
        <f t="array" ref="V135">NPV('Pre-Calculation'!$E$20,$E136:E$246)</f>
        <v>0</v>
      </c>
      <c r="W135" s="171">
        <f>10%*SA</f>
        <v>100000</v>
      </c>
      <c r="X135" s="179">
        <f t="array" ref="X135">NPV('Pre-Calculation'!$E$20,W136:W145)</f>
        <v>969592.8037</v>
      </c>
      <c r="Y135" s="12"/>
      <c r="Z135" s="12"/>
    </row>
    <row r="136" ht="15.75" customHeight="1">
      <c r="A136" s="171">
        <f t="shared" si="1"/>
        <v>190</v>
      </c>
      <c r="B136" s="171">
        <f t="shared" si="2"/>
        <v>16</v>
      </c>
      <c r="C136" s="176">
        <f>EDATE(RCD,A135)</f>
        <v>48303</v>
      </c>
      <c r="D136" s="171">
        <f>Age_At_Entry+Cashflows_HIST!B136-1</f>
        <v>50</v>
      </c>
      <c r="E136" s="175">
        <f>IF(AND(C136&lt;=Last_Prem,MOD(A135,Mode)=0,C136&gt;INPUT!$C$13,A136&lt;=Revival!$C$11),Mod_Prem,0)</f>
        <v>0</v>
      </c>
      <c r="F136" s="177">
        <f>E136*VLOOKUP(B136,'Pre-Calculation'!$H$1:$I$31,2,FALSE)</f>
        <v>0</v>
      </c>
      <c r="G136" s="177">
        <f>IF(B136&lt;PT+1,VLOOKUP(B136,'Pre-Calculation'!$H$1:$L$32,3,FALSE)+VLOOKUP(B136,'Pre-Calculation'!$H$1:$L$32,4,FALSE)*'Pre-Calculation'!$D$7,0)</f>
        <v>0</v>
      </c>
      <c r="H136" s="175">
        <f>(E136-(F136+G136)*(1+Tax)+N135)</f>
        <v>4054298.902</v>
      </c>
      <c r="I136" s="175">
        <f>IF(B136&lt;PT+1,VLOOKUP(D136,'Pre-Calculation'!$N$3:$P$79,IF(INPUT!$C$4="M",2,3),FALSE)*(J136/1000)*(1/12),0)</f>
        <v>0</v>
      </c>
      <c r="J136" s="175">
        <f t="shared" si="3"/>
        <v>0</v>
      </c>
      <c r="K136" s="175">
        <f>(IF('Pre-Calculation'!$D$17="Type 4 a",MAX(SA,H136,1.05*Q136),IF('Pre-Calculation'!$D$17="Type 4 c",H136,IF('Pre-Calculation'!$D$17="Type 4 d",SA+H136,IF('Pre-Calculation'!$D$17="Type 4 e",MAX(SA,H136),IF('Pre-Calculation'!$D$17="Type 4 f",SA,IF('Pre-Calculation'!$D$17="Type 4 g",1000+H136,IF('Pre-Calculation'!$D$17="Type 4 h",SA+V136,IF('Pre-Calculation'!$D$17="Type 4 i",MAX(H136,Q136),IF('Pre-Calculation'!$D$17="Type 4 k",MAX(H136,1.01*Q136),IF('Pre-Calculation'!$D$17="Type 4 m",MAX(105%*Q136,SA+H136),IF('Pre-Calculation'!$D$17="Type 4 o",MAX(SA,105%*Q136)+V136+X136,IF('Pre-Calculation'!$D$17="Type 5",0)))))))))))))*IF(AND(A136&lt;Revival!$C$4,C136&gt;Revival!$D$12),PUP,1)</f>
        <v>4054298.902</v>
      </c>
      <c r="L136" s="175">
        <f>H136-I136*(1+Tax)</f>
        <v>4054298.902</v>
      </c>
      <c r="M136" s="175">
        <f>L136*(1+GROWTH_RATE_HIST)</f>
        <v>4098597.422</v>
      </c>
      <c r="N136" s="175">
        <f>M136+IF(MOD(A136,B136)=0,VLOOKUP(B136,'Pre-Calculation'!$H$1:$L$31,5,FALSE),0)*IF('Pre-Calculation'!$D$16="% OF FV",M136,IF(OR('Pre-Calculation'!$D$16="% OF AFV(24M)",'Pre-Calculation'!$D$16="% OF AFV(8Q)"),AVERAGE( $M113:$M136),IF('Pre-Calculation'!$D$16="% OF AFV(12M)",AVERAGE($M125:M136),IF('Pre-Calculation'!$D$16="% OF AFV(36M)",AVERAGE($M101:M136)))))</f>
        <v>4098597.422</v>
      </c>
      <c r="O136" s="175">
        <f t="shared" si="4"/>
        <v>4098597.422</v>
      </c>
      <c r="P136" s="175">
        <f>IF('Pre-Calculation'!$D$17="Type 4 a",MAX(SA,N136,1.05*Q136),IF('Pre-Calculation'!$D$17="Type 4 c",N136,IF('Pre-Calculation'!$D$17="Type 4 d",SA+N136,IF('Pre-Calculation'!$D$17="Type 4 e",MAX(SA,N136),IF('Pre-Calculation'!$D$17="Type 4 f",SA,IF('Pre-Calculation'!$D$17="Type 4 g",1000+N136,IF('Pre-Calculation'!$D$17="Type 4 h",SA+V136,IF('Pre-Calculation'!$D$17="Type 4 i",MAX(N136,Q136),IF('Pre-Calculation'!$D$17="Type 4 k",MAX(N136,1.01*Q136),IF('Pre-Calculation'!$D$17="Type 4 m",MAX(105%*Q136,SA+N136),IF('Pre-Calculation'!$D$17="Type 4 o",MAX(SA,105%*Q136)+V136+X136,IF('Pre-Calculation'!$D$17="Type 5",0))))))))))))</f>
        <v>4098597.422</v>
      </c>
      <c r="Q136" s="175">
        <f t="shared" si="5"/>
        <v>1000000</v>
      </c>
      <c r="R136" s="119">
        <f>L136*(1+GROWTH_RATE)*FMC</f>
        <v>4587.936079</v>
      </c>
      <c r="S136" s="112"/>
      <c r="T136" s="175">
        <f>-E136+IF(A135=INPUT!$C$11*12,N136,0)</f>
        <v>0</v>
      </c>
      <c r="U136" s="112"/>
      <c r="V136" s="179">
        <f t="array" ref="V136">NPV('Pre-Calculation'!$E$20,$E137:E$246)</f>
        <v>0</v>
      </c>
      <c r="W136" s="171">
        <f>10%*SA</f>
        <v>100000</v>
      </c>
      <c r="X136" s="179">
        <f t="array" ref="X136">NPV('Pre-Calculation'!$E$20,W137:W146)</f>
        <v>969592.8037</v>
      </c>
      <c r="Y136" s="12"/>
      <c r="Z136" s="12"/>
    </row>
    <row r="137" ht="15.75" customHeight="1">
      <c r="A137" s="171">
        <f t="shared" si="1"/>
        <v>191</v>
      </c>
      <c r="B137" s="171">
        <f t="shared" si="2"/>
        <v>16</v>
      </c>
      <c r="C137" s="176">
        <f>EDATE(RCD,A136)</f>
        <v>48334</v>
      </c>
      <c r="D137" s="171">
        <f>Age_At_Entry+Cashflows_HIST!B137-1</f>
        <v>50</v>
      </c>
      <c r="E137" s="175">
        <f>IF(AND(C137&lt;=Last_Prem,MOD(A136,Mode)=0,C137&gt;INPUT!$C$13,A137&lt;=Revival!$C$11),Mod_Prem,0)</f>
        <v>0</v>
      </c>
      <c r="F137" s="177">
        <f>E137*VLOOKUP(B137,'Pre-Calculation'!$H$1:$I$31,2,FALSE)</f>
        <v>0</v>
      </c>
      <c r="G137" s="177">
        <f>IF(B137&lt;PT+1,VLOOKUP(B137,'Pre-Calculation'!$H$1:$L$32,3,FALSE)+VLOOKUP(B137,'Pre-Calculation'!$H$1:$L$32,4,FALSE)*'Pre-Calculation'!$D$7,0)</f>
        <v>0</v>
      </c>
      <c r="H137" s="175">
        <f>(E137-(F137+G137)*(1+Tax)+N136)</f>
        <v>4098597.422</v>
      </c>
      <c r="I137" s="175">
        <f>IF(B137&lt;PT+1,VLOOKUP(D137,'Pre-Calculation'!$N$3:$P$79,IF(INPUT!$C$4="M",2,3),FALSE)*(J137/1000)*(1/12),0)</f>
        <v>0</v>
      </c>
      <c r="J137" s="175">
        <f t="shared" si="3"/>
        <v>0</v>
      </c>
      <c r="K137" s="175">
        <f>(IF('Pre-Calculation'!$D$17="Type 4 a",MAX(SA,H137,1.05*Q137),IF('Pre-Calculation'!$D$17="Type 4 c",H137,IF('Pre-Calculation'!$D$17="Type 4 d",SA+H137,IF('Pre-Calculation'!$D$17="Type 4 e",MAX(SA,H137),IF('Pre-Calculation'!$D$17="Type 4 f",SA,IF('Pre-Calculation'!$D$17="Type 4 g",1000+H137,IF('Pre-Calculation'!$D$17="Type 4 h",SA+V137,IF('Pre-Calculation'!$D$17="Type 4 i",MAX(H137,Q137),IF('Pre-Calculation'!$D$17="Type 4 k",MAX(H137,1.01*Q137),IF('Pre-Calculation'!$D$17="Type 4 m",MAX(105%*Q137,SA+H137),IF('Pre-Calculation'!$D$17="Type 4 o",MAX(SA,105%*Q137)+V137+X137,IF('Pre-Calculation'!$D$17="Type 5",0)))))))))))))*IF(AND(A137&lt;Revival!$C$4,C137&gt;Revival!$D$12),PUP,1)</f>
        <v>4098597.422</v>
      </c>
      <c r="L137" s="175">
        <f>H137-I137*(1+Tax)</f>
        <v>4098597.422</v>
      </c>
      <c r="M137" s="175">
        <f>L137*(1+GROWTH_RATE_HIST)</f>
        <v>4143379.961</v>
      </c>
      <c r="N137" s="175">
        <f>M137+IF(MOD(A137,B137)=0,VLOOKUP(B137,'Pre-Calculation'!$H$1:$L$31,5,FALSE),0)*IF('Pre-Calculation'!$D$16="% OF FV",M137,IF(OR('Pre-Calculation'!$D$16="% OF AFV(24M)",'Pre-Calculation'!$D$16="% OF AFV(8Q)"),AVERAGE( $M114:$M137),IF('Pre-Calculation'!$D$16="% OF AFV(12M)",AVERAGE($M126:M137),IF('Pre-Calculation'!$D$16="% OF AFV(36M)",AVERAGE($M102:M137)))))</f>
        <v>4143379.961</v>
      </c>
      <c r="O137" s="175">
        <f t="shared" si="4"/>
        <v>4143379.961</v>
      </c>
      <c r="P137" s="175">
        <f>IF('Pre-Calculation'!$D$17="Type 4 a",MAX(SA,N137,1.05*Q137),IF('Pre-Calculation'!$D$17="Type 4 c",N137,IF('Pre-Calculation'!$D$17="Type 4 d",SA+N137,IF('Pre-Calculation'!$D$17="Type 4 e",MAX(SA,N137),IF('Pre-Calculation'!$D$17="Type 4 f",SA,IF('Pre-Calculation'!$D$17="Type 4 g",1000+N137,IF('Pre-Calculation'!$D$17="Type 4 h",SA+V137,IF('Pre-Calculation'!$D$17="Type 4 i",MAX(N137,Q137),IF('Pre-Calculation'!$D$17="Type 4 k",MAX(N137,1.01*Q137),IF('Pre-Calculation'!$D$17="Type 4 m",MAX(105%*Q137,SA+N137),IF('Pre-Calculation'!$D$17="Type 4 o",MAX(SA,105%*Q137)+V137+X137,IF('Pre-Calculation'!$D$17="Type 5",0))))))))))))</f>
        <v>4143379.961</v>
      </c>
      <c r="Q137" s="175">
        <f t="shared" si="5"/>
        <v>1000000</v>
      </c>
      <c r="R137" s="119">
        <f>L137*(1+GROWTH_RATE)*FMC</f>
        <v>4638.065284</v>
      </c>
      <c r="S137" s="112"/>
      <c r="T137" s="175">
        <f>-E137+IF(A136=INPUT!$C$11*12,N137,0)</f>
        <v>0</v>
      </c>
      <c r="U137" s="112"/>
      <c r="V137" s="179">
        <f t="array" ref="V137">NPV('Pre-Calculation'!$E$20,$E138:E$246)</f>
        <v>0</v>
      </c>
      <c r="W137" s="171">
        <f>10%*SA</f>
        <v>100000</v>
      </c>
      <c r="X137" s="179">
        <f t="array" ref="X137">NPV('Pre-Calculation'!$E$20,W138:W147)</f>
        <v>969592.8037</v>
      </c>
      <c r="Y137" s="12"/>
      <c r="Z137" s="12"/>
    </row>
    <row r="138" ht="15.75" customHeight="1">
      <c r="A138" s="171">
        <f t="shared" si="1"/>
        <v>192</v>
      </c>
      <c r="B138" s="171">
        <f t="shared" si="2"/>
        <v>16</v>
      </c>
      <c r="C138" s="176">
        <f>EDATE(RCD,A137)</f>
        <v>48364</v>
      </c>
      <c r="D138" s="171">
        <f>Age_At_Entry+Cashflows_HIST!B138-1</f>
        <v>50</v>
      </c>
      <c r="E138" s="175">
        <f>IF(AND(C138&lt;=Last_Prem,MOD(A137,Mode)=0,C138&gt;INPUT!$C$13,A138&lt;=Revival!$C$11),Mod_Prem,0)</f>
        <v>0</v>
      </c>
      <c r="F138" s="177">
        <f>E138*VLOOKUP(B138,'Pre-Calculation'!$H$1:$I$31,2,FALSE)</f>
        <v>0</v>
      </c>
      <c r="G138" s="177">
        <f>IF(B138&lt;PT+1,VLOOKUP(B138,'Pre-Calculation'!$H$1:$L$32,3,FALSE)+VLOOKUP(B138,'Pre-Calculation'!$H$1:$L$32,4,FALSE)*'Pre-Calculation'!$D$7,0)</f>
        <v>0</v>
      </c>
      <c r="H138" s="175">
        <f>(E138-(F138+G138)*(1+Tax)+N137)</f>
        <v>4143379.961</v>
      </c>
      <c r="I138" s="175">
        <f>IF(B138&lt;PT+1,VLOOKUP(D138,'Pre-Calculation'!$N$3:$P$79,IF(INPUT!$C$4="M",2,3),FALSE)*(J138/1000)*(1/12),0)</f>
        <v>0</v>
      </c>
      <c r="J138" s="175">
        <f t="shared" si="3"/>
        <v>0</v>
      </c>
      <c r="K138" s="175">
        <f>(IF('Pre-Calculation'!$D$17="Type 4 a",MAX(SA,H138,1.05*Q138),IF('Pre-Calculation'!$D$17="Type 4 c",H138,IF('Pre-Calculation'!$D$17="Type 4 d",SA+H138,IF('Pre-Calculation'!$D$17="Type 4 e",MAX(SA,H138),IF('Pre-Calculation'!$D$17="Type 4 f",SA,IF('Pre-Calculation'!$D$17="Type 4 g",1000+H138,IF('Pre-Calculation'!$D$17="Type 4 h",SA+V138,IF('Pre-Calculation'!$D$17="Type 4 i",MAX(H138,Q138),IF('Pre-Calculation'!$D$17="Type 4 k",MAX(H138,1.01*Q138),IF('Pre-Calculation'!$D$17="Type 4 m",MAX(105%*Q138,SA+H138),IF('Pre-Calculation'!$D$17="Type 4 o",MAX(SA,105%*Q138)+V138+X138,IF('Pre-Calculation'!$D$17="Type 5",0)))))))))))))*IF(AND(A138&lt;Revival!$C$4,C138&gt;Revival!$D$12),PUP,1)</f>
        <v>4143379.961</v>
      </c>
      <c r="L138" s="175">
        <f>H138-I138*(1+Tax)</f>
        <v>4143379.961</v>
      </c>
      <c r="M138" s="175">
        <f>L138*(1+GROWTH_RATE_HIST)</f>
        <v>4188651.809</v>
      </c>
      <c r="N138" s="175">
        <f>M138+IF(MOD(A138,B138)=0,VLOOKUP(B138,'Pre-Calculation'!$H$1:$L$31,5,FALSE),0)*IF('Pre-Calculation'!$D$16="% OF FV",M138,IF(OR('Pre-Calculation'!$D$16="% OF AFV(24M)",'Pre-Calculation'!$D$16="% OF AFV(8Q)"),AVERAGE( $M115:$M138),IF('Pre-Calculation'!$D$16="% OF AFV(12M)",AVERAGE($M127:M138),IF('Pre-Calculation'!$D$16="% OF AFV(36M)",AVERAGE($M103:M138)))))</f>
        <v>4188651.809</v>
      </c>
      <c r="O138" s="175">
        <f t="shared" si="4"/>
        <v>4188651.809</v>
      </c>
      <c r="P138" s="175">
        <f>IF('Pre-Calculation'!$D$17="Type 4 a",MAX(SA,N138,1.05*Q138),IF('Pre-Calculation'!$D$17="Type 4 c",N138,IF('Pre-Calculation'!$D$17="Type 4 d",SA+N138,IF('Pre-Calculation'!$D$17="Type 4 e",MAX(SA,N138),IF('Pre-Calculation'!$D$17="Type 4 f",SA,IF('Pre-Calculation'!$D$17="Type 4 g",1000+N138,IF('Pre-Calculation'!$D$17="Type 4 h",SA+V138,IF('Pre-Calculation'!$D$17="Type 4 i",MAX(N138,Q138),IF('Pre-Calculation'!$D$17="Type 4 k",MAX(N138,1.01*Q138),IF('Pre-Calculation'!$D$17="Type 4 m",MAX(105%*Q138,SA+N138),IF('Pre-Calculation'!$D$17="Type 4 o",MAX(SA,105%*Q138)+V138+X138,IF('Pre-Calculation'!$D$17="Type 5",0))))))))))))</f>
        <v>4188651.809</v>
      </c>
      <c r="Q138" s="175">
        <f t="shared" si="5"/>
        <v>1000000</v>
      </c>
      <c r="R138" s="119">
        <f>L138*(1+GROWTH_RATE)*FMC</f>
        <v>4688.742215</v>
      </c>
      <c r="S138" s="112"/>
      <c r="T138" s="175">
        <f>-E138+IF(A137=INPUT!$C$11*12,N138,0)</f>
        <v>0</v>
      </c>
      <c r="U138" s="112"/>
      <c r="V138" s="179">
        <f t="array" ref="V138">NPV('Pre-Calculation'!$E$20,$E139:E$246)</f>
        <v>0</v>
      </c>
      <c r="W138" s="171">
        <f>10%*SA</f>
        <v>100000</v>
      </c>
      <c r="X138" s="179">
        <f t="array" ref="X138">NPV('Pre-Calculation'!$E$20,W139:W148)</f>
        <v>969592.8037</v>
      </c>
      <c r="Y138" s="12"/>
      <c r="Z138" s="12"/>
    </row>
    <row r="139" ht="15.75" customHeight="1">
      <c r="A139" s="171">
        <f t="shared" si="1"/>
        <v>193</v>
      </c>
      <c r="B139" s="171">
        <f t="shared" si="2"/>
        <v>17</v>
      </c>
      <c r="C139" s="176">
        <f>EDATE(RCD,A138)</f>
        <v>48395</v>
      </c>
      <c r="D139" s="171">
        <f>Age_At_Entry+Cashflows_HIST!B139-1</f>
        <v>51</v>
      </c>
      <c r="E139" s="175">
        <f>IF(AND(C139&lt;=Last_Prem,MOD(A138,Mode)=0,C139&gt;INPUT!$C$13,A139&lt;=Revival!$C$11),Mod_Prem,0)</f>
        <v>0</v>
      </c>
      <c r="F139" s="177">
        <f>E139*VLOOKUP(B139,'Pre-Calculation'!$H$1:$I$31,2,FALSE)</f>
        <v>0</v>
      </c>
      <c r="G139" s="177">
        <f>IF(B139&lt;PT+1,VLOOKUP(B139,'Pre-Calculation'!$H$1:$L$32,3,FALSE)+VLOOKUP(B139,'Pre-Calculation'!$H$1:$L$32,4,FALSE)*'Pre-Calculation'!$D$7,0)</f>
        <v>0</v>
      </c>
      <c r="H139" s="175">
        <f>(E139-(F139+G139)*(1+Tax)+N138)</f>
        <v>4188651.809</v>
      </c>
      <c r="I139" s="175">
        <f>IF(B139&lt;PT+1,VLOOKUP(D139,'Pre-Calculation'!$N$3:$P$79,IF(INPUT!$C$4="M",2,3),FALSE)*(J139/1000)*(1/12),0)</f>
        <v>0</v>
      </c>
      <c r="J139" s="175">
        <f t="shared" si="3"/>
        <v>0</v>
      </c>
      <c r="K139" s="175">
        <f>(IF('Pre-Calculation'!$D$17="Type 4 a",MAX(SA,H139,1.05*Q139),IF('Pre-Calculation'!$D$17="Type 4 c",H139,IF('Pre-Calculation'!$D$17="Type 4 d",SA+H139,IF('Pre-Calculation'!$D$17="Type 4 e",MAX(SA,H139),IF('Pre-Calculation'!$D$17="Type 4 f",SA,IF('Pre-Calculation'!$D$17="Type 4 g",1000+H139,IF('Pre-Calculation'!$D$17="Type 4 h",SA+V139,IF('Pre-Calculation'!$D$17="Type 4 i",MAX(H139,Q139),IF('Pre-Calculation'!$D$17="Type 4 k",MAX(H139,1.01*Q139),IF('Pre-Calculation'!$D$17="Type 4 m",MAX(105%*Q139,SA+H139),IF('Pre-Calculation'!$D$17="Type 4 o",MAX(SA,105%*Q139)+V139+X139,IF('Pre-Calculation'!$D$17="Type 5",0)))))))))))))*IF(AND(A139&lt;Revival!$C$4,C139&gt;Revival!$D$12),PUP,1)</f>
        <v>4188651.809</v>
      </c>
      <c r="L139" s="175">
        <f>H139-I139*(1+Tax)</f>
        <v>4188651.809</v>
      </c>
      <c r="M139" s="175">
        <f>L139*(1+GROWTH_RATE_HIST)</f>
        <v>4234418.31</v>
      </c>
      <c r="N139" s="175">
        <f>M139+IF(MOD(A139,B139)=0,VLOOKUP(B139,'Pre-Calculation'!$H$1:$L$31,5,FALSE),0)*IF('Pre-Calculation'!$D$16="% OF FV",M139,IF(OR('Pre-Calculation'!$D$16="% OF AFV(24M)",'Pre-Calculation'!$D$16="% OF AFV(8Q)"),AVERAGE( $M116:$M139),IF('Pre-Calculation'!$D$16="% OF AFV(12M)",AVERAGE($M128:M139),IF('Pre-Calculation'!$D$16="% OF AFV(36M)",AVERAGE($M104:M139)))))</f>
        <v>4234418.31</v>
      </c>
      <c r="O139" s="175">
        <f t="shared" si="4"/>
        <v>4234418.31</v>
      </c>
      <c r="P139" s="175">
        <f>IF('Pre-Calculation'!$D$17="Type 4 a",MAX(SA,N139,1.05*Q139),IF('Pre-Calculation'!$D$17="Type 4 c",N139,IF('Pre-Calculation'!$D$17="Type 4 d",SA+N139,IF('Pre-Calculation'!$D$17="Type 4 e",MAX(SA,N139),IF('Pre-Calculation'!$D$17="Type 4 f",SA,IF('Pre-Calculation'!$D$17="Type 4 g",1000+N139,IF('Pre-Calculation'!$D$17="Type 4 h",SA+V139,IF('Pre-Calculation'!$D$17="Type 4 i",MAX(N139,Q139),IF('Pre-Calculation'!$D$17="Type 4 k",MAX(N139,1.01*Q139),IF('Pre-Calculation'!$D$17="Type 4 m",MAX(105%*Q139,SA+N139),IF('Pre-Calculation'!$D$17="Type 4 o",MAX(SA,105%*Q139)+V139+X139,IF('Pre-Calculation'!$D$17="Type 5",0))))))))))))</f>
        <v>4234418.31</v>
      </c>
      <c r="Q139" s="175">
        <f t="shared" si="5"/>
        <v>1000000</v>
      </c>
      <c r="R139" s="119">
        <f>L139*(1+GROWTH_RATE)*FMC</f>
        <v>4739.972858</v>
      </c>
      <c r="S139" s="112"/>
      <c r="T139" s="175">
        <f>-E139+IF(A138=INPUT!$C$11*12,N139,0)</f>
        <v>0</v>
      </c>
      <c r="U139" s="112"/>
      <c r="V139" s="179">
        <f t="array" ref="V139">NPV('Pre-Calculation'!$E$20,$E140:E$246)</f>
        <v>0</v>
      </c>
      <c r="W139" s="171">
        <f>10%*SA</f>
        <v>100000</v>
      </c>
      <c r="X139" s="179">
        <f t="array" ref="X139">NPV('Pre-Calculation'!$E$20,W140:W149)</f>
        <v>969592.8037</v>
      </c>
      <c r="Y139" s="12"/>
      <c r="Z139" s="12"/>
    </row>
    <row r="140" ht="15.75" customHeight="1">
      <c r="A140" s="171">
        <f t="shared" si="1"/>
        <v>194</v>
      </c>
      <c r="B140" s="171">
        <f t="shared" si="2"/>
        <v>17</v>
      </c>
      <c r="C140" s="176">
        <f>EDATE(RCD,A139)</f>
        <v>48425</v>
      </c>
      <c r="D140" s="171">
        <f>Age_At_Entry+Cashflows_HIST!B140-1</f>
        <v>51</v>
      </c>
      <c r="E140" s="175">
        <f>IF(AND(C140&lt;=Last_Prem,MOD(A139,Mode)=0,C140&gt;INPUT!$C$13,A140&lt;=Revival!$C$11),Mod_Prem,0)</f>
        <v>0</v>
      </c>
      <c r="F140" s="177">
        <f>E140*VLOOKUP(B140,'Pre-Calculation'!$H$1:$I$31,2,FALSE)</f>
        <v>0</v>
      </c>
      <c r="G140" s="177">
        <f>IF(B140&lt;PT+1,VLOOKUP(B140,'Pre-Calculation'!$H$1:$L$32,3,FALSE)+VLOOKUP(B140,'Pre-Calculation'!$H$1:$L$32,4,FALSE)*'Pre-Calculation'!$D$7,0)</f>
        <v>0</v>
      </c>
      <c r="H140" s="175">
        <f>(E140-(F140+G140)*(1+Tax)+N139)</f>
        <v>4234418.31</v>
      </c>
      <c r="I140" s="175">
        <f>IF(B140&lt;PT+1,VLOOKUP(D140,'Pre-Calculation'!$N$3:$P$79,IF(INPUT!$C$4="M",2,3),FALSE)*(J140/1000)*(1/12),0)</f>
        <v>0</v>
      </c>
      <c r="J140" s="175">
        <f t="shared" si="3"/>
        <v>0</v>
      </c>
      <c r="K140" s="175">
        <f>(IF('Pre-Calculation'!$D$17="Type 4 a",MAX(SA,H140,1.05*Q140),IF('Pre-Calculation'!$D$17="Type 4 c",H140,IF('Pre-Calculation'!$D$17="Type 4 d",SA+H140,IF('Pre-Calculation'!$D$17="Type 4 e",MAX(SA,H140),IF('Pre-Calculation'!$D$17="Type 4 f",SA,IF('Pre-Calculation'!$D$17="Type 4 g",1000+H140,IF('Pre-Calculation'!$D$17="Type 4 h",SA+V140,IF('Pre-Calculation'!$D$17="Type 4 i",MAX(H140,Q140),IF('Pre-Calculation'!$D$17="Type 4 k",MAX(H140,1.01*Q140),IF('Pre-Calculation'!$D$17="Type 4 m",MAX(105%*Q140,SA+H140),IF('Pre-Calculation'!$D$17="Type 4 o",MAX(SA,105%*Q140)+V140+X140,IF('Pre-Calculation'!$D$17="Type 5",0)))))))))))))*IF(AND(A140&lt;Revival!$C$4,C140&gt;Revival!$D$12),PUP,1)</f>
        <v>4234418.31</v>
      </c>
      <c r="L140" s="175">
        <f>H140-I140*(1+Tax)</f>
        <v>4234418.31</v>
      </c>
      <c r="M140" s="175">
        <f>L140*(1+GROWTH_RATE_HIST)</f>
        <v>4280684.87</v>
      </c>
      <c r="N140" s="175">
        <f>M140+IF(MOD(A140,B140)=0,VLOOKUP(B140,'Pre-Calculation'!$H$1:$L$31,5,FALSE),0)*IF('Pre-Calculation'!$D$16="% OF FV",M140,IF(OR('Pre-Calculation'!$D$16="% OF AFV(24M)",'Pre-Calculation'!$D$16="% OF AFV(8Q)"),AVERAGE( $M117:$M140),IF('Pre-Calculation'!$D$16="% OF AFV(12M)",AVERAGE($M129:M140),IF('Pre-Calculation'!$D$16="% OF AFV(36M)",AVERAGE($M105:M140)))))</f>
        <v>4280684.87</v>
      </c>
      <c r="O140" s="175">
        <f t="shared" si="4"/>
        <v>4280684.87</v>
      </c>
      <c r="P140" s="175">
        <f>IF('Pre-Calculation'!$D$17="Type 4 a",MAX(SA,N140,1.05*Q140),IF('Pre-Calculation'!$D$17="Type 4 c",N140,IF('Pre-Calculation'!$D$17="Type 4 d",SA+N140,IF('Pre-Calculation'!$D$17="Type 4 e",MAX(SA,N140),IF('Pre-Calculation'!$D$17="Type 4 f",SA,IF('Pre-Calculation'!$D$17="Type 4 g",1000+N140,IF('Pre-Calculation'!$D$17="Type 4 h",SA+V140,IF('Pre-Calculation'!$D$17="Type 4 i",MAX(N140,Q140),IF('Pre-Calculation'!$D$17="Type 4 k",MAX(N140,1.01*Q140),IF('Pre-Calculation'!$D$17="Type 4 m",MAX(105%*Q140,SA+N140),IF('Pre-Calculation'!$D$17="Type 4 o",MAX(SA,105%*Q140)+V140+X140,IF('Pre-Calculation'!$D$17="Type 5",0))))))))))))</f>
        <v>4280684.87</v>
      </c>
      <c r="Q140" s="175">
        <f t="shared" si="5"/>
        <v>1000000</v>
      </c>
      <c r="R140" s="119">
        <f>L140*(1+GROWTH_RATE)*FMC</f>
        <v>4791.763263</v>
      </c>
      <c r="S140" s="112"/>
      <c r="T140" s="175">
        <f>-E140+IF(A139=INPUT!$C$11*12,N140,0)</f>
        <v>0</v>
      </c>
      <c r="U140" s="112"/>
      <c r="V140" s="179">
        <f t="array" ref="V140">NPV('Pre-Calculation'!$E$20,$E141:E$246)</f>
        <v>0</v>
      </c>
      <c r="W140" s="171">
        <f>10%*SA</f>
        <v>100000</v>
      </c>
      <c r="X140" s="179">
        <f t="array" ref="X140">NPV('Pre-Calculation'!$E$20,W141:W150)</f>
        <v>969592.8037</v>
      </c>
      <c r="Y140" s="12"/>
      <c r="Z140" s="12"/>
    </row>
    <row r="141" ht="15.75" customHeight="1">
      <c r="A141" s="171">
        <f t="shared" si="1"/>
        <v>195</v>
      </c>
      <c r="B141" s="171">
        <f t="shared" si="2"/>
        <v>17</v>
      </c>
      <c r="C141" s="176">
        <f>EDATE(RCD,A140)</f>
        <v>48456</v>
      </c>
      <c r="D141" s="171">
        <f>Age_At_Entry+Cashflows_HIST!B141-1</f>
        <v>51</v>
      </c>
      <c r="E141" s="175">
        <f>IF(AND(C141&lt;=Last_Prem,MOD(A140,Mode)=0,C141&gt;INPUT!$C$13,A141&lt;=Revival!$C$11),Mod_Prem,0)</f>
        <v>0</v>
      </c>
      <c r="F141" s="177">
        <f>E141*VLOOKUP(B141,'Pre-Calculation'!$H$1:$I$31,2,FALSE)</f>
        <v>0</v>
      </c>
      <c r="G141" s="177">
        <f>IF(B141&lt;PT+1,VLOOKUP(B141,'Pre-Calculation'!$H$1:$L$32,3,FALSE)+VLOOKUP(B141,'Pre-Calculation'!$H$1:$L$32,4,FALSE)*'Pre-Calculation'!$D$7,0)</f>
        <v>0</v>
      </c>
      <c r="H141" s="175">
        <f>(E141-(F141+G141)*(1+Tax)+N140)</f>
        <v>4280684.87</v>
      </c>
      <c r="I141" s="175">
        <f>IF(B141&lt;PT+1,VLOOKUP(D141,'Pre-Calculation'!$N$3:$P$79,IF(INPUT!$C$4="M",2,3),FALSE)*(J141/1000)*(1/12),0)</f>
        <v>0</v>
      </c>
      <c r="J141" s="175">
        <f t="shared" si="3"/>
        <v>0</v>
      </c>
      <c r="K141" s="175">
        <f>(IF('Pre-Calculation'!$D$17="Type 4 a",MAX(SA,H141,1.05*Q141),IF('Pre-Calculation'!$D$17="Type 4 c",H141,IF('Pre-Calculation'!$D$17="Type 4 d",SA+H141,IF('Pre-Calculation'!$D$17="Type 4 e",MAX(SA,H141),IF('Pre-Calculation'!$D$17="Type 4 f",SA,IF('Pre-Calculation'!$D$17="Type 4 g",1000+H141,IF('Pre-Calculation'!$D$17="Type 4 h",SA+V141,IF('Pre-Calculation'!$D$17="Type 4 i",MAX(H141,Q141),IF('Pre-Calculation'!$D$17="Type 4 k",MAX(H141,1.01*Q141),IF('Pre-Calculation'!$D$17="Type 4 m",MAX(105%*Q141,SA+H141),IF('Pre-Calculation'!$D$17="Type 4 o",MAX(SA,105%*Q141)+V141+X141,IF('Pre-Calculation'!$D$17="Type 5",0)))))))))))))*IF(AND(A141&lt;Revival!$C$4,C141&gt;Revival!$D$12),PUP,1)</f>
        <v>4280684.87</v>
      </c>
      <c r="L141" s="175">
        <f>H141-I141*(1+Tax)</f>
        <v>4280684.87</v>
      </c>
      <c r="M141" s="175">
        <f>L141*(1+GROWTH_RATE_HIST)</f>
        <v>4327456.953</v>
      </c>
      <c r="N141" s="175">
        <f>M141+IF(MOD(A141,B141)=0,VLOOKUP(B141,'Pre-Calculation'!$H$1:$L$31,5,FALSE),0)*IF('Pre-Calculation'!$D$16="% OF FV",M141,IF(OR('Pre-Calculation'!$D$16="% OF AFV(24M)",'Pre-Calculation'!$D$16="% OF AFV(8Q)"),AVERAGE( $M118:$M141),IF('Pre-Calculation'!$D$16="% OF AFV(12M)",AVERAGE($M130:M141),IF('Pre-Calculation'!$D$16="% OF AFV(36M)",AVERAGE($M106:M141)))))</f>
        <v>4327456.953</v>
      </c>
      <c r="O141" s="175">
        <f t="shared" si="4"/>
        <v>4327456.953</v>
      </c>
      <c r="P141" s="175">
        <f>IF('Pre-Calculation'!$D$17="Type 4 a",MAX(SA,N141,1.05*Q141),IF('Pre-Calculation'!$D$17="Type 4 c",N141,IF('Pre-Calculation'!$D$17="Type 4 d",SA+N141,IF('Pre-Calculation'!$D$17="Type 4 e",MAX(SA,N141),IF('Pre-Calculation'!$D$17="Type 4 f",SA,IF('Pre-Calculation'!$D$17="Type 4 g",1000+N141,IF('Pre-Calculation'!$D$17="Type 4 h",SA+V141,IF('Pre-Calculation'!$D$17="Type 4 i",MAX(N141,Q141),IF('Pre-Calculation'!$D$17="Type 4 k",MAX(N141,1.01*Q141),IF('Pre-Calculation'!$D$17="Type 4 m",MAX(105%*Q141,SA+N141),IF('Pre-Calculation'!$D$17="Type 4 o",MAX(SA,105%*Q141)+V141+X141,IF('Pre-Calculation'!$D$17="Type 5",0))))))))))))</f>
        <v>4327456.953</v>
      </c>
      <c r="Q141" s="175">
        <f t="shared" si="5"/>
        <v>1000000</v>
      </c>
      <c r="R141" s="119">
        <f>L141*(1+GROWTH_RATE)*FMC</f>
        <v>4844.119546</v>
      </c>
      <c r="S141" s="112"/>
      <c r="T141" s="175">
        <f>-E141+IF(A140=INPUT!$C$11*12,N141,0)</f>
        <v>0</v>
      </c>
      <c r="U141" s="112"/>
      <c r="V141" s="179">
        <f t="array" ref="V141">NPV('Pre-Calculation'!$E$20,$E142:E$246)</f>
        <v>0</v>
      </c>
      <c r="W141" s="171">
        <f>10%*SA</f>
        <v>100000</v>
      </c>
      <c r="X141" s="179">
        <f t="array" ref="X141">NPV('Pre-Calculation'!$E$20,W142:W151)</f>
        <v>969592.8037</v>
      </c>
      <c r="Y141" s="12"/>
      <c r="Z141" s="12"/>
    </row>
    <row r="142" ht="15.75" customHeight="1">
      <c r="A142" s="171">
        <f t="shared" si="1"/>
        <v>196</v>
      </c>
      <c r="B142" s="171">
        <f t="shared" si="2"/>
        <v>17</v>
      </c>
      <c r="C142" s="176">
        <f>EDATE(RCD,A141)</f>
        <v>48487</v>
      </c>
      <c r="D142" s="171">
        <f>Age_At_Entry+Cashflows_HIST!B142-1</f>
        <v>51</v>
      </c>
      <c r="E142" s="175">
        <f>IF(AND(C142&lt;=Last_Prem,MOD(A141,Mode)=0,C142&gt;INPUT!$C$13,A142&lt;=Revival!$C$11),Mod_Prem,0)</f>
        <v>0</v>
      </c>
      <c r="F142" s="177">
        <f>E142*VLOOKUP(B142,'Pre-Calculation'!$H$1:$I$31,2,FALSE)</f>
        <v>0</v>
      </c>
      <c r="G142" s="177">
        <f>IF(B142&lt;PT+1,VLOOKUP(B142,'Pre-Calculation'!$H$1:$L$32,3,FALSE)+VLOOKUP(B142,'Pre-Calculation'!$H$1:$L$32,4,FALSE)*'Pre-Calculation'!$D$7,0)</f>
        <v>0</v>
      </c>
      <c r="H142" s="175">
        <f>(E142-(F142+G142)*(1+Tax)+N141)</f>
        <v>4327456.953</v>
      </c>
      <c r="I142" s="175">
        <f>IF(B142&lt;PT+1,VLOOKUP(D142,'Pre-Calculation'!$N$3:$P$79,IF(INPUT!$C$4="M",2,3),FALSE)*(J142/1000)*(1/12),0)</f>
        <v>0</v>
      </c>
      <c r="J142" s="175">
        <f t="shared" si="3"/>
        <v>0</v>
      </c>
      <c r="K142" s="175">
        <f>(IF('Pre-Calculation'!$D$17="Type 4 a",MAX(SA,H142,1.05*Q142),IF('Pre-Calculation'!$D$17="Type 4 c",H142,IF('Pre-Calculation'!$D$17="Type 4 d",SA+H142,IF('Pre-Calculation'!$D$17="Type 4 e",MAX(SA,H142),IF('Pre-Calculation'!$D$17="Type 4 f",SA,IF('Pre-Calculation'!$D$17="Type 4 g",1000+H142,IF('Pre-Calculation'!$D$17="Type 4 h",SA+V142,IF('Pre-Calculation'!$D$17="Type 4 i",MAX(H142,Q142),IF('Pre-Calculation'!$D$17="Type 4 k",MAX(H142,1.01*Q142),IF('Pre-Calculation'!$D$17="Type 4 m",MAX(105%*Q142,SA+H142),IF('Pre-Calculation'!$D$17="Type 4 o",MAX(SA,105%*Q142)+V142+X142,IF('Pre-Calculation'!$D$17="Type 5",0)))))))))))))*IF(AND(A142&lt;Revival!$C$4,C142&gt;Revival!$D$12),PUP,1)</f>
        <v>4327456.953</v>
      </c>
      <c r="L142" s="175">
        <f>H142-I142*(1+Tax)</f>
        <v>4327456.953</v>
      </c>
      <c r="M142" s="175">
        <f>L142*(1+GROWTH_RATE_HIST)</f>
        <v>4374740.082</v>
      </c>
      <c r="N142" s="175">
        <f>M142+IF(MOD(A142,B142)=0,VLOOKUP(B142,'Pre-Calculation'!$H$1:$L$31,5,FALSE),0)*IF('Pre-Calculation'!$D$16="% OF FV",M142,IF(OR('Pre-Calculation'!$D$16="% OF AFV(24M)",'Pre-Calculation'!$D$16="% OF AFV(8Q)"),AVERAGE( $M119:$M142),IF('Pre-Calculation'!$D$16="% OF AFV(12M)",AVERAGE($M131:M142),IF('Pre-Calculation'!$D$16="% OF AFV(36M)",AVERAGE($M107:M142)))))</f>
        <v>4374740.082</v>
      </c>
      <c r="O142" s="175">
        <f t="shared" si="4"/>
        <v>4374740.082</v>
      </c>
      <c r="P142" s="175">
        <f>IF('Pre-Calculation'!$D$17="Type 4 a",MAX(SA,N142,1.05*Q142),IF('Pre-Calculation'!$D$17="Type 4 c",N142,IF('Pre-Calculation'!$D$17="Type 4 d",SA+N142,IF('Pre-Calculation'!$D$17="Type 4 e",MAX(SA,N142),IF('Pre-Calculation'!$D$17="Type 4 f",SA,IF('Pre-Calculation'!$D$17="Type 4 g",1000+N142,IF('Pre-Calculation'!$D$17="Type 4 h",SA+V142,IF('Pre-Calculation'!$D$17="Type 4 i",MAX(N142,Q142),IF('Pre-Calculation'!$D$17="Type 4 k",MAX(N142,1.01*Q142),IF('Pre-Calculation'!$D$17="Type 4 m",MAX(105%*Q142,SA+N142),IF('Pre-Calculation'!$D$17="Type 4 o",MAX(SA,105%*Q142)+V142+X142,IF('Pre-Calculation'!$D$17="Type 5",0))))))))))))</f>
        <v>4374740.082</v>
      </c>
      <c r="Q142" s="175">
        <f t="shared" si="5"/>
        <v>1000000</v>
      </c>
      <c r="R142" s="119">
        <f>L142*(1+GROWTH_RATE)*FMC</f>
        <v>4897.04789</v>
      </c>
      <c r="S142" s="112"/>
      <c r="T142" s="175">
        <f>-E142+IF(A141=INPUT!$C$11*12,N142,0)</f>
        <v>0</v>
      </c>
      <c r="U142" s="112"/>
      <c r="V142" s="179">
        <f t="array" ref="V142">NPV('Pre-Calculation'!$E$20,$E143:E$246)</f>
        <v>0</v>
      </c>
      <c r="W142" s="171">
        <f>10%*SA</f>
        <v>100000</v>
      </c>
      <c r="X142" s="179">
        <f t="array" ref="X142">NPV('Pre-Calculation'!$E$20,W143:W152)</f>
        <v>969592.8037</v>
      </c>
      <c r="Y142" s="12"/>
      <c r="Z142" s="12"/>
    </row>
    <row r="143" ht="15.75" customHeight="1">
      <c r="A143" s="171">
        <f t="shared" si="1"/>
        <v>197</v>
      </c>
      <c r="B143" s="171">
        <f t="shared" si="2"/>
        <v>17</v>
      </c>
      <c r="C143" s="176">
        <f>EDATE(RCD,A142)</f>
        <v>48517</v>
      </c>
      <c r="D143" s="171">
        <f>Age_At_Entry+Cashflows_HIST!B143-1</f>
        <v>51</v>
      </c>
      <c r="E143" s="175">
        <f>IF(AND(C143&lt;=Last_Prem,MOD(A142,Mode)=0,C143&gt;INPUT!$C$13,A143&lt;=Revival!$C$11),Mod_Prem,0)</f>
        <v>0</v>
      </c>
      <c r="F143" s="177">
        <f>E143*VLOOKUP(B143,'Pre-Calculation'!$H$1:$I$31,2,FALSE)</f>
        <v>0</v>
      </c>
      <c r="G143" s="177">
        <f>IF(B143&lt;PT+1,VLOOKUP(B143,'Pre-Calculation'!$H$1:$L$32,3,FALSE)+VLOOKUP(B143,'Pre-Calculation'!$H$1:$L$32,4,FALSE)*'Pre-Calculation'!$D$7,0)</f>
        <v>0</v>
      </c>
      <c r="H143" s="175">
        <f>(E143-(F143+G143)*(1+Tax)+N142)</f>
        <v>4374740.082</v>
      </c>
      <c r="I143" s="175">
        <f>IF(B143&lt;PT+1,VLOOKUP(D143,'Pre-Calculation'!$N$3:$P$79,IF(INPUT!$C$4="M",2,3),FALSE)*(J143/1000)*(1/12),0)</f>
        <v>0</v>
      </c>
      <c r="J143" s="175">
        <f t="shared" si="3"/>
        <v>0</v>
      </c>
      <c r="K143" s="175">
        <f>(IF('Pre-Calculation'!$D$17="Type 4 a",MAX(SA,H143,1.05*Q143),IF('Pre-Calculation'!$D$17="Type 4 c",H143,IF('Pre-Calculation'!$D$17="Type 4 d",SA+H143,IF('Pre-Calculation'!$D$17="Type 4 e",MAX(SA,H143),IF('Pre-Calculation'!$D$17="Type 4 f",SA,IF('Pre-Calculation'!$D$17="Type 4 g",1000+H143,IF('Pre-Calculation'!$D$17="Type 4 h",SA+V143,IF('Pre-Calculation'!$D$17="Type 4 i",MAX(H143,Q143),IF('Pre-Calculation'!$D$17="Type 4 k",MAX(H143,1.01*Q143),IF('Pre-Calculation'!$D$17="Type 4 m",MAX(105%*Q143,SA+H143),IF('Pre-Calculation'!$D$17="Type 4 o",MAX(SA,105%*Q143)+V143+X143,IF('Pre-Calculation'!$D$17="Type 5",0)))))))))))))*IF(AND(A143&lt;Revival!$C$4,C143&gt;Revival!$D$12),PUP,1)</f>
        <v>4374740.082</v>
      </c>
      <c r="L143" s="175">
        <f>H143-I143*(1+Tax)</f>
        <v>4374740.082</v>
      </c>
      <c r="M143" s="175">
        <f>L143*(1+GROWTH_RATE_HIST)</f>
        <v>4422539.841</v>
      </c>
      <c r="N143" s="175">
        <f>M143+IF(MOD(A143,B143)=0,VLOOKUP(B143,'Pre-Calculation'!$H$1:$L$31,5,FALSE),0)*IF('Pre-Calculation'!$D$16="% OF FV",M143,IF(OR('Pre-Calculation'!$D$16="% OF AFV(24M)",'Pre-Calculation'!$D$16="% OF AFV(8Q)"),AVERAGE( $M120:$M143),IF('Pre-Calculation'!$D$16="% OF AFV(12M)",AVERAGE($M132:M143),IF('Pre-Calculation'!$D$16="% OF AFV(36M)",AVERAGE($M108:M143)))))</f>
        <v>4422539.841</v>
      </c>
      <c r="O143" s="175">
        <f t="shared" si="4"/>
        <v>4422539.841</v>
      </c>
      <c r="P143" s="175">
        <f>IF('Pre-Calculation'!$D$17="Type 4 a",MAX(SA,N143,1.05*Q143),IF('Pre-Calculation'!$D$17="Type 4 c",N143,IF('Pre-Calculation'!$D$17="Type 4 d",SA+N143,IF('Pre-Calculation'!$D$17="Type 4 e",MAX(SA,N143),IF('Pre-Calculation'!$D$17="Type 4 f",SA,IF('Pre-Calculation'!$D$17="Type 4 g",1000+N143,IF('Pre-Calculation'!$D$17="Type 4 h",SA+V143,IF('Pre-Calculation'!$D$17="Type 4 i",MAX(N143,Q143),IF('Pre-Calculation'!$D$17="Type 4 k",MAX(N143,1.01*Q143),IF('Pre-Calculation'!$D$17="Type 4 m",MAX(105%*Q143,SA+N143),IF('Pre-Calculation'!$D$17="Type 4 o",MAX(SA,105%*Q143)+V143+X143,IF('Pre-Calculation'!$D$17="Type 5",0))))))))))))</f>
        <v>4422539.841</v>
      </c>
      <c r="Q143" s="175">
        <f t="shared" si="5"/>
        <v>1000000</v>
      </c>
      <c r="R143" s="119">
        <f>L143*(1+GROWTH_RATE)*FMC</f>
        <v>4950.554546</v>
      </c>
      <c r="S143" s="112"/>
      <c r="T143" s="175">
        <f>-E143+IF(A142=INPUT!$C$11*12,N143,0)</f>
        <v>0</v>
      </c>
      <c r="U143" s="112"/>
      <c r="V143" s="179">
        <f t="array" ref="V143">NPV('Pre-Calculation'!$E$20,$E144:E$246)</f>
        <v>0</v>
      </c>
      <c r="W143" s="171">
        <f>10%*SA</f>
        <v>100000</v>
      </c>
      <c r="X143" s="179">
        <f t="array" ref="X143">NPV('Pre-Calculation'!$E$20,W144:W153)</f>
        <v>969592.8037</v>
      </c>
      <c r="Y143" s="12"/>
      <c r="Z143" s="12"/>
    </row>
    <row r="144" ht="15.75" customHeight="1">
      <c r="A144" s="171">
        <f t="shared" si="1"/>
        <v>198</v>
      </c>
      <c r="B144" s="171">
        <f t="shared" si="2"/>
        <v>17</v>
      </c>
      <c r="C144" s="176">
        <f>EDATE(RCD,A143)</f>
        <v>48548</v>
      </c>
      <c r="D144" s="171">
        <f>Age_At_Entry+Cashflows_HIST!B144-1</f>
        <v>51</v>
      </c>
      <c r="E144" s="175">
        <f>IF(AND(C144&lt;=Last_Prem,MOD(A143,Mode)=0,C144&gt;INPUT!$C$13,A144&lt;=Revival!$C$11),Mod_Prem,0)</f>
        <v>0</v>
      </c>
      <c r="F144" s="177">
        <f>E144*VLOOKUP(B144,'Pre-Calculation'!$H$1:$I$31,2,FALSE)</f>
        <v>0</v>
      </c>
      <c r="G144" s="177">
        <f>IF(B144&lt;PT+1,VLOOKUP(B144,'Pre-Calculation'!$H$1:$L$32,3,FALSE)+VLOOKUP(B144,'Pre-Calculation'!$H$1:$L$32,4,FALSE)*'Pre-Calculation'!$D$7,0)</f>
        <v>0</v>
      </c>
      <c r="H144" s="175">
        <f>(E144-(F144+G144)*(1+Tax)+N143)</f>
        <v>4422539.841</v>
      </c>
      <c r="I144" s="175">
        <f>IF(B144&lt;PT+1,VLOOKUP(D144,'Pre-Calculation'!$N$3:$P$79,IF(INPUT!$C$4="M",2,3),FALSE)*(J144/1000)*(1/12),0)</f>
        <v>0</v>
      </c>
      <c r="J144" s="175">
        <f t="shared" si="3"/>
        <v>0</v>
      </c>
      <c r="K144" s="175">
        <f>(IF('Pre-Calculation'!$D$17="Type 4 a",MAX(SA,H144,1.05*Q144),IF('Pre-Calculation'!$D$17="Type 4 c",H144,IF('Pre-Calculation'!$D$17="Type 4 d",SA+H144,IF('Pre-Calculation'!$D$17="Type 4 e",MAX(SA,H144),IF('Pre-Calculation'!$D$17="Type 4 f",SA,IF('Pre-Calculation'!$D$17="Type 4 g",1000+H144,IF('Pre-Calculation'!$D$17="Type 4 h",SA+V144,IF('Pre-Calculation'!$D$17="Type 4 i",MAX(H144,Q144),IF('Pre-Calculation'!$D$17="Type 4 k",MAX(H144,1.01*Q144),IF('Pre-Calculation'!$D$17="Type 4 m",MAX(105%*Q144,SA+H144),IF('Pre-Calculation'!$D$17="Type 4 o",MAX(SA,105%*Q144)+V144+X144,IF('Pre-Calculation'!$D$17="Type 5",0)))))))))))))*IF(AND(A144&lt;Revival!$C$4,C144&gt;Revival!$D$12),PUP,1)</f>
        <v>4422539.841</v>
      </c>
      <c r="L144" s="175">
        <f>H144-I144*(1+Tax)</f>
        <v>4422539.841</v>
      </c>
      <c r="M144" s="175">
        <f>L144*(1+GROWTH_RATE_HIST)</f>
        <v>4470861.875</v>
      </c>
      <c r="N144" s="175">
        <f>M144+IF(MOD(A144,B144)=0,VLOOKUP(B144,'Pre-Calculation'!$H$1:$L$31,5,FALSE),0)*IF('Pre-Calculation'!$D$16="% OF FV",M144,IF(OR('Pre-Calculation'!$D$16="% OF AFV(24M)",'Pre-Calculation'!$D$16="% OF AFV(8Q)"),AVERAGE( $M121:$M144),IF('Pre-Calculation'!$D$16="% OF AFV(12M)",AVERAGE($M133:M144),IF('Pre-Calculation'!$D$16="% OF AFV(36M)",AVERAGE($M109:M144)))))</f>
        <v>4470861.875</v>
      </c>
      <c r="O144" s="175">
        <f t="shared" si="4"/>
        <v>4470861.875</v>
      </c>
      <c r="P144" s="175">
        <f>IF('Pre-Calculation'!$D$17="Type 4 a",MAX(SA,N144,1.05*Q144),IF('Pre-Calculation'!$D$17="Type 4 c",N144,IF('Pre-Calculation'!$D$17="Type 4 d",SA+N144,IF('Pre-Calculation'!$D$17="Type 4 e",MAX(SA,N144),IF('Pre-Calculation'!$D$17="Type 4 f",SA,IF('Pre-Calculation'!$D$17="Type 4 g",1000+N144,IF('Pre-Calculation'!$D$17="Type 4 h",SA+V144,IF('Pre-Calculation'!$D$17="Type 4 i",MAX(N144,Q144),IF('Pre-Calculation'!$D$17="Type 4 k",MAX(N144,1.01*Q144),IF('Pre-Calculation'!$D$17="Type 4 m",MAX(105%*Q144,SA+N144),IF('Pre-Calculation'!$D$17="Type 4 o",MAX(SA,105%*Q144)+V144+X144,IF('Pre-Calculation'!$D$17="Type 5",0))))))))))))</f>
        <v>4470861.875</v>
      </c>
      <c r="Q144" s="175">
        <f t="shared" si="5"/>
        <v>1000000</v>
      </c>
      <c r="R144" s="119">
        <f>L144*(1+GROWTH_RATE)*FMC</f>
        <v>5004.645831</v>
      </c>
      <c r="S144" s="112"/>
      <c r="T144" s="175">
        <f>-E144+IF(A143=INPUT!$C$11*12,N144,0)</f>
        <v>0</v>
      </c>
      <c r="U144" s="112"/>
      <c r="V144" s="179">
        <f t="array" ref="V144">NPV('Pre-Calculation'!$E$20,$E145:E$246)</f>
        <v>0</v>
      </c>
      <c r="W144" s="171">
        <f>10%*SA</f>
        <v>100000</v>
      </c>
      <c r="X144" s="179">
        <f t="array" ref="X144">NPV('Pre-Calculation'!$E$20,W145:W154)</f>
        <v>969592.8037</v>
      </c>
      <c r="Y144" s="12"/>
      <c r="Z144" s="12"/>
    </row>
    <row r="145" ht="15.75" customHeight="1">
      <c r="A145" s="171">
        <f t="shared" si="1"/>
        <v>199</v>
      </c>
      <c r="B145" s="171">
        <f t="shared" si="2"/>
        <v>17</v>
      </c>
      <c r="C145" s="176">
        <f>EDATE(RCD,A144)</f>
        <v>48578</v>
      </c>
      <c r="D145" s="171">
        <f>Age_At_Entry+Cashflows_HIST!B145-1</f>
        <v>51</v>
      </c>
      <c r="E145" s="175">
        <f>IF(AND(C145&lt;=Last_Prem,MOD(A144,Mode)=0,C145&gt;INPUT!$C$13,A145&lt;=Revival!$C$11),Mod_Prem,0)</f>
        <v>0</v>
      </c>
      <c r="F145" s="177">
        <f>E145*VLOOKUP(B145,'Pre-Calculation'!$H$1:$I$31,2,FALSE)</f>
        <v>0</v>
      </c>
      <c r="G145" s="177">
        <f>IF(B145&lt;PT+1,VLOOKUP(B145,'Pre-Calculation'!$H$1:$L$32,3,FALSE)+VLOOKUP(B145,'Pre-Calculation'!$H$1:$L$32,4,FALSE)*'Pre-Calculation'!$D$7,0)</f>
        <v>0</v>
      </c>
      <c r="H145" s="175">
        <f>(E145-(F145+G145)*(1+Tax)+N144)</f>
        <v>4470861.875</v>
      </c>
      <c r="I145" s="175">
        <f>IF(B145&lt;PT+1,VLOOKUP(D145,'Pre-Calculation'!$N$3:$P$79,IF(INPUT!$C$4="M",2,3),FALSE)*(J145/1000)*(1/12),0)</f>
        <v>0</v>
      </c>
      <c r="J145" s="175">
        <f t="shared" si="3"/>
        <v>0</v>
      </c>
      <c r="K145" s="175">
        <f>(IF('Pre-Calculation'!$D$17="Type 4 a",MAX(SA,H145,1.05*Q145),IF('Pre-Calculation'!$D$17="Type 4 c",H145,IF('Pre-Calculation'!$D$17="Type 4 d",SA+H145,IF('Pre-Calculation'!$D$17="Type 4 e",MAX(SA,H145),IF('Pre-Calculation'!$D$17="Type 4 f",SA,IF('Pre-Calculation'!$D$17="Type 4 g",1000+H145,IF('Pre-Calculation'!$D$17="Type 4 h",SA+V145,IF('Pre-Calculation'!$D$17="Type 4 i",MAX(H145,Q145),IF('Pre-Calculation'!$D$17="Type 4 k",MAX(H145,1.01*Q145),IF('Pre-Calculation'!$D$17="Type 4 m",MAX(105%*Q145,SA+H145),IF('Pre-Calculation'!$D$17="Type 4 o",MAX(SA,105%*Q145)+V145+X145,IF('Pre-Calculation'!$D$17="Type 5",0)))))))))))))*IF(AND(A145&lt;Revival!$C$4,C145&gt;Revival!$D$12),PUP,1)</f>
        <v>4470861.875</v>
      </c>
      <c r="L145" s="175">
        <f>H145-I145*(1+Tax)</f>
        <v>4470861.875</v>
      </c>
      <c r="M145" s="175">
        <f>L145*(1+GROWTH_RATE_HIST)</f>
        <v>4519711.891</v>
      </c>
      <c r="N145" s="175">
        <f>M145+IF(MOD(A145,B145)=0,VLOOKUP(B145,'Pre-Calculation'!$H$1:$L$31,5,FALSE),0)*IF('Pre-Calculation'!$D$16="% OF FV",M145,IF(OR('Pre-Calculation'!$D$16="% OF AFV(24M)",'Pre-Calculation'!$D$16="% OF AFV(8Q)"),AVERAGE( $M122:$M145),IF('Pre-Calculation'!$D$16="% OF AFV(12M)",AVERAGE($M134:M145),IF('Pre-Calculation'!$D$16="% OF AFV(36M)",AVERAGE($M110:M145)))))</f>
        <v>4519711.891</v>
      </c>
      <c r="O145" s="175">
        <f t="shared" si="4"/>
        <v>4519711.891</v>
      </c>
      <c r="P145" s="175">
        <f>IF('Pre-Calculation'!$D$17="Type 4 a",MAX(SA,N145,1.05*Q145),IF('Pre-Calculation'!$D$17="Type 4 c",N145,IF('Pre-Calculation'!$D$17="Type 4 d",SA+N145,IF('Pre-Calculation'!$D$17="Type 4 e",MAX(SA,N145),IF('Pre-Calculation'!$D$17="Type 4 f",SA,IF('Pre-Calculation'!$D$17="Type 4 g",1000+N145,IF('Pre-Calculation'!$D$17="Type 4 h",SA+V145,IF('Pre-Calculation'!$D$17="Type 4 i",MAX(N145,Q145),IF('Pre-Calculation'!$D$17="Type 4 k",MAX(N145,1.01*Q145),IF('Pre-Calculation'!$D$17="Type 4 m",MAX(105%*Q145,SA+N145),IF('Pre-Calculation'!$D$17="Type 4 o",MAX(SA,105%*Q145)+V145+X145,IF('Pre-Calculation'!$D$17="Type 5",0))))))))))))</f>
        <v>4519711.891</v>
      </c>
      <c r="Q145" s="175">
        <f t="shared" si="5"/>
        <v>1000000</v>
      </c>
      <c r="R145" s="119">
        <f>L145*(1+GROWTH_RATE)*FMC</f>
        <v>5059.328135</v>
      </c>
      <c r="S145" s="112"/>
      <c r="T145" s="175">
        <f>-E145+IF(A144=INPUT!$C$11*12,N145,0)</f>
        <v>0</v>
      </c>
      <c r="U145" s="112"/>
      <c r="V145" s="179">
        <f t="array" ref="V145">NPV('Pre-Calculation'!$E$20,$E146:E$246)</f>
        <v>0</v>
      </c>
      <c r="W145" s="171">
        <f>10%*SA</f>
        <v>100000</v>
      </c>
      <c r="X145" s="179">
        <f t="array" ref="X145">NPV('Pre-Calculation'!$E$20,W146:W155)</f>
        <v>969592.8037</v>
      </c>
      <c r="Y145" s="12"/>
      <c r="Z145" s="12"/>
    </row>
    <row r="146" ht="15.75" customHeight="1">
      <c r="A146" s="171">
        <f t="shared" si="1"/>
        <v>200</v>
      </c>
      <c r="B146" s="171">
        <f t="shared" si="2"/>
        <v>17</v>
      </c>
      <c r="C146" s="176">
        <f>EDATE(RCD,A145)</f>
        <v>48609</v>
      </c>
      <c r="D146" s="171">
        <f>Age_At_Entry+Cashflows_HIST!B146-1</f>
        <v>51</v>
      </c>
      <c r="E146" s="175">
        <f>IF(AND(C146&lt;=Last_Prem,MOD(A145,Mode)=0,C146&gt;INPUT!$C$13,A146&lt;=Revival!$C$11),Mod_Prem,0)</f>
        <v>0</v>
      </c>
      <c r="F146" s="177">
        <f>E146*VLOOKUP(B146,'Pre-Calculation'!$H$1:$I$31,2,FALSE)</f>
        <v>0</v>
      </c>
      <c r="G146" s="177">
        <f>IF(B146&lt;PT+1,VLOOKUP(B146,'Pre-Calculation'!$H$1:$L$32,3,FALSE)+VLOOKUP(B146,'Pre-Calculation'!$H$1:$L$32,4,FALSE)*'Pre-Calculation'!$D$7,0)</f>
        <v>0</v>
      </c>
      <c r="H146" s="175">
        <f>(E146-(F146+G146)*(1+Tax)+N145)</f>
        <v>4519711.891</v>
      </c>
      <c r="I146" s="175">
        <f>IF(B146&lt;PT+1,VLOOKUP(D146,'Pre-Calculation'!$N$3:$P$79,IF(INPUT!$C$4="M",2,3),FALSE)*(J146/1000)*(1/12),0)</f>
        <v>0</v>
      </c>
      <c r="J146" s="175">
        <f t="shared" si="3"/>
        <v>0</v>
      </c>
      <c r="K146" s="175">
        <f>(IF('Pre-Calculation'!$D$17="Type 4 a",MAX(SA,H146,1.05*Q146),IF('Pre-Calculation'!$D$17="Type 4 c",H146,IF('Pre-Calculation'!$D$17="Type 4 d",SA+H146,IF('Pre-Calculation'!$D$17="Type 4 e",MAX(SA,H146),IF('Pre-Calculation'!$D$17="Type 4 f",SA,IF('Pre-Calculation'!$D$17="Type 4 g",1000+H146,IF('Pre-Calculation'!$D$17="Type 4 h",SA+V146,IF('Pre-Calculation'!$D$17="Type 4 i",MAX(H146,Q146),IF('Pre-Calculation'!$D$17="Type 4 k",MAX(H146,1.01*Q146),IF('Pre-Calculation'!$D$17="Type 4 m",MAX(105%*Q146,SA+H146),IF('Pre-Calculation'!$D$17="Type 4 o",MAX(SA,105%*Q146)+V146+X146,IF('Pre-Calculation'!$D$17="Type 5",0)))))))))))))*IF(AND(A146&lt;Revival!$C$4,C146&gt;Revival!$D$12),PUP,1)</f>
        <v>4519711.891</v>
      </c>
      <c r="L146" s="175">
        <f>H146-I146*(1+Tax)</f>
        <v>4519711.891</v>
      </c>
      <c r="M146" s="175">
        <f>L146*(1+GROWTH_RATE_HIST)</f>
        <v>4569095.656</v>
      </c>
      <c r="N146" s="175">
        <f>M146+IF(MOD(A146,B146)=0,VLOOKUP(B146,'Pre-Calculation'!$H$1:$L$31,5,FALSE),0)*IF('Pre-Calculation'!$D$16="% OF FV",M146,IF(OR('Pre-Calculation'!$D$16="% OF AFV(24M)",'Pre-Calculation'!$D$16="% OF AFV(8Q)"),AVERAGE( $M123:$M146),IF('Pre-Calculation'!$D$16="% OF AFV(12M)",AVERAGE($M135:M146),IF('Pre-Calculation'!$D$16="% OF AFV(36M)",AVERAGE($M111:M146)))))</f>
        <v>4569095.656</v>
      </c>
      <c r="O146" s="175">
        <f t="shared" si="4"/>
        <v>4569095.656</v>
      </c>
      <c r="P146" s="175">
        <f>IF('Pre-Calculation'!$D$17="Type 4 a",MAX(SA,N146,1.05*Q146),IF('Pre-Calculation'!$D$17="Type 4 c",N146,IF('Pre-Calculation'!$D$17="Type 4 d",SA+N146,IF('Pre-Calculation'!$D$17="Type 4 e",MAX(SA,N146),IF('Pre-Calculation'!$D$17="Type 4 f",SA,IF('Pre-Calculation'!$D$17="Type 4 g",1000+N146,IF('Pre-Calculation'!$D$17="Type 4 h",SA+V146,IF('Pre-Calculation'!$D$17="Type 4 i",MAX(N146,Q146),IF('Pre-Calculation'!$D$17="Type 4 k",MAX(N146,1.01*Q146),IF('Pre-Calculation'!$D$17="Type 4 m",MAX(105%*Q146,SA+N146),IF('Pre-Calculation'!$D$17="Type 4 o",MAX(SA,105%*Q146)+V146+X146,IF('Pre-Calculation'!$D$17="Type 5",0))))))))))))</f>
        <v>4569095.656</v>
      </c>
      <c r="Q146" s="175">
        <f t="shared" si="5"/>
        <v>1000000</v>
      </c>
      <c r="R146" s="119">
        <f>L146*(1+GROWTH_RATE)*FMC</f>
        <v>5114.607914</v>
      </c>
      <c r="S146" s="112"/>
      <c r="T146" s="175">
        <f>-E146+IF(A145=INPUT!$C$11*12,N146,0)</f>
        <v>0</v>
      </c>
      <c r="U146" s="112"/>
      <c r="V146" s="179">
        <f t="array" ref="V146">NPV('Pre-Calculation'!$E$20,$E147:E$246)</f>
        <v>0</v>
      </c>
      <c r="W146" s="171">
        <f>10%*SA</f>
        <v>100000</v>
      </c>
      <c r="X146" s="179">
        <f t="array" ref="X146">NPV('Pre-Calculation'!$E$20,W147:W156)</f>
        <v>969592.8037</v>
      </c>
      <c r="Y146" s="12"/>
      <c r="Z146" s="12"/>
    </row>
    <row r="147" ht="15.75" customHeight="1">
      <c r="A147" s="171">
        <f t="shared" si="1"/>
        <v>201</v>
      </c>
      <c r="B147" s="171">
        <f t="shared" si="2"/>
        <v>17</v>
      </c>
      <c r="C147" s="176">
        <f>EDATE(RCD,A146)</f>
        <v>48638</v>
      </c>
      <c r="D147" s="171">
        <f>Age_At_Entry+Cashflows_HIST!B147-1</f>
        <v>51</v>
      </c>
      <c r="E147" s="175">
        <f>IF(AND(C147&lt;=Last_Prem,MOD(A146,Mode)=0,C147&gt;INPUT!$C$13,A147&lt;=Revival!$C$11),Mod_Prem,0)</f>
        <v>0</v>
      </c>
      <c r="F147" s="177">
        <f>E147*VLOOKUP(B147,'Pre-Calculation'!$H$1:$I$31,2,FALSE)</f>
        <v>0</v>
      </c>
      <c r="G147" s="177">
        <f>IF(B147&lt;PT+1,VLOOKUP(B147,'Pre-Calculation'!$H$1:$L$32,3,FALSE)+VLOOKUP(B147,'Pre-Calculation'!$H$1:$L$32,4,FALSE)*'Pre-Calculation'!$D$7,0)</f>
        <v>0</v>
      </c>
      <c r="H147" s="175">
        <f>(E147-(F147+G147)*(1+Tax)+N146)</f>
        <v>4569095.656</v>
      </c>
      <c r="I147" s="175">
        <f>IF(B147&lt;PT+1,VLOOKUP(D147,'Pre-Calculation'!$N$3:$P$79,IF(INPUT!$C$4="M",2,3),FALSE)*(J147/1000)*(1/12),0)</f>
        <v>0</v>
      </c>
      <c r="J147" s="175">
        <f t="shared" si="3"/>
        <v>0</v>
      </c>
      <c r="K147" s="175">
        <f>(IF('Pre-Calculation'!$D$17="Type 4 a",MAX(SA,H147,1.05*Q147),IF('Pre-Calculation'!$D$17="Type 4 c",H147,IF('Pre-Calculation'!$D$17="Type 4 d",SA+H147,IF('Pre-Calculation'!$D$17="Type 4 e",MAX(SA,H147),IF('Pre-Calculation'!$D$17="Type 4 f",SA,IF('Pre-Calculation'!$D$17="Type 4 g",1000+H147,IF('Pre-Calculation'!$D$17="Type 4 h",SA+V147,IF('Pre-Calculation'!$D$17="Type 4 i",MAX(H147,Q147),IF('Pre-Calculation'!$D$17="Type 4 k",MAX(H147,1.01*Q147),IF('Pre-Calculation'!$D$17="Type 4 m",MAX(105%*Q147,SA+H147),IF('Pre-Calculation'!$D$17="Type 4 o",MAX(SA,105%*Q147)+V147+X147,IF('Pre-Calculation'!$D$17="Type 5",0)))))))))))))*IF(AND(A147&lt;Revival!$C$4,C147&gt;Revival!$D$12),PUP,1)</f>
        <v>4569095.656</v>
      </c>
      <c r="L147" s="175">
        <f>H147-I147*(1+Tax)</f>
        <v>4569095.656</v>
      </c>
      <c r="M147" s="175">
        <f>L147*(1+GROWTH_RATE_HIST)</f>
        <v>4619019.005</v>
      </c>
      <c r="N147" s="175">
        <f>M147+IF(MOD(A147,B147)=0,VLOOKUP(B147,'Pre-Calculation'!$H$1:$L$31,5,FALSE),0)*IF('Pre-Calculation'!$D$16="% OF FV",M147,IF(OR('Pre-Calculation'!$D$16="% OF AFV(24M)",'Pre-Calculation'!$D$16="% OF AFV(8Q)"),AVERAGE( $M124:$M147),IF('Pre-Calculation'!$D$16="% OF AFV(12M)",AVERAGE($M136:M147),IF('Pre-Calculation'!$D$16="% OF AFV(36M)",AVERAGE($M112:M147)))))</f>
        <v>4619019.005</v>
      </c>
      <c r="O147" s="175">
        <f t="shared" si="4"/>
        <v>4619019.005</v>
      </c>
      <c r="P147" s="175">
        <f>IF('Pre-Calculation'!$D$17="Type 4 a",MAX(SA,N147,1.05*Q147),IF('Pre-Calculation'!$D$17="Type 4 c",N147,IF('Pre-Calculation'!$D$17="Type 4 d",SA+N147,IF('Pre-Calculation'!$D$17="Type 4 e",MAX(SA,N147),IF('Pre-Calculation'!$D$17="Type 4 f",SA,IF('Pre-Calculation'!$D$17="Type 4 g",1000+N147,IF('Pre-Calculation'!$D$17="Type 4 h",SA+V147,IF('Pre-Calculation'!$D$17="Type 4 i",MAX(N147,Q147),IF('Pre-Calculation'!$D$17="Type 4 k",MAX(N147,1.01*Q147),IF('Pre-Calculation'!$D$17="Type 4 m",MAX(105%*Q147,SA+N147),IF('Pre-Calculation'!$D$17="Type 4 o",MAX(SA,105%*Q147)+V147+X147,IF('Pre-Calculation'!$D$17="Type 5",0))))))))))))</f>
        <v>4619019.005</v>
      </c>
      <c r="Q147" s="175">
        <f t="shared" si="5"/>
        <v>1000000</v>
      </c>
      <c r="R147" s="119">
        <f>L147*(1+GROWTH_RATE)*FMC</f>
        <v>5170.491697</v>
      </c>
      <c r="S147" s="112"/>
      <c r="T147" s="175">
        <f>-E147+IF(A146=INPUT!$C$11*12,N147,0)</f>
        <v>0</v>
      </c>
      <c r="U147" s="112"/>
      <c r="V147" s="179">
        <f t="array" ref="V147">NPV('Pre-Calculation'!$E$20,$E148:E$246)</f>
        <v>0</v>
      </c>
      <c r="W147" s="171">
        <f>10%*SA</f>
        <v>100000</v>
      </c>
      <c r="X147" s="179">
        <f t="array" ref="X147">NPV('Pre-Calculation'!$E$20,W148:W157)</f>
        <v>969592.8037</v>
      </c>
      <c r="Y147" s="12"/>
      <c r="Z147" s="12"/>
    </row>
    <row r="148" ht="15.75" customHeight="1">
      <c r="A148" s="171">
        <f t="shared" si="1"/>
        <v>202</v>
      </c>
      <c r="B148" s="171">
        <f t="shared" si="2"/>
        <v>17</v>
      </c>
      <c r="C148" s="176">
        <f>EDATE(RCD,A147)</f>
        <v>48668</v>
      </c>
      <c r="D148" s="171">
        <f>Age_At_Entry+Cashflows_HIST!B148-1</f>
        <v>51</v>
      </c>
      <c r="E148" s="175">
        <f>IF(AND(C148&lt;=Last_Prem,MOD(A147,Mode)=0,C148&gt;INPUT!$C$13,A148&lt;=Revival!$C$11),Mod_Prem,0)</f>
        <v>0</v>
      </c>
      <c r="F148" s="177">
        <f>E148*VLOOKUP(B148,'Pre-Calculation'!$H$1:$I$31,2,FALSE)</f>
        <v>0</v>
      </c>
      <c r="G148" s="177">
        <f>IF(B148&lt;PT+1,VLOOKUP(B148,'Pre-Calculation'!$H$1:$L$32,3,FALSE)+VLOOKUP(B148,'Pre-Calculation'!$H$1:$L$32,4,FALSE)*'Pre-Calculation'!$D$7,0)</f>
        <v>0</v>
      </c>
      <c r="H148" s="175">
        <f>(E148-(F148+G148)*(1+Tax)+N147)</f>
        <v>4619019.005</v>
      </c>
      <c r="I148" s="175">
        <f>IF(B148&lt;PT+1,VLOOKUP(D148,'Pre-Calculation'!$N$3:$P$79,IF(INPUT!$C$4="M",2,3),FALSE)*(J148/1000)*(1/12),0)</f>
        <v>0</v>
      </c>
      <c r="J148" s="175">
        <f t="shared" si="3"/>
        <v>0</v>
      </c>
      <c r="K148" s="175">
        <f>(IF('Pre-Calculation'!$D$17="Type 4 a",MAX(SA,H148,1.05*Q148),IF('Pre-Calculation'!$D$17="Type 4 c",H148,IF('Pre-Calculation'!$D$17="Type 4 d",SA+H148,IF('Pre-Calculation'!$D$17="Type 4 e",MAX(SA,H148),IF('Pre-Calculation'!$D$17="Type 4 f",SA,IF('Pre-Calculation'!$D$17="Type 4 g",1000+H148,IF('Pre-Calculation'!$D$17="Type 4 h",SA+V148,IF('Pre-Calculation'!$D$17="Type 4 i",MAX(H148,Q148),IF('Pre-Calculation'!$D$17="Type 4 k",MAX(H148,1.01*Q148),IF('Pre-Calculation'!$D$17="Type 4 m",MAX(105%*Q148,SA+H148),IF('Pre-Calculation'!$D$17="Type 4 o",MAX(SA,105%*Q148)+V148+X148,IF('Pre-Calculation'!$D$17="Type 5",0)))))))))))))*IF(AND(A148&lt;Revival!$C$4,C148&gt;Revival!$D$12),PUP,1)</f>
        <v>4619019.005</v>
      </c>
      <c r="L148" s="175">
        <f>H148-I148*(1+Tax)</f>
        <v>4619019.005</v>
      </c>
      <c r="M148" s="175">
        <f>L148*(1+GROWTH_RATE_HIST)</f>
        <v>4669487.83</v>
      </c>
      <c r="N148" s="175">
        <f>M148+IF(MOD(A148,B148)=0,VLOOKUP(B148,'Pre-Calculation'!$H$1:$L$31,5,FALSE),0)*IF('Pre-Calculation'!$D$16="% OF FV",M148,IF(OR('Pre-Calculation'!$D$16="% OF AFV(24M)",'Pre-Calculation'!$D$16="% OF AFV(8Q)"),AVERAGE( $M125:$M148),IF('Pre-Calculation'!$D$16="% OF AFV(12M)",AVERAGE($M137:M148),IF('Pre-Calculation'!$D$16="% OF AFV(36M)",AVERAGE($M113:M148)))))</f>
        <v>4669487.83</v>
      </c>
      <c r="O148" s="175">
        <f t="shared" si="4"/>
        <v>4669487.83</v>
      </c>
      <c r="P148" s="175">
        <f>IF('Pre-Calculation'!$D$17="Type 4 a",MAX(SA,N148,1.05*Q148),IF('Pre-Calculation'!$D$17="Type 4 c",N148,IF('Pre-Calculation'!$D$17="Type 4 d",SA+N148,IF('Pre-Calculation'!$D$17="Type 4 e",MAX(SA,N148),IF('Pre-Calculation'!$D$17="Type 4 f",SA,IF('Pre-Calculation'!$D$17="Type 4 g",1000+N148,IF('Pre-Calculation'!$D$17="Type 4 h",SA+V148,IF('Pre-Calculation'!$D$17="Type 4 i",MAX(N148,Q148),IF('Pre-Calculation'!$D$17="Type 4 k",MAX(N148,1.01*Q148),IF('Pre-Calculation'!$D$17="Type 4 m",MAX(105%*Q148,SA+N148),IF('Pre-Calculation'!$D$17="Type 4 o",MAX(SA,105%*Q148)+V148+X148,IF('Pre-Calculation'!$D$17="Type 5",0))))))))))))</f>
        <v>4669487.83</v>
      </c>
      <c r="Q148" s="175">
        <f t="shared" si="5"/>
        <v>1000000</v>
      </c>
      <c r="R148" s="119">
        <f>L148*(1+GROWTH_RATE)*FMC</f>
        <v>5226.986084</v>
      </c>
      <c r="S148" s="112"/>
      <c r="T148" s="175">
        <f>-E148+IF(A147=INPUT!$C$11*12,N148,0)</f>
        <v>0</v>
      </c>
      <c r="U148" s="112"/>
      <c r="V148" s="179">
        <f t="array" ref="V148">NPV('Pre-Calculation'!$E$20,$E149:E$246)</f>
        <v>0</v>
      </c>
      <c r="W148" s="171">
        <f>10%*SA</f>
        <v>100000</v>
      </c>
      <c r="X148" s="179">
        <f t="array" ref="X148">NPV('Pre-Calculation'!$E$20,W149:W158)</f>
        <v>969592.8037</v>
      </c>
      <c r="Y148" s="12"/>
      <c r="Z148" s="12"/>
    </row>
    <row r="149" ht="15.75" customHeight="1">
      <c r="A149" s="171">
        <f t="shared" si="1"/>
        <v>203</v>
      </c>
      <c r="B149" s="171">
        <f t="shared" si="2"/>
        <v>17</v>
      </c>
      <c r="C149" s="176">
        <f>EDATE(RCD,A148)</f>
        <v>48699</v>
      </c>
      <c r="D149" s="171">
        <f>Age_At_Entry+Cashflows_HIST!B149-1</f>
        <v>51</v>
      </c>
      <c r="E149" s="175">
        <f>IF(AND(C149&lt;=Last_Prem,MOD(A148,Mode)=0,C149&gt;INPUT!$C$13,A149&lt;=Revival!$C$11),Mod_Prem,0)</f>
        <v>0</v>
      </c>
      <c r="F149" s="177">
        <f>E149*VLOOKUP(B149,'Pre-Calculation'!$H$1:$I$31,2,FALSE)</f>
        <v>0</v>
      </c>
      <c r="G149" s="177">
        <f>IF(B149&lt;PT+1,VLOOKUP(B149,'Pre-Calculation'!$H$1:$L$32,3,FALSE)+VLOOKUP(B149,'Pre-Calculation'!$H$1:$L$32,4,FALSE)*'Pre-Calculation'!$D$7,0)</f>
        <v>0</v>
      </c>
      <c r="H149" s="175">
        <f>(E149-(F149+G149)*(1+Tax)+N148)</f>
        <v>4669487.83</v>
      </c>
      <c r="I149" s="175">
        <f>IF(B149&lt;PT+1,VLOOKUP(D149,'Pre-Calculation'!$N$3:$P$79,IF(INPUT!$C$4="M",2,3),FALSE)*(J149/1000)*(1/12),0)</f>
        <v>0</v>
      </c>
      <c r="J149" s="175">
        <f t="shared" si="3"/>
        <v>0</v>
      </c>
      <c r="K149" s="175">
        <f>(IF('Pre-Calculation'!$D$17="Type 4 a",MAX(SA,H149,1.05*Q149),IF('Pre-Calculation'!$D$17="Type 4 c",H149,IF('Pre-Calculation'!$D$17="Type 4 d",SA+H149,IF('Pre-Calculation'!$D$17="Type 4 e",MAX(SA,H149),IF('Pre-Calculation'!$D$17="Type 4 f",SA,IF('Pre-Calculation'!$D$17="Type 4 g",1000+H149,IF('Pre-Calculation'!$D$17="Type 4 h",SA+V149,IF('Pre-Calculation'!$D$17="Type 4 i",MAX(H149,Q149),IF('Pre-Calculation'!$D$17="Type 4 k",MAX(H149,1.01*Q149),IF('Pre-Calculation'!$D$17="Type 4 m",MAX(105%*Q149,SA+H149),IF('Pre-Calculation'!$D$17="Type 4 o",MAX(SA,105%*Q149)+V149+X149,IF('Pre-Calculation'!$D$17="Type 5",0)))))))))))))*IF(AND(A149&lt;Revival!$C$4,C149&gt;Revival!$D$12),PUP,1)</f>
        <v>4669487.83</v>
      </c>
      <c r="L149" s="175">
        <f>H149-I149*(1+Tax)</f>
        <v>4669487.83</v>
      </c>
      <c r="M149" s="175">
        <f>L149*(1+GROWTH_RATE_HIST)</f>
        <v>4720508.094</v>
      </c>
      <c r="N149" s="175">
        <f>M149+IF(MOD(A149,B149)=0,VLOOKUP(B149,'Pre-Calculation'!$H$1:$L$31,5,FALSE),0)*IF('Pre-Calculation'!$D$16="% OF FV",M149,IF(OR('Pre-Calculation'!$D$16="% OF AFV(24M)",'Pre-Calculation'!$D$16="% OF AFV(8Q)"),AVERAGE( $M126:$M149),IF('Pre-Calculation'!$D$16="% OF AFV(12M)",AVERAGE($M138:M149),IF('Pre-Calculation'!$D$16="% OF AFV(36M)",AVERAGE($M114:M149)))))</f>
        <v>4720508.094</v>
      </c>
      <c r="O149" s="175">
        <f t="shared" si="4"/>
        <v>4720508.094</v>
      </c>
      <c r="P149" s="175">
        <f>IF('Pre-Calculation'!$D$17="Type 4 a",MAX(SA,N149,1.05*Q149),IF('Pre-Calculation'!$D$17="Type 4 c",N149,IF('Pre-Calculation'!$D$17="Type 4 d",SA+N149,IF('Pre-Calculation'!$D$17="Type 4 e",MAX(SA,N149),IF('Pre-Calculation'!$D$17="Type 4 f",SA,IF('Pre-Calculation'!$D$17="Type 4 g",1000+N149,IF('Pre-Calculation'!$D$17="Type 4 h",SA+V149,IF('Pre-Calculation'!$D$17="Type 4 i",MAX(N149,Q149),IF('Pre-Calculation'!$D$17="Type 4 k",MAX(N149,1.01*Q149),IF('Pre-Calculation'!$D$17="Type 4 m",MAX(105%*Q149,SA+N149),IF('Pre-Calculation'!$D$17="Type 4 o",MAX(SA,105%*Q149)+V149+X149,IF('Pre-Calculation'!$D$17="Type 5",0))))))))))))</f>
        <v>4720508.094</v>
      </c>
      <c r="Q149" s="175">
        <f t="shared" si="5"/>
        <v>1000000</v>
      </c>
      <c r="R149" s="119">
        <f>L149*(1+GROWTH_RATE)*FMC</f>
        <v>5284.097746</v>
      </c>
      <c r="S149" s="112"/>
      <c r="T149" s="175">
        <f>-E149+IF(A148=INPUT!$C$11*12,N149,0)</f>
        <v>0</v>
      </c>
      <c r="U149" s="112"/>
      <c r="V149" s="179">
        <f t="array" ref="V149">NPV('Pre-Calculation'!$E$20,$E150:E$246)</f>
        <v>0</v>
      </c>
      <c r="W149" s="171">
        <f>10%*SA</f>
        <v>100000</v>
      </c>
      <c r="X149" s="179">
        <f t="array" ref="X149">NPV('Pre-Calculation'!$E$20,W150:W159)</f>
        <v>969592.8037</v>
      </c>
      <c r="Y149" s="12"/>
      <c r="Z149" s="12"/>
    </row>
    <row r="150" ht="15.75" customHeight="1">
      <c r="A150" s="171">
        <f t="shared" si="1"/>
        <v>204</v>
      </c>
      <c r="B150" s="171">
        <f t="shared" si="2"/>
        <v>17</v>
      </c>
      <c r="C150" s="176">
        <f>EDATE(RCD,A149)</f>
        <v>48729</v>
      </c>
      <c r="D150" s="171">
        <f>Age_At_Entry+Cashflows_HIST!B150-1</f>
        <v>51</v>
      </c>
      <c r="E150" s="175">
        <f>IF(AND(C150&lt;=Last_Prem,MOD(A149,Mode)=0,C150&gt;INPUT!$C$13,A150&lt;=Revival!$C$11),Mod_Prem,0)</f>
        <v>0</v>
      </c>
      <c r="F150" s="177">
        <f>E150*VLOOKUP(B150,'Pre-Calculation'!$H$1:$I$31,2,FALSE)</f>
        <v>0</v>
      </c>
      <c r="G150" s="177">
        <f>IF(B150&lt;PT+1,VLOOKUP(B150,'Pre-Calculation'!$H$1:$L$32,3,FALSE)+VLOOKUP(B150,'Pre-Calculation'!$H$1:$L$32,4,FALSE)*'Pre-Calculation'!$D$7,0)</f>
        <v>0</v>
      </c>
      <c r="H150" s="175">
        <f>(E150-(F150+G150)*(1+Tax)+N149)</f>
        <v>4720508.094</v>
      </c>
      <c r="I150" s="175">
        <f>IF(B150&lt;PT+1,VLOOKUP(D150,'Pre-Calculation'!$N$3:$P$79,IF(INPUT!$C$4="M",2,3),FALSE)*(J150/1000)*(1/12),0)</f>
        <v>0</v>
      </c>
      <c r="J150" s="175">
        <f t="shared" si="3"/>
        <v>0</v>
      </c>
      <c r="K150" s="175">
        <f>(IF('Pre-Calculation'!$D$17="Type 4 a",MAX(SA,H150,1.05*Q150),IF('Pre-Calculation'!$D$17="Type 4 c",H150,IF('Pre-Calculation'!$D$17="Type 4 d",SA+H150,IF('Pre-Calculation'!$D$17="Type 4 e",MAX(SA,H150),IF('Pre-Calculation'!$D$17="Type 4 f",SA,IF('Pre-Calculation'!$D$17="Type 4 g",1000+H150,IF('Pre-Calculation'!$D$17="Type 4 h",SA+V150,IF('Pre-Calculation'!$D$17="Type 4 i",MAX(H150,Q150),IF('Pre-Calculation'!$D$17="Type 4 k",MAX(H150,1.01*Q150),IF('Pre-Calculation'!$D$17="Type 4 m",MAX(105%*Q150,SA+H150),IF('Pre-Calculation'!$D$17="Type 4 o",MAX(SA,105%*Q150)+V150+X150,IF('Pre-Calculation'!$D$17="Type 5",0)))))))))))))*IF(AND(A150&lt;Revival!$C$4,C150&gt;Revival!$D$12),PUP,1)</f>
        <v>4720508.094</v>
      </c>
      <c r="L150" s="175">
        <f>H150-I150*(1+Tax)</f>
        <v>4720508.094</v>
      </c>
      <c r="M150" s="175">
        <f>L150*(1+GROWTH_RATE_HIST)</f>
        <v>4772085.821</v>
      </c>
      <c r="N150" s="175">
        <f>M150+IF(MOD(A150,B150)=0,VLOOKUP(B150,'Pre-Calculation'!$H$1:$L$31,5,FALSE),0)*IF('Pre-Calculation'!$D$16="% OF FV",M150,IF(OR('Pre-Calculation'!$D$16="% OF AFV(24M)",'Pre-Calculation'!$D$16="% OF AFV(8Q)"),AVERAGE( $M127:$M150),IF('Pre-Calculation'!$D$16="% OF AFV(12M)",AVERAGE($M139:M150),IF('Pre-Calculation'!$D$16="% OF AFV(36M)",AVERAGE($M115:M150)))))</f>
        <v>4772085.821</v>
      </c>
      <c r="O150" s="175">
        <f t="shared" si="4"/>
        <v>4772085.821</v>
      </c>
      <c r="P150" s="175">
        <f>IF('Pre-Calculation'!$D$17="Type 4 a",MAX(SA,N150,1.05*Q150),IF('Pre-Calculation'!$D$17="Type 4 c",N150,IF('Pre-Calculation'!$D$17="Type 4 d",SA+N150,IF('Pre-Calculation'!$D$17="Type 4 e",MAX(SA,N150),IF('Pre-Calculation'!$D$17="Type 4 f",SA,IF('Pre-Calculation'!$D$17="Type 4 g",1000+N150,IF('Pre-Calculation'!$D$17="Type 4 h",SA+V150,IF('Pre-Calculation'!$D$17="Type 4 i",MAX(N150,Q150),IF('Pre-Calculation'!$D$17="Type 4 k",MAX(N150,1.01*Q150),IF('Pre-Calculation'!$D$17="Type 4 m",MAX(105%*Q150,SA+N150),IF('Pre-Calculation'!$D$17="Type 4 o",MAX(SA,105%*Q150)+V150+X150,IF('Pre-Calculation'!$D$17="Type 5",0))))))))))))</f>
        <v>4772085.821</v>
      </c>
      <c r="Q150" s="175">
        <f t="shared" si="5"/>
        <v>1000000</v>
      </c>
      <c r="R150" s="119">
        <f>L150*(1+GROWTH_RATE)*FMC</f>
        <v>5341.833427</v>
      </c>
      <c r="S150" s="112"/>
      <c r="T150" s="175">
        <f>-E150+IF(A149=INPUT!$C$11*12,N150,0)</f>
        <v>0</v>
      </c>
      <c r="U150" s="112"/>
      <c r="V150" s="179">
        <f t="array" ref="V150">NPV('Pre-Calculation'!$E$20,$E151:E$246)</f>
        <v>0</v>
      </c>
      <c r="W150" s="171">
        <f>10%*SA</f>
        <v>100000</v>
      </c>
      <c r="X150" s="179">
        <f t="array" ref="X150">NPV('Pre-Calculation'!$E$20,W151:W160)</f>
        <v>969592.8037</v>
      </c>
      <c r="Y150" s="12"/>
      <c r="Z150" s="12"/>
    </row>
    <row r="151" ht="15.75" customHeight="1">
      <c r="A151" s="171">
        <f t="shared" si="1"/>
        <v>205</v>
      </c>
      <c r="B151" s="171">
        <f t="shared" si="2"/>
        <v>18</v>
      </c>
      <c r="C151" s="176">
        <f>EDATE(RCD,A150)</f>
        <v>48760</v>
      </c>
      <c r="D151" s="171">
        <f>Age_At_Entry+Cashflows_HIST!B151-1</f>
        <v>52</v>
      </c>
      <c r="E151" s="175">
        <f>IF(AND(C151&lt;=Last_Prem,MOD(A150,Mode)=0,C151&gt;INPUT!$C$13,A151&lt;=Revival!$C$11),Mod_Prem,0)</f>
        <v>0</v>
      </c>
      <c r="F151" s="177">
        <f>E151*VLOOKUP(B151,'Pre-Calculation'!$H$1:$I$31,2,FALSE)</f>
        <v>0</v>
      </c>
      <c r="G151" s="177">
        <f>IF(B151&lt;PT+1,VLOOKUP(B151,'Pre-Calculation'!$H$1:$L$32,3,FALSE)+VLOOKUP(B151,'Pre-Calculation'!$H$1:$L$32,4,FALSE)*'Pre-Calculation'!$D$7,0)</f>
        <v>0</v>
      </c>
      <c r="H151" s="175">
        <f>(E151-(F151+G151)*(1+Tax)+N150)</f>
        <v>4772085.821</v>
      </c>
      <c r="I151" s="175">
        <f>IF(B151&lt;PT+1,VLOOKUP(D151,'Pre-Calculation'!$N$3:$P$79,IF(INPUT!$C$4="M",2,3),FALSE)*(J151/1000)*(1/12),0)</f>
        <v>0</v>
      </c>
      <c r="J151" s="175">
        <f t="shared" si="3"/>
        <v>0</v>
      </c>
      <c r="K151" s="175">
        <f>(IF('Pre-Calculation'!$D$17="Type 4 a",MAX(SA,H151,1.05*Q151),IF('Pre-Calculation'!$D$17="Type 4 c",H151,IF('Pre-Calculation'!$D$17="Type 4 d",SA+H151,IF('Pre-Calculation'!$D$17="Type 4 e",MAX(SA,H151),IF('Pre-Calculation'!$D$17="Type 4 f",SA,IF('Pre-Calculation'!$D$17="Type 4 g",1000+H151,IF('Pre-Calculation'!$D$17="Type 4 h",SA+V151,IF('Pre-Calculation'!$D$17="Type 4 i",MAX(H151,Q151),IF('Pre-Calculation'!$D$17="Type 4 k",MAX(H151,1.01*Q151),IF('Pre-Calculation'!$D$17="Type 4 m",MAX(105%*Q151,SA+H151),IF('Pre-Calculation'!$D$17="Type 4 o",MAX(SA,105%*Q151)+V151+X151,IF('Pre-Calculation'!$D$17="Type 5",0)))))))))))))*IF(AND(A151&lt;Revival!$C$4,C151&gt;Revival!$D$12),PUP,1)</f>
        <v>4772085.821</v>
      </c>
      <c r="L151" s="175">
        <f>H151-I151*(1+Tax)</f>
        <v>4772085.821</v>
      </c>
      <c r="M151" s="175">
        <f>L151*(1+GROWTH_RATE_HIST)</f>
        <v>4824227.103</v>
      </c>
      <c r="N151" s="175">
        <f>M151+IF(MOD(A151,B151)=0,VLOOKUP(B151,'Pre-Calculation'!$H$1:$L$31,5,FALSE),0)*IF('Pre-Calculation'!$D$16="% OF FV",M151,IF(OR('Pre-Calculation'!$D$16="% OF AFV(24M)",'Pre-Calculation'!$D$16="% OF AFV(8Q)"),AVERAGE( $M128:$M151),IF('Pre-Calculation'!$D$16="% OF AFV(12M)",AVERAGE($M140:M151),IF('Pre-Calculation'!$D$16="% OF AFV(36M)",AVERAGE($M116:M151)))))</f>
        <v>4824227.103</v>
      </c>
      <c r="O151" s="175">
        <f t="shared" si="4"/>
        <v>4824227.103</v>
      </c>
      <c r="P151" s="175">
        <f>IF('Pre-Calculation'!$D$17="Type 4 a",MAX(SA,N151,1.05*Q151),IF('Pre-Calculation'!$D$17="Type 4 c",N151,IF('Pre-Calculation'!$D$17="Type 4 d",SA+N151,IF('Pre-Calculation'!$D$17="Type 4 e",MAX(SA,N151),IF('Pre-Calculation'!$D$17="Type 4 f",SA,IF('Pre-Calculation'!$D$17="Type 4 g",1000+N151,IF('Pre-Calculation'!$D$17="Type 4 h",SA+V151,IF('Pre-Calculation'!$D$17="Type 4 i",MAX(N151,Q151),IF('Pre-Calculation'!$D$17="Type 4 k",MAX(N151,1.01*Q151),IF('Pre-Calculation'!$D$17="Type 4 m",MAX(105%*Q151,SA+N151),IF('Pre-Calculation'!$D$17="Type 4 o",MAX(SA,105%*Q151)+V151+X151,IF('Pre-Calculation'!$D$17="Type 5",0))))))))))))</f>
        <v>4824227.103</v>
      </c>
      <c r="Q151" s="175">
        <f t="shared" si="5"/>
        <v>1000000</v>
      </c>
      <c r="R151" s="119">
        <f>L151*(1+GROWTH_RATE)*FMC</f>
        <v>5400.199946</v>
      </c>
      <c r="S151" s="112"/>
      <c r="T151" s="175">
        <f>-E151+IF(A150=INPUT!$C$11*12,N151,0)</f>
        <v>0</v>
      </c>
      <c r="U151" s="112"/>
      <c r="V151" s="179">
        <f t="array" ref="V151">NPV('Pre-Calculation'!$E$20,$E152:E$246)</f>
        <v>0</v>
      </c>
      <c r="W151" s="171">
        <f>10%*SA</f>
        <v>100000</v>
      </c>
      <c r="X151" s="179">
        <f t="array" ref="X151">NPV('Pre-Calculation'!$E$20,W152:W161)</f>
        <v>969592.8037</v>
      </c>
      <c r="Y151" s="12"/>
      <c r="Z151" s="12"/>
    </row>
    <row r="152" ht="15.75" customHeight="1">
      <c r="A152" s="171">
        <f t="shared" si="1"/>
        <v>206</v>
      </c>
      <c r="B152" s="171">
        <f t="shared" si="2"/>
        <v>18</v>
      </c>
      <c r="C152" s="176">
        <f>EDATE(RCD,A151)</f>
        <v>48790</v>
      </c>
      <c r="D152" s="171">
        <f>Age_At_Entry+Cashflows_HIST!B152-1</f>
        <v>52</v>
      </c>
      <c r="E152" s="175">
        <f>IF(AND(C152&lt;=Last_Prem,MOD(A151,Mode)=0,C152&gt;INPUT!$C$13,A152&lt;=Revival!$C$11),Mod_Prem,0)</f>
        <v>0</v>
      </c>
      <c r="F152" s="177">
        <f>E152*VLOOKUP(B152,'Pre-Calculation'!$H$1:$I$31,2,FALSE)</f>
        <v>0</v>
      </c>
      <c r="G152" s="177">
        <f>IF(B152&lt;PT+1,VLOOKUP(B152,'Pre-Calculation'!$H$1:$L$32,3,FALSE)+VLOOKUP(B152,'Pre-Calculation'!$H$1:$L$32,4,FALSE)*'Pre-Calculation'!$D$7,0)</f>
        <v>0</v>
      </c>
      <c r="H152" s="175">
        <f>(E152-(F152+G152)*(1+Tax)+N151)</f>
        <v>4824227.103</v>
      </c>
      <c r="I152" s="175">
        <f>IF(B152&lt;PT+1,VLOOKUP(D152,'Pre-Calculation'!$N$3:$P$79,IF(INPUT!$C$4="M",2,3),FALSE)*(J152/1000)*(1/12),0)</f>
        <v>0</v>
      </c>
      <c r="J152" s="175">
        <f t="shared" si="3"/>
        <v>0</v>
      </c>
      <c r="K152" s="175">
        <f>(IF('Pre-Calculation'!$D$17="Type 4 a",MAX(SA,H152,1.05*Q152),IF('Pre-Calculation'!$D$17="Type 4 c",H152,IF('Pre-Calculation'!$D$17="Type 4 d",SA+H152,IF('Pre-Calculation'!$D$17="Type 4 e",MAX(SA,H152),IF('Pre-Calculation'!$D$17="Type 4 f",SA,IF('Pre-Calculation'!$D$17="Type 4 g",1000+H152,IF('Pre-Calculation'!$D$17="Type 4 h",SA+V152,IF('Pre-Calculation'!$D$17="Type 4 i",MAX(H152,Q152),IF('Pre-Calculation'!$D$17="Type 4 k",MAX(H152,1.01*Q152),IF('Pre-Calculation'!$D$17="Type 4 m",MAX(105%*Q152,SA+H152),IF('Pre-Calculation'!$D$17="Type 4 o",MAX(SA,105%*Q152)+V152+X152,IF('Pre-Calculation'!$D$17="Type 5",0)))))))))))))*IF(AND(A152&lt;Revival!$C$4,C152&gt;Revival!$D$12),PUP,1)</f>
        <v>4824227.103</v>
      </c>
      <c r="L152" s="175">
        <f>H152-I152*(1+Tax)</f>
        <v>4824227.103</v>
      </c>
      <c r="M152" s="175">
        <f>L152*(1+GROWTH_RATE_HIST)</f>
        <v>4876938.096</v>
      </c>
      <c r="N152" s="175">
        <f>M152+IF(MOD(A152,B152)=0,VLOOKUP(B152,'Pre-Calculation'!$H$1:$L$31,5,FALSE),0)*IF('Pre-Calculation'!$D$16="% OF FV",M152,IF(OR('Pre-Calculation'!$D$16="% OF AFV(24M)",'Pre-Calculation'!$D$16="% OF AFV(8Q)"),AVERAGE( $M129:$M152),IF('Pre-Calculation'!$D$16="% OF AFV(12M)",AVERAGE($M141:M152),IF('Pre-Calculation'!$D$16="% OF AFV(36M)",AVERAGE($M117:M152)))))</f>
        <v>4876938.096</v>
      </c>
      <c r="O152" s="175">
        <f t="shared" si="4"/>
        <v>4876938.096</v>
      </c>
      <c r="P152" s="175">
        <f>IF('Pre-Calculation'!$D$17="Type 4 a",MAX(SA,N152,1.05*Q152),IF('Pre-Calculation'!$D$17="Type 4 c",N152,IF('Pre-Calculation'!$D$17="Type 4 d",SA+N152,IF('Pre-Calculation'!$D$17="Type 4 e",MAX(SA,N152),IF('Pre-Calculation'!$D$17="Type 4 f",SA,IF('Pre-Calculation'!$D$17="Type 4 g",1000+N152,IF('Pre-Calculation'!$D$17="Type 4 h",SA+V152,IF('Pre-Calculation'!$D$17="Type 4 i",MAX(N152,Q152),IF('Pre-Calculation'!$D$17="Type 4 k",MAX(N152,1.01*Q152),IF('Pre-Calculation'!$D$17="Type 4 m",MAX(105%*Q152,SA+N152),IF('Pre-Calculation'!$D$17="Type 4 o",MAX(SA,105%*Q152)+V152+X152,IF('Pre-Calculation'!$D$17="Type 5",0))))))))))))</f>
        <v>4876938.096</v>
      </c>
      <c r="Q152" s="175">
        <f t="shared" si="5"/>
        <v>1000000</v>
      </c>
      <c r="R152" s="119">
        <f>L152*(1+GROWTH_RATE)*FMC</f>
        <v>5459.204196</v>
      </c>
      <c r="S152" s="112"/>
      <c r="T152" s="175">
        <f>-E152+IF(A151=INPUT!$C$11*12,N152,0)</f>
        <v>0</v>
      </c>
      <c r="U152" s="112"/>
      <c r="V152" s="179">
        <f t="array" ref="V152">NPV('Pre-Calculation'!$E$20,$E153:E$246)</f>
        <v>0</v>
      </c>
      <c r="W152" s="171">
        <f>10%*SA</f>
        <v>100000</v>
      </c>
      <c r="X152" s="179">
        <f t="array" ref="X152">NPV('Pre-Calculation'!$E$20,W153:W162)</f>
        <v>969592.8037</v>
      </c>
      <c r="Y152" s="12"/>
      <c r="Z152" s="12"/>
    </row>
    <row r="153" ht="15.75" customHeight="1">
      <c r="A153" s="171">
        <f t="shared" si="1"/>
        <v>207</v>
      </c>
      <c r="B153" s="171">
        <f t="shared" si="2"/>
        <v>18</v>
      </c>
      <c r="C153" s="176">
        <f>EDATE(RCD,A152)</f>
        <v>48821</v>
      </c>
      <c r="D153" s="171">
        <f>Age_At_Entry+Cashflows_HIST!B153-1</f>
        <v>52</v>
      </c>
      <c r="E153" s="175">
        <f>IF(AND(C153&lt;=Last_Prem,MOD(A152,Mode)=0,C153&gt;INPUT!$C$13,A153&lt;=Revival!$C$11),Mod_Prem,0)</f>
        <v>0</v>
      </c>
      <c r="F153" s="177">
        <f>E153*VLOOKUP(B153,'Pre-Calculation'!$H$1:$I$31,2,FALSE)</f>
        <v>0</v>
      </c>
      <c r="G153" s="177">
        <f>IF(B153&lt;PT+1,VLOOKUP(B153,'Pre-Calculation'!$H$1:$L$32,3,FALSE)+VLOOKUP(B153,'Pre-Calculation'!$H$1:$L$32,4,FALSE)*'Pre-Calculation'!$D$7,0)</f>
        <v>0</v>
      </c>
      <c r="H153" s="175">
        <f>(E153-(F153+G153)*(1+Tax)+N152)</f>
        <v>4876938.096</v>
      </c>
      <c r="I153" s="175">
        <f>IF(B153&lt;PT+1,VLOOKUP(D153,'Pre-Calculation'!$N$3:$P$79,IF(INPUT!$C$4="M",2,3),FALSE)*(J153/1000)*(1/12),0)</f>
        <v>0</v>
      </c>
      <c r="J153" s="175">
        <f t="shared" si="3"/>
        <v>0</v>
      </c>
      <c r="K153" s="175">
        <f>(IF('Pre-Calculation'!$D$17="Type 4 a",MAX(SA,H153,1.05*Q153),IF('Pre-Calculation'!$D$17="Type 4 c",H153,IF('Pre-Calculation'!$D$17="Type 4 d",SA+H153,IF('Pre-Calculation'!$D$17="Type 4 e",MAX(SA,H153),IF('Pre-Calculation'!$D$17="Type 4 f",SA,IF('Pre-Calculation'!$D$17="Type 4 g",1000+H153,IF('Pre-Calculation'!$D$17="Type 4 h",SA+V153,IF('Pre-Calculation'!$D$17="Type 4 i",MAX(H153,Q153),IF('Pre-Calculation'!$D$17="Type 4 k",MAX(H153,1.01*Q153),IF('Pre-Calculation'!$D$17="Type 4 m",MAX(105%*Q153,SA+H153),IF('Pre-Calculation'!$D$17="Type 4 o",MAX(SA,105%*Q153)+V153+X153,IF('Pre-Calculation'!$D$17="Type 5",0)))))))))))))*IF(AND(A153&lt;Revival!$C$4,C153&gt;Revival!$D$12),PUP,1)</f>
        <v>4876938.096</v>
      </c>
      <c r="L153" s="175">
        <f>H153-I153*(1+Tax)</f>
        <v>4876938.096</v>
      </c>
      <c r="M153" s="175">
        <f>L153*(1+GROWTH_RATE_HIST)</f>
        <v>4930225.025</v>
      </c>
      <c r="N153" s="175">
        <f>M153+IF(MOD(A153,B153)=0,VLOOKUP(B153,'Pre-Calculation'!$H$1:$L$31,5,FALSE),0)*IF('Pre-Calculation'!$D$16="% OF FV",M153,IF(OR('Pre-Calculation'!$D$16="% OF AFV(24M)",'Pre-Calculation'!$D$16="% OF AFV(8Q)"),AVERAGE( $M130:$M153),IF('Pre-Calculation'!$D$16="% OF AFV(12M)",AVERAGE($M142:M153),IF('Pre-Calculation'!$D$16="% OF AFV(36M)",AVERAGE($M118:M153)))))</f>
        <v>4930225.025</v>
      </c>
      <c r="O153" s="175">
        <f t="shared" si="4"/>
        <v>4930225.025</v>
      </c>
      <c r="P153" s="175">
        <f>IF('Pre-Calculation'!$D$17="Type 4 a",MAX(SA,N153,1.05*Q153),IF('Pre-Calculation'!$D$17="Type 4 c",N153,IF('Pre-Calculation'!$D$17="Type 4 d",SA+N153,IF('Pre-Calculation'!$D$17="Type 4 e",MAX(SA,N153),IF('Pre-Calculation'!$D$17="Type 4 f",SA,IF('Pre-Calculation'!$D$17="Type 4 g",1000+N153,IF('Pre-Calculation'!$D$17="Type 4 h",SA+V153,IF('Pre-Calculation'!$D$17="Type 4 i",MAX(N153,Q153),IF('Pre-Calculation'!$D$17="Type 4 k",MAX(N153,1.01*Q153),IF('Pre-Calculation'!$D$17="Type 4 m",MAX(105%*Q153,SA+N153),IF('Pre-Calculation'!$D$17="Type 4 o",MAX(SA,105%*Q153)+V153+X153,IF('Pre-Calculation'!$D$17="Type 5",0))))))))))))</f>
        <v>4930225.025</v>
      </c>
      <c r="Q153" s="175">
        <f t="shared" si="5"/>
        <v>1000000</v>
      </c>
      <c r="R153" s="119">
        <f>L153*(1+GROWTH_RATE)*FMC</f>
        <v>5518.853145</v>
      </c>
      <c r="S153" s="112"/>
      <c r="T153" s="175">
        <f>-E153+IF(A152=INPUT!$C$11*12,N153,0)</f>
        <v>0</v>
      </c>
      <c r="U153" s="112"/>
      <c r="V153" s="179">
        <f t="array" ref="V153">NPV('Pre-Calculation'!$E$20,$E154:E$246)</f>
        <v>0</v>
      </c>
      <c r="W153" s="171">
        <f>10%*SA</f>
        <v>100000</v>
      </c>
      <c r="X153" s="179">
        <f t="array" ref="X153">NPV('Pre-Calculation'!$E$20,W154:W163)</f>
        <v>969592.8037</v>
      </c>
      <c r="Y153" s="12"/>
      <c r="Z153" s="12"/>
    </row>
    <row r="154" ht="15.75" customHeight="1">
      <c r="A154" s="171">
        <f t="shared" si="1"/>
        <v>208</v>
      </c>
      <c r="B154" s="171">
        <f t="shared" si="2"/>
        <v>18</v>
      </c>
      <c r="C154" s="176">
        <f>EDATE(RCD,A153)</f>
        <v>48852</v>
      </c>
      <c r="D154" s="171">
        <f>Age_At_Entry+Cashflows_HIST!B154-1</f>
        <v>52</v>
      </c>
      <c r="E154" s="175">
        <f>IF(AND(C154&lt;=Last_Prem,MOD(A153,Mode)=0,C154&gt;INPUT!$C$13,A154&lt;=Revival!$C$11),Mod_Prem,0)</f>
        <v>0</v>
      </c>
      <c r="F154" s="177">
        <f>E154*VLOOKUP(B154,'Pre-Calculation'!$H$1:$I$31,2,FALSE)</f>
        <v>0</v>
      </c>
      <c r="G154" s="177">
        <f>IF(B154&lt;PT+1,VLOOKUP(B154,'Pre-Calculation'!$H$1:$L$32,3,FALSE)+VLOOKUP(B154,'Pre-Calculation'!$H$1:$L$32,4,FALSE)*'Pre-Calculation'!$D$7,0)</f>
        <v>0</v>
      </c>
      <c r="H154" s="175">
        <f>(E154-(F154+G154)*(1+Tax)+N153)</f>
        <v>4930225.025</v>
      </c>
      <c r="I154" s="175">
        <f>IF(B154&lt;PT+1,VLOOKUP(D154,'Pre-Calculation'!$N$3:$P$79,IF(INPUT!$C$4="M",2,3),FALSE)*(J154/1000)*(1/12),0)</f>
        <v>0</v>
      </c>
      <c r="J154" s="175">
        <f t="shared" si="3"/>
        <v>0</v>
      </c>
      <c r="K154" s="175">
        <f>(IF('Pre-Calculation'!$D$17="Type 4 a",MAX(SA,H154,1.05*Q154),IF('Pre-Calculation'!$D$17="Type 4 c",H154,IF('Pre-Calculation'!$D$17="Type 4 d",SA+H154,IF('Pre-Calculation'!$D$17="Type 4 e",MAX(SA,H154),IF('Pre-Calculation'!$D$17="Type 4 f",SA,IF('Pre-Calculation'!$D$17="Type 4 g",1000+H154,IF('Pre-Calculation'!$D$17="Type 4 h",SA+V154,IF('Pre-Calculation'!$D$17="Type 4 i",MAX(H154,Q154),IF('Pre-Calculation'!$D$17="Type 4 k",MAX(H154,1.01*Q154),IF('Pre-Calculation'!$D$17="Type 4 m",MAX(105%*Q154,SA+H154),IF('Pre-Calculation'!$D$17="Type 4 o",MAX(SA,105%*Q154)+V154+X154,IF('Pre-Calculation'!$D$17="Type 5",0)))))))))))))*IF(AND(A154&lt;Revival!$C$4,C154&gt;Revival!$D$12),PUP,1)</f>
        <v>4930225.025</v>
      </c>
      <c r="L154" s="175">
        <f>H154-I154*(1+Tax)</f>
        <v>4930225.025</v>
      </c>
      <c r="M154" s="175">
        <f>L154*(1+GROWTH_RATE_HIST)</f>
        <v>4984094.184</v>
      </c>
      <c r="N154" s="175">
        <f>M154+IF(MOD(A154,B154)=0,VLOOKUP(B154,'Pre-Calculation'!$H$1:$L$31,5,FALSE),0)*IF('Pre-Calculation'!$D$16="% OF FV",M154,IF(OR('Pre-Calculation'!$D$16="% OF AFV(24M)",'Pre-Calculation'!$D$16="% OF AFV(8Q)"),AVERAGE( $M131:$M154),IF('Pre-Calculation'!$D$16="% OF AFV(12M)",AVERAGE($M143:M154),IF('Pre-Calculation'!$D$16="% OF AFV(36M)",AVERAGE($M119:M154)))))</f>
        <v>4984094.184</v>
      </c>
      <c r="O154" s="175">
        <f t="shared" si="4"/>
        <v>4984094.184</v>
      </c>
      <c r="P154" s="175">
        <f>IF('Pre-Calculation'!$D$17="Type 4 a",MAX(SA,N154,1.05*Q154),IF('Pre-Calculation'!$D$17="Type 4 c",N154,IF('Pre-Calculation'!$D$17="Type 4 d",SA+N154,IF('Pre-Calculation'!$D$17="Type 4 e",MAX(SA,N154),IF('Pre-Calculation'!$D$17="Type 4 f",SA,IF('Pre-Calculation'!$D$17="Type 4 g",1000+N154,IF('Pre-Calculation'!$D$17="Type 4 h",SA+V154,IF('Pre-Calculation'!$D$17="Type 4 i",MAX(N154,Q154),IF('Pre-Calculation'!$D$17="Type 4 k",MAX(N154,1.01*Q154),IF('Pre-Calculation'!$D$17="Type 4 m",MAX(105%*Q154,SA+N154),IF('Pre-Calculation'!$D$17="Type 4 o",MAX(SA,105%*Q154)+V154+X154,IF('Pre-Calculation'!$D$17="Type 5",0))))))))))))</f>
        <v>4984094.184</v>
      </c>
      <c r="Q154" s="175">
        <f t="shared" si="5"/>
        <v>1000000</v>
      </c>
      <c r="R154" s="119">
        <f>L154*(1+GROWTH_RATE)*FMC</f>
        <v>5579.153836</v>
      </c>
      <c r="S154" s="112"/>
      <c r="T154" s="175">
        <f>-E154+IF(A153=INPUT!$C$11*12,N154,0)</f>
        <v>0</v>
      </c>
      <c r="U154" s="112"/>
      <c r="V154" s="179">
        <f t="array" ref="V154">NPV('Pre-Calculation'!$E$20,$E155:E$246)</f>
        <v>0</v>
      </c>
      <c r="W154" s="171">
        <f>10%*SA</f>
        <v>100000</v>
      </c>
      <c r="X154" s="179">
        <f t="array" ref="X154">NPV('Pre-Calculation'!$E$20,W155:W164)</f>
        <v>969592.8037</v>
      </c>
      <c r="Y154" s="12"/>
      <c r="Z154" s="12"/>
    </row>
    <row r="155" ht="15.75" customHeight="1">
      <c r="A155" s="171">
        <f t="shared" si="1"/>
        <v>209</v>
      </c>
      <c r="B155" s="171">
        <f t="shared" si="2"/>
        <v>18</v>
      </c>
      <c r="C155" s="176">
        <f>EDATE(RCD,A154)</f>
        <v>48882</v>
      </c>
      <c r="D155" s="171">
        <f>Age_At_Entry+Cashflows_HIST!B155-1</f>
        <v>52</v>
      </c>
      <c r="E155" s="175">
        <f>IF(AND(C155&lt;=Last_Prem,MOD(A154,Mode)=0,C155&gt;INPUT!$C$13,A155&lt;=Revival!$C$11),Mod_Prem,0)</f>
        <v>0</v>
      </c>
      <c r="F155" s="177">
        <f>E155*VLOOKUP(B155,'Pre-Calculation'!$H$1:$I$31,2,FALSE)</f>
        <v>0</v>
      </c>
      <c r="G155" s="177">
        <f>IF(B155&lt;PT+1,VLOOKUP(B155,'Pre-Calculation'!$H$1:$L$32,3,FALSE)+VLOOKUP(B155,'Pre-Calculation'!$H$1:$L$32,4,FALSE)*'Pre-Calculation'!$D$7,0)</f>
        <v>0</v>
      </c>
      <c r="H155" s="175">
        <f>(E155-(F155+G155)*(1+Tax)+N154)</f>
        <v>4984094.184</v>
      </c>
      <c r="I155" s="175">
        <f>IF(B155&lt;PT+1,VLOOKUP(D155,'Pre-Calculation'!$N$3:$P$79,IF(INPUT!$C$4="M",2,3),FALSE)*(J155/1000)*(1/12),0)</f>
        <v>0</v>
      </c>
      <c r="J155" s="175">
        <f t="shared" si="3"/>
        <v>0</v>
      </c>
      <c r="K155" s="175">
        <f>(IF('Pre-Calculation'!$D$17="Type 4 a",MAX(SA,H155,1.05*Q155),IF('Pre-Calculation'!$D$17="Type 4 c",H155,IF('Pre-Calculation'!$D$17="Type 4 d",SA+H155,IF('Pre-Calculation'!$D$17="Type 4 e",MAX(SA,H155),IF('Pre-Calculation'!$D$17="Type 4 f",SA,IF('Pre-Calculation'!$D$17="Type 4 g",1000+H155,IF('Pre-Calculation'!$D$17="Type 4 h",SA+V155,IF('Pre-Calculation'!$D$17="Type 4 i",MAX(H155,Q155),IF('Pre-Calculation'!$D$17="Type 4 k",MAX(H155,1.01*Q155),IF('Pre-Calculation'!$D$17="Type 4 m",MAX(105%*Q155,SA+H155),IF('Pre-Calculation'!$D$17="Type 4 o",MAX(SA,105%*Q155)+V155+X155,IF('Pre-Calculation'!$D$17="Type 5",0)))))))))))))*IF(AND(A155&lt;Revival!$C$4,C155&gt;Revival!$D$12),PUP,1)</f>
        <v>4984094.184</v>
      </c>
      <c r="L155" s="175">
        <f>H155-I155*(1+Tax)</f>
        <v>4984094.184</v>
      </c>
      <c r="M155" s="175">
        <f>L155*(1+GROWTH_RATE_HIST)</f>
        <v>5038551.934</v>
      </c>
      <c r="N155" s="175">
        <f>M155+IF(MOD(A155,B155)=0,VLOOKUP(B155,'Pre-Calculation'!$H$1:$L$31,5,FALSE),0)*IF('Pre-Calculation'!$D$16="% OF FV",M155,IF(OR('Pre-Calculation'!$D$16="% OF AFV(24M)",'Pre-Calculation'!$D$16="% OF AFV(8Q)"),AVERAGE( $M132:$M155),IF('Pre-Calculation'!$D$16="% OF AFV(12M)",AVERAGE($M144:M155),IF('Pre-Calculation'!$D$16="% OF AFV(36M)",AVERAGE($M120:M155)))))</f>
        <v>5038551.934</v>
      </c>
      <c r="O155" s="175">
        <f t="shared" si="4"/>
        <v>5038551.934</v>
      </c>
      <c r="P155" s="175">
        <f>IF('Pre-Calculation'!$D$17="Type 4 a",MAX(SA,N155,1.05*Q155),IF('Pre-Calculation'!$D$17="Type 4 c",N155,IF('Pre-Calculation'!$D$17="Type 4 d",SA+N155,IF('Pre-Calculation'!$D$17="Type 4 e",MAX(SA,N155),IF('Pre-Calculation'!$D$17="Type 4 f",SA,IF('Pre-Calculation'!$D$17="Type 4 g",1000+N155,IF('Pre-Calculation'!$D$17="Type 4 h",SA+V155,IF('Pre-Calculation'!$D$17="Type 4 i",MAX(N155,Q155),IF('Pre-Calculation'!$D$17="Type 4 k",MAX(N155,1.01*Q155),IF('Pre-Calculation'!$D$17="Type 4 m",MAX(105%*Q155,SA+N155),IF('Pre-Calculation'!$D$17="Type 4 o",MAX(SA,105%*Q155)+V155+X155,IF('Pre-Calculation'!$D$17="Type 5",0))))))))))))</f>
        <v>5038551.934</v>
      </c>
      <c r="Q155" s="175">
        <f t="shared" si="5"/>
        <v>1000000</v>
      </c>
      <c r="R155" s="119">
        <f>L155*(1+GROWTH_RATE)*FMC</f>
        <v>5640.113391</v>
      </c>
      <c r="S155" s="112"/>
      <c r="T155" s="175">
        <f>-E155+IF(A154=INPUT!$C$11*12,N155,0)</f>
        <v>0</v>
      </c>
      <c r="U155" s="112"/>
      <c r="V155" s="179">
        <f t="array" ref="V155">NPV('Pre-Calculation'!$E$20,$E156:E$246)</f>
        <v>0</v>
      </c>
      <c r="W155" s="171">
        <f>10%*SA</f>
        <v>100000</v>
      </c>
      <c r="X155" s="179">
        <f t="array" ref="X155">NPV('Pre-Calculation'!$E$20,W156:W165)</f>
        <v>969592.8037</v>
      </c>
      <c r="Y155" s="12"/>
      <c r="Z155" s="12"/>
    </row>
    <row r="156" ht="15.75" customHeight="1">
      <c r="A156" s="171">
        <f t="shared" si="1"/>
        <v>210</v>
      </c>
      <c r="B156" s="171">
        <f t="shared" si="2"/>
        <v>18</v>
      </c>
      <c r="C156" s="176">
        <f>EDATE(RCD,A155)</f>
        <v>48913</v>
      </c>
      <c r="D156" s="171">
        <f>Age_At_Entry+Cashflows_HIST!B156-1</f>
        <v>52</v>
      </c>
      <c r="E156" s="175">
        <f>IF(AND(C156&lt;=Last_Prem,MOD(A155,Mode)=0,C156&gt;INPUT!$C$13,A156&lt;=Revival!$C$11),Mod_Prem,0)</f>
        <v>0</v>
      </c>
      <c r="F156" s="177">
        <f>E156*VLOOKUP(B156,'Pre-Calculation'!$H$1:$I$31,2,FALSE)</f>
        <v>0</v>
      </c>
      <c r="G156" s="177">
        <f>IF(B156&lt;PT+1,VLOOKUP(B156,'Pre-Calculation'!$H$1:$L$32,3,FALSE)+VLOOKUP(B156,'Pre-Calculation'!$H$1:$L$32,4,FALSE)*'Pre-Calculation'!$D$7,0)</f>
        <v>0</v>
      </c>
      <c r="H156" s="175">
        <f>(E156-(F156+G156)*(1+Tax)+N155)</f>
        <v>5038551.934</v>
      </c>
      <c r="I156" s="175">
        <f>IF(B156&lt;PT+1,VLOOKUP(D156,'Pre-Calculation'!$N$3:$P$79,IF(INPUT!$C$4="M",2,3),FALSE)*(J156/1000)*(1/12),0)</f>
        <v>0</v>
      </c>
      <c r="J156" s="175">
        <f t="shared" si="3"/>
        <v>0</v>
      </c>
      <c r="K156" s="175">
        <f>(IF('Pre-Calculation'!$D$17="Type 4 a",MAX(SA,H156,1.05*Q156),IF('Pre-Calculation'!$D$17="Type 4 c",H156,IF('Pre-Calculation'!$D$17="Type 4 d",SA+H156,IF('Pre-Calculation'!$D$17="Type 4 e",MAX(SA,H156),IF('Pre-Calculation'!$D$17="Type 4 f",SA,IF('Pre-Calculation'!$D$17="Type 4 g",1000+H156,IF('Pre-Calculation'!$D$17="Type 4 h",SA+V156,IF('Pre-Calculation'!$D$17="Type 4 i",MAX(H156,Q156),IF('Pre-Calculation'!$D$17="Type 4 k",MAX(H156,1.01*Q156),IF('Pre-Calculation'!$D$17="Type 4 m",MAX(105%*Q156,SA+H156),IF('Pre-Calculation'!$D$17="Type 4 o",MAX(SA,105%*Q156)+V156+X156,IF('Pre-Calculation'!$D$17="Type 5",0)))))))))))))*IF(AND(A156&lt;Revival!$C$4,C156&gt;Revival!$D$12),PUP,1)</f>
        <v>5038551.934</v>
      </c>
      <c r="L156" s="175">
        <f>H156-I156*(1+Tax)</f>
        <v>5038551.934</v>
      </c>
      <c r="M156" s="175">
        <f>L156*(1+GROWTH_RATE_HIST)</f>
        <v>5093604.706</v>
      </c>
      <c r="N156" s="175">
        <f>M156+IF(MOD(A156,B156)=0,VLOOKUP(B156,'Pre-Calculation'!$H$1:$L$31,5,FALSE),0)*IF('Pre-Calculation'!$D$16="% OF FV",M156,IF(OR('Pre-Calculation'!$D$16="% OF AFV(24M)",'Pre-Calculation'!$D$16="% OF AFV(8Q)"),AVERAGE( $M133:$M156),IF('Pre-Calculation'!$D$16="% OF AFV(12M)",AVERAGE($M145:M156),IF('Pre-Calculation'!$D$16="% OF AFV(36M)",AVERAGE($M121:M156)))))</f>
        <v>5093604.706</v>
      </c>
      <c r="O156" s="175">
        <f t="shared" si="4"/>
        <v>5093604.706</v>
      </c>
      <c r="P156" s="175">
        <f>IF('Pre-Calculation'!$D$17="Type 4 a",MAX(SA,N156,1.05*Q156),IF('Pre-Calculation'!$D$17="Type 4 c",N156,IF('Pre-Calculation'!$D$17="Type 4 d",SA+N156,IF('Pre-Calculation'!$D$17="Type 4 e",MAX(SA,N156),IF('Pre-Calculation'!$D$17="Type 4 f",SA,IF('Pre-Calculation'!$D$17="Type 4 g",1000+N156,IF('Pre-Calculation'!$D$17="Type 4 h",SA+V156,IF('Pre-Calculation'!$D$17="Type 4 i",MAX(N156,Q156),IF('Pre-Calculation'!$D$17="Type 4 k",MAX(N156,1.01*Q156),IF('Pre-Calculation'!$D$17="Type 4 m",MAX(105%*Q156,SA+N156),IF('Pre-Calculation'!$D$17="Type 4 o",MAX(SA,105%*Q156)+V156+X156,IF('Pre-Calculation'!$D$17="Type 5",0))))))))))))</f>
        <v>5093604.706</v>
      </c>
      <c r="Q156" s="175">
        <f t="shared" si="5"/>
        <v>1000000</v>
      </c>
      <c r="R156" s="119">
        <f>L156*(1+GROWTH_RATE)*FMC</f>
        <v>5701.739009</v>
      </c>
      <c r="S156" s="112"/>
      <c r="T156" s="175">
        <f>-E156+IF(A155=INPUT!$C$11*12,N156,0)</f>
        <v>0</v>
      </c>
      <c r="U156" s="112"/>
      <c r="V156" s="179">
        <f t="array" ref="V156">NPV('Pre-Calculation'!$E$20,$E157:E$246)</f>
        <v>0</v>
      </c>
      <c r="W156" s="171">
        <f>10%*SA</f>
        <v>100000</v>
      </c>
      <c r="X156" s="179">
        <f t="array" ref="X156">NPV('Pre-Calculation'!$E$20,W157:W166)</f>
        <v>969592.8037</v>
      </c>
      <c r="Y156" s="12"/>
      <c r="Z156" s="12"/>
    </row>
    <row r="157" ht="15.75" customHeight="1">
      <c r="A157" s="171">
        <f t="shared" si="1"/>
        <v>211</v>
      </c>
      <c r="B157" s="171">
        <f t="shared" si="2"/>
        <v>18</v>
      </c>
      <c r="C157" s="176">
        <f>EDATE(RCD,A156)</f>
        <v>48943</v>
      </c>
      <c r="D157" s="171">
        <f>Age_At_Entry+Cashflows_HIST!B157-1</f>
        <v>52</v>
      </c>
      <c r="E157" s="175">
        <f>IF(AND(C157&lt;=Last_Prem,MOD(A156,Mode)=0,C157&gt;INPUT!$C$13,A157&lt;=Revival!$C$11),Mod_Prem,0)</f>
        <v>0</v>
      </c>
      <c r="F157" s="177">
        <f>E157*VLOOKUP(B157,'Pre-Calculation'!$H$1:$I$31,2,FALSE)</f>
        <v>0</v>
      </c>
      <c r="G157" s="177">
        <f>IF(B157&lt;PT+1,VLOOKUP(B157,'Pre-Calculation'!$H$1:$L$32,3,FALSE)+VLOOKUP(B157,'Pre-Calculation'!$H$1:$L$32,4,FALSE)*'Pre-Calculation'!$D$7,0)</f>
        <v>0</v>
      </c>
      <c r="H157" s="175">
        <f>(E157-(F157+G157)*(1+Tax)+N156)</f>
        <v>5093604.706</v>
      </c>
      <c r="I157" s="175">
        <f>IF(B157&lt;PT+1,VLOOKUP(D157,'Pre-Calculation'!$N$3:$P$79,IF(INPUT!$C$4="M",2,3),FALSE)*(J157/1000)*(1/12),0)</f>
        <v>0</v>
      </c>
      <c r="J157" s="175">
        <f t="shared" si="3"/>
        <v>0</v>
      </c>
      <c r="K157" s="175">
        <f>(IF('Pre-Calculation'!$D$17="Type 4 a",MAX(SA,H157,1.05*Q157),IF('Pre-Calculation'!$D$17="Type 4 c",H157,IF('Pre-Calculation'!$D$17="Type 4 d",SA+H157,IF('Pre-Calculation'!$D$17="Type 4 e",MAX(SA,H157),IF('Pre-Calculation'!$D$17="Type 4 f",SA,IF('Pre-Calculation'!$D$17="Type 4 g",1000+H157,IF('Pre-Calculation'!$D$17="Type 4 h",SA+V157,IF('Pre-Calculation'!$D$17="Type 4 i",MAX(H157,Q157),IF('Pre-Calculation'!$D$17="Type 4 k",MAX(H157,1.01*Q157),IF('Pre-Calculation'!$D$17="Type 4 m",MAX(105%*Q157,SA+H157),IF('Pre-Calculation'!$D$17="Type 4 o",MAX(SA,105%*Q157)+V157+X157,IF('Pre-Calculation'!$D$17="Type 5",0)))))))))))))*IF(AND(A157&lt;Revival!$C$4,C157&gt;Revival!$D$12),PUP,1)</f>
        <v>5093604.706</v>
      </c>
      <c r="L157" s="175">
        <f>H157-I157*(1+Tax)</f>
        <v>5093604.706</v>
      </c>
      <c r="M157" s="175">
        <f>L157*(1+GROWTH_RATE_HIST)</f>
        <v>5149259.002</v>
      </c>
      <c r="N157" s="175">
        <f>M157+IF(MOD(A157,B157)=0,VLOOKUP(B157,'Pre-Calculation'!$H$1:$L$31,5,FALSE),0)*IF('Pre-Calculation'!$D$16="% OF FV",M157,IF(OR('Pre-Calculation'!$D$16="% OF AFV(24M)",'Pre-Calculation'!$D$16="% OF AFV(8Q)"),AVERAGE( $M134:$M157),IF('Pre-Calculation'!$D$16="% OF AFV(12M)",AVERAGE($M146:M157),IF('Pre-Calculation'!$D$16="% OF AFV(36M)",AVERAGE($M122:M157)))))</f>
        <v>5149259.002</v>
      </c>
      <c r="O157" s="175">
        <f t="shared" si="4"/>
        <v>5149259.002</v>
      </c>
      <c r="P157" s="175">
        <f>IF('Pre-Calculation'!$D$17="Type 4 a",MAX(SA,N157,1.05*Q157),IF('Pre-Calculation'!$D$17="Type 4 c",N157,IF('Pre-Calculation'!$D$17="Type 4 d",SA+N157,IF('Pre-Calculation'!$D$17="Type 4 e",MAX(SA,N157),IF('Pre-Calculation'!$D$17="Type 4 f",SA,IF('Pre-Calculation'!$D$17="Type 4 g",1000+N157,IF('Pre-Calculation'!$D$17="Type 4 h",SA+V157,IF('Pre-Calculation'!$D$17="Type 4 i",MAX(N157,Q157),IF('Pre-Calculation'!$D$17="Type 4 k",MAX(N157,1.01*Q157),IF('Pre-Calculation'!$D$17="Type 4 m",MAX(105%*Q157,SA+N157),IF('Pre-Calculation'!$D$17="Type 4 o",MAX(SA,105%*Q157)+V157+X157,IF('Pre-Calculation'!$D$17="Type 5",0))))))))))))</f>
        <v>5149259.002</v>
      </c>
      <c r="Q157" s="175">
        <f t="shared" si="5"/>
        <v>1000000</v>
      </c>
      <c r="R157" s="119">
        <f>L157*(1+GROWTH_RATE)*FMC</f>
        <v>5764.037968</v>
      </c>
      <c r="S157" s="112"/>
      <c r="T157" s="175">
        <f>-E157+IF(A156=INPUT!$C$11*12,N157,0)</f>
        <v>0</v>
      </c>
      <c r="U157" s="112"/>
      <c r="V157" s="179">
        <f t="array" ref="V157">NPV('Pre-Calculation'!$E$20,$E158:E$246)</f>
        <v>0</v>
      </c>
      <c r="W157" s="171">
        <f>10%*SA</f>
        <v>100000</v>
      </c>
      <c r="X157" s="179">
        <f t="array" ref="X157">NPV('Pre-Calculation'!$E$20,W158:W167)</f>
        <v>969592.8037</v>
      </c>
      <c r="Y157" s="12"/>
      <c r="Z157" s="12"/>
    </row>
    <row r="158" ht="15.75" customHeight="1">
      <c r="A158" s="171">
        <f t="shared" si="1"/>
        <v>212</v>
      </c>
      <c r="B158" s="171">
        <f t="shared" si="2"/>
        <v>18</v>
      </c>
      <c r="C158" s="176">
        <f>EDATE(RCD,A157)</f>
        <v>48974</v>
      </c>
      <c r="D158" s="171">
        <f>Age_At_Entry+Cashflows_HIST!B158-1</f>
        <v>52</v>
      </c>
      <c r="E158" s="175">
        <f>IF(AND(C158&lt;=Last_Prem,MOD(A157,Mode)=0,C158&gt;INPUT!$C$13,A158&lt;=Revival!$C$11),Mod_Prem,0)</f>
        <v>0</v>
      </c>
      <c r="F158" s="177">
        <f>E158*VLOOKUP(B158,'Pre-Calculation'!$H$1:$I$31,2,FALSE)</f>
        <v>0</v>
      </c>
      <c r="G158" s="177">
        <f>IF(B158&lt;PT+1,VLOOKUP(B158,'Pre-Calculation'!$H$1:$L$32,3,FALSE)+VLOOKUP(B158,'Pre-Calculation'!$H$1:$L$32,4,FALSE)*'Pre-Calculation'!$D$7,0)</f>
        <v>0</v>
      </c>
      <c r="H158" s="175">
        <f>(E158-(F158+G158)*(1+Tax)+N157)</f>
        <v>5149259.002</v>
      </c>
      <c r="I158" s="175">
        <f>IF(B158&lt;PT+1,VLOOKUP(D158,'Pre-Calculation'!$N$3:$P$79,IF(INPUT!$C$4="M",2,3),FALSE)*(J158/1000)*(1/12),0)</f>
        <v>0</v>
      </c>
      <c r="J158" s="175">
        <f t="shared" si="3"/>
        <v>0</v>
      </c>
      <c r="K158" s="175">
        <f>(IF('Pre-Calculation'!$D$17="Type 4 a",MAX(SA,H158,1.05*Q158),IF('Pre-Calculation'!$D$17="Type 4 c",H158,IF('Pre-Calculation'!$D$17="Type 4 d",SA+H158,IF('Pre-Calculation'!$D$17="Type 4 e",MAX(SA,H158),IF('Pre-Calculation'!$D$17="Type 4 f",SA,IF('Pre-Calculation'!$D$17="Type 4 g",1000+H158,IF('Pre-Calculation'!$D$17="Type 4 h",SA+V158,IF('Pre-Calculation'!$D$17="Type 4 i",MAX(H158,Q158),IF('Pre-Calculation'!$D$17="Type 4 k",MAX(H158,1.01*Q158),IF('Pre-Calculation'!$D$17="Type 4 m",MAX(105%*Q158,SA+H158),IF('Pre-Calculation'!$D$17="Type 4 o",MAX(SA,105%*Q158)+V158+X158,IF('Pre-Calculation'!$D$17="Type 5",0)))))))))))))*IF(AND(A158&lt;Revival!$C$4,C158&gt;Revival!$D$12),PUP,1)</f>
        <v>5149259.002</v>
      </c>
      <c r="L158" s="175">
        <f>H158-I158*(1+Tax)</f>
        <v>5149259.002</v>
      </c>
      <c r="M158" s="175">
        <f>L158*(1+GROWTH_RATE_HIST)</f>
        <v>5205521.393</v>
      </c>
      <c r="N158" s="175">
        <f>M158+IF(MOD(A158,B158)=0,VLOOKUP(B158,'Pre-Calculation'!$H$1:$L$31,5,FALSE),0)*IF('Pre-Calculation'!$D$16="% OF FV",M158,IF(OR('Pre-Calculation'!$D$16="% OF AFV(24M)",'Pre-Calculation'!$D$16="% OF AFV(8Q)"),AVERAGE( $M135:$M158),IF('Pre-Calculation'!$D$16="% OF AFV(12M)",AVERAGE($M147:M158),IF('Pre-Calculation'!$D$16="% OF AFV(36M)",AVERAGE($M123:M158)))))</f>
        <v>5205521.393</v>
      </c>
      <c r="O158" s="175">
        <f t="shared" si="4"/>
        <v>5205521.393</v>
      </c>
      <c r="P158" s="175">
        <f>IF('Pre-Calculation'!$D$17="Type 4 a",MAX(SA,N158,1.05*Q158),IF('Pre-Calculation'!$D$17="Type 4 c",N158,IF('Pre-Calculation'!$D$17="Type 4 d",SA+N158,IF('Pre-Calculation'!$D$17="Type 4 e",MAX(SA,N158),IF('Pre-Calculation'!$D$17="Type 4 f",SA,IF('Pre-Calculation'!$D$17="Type 4 g",1000+N158,IF('Pre-Calculation'!$D$17="Type 4 h",SA+V158,IF('Pre-Calculation'!$D$17="Type 4 i",MAX(N158,Q158),IF('Pre-Calculation'!$D$17="Type 4 k",MAX(N158,1.01*Q158),IF('Pre-Calculation'!$D$17="Type 4 m",MAX(105%*Q158,SA+N158),IF('Pre-Calculation'!$D$17="Type 4 o",MAX(SA,105%*Q158)+V158+X158,IF('Pre-Calculation'!$D$17="Type 5",0))))))))))))</f>
        <v>5205521.393</v>
      </c>
      <c r="Q158" s="175">
        <f t="shared" si="5"/>
        <v>1000000</v>
      </c>
      <c r="R158" s="119">
        <f>L158*(1+GROWTH_RATE)*FMC</f>
        <v>5827.017624</v>
      </c>
      <c r="S158" s="112"/>
      <c r="T158" s="175">
        <f>-E158+IF(A157=INPUT!$C$11*12,N158,0)</f>
        <v>0</v>
      </c>
      <c r="U158" s="112"/>
      <c r="V158" s="179">
        <f t="array" ref="V158">NPV('Pre-Calculation'!$E$20,$E159:E$246)</f>
        <v>0</v>
      </c>
      <c r="W158" s="171">
        <f>10%*SA</f>
        <v>100000</v>
      </c>
      <c r="X158" s="179">
        <f t="array" ref="X158">NPV('Pre-Calculation'!$E$20,W159:W168)</f>
        <v>969592.8037</v>
      </c>
      <c r="Y158" s="12"/>
      <c r="Z158" s="12"/>
    </row>
    <row r="159" ht="15.75" customHeight="1">
      <c r="A159" s="171">
        <f t="shared" si="1"/>
        <v>213</v>
      </c>
      <c r="B159" s="171">
        <f t="shared" si="2"/>
        <v>18</v>
      </c>
      <c r="C159" s="176">
        <f>EDATE(RCD,A158)</f>
        <v>49003</v>
      </c>
      <c r="D159" s="171">
        <f>Age_At_Entry+Cashflows_HIST!B159-1</f>
        <v>52</v>
      </c>
      <c r="E159" s="175">
        <f>IF(AND(C159&lt;=Last_Prem,MOD(A158,Mode)=0,C159&gt;INPUT!$C$13,A159&lt;=Revival!$C$11),Mod_Prem,0)</f>
        <v>0</v>
      </c>
      <c r="F159" s="177">
        <f>E159*VLOOKUP(B159,'Pre-Calculation'!$H$1:$I$31,2,FALSE)</f>
        <v>0</v>
      </c>
      <c r="G159" s="177">
        <f>IF(B159&lt;PT+1,VLOOKUP(B159,'Pre-Calculation'!$H$1:$L$32,3,FALSE)+VLOOKUP(B159,'Pre-Calculation'!$H$1:$L$32,4,FALSE)*'Pre-Calculation'!$D$7,0)</f>
        <v>0</v>
      </c>
      <c r="H159" s="175">
        <f>(E159-(F159+G159)*(1+Tax)+N158)</f>
        <v>5205521.393</v>
      </c>
      <c r="I159" s="175">
        <f>IF(B159&lt;PT+1,VLOOKUP(D159,'Pre-Calculation'!$N$3:$P$79,IF(INPUT!$C$4="M",2,3),FALSE)*(J159/1000)*(1/12),0)</f>
        <v>0</v>
      </c>
      <c r="J159" s="175">
        <f t="shared" si="3"/>
        <v>0</v>
      </c>
      <c r="K159" s="175">
        <f>(IF('Pre-Calculation'!$D$17="Type 4 a",MAX(SA,H159,1.05*Q159),IF('Pre-Calculation'!$D$17="Type 4 c",H159,IF('Pre-Calculation'!$D$17="Type 4 d",SA+H159,IF('Pre-Calculation'!$D$17="Type 4 e",MAX(SA,H159),IF('Pre-Calculation'!$D$17="Type 4 f",SA,IF('Pre-Calculation'!$D$17="Type 4 g",1000+H159,IF('Pre-Calculation'!$D$17="Type 4 h",SA+V159,IF('Pre-Calculation'!$D$17="Type 4 i",MAX(H159,Q159),IF('Pre-Calculation'!$D$17="Type 4 k",MAX(H159,1.01*Q159),IF('Pre-Calculation'!$D$17="Type 4 m",MAX(105%*Q159,SA+H159),IF('Pre-Calculation'!$D$17="Type 4 o",MAX(SA,105%*Q159)+V159+X159,IF('Pre-Calculation'!$D$17="Type 5",0)))))))))))))*IF(AND(A159&lt;Revival!$C$4,C159&gt;Revival!$D$12),PUP,1)</f>
        <v>5205521.393</v>
      </c>
      <c r="L159" s="175">
        <f>H159-I159*(1+Tax)</f>
        <v>5205521.393</v>
      </c>
      <c r="M159" s="175">
        <f>L159*(1+GROWTH_RATE_HIST)</f>
        <v>5262398.525</v>
      </c>
      <c r="N159" s="175">
        <f>M159+IF(MOD(A159,B159)=0,VLOOKUP(B159,'Pre-Calculation'!$H$1:$L$31,5,FALSE),0)*IF('Pre-Calculation'!$D$16="% OF FV",M159,IF(OR('Pre-Calculation'!$D$16="% OF AFV(24M)",'Pre-Calculation'!$D$16="% OF AFV(8Q)"),AVERAGE( $M136:$M159),IF('Pre-Calculation'!$D$16="% OF AFV(12M)",AVERAGE($M148:M159),IF('Pre-Calculation'!$D$16="% OF AFV(36M)",AVERAGE($M124:M159)))))</f>
        <v>5262398.525</v>
      </c>
      <c r="O159" s="175">
        <f t="shared" si="4"/>
        <v>5262398.525</v>
      </c>
      <c r="P159" s="175">
        <f>IF('Pre-Calculation'!$D$17="Type 4 a",MAX(SA,N159,1.05*Q159),IF('Pre-Calculation'!$D$17="Type 4 c",N159,IF('Pre-Calculation'!$D$17="Type 4 d",SA+N159,IF('Pre-Calculation'!$D$17="Type 4 e",MAX(SA,N159),IF('Pre-Calculation'!$D$17="Type 4 f",SA,IF('Pre-Calculation'!$D$17="Type 4 g",1000+N159,IF('Pre-Calculation'!$D$17="Type 4 h",SA+V159,IF('Pre-Calculation'!$D$17="Type 4 i",MAX(N159,Q159),IF('Pre-Calculation'!$D$17="Type 4 k",MAX(N159,1.01*Q159),IF('Pre-Calculation'!$D$17="Type 4 m",MAX(105%*Q159,SA+N159),IF('Pre-Calculation'!$D$17="Type 4 o",MAX(SA,105%*Q159)+V159+X159,IF('Pre-Calculation'!$D$17="Type 5",0))))))))))))</f>
        <v>5262398.525</v>
      </c>
      <c r="Q159" s="175">
        <f t="shared" si="5"/>
        <v>1000000</v>
      </c>
      <c r="R159" s="119">
        <f>L159*(1+GROWTH_RATE)*FMC</f>
        <v>5890.685415</v>
      </c>
      <c r="S159" s="112"/>
      <c r="T159" s="175">
        <f>-E159+IF(A158=INPUT!$C$11*12,N159,0)</f>
        <v>0</v>
      </c>
      <c r="U159" s="112"/>
      <c r="V159" s="179">
        <f t="array" ref="V159">NPV('Pre-Calculation'!$E$20,$E160:E$246)</f>
        <v>0</v>
      </c>
      <c r="W159" s="171">
        <f>10%*SA</f>
        <v>100000</v>
      </c>
      <c r="X159" s="179">
        <f t="array" ref="X159">NPV('Pre-Calculation'!$E$20,W160:W169)</f>
        <v>969592.8037</v>
      </c>
      <c r="Y159" s="12"/>
      <c r="Z159" s="12"/>
    </row>
    <row r="160" ht="15.75" customHeight="1">
      <c r="A160" s="171">
        <f t="shared" si="1"/>
        <v>214</v>
      </c>
      <c r="B160" s="171">
        <f t="shared" si="2"/>
        <v>18</v>
      </c>
      <c r="C160" s="176">
        <f>EDATE(RCD,A159)</f>
        <v>49033</v>
      </c>
      <c r="D160" s="171">
        <f>Age_At_Entry+Cashflows_HIST!B160-1</f>
        <v>52</v>
      </c>
      <c r="E160" s="175">
        <f>IF(AND(C160&lt;=Last_Prem,MOD(A159,Mode)=0,C160&gt;INPUT!$C$13,A160&lt;=Revival!$C$11),Mod_Prem,0)</f>
        <v>0</v>
      </c>
      <c r="F160" s="177">
        <f>E160*VLOOKUP(B160,'Pre-Calculation'!$H$1:$I$31,2,FALSE)</f>
        <v>0</v>
      </c>
      <c r="G160" s="177">
        <f>IF(B160&lt;PT+1,VLOOKUP(B160,'Pre-Calculation'!$H$1:$L$32,3,FALSE)+VLOOKUP(B160,'Pre-Calculation'!$H$1:$L$32,4,FALSE)*'Pre-Calculation'!$D$7,0)</f>
        <v>0</v>
      </c>
      <c r="H160" s="175">
        <f>(E160-(F160+G160)*(1+Tax)+N159)</f>
        <v>5262398.525</v>
      </c>
      <c r="I160" s="175">
        <f>IF(B160&lt;PT+1,VLOOKUP(D160,'Pre-Calculation'!$N$3:$P$79,IF(INPUT!$C$4="M",2,3),FALSE)*(J160/1000)*(1/12),0)</f>
        <v>0</v>
      </c>
      <c r="J160" s="175">
        <f t="shared" si="3"/>
        <v>0</v>
      </c>
      <c r="K160" s="175">
        <f>(IF('Pre-Calculation'!$D$17="Type 4 a",MAX(SA,H160,1.05*Q160),IF('Pre-Calculation'!$D$17="Type 4 c",H160,IF('Pre-Calculation'!$D$17="Type 4 d",SA+H160,IF('Pre-Calculation'!$D$17="Type 4 e",MAX(SA,H160),IF('Pre-Calculation'!$D$17="Type 4 f",SA,IF('Pre-Calculation'!$D$17="Type 4 g",1000+H160,IF('Pre-Calculation'!$D$17="Type 4 h",SA+V160,IF('Pre-Calculation'!$D$17="Type 4 i",MAX(H160,Q160),IF('Pre-Calculation'!$D$17="Type 4 k",MAX(H160,1.01*Q160),IF('Pre-Calculation'!$D$17="Type 4 m",MAX(105%*Q160,SA+H160),IF('Pre-Calculation'!$D$17="Type 4 o",MAX(SA,105%*Q160)+V160+X160,IF('Pre-Calculation'!$D$17="Type 5",0)))))))))))))*IF(AND(A160&lt;Revival!$C$4,C160&gt;Revival!$D$12),PUP,1)</f>
        <v>5262398.525</v>
      </c>
      <c r="L160" s="175">
        <f>H160-I160*(1+Tax)</f>
        <v>5262398.525</v>
      </c>
      <c r="M160" s="175">
        <f>L160*(1+GROWTH_RATE_HIST)</f>
        <v>5319897.114</v>
      </c>
      <c r="N160" s="175">
        <f>M160+IF(MOD(A160,B160)=0,VLOOKUP(B160,'Pre-Calculation'!$H$1:$L$31,5,FALSE),0)*IF('Pre-Calculation'!$D$16="% OF FV",M160,IF(OR('Pre-Calculation'!$D$16="% OF AFV(24M)",'Pre-Calculation'!$D$16="% OF AFV(8Q)"),AVERAGE( $M137:$M160),IF('Pre-Calculation'!$D$16="% OF AFV(12M)",AVERAGE($M149:M160),IF('Pre-Calculation'!$D$16="% OF AFV(36M)",AVERAGE($M125:M160)))))</f>
        <v>5319897.114</v>
      </c>
      <c r="O160" s="175">
        <f t="shared" si="4"/>
        <v>5319897.114</v>
      </c>
      <c r="P160" s="175">
        <f>IF('Pre-Calculation'!$D$17="Type 4 a",MAX(SA,N160,1.05*Q160),IF('Pre-Calculation'!$D$17="Type 4 c",N160,IF('Pre-Calculation'!$D$17="Type 4 d",SA+N160,IF('Pre-Calculation'!$D$17="Type 4 e",MAX(SA,N160),IF('Pre-Calculation'!$D$17="Type 4 f",SA,IF('Pre-Calculation'!$D$17="Type 4 g",1000+N160,IF('Pre-Calculation'!$D$17="Type 4 h",SA+V160,IF('Pre-Calculation'!$D$17="Type 4 i",MAX(N160,Q160),IF('Pre-Calculation'!$D$17="Type 4 k",MAX(N160,1.01*Q160),IF('Pre-Calculation'!$D$17="Type 4 m",MAX(105%*Q160,SA+N160),IF('Pre-Calculation'!$D$17="Type 4 o",MAX(SA,105%*Q160)+V160+X160,IF('Pre-Calculation'!$D$17="Type 5",0))))))))))))</f>
        <v>5319897.114</v>
      </c>
      <c r="Q160" s="175">
        <f t="shared" si="5"/>
        <v>1000000</v>
      </c>
      <c r="R160" s="119">
        <f>L160*(1+GROWTH_RATE)*FMC</f>
        <v>5955.048861</v>
      </c>
      <c r="S160" s="112"/>
      <c r="T160" s="175">
        <f>-E160+IF(A159=INPUT!$C$11*12,N160,0)</f>
        <v>0</v>
      </c>
      <c r="U160" s="112"/>
      <c r="V160" s="179">
        <f t="array" ref="V160">NPV('Pre-Calculation'!$E$20,$E161:E$246)</f>
        <v>0</v>
      </c>
      <c r="W160" s="171">
        <f>10%*SA</f>
        <v>100000</v>
      </c>
      <c r="X160" s="179">
        <f t="array" ref="X160">NPV('Pre-Calculation'!$E$20,W161:W170)</f>
        <v>969592.8037</v>
      </c>
      <c r="Y160" s="12"/>
      <c r="Z160" s="12"/>
    </row>
    <row r="161" ht="15.75" customHeight="1">
      <c r="A161" s="171">
        <f t="shared" si="1"/>
        <v>215</v>
      </c>
      <c r="B161" s="171">
        <f t="shared" si="2"/>
        <v>18</v>
      </c>
      <c r="C161" s="176">
        <f>EDATE(RCD,A160)</f>
        <v>49064</v>
      </c>
      <c r="D161" s="171">
        <f>Age_At_Entry+Cashflows_HIST!B161-1</f>
        <v>52</v>
      </c>
      <c r="E161" s="175">
        <f>IF(AND(C161&lt;=Last_Prem,MOD(A160,Mode)=0,C161&gt;INPUT!$C$13,A161&lt;=Revival!$C$11),Mod_Prem,0)</f>
        <v>0</v>
      </c>
      <c r="F161" s="177">
        <f>E161*VLOOKUP(B161,'Pre-Calculation'!$H$1:$I$31,2,FALSE)</f>
        <v>0</v>
      </c>
      <c r="G161" s="177">
        <f>IF(B161&lt;PT+1,VLOOKUP(B161,'Pre-Calculation'!$H$1:$L$32,3,FALSE)+VLOOKUP(B161,'Pre-Calculation'!$H$1:$L$32,4,FALSE)*'Pre-Calculation'!$D$7,0)</f>
        <v>0</v>
      </c>
      <c r="H161" s="175">
        <f>(E161-(F161+G161)*(1+Tax)+N160)</f>
        <v>5319897.114</v>
      </c>
      <c r="I161" s="175">
        <f>IF(B161&lt;PT+1,VLOOKUP(D161,'Pre-Calculation'!$N$3:$P$79,IF(INPUT!$C$4="M",2,3),FALSE)*(J161/1000)*(1/12),0)</f>
        <v>0</v>
      </c>
      <c r="J161" s="175">
        <f t="shared" si="3"/>
        <v>0</v>
      </c>
      <c r="K161" s="175">
        <f>(IF('Pre-Calculation'!$D$17="Type 4 a",MAX(SA,H161,1.05*Q161),IF('Pre-Calculation'!$D$17="Type 4 c",H161,IF('Pre-Calculation'!$D$17="Type 4 d",SA+H161,IF('Pre-Calculation'!$D$17="Type 4 e",MAX(SA,H161),IF('Pre-Calculation'!$D$17="Type 4 f",SA,IF('Pre-Calculation'!$D$17="Type 4 g",1000+H161,IF('Pre-Calculation'!$D$17="Type 4 h",SA+V161,IF('Pre-Calculation'!$D$17="Type 4 i",MAX(H161,Q161),IF('Pre-Calculation'!$D$17="Type 4 k",MAX(H161,1.01*Q161),IF('Pre-Calculation'!$D$17="Type 4 m",MAX(105%*Q161,SA+H161),IF('Pre-Calculation'!$D$17="Type 4 o",MAX(SA,105%*Q161)+V161+X161,IF('Pre-Calculation'!$D$17="Type 5",0)))))))))))))*IF(AND(A161&lt;Revival!$C$4,C161&gt;Revival!$D$12),PUP,1)</f>
        <v>5319897.114</v>
      </c>
      <c r="L161" s="175">
        <f>H161-I161*(1+Tax)</f>
        <v>5319897.114</v>
      </c>
      <c r="M161" s="175">
        <f>L161*(1+GROWTH_RATE_HIST)</f>
        <v>5378023.951</v>
      </c>
      <c r="N161" s="175">
        <f>M161+IF(MOD(A161,B161)=0,VLOOKUP(B161,'Pre-Calculation'!$H$1:$L$31,5,FALSE),0)*IF('Pre-Calculation'!$D$16="% OF FV",M161,IF(OR('Pre-Calculation'!$D$16="% OF AFV(24M)",'Pre-Calculation'!$D$16="% OF AFV(8Q)"),AVERAGE( $M138:$M161),IF('Pre-Calculation'!$D$16="% OF AFV(12M)",AVERAGE($M150:M161),IF('Pre-Calculation'!$D$16="% OF AFV(36M)",AVERAGE($M126:M161)))))</f>
        <v>5378023.951</v>
      </c>
      <c r="O161" s="175">
        <f t="shared" si="4"/>
        <v>5378023.951</v>
      </c>
      <c r="P161" s="175">
        <f>IF('Pre-Calculation'!$D$17="Type 4 a",MAX(SA,N161,1.05*Q161),IF('Pre-Calculation'!$D$17="Type 4 c",N161,IF('Pre-Calculation'!$D$17="Type 4 d",SA+N161,IF('Pre-Calculation'!$D$17="Type 4 e",MAX(SA,N161),IF('Pre-Calculation'!$D$17="Type 4 f",SA,IF('Pre-Calculation'!$D$17="Type 4 g",1000+N161,IF('Pre-Calculation'!$D$17="Type 4 h",SA+V161,IF('Pre-Calculation'!$D$17="Type 4 i",MAX(N161,Q161),IF('Pre-Calculation'!$D$17="Type 4 k",MAX(N161,1.01*Q161),IF('Pre-Calculation'!$D$17="Type 4 m",MAX(105%*Q161,SA+N161),IF('Pre-Calculation'!$D$17="Type 4 o",MAX(SA,105%*Q161)+V161+X161,IF('Pre-Calculation'!$D$17="Type 5",0))))))))))))</f>
        <v>5378023.951</v>
      </c>
      <c r="Q161" s="175">
        <f t="shared" si="5"/>
        <v>1000000</v>
      </c>
      <c r="R161" s="119">
        <f>L161*(1+GROWTH_RATE)*FMC</f>
        <v>6020.115561</v>
      </c>
      <c r="S161" s="112"/>
      <c r="T161" s="175">
        <f>-E161+IF(A160=INPUT!$C$11*12,N161,0)</f>
        <v>0</v>
      </c>
      <c r="U161" s="112"/>
      <c r="V161" s="179">
        <f t="array" ref="V161">NPV('Pre-Calculation'!$E$20,$E162:E$246)</f>
        <v>0</v>
      </c>
      <c r="W161" s="171">
        <f>10%*SA</f>
        <v>100000</v>
      </c>
      <c r="X161" s="179">
        <f t="array" ref="X161">NPV('Pre-Calculation'!$E$20,W162:W171)</f>
        <v>969592.8037</v>
      </c>
      <c r="Y161" s="12"/>
      <c r="Z161" s="12"/>
    </row>
    <row r="162" ht="15.75" customHeight="1">
      <c r="A162" s="171">
        <f t="shared" si="1"/>
        <v>216</v>
      </c>
      <c r="B162" s="171">
        <f t="shared" si="2"/>
        <v>18</v>
      </c>
      <c r="C162" s="176">
        <f>EDATE(RCD,A161)</f>
        <v>49094</v>
      </c>
      <c r="D162" s="171">
        <f>Age_At_Entry+Cashflows_HIST!B162-1</f>
        <v>52</v>
      </c>
      <c r="E162" s="175">
        <f>IF(AND(C162&lt;=Last_Prem,MOD(A161,Mode)=0,C162&gt;INPUT!$C$13,A162&lt;=Revival!$C$11),Mod_Prem,0)</f>
        <v>0</v>
      </c>
      <c r="F162" s="177">
        <f>E162*VLOOKUP(B162,'Pre-Calculation'!$H$1:$I$31,2,FALSE)</f>
        <v>0</v>
      </c>
      <c r="G162" s="177">
        <f>IF(B162&lt;PT+1,VLOOKUP(B162,'Pre-Calculation'!$H$1:$L$32,3,FALSE)+VLOOKUP(B162,'Pre-Calculation'!$H$1:$L$32,4,FALSE)*'Pre-Calculation'!$D$7,0)</f>
        <v>0</v>
      </c>
      <c r="H162" s="175">
        <f>(E162-(F162+G162)*(1+Tax)+N161)</f>
        <v>5378023.951</v>
      </c>
      <c r="I162" s="175">
        <f>IF(B162&lt;PT+1,VLOOKUP(D162,'Pre-Calculation'!$N$3:$P$79,IF(INPUT!$C$4="M",2,3),FALSE)*(J162/1000)*(1/12),0)</f>
        <v>0</v>
      </c>
      <c r="J162" s="175">
        <f t="shared" si="3"/>
        <v>0</v>
      </c>
      <c r="K162" s="175">
        <f>(IF('Pre-Calculation'!$D$17="Type 4 a",MAX(SA,H162,1.05*Q162),IF('Pre-Calculation'!$D$17="Type 4 c",H162,IF('Pre-Calculation'!$D$17="Type 4 d",SA+H162,IF('Pre-Calculation'!$D$17="Type 4 e",MAX(SA,H162),IF('Pre-Calculation'!$D$17="Type 4 f",SA,IF('Pre-Calculation'!$D$17="Type 4 g",1000+H162,IF('Pre-Calculation'!$D$17="Type 4 h",SA+V162,IF('Pre-Calculation'!$D$17="Type 4 i",MAX(H162,Q162),IF('Pre-Calculation'!$D$17="Type 4 k",MAX(H162,1.01*Q162),IF('Pre-Calculation'!$D$17="Type 4 m",MAX(105%*Q162,SA+H162),IF('Pre-Calculation'!$D$17="Type 4 o",MAX(SA,105%*Q162)+V162+X162,IF('Pre-Calculation'!$D$17="Type 5",0)))))))))))))*IF(AND(A162&lt;Revival!$C$4,C162&gt;Revival!$D$12),PUP,1)</f>
        <v>5378023.951</v>
      </c>
      <c r="L162" s="175">
        <f>H162-I162*(1+Tax)</f>
        <v>5378023.951</v>
      </c>
      <c r="M162" s="175">
        <f>L162*(1+GROWTH_RATE_HIST)</f>
        <v>5436785.899</v>
      </c>
      <c r="N162" s="175">
        <f>M162+IF(MOD(A162,B162)=0,VLOOKUP(B162,'Pre-Calculation'!$H$1:$L$31,5,FALSE),0)*IF('Pre-Calculation'!$D$16="% OF FV",M162,IF(OR('Pre-Calculation'!$D$16="% OF AFV(24M)",'Pre-Calculation'!$D$16="% OF AFV(8Q)"),AVERAGE( $M139:$M162),IF('Pre-Calculation'!$D$16="% OF AFV(12M)",AVERAGE($M151:M162),IF('Pre-Calculation'!$D$16="% OF AFV(36M)",AVERAGE($M127:M162)))))</f>
        <v>5436785.899</v>
      </c>
      <c r="O162" s="175">
        <f t="shared" si="4"/>
        <v>5436785.899</v>
      </c>
      <c r="P162" s="175">
        <f>IF('Pre-Calculation'!$D$17="Type 4 a",MAX(SA,N162,1.05*Q162),IF('Pre-Calculation'!$D$17="Type 4 c",N162,IF('Pre-Calculation'!$D$17="Type 4 d",SA+N162,IF('Pre-Calculation'!$D$17="Type 4 e",MAX(SA,N162),IF('Pre-Calculation'!$D$17="Type 4 f",SA,IF('Pre-Calculation'!$D$17="Type 4 g",1000+N162,IF('Pre-Calculation'!$D$17="Type 4 h",SA+V162,IF('Pre-Calculation'!$D$17="Type 4 i",MAX(N162,Q162),IF('Pre-Calculation'!$D$17="Type 4 k",MAX(N162,1.01*Q162),IF('Pre-Calculation'!$D$17="Type 4 m",MAX(105%*Q162,SA+N162),IF('Pre-Calculation'!$D$17="Type 4 o",MAX(SA,105%*Q162)+V162+X162,IF('Pre-Calculation'!$D$17="Type 5",0))))))))))))</f>
        <v>5436785.899</v>
      </c>
      <c r="Q162" s="175">
        <f t="shared" si="5"/>
        <v>1000000</v>
      </c>
      <c r="R162" s="119">
        <f>L162*(1+GROWTH_RATE)*FMC</f>
        <v>6085.8932</v>
      </c>
      <c r="S162" s="112"/>
      <c r="T162" s="175">
        <f>-E162+IF(A161=INPUT!$C$11*12,N162,0)</f>
        <v>0</v>
      </c>
      <c r="U162" s="112"/>
      <c r="V162" s="179">
        <f t="array" ref="V162">NPV('Pre-Calculation'!$E$20,$E163:E$246)</f>
        <v>0</v>
      </c>
      <c r="W162" s="171">
        <f>10%*SA</f>
        <v>100000</v>
      </c>
      <c r="X162" s="179">
        <f t="array" ref="X162">NPV('Pre-Calculation'!$E$20,W163:W172)</f>
        <v>969592.8037</v>
      </c>
      <c r="Y162" s="12"/>
      <c r="Z162" s="12"/>
    </row>
    <row r="163" ht="15.75" customHeight="1">
      <c r="A163" s="171">
        <f t="shared" si="1"/>
        <v>217</v>
      </c>
      <c r="B163" s="171">
        <f t="shared" si="2"/>
        <v>19</v>
      </c>
      <c r="C163" s="176">
        <f>EDATE(RCD,A162)</f>
        <v>49125</v>
      </c>
      <c r="D163" s="171">
        <f>Age_At_Entry+Cashflows_HIST!B163-1</f>
        <v>53</v>
      </c>
      <c r="E163" s="175">
        <f>IF(AND(C163&lt;=Last_Prem,MOD(A162,Mode)=0,C163&gt;INPUT!$C$13,A163&lt;=Revival!$C$11),Mod_Prem,0)</f>
        <v>0</v>
      </c>
      <c r="F163" s="177">
        <f>E163*VLOOKUP(B163,'Pre-Calculation'!$H$1:$I$31,2,FALSE)</f>
        <v>0</v>
      </c>
      <c r="G163" s="177">
        <f>IF(B163&lt;PT+1,VLOOKUP(B163,'Pre-Calculation'!$H$1:$L$32,3,FALSE)+VLOOKUP(B163,'Pre-Calculation'!$H$1:$L$32,4,FALSE)*'Pre-Calculation'!$D$7,0)</f>
        <v>0</v>
      </c>
      <c r="H163" s="175">
        <f>(E163-(F163+G163)*(1+Tax)+N162)</f>
        <v>5436785.899</v>
      </c>
      <c r="I163" s="175">
        <f>IF(B163&lt;PT+1,VLOOKUP(D163,'Pre-Calculation'!$N$3:$P$79,IF(INPUT!$C$4="M",2,3),FALSE)*(J163/1000)*(1/12),0)</f>
        <v>0</v>
      </c>
      <c r="J163" s="175">
        <f t="shared" si="3"/>
        <v>0</v>
      </c>
      <c r="K163" s="175">
        <f>(IF('Pre-Calculation'!$D$17="Type 4 a",MAX(SA,H163,1.05*Q163),IF('Pre-Calculation'!$D$17="Type 4 c",H163,IF('Pre-Calculation'!$D$17="Type 4 d",SA+H163,IF('Pre-Calculation'!$D$17="Type 4 e",MAX(SA,H163),IF('Pre-Calculation'!$D$17="Type 4 f",SA,IF('Pre-Calculation'!$D$17="Type 4 g",1000+H163,IF('Pre-Calculation'!$D$17="Type 4 h",SA+V163,IF('Pre-Calculation'!$D$17="Type 4 i",MAX(H163,Q163),IF('Pre-Calculation'!$D$17="Type 4 k",MAX(H163,1.01*Q163),IF('Pre-Calculation'!$D$17="Type 4 m",MAX(105%*Q163,SA+H163),IF('Pre-Calculation'!$D$17="Type 4 o",MAX(SA,105%*Q163)+V163+X163,IF('Pre-Calculation'!$D$17="Type 5",0)))))))))))))*IF(AND(A163&lt;Revival!$C$4,C163&gt;Revival!$D$12),PUP,1)</f>
        <v>5436785.899</v>
      </c>
      <c r="L163" s="175">
        <f>H163-I163*(1+Tax)</f>
        <v>5436785.899</v>
      </c>
      <c r="M163" s="175">
        <f>L163*(1+GROWTH_RATE_HIST)</f>
        <v>5496189.898</v>
      </c>
      <c r="N163" s="175">
        <f>M163+IF(MOD(A163,B163)=0,VLOOKUP(B163,'Pre-Calculation'!$H$1:$L$31,5,FALSE),0)*IF('Pre-Calculation'!$D$16="% OF FV",M163,IF(OR('Pre-Calculation'!$D$16="% OF AFV(24M)",'Pre-Calculation'!$D$16="% OF AFV(8Q)"),AVERAGE( $M140:$M163),IF('Pre-Calculation'!$D$16="% OF AFV(12M)",AVERAGE($M152:M163),IF('Pre-Calculation'!$D$16="% OF AFV(36M)",AVERAGE($M128:M163)))))</f>
        <v>5496189.898</v>
      </c>
      <c r="O163" s="175">
        <f t="shared" si="4"/>
        <v>5496189.898</v>
      </c>
      <c r="P163" s="175">
        <f>IF('Pre-Calculation'!$D$17="Type 4 a",MAX(SA,N163,1.05*Q163),IF('Pre-Calculation'!$D$17="Type 4 c",N163,IF('Pre-Calculation'!$D$17="Type 4 d",SA+N163,IF('Pre-Calculation'!$D$17="Type 4 e",MAX(SA,N163),IF('Pre-Calculation'!$D$17="Type 4 f",SA,IF('Pre-Calculation'!$D$17="Type 4 g",1000+N163,IF('Pre-Calculation'!$D$17="Type 4 h",SA+V163,IF('Pre-Calculation'!$D$17="Type 4 i",MAX(N163,Q163),IF('Pre-Calculation'!$D$17="Type 4 k",MAX(N163,1.01*Q163),IF('Pre-Calculation'!$D$17="Type 4 m",MAX(105%*Q163,SA+N163),IF('Pre-Calculation'!$D$17="Type 4 o",MAX(SA,105%*Q163)+V163+X163,IF('Pre-Calculation'!$D$17="Type 5",0))))))))))))</f>
        <v>5496189.898</v>
      </c>
      <c r="Q163" s="175">
        <f t="shared" si="5"/>
        <v>1000000</v>
      </c>
      <c r="R163" s="119">
        <f>L163*(1+GROWTH_RATE)*FMC</f>
        <v>6152.389545</v>
      </c>
      <c r="S163" s="112"/>
      <c r="T163" s="175">
        <f>-E163+IF(A162=INPUT!$C$11*12,N163,0)</f>
        <v>0</v>
      </c>
      <c r="U163" s="112"/>
      <c r="V163" s="179">
        <f t="array" ref="V163">NPV('Pre-Calculation'!$E$20,$E164:E$246)</f>
        <v>0</v>
      </c>
      <c r="W163" s="171">
        <f>10%*SA</f>
        <v>100000</v>
      </c>
      <c r="X163" s="179">
        <f t="array" ref="X163">NPV('Pre-Calculation'!$E$20,W164:W173)</f>
        <v>969592.8037</v>
      </c>
      <c r="Y163" s="12"/>
      <c r="Z163" s="12"/>
    </row>
    <row r="164" ht="15.75" customHeight="1">
      <c r="A164" s="171">
        <f t="shared" si="1"/>
        <v>218</v>
      </c>
      <c r="B164" s="171">
        <f t="shared" si="2"/>
        <v>19</v>
      </c>
      <c r="C164" s="176">
        <f>EDATE(RCD,A163)</f>
        <v>49155</v>
      </c>
      <c r="D164" s="171">
        <f>Age_At_Entry+Cashflows_HIST!B164-1</f>
        <v>53</v>
      </c>
      <c r="E164" s="175">
        <f>IF(AND(C164&lt;=Last_Prem,MOD(A163,Mode)=0,C164&gt;INPUT!$C$13,A164&lt;=Revival!$C$11),Mod_Prem,0)</f>
        <v>0</v>
      </c>
      <c r="F164" s="177">
        <f>E164*VLOOKUP(B164,'Pre-Calculation'!$H$1:$I$31,2,FALSE)</f>
        <v>0</v>
      </c>
      <c r="G164" s="177">
        <f>IF(B164&lt;PT+1,VLOOKUP(B164,'Pre-Calculation'!$H$1:$L$32,3,FALSE)+VLOOKUP(B164,'Pre-Calculation'!$H$1:$L$32,4,FALSE)*'Pre-Calculation'!$D$7,0)</f>
        <v>0</v>
      </c>
      <c r="H164" s="175">
        <f>(E164-(F164+G164)*(1+Tax)+N163)</f>
        <v>5496189.898</v>
      </c>
      <c r="I164" s="175">
        <f>IF(B164&lt;PT+1,VLOOKUP(D164,'Pre-Calculation'!$N$3:$P$79,IF(INPUT!$C$4="M",2,3),FALSE)*(J164/1000)*(1/12),0)</f>
        <v>0</v>
      </c>
      <c r="J164" s="175">
        <f t="shared" si="3"/>
        <v>0</v>
      </c>
      <c r="K164" s="175">
        <f>(IF('Pre-Calculation'!$D$17="Type 4 a",MAX(SA,H164,1.05*Q164),IF('Pre-Calculation'!$D$17="Type 4 c",H164,IF('Pre-Calculation'!$D$17="Type 4 d",SA+H164,IF('Pre-Calculation'!$D$17="Type 4 e",MAX(SA,H164),IF('Pre-Calculation'!$D$17="Type 4 f",SA,IF('Pre-Calculation'!$D$17="Type 4 g",1000+H164,IF('Pre-Calculation'!$D$17="Type 4 h",SA+V164,IF('Pre-Calculation'!$D$17="Type 4 i",MAX(H164,Q164),IF('Pre-Calculation'!$D$17="Type 4 k",MAX(H164,1.01*Q164),IF('Pre-Calculation'!$D$17="Type 4 m",MAX(105%*Q164,SA+H164),IF('Pre-Calculation'!$D$17="Type 4 o",MAX(SA,105%*Q164)+V164+X164,IF('Pre-Calculation'!$D$17="Type 5",0)))))))))))))*IF(AND(A164&lt;Revival!$C$4,C164&gt;Revival!$D$12),PUP,1)</f>
        <v>5496189.898</v>
      </c>
      <c r="L164" s="175">
        <f>H164-I164*(1+Tax)</f>
        <v>5496189.898</v>
      </c>
      <c r="M164" s="175">
        <f>L164*(1+GROWTH_RATE_HIST)</f>
        <v>5556242.963</v>
      </c>
      <c r="N164" s="175">
        <f>M164+IF(MOD(A164,B164)=0,VLOOKUP(B164,'Pre-Calculation'!$H$1:$L$31,5,FALSE),0)*IF('Pre-Calculation'!$D$16="% OF FV",M164,IF(OR('Pre-Calculation'!$D$16="% OF AFV(24M)",'Pre-Calculation'!$D$16="% OF AFV(8Q)"),AVERAGE( $M141:$M164),IF('Pre-Calculation'!$D$16="% OF AFV(12M)",AVERAGE($M153:M164),IF('Pre-Calculation'!$D$16="% OF AFV(36M)",AVERAGE($M129:M164)))))</f>
        <v>5556242.963</v>
      </c>
      <c r="O164" s="175">
        <f t="shared" si="4"/>
        <v>5556242.963</v>
      </c>
      <c r="P164" s="175">
        <f>IF('Pre-Calculation'!$D$17="Type 4 a",MAX(SA,N164,1.05*Q164),IF('Pre-Calculation'!$D$17="Type 4 c",N164,IF('Pre-Calculation'!$D$17="Type 4 d",SA+N164,IF('Pre-Calculation'!$D$17="Type 4 e",MAX(SA,N164),IF('Pre-Calculation'!$D$17="Type 4 f",SA,IF('Pre-Calculation'!$D$17="Type 4 g",1000+N164,IF('Pre-Calculation'!$D$17="Type 4 h",SA+V164,IF('Pre-Calculation'!$D$17="Type 4 i",MAX(N164,Q164),IF('Pre-Calculation'!$D$17="Type 4 k",MAX(N164,1.01*Q164),IF('Pre-Calculation'!$D$17="Type 4 m",MAX(105%*Q164,SA+N164),IF('Pre-Calculation'!$D$17="Type 4 o",MAX(SA,105%*Q164)+V164+X164,IF('Pre-Calculation'!$D$17="Type 5",0))))))))))))</f>
        <v>5556242.963</v>
      </c>
      <c r="Q164" s="175">
        <f t="shared" si="5"/>
        <v>1000000</v>
      </c>
      <c r="R164" s="119">
        <f>L164*(1+GROWTH_RATE)*FMC</f>
        <v>6219.612451</v>
      </c>
      <c r="S164" s="112"/>
      <c r="T164" s="175">
        <f>-E164+IF(A163=INPUT!$C$11*12,N164,0)</f>
        <v>0</v>
      </c>
      <c r="U164" s="112"/>
      <c r="V164" s="179">
        <f t="array" ref="V164">NPV('Pre-Calculation'!$E$20,$E165:E$246)</f>
        <v>0</v>
      </c>
      <c r="W164" s="171">
        <f>10%*SA</f>
        <v>100000</v>
      </c>
      <c r="X164" s="179">
        <f t="array" ref="X164">NPV('Pre-Calculation'!$E$20,W165:W174)</f>
        <v>969592.8037</v>
      </c>
      <c r="Y164" s="12"/>
      <c r="Z164" s="12"/>
    </row>
    <row r="165" ht="15.75" customHeight="1">
      <c r="A165" s="171">
        <f t="shared" si="1"/>
        <v>219</v>
      </c>
      <c r="B165" s="171">
        <f t="shared" si="2"/>
        <v>19</v>
      </c>
      <c r="C165" s="176">
        <f>EDATE(RCD,A164)</f>
        <v>49186</v>
      </c>
      <c r="D165" s="171">
        <f>Age_At_Entry+Cashflows_HIST!B165-1</f>
        <v>53</v>
      </c>
      <c r="E165" s="175">
        <f>IF(AND(C165&lt;=Last_Prem,MOD(A164,Mode)=0,C165&gt;INPUT!$C$13,A165&lt;=Revival!$C$11),Mod_Prem,0)</f>
        <v>0</v>
      </c>
      <c r="F165" s="177">
        <f>E165*VLOOKUP(B165,'Pre-Calculation'!$H$1:$I$31,2,FALSE)</f>
        <v>0</v>
      </c>
      <c r="G165" s="177">
        <f>IF(B165&lt;PT+1,VLOOKUP(B165,'Pre-Calculation'!$H$1:$L$32,3,FALSE)+VLOOKUP(B165,'Pre-Calculation'!$H$1:$L$32,4,FALSE)*'Pre-Calculation'!$D$7,0)</f>
        <v>0</v>
      </c>
      <c r="H165" s="175">
        <f>(E165-(F165+G165)*(1+Tax)+N164)</f>
        <v>5556242.963</v>
      </c>
      <c r="I165" s="175">
        <f>IF(B165&lt;PT+1,VLOOKUP(D165,'Pre-Calculation'!$N$3:$P$79,IF(INPUT!$C$4="M",2,3),FALSE)*(J165/1000)*(1/12),0)</f>
        <v>0</v>
      </c>
      <c r="J165" s="175">
        <f t="shared" si="3"/>
        <v>0</v>
      </c>
      <c r="K165" s="175">
        <f>(IF('Pre-Calculation'!$D$17="Type 4 a",MAX(SA,H165,1.05*Q165),IF('Pre-Calculation'!$D$17="Type 4 c",H165,IF('Pre-Calculation'!$D$17="Type 4 d",SA+H165,IF('Pre-Calculation'!$D$17="Type 4 e",MAX(SA,H165),IF('Pre-Calculation'!$D$17="Type 4 f",SA,IF('Pre-Calculation'!$D$17="Type 4 g",1000+H165,IF('Pre-Calculation'!$D$17="Type 4 h",SA+V165,IF('Pre-Calculation'!$D$17="Type 4 i",MAX(H165,Q165),IF('Pre-Calculation'!$D$17="Type 4 k",MAX(H165,1.01*Q165),IF('Pre-Calculation'!$D$17="Type 4 m",MAX(105%*Q165,SA+H165),IF('Pre-Calculation'!$D$17="Type 4 o",MAX(SA,105%*Q165)+V165+X165,IF('Pre-Calculation'!$D$17="Type 5",0)))))))))))))*IF(AND(A165&lt;Revival!$C$4,C165&gt;Revival!$D$12),PUP,1)</f>
        <v>5556242.963</v>
      </c>
      <c r="L165" s="175">
        <f>H165-I165*(1+Tax)</f>
        <v>5556242.963</v>
      </c>
      <c r="M165" s="175">
        <f>L165*(1+GROWTH_RATE_HIST)</f>
        <v>5616952.187</v>
      </c>
      <c r="N165" s="175">
        <f>M165+IF(MOD(A165,B165)=0,VLOOKUP(B165,'Pre-Calculation'!$H$1:$L$31,5,FALSE),0)*IF('Pre-Calculation'!$D$16="% OF FV",M165,IF(OR('Pre-Calculation'!$D$16="% OF AFV(24M)",'Pre-Calculation'!$D$16="% OF AFV(8Q)"),AVERAGE( $M142:$M165),IF('Pre-Calculation'!$D$16="% OF AFV(12M)",AVERAGE($M154:M165),IF('Pre-Calculation'!$D$16="% OF AFV(36M)",AVERAGE($M130:M165)))))</f>
        <v>5616952.187</v>
      </c>
      <c r="O165" s="175">
        <f t="shared" si="4"/>
        <v>5616952.187</v>
      </c>
      <c r="P165" s="175">
        <f>IF('Pre-Calculation'!$D$17="Type 4 a",MAX(SA,N165,1.05*Q165),IF('Pre-Calculation'!$D$17="Type 4 c",N165,IF('Pre-Calculation'!$D$17="Type 4 d",SA+N165,IF('Pre-Calculation'!$D$17="Type 4 e",MAX(SA,N165),IF('Pre-Calculation'!$D$17="Type 4 f",SA,IF('Pre-Calculation'!$D$17="Type 4 g",1000+N165,IF('Pre-Calculation'!$D$17="Type 4 h",SA+V165,IF('Pre-Calculation'!$D$17="Type 4 i",MAX(N165,Q165),IF('Pre-Calculation'!$D$17="Type 4 k",MAX(N165,1.01*Q165),IF('Pre-Calculation'!$D$17="Type 4 m",MAX(105%*Q165,SA+N165),IF('Pre-Calculation'!$D$17="Type 4 o",MAX(SA,105%*Q165)+V165+X165,IF('Pre-Calculation'!$D$17="Type 5",0))))))))))))</f>
        <v>5616952.187</v>
      </c>
      <c r="Q165" s="175">
        <f t="shared" si="5"/>
        <v>1000000</v>
      </c>
      <c r="R165" s="119">
        <f>L165*(1+GROWTH_RATE)*FMC</f>
        <v>6287.569854</v>
      </c>
      <c r="S165" s="112"/>
      <c r="T165" s="175">
        <f>-E165+IF(A164=INPUT!$C$11*12,N165,0)</f>
        <v>0</v>
      </c>
      <c r="U165" s="112"/>
      <c r="V165" s="179">
        <f t="array" ref="V165">NPV('Pre-Calculation'!$E$20,$E166:E$246)</f>
        <v>0</v>
      </c>
      <c r="W165" s="171">
        <f>10%*SA</f>
        <v>100000</v>
      </c>
      <c r="X165" s="179">
        <f t="array" ref="X165">NPV('Pre-Calculation'!$E$20,W166:W175)</f>
        <v>969592.8037</v>
      </c>
      <c r="Y165" s="12"/>
      <c r="Z165" s="12"/>
    </row>
    <row r="166" ht="15.75" customHeight="1">
      <c r="A166" s="171">
        <f t="shared" si="1"/>
        <v>220</v>
      </c>
      <c r="B166" s="171">
        <f t="shared" si="2"/>
        <v>19</v>
      </c>
      <c r="C166" s="176">
        <f>EDATE(RCD,A165)</f>
        <v>49217</v>
      </c>
      <c r="D166" s="171">
        <f>Age_At_Entry+Cashflows_HIST!B166-1</f>
        <v>53</v>
      </c>
      <c r="E166" s="175">
        <f>IF(AND(C166&lt;=Last_Prem,MOD(A165,Mode)=0,C166&gt;INPUT!$C$13,A166&lt;=Revival!$C$11),Mod_Prem,0)</f>
        <v>0</v>
      </c>
      <c r="F166" s="177">
        <f>E166*VLOOKUP(B166,'Pre-Calculation'!$H$1:$I$31,2,FALSE)</f>
        <v>0</v>
      </c>
      <c r="G166" s="177">
        <f>IF(B166&lt;PT+1,VLOOKUP(B166,'Pre-Calculation'!$H$1:$L$32,3,FALSE)+VLOOKUP(B166,'Pre-Calculation'!$H$1:$L$32,4,FALSE)*'Pre-Calculation'!$D$7,0)</f>
        <v>0</v>
      </c>
      <c r="H166" s="175">
        <f>(E166-(F166+G166)*(1+Tax)+N165)</f>
        <v>5616952.187</v>
      </c>
      <c r="I166" s="175">
        <f>IF(B166&lt;PT+1,VLOOKUP(D166,'Pre-Calculation'!$N$3:$P$79,IF(INPUT!$C$4="M",2,3),FALSE)*(J166/1000)*(1/12),0)</f>
        <v>0</v>
      </c>
      <c r="J166" s="175">
        <f t="shared" si="3"/>
        <v>0</v>
      </c>
      <c r="K166" s="175">
        <f>(IF('Pre-Calculation'!$D$17="Type 4 a",MAX(SA,H166,1.05*Q166),IF('Pre-Calculation'!$D$17="Type 4 c",H166,IF('Pre-Calculation'!$D$17="Type 4 d",SA+H166,IF('Pre-Calculation'!$D$17="Type 4 e",MAX(SA,H166),IF('Pre-Calculation'!$D$17="Type 4 f",SA,IF('Pre-Calculation'!$D$17="Type 4 g",1000+H166,IF('Pre-Calculation'!$D$17="Type 4 h",SA+V166,IF('Pre-Calculation'!$D$17="Type 4 i",MAX(H166,Q166),IF('Pre-Calculation'!$D$17="Type 4 k",MAX(H166,1.01*Q166),IF('Pre-Calculation'!$D$17="Type 4 m",MAX(105%*Q166,SA+H166),IF('Pre-Calculation'!$D$17="Type 4 o",MAX(SA,105%*Q166)+V166+X166,IF('Pre-Calculation'!$D$17="Type 5",0)))))))))))))*IF(AND(A166&lt;Revival!$C$4,C166&gt;Revival!$D$12),PUP,1)</f>
        <v>5616952.187</v>
      </c>
      <c r="L166" s="175">
        <f>H166-I166*(1+Tax)</f>
        <v>5616952.187</v>
      </c>
      <c r="M166" s="175">
        <f>L166*(1+GROWTH_RATE_HIST)</f>
        <v>5678324.739</v>
      </c>
      <c r="N166" s="175">
        <f>M166+IF(MOD(A166,B166)=0,VLOOKUP(B166,'Pre-Calculation'!$H$1:$L$31,5,FALSE),0)*IF('Pre-Calculation'!$D$16="% OF FV",M166,IF(OR('Pre-Calculation'!$D$16="% OF AFV(24M)",'Pre-Calculation'!$D$16="% OF AFV(8Q)"),AVERAGE( $M143:$M166),IF('Pre-Calculation'!$D$16="% OF AFV(12M)",AVERAGE($M155:M166),IF('Pre-Calculation'!$D$16="% OF AFV(36M)",AVERAGE($M131:M166)))))</f>
        <v>5678324.739</v>
      </c>
      <c r="O166" s="175">
        <f t="shared" si="4"/>
        <v>5678324.739</v>
      </c>
      <c r="P166" s="175">
        <f>IF('Pre-Calculation'!$D$17="Type 4 a",MAX(SA,N166,1.05*Q166),IF('Pre-Calculation'!$D$17="Type 4 c",N166,IF('Pre-Calculation'!$D$17="Type 4 d",SA+N166,IF('Pre-Calculation'!$D$17="Type 4 e",MAX(SA,N166),IF('Pre-Calculation'!$D$17="Type 4 f",SA,IF('Pre-Calculation'!$D$17="Type 4 g",1000+N166,IF('Pre-Calculation'!$D$17="Type 4 h",SA+V166,IF('Pre-Calculation'!$D$17="Type 4 i",MAX(N166,Q166),IF('Pre-Calculation'!$D$17="Type 4 k",MAX(N166,1.01*Q166),IF('Pre-Calculation'!$D$17="Type 4 m",MAX(105%*Q166,SA+N166),IF('Pre-Calculation'!$D$17="Type 4 o",MAX(SA,105%*Q166)+V166+X166,IF('Pre-Calculation'!$D$17="Type 5",0))))))))))))</f>
        <v>5678324.739</v>
      </c>
      <c r="Q166" s="175">
        <f t="shared" si="5"/>
        <v>1000000</v>
      </c>
      <c r="R166" s="119">
        <f>L166*(1+GROWTH_RATE)*FMC</f>
        <v>6356.269781</v>
      </c>
      <c r="S166" s="112"/>
      <c r="T166" s="175">
        <f>-E166+IF(A165=INPUT!$C$11*12,N166,0)</f>
        <v>0</v>
      </c>
      <c r="U166" s="112"/>
      <c r="V166" s="179">
        <f t="array" ref="V166">NPV('Pre-Calculation'!$E$20,$E167:E$246)</f>
        <v>0</v>
      </c>
      <c r="W166" s="171">
        <f>10%*SA</f>
        <v>100000</v>
      </c>
      <c r="X166" s="179">
        <f t="array" ref="X166">NPV('Pre-Calculation'!$E$20,W167:W176)</f>
        <v>969592.8037</v>
      </c>
      <c r="Y166" s="12"/>
      <c r="Z166" s="12"/>
    </row>
    <row r="167" ht="15.75" customHeight="1">
      <c r="A167" s="171">
        <f t="shared" si="1"/>
        <v>221</v>
      </c>
      <c r="B167" s="171">
        <f t="shared" si="2"/>
        <v>19</v>
      </c>
      <c r="C167" s="176">
        <f>EDATE(RCD,A166)</f>
        <v>49247</v>
      </c>
      <c r="D167" s="171">
        <f>Age_At_Entry+Cashflows_HIST!B167-1</f>
        <v>53</v>
      </c>
      <c r="E167" s="175">
        <f>IF(AND(C167&lt;=Last_Prem,MOD(A166,Mode)=0,C167&gt;INPUT!$C$13,A167&lt;=Revival!$C$11),Mod_Prem,0)</f>
        <v>0</v>
      </c>
      <c r="F167" s="177">
        <f>E167*VLOOKUP(B167,'Pre-Calculation'!$H$1:$I$31,2,FALSE)</f>
        <v>0</v>
      </c>
      <c r="G167" s="177">
        <f>IF(B167&lt;PT+1,VLOOKUP(B167,'Pre-Calculation'!$H$1:$L$32,3,FALSE)+VLOOKUP(B167,'Pre-Calculation'!$H$1:$L$32,4,FALSE)*'Pre-Calculation'!$D$7,0)</f>
        <v>0</v>
      </c>
      <c r="H167" s="175">
        <f>(E167-(F167+G167)*(1+Tax)+N166)</f>
        <v>5678324.739</v>
      </c>
      <c r="I167" s="175">
        <f>IF(B167&lt;PT+1,VLOOKUP(D167,'Pre-Calculation'!$N$3:$P$79,IF(INPUT!$C$4="M",2,3),FALSE)*(J167/1000)*(1/12),0)</f>
        <v>0</v>
      </c>
      <c r="J167" s="175">
        <f t="shared" si="3"/>
        <v>0</v>
      </c>
      <c r="K167" s="175">
        <f>(IF('Pre-Calculation'!$D$17="Type 4 a",MAX(SA,H167,1.05*Q167),IF('Pre-Calculation'!$D$17="Type 4 c",H167,IF('Pre-Calculation'!$D$17="Type 4 d",SA+H167,IF('Pre-Calculation'!$D$17="Type 4 e",MAX(SA,H167),IF('Pre-Calculation'!$D$17="Type 4 f",SA,IF('Pre-Calculation'!$D$17="Type 4 g",1000+H167,IF('Pre-Calculation'!$D$17="Type 4 h",SA+V167,IF('Pre-Calculation'!$D$17="Type 4 i",MAX(H167,Q167),IF('Pre-Calculation'!$D$17="Type 4 k",MAX(H167,1.01*Q167),IF('Pre-Calculation'!$D$17="Type 4 m",MAX(105%*Q167,SA+H167),IF('Pre-Calculation'!$D$17="Type 4 o",MAX(SA,105%*Q167)+V167+X167,IF('Pre-Calculation'!$D$17="Type 5",0)))))))))))))*IF(AND(A167&lt;Revival!$C$4,C167&gt;Revival!$D$12),PUP,1)</f>
        <v>5678324.739</v>
      </c>
      <c r="L167" s="175">
        <f>H167-I167*(1+Tax)</f>
        <v>5678324.739</v>
      </c>
      <c r="M167" s="175">
        <f>L167*(1+GROWTH_RATE_HIST)</f>
        <v>5740367.866</v>
      </c>
      <c r="N167" s="175">
        <f>M167+IF(MOD(A167,B167)=0,VLOOKUP(B167,'Pre-Calculation'!$H$1:$L$31,5,FALSE),0)*IF('Pre-Calculation'!$D$16="% OF FV",M167,IF(OR('Pre-Calculation'!$D$16="% OF AFV(24M)",'Pre-Calculation'!$D$16="% OF AFV(8Q)"),AVERAGE( $M144:$M167),IF('Pre-Calculation'!$D$16="% OF AFV(12M)",AVERAGE($M156:M167),IF('Pre-Calculation'!$D$16="% OF AFV(36M)",AVERAGE($M132:M167)))))</f>
        <v>5740367.866</v>
      </c>
      <c r="O167" s="175">
        <f t="shared" si="4"/>
        <v>5740367.866</v>
      </c>
      <c r="P167" s="175">
        <f>IF('Pre-Calculation'!$D$17="Type 4 a",MAX(SA,N167,1.05*Q167),IF('Pre-Calculation'!$D$17="Type 4 c",N167,IF('Pre-Calculation'!$D$17="Type 4 d",SA+N167,IF('Pre-Calculation'!$D$17="Type 4 e",MAX(SA,N167),IF('Pre-Calculation'!$D$17="Type 4 f",SA,IF('Pre-Calculation'!$D$17="Type 4 g",1000+N167,IF('Pre-Calculation'!$D$17="Type 4 h",SA+V167,IF('Pre-Calculation'!$D$17="Type 4 i",MAX(N167,Q167),IF('Pre-Calculation'!$D$17="Type 4 k",MAX(N167,1.01*Q167),IF('Pre-Calculation'!$D$17="Type 4 m",MAX(105%*Q167,SA+N167),IF('Pre-Calculation'!$D$17="Type 4 o",MAX(SA,105%*Q167)+V167+X167,IF('Pre-Calculation'!$D$17="Type 5",0))))))))))))</f>
        <v>5740367.866</v>
      </c>
      <c r="Q167" s="175">
        <f t="shared" si="5"/>
        <v>1000000</v>
      </c>
      <c r="R167" s="119">
        <f>L167*(1+GROWTH_RATE)*FMC</f>
        <v>6425.720345</v>
      </c>
      <c r="S167" s="112"/>
      <c r="T167" s="175">
        <f>-E167+IF(A166=INPUT!$C$11*12,N167,0)</f>
        <v>0</v>
      </c>
      <c r="U167" s="112"/>
      <c r="V167" s="179">
        <f t="array" ref="V167">NPV('Pre-Calculation'!$E$20,$E168:E$246)</f>
        <v>0</v>
      </c>
      <c r="W167" s="171">
        <f>10%*SA</f>
        <v>100000</v>
      </c>
      <c r="X167" s="179">
        <f t="array" ref="X167">NPV('Pre-Calculation'!$E$20,W168:W177)</f>
        <v>969592.8037</v>
      </c>
      <c r="Y167" s="12"/>
      <c r="Z167" s="12"/>
    </row>
    <row r="168" ht="15.75" customHeight="1">
      <c r="A168" s="171">
        <f t="shared" si="1"/>
        <v>222</v>
      </c>
      <c r="B168" s="171">
        <f t="shared" si="2"/>
        <v>19</v>
      </c>
      <c r="C168" s="176">
        <f>EDATE(RCD,A167)</f>
        <v>49278</v>
      </c>
      <c r="D168" s="171">
        <f>Age_At_Entry+Cashflows_HIST!B168-1</f>
        <v>53</v>
      </c>
      <c r="E168" s="175">
        <f>IF(AND(C168&lt;=Last_Prem,MOD(A167,Mode)=0,C168&gt;INPUT!$C$13,A168&lt;=Revival!$C$11),Mod_Prem,0)</f>
        <v>0</v>
      </c>
      <c r="F168" s="177">
        <f>E168*VLOOKUP(B168,'Pre-Calculation'!$H$1:$I$31,2,FALSE)</f>
        <v>0</v>
      </c>
      <c r="G168" s="177">
        <f>IF(B168&lt;PT+1,VLOOKUP(B168,'Pre-Calculation'!$H$1:$L$32,3,FALSE)+VLOOKUP(B168,'Pre-Calculation'!$H$1:$L$32,4,FALSE)*'Pre-Calculation'!$D$7,0)</f>
        <v>0</v>
      </c>
      <c r="H168" s="175">
        <f>(E168-(F168+G168)*(1+Tax)+N167)</f>
        <v>5740367.866</v>
      </c>
      <c r="I168" s="175">
        <f>IF(B168&lt;PT+1,VLOOKUP(D168,'Pre-Calculation'!$N$3:$P$79,IF(INPUT!$C$4="M",2,3),FALSE)*(J168/1000)*(1/12),0)</f>
        <v>0</v>
      </c>
      <c r="J168" s="175">
        <f t="shared" si="3"/>
        <v>0</v>
      </c>
      <c r="K168" s="175">
        <f>(IF('Pre-Calculation'!$D$17="Type 4 a",MAX(SA,H168,1.05*Q168),IF('Pre-Calculation'!$D$17="Type 4 c",H168,IF('Pre-Calculation'!$D$17="Type 4 d",SA+H168,IF('Pre-Calculation'!$D$17="Type 4 e",MAX(SA,H168),IF('Pre-Calculation'!$D$17="Type 4 f",SA,IF('Pre-Calculation'!$D$17="Type 4 g",1000+H168,IF('Pre-Calculation'!$D$17="Type 4 h",SA+V168,IF('Pre-Calculation'!$D$17="Type 4 i",MAX(H168,Q168),IF('Pre-Calculation'!$D$17="Type 4 k",MAX(H168,1.01*Q168),IF('Pre-Calculation'!$D$17="Type 4 m",MAX(105%*Q168,SA+H168),IF('Pre-Calculation'!$D$17="Type 4 o",MAX(SA,105%*Q168)+V168+X168,IF('Pre-Calculation'!$D$17="Type 5",0)))))))))))))*IF(AND(A168&lt;Revival!$C$4,C168&gt;Revival!$D$12),PUP,1)</f>
        <v>5740367.866</v>
      </c>
      <c r="L168" s="175">
        <f>H168-I168*(1+Tax)</f>
        <v>5740367.866</v>
      </c>
      <c r="M168" s="175">
        <f>L168*(1+GROWTH_RATE_HIST)</f>
        <v>5803088.896</v>
      </c>
      <c r="N168" s="175">
        <f>M168+IF(MOD(A168,B168)=0,VLOOKUP(B168,'Pre-Calculation'!$H$1:$L$31,5,FALSE),0)*IF('Pre-Calculation'!$D$16="% OF FV",M168,IF(OR('Pre-Calculation'!$D$16="% OF AFV(24M)",'Pre-Calculation'!$D$16="% OF AFV(8Q)"),AVERAGE( $M145:$M168),IF('Pre-Calculation'!$D$16="% OF AFV(12M)",AVERAGE($M157:M168),IF('Pre-Calculation'!$D$16="% OF AFV(36M)",AVERAGE($M133:M168)))))</f>
        <v>5803088.896</v>
      </c>
      <c r="O168" s="175">
        <f t="shared" si="4"/>
        <v>5803088.896</v>
      </c>
      <c r="P168" s="175">
        <f>IF('Pre-Calculation'!$D$17="Type 4 a",MAX(SA,N168,1.05*Q168),IF('Pre-Calculation'!$D$17="Type 4 c",N168,IF('Pre-Calculation'!$D$17="Type 4 d",SA+N168,IF('Pre-Calculation'!$D$17="Type 4 e",MAX(SA,N168),IF('Pre-Calculation'!$D$17="Type 4 f",SA,IF('Pre-Calculation'!$D$17="Type 4 g",1000+N168,IF('Pre-Calculation'!$D$17="Type 4 h",SA+V168,IF('Pre-Calculation'!$D$17="Type 4 i",MAX(N168,Q168),IF('Pre-Calculation'!$D$17="Type 4 k",MAX(N168,1.01*Q168),IF('Pre-Calculation'!$D$17="Type 4 m",MAX(105%*Q168,SA+N168),IF('Pre-Calculation'!$D$17="Type 4 o",MAX(SA,105%*Q168)+V168+X168,IF('Pre-Calculation'!$D$17="Type 5",0))))))))))))</f>
        <v>5803088.896</v>
      </c>
      <c r="Q168" s="175">
        <f t="shared" si="5"/>
        <v>1000000</v>
      </c>
      <c r="R168" s="119">
        <f>L168*(1+GROWTH_RATE)*FMC</f>
        <v>6495.929747</v>
      </c>
      <c r="S168" s="112"/>
      <c r="T168" s="175">
        <f>-E168+IF(A167=INPUT!$C$11*12,N168,0)</f>
        <v>0</v>
      </c>
      <c r="U168" s="112"/>
      <c r="V168" s="179">
        <f t="array" ref="V168">NPV('Pre-Calculation'!$E$20,$E169:E$246)</f>
        <v>0</v>
      </c>
      <c r="W168" s="171">
        <f>10%*SA</f>
        <v>100000</v>
      </c>
      <c r="X168" s="179">
        <f t="array" ref="X168">NPV('Pre-Calculation'!$E$20,W169:W178)</f>
        <v>969592.8037</v>
      </c>
      <c r="Y168" s="12"/>
      <c r="Z168" s="12"/>
    </row>
    <row r="169" ht="15.75" customHeight="1">
      <c r="A169" s="171">
        <f t="shared" si="1"/>
        <v>223</v>
      </c>
      <c r="B169" s="171">
        <f t="shared" si="2"/>
        <v>19</v>
      </c>
      <c r="C169" s="176">
        <f>EDATE(RCD,A168)</f>
        <v>49308</v>
      </c>
      <c r="D169" s="171">
        <f>Age_At_Entry+Cashflows_HIST!B169-1</f>
        <v>53</v>
      </c>
      <c r="E169" s="175">
        <f>IF(AND(C169&lt;=Last_Prem,MOD(A168,Mode)=0,C169&gt;INPUT!$C$13,A169&lt;=Revival!$C$11),Mod_Prem,0)</f>
        <v>0</v>
      </c>
      <c r="F169" s="177">
        <f>E169*VLOOKUP(B169,'Pre-Calculation'!$H$1:$I$31,2,FALSE)</f>
        <v>0</v>
      </c>
      <c r="G169" s="177">
        <f>IF(B169&lt;PT+1,VLOOKUP(B169,'Pre-Calculation'!$H$1:$L$32,3,FALSE)+VLOOKUP(B169,'Pre-Calculation'!$H$1:$L$32,4,FALSE)*'Pre-Calculation'!$D$7,0)</f>
        <v>0</v>
      </c>
      <c r="H169" s="175">
        <f>(E169-(F169+G169)*(1+Tax)+N168)</f>
        <v>5803088.896</v>
      </c>
      <c r="I169" s="175">
        <f>IF(B169&lt;PT+1,VLOOKUP(D169,'Pre-Calculation'!$N$3:$P$79,IF(INPUT!$C$4="M",2,3),FALSE)*(J169/1000)*(1/12),0)</f>
        <v>0</v>
      </c>
      <c r="J169" s="175">
        <f t="shared" si="3"/>
        <v>0</v>
      </c>
      <c r="K169" s="175">
        <f>(IF('Pre-Calculation'!$D$17="Type 4 a",MAX(SA,H169,1.05*Q169),IF('Pre-Calculation'!$D$17="Type 4 c",H169,IF('Pre-Calculation'!$D$17="Type 4 d",SA+H169,IF('Pre-Calculation'!$D$17="Type 4 e",MAX(SA,H169),IF('Pre-Calculation'!$D$17="Type 4 f",SA,IF('Pre-Calculation'!$D$17="Type 4 g",1000+H169,IF('Pre-Calculation'!$D$17="Type 4 h",SA+V169,IF('Pre-Calculation'!$D$17="Type 4 i",MAX(H169,Q169),IF('Pre-Calculation'!$D$17="Type 4 k",MAX(H169,1.01*Q169),IF('Pre-Calculation'!$D$17="Type 4 m",MAX(105%*Q169,SA+H169),IF('Pre-Calculation'!$D$17="Type 4 o",MAX(SA,105%*Q169)+V169+X169,IF('Pre-Calculation'!$D$17="Type 5",0)))))))))))))*IF(AND(A169&lt;Revival!$C$4,C169&gt;Revival!$D$12),PUP,1)</f>
        <v>5803088.896</v>
      </c>
      <c r="L169" s="175">
        <f>H169-I169*(1+Tax)</f>
        <v>5803088.896</v>
      </c>
      <c r="M169" s="175">
        <f>L169*(1+GROWTH_RATE_HIST)</f>
        <v>5866495.234</v>
      </c>
      <c r="N169" s="175">
        <f>M169+IF(MOD(A169,B169)=0,VLOOKUP(B169,'Pre-Calculation'!$H$1:$L$31,5,FALSE),0)*IF('Pre-Calculation'!$D$16="% OF FV",M169,IF(OR('Pre-Calculation'!$D$16="% OF AFV(24M)",'Pre-Calculation'!$D$16="% OF AFV(8Q)"),AVERAGE( $M146:$M169),IF('Pre-Calculation'!$D$16="% OF AFV(12M)",AVERAGE($M158:M169),IF('Pre-Calculation'!$D$16="% OF AFV(36M)",AVERAGE($M134:M169)))))</f>
        <v>5866495.234</v>
      </c>
      <c r="O169" s="175">
        <f t="shared" si="4"/>
        <v>5866495.234</v>
      </c>
      <c r="P169" s="175">
        <f>IF('Pre-Calculation'!$D$17="Type 4 a",MAX(SA,N169,1.05*Q169),IF('Pre-Calculation'!$D$17="Type 4 c",N169,IF('Pre-Calculation'!$D$17="Type 4 d",SA+N169,IF('Pre-Calculation'!$D$17="Type 4 e",MAX(SA,N169),IF('Pre-Calculation'!$D$17="Type 4 f",SA,IF('Pre-Calculation'!$D$17="Type 4 g",1000+N169,IF('Pre-Calculation'!$D$17="Type 4 h",SA+V169,IF('Pre-Calculation'!$D$17="Type 4 i",MAX(N169,Q169),IF('Pre-Calculation'!$D$17="Type 4 k",MAX(N169,1.01*Q169),IF('Pre-Calculation'!$D$17="Type 4 m",MAX(105%*Q169,SA+N169),IF('Pre-Calculation'!$D$17="Type 4 o",MAX(SA,105%*Q169)+V169+X169,IF('Pre-Calculation'!$D$17="Type 5",0))))))))))))</f>
        <v>5866495.234</v>
      </c>
      <c r="Q169" s="175">
        <f t="shared" si="5"/>
        <v>1000000</v>
      </c>
      <c r="R169" s="119">
        <f>L169*(1+GROWTH_RATE)*FMC</f>
        <v>6566.906278</v>
      </c>
      <c r="S169" s="112"/>
      <c r="T169" s="175">
        <f>-E169+IF(A168=INPUT!$C$11*12,N169,0)</f>
        <v>0</v>
      </c>
      <c r="U169" s="112"/>
      <c r="V169" s="179">
        <f t="array" ref="V169">NPV('Pre-Calculation'!$E$20,$E170:E$246)</f>
        <v>0</v>
      </c>
      <c r="W169" s="171">
        <f>10%*SA</f>
        <v>100000</v>
      </c>
      <c r="X169" s="179">
        <f t="array" ref="X169">NPV('Pre-Calculation'!$E$20,W170:W179)</f>
        <v>969592.8037</v>
      </c>
      <c r="Y169" s="12"/>
      <c r="Z169" s="12"/>
    </row>
    <row r="170" ht="15.75" customHeight="1">
      <c r="A170" s="171">
        <f t="shared" si="1"/>
        <v>224</v>
      </c>
      <c r="B170" s="171">
        <f t="shared" si="2"/>
        <v>19</v>
      </c>
      <c r="C170" s="176">
        <f>EDATE(RCD,A169)</f>
        <v>49339</v>
      </c>
      <c r="D170" s="171">
        <f>Age_At_Entry+Cashflows_HIST!B170-1</f>
        <v>53</v>
      </c>
      <c r="E170" s="175">
        <f>IF(AND(C170&lt;=Last_Prem,MOD(A169,Mode)=0,C170&gt;INPUT!$C$13,A170&lt;=Revival!$C$11),Mod_Prem,0)</f>
        <v>0</v>
      </c>
      <c r="F170" s="177">
        <f>E170*VLOOKUP(B170,'Pre-Calculation'!$H$1:$I$31,2,FALSE)</f>
        <v>0</v>
      </c>
      <c r="G170" s="177">
        <f>IF(B170&lt;PT+1,VLOOKUP(B170,'Pre-Calculation'!$H$1:$L$32,3,FALSE)+VLOOKUP(B170,'Pre-Calculation'!$H$1:$L$32,4,FALSE)*'Pre-Calculation'!$D$7,0)</f>
        <v>0</v>
      </c>
      <c r="H170" s="175">
        <f>(E170-(F170+G170)*(1+Tax)+N169)</f>
        <v>5866495.234</v>
      </c>
      <c r="I170" s="175">
        <f>IF(B170&lt;PT+1,VLOOKUP(D170,'Pre-Calculation'!$N$3:$P$79,IF(INPUT!$C$4="M",2,3),FALSE)*(J170/1000)*(1/12),0)</f>
        <v>0</v>
      </c>
      <c r="J170" s="175">
        <f t="shared" si="3"/>
        <v>0</v>
      </c>
      <c r="K170" s="175">
        <f>(IF('Pre-Calculation'!$D$17="Type 4 a",MAX(SA,H170,1.05*Q170),IF('Pre-Calculation'!$D$17="Type 4 c",H170,IF('Pre-Calculation'!$D$17="Type 4 d",SA+H170,IF('Pre-Calculation'!$D$17="Type 4 e",MAX(SA,H170),IF('Pre-Calculation'!$D$17="Type 4 f",SA,IF('Pre-Calculation'!$D$17="Type 4 g",1000+H170,IF('Pre-Calculation'!$D$17="Type 4 h",SA+V170,IF('Pre-Calculation'!$D$17="Type 4 i",MAX(H170,Q170),IF('Pre-Calculation'!$D$17="Type 4 k",MAX(H170,1.01*Q170),IF('Pre-Calculation'!$D$17="Type 4 m",MAX(105%*Q170,SA+H170),IF('Pre-Calculation'!$D$17="Type 4 o",MAX(SA,105%*Q170)+V170+X170,IF('Pre-Calculation'!$D$17="Type 5",0)))))))))))))*IF(AND(A170&lt;Revival!$C$4,C170&gt;Revival!$D$12),PUP,1)</f>
        <v>5866495.234</v>
      </c>
      <c r="L170" s="175">
        <f>H170-I170*(1+Tax)</f>
        <v>5866495.234</v>
      </c>
      <c r="M170" s="175">
        <f>L170*(1+GROWTH_RATE_HIST)</f>
        <v>5930594.37</v>
      </c>
      <c r="N170" s="175">
        <f>M170+IF(MOD(A170,B170)=0,VLOOKUP(B170,'Pre-Calculation'!$H$1:$L$31,5,FALSE),0)*IF('Pre-Calculation'!$D$16="% OF FV",M170,IF(OR('Pre-Calculation'!$D$16="% OF AFV(24M)",'Pre-Calculation'!$D$16="% OF AFV(8Q)"),AVERAGE( $M147:$M170),IF('Pre-Calculation'!$D$16="% OF AFV(12M)",AVERAGE($M159:M170),IF('Pre-Calculation'!$D$16="% OF AFV(36M)",AVERAGE($M135:M170)))))</f>
        <v>5930594.37</v>
      </c>
      <c r="O170" s="175">
        <f t="shared" si="4"/>
        <v>5930594.37</v>
      </c>
      <c r="P170" s="175">
        <f>IF('Pre-Calculation'!$D$17="Type 4 a",MAX(SA,N170,1.05*Q170),IF('Pre-Calculation'!$D$17="Type 4 c",N170,IF('Pre-Calculation'!$D$17="Type 4 d",SA+N170,IF('Pre-Calculation'!$D$17="Type 4 e",MAX(SA,N170),IF('Pre-Calculation'!$D$17="Type 4 f",SA,IF('Pre-Calculation'!$D$17="Type 4 g",1000+N170,IF('Pre-Calculation'!$D$17="Type 4 h",SA+V170,IF('Pre-Calculation'!$D$17="Type 4 i",MAX(N170,Q170),IF('Pre-Calculation'!$D$17="Type 4 k",MAX(N170,1.01*Q170),IF('Pre-Calculation'!$D$17="Type 4 m",MAX(105%*Q170,SA+N170),IF('Pre-Calculation'!$D$17="Type 4 o",MAX(SA,105%*Q170)+V170+X170,IF('Pre-Calculation'!$D$17="Type 5",0))))))))))))</f>
        <v>5930594.37</v>
      </c>
      <c r="Q170" s="175">
        <f t="shared" si="5"/>
        <v>1000000</v>
      </c>
      <c r="R170" s="119">
        <f>L170*(1+GROWTH_RATE)*FMC</f>
        <v>6638.658321</v>
      </c>
      <c r="S170" s="112"/>
      <c r="T170" s="175">
        <f>-E170+IF(A169=INPUT!$C$11*12,N170,0)</f>
        <v>0</v>
      </c>
      <c r="U170" s="112"/>
      <c r="V170" s="179">
        <f t="array" ref="V170">NPV('Pre-Calculation'!$E$20,$E171:E$246)</f>
        <v>0</v>
      </c>
      <c r="W170" s="171">
        <f>10%*SA</f>
        <v>100000</v>
      </c>
      <c r="X170" s="179">
        <f t="array" ref="X170">NPV('Pre-Calculation'!$E$20,W171:W180)</f>
        <v>969592.8037</v>
      </c>
      <c r="Y170" s="12"/>
      <c r="Z170" s="12"/>
    </row>
    <row r="171" ht="15.75" customHeight="1">
      <c r="A171" s="171">
        <f t="shared" si="1"/>
        <v>225</v>
      </c>
      <c r="B171" s="171">
        <f t="shared" si="2"/>
        <v>19</v>
      </c>
      <c r="C171" s="176">
        <f>EDATE(RCD,A170)</f>
        <v>49368</v>
      </c>
      <c r="D171" s="171">
        <f>Age_At_Entry+Cashflows_HIST!B171-1</f>
        <v>53</v>
      </c>
      <c r="E171" s="175">
        <f>IF(AND(C171&lt;=Last_Prem,MOD(A170,Mode)=0,C171&gt;INPUT!$C$13,A171&lt;=Revival!$C$11),Mod_Prem,0)</f>
        <v>0</v>
      </c>
      <c r="F171" s="177">
        <f>E171*VLOOKUP(B171,'Pre-Calculation'!$H$1:$I$31,2,FALSE)</f>
        <v>0</v>
      </c>
      <c r="G171" s="177">
        <f>IF(B171&lt;PT+1,VLOOKUP(B171,'Pre-Calculation'!$H$1:$L$32,3,FALSE)+VLOOKUP(B171,'Pre-Calculation'!$H$1:$L$32,4,FALSE)*'Pre-Calculation'!$D$7,0)</f>
        <v>0</v>
      </c>
      <c r="H171" s="175">
        <f>(E171-(F171+G171)*(1+Tax)+N170)</f>
        <v>5930594.37</v>
      </c>
      <c r="I171" s="175">
        <f>IF(B171&lt;PT+1,VLOOKUP(D171,'Pre-Calculation'!$N$3:$P$79,IF(INPUT!$C$4="M",2,3),FALSE)*(J171/1000)*(1/12),0)</f>
        <v>0</v>
      </c>
      <c r="J171" s="175">
        <f t="shared" si="3"/>
        <v>0</v>
      </c>
      <c r="K171" s="175">
        <f>(IF('Pre-Calculation'!$D$17="Type 4 a",MAX(SA,H171,1.05*Q171),IF('Pre-Calculation'!$D$17="Type 4 c",H171,IF('Pre-Calculation'!$D$17="Type 4 d",SA+H171,IF('Pre-Calculation'!$D$17="Type 4 e",MAX(SA,H171),IF('Pre-Calculation'!$D$17="Type 4 f",SA,IF('Pre-Calculation'!$D$17="Type 4 g",1000+H171,IF('Pre-Calculation'!$D$17="Type 4 h",SA+V171,IF('Pre-Calculation'!$D$17="Type 4 i",MAX(H171,Q171),IF('Pre-Calculation'!$D$17="Type 4 k",MAX(H171,1.01*Q171),IF('Pre-Calculation'!$D$17="Type 4 m",MAX(105%*Q171,SA+H171),IF('Pre-Calculation'!$D$17="Type 4 o",MAX(SA,105%*Q171)+V171+X171,IF('Pre-Calculation'!$D$17="Type 5",0)))))))))))))*IF(AND(A171&lt;Revival!$C$4,C171&gt;Revival!$D$12),PUP,1)</f>
        <v>5930594.37</v>
      </c>
      <c r="L171" s="175">
        <f>H171-I171*(1+Tax)</f>
        <v>5930594.37</v>
      </c>
      <c r="M171" s="175">
        <f>L171*(1+GROWTH_RATE_HIST)</f>
        <v>5995393.873</v>
      </c>
      <c r="N171" s="175">
        <f>M171+IF(MOD(A171,B171)=0,VLOOKUP(B171,'Pre-Calculation'!$H$1:$L$31,5,FALSE),0)*IF('Pre-Calculation'!$D$16="% OF FV",M171,IF(OR('Pre-Calculation'!$D$16="% OF AFV(24M)",'Pre-Calculation'!$D$16="% OF AFV(8Q)"),AVERAGE( $M148:$M171),IF('Pre-Calculation'!$D$16="% OF AFV(12M)",AVERAGE($M160:M171),IF('Pre-Calculation'!$D$16="% OF AFV(36M)",AVERAGE($M136:M171)))))</f>
        <v>5995393.873</v>
      </c>
      <c r="O171" s="175">
        <f t="shared" si="4"/>
        <v>5995393.873</v>
      </c>
      <c r="P171" s="175">
        <f>IF('Pre-Calculation'!$D$17="Type 4 a",MAX(SA,N171,1.05*Q171),IF('Pre-Calculation'!$D$17="Type 4 c",N171,IF('Pre-Calculation'!$D$17="Type 4 d",SA+N171,IF('Pre-Calculation'!$D$17="Type 4 e",MAX(SA,N171),IF('Pre-Calculation'!$D$17="Type 4 f",SA,IF('Pre-Calculation'!$D$17="Type 4 g",1000+N171,IF('Pre-Calculation'!$D$17="Type 4 h",SA+V171,IF('Pre-Calculation'!$D$17="Type 4 i",MAX(N171,Q171),IF('Pre-Calculation'!$D$17="Type 4 k",MAX(N171,1.01*Q171),IF('Pre-Calculation'!$D$17="Type 4 m",MAX(105%*Q171,SA+N171),IF('Pre-Calculation'!$D$17="Type 4 o",MAX(SA,105%*Q171)+V171+X171,IF('Pre-Calculation'!$D$17="Type 5",0))))))))))))</f>
        <v>5995393.873</v>
      </c>
      <c r="Q171" s="175">
        <f t="shared" si="5"/>
        <v>1000000</v>
      </c>
      <c r="R171" s="119">
        <f>L171*(1+GROWTH_RATE)*FMC</f>
        <v>6711.194349</v>
      </c>
      <c r="S171" s="112"/>
      <c r="T171" s="175">
        <f>-E171+IF(A170=INPUT!$C$11*12,N171,0)</f>
        <v>0</v>
      </c>
      <c r="U171" s="112"/>
      <c r="V171" s="179">
        <f t="array" ref="V171">NPV('Pre-Calculation'!$E$20,$E172:E$246)</f>
        <v>0</v>
      </c>
      <c r="W171" s="171">
        <f>10%*SA</f>
        <v>100000</v>
      </c>
      <c r="X171" s="179">
        <f t="array" ref="X171">NPV('Pre-Calculation'!$E$20,W172:W181)</f>
        <v>969592.8037</v>
      </c>
      <c r="Y171" s="12"/>
      <c r="Z171" s="12"/>
    </row>
    <row r="172" ht="15.75" customHeight="1">
      <c r="A172" s="171">
        <f t="shared" si="1"/>
        <v>226</v>
      </c>
      <c r="B172" s="171">
        <f t="shared" si="2"/>
        <v>19</v>
      </c>
      <c r="C172" s="176">
        <f>EDATE(RCD,A171)</f>
        <v>49398</v>
      </c>
      <c r="D172" s="171">
        <f>Age_At_Entry+Cashflows_HIST!B172-1</f>
        <v>53</v>
      </c>
      <c r="E172" s="175">
        <f>IF(AND(C172&lt;=Last_Prem,MOD(A171,Mode)=0,C172&gt;INPUT!$C$13,A172&lt;=Revival!$C$11),Mod_Prem,0)</f>
        <v>0</v>
      </c>
      <c r="F172" s="177">
        <f>E172*VLOOKUP(B172,'Pre-Calculation'!$H$1:$I$31,2,FALSE)</f>
        <v>0</v>
      </c>
      <c r="G172" s="177">
        <f>IF(B172&lt;PT+1,VLOOKUP(B172,'Pre-Calculation'!$H$1:$L$32,3,FALSE)+VLOOKUP(B172,'Pre-Calculation'!$H$1:$L$32,4,FALSE)*'Pre-Calculation'!$D$7,0)</f>
        <v>0</v>
      </c>
      <c r="H172" s="175">
        <f>(E172-(F172+G172)*(1+Tax)+N171)</f>
        <v>5995393.873</v>
      </c>
      <c r="I172" s="175">
        <f>IF(B172&lt;PT+1,VLOOKUP(D172,'Pre-Calculation'!$N$3:$P$79,IF(INPUT!$C$4="M",2,3),FALSE)*(J172/1000)*(1/12),0)</f>
        <v>0</v>
      </c>
      <c r="J172" s="175">
        <f t="shared" si="3"/>
        <v>0</v>
      </c>
      <c r="K172" s="175">
        <f>(IF('Pre-Calculation'!$D$17="Type 4 a",MAX(SA,H172,1.05*Q172),IF('Pre-Calculation'!$D$17="Type 4 c",H172,IF('Pre-Calculation'!$D$17="Type 4 d",SA+H172,IF('Pre-Calculation'!$D$17="Type 4 e",MAX(SA,H172),IF('Pre-Calculation'!$D$17="Type 4 f",SA,IF('Pre-Calculation'!$D$17="Type 4 g",1000+H172,IF('Pre-Calculation'!$D$17="Type 4 h",SA+V172,IF('Pre-Calculation'!$D$17="Type 4 i",MAX(H172,Q172),IF('Pre-Calculation'!$D$17="Type 4 k",MAX(H172,1.01*Q172),IF('Pre-Calculation'!$D$17="Type 4 m",MAX(105%*Q172,SA+H172),IF('Pre-Calculation'!$D$17="Type 4 o",MAX(SA,105%*Q172)+V172+X172,IF('Pre-Calculation'!$D$17="Type 5",0)))))))))))))*IF(AND(A172&lt;Revival!$C$4,C172&gt;Revival!$D$12),PUP,1)</f>
        <v>5995393.873</v>
      </c>
      <c r="L172" s="175">
        <f>H172-I172*(1+Tax)</f>
        <v>5995393.873</v>
      </c>
      <c r="M172" s="175">
        <f>L172*(1+GROWTH_RATE_HIST)</f>
        <v>6060901.395</v>
      </c>
      <c r="N172" s="175">
        <f>M172+IF(MOD(A172,B172)=0,VLOOKUP(B172,'Pre-Calculation'!$H$1:$L$31,5,FALSE),0)*IF('Pre-Calculation'!$D$16="% OF FV",M172,IF(OR('Pre-Calculation'!$D$16="% OF AFV(24M)",'Pre-Calculation'!$D$16="% OF AFV(8Q)"),AVERAGE( $M149:$M172),IF('Pre-Calculation'!$D$16="% OF AFV(12M)",AVERAGE($M161:M172),IF('Pre-Calculation'!$D$16="% OF AFV(36M)",AVERAGE($M137:M172)))))</f>
        <v>6060901.395</v>
      </c>
      <c r="O172" s="175">
        <f t="shared" si="4"/>
        <v>6060901.395</v>
      </c>
      <c r="P172" s="175">
        <f>IF('Pre-Calculation'!$D$17="Type 4 a",MAX(SA,N172,1.05*Q172),IF('Pre-Calculation'!$D$17="Type 4 c",N172,IF('Pre-Calculation'!$D$17="Type 4 d",SA+N172,IF('Pre-Calculation'!$D$17="Type 4 e",MAX(SA,N172),IF('Pre-Calculation'!$D$17="Type 4 f",SA,IF('Pre-Calculation'!$D$17="Type 4 g",1000+N172,IF('Pre-Calculation'!$D$17="Type 4 h",SA+V172,IF('Pre-Calculation'!$D$17="Type 4 i",MAX(N172,Q172),IF('Pre-Calculation'!$D$17="Type 4 k",MAX(N172,1.01*Q172),IF('Pre-Calculation'!$D$17="Type 4 m",MAX(105%*Q172,SA+N172),IF('Pre-Calculation'!$D$17="Type 4 o",MAX(SA,105%*Q172)+V172+X172,IF('Pre-Calculation'!$D$17="Type 5",0))))))))))))</f>
        <v>6060901.395</v>
      </c>
      <c r="Q172" s="175">
        <f t="shared" si="5"/>
        <v>1000000</v>
      </c>
      <c r="R172" s="119">
        <f>L172*(1+GROWTH_RATE)*FMC</f>
        <v>6784.522928</v>
      </c>
      <c r="S172" s="112"/>
      <c r="T172" s="175">
        <f>-E172+IF(A171=INPUT!$C$11*12,N172,0)</f>
        <v>0</v>
      </c>
      <c r="U172" s="112"/>
      <c r="V172" s="179">
        <f t="array" ref="V172">NPV('Pre-Calculation'!$E$20,$E173:E$246)</f>
        <v>0</v>
      </c>
      <c r="W172" s="171">
        <f>10%*SA</f>
        <v>100000</v>
      </c>
      <c r="X172" s="179">
        <f t="array" ref="X172">NPV('Pre-Calculation'!$E$20,W173:W182)</f>
        <v>969592.8037</v>
      </c>
      <c r="Y172" s="12"/>
      <c r="Z172" s="12"/>
    </row>
    <row r="173" ht="15.75" customHeight="1">
      <c r="A173" s="171">
        <f t="shared" si="1"/>
        <v>227</v>
      </c>
      <c r="B173" s="171">
        <f t="shared" si="2"/>
        <v>19</v>
      </c>
      <c r="C173" s="176">
        <f>EDATE(RCD,A172)</f>
        <v>49429</v>
      </c>
      <c r="D173" s="171">
        <f>Age_At_Entry+Cashflows_HIST!B173-1</f>
        <v>53</v>
      </c>
      <c r="E173" s="175">
        <f>IF(AND(C173&lt;=Last_Prem,MOD(A172,Mode)=0,C173&gt;INPUT!$C$13,A173&lt;=Revival!$C$11),Mod_Prem,0)</f>
        <v>0</v>
      </c>
      <c r="F173" s="177">
        <f>E173*VLOOKUP(B173,'Pre-Calculation'!$H$1:$I$31,2,FALSE)</f>
        <v>0</v>
      </c>
      <c r="G173" s="177">
        <f>IF(B173&lt;PT+1,VLOOKUP(B173,'Pre-Calculation'!$H$1:$L$32,3,FALSE)+VLOOKUP(B173,'Pre-Calculation'!$H$1:$L$32,4,FALSE)*'Pre-Calculation'!$D$7,0)</f>
        <v>0</v>
      </c>
      <c r="H173" s="175">
        <f>(E173-(F173+G173)*(1+Tax)+N172)</f>
        <v>6060901.395</v>
      </c>
      <c r="I173" s="175">
        <f>IF(B173&lt;PT+1,VLOOKUP(D173,'Pre-Calculation'!$N$3:$P$79,IF(INPUT!$C$4="M",2,3),FALSE)*(J173/1000)*(1/12),0)</f>
        <v>0</v>
      </c>
      <c r="J173" s="175">
        <f t="shared" si="3"/>
        <v>0</v>
      </c>
      <c r="K173" s="175">
        <f>(IF('Pre-Calculation'!$D$17="Type 4 a",MAX(SA,H173,1.05*Q173),IF('Pre-Calculation'!$D$17="Type 4 c",H173,IF('Pre-Calculation'!$D$17="Type 4 d",SA+H173,IF('Pre-Calculation'!$D$17="Type 4 e",MAX(SA,H173),IF('Pre-Calculation'!$D$17="Type 4 f",SA,IF('Pre-Calculation'!$D$17="Type 4 g",1000+H173,IF('Pre-Calculation'!$D$17="Type 4 h",SA+V173,IF('Pre-Calculation'!$D$17="Type 4 i",MAX(H173,Q173),IF('Pre-Calculation'!$D$17="Type 4 k",MAX(H173,1.01*Q173),IF('Pre-Calculation'!$D$17="Type 4 m",MAX(105%*Q173,SA+H173),IF('Pre-Calculation'!$D$17="Type 4 o",MAX(SA,105%*Q173)+V173+X173,IF('Pre-Calculation'!$D$17="Type 5",0)))))))))))))*IF(AND(A173&lt;Revival!$C$4,C173&gt;Revival!$D$12),PUP,1)</f>
        <v>6060901.395</v>
      </c>
      <c r="L173" s="175">
        <f>H173-I173*(1+Tax)</f>
        <v>6060901.395</v>
      </c>
      <c r="M173" s="175">
        <f>L173*(1+GROWTH_RATE_HIST)</f>
        <v>6127124.673</v>
      </c>
      <c r="N173" s="175">
        <f>M173+IF(MOD(A173,B173)=0,VLOOKUP(B173,'Pre-Calculation'!$H$1:$L$31,5,FALSE),0)*IF('Pre-Calculation'!$D$16="% OF FV",M173,IF(OR('Pre-Calculation'!$D$16="% OF AFV(24M)",'Pre-Calculation'!$D$16="% OF AFV(8Q)"),AVERAGE( $M150:$M173),IF('Pre-Calculation'!$D$16="% OF AFV(12M)",AVERAGE($M162:M173),IF('Pre-Calculation'!$D$16="% OF AFV(36M)",AVERAGE($M138:M173)))))</f>
        <v>6127124.673</v>
      </c>
      <c r="O173" s="175">
        <f t="shared" si="4"/>
        <v>6127124.673</v>
      </c>
      <c r="P173" s="175">
        <f>IF('Pre-Calculation'!$D$17="Type 4 a",MAX(SA,N173,1.05*Q173),IF('Pre-Calculation'!$D$17="Type 4 c",N173,IF('Pre-Calculation'!$D$17="Type 4 d",SA+N173,IF('Pre-Calculation'!$D$17="Type 4 e",MAX(SA,N173),IF('Pre-Calculation'!$D$17="Type 4 f",SA,IF('Pre-Calculation'!$D$17="Type 4 g",1000+N173,IF('Pre-Calculation'!$D$17="Type 4 h",SA+V173,IF('Pre-Calculation'!$D$17="Type 4 i",MAX(N173,Q173),IF('Pre-Calculation'!$D$17="Type 4 k",MAX(N173,1.01*Q173),IF('Pre-Calculation'!$D$17="Type 4 m",MAX(105%*Q173,SA+N173),IF('Pre-Calculation'!$D$17="Type 4 o",MAX(SA,105%*Q173)+V173+X173,IF('Pre-Calculation'!$D$17="Type 5",0))))))))))))</f>
        <v>6127124.673</v>
      </c>
      <c r="Q173" s="175">
        <f t="shared" si="5"/>
        <v>1000000</v>
      </c>
      <c r="R173" s="119">
        <f>L173*(1+GROWTH_RATE)*FMC</f>
        <v>6858.652718</v>
      </c>
      <c r="S173" s="112"/>
      <c r="T173" s="175">
        <f>-E173+IF(A172=INPUT!$C$11*12,N173,0)</f>
        <v>0</v>
      </c>
      <c r="U173" s="112"/>
      <c r="V173" s="179">
        <f t="array" ref="V173">NPV('Pre-Calculation'!$E$20,$E174:E$246)</f>
        <v>0</v>
      </c>
      <c r="W173" s="171">
        <f>10%*SA</f>
        <v>100000</v>
      </c>
      <c r="X173" s="179">
        <f t="array" ref="X173">NPV('Pre-Calculation'!$E$20,W174:W183)</f>
        <v>969592.8037</v>
      </c>
      <c r="Y173" s="12"/>
      <c r="Z173" s="12"/>
    </row>
    <row r="174" ht="15.75" customHeight="1">
      <c r="A174" s="171">
        <f t="shared" si="1"/>
        <v>228</v>
      </c>
      <c r="B174" s="171">
        <f t="shared" si="2"/>
        <v>19</v>
      </c>
      <c r="C174" s="176">
        <f>EDATE(RCD,A173)</f>
        <v>49459</v>
      </c>
      <c r="D174" s="171">
        <f>Age_At_Entry+Cashflows_HIST!B174-1</f>
        <v>53</v>
      </c>
      <c r="E174" s="175">
        <f>IF(AND(C174&lt;=Last_Prem,MOD(A173,Mode)=0,C174&gt;INPUT!$C$13,A174&lt;=Revival!$C$11),Mod_Prem,0)</f>
        <v>0</v>
      </c>
      <c r="F174" s="177">
        <f>E174*VLOOKUP(B174,'Pre-Calculation'!$H$1:$I$31,2,FALSE)</f>
        <v>0</v>
      </c>
      <c r="G174" s="177">
        <f>IF(B174&lt;PT+1,VLOOKUP(B174,'Pre-Calculation'!$H$1:$L$32,3,FALSE)+VLOOKUP(B174,'Pre-Calculation'!$H$1:$L$32,4,FALSE)*'Pre-Calculation'!$D$7,0)</f>
        <v>0</v>
      </c>
      <c r="H174" s="175">
        <f>(E174-(F174+G174)*(1+Tax)+N173)</f>
        <v>6127124.673</v>
      </c>
      <c r="I174" s="175">
        <f>IF(B174&lt;PT+1,VLOOKUP(D174,'Pre-Calculation'!$N$3:$P$79,IF(INPUT!$C$4="M",2,3),FALSE)*(J174/1000)*(1/12),0)</f>
        <v>0</v>
      </c>
      <c r="J174" s="175">
        <f t="shared" si="3"/>
        <v>0</v>
      </c>
      <c r="K174" s="175">
        <f>(IF('Pre-Calculation'!$D$17="Type 4 a",MAX(SA,H174,1.05*Q174),IF('Pre-Calculation'!$D$17="Type 4 c",H174,IF('Pre-Calculation'!$D$17="Type 4 d",SA+H174,IF('Pre-Calculation'!$D$17="Type 4 e",MAX(SA,H174),IF('Pre-Calculation'!$D$17="Type 4 f",SA,IF('Pre-Calculation'!$D$17="Type 4 g",1000+H174,IF('Pre-Calculation'!$D$17="Type 4 h",SA+V174,IF('Pre-Calculation'!$D$17="Type 4 i",MAX(H174,Q174),IF('Pre-Calculation'!$D$17="Type 4 k",MAX(H174,1.01*Q174),IF('Pre-Calculation'!$D$17="Type 4 m",MAX(105%*Q174,SA+H174),IF('Pre-Calculation'!$D$17="Type 4 o",MAX(SA,105%*Q174)+V174+X174,IF('Pre-Calculation'!$D$17="Type 5",0)))))))))))))*IF(AND(A174&lt;Revival!$C$4,C174&gt;Revival!$D$12),PUP,1)</f>
        <v>6127124.673</v>
      </c>
      <c r="L174" s="175">
        <f>H174-I174*(1+Tax)</f>
        <v>6127124.673</v>
      </c>
      <c r="M174" s="175">
        <f>L174*(1+GROWTH_RATE_HIST)</f>
        <v>6194071.526</v>
      </c>
      <c r="N174" s="175">
        <f>M174+IF(MOD(A174,B174)=0,VLOOKUP(B174,'Pre-Calculation'!$H$1:$L$31,5,FALSE),0)*IF('Pre-Calculation'!$D$16="% OF FV",M174,IF(OR('Pre-Calculation'!$D$16="% OF AFV(24M)",'Pre-Calculation'!$D$16="% OF AFV(8Q)"),AVERAGE( $M151:$M174),IF('Pre-Calculation'!$D$16="% OF AFV(12M)",AVERAGE($M163:M174),IF('Pre-Calculation'!$D$16="% OF AFV(36M)",AVERAGE($M139:M174)))))</f>
        <v>6194071.526</v>
      </c>
      <c r="O174" s="175">
        <f t="shared" si="4"/>
        <v>6194071.526</v>
      </c>
      <c r="P174" s="175">
        <f>IF('Pre-Calculation'!$D$17="Type 4 a",MAX(SA,N174,1.05*Q174),IF('Pre-Calculation'!$D$17="Type 4 c",N174,IF('Pre-Calculation'!$D$17="Type 4 d",SA+N174,IF('Pre-Calculation'!$D$17="Type 4 e",MAX(SA,N174),IF('Pre-Calculation'!$D$17="Type 4 f",SA,IF('Pre-Calculation'!$D$17="Type 4 g",1000+N174,IF('Pre-Calculation'!$D$17="Type 4 h",SA+V174,IF('Pre-Calculation'!$D$17="Type 4 i",MAX(N174,Q174),IF('Pre-Calculation'!$D$17="Type 4 k",MAX(N174,1.01*Q174),IF('Pre-Calculation'!$D$17="Type 4 m",MAX(105%*Q174,SA+N174),IF('Pre-Calculation'!$D$17="Type 4 o",MAX(SA,105%*Q174)+V174+X174,IF('Pre-Calculation'!$D$17="Type 5",0))))))))))))</f>
        <v>6194071.526</v>
      </c>
      <c r="Q174" s="175">
        <f t="shared" si="5"/>
        <v>1000000</v>
      </c>
      <c r="R174" s="119">
        <f>L174*(1+GROWTH_RATE)*FMC</f>
        <v>6933.592472</v>
      </c>
      <c r="S174" s="112"/>
      <c r="T174" s="175">
        <f>-E174+IF(A173=INPUT!$C$11*12,N174,0)</f>
        <v>0</v>
      </c>
      <c r="U174" s="112"/>
      <c r="V174" s="179">
        <f t="array" ref="V174">NPV('Pre-Calculation'!$E$20,$E175:E$246)</f>
        <v>0</v>
      </c>
      <c r="W174" s="171">
        <f>10%*SA</f>
        <v>100000</v>
      </c>
      <c r="X174" s="179">
        <f t="array" ref="X174">NPV('Pre-Calculation'!$E$20,W175:W184)</f>
        <v>969592.8037</v>
      </c>
      <c r="Y174" s="12"/>
      <c r="Z174" s="12"/>
    </row>
    <row r="175" ht="15.75" customHeight="1">
      <c r="A175" s="171">
        <f t="shared" si="1"/>
        <v>229</v>
      </c>
      <c r="B175" s="171">
        <f t="shared" si="2"/>
        <v>20</v>
      </c>
      <c r="C175" s="176">
        <f>EDATE(RCD,A174)</f>
        <v>49490</v>
      </c>
      <c r="D175" s="171">
        <f>Age_At_Entry+Cashflows_HIST!B175-1</f>
        <v>54</v>
      </c>
      <c r="E175" s="175">
        <f>IF(AND(C175&lt;=Last_Prem,MOD(A174,Mode)=0,C175&gt;INPUT!$C$13,A175&lt;=Revival!$C$11),Mod_Prem,0)</f>
        <v>0</v>
      </c>
      <c r="F175" s="177">
        <f>E175*VLOOKUP(B175,'Pre-Calculation'!$H$1:$I$31,2,FALSE)</f>
        <v>0</v>
      </c>
      <c r="G175" s="177">
        <f>IF(B175&lt;PT+1,VLOOKUP(B175,'Pre-Calculation'!$H$1:$L$32,3,FALSE)+VLOOKUP(B175,'Pre-Calculation'!$H$1:$L$32,4,FALSE)*'Pre-Calculation'!$D$7,0)</f>
        <v>0</v>
      </c>
      <c r="H175" s="175">
        <f>(E175-(F175+G175)*(1+Tax)+N174)</f>
        <v>6194071.526</v>
      </c>
      <c r="I175" s="175">
        <f>IF(B175&lt;PT+1,VLOOKUP(D175,'Pre-Calculation'!$N$3:$P$79,IF(INPUT!$C$4="M",2,3),FALSE)*(J175/1000)*(1/12),0)</f>
        <v>0</v>
      </c>
      <c r="J175" s="175">
        <f t="shared" si="3"/>
        <v>0</v>
      </c>
      <c r="K175" s="175">
        <f>(IF('Pre-Calculation'!$D$17="Type 4 a",MAX(SA,H175,1.05*Q175),IF('Pre-Calculation'!$D$17="Type 4 c",H175,IF('Pre-Calculation'!$D$17="Type 4 d",SA+H175,IF('Pre-Calculation'!$D$17="Type 4 e",MAX(SA,H175),IF('Pre-Calculation'!$D$17="Type 4 f",SA,IF('Pre-Calculation'!$D$17="Type 4 g",1000+H175,IF('Pre-Calculation'!$D$17="Type 4 h",SA+V175,IF('Pre-Calculation'!$D$17="Type 4 i",MAX(H175,Q175),IF('Pre-Calculation'!$D$17="Type 4 k",MAX(H175,1.01*Q175),IF('Pre-Calculation'!$D$17="Type 4 m",MAX(105%*Q175,SA+H175),IF('Pre-Calculation'!$D$17="Type 4 o",MAX(SA,105%*Q175)+V175+X175,IF('Pre-Calculation'!$D$17="Type 5",0)))))))))))))*IF(AND(A175&lt;Revival!$C$4,C175&gt;Revival!$D$12),PUP,1)</f>
        <v>6194071.526</v>
      </c>
      <c r="L175" s="175">
        <f>H175-I175*(1+Tax)</f>
        <v>6194071.526</v>
      </c>
      <c r="M175" s="175">
        <f>L175*(1+GROWTH_RATE_HIST)</f>
        <v>6261749.862</v>
      </c>
      <c r="N175" s="175">
        <f>M175+IF(MOD(A175,B175)=0,VLOOKUP(B175,'Pre-Calculation'!$H$1:$L$31,5,FALSE),0)*IF('Pre-Calculation'!$D$16="% OF FV",M175,IF(OR('Pre-Calculation'!$D$16="% OF AFV(24M)",'Pre-Calculation'!$D$16="% OF AFV(8Q)"),AVERAGE( $M152:$M175),IF('Pre-Calculation'!$D$16="% OF AFV(12M)",AVERAGE($M164:M175),IF('Pre-Calculation'!$D$16="% OF AFV(36M)",AVERAGE($M140:M175)))))</f>
        <v>6261749.862</v>
      </c>
      <c r="O175" s="175">
        <f t="shared" si="4"/>
        <v>6261749.862</v>
      </c>
      <c r="P175" s="175">
        <f>IF('Pre-Calculation'!$D$17="Type 4 a",MAX(SA,N175,1.05*Q175),IF('Pre-Calculation'!$D$17="Type 4 c",N175,IF('Pre-Calculation'!$D$17="Type 4 d",SA+N175,IF('Pre-Calculation'!$D$17="Type 4 e",MAX(SA,N175),IF('Pre-Calculation'!$D$17="Type 4 f",SA,IF('Pre-Calculation'!$D$17="Type 4 g",1000+N175,IF('Pre-Calculation'!$D$17="Type 4 h",SA+V175,IF('Pre-Calculation'!$D$17="Type 4 i",MAX(N175,Q175),IF('Pre-Calculation'!$D$17="Type 4 k",MAX(N175,1.01*Q175),IF('Pre-Calculation'!$D$17="Type 4 m",MAX(105%*Q175,SA+N175),IF('Pre-Calculation'!$D$17="Type 4 o",MAX(SA,105%*Q175)+V175+X175,IF('Pre-Calculation'!$D$17="Type 5",0))))))))))))</f>
        <v>6261749.862</v>
      </c>
      <c r="Q175" s="175">
        <f t="shared" si="5"/>
        <v>1000000</v>
      </c>
      <c r="R175" s="119">
        <f>L175*(1+GROWTH_RATE)*FMC</f>
        <v>7009.351042</v>
      </c>
      <c r="S175" s="112"/>
      <c r="T175" s="175">
        <f>-E175+IF(A174=INPUT!$C$11*12,N175,0)</f>
        <v>0</v>
      </c>
      <c r="U175" s="112"/>
      <c r="V175" s="179">
        <f t="array" ref="V175">NPV('Pre-Calculation'!$E$20,$E176:E$246)</f>
        <v>0</v>
      </c>
      <c r="W175" s="171">
        <f>10%*SA</f>
        <v>100000</v>
      </c>
      <c r="X175" s="179">
        <f t="array" ref="X175">NPV('Pre-Calculation'!$E$20,W176:W185)</f>
        <v>969592.8037</v>
      </c>
      <c r="Y175" s="12"/>
      <c r="Z175" s="12"/>
    </row>
    <row r="176" ht="15.75" customHeight="1">
      <c r="A176" s="171">
        <f t="shared" si="1"/>
        <v>230</v>
      </c>
      <c r="B176" s="171">
        <f t="shared" si="2"/>
        <v>20</v>
      </c>
      <c r="C176" s="176">
        <f>EDATE(RCD,A175)</f>
        <v>49520</v>
      </c>
      <c r="D176" s="171">
        <f>Age_At_Entry+Cashflows_HIST!B176-1</f>
        <v>54</v>
      </c>
      <c r="E176" s="175">
        <f>IF(AND(C176&lt;=Last_Prem,MOD(A175,Mode)=0,C176&gt;INPUT!$C$13,A176&lt;=Revival!$C$11),Mod_Prem,0)</f>
        <v>0</v>
      </c>
      <c r="F176" s="177">
        <f>E176*VLOOKUP(B176,'Pre-Calculation'!$H$1:$I$31,2,FALSE)</f>
        <v>0</v>
      </c>
      <c r="G176" s="177">
        <f>IF(B176&lt;PT+1,VLOOKUP(B176,'Pre-Calculation'!$H$1:$L$32,3,FALSE)+VLOOKUP(B176,'Pre-Calculation'!$H$1:$L$32,4,FALSE)*'Pre-Calculation'!$D$7,0)</f>
        <v>0</v>
      </c>
      <c r="H176" s="175">
        <f>(E176-(F176+G176)*(1+Tax)+N175)</f>
        <v>6261749.862</v>
      </c>
      <c r="I176" s="175">
        <f>IF(B176&lt;PT+1,VLOOKUP(D176,'Pre-Calculation'!$N$3:$P$79,IF(INPUT!$C$4="M",2,3),FALSE)*(J176/1000)*(1/12),0)</f>
        <v>0</v>
      </c>
      <c r="J176" s="175">
        <f t="shared" si="3"/>
        <v>0</v>
      </c>
      <c r="K176" s="175">
        <f>(IF('Pre-Calculation'!$D$17="Type 4 a",MAX(SA,H176,1.05*Q176),IF('Pre-Calculation'!$D$17="Type 4 c",H176,IF('Pre-Calculation'!$D$17="Type 4 d",SA+H176,IF('Pre-Calculation'!$D$17="Type 4 e",MAX(SA,H176),IF('Pre-Calculation'!$D$17="Type 4 f",SA,IF('Pre-Calculation'!$D$17="Type 4 g",1000+H176,IF('Pre-Calculation'!$D$17="Type 4 h",SA+V176,IF('Pre-Calculation'!$D$17="Type 4 i",MAX(H176,Q176),IF('Pre-Calculation'!$D$17="Type 4 k",MAX(H176,1.01*Q176),IF('Pre-Calculation'!$D$17="Type 4 m",MAX(105%*Q176,SA+H176),IF('Pre-Calculation'!$D$17="Type 4 o",MAX(SA,105%*Q176)+V176+X176,IF('Pre-Calculation'!$D$17="Type 5",0)))))))))))))*IF(AND(A176&lt;Revival!$C$4,C176&gt;Revival!$D$12),PUP,1)</f>
        <v>6261749.862</v>
      </c>
      <c r="L176" s="175">
        <f>H176-I176*(1+Tax)</f>
        <v>6261749.862</v>
      </c>
      <c r="M176" s="175">
        <f>L176*(1+GROWTH_RATE_HIST)</f>
        <v>6330167.672</v>
      </c>
      <c r="N176" s="175">
        <f>M176+IF(MOD(A176,B176)=0,VLOOKUP(B176,'Pre-Calculation'!$H$1:$L$31,5,FALSE),0)*IF('Pre-Calculation'!$D$16="% OF FV",M176,IF(OR('Pre-Calculation'!$D$16="% OF AFV(24M)",'Pre-Calculation'!$D$16="% OF AFV(8Q)"),AVERAGE( $M153:$M176),IF('Pre-Calculation'!$D$16="% OF AFV(12M)",AVERAGE($M165:M176),IF('Pre-Calculation'!$D$16="% OF AFV(36M)",AVERAGE($M141:M176)))))</f>
        <v>6330167.672</v>
      </c>
      <c r="O176" s="175">
        <f t="shared" si="4"/>
        <v>6330167.672</v>
      </c>
      <c r="P176" s="175">
        <f>IF('Pre-Calculation'!$D$17="Type 4 a",MAX(SA,N176,1.05*Q176),IF('Pre-Calculation'!$D$17="Type 4 c",N176,IF('Pre-Calculation'!$D$17="Type 4 d",SA+N176,IF('Pre-Calculation'!$D$17="Type 4 e",MAX(SA,N176),IF('Pre-Calculation'!$D$17="Type 4 f",SA,IF('Pre-Calculation'!$D$17="Type 4 g",1000+N176,IF('Pre-Calculation'!$D$17="Type 4 h",SA+V176,IF('Pre-Calculation'!$D$17="Type 4 i",MAX(N176,Q176),IF('Pre-Calculation'!$D$17="Type 4 k",MAX(N176,1.01*Q176),IF('Pre-Calculation'!$D$17="Type 4 m",MAX(105%*Q176,SA+N176),IF('Pre-Calculation'!$D$17="Type 4 o",MAX(SA,105%*Q176)+V176+X176,IF('Pre-Calculation'!$D$17="Type 5",0))))))))))))</f>
        <v>6330167.672</v>
      </c>
      <c r="Q176" s="175">
        <f t="shared" si="5"/>
        <v>1000000</v>
      </c>
      <c r="R176" s="119">
        <f>L176*(1+GROWTH_RATE)*FMC</f>
        <v>7085.937373</v>
      </c>
      <c r="S176" s="112"/>
      <c r="T176" s="175">
        <f>-E176+IF(A175=INPUT!$C$11*12,N176,0)</f>
        <v>0</v>
      </c>
      <c r="U176" s="112"/>
      <c r="V176" s="179">
        <f t="array" ref="V176">NPV('Pre-Calculation'!$E$20,$E177:E$246)</f>
        <v>0</v>
      </c>
      <c r="W176" s="171">
        <f>10%*SA</f>
        <v>100000</v>
      </c>
      <c r="X176" s="179">
        <f t="array" ref="X176">NPV('Pre-Calculation'!$E$20,W177:W186)</f>
        <v>969592.8037</v>
      </c>
      <c r="Y176" s="12"/>
      <c r="Z176" s="12"/>
    </row>
    <row r="177" ht="15.75" customHeight="1">
      <c r="A177" s="171">
        <f t="shared" si="1"/>
        <v>231</v>
      </c>
      <c r="B177" s="171">
        <f t="shared" si="2"/>
        <v>20</v>
      </c>
      <c r="C177" s="176">
        <f>EDATE(RCD,A176)</f>
        <v>49551</v>
      </c>
      <c r="D177" s="171">
        <f>Age_At_Entry+Cashflows_HIST!B177-1</f>
        <v>54</v>
      </c>
      <c r="E177" s="175">
        <f>IF(AND(C177&lt;=Last_Prem,MOD(A176,Mode)=0,C177&gt;INPUT!$C$13,A177&lt;=Revival!$C$11),Mod_Prem,0)</f>
        <v>0</v>
      </c>
      <c r="F177" s="177">
        <f>E177*VLOOKUP(B177,'Pre-Calculation'!$H$1:$I$31,2,FALSE)</f>
        <v>0</v>
      </c>
      <c r="G177" s="177">
        <f>IF(B177&lt;PT+1,VLOOKUP(B177,'Pre-Calculation'!$H$1:$L$32,3,FALSE)+VLOOKUP(B177,'Pre-Calculation'!$H$1:$L$32,4,FALSE)*'Pre-Calculation'!$D$7,0)</f>
        <v>0</v>
      </c>
      <c r="H177" s="175">
        <f>(E177-(F177+G177)*(1+Tax)+N176)</f>
        <v>6330167.672</v>
      </c>
      <c r="I177" s="175">
        <f>IF(B177&lt;PT+1,VLOOKUP(D177,'Pre-Calculation'!$N$3:$P$79,IF(INPUT!$C$4="M",2,3),FALSE)*(J177/1000)*(1/12),0)</f>
        <v>0</v>
      </c>
      <c r="J177" s="175">
        <f t="shared" si="3"/>
        <v>0</v>
      </c>
      <c r="K177" s="175">
        <f>(IF('Pre-Calculation'!$D$17="Type 4 a",MAX(SA,H177,1.05*Q177),IF('Pre-Calculation'!$D$17="Type 4 c",H177,IF('Pre-Calculation'!$D$17="Type 4 d",SA+H177,IF('Pre-Calculation'!$D$17="Type 4 e",MAX(SA,H177),IF('Pre-Calculation'!$D$17="Type 4 f",SA,IF('Pre-Calculation'!$D$17="Type 4 g",1000+H177,IF('Pre-Calculation'!$D$17="Type 4 h",SA+V177,IF('Pre-Calculation'!$D$17="Type 4 i",MAX(H177,Q177),IF('Pre-Calculation'!$D$17="Type 4 k",MAX(H177,1.01*Q177),IF('Pre-Calculation'!$D$17="Type 4 m",MAX(105%*Q177,SA+H177),IF('Pre-Calculation'!$D$17="Type 4 o",MAX(SA,105%*Q177)+V177+X177,IF('Pre-Calculation'!$D$17="Type 5",0)))))))))))))*IF(AND(A177&lt;Revival!$C$4,C177&gt;Revival!$D$12),PUP,1)</f>
        <v>6330167.672</v>
      </c>
      <c r="L177" s="175">
        <f>H177-I177*(1+Tax)</f>
        <v>6330167.672</v>
      </c>
      <c r="M177" s="175">
        <f>L177*(1+GROWTH_RATE_HIST)</f>
        <v>6399333.036</v>
      </c>
      <c r="N177" s="175">
        <f>M177+IF(MOD(A177,B177)=0,VLOOKUP(B177,'Pre-Calculation'!$H$1:$L$31,5,FALSE),0)*IF('Pre-Calculation'!$D$16="% OF FV",M177,IF(OR('Pre-Calculation'!$D$16="% OF AFV(24M)",'Pre-Calculation'!$D$16="% OF AFV(8Q)"),AVERAGE( $M154:$M177),IF('Pre-Calculation'!$D$16="% OF AFV(12M)",AVERAGE($M166:M177),IF('Pre-Calculation'!$D$16="% OF AFV(36M)",AVERAGE($M142:M177)))))</f>
        <v>6399333.036</v>
      </c>
      <c r="O177" s="175">
        <f t="shared" si="4"/>
        <v>6399333.036</v>
      </c>
      <c r="P177" s="175">
        <f>IF('Pre-Calculation'!$D$17="Type 4 a",MAX(SA,N177,1.05*Q177),IF('Pre-Calculation'!$D$17="Type 4 c",N177,IF('Pre-Calculation'!$D$17="Type 4 d",SA+N177,IF('Pre-Calculation'!$D$17="Type 4 e",MAX(SA,N177),IF('Pre-Calculation'!$D$17="Type 4 f",SA,IF('Pre-Calculation'!$D$17="Type 4 g",1000+N177,IF('Pre-Calculation'!$D$17="Type 4 h",SA+V177,IF('Pre-Calculation'!$D$17="Type 4 i",MAX(N177,Q177),IF('Pre-Calculation'!$D$17="Type 4 k",MAX(N177,1.01*Q177),IF('Pre-Calculation'!$D$17="Type 4 m",MAX(105%*Q177,SA+N177),IF('Pre-Calculation'!$D$17="Type 4 o",MAX(SA,105%*Q177)+V177+X177,IF('Pre-Calculation'!$D$17="Type 5",0))))))))))))</f>
        <v>6399333.036</v>
      </c>
      <c r="Q177" s="175">
        <f t="shared" si="5"/>
        <v>1000000</v>
      </c>
      <c r="R177" s="119">
        <f>L177*(1+GROWTH_RATE)*FMC</f>
        <v>7163.360509</v>
      </c>
      <c r="S177" s="112"/>
      <c r="T177" s="175">
        <f>-E177+IF(A176=INPUT!$C$11*12,N177,0)</f>
        <v>0</v>
      </c>
      <c r="U177" s="112"/>
      <c r="V177" s="179">
        <f t="array" ref="V177">NPV('Pre-Calculation'!$E$20,$E178:E$246)</f>
        <v>0</v>
      </c>
      <c r="W177" s="171">
        <f>10%*SA</f>
        <v>100000</v>
      </c>
      <c r="X177" s="179">
        <f t="array" ref="X177">NPV('Pre-Calculation'!$E$20,W178:W187)</f>
        <v>969592.8037</v>
      </c>
      <c r="Y177" s="12"/>
      <c r="Z177" s="12"/>
    </row>
    <row r="178" ht="15.75" customHeight="1">
      <c r="A178" s="171">
        <f t="shared" si="1"/>
        <v>232</v>
      </c>
      <c r="B178" s="171">
        <f t="shared" si="2"/>
        <v>20</v>
      </c>
      <c r="C178" s="176">
        <f>EDATE(RCD,A177)</f>
        <v>49582</v>
      </c>
      <c r="D178" s="171">
        <f>Age_At_Entry+Cashflows_HIST!B178-1</f>
        <v>54</v>
      </c>
      <c r="E178" s="175">
        <f>IF(AND(C178&lt;=Last_Prem,MOD(A177,Mode)=0,C178&gt;INPUT!$C$13,A178&lt;=Revival!$C$11),Mod_Prem,0)</f>
        <v>0</v>
      </c>
      <c r="F178" s="177">
        <f>E178*VLOOKUP(B178,'Pre-Calculation'!$H$1:$I$31,2,FALSE)</f>
        <v>0</v>
      </c>
      <c r="G178" s="177">
        <f>IF(B178&lt;PT+1,VLOOKUP(B178,'Pre-Calculation'!$H$1:$L$32,3,FALSE)+VLOOKUP(B178,'Pre-Calculation'!$H$1:$L$32,4,FALSE)*'Pre-Calculation'!$D$7,0)</f>
        <v>0</v>
      </c>
      <c r="H178" s="175">
        <f>(E178-(F178+G178)*(1+Tax)+N177)</f>
        <v>6399333.036</v>
      </c>
      <c r="I178" s="175">
        <f>IF(B178&lt;PT+1,VLOOKUP(D178,'Pre-Calculation'!$N$3:$P$79,IF(INPUT!$C$4="M",2,3),FALSE)*(J178/1000)*(1/12),0)</f>
        <v>0</v>
      </c>
      <c r="J178" s="175">
        <f t="shared" si="3"/>
        <v>0</v>
      </c>
      <c r="K178" s="175">
        <f>(IF('Pre-Calculation'!$D$17="Type 4 a",MAX(SA,H178,1.05*Q178),IF('Pre-Calculation'!$D$17="Type 4 c",H178,IF('Pre-Calculation'!$D$17="Type 4 d",SA+H178,IF('Pre-Calculation'!$D$17="Type 4 e",MAX(SA,H178),IF('Pre-Calculation'!$D$17="Type 4 f",SA,IF('Pre-Calculation'!$D$17="Type 4 g",1000+H178,IF('Pre-Calculation'!$D$17="Type 4 h",SA+V178,IF('Pre-Calculation'!$D$17="Type 4 i",MAX(H178,Q178),IF('Pre-Calculation'!$D$17="Type 4 k",MAX(H178,1.01*Q178),IF('Pre-Calculation'!$D$17="Type 4 m",MAX(105%*Q178,SA+H178),IF('Pre-Calculation'!$D$17="Type 4 o",MAX(SA,105%*Q178)+V178+X178,IF('Pre-Calculation'!$D$17="Type 5",0)))))))))))))*IF(AND(A178&lt;Revival!$C$4,C178&gt;Revival!$D$12),PUP,1)</f>
        <v>6399333.036</v>
      </c>
      <c r="L178" s="175">
        <f>H178-I178*(1+Tax)</f>
        <v>6399333.036</v>
      </c>
      <c r="M178" s="175">
        <f>L178*(1+GROWTH_RATE_HIST)</f>
        <v>6469254.122</v>
      </c>
      <c r="N178" s="175">
        <f>M178+IF(MOD(A178,B178)=0,VLOOKUP(B178,'Pre-Calculation'!$H$1:$L$31,5,FALSE),0)*IF('Pre-Calculation'!$D$16="% OF FV",M178,IF(OR('Pre-Calculation'!$D$16="% OF AFV(24M)",'Pre-Calculation'!$D$16="% OF AFV(8Q)"),AVERAGE( $M155:$M178),IF('Pre-Calculation'!$D$16="% OF AFV(12M)",AVERAGE($M167:M178),IF('Pre-Calculation'!$D$16="% OF AFV(36M)",AVERAGE($M143:M178)))))</f>
        <v>6469254.122</v>
      </c>
      <c r="O178" s="175">
        <f t="shared" si="4"/>
        <v>6469254.122</v>
      </c>
      <c r="P178" s="175">
        <f>IF('Pre-Calculation'!$D$17="Type 4 a",MAX(SA,N178,1.05*Q178),IF('Pre-Calculation'!$D$17="Type 4 c",N178,IF('Pre-Calculation'!$D$17="Type 4 d",SA+N178,IF('Pre-Calculation'!$D$17="Type 4 e",MAX(SA,N178),IF('Pre-Calculation'!$D$17="Type 4 f",SA,IF('Pre-Calculation'!$D$17="Type 4 g",1000+N178,IF('Pre-Calculation'!$D$17="Type 4 h",SA+V178,IF('Pre-Calculation'!$D$17="Type 4 i",MAX(N178,Q178),IF('Pre-Calculation'!$D$17="Type 4 k",MAX(N178,1.01*Q178),IF('Pre-Calculation'!$D$17="Type 4 m",MAX(105%*Q178,SA+N178),IF('Pre-Calculation'!$D$17="Type 4 o",MAX(SA,105%*Q178)+V178+X178,IF('Pre-Calculation'!$D$17="Type 5",0))))))))))))</f>
        <v>6469254.122</v>
      </c>
      <c r="Q178" s="175">
        <f t="shared" si="5"/>
        <v>1000000</v>
      </c>
      <c r="R178" s="119">
        <f>L178*(1+GROWTH_RATE)*FMC</f>
        <v>7241.629595</v>
      </c>
      <c r="S178" s="112"/>
      <c r="T178" s="175">
        <f>-E178+IF(A177=INPUT!$C$11*12,N178,0)</f>
        <v>0</v>
      </c>
      <c r="U178" s="112"/>
      <c r="V178" s="179">
        <f t="array" ref="V178">NPV('Pre-Calculation'!$E$20,$E179:E$246)</f>
        <v>0</v>
      </c>
      <c r="W178" s="171">
        <f>10%*SA</f>
        <v>100000</v>
      </c>
      <c r="X178" s="179">
        <f t="array" ref="X178">NPV('Pre-Calculation'!$E$20,W179:W188)</f>
        <v>969592.8037</v>
      </c>
      <c r="Y178" s="12"/>
      <c r="Z178" s="12"/>
    </row>
    <row r="179" ht="15.75" customHeight="1">
      <c r="A179" s="171">
        <f t="shared" si="1"/>
        <v>233</v>
      </c>
      <c r="B179" s="171">
        <f t="shared" si="2"/>
        <v>20</v>
      </c>
      <c r="C179" s="176">
        <f>EDATE(RCD,A178)</f>
        <v>49612</v>
      </c>
      <c r="D179" s="171">
        <f>Age_At_Entry+Cashflows_HIST!B179-1</f>
        <v>54</v>
      </c>
      <c r="E179" s="175">
        <f>IF(AND(C179&lt;=Last_Prem,MOD(A178,Mode)=0,C179&gt;INPUT!$C$13,A179&lt;=Revival!$C$11),Mod_Prem,0)</f>
        <v>0</v>
      </c>
      <c r="F179" s="177">
        <f>E179*VLOOKUP(B179,'Pre-Calculation'!$H$1:$I$31,2,FALSE)</f>
        <v>0</v>
      </c>
      <c r="G179" s="177">
        <f>IF(B179&lt;PT+1,VLOOKUP(B179,'Pre-Calculation'!$H$1:$L$32,3,FALSE)+VLOOKUP(B179,'Pre-Calculation'!$H$1:$L$32,4,FALSE)*'Pre-Calculation'!$D$7,0)</f>
        <v>0</v>
      </c>
      <c r="H179" s="175">
        <f>(E179-(F179+G179)*(1+Tax)+N178)</f>
        <v>6469254.122</v>
      </c>
      <c r="I179" s="175">
        <f>IF(B179&lt;PT+1,VLOOKUP(D179,'Pre-Calculation'!$N$3:$P$79,IF(INPUT!$C$4="M",2,3),FALSE)*(J179/1000)*(1/12),0)</f>
        <v>0</v>
      </c>
      <c r="J179" s="175">
        <f t="shared" si="3"/>
        <v>0</v>
      </c>
      <c r="K179" s="175">
        <f>(IF('Pre-Calculation'!$D$17="Type 4 a",MAX(SA,H179,1.05*Q179),IF('Pre-Calculation'!$D$17="Type 4 c",H179,IF('Pre-Calculation'!$D$17="Type 4 d",SA+H179,IF('Pre-Calculation'!$D$17="Type 4 e",MAX(SA,H179),IF('Pre-Calculation'!$D$17="Type 4 f",SA,IF('Pre-Calculation'!$D$17="Type 4 g",1000+H179,IF('Pre-Calculation'!$D$17="Type 4 h",SA+V179,IF('Pre-Calculation'!$D$17="Type 4 i",MAX(H179,Q179),IF('Pre-Calculation'!$D$17="Type 4 k",MAX(H179,1.01*Q179),IF('Pre-Calculation'!$D$17="Type 4 m",MAX(105%*Q179,SA+H179),IF('Pre-Calculation'!$D$17="Type 4 o",MAX(SA,105%*Q179)+V179+X179,IF('Pre-Calculation'!$D$17="Type 5",0)))))))))))))*IF(AND(A179&lt;Revival!$C$4,C179&gt;Revival!$D$12),PUP,1)</f>
        <v>6469254.122</v>
      </c>
      <c r="L179" s="175">
        <f>H179-I179*(1+Tax)</f>
        <v>6469254.122</v>
      </c>
      <c r="M179" s="175">
        <f>L179*(1+GROWTH_RATE_HIST)</f>
        <v>6539939.187</v>
      </c>
      <c r="N179" s="175">
        <f>M179+IF(MOD(A179,B179)=0,VLOOKUP(B179,'Pre-Calculation'!$H$1:$L$31,5,FALSE),0)*IF('Pre-Calculation'!$D$16="% OF FV",M179,IF(OR('Pre-Calculation'!$D$16="% OF AFV(24M)",'Pre-Calculation'!$D$16="% OF AFV(8Q)"),AVERAGE( $M156:$M179),IF('Pre-Calculation'!$D$16="% OF AFV(12M)",AVERAGE($M168:M179),IF('Pre-Calculation'!$D$16="% OF AFV(36M)",AVERAGE($M144:M179)))))</f>
        <v>6539939.187</v>
      </c>
      <c r="O179" s="175">
        <f t="shared" si="4"/>
        <v>6539939.187</v>
      </c>
      <c r="P179" s="175">
        <f>IF('Pre-Calculation'!$D$17="Type 4 a",MAX(SA,N179,1.05*Q179),IF('Pre-Calculation'!$D$17="Type 4 c",N179,IF('Pre-Calculation'!$D$17="Type 4 d",SA+N179,IF('Pre-Calculation'!$D$17="Type 4 e",MAX(SA,N179),IF('Pre-Calculation'!$D$17="Type 4 f",SA,IF('Pre-Calculation'!$D$17="Type 4 g",1000+N179,IF('Pre-Calculation'!$D$17="Type 4 h",SA+V179,IF('Pre-Calculation'!$D$17="Type 4 i",MAX(N179,Q179),IF('Pre-Calculation'!$D$17="Type 4 k",MAX(N179,1.01*Q179),IF('Pre-Calculation'!$D$17="Type 4 m",MAX(105%*Q179,SA+N179),IF('Pre-Calculation'!$D$17="Type 4 o",MAX(SA,105%*Q179)+V179+X179,IF('Pre-Calculation'!$D$17="Type 5",0))))))))))))</f>
        <v>6539939.187</v>
      </c>
      <c r="Q179" s="175">
        <f t="shared" si="5"/>
        <v>1000000</v>
      </c>
      <c r="R179" s="119">
        <f>L179*(1+GROWTH_RATE)*FMC</f>
        <v>7320.753873</v>
      </c>
      <c r="S179" s="112"/>
      <c r="T179" s="175">
        <f>-E179+IF(A178=INPUT!$C$11*12,N179,0)</f>
        <v>0</v>
      </c>
      <c r="U179" s="112"/>
      <c r="V179" s="179">
        <f t="array" ref="V179">NPV('Pre-Calculation'!$E$20,$E180:E$246)</f>
        <v>0</v>
      </c>
      <c r="W179" s="171">
        <f>10%*SA</f>
        <v>100000</v>
      </c>
      <c r="X179" s="179">
        <f t="array" ref="X179">NPV('Pre-Calculation'!$E$20,W180:W189)</f>
        <v>969592.8037</v>
      </c>
      <c r="Y179" s="12"/>
      <c r="Z179" s="12"/>
    </row>
    <row r="180" ht="15.75" customHeight="1">
      <c r="A180" s="171">
        <f t="shared" si="1"/>
        <v>234</v>
      </c>
      <c r="B180" s="171">
        <f t="shared" si="2"/>
        <v>20</v>
      </c>
      <c r="C180" s="176">
        <f>EDATE(RCD,A179)</f>
        <v>49643</v>
      </c>
      <c r="D180" s="171">
        <f>Age_At_Entry+Cashflows_HIST!B180-1</f>
        <v>54</v>
      </c>
      <c r="E180" s="175">
        <f>IF(AND(C180&lt;=Last_Prem,MOD(A179,Mode)=0,C180&gt;INPUT!$C$13,A180&lt;=Revival!$C$11),Mod_Prem,0)</f>
        <v>0</v>
      </c>
      <c r="F180" s="177">
        <f>E180*VLOOKUP(B180,'Pre-Calculation'!$H$1:$I$31,2,FALSE)</f>
        <v>0</v>
      </c>
      <c r="G180" s="177">
        <f>IF(B180&lt;PT+1,VLOOKUP(B180,'Pre-Calculation'!$H$1:$L$32,3,FALSE)+VLOOKUP(B180,'Pre-Calculation'!$H$1:$L$32,4,FALSE)*'Pre-Calculation'!$D$7,0)</f>
        <v>0</v>
      </c>
      <c r="H180" s="175">
        <f>(E180-(F180+G180)*(1+Tax)+N179)</f>
        <v>6539939.187</v>
      </c>
      <c r="I180" s="175">
        <f>IF(B180&lt;PT+1,VLOOKUP(D180,'Pre-Calculation'!$N$3:$P$79,IF(INPUT!$C$4="M",2,3),FALSE)*(J180/1000)*(1/12),0)</f>
        <v>0</v>
      </c>
      <c r="J180" s="175">
        <f t="shared" si="3"/>
        <v>0</v>
      </c>
      <c r="K180" s="175">
        <f>(IF('Pre-Calculation'!$D$17="Type 4 a",MAX(SA,H180,1.05*Q180),IF('Pre-Calculation'!$D$17="Type 4 c",H180,IF('Pre-Calculation'!$D$17="Type 4 d",SA+H180,IF('Pre-Calculation'!$D$17="Type 4 e",MAX(SA,H180),IF('Pre-Calculation'!$D$17="Type 4 f",SA,IF('Pre-Calculation'!$D$17="Type 4 g",1000+H180,IF('Pre-Calculation'!$D$17="Type 4 h",SA+V180,IF('Pre-Calculation'!$D$17="Type 4 i",MAX(H180,Q180),IF('Pre-Calculation'!$D$17="Type 4 k",MAX(H180,1.01*Q180),IF('Pre-Calculation'!$D$17="Type 4 m",MAX(105%*Q180,SA+H180),IF('Pre-Calculation'!$D$17="Type 4 o",MAX(SA,105%*Q180)+V180+X180,IF('Pre-Calculation'!$D$17="Type 5",0)))))))))))))*IF(AND(A180&lt;Revival!$C$4,C180&gt;Revival!$D$12),PUP,1)</f>
        <v>6539939.187</v>
      </c>
      <c r="L180" s="175">
        <f>H180-I180*(1+Tax)</f>
        <v>6539939.187</v>
      </c>
      <c r="M180" s="175">
        <f>L180*(1+GROWTH_RATE_HIST)</f>
        <v>6611396.579</v>
      </c>
      <c r="N180" s="175">
        <f>M180+IF(MOD(A180,B180)=0,VLOOKUP(B180,'Pre-Calculation'!$H$1:$L$31,5,FALSE),0)*IF('Pre-Calculation'!$D$16="% OF FV",M180,IF(OR('Pre-Calculation'!$D$16="% OF AFV(24M)",'Pre-Calculation'!$D$16="% OF AFV(8Q)"),AVERAGE( $M157:$M180),IF('Pre-Calculation'!$D$16="% OF AFV(12M)",AVERAGE($M169:M180),IF('Pre-Calculation'!$D$16="% OF AFV(36M)",AVERAGE($M145:M180)))))</f>
        <v>6611396.579</v>
      </c>
      <c r="O180" s="175">
        <f t="shared" si="4"/>
        <v>6611396.579</v>
      </c>
      <c r="P180" s="175">
        <f>IF('Pre-Calculation'!$D$17="Type 4 a",MAX(SA,N180,1.05*Q180),IF('Pre-Calculation'!$D$17="Type 4 c",N180,IF('Pre-Calculation'!$D$17="Type 4 d",SA+N180,IF('Pre-Calculation'!$D$17="Type 4 e",MAX(SA,N180),IF('Pre-Calculation'!$D$17="Type 4 f",SA,IF('Pre-Calculation'!$D$17="Type 4 g",1000+N180,IF('Pre-Calculation'!$D$17="Type 4 h",SA+V180,IF('Pre-Calculation'!$D$17="Type 4 i",MAX(N180,Q180),IF('Pre-Calculation'!$D$17="Type 4 k",MAX(N180,1.01*Q180),IF('Pre-Calculation'!$D$17="Type 4 m",MAX(105%*Q180,SA+N180),IF('Pre-Calculation'!$D$17="Type 4 o",MAX(SA,105%*Q180)+V180+X180,IF('Pre-Calculation'!$D$17="Type 5",0))))))))))))</f>
        <v>6611396.579</v>
      </c>
      <c r="Q180" s="175">
        <f t="shared" si="5"/>
        <v>1000000</v>
      </c>
      <c r="R180" s="119">
        <f>L180*(1+GROWTH_RATE)*FMC</f>
        <v>7400.742687</v>
      </c>
      <c r="S180" s="112"/>
      <c r="T180" s="175">
        <f>-E180+IF(A179=INPUT!$C$11*12,N180,0)</f>
        <v>0</v>
      </c>
      <c r="U180" s="112"/>
      <c r="V180" s="179">
        <f t="array" ref="V180">NPV('Pre-Calculation'!$E$20,$E181:E$246)</f>
        <v>0</v>
      </c>
      <c r="W180" s="171">
        <f>10%*SA</f>
        <v>100000</v>
      </c>
      <c r="X180" s="179">
        <f t="array" ref="X180">NPV('Pre-Calculation'!$E$20,W181:W190)</f>
        <v>969592.8037</v>
      </c>
      <c r="Y180" s="12"/>
      <c r="Z180" s="12"/>
    </row>
    <row r="181" ht="15.75" customHeight="1">
      <c r="A181" s="171">
        <f t="shared" si="1"/>
        <v>235</v>
      </c>
      <c r="B181" s="171">
        <f t="shared" si="2"/>
        <v>20</v>
      </c>
      <c r="C181" s="176">
        <f>EDATE(RCD,A180)</f>
        <v>49673</v>
      </c>
      <c r="D181" s="171">
        <f>Age_At_Entry+Cashflows_HIST!B181-1</f>
        <v>54</v>
      </c>
      <c r="E181" s="175">
        <f>IF(AND(C181&lt;=Last_Prem,MOD(A180,Mode)=0,C181&gt;INPUT!$C$13,A181&lt;=Revival!$C$11),Mod_Prem,0)</f>
        <v>0</v>
      </c>
      <c r="F181" s="177">
        <f>E181*VLOOKUP(B181,'Pre-Calculation'!$H$1:$I$31,2,FALSE)</f>
        <v>0</v>
      </c>
      <c r="G181" s="177">
        <f>IF(B181&lt;PT+1,VLOOKUP(B181,'Pre-Calculation'!$H$1:$L$32,3,FALSE)+VLOOKUP(B181,'Pre-Calculation'!$H$1:$L$32,4,FALSE)*'Pre-Calculation'!$D$7,0)</f>
        <v>0</v>
      </c>
      <c r="H181" s="175">
        <f>(E181-(F181+G181)*(1+Tax)+N180)</f>
        <v>6611396.579</v>
      </c>
      <c r="I181" s="175">
        <f>IF(B181&lt;PT+1,VLOOKUP(D181,'Pre-Calculation'!$N$3:$P$79,IF(INPUT!$C$4="M",2,3),FALSE)*(J181/1000)*(1/12),0)</f>
        <v>0</v>
      </c>
      <c r="J181" s="175">
        <f t="shared" si="3"/>
        <v>0</v>
      </c>
      <c r="K181" s="175">
        <f>(IF('Pre-Calculation'!$D$17="Type 4 a",MAX(SA,H181,1.05*Q181),IF('Pre-Calculation'!$D$17="Type 4 c",H181,IF('Pre-Calculation'!$D$17="Type 4 d",SA+H181,IF('Pre-Calculation'!$D$17="Type 4 e",MAX(SA,H181),IF('Pre-Calculation'!$D$17="Type 4 f",SA,IF('Pre-Calculation'!$D$17="Type 4 g",1000+H181,IF('Pre-Calculation'!$D$17="Type 4 h",SA+V181,IF('Pre-Calculation'!$D$17="Type 4 i",MAX(H181,Q181),IF('Pre-Calculation'!$D$17="Type 4 k",MAX(H181,1.01*Q181),IF('Pre-Calculation'!$D$17="Type 4 m",MAX(105%*Q181,SA+H181),IF('Pre-Calculation'!$D$17="Type 4 o",MAX(SA,105%*Q181)+V181+X181,IF('Pre-Calculation'!$D$17="Type 5",0)))))))))))))*IF(AND(A181&lt;Revival!$C$4,C181&gt;Revival!$D$12),PUP,1)</f>
        <v>6611396.579</v>
      </c>
      <c r="L181" s="175">
        <f>H181-I181*(1+Tax)</f>
        <v>6611396.579</v>
      </c>
      <c r="M181" s="175">
        <f>L181*(1+GROWTH_RATE_HIST)</f>
        <v>6683634.737</v>
      </c>
      <c r="N181" s="175">
        <f>M181+IF(MOD(A181,B181)=0,VLOOKUP(B181,'Pre-Calculation'!$H$1:$L$31,5,FALSE),0)*IF('Pre-Calculation'!$D$16="% OF FV",M181,IF(OR('Pre-Calculation'!$D$16="% OF AFV(24M)",'Pre-Calculation'!$D$16="% OF AFV(8Q)"),AVERAGE( $M158:$M181),IF('Pre-Calculation'!$D$16="% OF AFV(12M)",AVERAGE($M170:M181),IF('Pre-Calculation'!$D$16="% OF AFV(36M)",AVERAGE($M146:M181)))))</f>
        <v>6683634.737</v>
      </c>
      <c r="O181" s="175">
        <f t="shared" si="4"/>
        <v>6683634.737</v>
      </c>
      <c r="P181" s="175">
        <f>IF('Pre-Calculation'!$D$17="Type 4 a",MAX(SA,N181,1.05*Q181),IF('Pre-Calculation'!$D$17="Type 4 c",N181,IF('Pre-Calculation'!$D$17="Type 4 d",SA+N181,IF('Pre-Calculation'!$D$17="Type 4 e",MAX(SA,N181),IF('Pre-Calculation'!$D$17="Type 4 f",SA,IF('Pre-Calculation'!$D$17="Type 4 g",1000+N181,IF('Pre-Calculation'!$D$17="Type 4 h",SA+V181,IF('Pre-Calculation'!$D$17="Type 4 i",MAX(N181,Q181),IF('Pre-Calculation'!$D$17="Type 4 k",MAX(N181,1.01*Q181),IF('Pre-Calculation'!$D$17="Type 4 m",MAX(105%*Q181,SA+N181),IF('Pre-Calculation'!$D$17="Type 4 o",MAX(SA,105%*Q181)+V181+X181,IF('Pre-Calculation'!$D$17="Type 5",0))))))))))))</f>
        <v>6683634.737</v>
      </c>
      <c r="Q181" s="175">
        <f t="shared" si="5"/>
        <v>1000000</v>
      </c>
      <c r="R181" s="119">
        <f>L181*(1+GROWTH_RATE)*FMC</f>
        <v>7481.605484</v>
      </c>
      <c r="S181" s="112"/>
      <c r="T181" s="175">
        <f>-E181+IF(A180=INPUT!$C$11*12,N181,0)</f>
        <v>0</v>
      </c>
      <c r="U181" s="112"/>
      <c r="V181" s="179">
        <f t="array" ref="V181">NPV('Pre-Calculation'!$E$20,$E182:E$246)</f>
        <v>0</v>
      </c>
      <c r="W181" s="171">
        <f>10%*SA</f>
        <v>100000</v>
      </c>
      <c r="X181" s="179">
        <f t="array" ref="X181">NPV('Pre-Calculation'!$E$20,W182:W191)</f>
        <v>969592.8037</v>
      </c>
      <c r="Y181" s="12"/>
      <c r="Z181" s="12"/>
    </row>
    <row r="182" ht="15.75" customHeight="1">
      <c r="A182" s="171">
        <f t="shared" si="1"/>
        <v>236</v>
      </c>
      <c r="B182" s="171">
        <f t="shared" si="2"/>
        <v>20</v>
      </c>
      <c r="C182" s="176">
        <f>EDATE(RCD,A181)</f>
        <v>49704</v>
      </c>
      <c r="D182" s="171">
        <f>Age_At_Entry+Cashflows_HIST!B182-1</f>
        <v>54</v>
      </c>
      <c r="E182" s="175">
        <f>IF(AND(C182&lt;=Last_Prem,MOD(A181,Mode)=0,C182&gt;INPUT!$C$13,A182&lt;=Revival!$C$11),Mod_Prem,0)</f>
        <v>0</v>
      </c>
      <c r="F182" s="177">
        <f>E182*VLOOKUP(B182,'Pre-Calculation'!$H$1:$I$31,2,FALSE)</f>
        <v>0</v>
      </c>
      <c r="G182" s="177">
        <f>IF(B182&lt;PT+1,VLOOKUP(B182,'Pre-Calculation'!$H$1:$L$32,3,FALSE)+VLOOKUP(B182,'Pre-Calculation'!$H$1:$L$32,4,FALSE)*'Pre-Calculation'!$D$7,0)</f>
        <v>0</v>
      </c>
      <c r="H182" s="175">
        <f>(E182-(F182+G182)*(1+Tax)+N181)</f>
        <v>6683634.737</v>
      </c>
      <c r="I182" s="175">
        <f>IF(B182&lt;PT+1,VLOOKUP(D182,'Pre-Calculation'!$N$3:$P$79,IF(INPUT!$C$4="M",2,3),FALSE)*(J182/1000)*(1/12),0)</f>
        <v>0</v>
      </c>
      <c r="J182" s="175">
        <f t="shared" si="3"/>
        <v>0</v>
      </c>
      <c r="K182" s="175">
        <f>(IF('Pre-Calculation'!$D$17="Type 4 a",MAX(SA,H182,1.05*Q182),IF('Pre-Calculation'!$D$17="Type 4 c",H182,IF('Pre-Calculation'!$D$17="Type 4 d",SA+H182,IF('Pre-Calculation'!$D$17="Type 4 e",MAX(SA,H182),IF('Pre-Calculation'!$D$17="Type 4 f",SA,IF('Pre-Calculation'!$D$17="Type 4 g",1000+H182,IF('Pre-Calculation'!$D$17="Type 4 h",SA+V182,IF('Pre-Calculation'!$D$17="Type 4 i",MAX(H182,Q182),IF('Pre-Calculation'!$D$17="Type 4 k",MAX(H182,1.01*Q182),IF('Pre-Calculation'!$D$17="Type 4 m",MAX(105%*Q182,SA+H182),IF('Pre-Calculation'!$D$17="Type 4 o",MAX(SA,105%*Q182)+V182+X182,IF('Pre-Calculation'!$D$17="Type 5",0)))))))))))))*IF(AND(A182&lt;Revival!$C$4,C182&gt;Revival!$D$12),PUP,1)</f>
        <v>6683634.737</v>
      </c>
      <c r="L182" s="175">
        <f>H182-I182*(1+Tax)</f>
        <v>6683634.737</v>
      </c>
      <c r="M182" s="175">
        <f>L182*(1+GROWTH_RATE_HIST)</f>
        <v>6756662.191</v>
      </c>
      <c r="N182" s="175">
        <f>M182+IF(MOD(A182,B182)=0,VLOOKUP(B182,'Pre-Calculation'!$H$1:$L$31,5,FALSE),0)*IF('Pre-Calculation'!$D$16="% OF FV",M182,IF(OR('Pre-Calculation'!$D$16="% OF AFV(24M)",'Pre-Calculation'!$D$16="% OF AFV(8Q)"),AVERAGE( $M159:$M182),IF('Pre-Calculation'!$D$16="% OF AFV(12M)",AVERAGE($M171:M182),IF('Pre-Calculation'!$D$16="% OF AFV(36M)",AVERAGE($M147:M182)))))</f>
        <v>6756662.191</v>
      </c>
      <c r="O182" s="175">
        <f t="shared" si="4"/>
        <v>6756662.191</v>
      </c>
      <c r="P182" s="175">
        <f>IF('Pre-Calculation'!$D$17="Type 4 a",MAX(SA,N182,1.05*Q182),IF('Pre-Calculation'!$D$17="Type 4 c",N182,IF('Pre-Calculation'!$D$17="Type 4 d",SA+N182,IF('Pre-Calculation'!$D$17="Type 4 e",MAX(SA,N182),IF('Pre-Calculation'!$D$17="Type 4 f",SA,IF('Pre-Calculation'!$D$17="Type 4 g",1000+N182,IF('Pre-Calculation'!$D$17="Type 4 h",SA+V182,IF('Pre-Calculation'!$D$17="Type 4 i",MAX(N182,Q182),IF('Pre-Calculation'!$D$17="Type 4 k",MAX(N182,1.01*Q182),IF('Pre-Calculation'!$D$17="Type 4 m",MAX(105%*Q182,SA+N182),IF('Pre-Calculation'!$D$17="Type 4 o",MAX(SA,105%*Q182)+V182+X182,IF('Pre-Calculation'!$D$17="Type 5",0))))))))))))</f>
        <v>6756662.191</v>
      </c>
      <c r="Q182" s="175">
        <f t="shared" si="5"/>
        <v>1000000</v>
      </c>
      <c r="R182" s="119">
        <f>L182*(1+GROWTH_RATE)*FMC</f>
        <v>7563.351813</v>
      </c>
      <c r="S182" s="112"/>
      <c r="T182" s="175">
        <f>-E182+IF(A181=INPUT!$C$11*12,N182,0)</f>
        <v>0</v>
      </c>
      <c r="U182" s="112"/>
      <c r="V182" s="179">
        <f t="array" ref="V182">NPV('Pre-Calculation'!$E$20,$E183:E$246)</f>
        <v>0</v>
      </c>
      <c r="W182" s="171">
        <f>10%*SA</f>
        <v>100000</v>
      </c>
      <c r="X182" s="179">
        <f t="array" ref="X182">NPV('Pre-Calculation'!$E$20,W183:W192)</f>
        <v>969592.8037</v>
      </c>
      <c r="Y182" s="12"/>
      <c r="Z182" s="12"/>
    </row>
    <row r="183" ht="15.75" customHeight="1">
      <c r="A183" s="171">
        <f t="shared" si="1"/>
        <v>237</v>
      </c>
      <c r="B183" s="171">
        <f t="shared" si="2"/>
        <v>20</v>
      </c>
      <c r="C183" s="176">
        <f>EDATE(RCD,A182)</f>
        <v>49734</v>
      </c>
      <c r="D183" s="171">
        <f>Age_At_Entry+Cashflows_HIST!B183-1</f>
        <v>54</v>
      </c>
      <c r="E183" s="175">
        <f>IF(AND(C183&lt;=Last_Prem,MOD(A182,Mode)=0,C183&gt;INPUT!$C$13,A183&lt;=Revival!$C$11),Mod_Prem,0)</f>
        <v>0</v>
      </c>
      <c r="F183" s="177">
        <f>E183*VLOOKUP(B183,'Pre-Calculation'!$H$1:$I$31,2,FALSE)</f>
        <v>0</v>
      </c>
      <c r="G183" s="177">
        <f>IF(B183&lt;PT+1,VLOOKUP(B183,'Pre-Calculation'!$H$1:$L$32,3,FALSE)+VLOOKUP(B183,'Pre-Calculation'!$H$1:$L$32,4,FALSE)*'Pre-Calculation'!$D$7,0)</f>
        <v>0</v>
      </c>
      <c r="H183" s="175">
        <f>(E183-(F183+G183)*(1+Tax)+N182)</f>
        <v>6756662.191</v>
      </c>
      <c r="I183" s="175">
        <f>IF(B183&lt;PT+1,VLOOKUP(D183,'Pre-Calculation'!$N$3:$P$79,IF(INPUT!$C$4="M",2,3),FALSE)*(J183/1000)*(1/12),0)</f>
        <v>0</v>
      </c>
      <c r="J183" s="175">
        <f t="shared" si="3"/>
        <v>0</v>
      </c>
      <c r="K183" s="175">
        <f>(IF('Pre-Calculation'!$D$17="Type 4 a",MAX(SA,H183,1.05*Q183),IF('Pre-Calculation'!$D$17="Type 4 c",H183,IF('Pre-Calculation'!$D$17="Type 4 d",SA+H183,IF('Pre-Calculation'!$D$17="Type 4 e",MAX(SA,H183),IF('Pre-Calculation'!$D$17="Type 4 f",SA,IF('Pre-Calculation'!$D$17="Type 4 g",1000+H183,IF('Pre-Calculation'!$D$17="Type 4 h",SA+V183,IF('Pre-Calculation'!$D$17="Type 4 i",MAX(H183,Q183),IF('Pre-Calculation'!$D$17="Type 4 k",MAX(H183,1.01*Q183),IF('Pre-Calculation'!$D$17="Type 4 m",MAX(105%*Q183,SA+H183),IF('Pre-Calculation'!$D$17="Type 4 o",MAX(SA,105%*Q183)+V183+X183,IF('Pre-Calculation'!$D$17="Type 5",0)))))))))))))*IF(AND(A183&lt;Revival!$C$4,C183&gt;Revival!$D$12),PUP,1)</f>
        <v>6756662.191</v>
      </c>
      <c r="L183" s="175">
        <f>H183-I183*(1+Tax)</f>
        <v>6756662.191</v>
      </c>
      <c r="M183" s="175">
        <f>L183*(1+GROWTH_RATE_HIST)</f>
        <v>6830487.566</v>
      </c>
      <c r="N183" s="175">
        <f>M183+IF(MOD(A183,B183)=0,VLOOKUP(B183,'Pre-Calculation'!$H$1:$L$31,5,FALSE),0)*IF('Pre-Calculation'!$D$16="% OF FV",M183,IF(OR('Pre-Calculation'!$D$16="% OF AFV(24M)",'Pre-Calculation'!$D$16="% OF AFV(8Q)"),AVERAGE( $M160:$M183),IF('Pre-Calculation'!$D$16="% OF AFV(12M)",AVERAGE($M172:M183),IF('Pre-Calculation'!$D$16="% OF AFV(36M)",AVERAGE($M148:M183)))))</f>
        <v>6830487.566</v>
      </c>
      <c r="O183" s="175">
        <f t="shared" si="4"/>
        <v>6830487.566</v>
      </c>
      <c r="P183" s="175">
        <f>IF('Pre-Calculation'!$D$17="Type 4 a",MAX(SA,N183,1.05*Q183),IF('Pre-Calculation'!$D$17="Type 4 c",N183,IF('Pre-Calculation'!$D$17="Type 4 d",SA+N183,IF('Pre-Calculation'!$D$17="Type 4 e",MAX(SA,N183),IF('Pre-Calculation'!$D$17="Type 4 f",SA,IF('Pre-Calculation'!$D$17="Type 4 g",1000+N183,IF('Pre-Calculation'!$D$17="Type 4 h",SA+V183,IF('Pre-Calculation'!$D$17="Type 4 i",MAX(N183,Q183),IF('Pre-Calculation'!$D$17="Type 4 k",MAX(N183,1.01*Q183),IF('Pre-Calculation'!$D$17="Type 4 m",MAX(105%*Q183,SA+N183),IF('Pre-Calculation'!$D$17="Type 4 o",MAX(SA,105%*Q183)+V183+X183,IF('Pre-Calculation'!$D$17="Type 5",0))))))))))))</f>
        <v>6830487.566</v>
      </c>
      <c r="Q183" s="175">
        <f t="shared" si="5"/>
        <v>1000000</v>
      </c>
      <c r="R183" s="119">
        <f>L183*(1+GROWTH_RATE)*FMC</f>
        <v>7645.991327</v>
      </c>
      <c r="S183" s="112"/>
      <c r="T183" s="175">
        <f>-E183+IF(A182=INPUT!$C$11*12,N183,0)</f>
        <v>0</v>
      </c>
      <c r="U183" s="112"/>
      <c r="V183" s="179">
        <f t="array" ref="V183">NPV('Pre-Calculation'!$E$20,$E184:E$246)</f>
        <v>0</v>
      </c>
      <c r="W183" s="171">
        <f>10%*SA</f>
        <v>100000</v>
      </c>
      <c r="X183" s="179">
        <f t="array" ref="X183">NPV('Pre-Calculation'!$E$20,W184:W193)</f>
        <v>969592.8037</v>
      </c>
      <c r="Y183" s="12"/>
      <c r="Z183" s="12"/>
    </row>
    <row r="184" ht="15.75" customHeight="1">
      <c r="A184" s="171">
        <f t="shared" si="1"/>
        <v>238</v>
      </c>
      <c r="B184" s="171">
        <f t="shared" si="2"/>
        <v>20</v>
      </c>
      <c r="C184" s="176">
        <f>EDATE(RCD,A183)</f>
        <v>49764</v>
      </c>
      <c r="D184" s="171">
        <f>Age_At_Entry+Cashflows_HIST!B184-1</f>
        <v>54</v>
      </c>
      <c r="E184" s="175">
        <f>IF(AND(C184&lt;=Last_Prem,MOD(A183,Mode)=0,C184&gt;INPUT!$C$13,A184&lt;=Revival!$C$11),Mod_Prem,0)</f>
        <v>0</v>
      </c>
      <c r="F184" s="177">
        <f>E184*VLOOKUP(B184,'Pre-Calculation'!$H$1:$I$31,2,FALSE)</f>
        <v>0</v>
      </c>
      <c r="G184" s="177">
        <f>IF(B184&lt;PT+1,VLOOKUP(B184,'Pre-Calculation'!$H$1:$L$32,3,FALSE)+VLOOKUP(B184,'Pre-Calculation'!$H$1:$L$32,4,FALSE)*'Pre-Calculation'!$D$7,0)</f>
        <v>0</v>
      </c>
      <c r="H184" s="175">
        <f>(E184-(F184+G184)*(1+Tax)+N183)</f>
        <v>6830487.566</v>
      </c>
      <c r="I184" s="175">
        <f>IF(B184&lt;PT+1,VLOOKUP(D184,'Pre-Calculation'!$N$3:$P$79,IF(INPUT!$C$4="M",2,3),FALSE)*(J184/1000)*(1/12),0)</f>
        <v>0</v>
      </c>
      <c r="J184" s="175">
        <f t="shared" si="3"/>
        <v>0</v>
      </c>
      <c r="K184" s="175">
        <f>(IF('Pre-Calculation'!$D$17="Type 4 a",MAX(SA,H184,1.05*Q184),IF('Pre-Calculation'!$D$17="Type 4 c",H184,IF('Pre-Calculation'!$D$17="Type 4 d",SA+H184,IF('Pre-Calculation'!$D$17="Type 4 e",MAX(SA,H184),IF('Pre-Calculation'!$D$17="Type 4 f",SA,IF('Pre-Calculation'!$D$17="Type 4 g",1000+H184,IF('Pre-Calculation'!$D$17="Type 4 h",SA+V184,IF('Pre-Calculation'!$D$17="Type 4 i",MAX(H184,Q184),IF('Pre-Calculation'!$D$17="Type 4 k",MAX(H184,1.01*Q184),IF('Pre-Calculation'!$D$17="Type 4 m",MAX(105%*Q184,SA+H184),IF('Pre-Calculation'!$D$17="Type 4 o",MAX(SA,105%*Q184)+V184+X184,IF('Pre-Calculation'!$D$17="Type 5",0)))))))))))))*IF(AND(A184&lt;Revival!$C$4,C184&gt;Revival!$D$12),PUP,1)</f>
        <v>6830487.566</v>
      </c>
      <c r="L184" s="175">
        <f>H184-I184*(1+Tax)</f>
        <v>6830487.566</v>
      </c>
      <c r="M184" s="175">
        <f>L184*(1+GROWTH_RATE_HIST)</f>
        <v>6905119.579</v>
      </c>
      <c r="N184" s="175">
        <f>M184+IF(MOD(A184,B184)=0,VLOOKUP(B184,'Pre-Calculation'!$H$1:$L$31,5,FALSE),0)*IF('Pre-Calculation'!$D$16="% OF FV",M184,IF(OR('Pre-Calculation'!$D$16="% OF AFV(24M)",'Pre-Calculation'!$D$16="% OF AFV(8Q)"),AVERAGE( $M161:$M184),IF('Pre-Calculation'!$D$16="% OF AFV(12M)",AVERAGE($M173:M184),IF('Pre-Calculation'!$D$16="% OF AFV(36M)",AVERAGE($M149:M184)))))</f>
        <v>6905119.579</v>
      </c>
      <c r="O184" s="175">
        <f t="shared" si="4"/>
        <v>6905119.579</v>
      </c>
      <c r="P184" s="175">
        <f>IF('Pre-Calculation'!$D$17="Type 4 a",MAX(SA,N184,1.05*Q184),IF('Pre-Calculation'!$D$17="Type 4 c",N184,IF('Pre-Calculation'!$D$17="Type 4 d",SA+N184,IF('Pre-Calculation'!$D$17="Type 4 e",MAX(SA,N184),IF('Pre-Calculation'!$D$17="Type 4 f",SA,IF('Pre-Calculation'!$D$17="Type 4 g",1000+N184,IF('Pre-Calculation'!$D$17="Type 4 h",SA+V184,IF('Pre-Calculation'!$D$17="Type 4 i",MAX(N184,Q184),IF('Pre-Calculation'!$D$17="Type 4 k",MAX(N184,1.01*Q184),IF('Pre-Calculation'!$D$17="Type 4 m",MAX(105%*Q184,SA+N184),IF('Pre-Calculation'!$D$17="Type 4 o",MAX(SA,105%*Q184)+V184+X184,IF('Pre-Calculation'!$D$17="Type 5",0))))))))))))</f>
        <v>6905119.579</v>
      </c>
      <c r="Q184" s="175">
        <f t="shared" si="5"/>
        <v>1000000</v>
      </c>
      <c r="R184" s="119">
        <f>L184*(1+GROWTH_RATE)*FMC</f>
        <v>7729.533786</v>
      </c>
      <c r="S184" s="112"/>
      <c r="T184" s="175">
        <f>-E184+IF(A183=INPUT!$C$11*12,N184,0)</f>
        <v>0</v>
      </c>
      <c r="U184" s="112"/>
      <c r="V184" s="179">
        <f t="array" ref="V184">NPV('Pre-Calculation'!$E$20,$E185:E$246)</f>
        <v>0</v>
      </c>
      <c r="W184" s="171">
        <f>10%*SA</f>
        <v>100000</v>
      </c>
      <c r="X184" s="179">
        <f t="array" ref="X184">NPV('Pre-Calculation'!$E$20,W185:W194)</f>
        <v>969592.8037</v>
      </c>
      <c r="Y184" s="12"/>
      <c r="Z184" s="12"/>
    </row>
    <row r="185" ht="15.75" customHeight="1">
      <c r="A185" s="171">
        <f t="shared" si="1"/>
        <v>239</v>
      </c>
      <c r="B185" s="171">
        <f t="shared" si="2"/>
        <v>20</v>
      </c>
      <c r="C185" s="176">
        <f>EDATE(RCD,A184)</f>
        <v>49795</v>
      </c>
      <c r="D185" s="171">
        <f>Age_At_Entry+Cashflows_HIST!B185-1</f>
        <v>54</v>
      </c>
      <c r="E185" s="175">
        <f>IF(AND(C185&lt;=Last_Prem,MOD(A184,Mode)=0,C185&gt;INPUT!$C$13,A185&lt;=Revival!$C$11),Mod_Prem,0)</f>
        <v>0</v>
      </c>
      <c r="F185" s="177">
        <f>E185*VLOOKUP(B185,'Pre-Calculation'!$H$1:$I$31,2,FALSE)</f>
        <v>0</v>
      </c>
      <c r="G185" s="177">
        <f>IF(B185&lt;PT+1,VLOOKUP(B185,'Pre-Calculation'!$H$1:$L$32,3,FALSE)+VLOOKUP(B185,'Pre-Calculation'!$H$1:$L$32,4,FALSE)*'Pre-Calculation'!$D$7,0)</f>
        <v>0</v>
      </c>
      <c r="H185" s="175">
        <f>(E185-(F185+G185)*(1+Tax)+N184)</f>
        <v>6905119.579</v>
      </c>
      <c r="I185" s="175">
        <f>IF(B185&lt;PT+1,VLOOKUP(D185,'Pre-Calculation'!$N$3:$P$79,IF(INPUT!$C$4="M",2,3),FALSE)*(J185/1000)*(1/12),0)</f>
        <v>0</v>
      </c>
      <c r="J185" s="175">
        <f t="shared" si="3"/>
        <v>0</v>
      </c>
      <c r="K185" s="175">
        <f>(IF('Pre-Calculation'!$D$17="Type 4 a",MAX(SA,H185,1.05*Q185),IF('Pre-Calculation'!$D$17="Type 4 c",H185,IF('Pre-Calculation'!$D$17="Type 4 d",SA+H185,IF('Pre-Calculation'!$D$17="Type 4 e",MAX(SA,H185),IF('Pre-Calculation'!$D$17="Type 4 f",SA,IF('Pre-Calculation'!$D$17="Type 4 g",1000+H185,IF('Pre-Calculation'!$D$17="Type 4 h",SA+V185,IF('Pre-Calculation'!$D$17="Type 4 i",MAX(H185,Q185),IF('Pre-Calculation'!$D$17="Type 4 k",MAX(H185,1.01*Q185),IF('Pre-Calculation'!$D$17="Type 4 m",MAX(105%*Q185,SA+H185),IF('Pre-Calculation'!$D$17="Type 4 o",MAX(SA,105%*Q185)+V185+X185,IF('Pre-Calculation'!$D$17="Type 5",0)))))))))))))*IF(AND(A185&lt;Revival!$C$4,C185&gt;Revival!$D$12),PUP,1)</f>
        <v>6905119.579</v>
      </c>
      <c r="L185" s="175">
        <f>H185-I185*(1+Tax)</f>
        <v>6905119.579</v>
      </c>
      <c r="M185" s="175">
        <f>L185*(1+GROWTH_RATE_HIST)</f>
        <v>6980567.045</v>
      </c>
      <c r="N185" s="175">
        <f>M185+IF(MOD(A185,B185)=0,VLOOKUP(B185,'Pre-Calculation'!$H$1:$L$31,5,FALSE),0)*IF('Pre-Calculation'!$D$16="% OF FV",M185,IF(OR('Pre-Calculation'!$D$16="% OF AFV(24M)",'Pre-Calculation'!$D$16="% OF AFV(8Q)"),AVERAGE( $M162:$M185),IF('Pre-Calculation'!$D$16="% OF AFV(12M)",AVERAGE($M174:M185),IF('Pre-Calculation'!$D$16="% OF AFV(36M)",AVERAGE($M150:M185)))))</f>
        <v>6980567.045</v>
      </c>
      <c r="O185" s="175">
        <f t="shared" si="4"/>
        <v>6980567.045</v>
      </c>
      <c r="P185" s="175">
        <f>IF('Pre-Calculation'!$D$17="Type 4 a",MAX(SA,N185,1.05*Q185),IF('Pre-Calculation'!$D$17="Type 4 c",N185,IF('Pre-Calculation'!$D$17="Type 4 d",SA+N185,IF('Pre-Calculation'!$D$17="Type 4 e",MAX(SA,N185),IF('Pre-Calculation'!$D$17="Type 4 f",SA,IF('Pre-Calculation'!$D$17="Type 4 g",1000+N185,IF('Pre-Calculation'!$D$17="Type 4 h",SA+V185,IF('Pre-Calculation'!$D$17="Type 4 i",MAX(N185,Q185),IF('Pre-Calculation'!$D$17="Type 4 k",MAX(N185,1.01*Q185),IF('Pre-Calculation'!$D$17="Type 4 m",MAX(105%*Q185,SA+N185),IF('Pre-Calculation'!$D$17="Type 4 o",MAX(SA,105%*Q185)+V185+X185,IF('Pre-Calculation'!$D$17="Type 5",0))))))))))))</f>
        <v>6980567.045</v>
      </c>
      <c r="Q185" s="175">
        <f t="shared" si="5"/>
        <v>1000000</v>
      </c>
      <c r="R185" s="119">
        <f>L185*(1+GROWTH_RATE)*FMC</f>
        <v>7813.989055</v>
      </c>
      <c r="S185" s="112"/>
      <c r="T185" s="175">
        <f>-E185+IF(A184=INPUT!$C$11*12,N185,0)</f>
        <v>0</v>
      </c>
      <c r="U185" s="112"/>
      <c r="V185" s="179">
        <f t="array" ref="V185">NPV('Pre-Calculation'!$E$20,$E186:E$246)</f>
        <v>0</v>
      </c>
      <c r="W185" s="171">
        <f>10%*SA</f>
        <v>100000</v>
      </c>
      <c r="X185" s="179">
        <f t="array" ref="X185">NPV('Pre-Calculation'!$E$20,W186:W195)</f>
        <v>969592.8037</v>
      </c>
      <c r="Y185" s="12"/>
      <c r="Z185" s="12"/>
    </row>
    <row r="186" ht="15.75" customHeight="1">
      <c r="A186" s="171">
        <f t="shared" si="1"/>
        <v>240</v>
      </c>
      <c r="B186" s="171">
        <f t="shared" si="2"/>
        <v>20</v>
      </c>
      <c r="C186" s="176">
        <f>EDATE(RCD,A185)</f>
        <v>49825</v>
      </c>
      <c r="D186" s="171">
        <f>Age_At_Entry+Cashflows_HIST!B186-1</f>
        <v>54</v>
      </c>
      <c r="E186" s="175">
        <f>IF(AND(C186&lt;=Last_Prem,MOD(A185,Mode)=0,C186&gt;INPUT!$C$13,A186&lt;=Revival!$C$11),Mod_Prem,0)</f>
        <v>0</v>
      </c>
      <c r="F186" s="177">
        <f>E186*VLOOKUP(B186,'Pre-Calculation'!$H$1:$I$31,2,FALSE)</f>
        <v>0</v>
      </c>
      <c r="G186" s="177">
        <f>IF(B186&lt;PT+1,VLOOKUP(B186,'Pre-Calculation'!$H$1:$L$32,3,FALSE)+VLOOKUP(B186,'Pre-Calculation'!$H$1:$L$32,4,FALSE)*'Pre-Calculation'!$D$7,0)</f>
        <v>0</v>
      </c>
      <c r="H186" s="175">
        <f>(E186-(F186+G186)*(1+Tax)+N185)</f>
        <v>6980567.045</v>
      </c>
      <c r="I186" s="175">
        <f>IF(B186&lt;PT+1,VLOOKUP(D186,'Pre-Calculation'!$N$3:$P$79,IF(INPUT!$C$4="M",2,3),FALSE)*(J186/1000)*(1/12),0)</f>
        <v>0</v>
      </c>
      <c r="J186" s="175">
        <f t="shared" si="3"/>
        <v>0</v>
      </c>
      <c r="K186" s="175">
        <f>(IF('Pre-Calculation'!$D$17="Type 4 a",MAX(SA,H186,1.05*Q186),IF('Pre-Calculation'!$D$17="Type 4 c",H186,IF('Pre-Calculation'!$D$17="Type 4 d",SA+H186,IF('Pre-Calculation'!$D$17="Type 4 e",MAX(SA,H186),IF('Pre-Calculation'!$D$17="Type 4 f",SA,IF('Pre-Calculation'!$D$17="Type 4 g",1000+H186,IF('Pre-Calculation'!$D$17="Type 4 h",SA+V186,IF('Pre-Calculation'!$D$17="Type 4 i",MAX(H186,Q186),IF('Pre-Calculation'!$D$17="Type 4 k",MAX(H186,1.01*Q186),IF('Pre-Calculation'!$D$17="Type 4 m",MAX(105%*Q186,SA+H186),IF('Pre-Calculation'!$D$17="Type 4 o",MAX(SA,105%*Q186)+V186+X186,IF('Pre-Calculation'!$D$17="Type 5",0)))))))))))))*IF(AND(A186&lt;Revival!$C$4,C186&gt;Revival!$D$12),PUP,1)</f>
        <v>6980567.045</v>
      </c>
      <c r="L186" s="175">
        <f>H186-I186*(1+Tax)</f>
        <v>6980567.045</v>
      </c>
      <c r="M186" s="175">
        <f>L186*(1+GROWTH_RATE_HIST)</f>
        <v>7056838.873</v>
      </c>
      <c r="N186" s="175">
        <f>M186+IF(MOD(A186,B186)=0,VLOOKUP(B186,'Pre-Calculation'!$H$1:$L$31,5,FALSE),0)*IF('Pre-Calculation'!$D$16="% OF FV",M186,IF(OR('Pre-Calculation'!$D$16="% OF AFV(24M)",'Pre-Calculation'!$D$16="% OF AFV(8Q)"),AVERAGE( $M163:$M186),IF('Pre-Calculation'!$D$16="% OF AFV(12M)",AVERAGE($M175:M186),IF('Pre-Calculation'!$D$16="% OF AFV(36M)",AVERAGE($M151:M186)))))</f>
        <v>7056838.873</v>
      </c>
      <c r="O186" s="175">
        <f t="shared" si="4"/>
        <v>7056838.873</v>
      </c>
      <c r="P186" s="175">
        <f>IF('Pre-Calculation'!$D$17="Type 4 a",MAX(SA,N186,1.05*Q186),IF('Pre-Calculation'!$D$17="Type 4 c",N186,IF('Pre-Calculation'!$D$17="Type 4 d",SA+N186,IF('Pre-Calculation'!$D$17="Type 4 e",MAX(SA,N186),IF('Pre-Calculation'!$D$17="Type 4 f",SA,IF('Pre-Calculation'!$D$17="Type 4 g",1000+N186,IF('Pre-Calculation'!$D$17="Type 4 h",SA+V186,IF('Pre-Calculation'!$D$17="Type 4 i",MAX(N186,Q186),IF('Pre-Calculation'!$D$17="Type 4 k",MAX(N186,1.01*Q186),IF('Pre-Calculation'!$D$17="Type 4 m",MAX(105%*Q186,SA+N186),IF('Pre-Calculation'!$D$17="Type 4 o",MAX(SA,105%*Q186)+V186+X186,IF('Pre-Calculation'!$D$17="Type 5",0))))))))))))</f>
        <v>7056838.873</v>
      </c>
      <c r="Q186" s="175">
        <f t="shared" si="5"/>
        <v>1000000</v>
      </c>
      <c r="R186" s="119">
        <f>L186*(1+GROWTH_RATE)*FMC</f>
        <v>7899.367109</v>
      </c>
      <c r="S186" s="112"/>
      <c r="T186" s="175">
        <f>-E186+IF(A185=INPUT!$C$11*12,N186,0)</f>
        <v>0</v>
      </c>
      <c r="U186" s="112"/>
      <c r="V186" s="179">
        <f t="array" ref="V186">NPV('Pre-Calculation'!$E$20,$E187:E$246)</f>
        <v>0</v>
      </c>
      <c r="W186" s="171">
        <f>10%*SA</f>
        <v>100000</v>
      </c>
      <c r="X186" s="179">
        <f t="array" ref="X186">NPV('Pre-Calculation'!$E$20,W187:W196)</f>
        <v>969592.8037</v>
      </c>
      <c r="Y186" s="12"/>
      <c r="Z186" s="12"/>
    </row>
    <row r="187" ht="15.75" customHeight="1">
      <c r="A187" s="171">
        <f t="shared" si="1"/>
        <v>241</v>
      </c>
      <c r="B187" s="171">
        <f t="shared" si="2"/>
        <v>21</v>
      </c>
      <c r="C187" s="176">
        <f>EDATE(RCD,A186)</f>
        <v>49856</v>
      </c>
      <c r="D187" s="171">
        <f>Age_At_Entry+Cashflows_HIST!B187-1</f>
        <v>55</v>
      </c>
      <c r="E187" s="175">
        <f>IF(AND(C187&lt;=Last_Prem,MOD(A186,Mode)=0,C187&gt;INPUT!$C$13,A187&lt;=Revival!$C$11),Mod_Prem,0)</f>
        <v>0</v>
      </c>
      <c r="F187" s="177">
        <f>E187*VLOOKUP(B187,'Pre-Calculation'!$H$1:$I$31,2,FALSE)</f>
        <v>0</v>
      </c>
      <c r="G187" s="177">
        <f>IF(B187&lt;PT+1,VLOOKUP(B187,'Pre-Calculation'!$H$1:$L$32,3,FALSE)+VLOOKUP(B187,'Pre-Calculation'!$H$1:$L$32,4,FALSE)*'Pre-Calculation'!$D$7,0)</f>
        <v>0</v>
      </c>
      <c r="H187" s="175">
        <f>(E187-(F187+G187)*(1+Tax)+N186)</f>
        <v>7056838.873</v>
      </c>
      <c r="I187" s="175">
        <f>IF(B187&lt;PT+1,VLOOKUP(D187,'Pre-Calculation'!$N$3:$P$79,IF(INPUT!$C$4="M",2,3),FALSE)*(J187/1000)*(1/12),0)</f>
        <v>0</v>
      </c>
      <c r="J187" s="175">
        <f t="shared" si="3"/>
        <v>0</v>
      </c>
      <c r="K187" s="175">
        <f>(IF('Pre-Calculation'!$D$17="Type 4 a",MAX(SA,H187,1.05*Q187),IF('Pre-Calculation'!$D$17="Type 4 c",H187,IF('Pre-Calculation'!$D$17="Type 4 d",SA+H187,IF('Pre-Calculation'!$D$17="Type 4 e",MAX(SA,H187),IF('Pre-Calculation'!$D$17="Type 4 f",SA,IF('Pre-Calculation'!$D$17="Type 4 g",1000+H187,IF('Pre-Calculation'!$D$17="Type 4 h",SA+V187,IF('Pre-Calculation'!$D$17="Type 4 i",MAX(H187,Q187),IF('Pre-Calculation'!$D$17="Type 4 k",MAX(H187,1.01*Q187),IF('Pre-Calculation'!$D$17="Type 4 m",MAX(105%*Q187,SA+H187),IF('Pre-Calculation'!$D$17="Type 4 o",MAX(SA,105%*Q187)+V187+X187,IF('Pre-Calculation'!$D$17="Type 5",0)))))))))))))*IF(AND(A187&lt;Revival!$C$4,C187&gt;Revival!$D$12),PUP,1)</f>
        <v>7056838.873</v>
      </c>
      <c r="L187" s="175">
        <f>H187-I187*(1+Tax)</f>
        <v>7056838.873</v>
      </c>
      <c r="M187" s="175">
        <f>L187*(1+GROWTH_RATE_HIST)</f>
        <v>7133944.07</v>
      </c>
      <c r="N187" s="175">
        <f>M187+IF(MOD(A187,B187)=0,VLOOKUP(B187,'Pre-Calculation'!$H$1:$L$31,5,FALSE),0)*IF('Pre-Calculation'!$D$16="% OF FV",M187,IF(OR('Pre-Calculation'!$D$16="% OF AFV(24M)",'Pre-Calculation'!$D$16="% OF AFV(8Q)"),AVERAGE( $M164:$M187),IF('Pre-Calculation'!$D$16="% OF AFV(12M)",AVERAGE($M176:M187),IF('Pre-Calculation'!$D$16="% OF AFV(36M)",AVERAGE($M152:M187)))))</f>
        <v>7133944.07</v>
      </c>
      <c r="O187" s="175">
        <f t="shared" si="4"/>
        <v>7133944.07</v>
      </c>
      <c r="P187" s="175">
        <f>IF('Pre-Calculation'!$D$17="Type 4 a",MAX(SA,N187,1.05*Q187),IF('Pre-Calculation'!$D$17="Type 4 c",N187,IF('Pre-Calculation'!$D$17="Type 4 d",SA+N187,IF('Pre-Calculation'!$D$17="Type 4 e",MAX(SA,N187),IF('Pre-Calculation'!$D$17="Type 4 f",SA,IF('Pre-Calculation'!$D$17="Type 4 g",1000+N187,IF('Pre-Calculation'!$D$17="Type 4 h",SA+V187,IF('Pre-Calculation'!$D$17="Type 4 i",MAX(N187,Q187),IF('Pre-Calculation'!$D$17="Type 4 k",MAX(N187,1.01*Q187),IF('Pre-Calculation'!$D$17="Type 4 m",MAX(105%*Q187,SA+N187),IF('Pre-Calculation'!$D$17="Type 4 o",MAX(SA,105%*Q187)+V187+X187,IF('Pre-Calculation'!$D$17="Type 5",0))))))))))))</f>
        <v>7133944.07</v>
      </c>
      <c r="Q187" s="175">
        <f t="shared" si="5"/>
        <v>1000000</v>
      </c>
      <c r="R187" s="119">
        <f>L187*(1+GROWTH_RATE)*FMC</f>
        <v>7985.67803</v>
      </c>
      <c r="S187" s="112"/>
      <c r="T187" s="175">
        <f>-E187+IF(A186=INPUT!$C$11*12,N187,0)</f>
        <v>0</v>
      </c>
      <c r="U187" s="112"/>
      <c r="V187" s="179">
        <f t="array" ref="V187">NPV('Pre-Calculation'!$E$20,$E188:E$246)</f>
        <v>0</v>
      </c>
      <c r="W187" s="171">
        <f>10%*SA</f>
        <v>100000</v>
      </c>
      <c r="X187" s="179">
        <f t="array" ref="X187">NPV('Pre-Calculation'!$E$20,W188:W197)</f>
        <v>969592.8037</v>
      </c>
      <c r="Y187" s="12"/>
      <c r="Z187" s="12"/>
    </row>
    <row r="188" ht="15.75" customHeight="1">
      <c r="A188" s="171">
        <f t="shared" si="1"/>
        <v>242</v>
      </c>
      <c r="B188" s="171">
        <f t="shared" si="2"/>
        <v>21</v>
      </c>
      <c r="C188" s="176">
        <f>EDATE(RCD,A187)</f>
        <v>49886</v>
      </c>
      <c r="D188" s="171">
        <f>Age_At_Entry+Cashflows_HIST!B188-1</f>
        <v>55</v>
      </c>
      <c r="E188" s="175">
        <f>IF(AND(C188&lt;=Last_Prem,MOD(A187,Mode)=0,C188&gt;INPUT!$C$13,A188&lt;=Revival!$C$11),Mod_Prem,0)</f>
        <v>0</v>
      </c>
      <c r="F188" s="177">
        <f>E188*VLOOKUP(B188,'Pre-Calculation'!$H$1:$I$31,2,FALSE)</f>
        <v>0</v>
      </c>
      <c r="G188" s="177">
        <f>IF(B188&lt;PT+1,VLOOKUP(B188,'Pre-Calculation'!$H$1:$L$32,3,FALSE)+VLOOKUP(B188,'Pre-Calculation'!$H$1:$L$32,4,FALSE)*'Pre-Calculation'!$D$7,0)</f>
        <v>0</v>
      </c>
      <c r="H188" s="175">
        <f>(E188-(F188+G188)*(1+Tax)+N187)</f>
        <v>7133944.07</v>
      </c>
      <c r="I188" s="175">
        <f>IF(B188&lt;PT+1,VLOOKUP(D188,'Pre-Calculation'!$N$3:$P$79,IF(INPUT!$C$4="M",2,3),FALSE)*(J188/1000)*(1/12),0)</f>
        <v>0</v>
      </c>
      <c r="J188" s="175">
        <f t="shared" si="3"/>
        <v>0</v>
      </c>
      <c r="K188" s="175">
        <f>(IF('Pre-Calculation'!$D$17="Type 4 a",MAX(SA,H188,1.05*Q188),IF('Pre-Calculation'!$D$17="Type 4 c",H188,IF('Pre-Calculation'!$D$17="Type 4 d",SA+H188,IF('Pre-Calculation'!$D$17="Type 4 e",MAX(SA,H188),IF('Pre-Calculation'!$D$17="Type 4 f",SA,IF('Pre-Calculation'!$D$17="Type 4 g",1000+H188,IF('Pre-Calculation'!$D$17="Type 4 h",SA+V188,IF('Pre-Calculation'!$D$17="Type 4 i",MAX(H188,Q188),IF('Pre-Calculation'!$D$17="Type 4 k",MAX(H188,1.01*Q188),IF('Pre-Calculation'!$D$17="Type 4 m",MAX(105%*Q188,SA+H188),IF('Pre-Calculation'!$D$17="Type 4 o",MAX(SA,105%*Q188)+V188+X188,IF('Pre-Calculation'!$D$17="Type 5",0)))))))))))))*IF(AND(A188&lt;Revival!$C$4,C188&gt;Revival!$D$12),PUP,1)</f>
        <v>7133944.07</v>
      </c>
      <c r="L188" s="175">
        <f>H188-I188*(1+Tax)</f>
        <v>7133944.07</v>
      </c>
      <c r="M188" s="175">
        <f>L188*(1+GROWTH_RATE_HIST)</f>
        <v>7211891.743</v>
      </c>
      <c r="N188" s="175">
        <f>M188+IF(MOD(A188,B188)=0,VLOOKUP(B188,'Pre-Calculation'!$H$1:$L$31,5,FALSE),0)*IF('Pre-Calculation'!$D$16="% OF FV",M188,IF(OR('Pre-Calculation'!$D$16="% OF AFV(24M)",'Pre-Calculation'!$D$16="% OF AFV(8Q)"),AVERAGE( $M165:$M188),IF('Pre-Calculation'!$D$16="% OF AFV(12M)",AVERAGE($M177:M188),IF('Pre-Calculation'!$D$16="% OF AFV(36M)",AVERAGE($M153:M188)))))</f>
        <v>7211891.743</v>
      </c>
      <c r="O188" s="175">
        <f t="shared" si="4"/>
        <v>7211891.743</v>
      </c>
      <c r="P188" s="175">
        <f>IF('Pre-Calculation'!$D$17="Type 4 a",MAX(SA,N188,1.05*Q188),IF('Pre-Calculation'!$D$17="Type 4 c",N188,IF('Pre-Calculation'!$D$17="Type 4 d",SA+N188,IF('Pre-Calculation'!$D$17="Type 4 e",MAX(SA,N188),IF('Pre-Calculation'!$D$17="Type 4 f",SA,IF('Pre-Calculation'!$D$17="Type 4 g",1000+N188,IF('Pre-Calculation'!$D$17="Type 4 h",SA+V188,IF('Pre-Calculation'!$D$17="Type 4 i",MAX(N188,Q188),IF('Pre-Calculation'!$D$17="Type 4 k",MAX(N188,1.01*Q188),IF('Pre-Calculation'!$D$17="Type 4 m",MAX(105%*Q188,SA+N188),IF('Pre-Calculation'!$D$17="Type 4 o",MAX(SA,105%*Q188)+V188+X188,IF('Pre-Calculation'!$D$17="Type 5",0))))))))))))</f>
        <v>7211891.743</v>
      </c>
      <c r="Q188" s="175">
        <f t="shared" si="5"/>
        <v>1000000</v>
      </c>
      <c r="R188" s="119">
        <f>L188*(1+GROWTH_RATE)*FMC</f>
        <v>8072.932011</v>
      </c>
      <c r="S188" s="112"/>
      <c r="T188" s="175">
        <f>-E188+IF(A187=INPUT!$C$11*12,N188,0)</f>
        <v>0</v>
      </c>
      <c r="U188" s="112"/>
      <c r="V188" s="179">
        <f t="array" ref="V188">NPV('Pre-Calculation'!$E$20,$E189:E$246)</f>
        <v>0</v>
      </c>
      <c r="W188" s="171">
        <f>10%*SA</f>
        <v>100000</v>
      </c>
      <c r="X188" s="179">
        <f t="array" ref="X188">NPV('Pre-Calculation'!$E$20,W189:W198)</f>
        <v>969592.8037</v>
      </c>
      <c r="Y188" s="12"/>
      <c r="Z188" s="12"/>
    </row>
    <row r="189" ht="15.75" customHeight="1">
      <c r="A189" s="171">
        <f t="shared" si="1"/>
        <v>243</v>
      </c>
      <c r="B189" s="171">
        <f t="shared" si="2"/>
        <v>21</v>
      </c>
      <c r="C189" s="176">
        <f>EDATE(RCD,A188)</f>
        <v>49917</v>
      </c>
      <c r="D189" s="171">
        <f>Age_At_Entry+Cashflows_HIST!B189-1</f>
        <v>55</v>
      </c>
      <c r="E189" s="175">
        <f>IF(AND(C189&lt;=Last_Prem,MOD(A188,Mode)=0,C189&gt;INPUT!$C$13,A189&lt;=Revival!$C$11),Mod_Prem,0)</f>
        <v>0</v>
      </c>
      <c r="F189" s="177">
        <f>E189*VLOOKUP(B189,'Pre-Calculation'!$H$1:$I$31,2,FALSE)</f>
        <v>0</v>
      </c>
      <c r="G189" s="177">
        <f>IF(B189&lt;PT+1,VLOOKUP(B189,'Pre-Calculation'!$H$1:$L$32,3,FALSE)+VLOOKUP(B189,'Pre-Calculation'!$H$1:$L$32,4,FALSE)*'Pre-Calculation'!$D$7,0)</f>
        <v>0</v>
      </c>
      <c r="H189" s="175">
        <f>(E189-(F189+G189)*(1+Tax)+N188)</f>
        <v>7211891.743</v>
      </c>
      <c r="I189" s="175">
        <f>IF(B189&lt;PT+1,VLOOKUP(D189,'Pre-Calculation'!$N$3:$P$79,IF(INPUT!$C$4="M",2,3),FALSE)*(J189/1000)*(1/12),0)</f>
        <v>0</v>
      </c>
      <c r="J189" s="175">
        <f t="shared" si="3"/>
        <v>0</v>
      </c>
      <c r="K189" s="175">
        <f>(IF('Pre-Calculation'!$D$17="Type 4 a",MAX(SA,H189,1.05*Q189),IF('Pre-Calculation'!$D$17="Type 4 c",H189,IF('Pre-Calculation'!$D$17="Type 4 d",SA+H189,IF('Pre-Calculation'!$D$17="Type 4 e",MAX(SA,H189),IF('Pre-Calculation'!$D$17="Type 4 f",SA,IF('Pre-Calculation'!$D$17="Type 4 g",1000+H189,IF('Pre-Calculation'!$D$17="Type 4 h",SA+V189,IF('Pre-Calculation'!$D$17="Type 4 i",MAX(H189,Q189),IF('Pre-Calculation'!$D$17="Type 4 k",MAX(H189,1.01*Q189),IF('Pre-Calculation'!$D$17="Type 4 m",MAX(105%*Q189,SA+H189),IF('Pre-Calculation'!$D$17="Type 4 o",MAX(SA,105%*Q189)+V189+X189,IF('Pre-Calculation'!$D$17="Type 5",0)))))))))))))*IF(AND(A189&lt;Revival!$C$4,C189&gt;Revival!$D$12),PUP,1)</f>
        <v>7211891.743</v>
      </c>
      <c r="L189" s="175">
        <f>H189-I189*(1+Tax)</f>
        <v>7211891.743</v>
      </c>
      <c r="M189" s="175">
        <f>L189*(1+GROWTH_RATE_HIST)</f>
        <v>7290691.096</v>
      </c>
      <c r="N189" s="175">
        <f>M189+IF(MOD(A189,B189)=0,VLOOKUP(B189,'Pre-Calculation'!$H$1:$L$31,5,FALSE),0)*IF('Pre-Calculation'!$D$16="% OF FV",M189,IF(OR('Pre-Calculation'!$D$16="% OF AFV(24M)",'Pre-Calculation'!$D$16="% OF AFV(8Q)"),AVERAGE( $M166:$M189),IF('Pre-Calculation'!$D$16="% OF AFV(12M)",AVERAGE($M178:M189),IF('Pre-Calculation'!$D$16="% OF AFV(36M)",AVERAGE($M154:M189)))))</f>
        <v>7290691.096</v>
      </c>
      <c r="O189" s="175">
        <f t="shared" si="4"/>
        <v>7290691.096</v>
      </c>
      <c r="P189" s="175">
        <f>IF('Pre-Calculation'!$D$17="Type 4 a",MAX(SA,N189,1.05*Q189),IF('Pre-Calculation'!$D$17="Type 4 c",N189,IF('Pre-Calculation'!$D$17="Type 4 d",SA+N189,IF('Pre-Calculation'!$D$17="Type 4 e",MAX(SA,N189),IF('Pre-Calculation'!$D$17="Type 4 f",SA,IF('Pre-Calculation'!$D$17="Type 4 g",1000+N189,IF('Pre-Calculation'!$D$17="Type 4 h",SA+V189,IF('Pre-Calculation'!$D$17="Type 4 i",MAX(N189,Q189),IF('Pre-Calculation'!$D$17="Type 4 k",MAX(N189,1.01*Q189),IF('Pre-Calculation'!$D$17="Type 4 m",MAX(105%*Q189,SA+N189),IF('Pre-Calculation'!$D$17="Type 4 o",MAX(SA,105%*Q189)+V189+X189,IF('Pre-Calculation'!$D$17="Type 5",0))))))))))))</f>
        <v>7290691.096</v>
      </c>
      <c r="Q189" s="175">
        <f t="shared" si="5"/>
        <v>1000000</v>
      </c>
      <c r="R189" s="119">
        <f>L189*(1+GROWTH_RATE)*FMC</f>
        <v>8161.139355</v>
      </c>
      <c r="S189" s="112"/>
      <c r="T189" s="175">
        <f>-E189+IF(A188=INPUT!$C$11*12,N189,0)</f>
        <v>0</v>
      </c>
      <c r="U189" s="112"/>
      <c r="V189" s="179">
        <f t="array" ref="V189">NPV('Pre-Calculation'!$E$20,$E190:E$246)</f>
        <v>0</v>
      </c>
      <c r="W189" s="171">
        <f>10%*SA</f>
        <v>100000</v>
      </c>
      <c r="X189" s="179">
        <f t="array" ref="X189">NPV('Pre-Calculation'!$E$20,W190:W199)</f>
        <v>969592.8037</v>
      </c>
      <c r="Y189" s="12"/>
      <c r="Z189" s="12"/>
    </row>
    <row r="190" ht="15.75" customHeight="1">
      <c r="A190" s="171">
        <f t="shared" si="1"/>
        <v>244</v>
      </c>
      <c r="B190" s="171">
        <f t="shared" si="2"/>
        <v>21</v>
      </c>
      <c r="C190" s="176">
        <f>EDATE(RCD,A189)</f>
        <v>49948</v>
      </c>
      <c r="D190" s="171">
        <f>Age_At_Entry+Cashflows_HIST!B190-1</f>
        <v>55</v>
      </c>
      <c r="E190" s="175">
        <f>IF(AND(C190&lt;=Last_Prem,MOD(A189,Mode)=0,C190&gt;INPUT!$C$13,A190&lt;=Revival!$C$11),Mod_Prem,0)</f>
        <v>0</v>
      </c>
      <c r="F190" s="177">
        <f>E190*VLOOKUP(B190,'Pre-Calculation'!$H$1:$I$31,2,FALSE)</f>
        <v>0</v>
      </c>
      <c r="G190" s="177">
        <f>IF(B190&lt;PT+1,VLOOKUP(B190,'Pre-Calculation'!$H$1:$L$32,3,FALSE)+VLOOKUP(B190,'Pre-Calculation'!$H$1:$L$32,4,FALSE)*'Pre-Calculation'!$D$7,0)</f>
        <v>0</v>
      </c>
      <c r="H190" s="175">
        <f>(E190-(F190+G190)*(1+Tax)+N189)</f>
        <v>7290691.096</v>
      </c>
      <c r="I190" s="175">
        <f>IF(B190&lt;PT+1,VLOOKUP(D190,'Pre-Calculation'!$N$3:$P$79,IF(INPUT!$C$4="M",2,3),FALSE)*(J190/1000)*(1/12),0)</f>
        <v>0</v>
      </c>
      <c r="J190" s="175">
        <f t="shared" si="3"/>
        <v>0</v>
      </c>
      <c r="K190" s="175">
        <f>(IF('Pre-Calculation'!$D$17="Type 4 a",MAX(SA,H190,1.05*Q190),IF('Pre-Calculation'!$D$17="Type 4 c",H190,IF('Pre-Calculation'!$D$17="Type 4 d",SA+H190,IF('Pre-Calculation'!$D$17="Type 4 e",MAX(SA,H190),IF('Pre-Calculation'!$D$17="Type 4 f",SA,IF('Pre-Calculation'!$D$17="Type 4 g",1000+H190,IF('Pre-Calculation'!$D$17="Type 4 h",SA+V190,IF('Pre-Calculation'!$D$17="Type 4 i",MAX(H190,Q190),IF('Pre-Calculation'!$D$17="Type 4 k",MAX(H190,1.01*Q190),IF('Pre-Calculation'!$D$17="Type 4 m",MAX(105%*Q190,SA+H190),IF('Pre-Calculation'!$D$17="Type 4 o",MAX(SA,105%*Q190)+V190+X190,IF('Pre-Calculation'!$D$17="Type 5",0)))))))))))))*IF(AND(A190&lt;Revival!$C$4,C190&gt;Revival!$D$12),PUP,1)</f>
        <v>7290691.096</v>
      </c>
      <c r="L190" s="175">
        <f>H190-I190*(1+Tax)</f>
        <v>7290691.096</v>
      </c>
      <c r="M190" s="175">
        <f>L190*(1+GROWTH_RATE_HIST)</f>
        <v>7370351.435</v>
      </c>
      <c r="N190" s="175">
        <f>M190+IF(MOD(A190,B190)=0,VLOOKUP(B190,'Pre-Calculation'!$H$1:$L$31,5,FALSE),0)*IF('Pre-Calculation'!$D$16="% OF FV",M190,IF(OR('Pre-Calculation'!$D$16="% OF AFV(24M)",'Pre-Calculation'!$D$16="% OF AFV(8Q)"),AVERAGE( $M167:$M190),IF('Pre-Calculation'!$D$16="% OF AFV(12M)",AVERAGE($M179:M190),IF('Pre-Calculation'!$D$16="% OF AFV(36M)",AVERAGE($M155:M190)))))</f>
        <v>7370351.435</v>
      </c>
      <c r="O190" s="175">
        <f t="shared" si="4"/>
        <v>7370351.435</v>
      </c>
      <c r="P190" s="175">
        <f>IF('Pre-Calculation'!$D$17="Type 4 a",MAX(SA,N190,1.05*Q190),IF('Pre-Calculation'!$D$17="Type 4 c",N190,IF('Pre-Calculation'!$D$17="Type 4 d",SA+N190,IF('Pre-Calculation'!$D$17="Type 4 e",MAX(SA,N190),IF('Pre-Calculation'!$D$17="Type 4 f",SA,IF('Pre-Calculation'!$D$17="Type 4 g",1000+N190,IF('Pre-Calculation'!$D$17="Type 4 h",SA+V190,IF('Pre-Calculation'!$D$17="Type 4 i",MAX(N190,Q190),IF('Pre-Calculation'!$D$17="Type 4 k",MAX(N190,1.01*Q190),IF('Pre-Calculation'!$D$17="Type 4 m",MAX(105%*Q190,SA+N190),IF('Pre-Calculation'!$D$17="Type 4 o",MAX(SA,105%*Q190)+V190+X190,IF('Pre-Calculation'!$D$17="Type 5",0))))))))))))</f>
        <v>7370351.435</v>
      </c>
      <c r="Q190" s="175">
        <f t="shared" si="5"/>
        <v>1000000</v>
      </c>
      <c r="R190" s="119">
        <f>L190*(1+GROWTH_RATE)*FMC</f>
        <v>8250.31048</v>
      </c>
      <c r="S190" s="112"/>
      <c r="T190" s="175">
        <f>-E190+IF(A189=INPUT!$C$11*12,N190,0)</f>
        <v>0</v>
      </c>
      <c r="U190" s="112"/>
      <c r="V190" s="179">
        <f t="array" ref="V190">NPV('Pre-Calculation'!$E$20,$E191:E$246)</f>
        <v>0</v>
      </c>
      <c r="W190" s="171">
        <f>10%*SA</f>
        <v>100000</v>
      </c>
      <c r="X190" s="179">
        <f t="array" ref="X190">NPV('Pre-Calculation'!$E$20,W191:W200)</f>
        <v>969592.8037</v>
      </c>
      <c r="Y190" s="12"/>
      <c r="Z190" s="12"/>
    </row>
    <row r="191" ht="15.75" customHeight="1">
      <c r="A191" s="171">
        <f t="shared" si="1"/>
        <v>245</v>
      </c>
      <c r="B191" s="171">
        <f t="shared" si="2"/>
        <v>21</v>
      </c>
      <c r="C191" s="176">
        <f>EDATE(RCD,A190)</f>
        <v>49978</v>
      </c>
      <c r="D191" s="171">
        <f>Age_At_Entry+Cashflows_HIST!B191-1</f>
        <v>55</v>
      </c>
      <c r="E191" s="175">
        <f>IF(AND(C191&lt;=Last_Prem,MOD(A190,Mode)=0,C191&gt;INPUT!$C$13,A191&lt;=Revival!$C$11),Mod_Prem,0)</f>
        <v>0</v>
      </c>
      <c r="F191" s="177">
        <f>E191*VLOOKUP(B191,'Pre-Calculation'!$H$1:$I$31,2,FALSE)</f>
        <v>0</v>
      </c>
      <c r="G191" s="177">
        <f>IF(B191&lt;PT+1,VLOOKUP(B191,'Pre-Calculation'!$H$1:$L$32,3,FALSE)+VLOOKUP(B191,'Pre-Calculation'!$H$1:$L$32,4,FALSE)*'Pre-Calculation'!$D$7,0)</f>
        <v>0</v>
      </c>
      <c r="H191" s="175">
        <f>(E191-(F191+G191)*(1+Tax)+N190)</f>
        <v>7370351.435</v>
      </c>
      <c r="I191" s="175">
        <f>IF(B191&lt;PT+1,VLOOKUP(D191,'Pre-Calculation'!$N$3:$P$79,IF(INPUT!$C$4="M",2,3),FALSE)*(J191/1000)*(1/12),0)</f>
        <v>0</v>
      </c>
      <c r="J191" s="175">
        <f t="shared" si="3"/>
        <v>0</v>
      </c>
      <c r="K191" s="175">
        <f>(IF('Pre-Calculation'!$D$17="Type 4 a",MAX(SA,H191,1.05*Q191),IF('Pre-Calculation'!$D$17="Type 4 c",H191,IF('Pre-Calculation'!$D$17="Type 4 d",SA+H191,IF('Pre-Calculation'!$D$17="Type 4 e",MAX(SA,H191),IF('Pre-Calculation'!$D$17="Type 4 f",SA,IF('Pre-Calculation'!$D$17="Type 4 g",1000+H191,IF('Pre-Calculation'!$D$17="Type 4 h",SA+V191,IF('Pre-Calculation'!$D$17="Type 4 i",MAX(H191,Q191),IF('Pre-Calculation'!$D$17="Type 4 k",MAX(H191,1.01*Q191),IF('Pre-Calculation'!$D$17="Type 4 m",MAX(105%*Q191,SA+H191),IF('Pre-Calculation'!$D$17="Type 4 o",MAX(SA,105%*Q191)+V191+X191,IF('Pre-Calculation'!$D$17="Type 5",0)))))))))))))*IF(AND(A191&lt;Revival!$C$4,C191&gt;Revival!$D$12),PUP,1)</f>
        <v>7370351.435</v>
      </c>
      <c r="L191" s="175">
        <f>H191-I191*(1+Tax)</f>
        <v>7370351.435</v>
      </c>
      <c r="M191" s="175">
        <f>L191*(1+GROWTH_RATE_HIST)</f>
        <v>7450882.168</v>
      </c>
      <c r="N191" s="175">
        <f>M191+IF(MOD(A191,B191)=0,VLOOKUP(B191,'Pre-Calculation'!$H$1:$L$31,5,FALSE),0)*IF('Pre-Calculation'!$D$16="% OF FV",M191,IF(OR('Pre-Calculation'!$D$16="% OF AFV(24M)",'Pre-Calculation'!$D$16="% OF AFV(8Q)"),AVERAGE( $M168:$M191),IF('Pre-Calculation'!$D$16="% OF AFV(12M)",AVERAGE($M180:M191),IF('Pre-Calculation'!$D$16="% OF AFV(36M)",AVERAGE($M156:M191)))))</f>
        <v>7450882.168</v>
      </c>
      <c r="O191" s="175">
        <f t="shared" si="4"/>
        <v>7450882.168</v>
      </c>
      <c r="P191" s="175">
        <f>IF('Pre-Calculation'!$D$17="Type 4 a",MAX(SA,N191,1.05*Q191),IF('Pre-Calculation'!$D$17="Type 4 c",N191,IF('Pre-Calculation'!$D$17="Type 4 d",SA+N191,IF('Pre-Calculation'!$D$17="Type 4 e",MAX(SA,N191),IF('Pre-Calculation'!$D$17="Type 4 f",SA,IF('Pre-Calculation'!$D$17="Type 4 g",1000+N191,IF('Pre-Calculation'!$D$17="Type 4 h",SA+V191,IF('Pre-Calculation'!$D$17="Type 4 i",MAX(N191,Q191),IF('Pre-Calculation'!$D$17="Type 4 k",MAX(N191,1.01*Q191),IF('Pre-Calculation'!$D$17="Type 4 m",MAX(105%*Q191,SA+N191),IF('Pre-Calculation'!$D$17="Type 4 o",MAX(SA,105%*Q191)+V191+X191,IF('Pre-Calculation'!$D$17="Type 5",0))))))))))))</f>
        <v>7450882.168</v>
      </c>
      <c r="Q191" s="175">
        <f t="shared" si="5"/>
        <v>1000000</v>
      </c>
      <c r="R191" s="119">
        <f>L191*(1+GROWTH_RATE)*FMC</f>
        <v>8340.455917</v>
      </c>
      <c r="S191" s="112"/>
      <c r="T191" s="175">
        <f>-E191+IF(A190=INPUT!$C$11*12,N191,0)</f>
        <v>0</v>
      </c>
      <c r="U191" s="112"/>
      <c r="V191" s="179">
        <f t="array" ref="V191">NPV('Pre-Calculation'!$E$20,$E192:E$246)</f>
        <v>0</v>
      </c>
      <c r="W191" s="171">
        <f>10%*SA</f>
        <v>100000</v>
      </c>
      <c r="X191" s="179">
        <f t="array" ref="X191">NPV('Pre-Calculation'!$E$20,W192:W201)</f>
        <v>969592.8037</v>
      </c>
      <c r="Y191" s="12"/>
      <c r="Z191" s="12"/>
    </row>
    <row r="192" ht="15.75" customHeight="1">
      <c r="A192" s="171">
        <f t="shared" si="1"/>
        <v>246</v>
      </c>
      <c r="B192" s="171">
        <f t="shared" si="2"/>
        <v>21</v>
      </c>
      <c r="C192" s="176">
        <f>EDATE(RCD,A191)</f>
        <v>50009</v>
      </c>
      <c r="D192" s="171">
        <f>Age_At_Entry+Cashflows_HIST!B192-1</f>
        <v>55</v>
      </c>
      <c r="E192" s="175">
        <f>IF(AND(C192&lt;=Last_Prem,MOD(A191,Mode)=0,C192&gt;INPUT!$C$13,A192&lt;=Revival!$C$11),Mod_Prem,0)</f>
        <v>0</v>
      </c>
      <c r="F192" s="177">
        <f>E192*VLOOKUP(B192,'Pre-Calculation'!$H$1:$I$31,2,FALSE)</f>
        <v>0</v>
      </c>
      <c r="G192" s="177">
        <f>IF(B192&lt;PT+1,VLOOKUP(B192,'Pre-Calculation'!$H$1:$L$32,3,FALSE)+VLOOKUP(B192,'Pre-Calculation'!$H$1:$L$32,4,FALSE)*'Pre-Calculation'!$D$7,0)</f>
        <v>0</v>
      </c>
      <c r="H192" s="175">
        <f>(E192-(F192+G192)*(1+Tax)+N191)</f>
        <v>7450882.168</v>
      </c>
      <c r="I192" s="175">
        <f>IF(B192&lt;PT+1,VLOOKUP(D192,'Pre-Calculation'!$N$3:$P$79,IF(INPUT!$C$4="M",2,3),FALSE)*(J192/1000)*(1/12),0)</f>
        <v>0</v>
      </c>
      <c r="J192" s="175">
        <f t="shared" si="3"/>
        <v>0</v>
      </c>
      <c r="K192" s="175">
        <f>(IF('Pre-Calculation'!$D$17="Type 4 a",MAX(SA,H192,1.05*Q192),IF('Pre-Calculation'!$D$17="Type 4 c",H192,IF('Pre-Calculation'!$D$17="Type 4 d",SA+H192,IF('Pre-Calculation'!$D$17="Type 4 e",MAX(SA,H192),IF('Pre-Calculation'!$D$17="Type 4 f",SA,IF('Pre-Calculation'!$D$17="Type 4 g",1000+H192,IF('Pre-Calculation'!$D$17="Type 4 h",SA+V192,IF('Pre-Calculation'!$D$17="Type 4 i",MAX(H192,Q192),IF('Pre-Calculation'!$D$17="Type 4 k",MAX(H192,1.01*Q192),IF('Pre-Calculation'!$D$17="Type 4 m",MAX(105%*Q192,SA+H192),IF('Pre-Calculation'!$D$17="Type 4 o",MAX(SA,105%*Q192)+V192+X192,IF('Pre-Calculation'!$D$17="Type 5",0)))))))))))))*IF(AND(A192&lt;Revival!$C$4,C192&gt;Revival!$D$12),PUP,1)</f>
        <v>7450882.168</v>
      </c>
      <c r="L192" s="175">
        <f>H192-I192*(1+Tax)</f>
        <v>7450882.168</v>
      </c>
      <c r="M192" s="175">
        <f>L192*(1+GROWTH_RATE_HIST)</f>
        <v>7532292.804</v>
      </c>
      <c r="N192" s="175">
        <f>M192+IF(MOD(A192,B192)=0,VLOOKUP(B192,'Pre-Calculation'!$H$1:$L$31,5,FALSE),0)*IF('Pre-Calculation'!$D$16="% OF FV",M192,IF(OR('Pre-Calculation'!$D$16="% OF AFV(24M)",'Pre-Calculation'!$D$16="% OF AFV(8Q)"),AVERAGE( $M169:$M192),IF('Pre-Calculation'!$D$16="% OF AFV(12M)",AVERAGE($M181:M192),IF('Pre-Calculation'!$D$16="% OF AFV(36M)",AVERAGE($M157:M192)))))</f>
        <v>7532292.804</v>
      </c>
      <c r="O192" s="175">
        <f t="shared" si="4"/>
        <v>7532292.804</v>
      </c>
      <c r="P192" s="175">
        <f>IF('Pre-Calculation'!$D$17="Type 4 a",MAX(SA,N192,1.05*Q192),IF('Pre-Calculation'!$D$17="Type 4 c",N192,IF('Pre-Calculation'!$D$17="Type 4 d",SA+N192,IF('Pre-Calculation'!$D$17="Type 4 e",MAX(SA,N192),IF('Pre-Calculation'!$D$17="Type 4 f",SA,IF('Pre-Calculation'!$D$17="Type 4 g",1000+N192,IF('Pre-Calculation'!$D$17="Type 4 h",SA+V192,IF('Pre-Calculation'!$D$17="Type 4 i",MAX(N192,Q192),IF('Pre-Calculation'!$D$17="Type 4 k",MAX(N192,1.01*Q192),IF('Pre-Calculation'!$D$17="Type 4 m",MAX(105%*Q192,SA+N192),IF('Pre-Calculation'!$D$17="Type 4 o",MAX(SA,105%*Q192)+V192+X192,IF('Pre-Calculation'!$D$17="Type 5",0))))))))))))</f>
        <v>7532292.804</v>
      </c>
      <c r="Q192" s="175">
        <f t="shared" si="5"/>
        <v>1000000</v>
      </c>
      <c r="R192" s="119">
        <f>L192*(1+GROWTH_RATE)*FMC</f>
        <v>8431.58631</v>
      </c>
      <c r="S192" s="112"/>
      <c r="T192" s="175">
        <f>-E192+IF(A191=INPUT!$C$11*12,N192,0)</f>
        <v>0</v>
      </c>
      <c r="U192" s="112"/>
      <c r="V192" s="179">
        <f t="array" ref="V192">NPV('Pre-Calculation'!$E$20,$E193:E$246)</f>
        <v>0</v>
      </c>
      <c r="W192" s="171">
        <f>10%*SA</f>
        <v>100000</v>
      </c>
      <c r="X192" s="179">
        <f t="array" ref="X192">NPV('Pre-Calculation'!$E$20,W193:W202)</f>
        <v>969592.8037</v>
      </c>
      <c r="Y192" s="12"/>
      <c r="Z192" s="12"/>
    </row>
    <row r="193" ht="15.75" customHeight="1">
      <c r="A193" s="171">
        <f t="shared" si="1"/>
        <v>247</v>
      </c>
      <c r="B193" s="171">
        <f t="shared" si="2"/>
        <v>21</v>
      </c>
      <c r="C193" s="176">
        <f>EDATE(RCD,A192)</f>
        <v>50039</v>
      </c>
      <c r="D193" s="171">
        <f>Age_At_Entry+Cashflows_HIST!B193-1</f>
        <v>55</v>
      </c>
      <c r="E193" s="175">
        <f>IF(AND(C193&lt;=Last_Prem,MOD(A192,Mode)=0,C193&gt;INPUT!$C$13,A193&lt;=Revival!$C$11),Mod_Prem,0)</f>
        <v>0</v>
      </c>
      <c r="F193" s="177">
        <f>E193*VLOOKUP(B193,'Pre-Calculation'!$H$1:$I$31,2,FALSE)</f>
        <v>0</v>
      </c>
      <c r="G193" s="177">
        <f>IF(B193&lt;PT+1,VLOOKUP(B193,'Pre-Calculation'!$H$1:$L$32,3,FALSE)+VLOOKUP(B193,'Pre-Calculation'!$H$1:$L$32,4,FALSE)*'Pre-Calculation'!$D$7,0)</f>
        <v>0</v>
      </c>
      <c r="H193" s="175">
        <f>(E193-(F193+G193)*(1+Tax)+N192)</f>
        <v>7532292.804</v>
      </c>
      <c r="I193" s="175">
        <f>IF(B193&lt;PT+1,VLOOKUP(D193,'Pre-Calculation'!$N$3:$P$79,IF(INPUT!$C$4="M",2,3),FALSE)*(J193/1000)*(1/12),0)</f>
        <v>0</v>
      </c>
      <c r="J193" s="175">
        <f t="shared" si="3"/>
        <v>0</v>
      </c>
      <c r="K193" s="175">
        <f>(IF('Pre-Calculation'!$D$17="Type 4 a",MAX(SA,H193,1.05*Q193),IF('Pre-Calculation'!$D$17="Type 4 c",H193,IF('Pre-Calculation'!$D$17="Type 4 d",SA+H193,IF('Pre-Calculation'!$D$17="Type 4 e",MAX(SA,H193),IF('Pre-Calculation'!$D$17="Type 4 f",SA,IF('Pre-Calculation'!$D$17="Type 4 g",1000+H193,IF('Pre-Calculation'!$D$17="Type 4 h",SA+V193,IF('Pre-Calculation'!$D$17="Type 4 i",MAX(H193,Q193),IF('Pre-Calculation'!$D$17="Type 4 k",MAX(H193,1.01*Q193),IF('Pre-Calculation'!$D$17="Type 4 m",MAX(105%*Q193,SA+H193),IF('Pre-Calculation'!$D$17="Type 4 o",MAX(SA,105%*Q193)+V193+X193,IF('Pre-Calculation'!$D$17="Type 5",0)))))))))))))*IF(AND(A193&lt;Revival!$C$4,C193&gt;Revival!$D$12),PUP,1)</f>
        <v>7532292.804</v>
      </c>
      <c r="L193" s="175">
        <f>H193-I193*(1+Tax)</f>
        <v>7532292.804</v>
      </c>
      <c r="M193" s="175">
        <f>L193*(1+GROWTH_RATE_HIST)</f>
        <v>7614592.958</v>
      </c>
      <c r="N193" s="175">
        <f>M193+IF(MOD(A193,B193)=0,VLOOKUP(B193,'Pre-Calculation'!$H$1:$L$31,5,FALSE),0)*IF('Pre-Calculation'!$D$16="% OF FV",M193,IF(OR('Pre-Calculation'!$D$16="% OF AFV(24M)",'Pre-Calculation'!$D$16="% OF AFV(8Q)"),AVERAGE( $M170:$M193),IF('Pre-Calculation'!$D$16="% OF AFV(12M)",AVERAGE($M182:M193),IF('Pre-Calculation'!$D$16="% OF AFV(36M)",AVERAGE($M158:M193)))))</f>
        <v>7614592.958</v>
      </c>
      <c r="O193" s="175">
        <f t="shared" si="4"/>
        <v>7614592.958</v>
      </c>
      <c r="P193" s="175">
        <f>IF('Pre-Calculation'!$D$17="Type 4 a",MAX(SA,N193,1.05*Q193),IF('Pre-Calculation'!$D$17="Type 4 c",N193,IF('Pre-Calculation'!$D$17="Type 4 d",SA+N193,IF('Pre-Calculation'!$D$17="Type 4 e",MAX(SA,N193),IF('Pre-Calculation'!$D$17="Type 4 f",SA,IF('Pre-Calculation'!$D$17="Type 4 g",1000+N193,IF('Pre-Calculation'!$D$17="Type 4 h",SA+V193,IF('Pre-Calculation'!$D$17="Type 4 i",MAX(N193,Q193),IF('Pre-Calculation'!$D$17="Type 4 k",MAX(N193,1.01*Q193),IF('Pre-Calculation'!$D$17="Type 4 m",MAX(105%*Q193,SA+N193),IF('Pre-Calculation'!$D$17="Type 4 o",MAX(SA,105%*Q193)+V193+X193,IF('Pre-Calculation'!$D$17="Type 5",0))))))))))))</f>
        <v>7614592.958</v>
      </c>
      <c r="Q193" s="175">
        <f t="shared" si="5"/>
        <v>1000000</v>
      </c>
      <c r="R193" s="119">
        <f>L193*(1+GROWTH_RATE)*FMC</f>
        <v>8523.712422</v>
      </c>
      <c r="S193" s="112"/>
      <c r="T193" s="175">
        <f>-E193+IF(A192=INPUT!$C$11*12,N193,0)</f>
        <v>0</v>
      </c>
      <c r="U193" s="112"/>
      <c r="V193" s="179">
        <f t="array" ref="V193">NPV('Pre-Calculation'!$E$20,$E194:E$246)</f>
        <v>0</v>
      </c>
      <c r="W193" s="171">
        <f>10%*SA</f>
        <v>100000</v>
      </c>
      <c r="X193" s="179">
        <f t="array" ref="X193">NPV('Pre-Calculation'!$E$20,W194:W203)</f>
        <v>969592.8037</v>
      </c>
      <c r="Y193" s="12"/>
      <c r="Z193" s="12"/>
    </row>
    <row r="194" ht="15.75" customHeight="1">
      <c r="A194" s="171">
        <f t="shared" si="1"/>
        <v>248</v>
      </c>
      <c r="B194" s="171">
        <f t="shared" si="2"/>
        <v>21</v>
      </c>
      <c r="C194" s="176">
        <f>EDATE(RCD,A193)</f>
        <v>50070</v>
      </c>
      <c r="D194" s="171">
        <f>Age_At_Entry+Cashflows_HIST!B194-1</f>
        <v>55</v>
      </c>
      <c r="E194" s="175">
        <f>IF(AND(C194&lt;=Last_Prem,MOD(A193,Mode)=0,C194&gt;INPUT!$C$13,A194&lt;=Revival!$C$11),Mod_Prem,0)</f>
        <v>0</v>
      </c>
      <c r="F194" s="177">
        <f>E194*VLOOKUP(B194,'Pre-Calculation'!$H$1:$I$31,2,FALSE)</f>
        <v>0</v>
      </c>
      <c r="G194" s="177">
        <f>IF(B194&lt;PT+1,VLOOKUP(B194,'Pre-Calculation'!$H$1:$L$32,3,FALSE)+VLOOKUP(B194,'Pre-Calculation'!$H$1:$L$32,4,FALSE)*'Pre-Calculation'!$D$7,0)</f>
        <v>0</v>
      </c>
      <c r="H194" s="175">
        <f>(E194-(F194+G194)*(1+Tax)+N193)</f>
        <v>7614592.958</v>
      </c>
      <c r="I194" s="175">
        <f>IF(B194&lt;PT+1,VLOOKUP(D194,'Pre-Calculation'!$N$3:$P$79,IF(INPUT!$C$4="M",2,3),FALSE)*(J194/1000)*(1/12),0)</f>
        <v>0</v>
      </c>
      <c r="J194" s="175">
        <f t="shared" si="3"/>
        <v>0</v>
      </c>
      <c r="K194" s="175">
        <f>(IF('Pre-Calculation'!$D$17="Type 4 a",MAX(SA,H194,1.05*Q194),IF('Pre-Calculation'!$D$17="Type 4 c",H194,IF('Pre-Calculation'!$D$17="Type 4 d",SA+H194,IF('Pre-Calculation'!$D$17="Type 4 e",MAX(SA,H194),IF('Pre-Calculation'!$D$17="Type 4 f",SA,IF('Pre-Calculation'!$D$17="Type 4 g",1000+H194,IF('Pre-Calculation'!$D$17="Type 4 h",SA+V194,IF('Pre-Calculation'!$D$17="Type 4 i",MAX(H194,Q194),IF('Pre-Calculation'!$D$17="Type 4 k",MAX(H194,1.01*Q194),IF('Pre-Calculation'!$D$17="Type 4 m",MAX(105%*Q194,SA+H194),IF('Pre-Calculation'!$D$17="Type 4 o",MAX(SA,105%*Q194)+V194+X194,IF('Pre-Calculation'!$D$17="Type 5",0)))))))))))))*IF(AND(A194&lt;Revival!$C$4,C194&gt;Revival!$D$12),PUP,1)</f>
        <v>7614592.958</v>
      </c>
      <c r="L194" s="175">
        <f>H194-I194*(1+Tax)</f>
        <v>7614592.958</v>
      </c>
      <c r="M194" s="175">
        <f>L194*(1+GROWTH_RATE_HIST)</f>
        <v>7697792.348</v>
      </c>
      <c r="N194" s="175">
        <f>M194+IF(MOD(A194,B194)=0,VLOOKUP(B194,'Pre-Calculation'!$H$1:$L$31,5,FALSE),0)*IF('Pre-Calculation'!$D$16="% OF FV",M194,IF(OR('Pre-Calculation'!$D$16="% OF AFV(24M)",'Pre-Calculation'!$D$16="% OF AFV(8Q)"),AVERAGE( $M171:$M194),IF('Pre-Calculation'!$D$16="% OF AFV(12M)",AVERAGE($M183:M194),IF('Pre-Calculation'!$D$16="% OF AFV(36M)",AVERAGE($M159:M194)))))</f>
        <v>7697792.348</v>
      </c>
      <c r="O194" s="175">
        <f t="shared" si="4"/>
        <v>7697792.348</v>
      </c>
      <c r="P194" s="175">
        <f>IF('Pre-Calculation'!$D$17="Type 4 a",MAX(SA,N194,1.05*Q194),IF('Pre-Calculation'!$D$17="Type 4 c",N194,IF('Pre-Calculation'!$D$17="Type 4 d",SA+N194,IF('Pre-Calculation'!$D$17="Type 4 e",MAX(SA,N194),IF('Pre-Calculation'!$D$17="Type 4 f",SA,IF('Pre-Calculation'!$D$17="Type 4 g",1000+N194,IF('Pre-Calculation'!$D$17="Type 4 h",SA+V194,IF('Pre-Calculation'!$D$17="Type 4 i",MAX(N194,Q194),IF('Pre-Calculation'!$D$17="Type 4 k",MAX(N194,1.01*Q194),IF('Pre-Calculation'!$D$17="Type 4 m",MAX(105%*Q194,SA+N194),IF('Pre-Calculation'!$D$17="Type 4 o",MAX(SA,105%*Q194)+V194+X194,IF('Pre-Calculation'!$D$17="Type 5",0))))))))))))</f>
        <v>7697792.348</v>
      </c>
      <c r="Q194" s="175">
        <f t="shared" si="5"/>
        <v>1000000</v>
      </c>
      <c r="R194" s="119">
        <f>L194*(1+GROWTH_RATE)*FMC</f>
        <v>8616.845132</v>
      </c>
      <c r="S194" s="112"/>
      <c r="T194" s="175">
        <f>-E194+IF(A193=INPUT!$C$11*12,N194,0)</f>
        <v>0</v>
      </c>
      <c r="U194" s="112"/>
      <c r="V194" s="179">
        <f t="array" ref="V194">NPV('Pre-Calculation'!$E$20,$E195:E$246)</f>
        <v>0</v>
      </c>
      <c r="W194" s="171">
        <f>10%*SA</f>
        <v>100000</v>
      </c>
      <c r="X194" s="179">
        <f t="array" ref="X194">NPV('Pre-Calculation'!$E$20,W195:W204)</f>
        <v>969592.8037</v>
      </c>
      <c r="Y194" s="12"/>
      <c r="Z194" s="12"/>
    </row>
    <row r="195" ht="15.75" customHeight="1">
      <c r="A195" s="171">
        <f t="shared" si="1"/>
        <v>249</v>
      </c>
      <c r="B195" s="171">
        <f t="shared" si="2"/>
        <v>21</v>
      </c>
      <c r="C195" s="176">
        <f>EDATE(RCD,A194)</f>
        <v>50099</v>
      </c>
      <c r="D195" s="171">
        <f>Age_At_Entry+Cashflows_HIST!B195-1</f>
        <v>55</v>
      </c>
      <c r="E195" s="175">
        <f>IF(AND(C195&lt;=Last_Prem,MOD(A194,Mode)=0,C195&gt;INPUT!$C$13,A195&lt;=Revival!$C$11),Mod_Prem,0)</f>
        <v>0</v>
      </c>
      <c r="F195" s="177">
        <f>E195*VLOOKUP(B195,'Pre-Calculation'!$H$1:$I$31,2,FALSE)</f>
        <v>0</v>
      </c>
      <c r="G195" s="177">
        <f>IF(B195&lt;PT+1,VLOOKUP(B195,'Pre-Calculation'!$H$1:$L$32,3,FALSE)+VLOOKUP(B195,'Pre-Calculation'!$H$1:$L$32,4,FALSE)*'Pre-Calculation'!$D$7,0)</f>
        <v>0</v>
      </c>
      <c r="H195" s="175">
        <f>(E195-(F195+G195)*(1+Tax)+N194)</f>
        <v>7697792.348</v>
      </c>
      <c r="I195" s="175">
        <f>IF(B195&lt;PT+1,VLOOKUP(D195,'Pre-Calculation'!$N$3:$P$79,IF(INPUT!$C$4="M",2,3),FALSE)*(J195/1000)*(1/12),0)</f>
        <v>0</v>
      </c>
      <c r="J195" s="175">
        <f t="shared" si="3"/>
        <v>0</v>
      </c>
      <c r="K195" s="175">
        <f>(IF('Pre-Calculation'!$D$17="Type 4 a",MAX(SA,H195,1.05*Q195),IF('Pre-Calculation'!$D$17="Type 4 c",H195,IF('Pre-Calculation'!$D$17="Type 4 d",SA+H195,IF('Pre-Calculation'!$D$17="Type 4 e",MAX(SA,H195),IF('Pre-Calculation'!$D$17="Type 4 f",SA,IF('Pre-Calculation'!$D$17="Type 4 g",1000+H195,IF('Pre-Calculation'!$D$17="Type 4 h",SA+V195,IF('Pre-Calculation'!$D$17="Type 4 i",MAX(H195,Q195),IF('Pre-Calculation'!$D$17="Type 4 k",MAX(H195,1.01*Q195),IF('Pre-Calculation'!$D$17="Type 4 m",MAX(105%*Q195,SA+H195),IF('Pre-Calculation'!$D$17="Type 4 o",MAX(SA,105%*Q195)+V195+X195,IF('Pre-Calculation'!$D$17="Type 5",0)))))))))))))*IF(AND(A195&lt;Revival!$C$4,C195&gt;Revival!$D$12),PUP,1)</f>
        <v>7697792.348</v>
      </c>
      <c r="L195" s="175">
        <f>H195-I195*(1+Tax)</f>
        <v>7697792.348</v>
      </c>
      <c r="M195" s="175">
        <f>L195*(1+GROWTH_RATE_HIST)</f>
        <v>7781900.801</v>
      </c>
      <c r="N195" s="175">
        <f>M195+IF(MOD(A195,B195)=0,VLOOKUP(B195,'Pre-Calculation'!$H$1:$L$31,5,FALSE),0)*IF('Pre-Calculation'!$D$16="% OF FV",M195,IF(OR('Pre-Calculation'!$D$16="% OF AFV(24M)",'Pre-Calculation'!$D$16="% OF AFV(8Q)"),AVERAGE( $M172:$M195),IF('Pre-Calculation'!$D$16="% OF AFV(12M)",AVERAGE($M184:M195),IF('Pre-Calculation'!$D$16="% OF AFV(36M)",AVERAGE($M160:M195)))))</f>
        <v>7781900.801</v>
      </c>
      <c r="O195" s="175">
        <f t="shared" si="4"/>
        <v>7781900.801</v>
      </c>
      <c r="P195" s="175">
        <f>IF('Pre-Calculation'!$D$17="Type 4 a",MAX(SA,N195,1.05*Q195),IF('Pre-Calculation'!$D$17="Type 4 c",N195,IF('Pre-Calculation'!$D$17="Type 4 d",SA+N195,IF('Pre-Calculation'!$D$17="Type 4 e",MAX(SA,N195),IF('Pre-Calculation'!$D$17="Type 4 f",SA,IF('Pre-Calculation'!$D$17="Type 4 g",1000+N195,IF('Pre-Calculation'!$D$17="Type 4 h",SA+V195,IF('Pre-Calculation'!$D$17="Type 4 i",MAX(N195,Q195),IF('Pre-Calculation'!$D$17="Type 4 k",MAX(N195,1.01*Q195),IF('Pre-Calculation'!$D$17="Type 4 m",MAX(105%*Q195,SA+N195),IF('Pre-Calculation'!$D$17="Type 4 o",MAX(SA,105%*Q195)+V195+X195,IF('Pre-Calculation'!$D$17="Type 5",0))))))))))))</f>
        <v>7781900.801</v>
      </c>
      <c r="Q195" s="175">
        <f t="shared" si="5"/>
        <v>1000000</v>
      </c>
      <c r="R195" s="119">
        <f>L195*(1+GROWTH_RATE)*FMC</f>
        <v>8710.995439</v>
      </c>
      <c r="S195" s="112"/>
      <c r="T195" s="175">
        <f>-E195+IF(A194=INPUT!$C$11*12,N195,0)</f>
        <v>0</v>
      </c>
      <c r="U195" s="112"/>
      <c r="V195" s="179">
        <f t="array" ref="V195">NPV('Pre-Calculation'!$E$20,$E196:E$246)</f>
        <v>0</v>
      </c>
      <c r="W195" s="171">
        <f>10%*SA</f>
        <v>100000</v>
      </c>
      <c r="X195" s="179">
        <f t="array" ref="X195">NPV('Pre-Calculation'!$E$20,W196:W205)</f>
        <v>969592.8037</v>
      </c>
      <c r="Y195" s="12"/>
      <c r="Z195" s="12"/>
    </row>
    <row r="196" ht="15.75" customHeight="1">
      <c r="A196" s="171">
        <f t="shared" si="1"/>
        <v>250</v>
      </c>
      <c r="B196" s="171">
        <f t="shared" si="2"/>
        <v>21</v>
      </c>
      <c r="C196" s="176">
        <f>EDATE(RCD,A195)</f>
        <v>50129</v>
      </c>
      <c r="D196" s="171">
        <f>Age_At_Entry+Cashflows_HIST!B196-1</f>
        <v>55</v>
      </c>
      <c r="E196" s="175">
        <f>IF(AND(C196&lt;=Last_Prem,MOD(A195,Mode)=0,C196&gt;INPUT!$C$13,A196&lt;=Revival!$C$11),Mod_Prem,0)</f>
        <v>0</v>
      </c>
      <c r="F196" s="177">
        <f>E196*VLOOKUP(B196,'Pre-Calculation'!$H$1:$I$31,2,FALSE)</f>
        <v>0</v>
      </c>
      <c r="G196" s="177">
        <f>IF(B196&lt;PT+1,VLOOKUP(B196,'Pre-Calculation'!$H$1:$L$32,3,FALSE)+VLOOKUP(B196,'Pre-Calculation'!$H$1:$L$32,4,FALSE)*'Pre-Calculation'!$D$7,0)</f>
        <v>0</v>
      </c>
      <c r="H196" s="175">
        <f>(E196-(F196+G196)*(1+Tax)+N195)</f>
        <v>7781900.801</v>
      </c>
      <c r="I196" s="175">
        <f>IF(B196&lt;PT+1,VLOOKUP(D196,'Pre-Calculation'!$N$3:$P$79,IF(INPUT!$C$4="M",2,3),FALSE)*(J196/1000)*(1/12),0)</f>
        <v>0</v>
      </c>
      <c r="J196" s="175">
        <f t="shared" si="3"/>
        <v>0</v>
      </c>
      <c r="K196" s="175">
        <f>(IF('Pre-Calculation'!$D$17="Type 4 a",MAX(SA,H196,1.05*Q196),IF('Pre-Calculation'!$D$17="Type 4 c",H196,IF('Pre-Calculation'!$D$17="Type 4 d",SA+H196,IF('Pre-Calculation'!$D$17="Type 4 e",MAX(SA,H196),IF('Pre-Calculation'!$D$17="Type 4 f",SA,IF('Pre-Calculation'!$D$17="Type 4 g",1000+H196,IF('Pre-Calculation'!$D$17="Type 4 h",SA+V196,IF('Pre-Calculation'!$D$17="Type 4 i",MAX(H196,Q196),IF('Pre-Calculation'!$D$17="Type 4 k",MAX(H196,1.01*Q196),IF('Pre-Calculation'!$D$17="Type 4 m",MAX(105%*Q196,SA+H196),IF('Pre-Calculation'!$D$17="Type 4 o",MAX(SA,105%*Q196)+V196+X196,IF('Pre-Calculation'!$D$17="Type 5",0)))))))))))))*IF(AND(A196&lt;Revival!$C$4,C196&gt;Revival!$D$12),PUP,1)</f>
        <v>7781900.801</v>
      </c>
      <c r="L196" s="175">
        <f>H196-I196*(1+Tax)</f>
        <v>7781900.801</v>
      </c>
      <c r="M196" s="175">
        <f>L196*(1+GROWTH_RATE_HIST)</f>
        <v>7866928.249</v>
      </c>
      <c r="N196" s="175">
        <f>M196+IF(MOD(A196,B196)=0,VLOOKUP(B196,'Pre-Calculation'!$H$1:$L$31,5,FALSE),0)*IF('Pre-Calculation'!$D$16="% OF FV",M196,IF(OR('Pre-Calculation'!$D$16="% OF AFV(24M)",'Pre-Calculation'!$D$16="% OF AFV(8Q)"),AVERAGE( $M173:$M196),IF('Pre-Calculation'!$D$16="% OF AFV(12M)",AVERAGE($M185:M196),IF('Pre-Calculation'!$D$16="% OF AFV(36M)",AVERAGE($M161:M196)))))</f>
        <v>7866928.249</v>
      </c>
      <c r="O196" s="175">
        <f t="shared" si="4"/>
        <v>7866928.249</v>
      </c>
      <c r="P196" s="175">
        <f>IF('Pre-Calculation'!$D$17="Type 4 a",MAX(SA,N196,1.05*Q196),IF('Pre-Calculation'!$D$17="Type 4 c",N196,IF('Pre-Calculation'!$D$17="Type 4 d",SA+N196,IF('Pre-Calculation'!$D$17="Type 4 e",MAX(SA,N196),IF('Pre-Calculation'!$D$17="Type 4 f",SA,IF('Pre-Calculation'!$D$17="Type 4 g",1000+N196,IF('Pre-Calculation'!$D$17="Type 4 h",SA+V196,IF('Pre-Calculation'!$D$17="Type 4 i",MAX(N196,Q196),IF('Pre-Calculation'!$D$17="Type 4 k",MAX(N196,1.01*Q196),IF('Pre-Calculation'!$D$17="Type 4 m",MAX(105%*Q196,SA+N196),IF('Pre-Calculation'!$D$17="Type 4 o",MAX(SA,105%*Q196)+V196+X196,IF('Pre-Calculation'!$D$17="Type 5",0))))))))))))</f>
        <v>7866928.249</v>
      </c>
      <c r="Q196" s="175">
        <f t="shared" si="5"/>
        <v>1000000</v>
      </c>
      <c r="R196" s="119">
        <f>L196*(1+GROWTH_RATE)*FMC</f>
        <v>8806.174462</v>
      </c>
      <c r="S196" s="112"/>
      <c r="T196" s="175">
        <f>-E196+IF(A195=INPUT!$C$11*12,N196,0)</f>
        <v>0</v>
      </c>
      <c r="U196" s="112"/>
      <c r="V196" s="179">
        <f t="array" ref="V196">NPV('Pre-Calculation'!$E$20,$E197:E$246)</f>
        <v>0</v>
      </c>
      <c r="W196" s="171">
        <f>10%*SA</f>
        <v>100000</v>
      </c>
      <c r="X196" s="179">
        <f t="array" ref="X196">NPV('Pre-Calculation'!$E$20,W197:W206)</f>
        <v>969592.8037</v>
      </c>
      <c r="Y196" s="12"/>
      <c r="Z196" s="12"/>
    </row>
    <row r="197" ht="15.75" customHeight="1">
      <c r="A197" s="171">
        <f t="shared" si="1"/>
        <v>251</v>
      </c>
      <c r="B197" s="171">
        <f t="shared" si="2"/>
        <v>21</v>
      </c>
      <c r="C197" s="176">
        <f>EDATE(RCD,A196)</f>
        <v>50160</v>
      </c>
      <c r="D197" s="171">
        <f>Age_At_Entry+Cashflows_HIST!B197-1</f>
        <v>55</v>
      </c>
      <c r="E197" s="175">
        <f>IF(AND(C197&lt;=Last_Prem,MOD(A196,Mode)=0,C197&gt;INPUT!$C$13,A197&lt;=Revival!$C$11),Mod_Prem,0)</f>
        <v>0</v>
      </c>
      <c r="F197" s="177">
        <f>E197*VLOOKUP(B197,'Pre-Calculation'!$H$1:$I$31,2,FALSE)</f>
        <v>0</v>
      </c>
      <c r="G197" s="177">
        <f>IF(B197&lt;PT+1,VLOOKUP(B197,'Pre-Calculation'!$H$1:$L$32,3,FALSE)+VLOOKUP(B197,'Pre-Calculation'!$H$1:$L$32,4,FALSE)*'Pre-Calculation'!$D$7,0)</f>
        <v>0</v>
      </c>
      <c r="H197" s="175">
        <f>(E197-(F197+G197)*(1+Tax)+N196)</f>
        <v>7866928.249</v>
      </c>
      <c r="I197" s="175">
        <f>IF(B197&lt;PT+1,VLOOKUP(D197,'Pre-Calculation'!$N$3:$P$79,IF(INPUT!$C$4="M",2,3),FALSE)*(J197/1000)*(1/12),0)</f>
        <v>0</v>
      </c>
      <c r="J197" s="175">
        <f t="shared" si="3"/>
        <v>0</v>
      </c>
      <c r="K197" s="175">
        <f>(IF('Pre-Calculation'!$D$17="Type 4 a",MAX(SA,H197,1.05*Q197),IF('Pre-Calculation'!$D$17="Type 4 c",H197,IF('Pre-Calculation'!$D$17="Type 4 d",SA+H197,IF('Pre-Calculation'!$D$17="Type 4 e",MAX(SA,H197),IF('Pre-Calculation'!$D$17="Type 4 f",SA,IF('Pre-Calculation'!$D$17="Type 4 g",1000+H197,IF('Pre-Calculation'!$D$17="Type 4 h",SA+V197,IF('Pre-Calculation'!$D$17="Type 4 i",MAX(H197,Q197),IF('Pre-Calculation'!$D$17="Type 4 k",MAX(H197,1.01*Q197),IF('Pre-Calculation'!$D$17="Type 4 m",MAX(105%*Q197,SA+H197),IF('Pre-Calculation'!$D$17="Type 4 o",MAX(SA,105%*Q197)+V197+X197,IF('Pre-Calculation'!$D$17="Type 5",0)))))))))))))*IF(AND(A197&lt;Revival!$C$4,C197&gt;Revival!$D$12),PUP,1)</f>
        <v>7866928.249</v>
      </c>
      <c r="L197" s="175">
        <f>H197-I197*(1+Tax)</f>
        <v>7866928.249</v>
      </c>
      <c r="M197" s="175">
        <f>L197*(1+GROWTH_RATE_HIST)</f>
        <v>7952884.733</v>
      </c>
      <c r="N197" s="175">
        <f>M197+IF(MOD(A197,B197)=0,VLOOKUP(B197,'Pre-Calculation'!$H$1:$L$31,5,FALSE),0)*IF('Pre-Calculation'!$D$16="% OF FV",M197,IF(OR('Pre-Calculation'!$D$16="% OF AFV(24M)",'Pre-Calculation'!$D$16="% OF AFV(8Q)"),AVERAGE( $M174:$M197),IF('Pre-Calculation'!$D$16="% OF AFV(12M)",AVERAGE($M186:M197),IF('Pre-Calculation'!$D$16="% OF AFV(36M)",AVERAGE($M162:M197)))))</f>
        <v>7952884.733</v>
      </c>
      <c r="O197" s="175">
        <f t="shared" si="4"/>
        <v>7952884.733</v>
      </c>
      <c r="P197" s="175">
        <f>IF('Pre-Calculation'!$D$17="Type 4 a",MAX(SA,N197,1.05*Q197),IF('Pre-Calculation'!$D$17="Type 4 c",N197,IF('Pre-Calculation'!$D$17="Type 4 d",SA+N197,IF('Pre-Calculation'!$D$17="Type 4 e",MAX(SA,N197),IF('Pre-Calculation'!$D$17="Type 4 f",SA,IF('Pre-Calculation'!$D$17="Type 4 g",1000+N197,IF('Pre-Calculation'!$D$17="Type 4 h",SA+V197,IF('Pre-Calculation'!$D$17="Type 4 i",MAX(N197,Q197),IF('Pre-Calculation'!$D$17="Type 4 k",MAX(N197,1.01*Q197),IF('Pre-Calculation'!$D$17="Type 4 m",MAX(105%*Q197,SA+N197),IF('Pre-Calculation'!$D$17="Type 4 o",MAX(SA,105%*Q197)+V197+X197,IF('Pre-Calculation'!$D$17="Type 5",0))))))))))))</f>
        <v>7952884.733</v>
      </c>
      <c r="Q197" s="175">
        <f t="shared" si="5"/>
        <v>1000000</v>
      </c>
      <c r="R197" s="119">
        <f>L197*(1+GROWTH_RATE)*FMC</f>
        <v>8902.393439</v>
      </c>
      <c r="S197" s="112"/>
      <c r="T197" s="175">
        <f>-E197+IF(A196=INPUT!$C$11*12,N197,0)</f>
        <v>0</v>
      </c>
      <c r="U197" s="112"/>
      <c r="V197" s="179">
        <f t="array" ref="V197">NPV('Pre-Calculation'!$E$20,$E198:E$246)</f>
        <v>0</v>
      </c>
      <c r="W197" s="171">
        <f>10%*SA</f>
        <v>100000</v>
      </c>
      <c r="X197" s="179">
        <f t="array" ref="X197">NPV('Pre-Calculation'!$E$20,W198:W207)</f>
        <v>969592.8037</v>
      </c>
      <c r="Y197" s="12"/>
      <c r="Z197" s="12"/>
    </row>
    <row r="198" ht="15.75" customHeight="1">
      <c r="A198" s="171">
        <f t="shared" si="1"/>
        <v>252</v>
      </c>
      <c r="B198" s="171">
        <f t="shared" si="2"/>
        <v>21</v>
      </c>
      <c r="C198" s="176">
        <f>EDATE(RCD,A197)</f>
        <v>50190</v>
      </c>
      <c r="D198" s="171">
        <f>Age_At_Entry+Cashflows_HIST!B198-1</f>
        <v>55</v>
      </c>
      <c r="E198" s="175">
        <f>IF(AND(C198&lt;=Last_Prem,MOD(A197,Mode)=0,C198&gt;INPUT!$C$13,A198&lt;=Revival!$C$11),Mod_Prem,0)</f>
        <v>0</v>
      </c>
      <c r="F198" s="177">
        <f>E198*VLOOKUP(B198,'Pre-Calculation'!$H$1:$I$31,2,FALSE)</f>
        <v>0</v>
      </c>
      <c r="G198" s="177">
        <f>IF(B198&lt;PT+1,VLOOKUP(B198,'Pre-Calculation'!$H$1:$L$32,3,FALSE)+VLOOKUP(B198,'Pre-Calculation'!$H$1:$L$32,4,FALSE)*'Pre-Calculation'!$D$7,0)</f>
        <v>0</v>
      </c>
      <c r="H198" s="175">
        <f>(E198-(F198+G198)*(1+Tax)+N197)</f>
        <v>7952884.733</v>
      </c>
      <c r="I198" s="175">
        <f>IF(B198&lt;PT+1,VLOOKUP(D198,'Pre-Calculation'!$N$3:$P$79,IF(INPUT!$C$4="M",2,3),FALSE)*(J198/1000)*(1/12),0)</f>
        <v>0</v>
      </c>
      <c r="J198" s="175">
        <f t="shared" si="3"/>
        <v>0</v>
      </c>
      <c r="K198" s="175">
        <f>(IF('Pre-Calculation'!$D$17="Type 4 a",MAX(SA,H198,1.05*Q198),IF('Pre-Calculation'!$D$17="Type 4 c",H198,IF('Pre-Calculation'!$D$17="Type 4 d",SA+H198,IF('Pre-Calculation'!$D$17="Type 4 e",MAX(SA,H198),IF('Pre-Calculation'!$D$17="Type 4 f",SA,IF('Pre-Calculation'!$D$17="Type 4 g",1000+H198,IF('Pre-Calculation'!$D$17="Type 4 h",SA+V198,IF('Pre-Calculation'!$D$17="Type 4 i",MAX(H198,Q198),IF('Pre-Calculation'!$D$17="Type 4 k",MAX(H198,1.01*Q198),IF('Pre-Calculation'!$D$17="Type 4 m",MAX(105%*Q198,SA+H198),IF('Pre-Calculation'!$D$17="Type 4 o",MAX(SA,105%*Q198)+V198+X198,IF('Pre-Calculation'!$D$17="Type 5",0)))))))))))))*IF(AND(A198&lt;Revival!$C$4,C198&gt;Revival!$D$12),PUP,1)</f>
        <v>7952884.733</v>
      </c>
      <c r="L198" s="175">
        <f>H198-I198*(1+Tax)</f>
        <v>7952884.733</v>
      </c>
      <c r="M198" s="175">
        <f>L198*(1+GROWTH_RATE_HIST)</f>
        <v>8039780.404</v>
      </c>
      <c r="N198" s="175">
        <f>M198+IF(MOD(A198,B198)=0,VLOOKUP(B198,'Pre-Calculation'!$H$1:$L$31,5,FALSE),0)*IF('Pre-Calculation'!$D$16="% OF FV",M198,IF(OR('Pre-Calculation'!$D$16="% OF AFV(24M)",'Pre-Calculation'!$D$16="% OF AFV(8Q)"),AVERAGE( $M175:$M198),IF('Pre-Calculation'!$D$16="% OF AFV(12M)",AVERAGE($M187:M198),IF('Pre-Calculation'!$D$16="% OF AFV(36M)",AVERAGE($M163:M198)))))</f>
        <v>8039780.404</v>
      </c>
      <c r="O198" s="175">
        <f t="shared" si="4"/>
        <v>8039780.404</v>
      </c>
      <c r="P198" s="175">
        <f>IF('Pre-Calculation'!$D$17="Type 4 a",MAX(SA,N198,1.05*Q198),IF('Pre-Calculation'!$D$17="Type 4 c",N198,IF('Pre-Calculation'!$D$17="Type 4 d",SA+N198,IF('Pre-Calculation'!$D$17="Type 4 e",MAX(SA,N198),IF('Pre-Calculation'!$D$17="Type 4 f",SA,IF('Pre-Calculation'!$D$17="Type 4 g",1000+N198,IF('Pre-Calculation'!$D$17="Type 4 h",SA+V198,IF('Pre-Calculation'!$D$17="Type 4 i",MAX(N198,Q198),IF('Pre-Calculation'!$D$17="Type 4 k",MAX(N198,1.01*Q198),IF('Pre-Calculation'!$D$17="Type 4 m",MAX(105%*Q198,SA+N198),IF('Pre-Calculation'!$D$17="Type 4 o",MAX(SA,105%*Q198)+V198+X198,IF('Pre-Calculation'!$D$17="Type 5",0))))))))))))</f>
        <v>8039780.404</v>
      </c>
      <c r="Q198" s="175">
        <f t="shared" si="5"/>
        <v>1000000</v>
      </c>
      <c r="R198" s="119">
        <f>L198*(1+GROWTH_RATE)*FMC</f>
        <v>8999.663735</v>
      </c>
      <c r="S198" s="112"/>
      <c r="T198" s="175">
        <f>-E198+IF(A197=INPUT!$C$11*12,N198,0)</f>
        <v>0</v>
      </c>
      <c r="U198" s="112"/>
      <c r="V198" s="179">
        <f t="array" ref="V198">NPV('Pre-Calculation'!$E$20,$E199:E$246)</f>
        <v>0</v>
      </c>
      <c r="W198" s="171">
        <f>10%*SA</f>
        <v>100000</v>
      </c>
      <c r="X198" s="179">
        <f t="array" ref="X198">NPV('Pre-Calculation'!$E$20,W199:W208)</f>
        <v>969592.8037</v>
      </c>
      <c r="Y198" s="12"/>
      <c r="Z198" s="12"/>
    </row>
    <row r="199" ht="15.75" customHeight="1">
      <c r="A199" s="171">
        <f t="shared" si="1"/>
        <v>253</v>
      </c>
      <c r="B199" s="171">
        <f t="shared" si="2"/>
        <v>22</v>
      </c>
      <c r="C199" s="176">
        <f>EDATE(RCD,A198)</f>
        <v>50221</v>
      </c>
      <c r="D199" s="171">
        <f>Age_At_Entry+Cashflows_HIST!B199-1</f>
        <v>56</v>
      </c>
      <c r="E199" s="175">
        <f>IF(AND(C199&lt;=Last_Prem,MOD(A198,Mode)=0,C199&gt;INPUT!$C$13,A199&lt;=Revival!$C$11),Mod_Prem,0)</f>
        <v>0</v>
      </c>
      <c r="F199" s="177">
        <f>E199*VLOOKUP(B199,'Pre-Calculation'!$H$1:$I$31,2,FALSE)</f>
        <v>0</v>
      </c>
      <c r="G199" s="177">
        <f>IF(B199&lt;PT+1,VLOOKUP(B199,'Pre-Calculation'!$H$1:$L$32,3,FALSE)+VLOOKUP(B199,'Pre-Calculation'!$H$1:$L$32,4,FALSE)*'Pre-Calculation'!$D$7,0)</f>
        <v>0</v>
      </c>
      <c r="H199" s="175">
        <f>(E199-(F199+G199)*(1+Tax)+N198)</f>
        <v>8039780.404</v>
      </c>
      <c r="I199" s="175">
        <f>IF(B199&lt;PT+1,VLOOKUP(D199,'Pre-Calculation'!$N$3:$P$79,IF(INPUT!$C$4="M",2,3),FALSE)*(J199/1000)*(1/12),0)</f>
        <v>0</v>
      </c>
      <c r="J199" s="175">
        <f t="shared" si="3"/>
        <v>0</v>
      </c>
      <c r="K199" s="175">
        <f>(IF('Pre-Calculation'!$D$17="Type 4 a",MAX(SA,H199,1.05*Q199),IF('Pre-Calculation'!$D$17="Type 4 c",H199,IF('Pre-Calculation'!$D$17="Type 4 d",SA+H199,IF('Pre-Calculation'!$D$17="Type 4 e",MAX(SA,H199),IF('Pre-Calculation'!$D$17="Type 4 f",SA,IF('Pre-Calculation'!$D$17="Type 4 g",1000+H199,IF('Pre-Calculation'!$D$17="Type 4 h",SA+V199,IF('Pre-Calculation'!$D$17="Type 4 i",MAX(H199,Q199),IF('Pre-Calculation'!$D$17="Type 4 k",MAX(H199,1.01*Q199),IF('Pre-Calculation'!$D$17="Type 4 m",MAX(105%*Q199,SA+H199),IF('Pre-Calculation'!$D$17="Type 4 o",MAX(SA,105%*Q199)+V199+X199,IF('Pre-Calculation'!$D$17="Type 5",0)))))))))))))*IF(AND(A199&lt;Revival!$C$4,C199&gt;Revival!$D$12),PUP,1)</f>
        <v>8039780.404</v>
      </c>
      <c r="L199" s="175">
        <f>H199-I199*(1+Tax)</f>
        <v>8039780.404</v>
      </c>
      <c r="M199" s="175">
        <f>L199*(1+GROWTH_RATE_HIST)</f>
        <v>8127625.524</v>
      </c>
      <c r="N199" s="175">
        <f>M199+IF(MOD(A199,B199)=0,VLOOKUP(B199,'Pre-Calculation'!$H$1:$L$31,5,FALSE),0)*IF('Pre-Calculation'!$D$16="% OF FV",M199,IF(OR('Pre-Calculation'!$D$16="% OF AFV(24M)",'Pre-Calculation'!$D$16="% OF AFV(8Q)"),AVERAGE( $M176:$M199),IF('Pre-Calculation'!$D$16="% OF AFV(12M)",AVERAGE($M188:M199),IF('Pre-Calculation'!$D$16="% OF AFV(36M)",AVERAGE($M164:M199)))))</f>
        <v>8127625.524</v>
      </c>
      <c r="O199" s="175">
        <f t="shared" si="4"/>
        <v>8127625.524</v>
      </c>
      <c r="P199" s="175">
        <f>IF('Pre-Calculation'!$D$17="Type 4 a",MAX(SA,N199,1.05*Q199),IF('Pre-Calculation'!$D$17="Type 4 c",N199,IF('Pre-Calculation'!$D$17="Type 4 d",SA+N199,IF('Pre-Calculation'!$D$17="Type 4 e",MAX(SA,N199),IF('Pre-Calculation'!$D$17="Type 4 f",SA,IF('Pre-Calculation'!$D$17="Type 4 g",1000+N199,IF('Pre-Calculation'!$D$17="Type 4 h",SA+V199,IF('Pre-Calculation'!$D$17="Type 4 i",MAX(N199,Q199),IF('Pre-Calculation'!$D$17="Type 4 k",MAX(N199,1.01*Q199),IF('Pre-Calculation'!$D$17="Type 4 m",MAX(105%*Q199,SA+N199),IF('Pre-Calculation'!$D$17="Type 4 o",MAX(SA,105%*Q199)+V199+X199,IF('Pre-Calculation'!$D$17="Type 5",0))))))))))))</f>
        <v>8127625.524</v>
      </c>
      <c r="Q199" s="175">
        <f t="shared" si="5"/>
        <v>1000000</v>
      </c>
      <c r="R199" s="119">
        <f>L199*(1+GROWTH_RATE)*FMC</f>
        <v>9097.996836</v>
      </c>
      <c r="S199" s="112"/>
      <c r="T199" s="175">
        <f>-E199+IF(A198=INPUT!$C$11*12,N199,0)</f>
        <v>0</v>
      </c>
      <c r="U199" s="112"/>
      <c r="V199" s="179">
        <f t="array" ref="V199">NPV('Pre-Calculation'!$E$20,$E200:E$246)</f>
        <v>0</v>
      </c>
      <c r="W199" s="171">
        <f>10%*SA</f>
        <v>100000</v>
      </c>
      <c r="X199" s="179">
        <f t="array" ref="X199">NPV('Pre-Calculation'!$E$20,W200:W209)</f>
        <v>969592.8037</v>
      </c>
      <c r="Y199" s="12"/>
      <c r="Z199" s="12"/>
    </row>
    <row r="200" ht="15.75" customHeight="1">
      <c r="A200" s="171">
        <f t="shared" si="1"/>
        <v>254</v>
      </c>
      <c r="B200" s="171">
        <f t="shared" si="2"/>
        <v>22</v>
      </c>
      <c r="C200" s="176">
        <f>EDATE(RCD,A199)</f>
        <v>50251</v>
      </c>
      <c r="D200" s="171">
        <f>Age_At_Entry+Cashflows_HIST!B200-1</f>
        <v>56</v>
      </c>
      <c r="E200" s="175">
        <f>IF(AND(C200&lt;=Last_Prem,MOD(A199,Mode)=0,C200&gt;INPUT!$C$13,A200&lt;=Revival!$C$11),Mod_Prem,0)</f>
        <v>0</v>
      </c>
      <c r="F200" s="177">
        <f>E200*VLOOKUP(B200,'Pre-Calculation'!$H$1:$I$31,2,FALSE)</f>
        <v>0</v>
      </c>
      <c r="G200" s="177">
        <f>IF(B200&lt;PT+1,VLOOKUP(B200,'Pre-Calculation'!$H$1:$L$32,3,FALSE)+VLOOKUP(B200,'Pre-Calculation'!$H$1:$L$32,4,FALSE)*'Pre-Calculation'!$D$7,0)</f>
        <v>0</v>
      </c>
      <c r="H200" s="175">
        <f>(E200-(F200+G200)*(1+Tax)+N199)</f>
        <v>8127625.524</v>
      </c>
      <c r="I200" s="175">
        <f>IF(B200&lt;PT+1,VLOOKUP(D200,'Pre-Calculation'!$N$3:$P$79,IF(INPUT!$C$4="M",2,3),FALSE)*(J200/1000)*(1/12),0)</f>
        <v>0</v>
      </c>
      <c r="J200" s="175">
        <f t="shared" si="3"/>
        <v>0</v>
      </c>
      <c r="K200" s="175">
        <f>(IF('Pre-Calculation'!$D$17="Type 4 a",MAX(SA,H200,1.05*Q200),IF('Pre-Calculation'!$D$17="Type 4 c",H200,IF('Pre-Calculation'!$D$17="Type 4 d",SA+H200,IF('Pre-Calculation'!$D$17="Type 4 e",MAX(SA,H200),IF('Pre-Calculation'!$D$17="Type 4 f",SA,IF('Pre-Calculation'!$D$17="Type 4 g",1000+H200,IF('Pre-Calculation'!$D$17="Type 4 h",SA+V200,IF('Pre-Calculation'!$D$17="Type 4 i",MAX(H200,Q200),IF('Pre-Calculation'!$D$17="Type 4 k",MAX(H200,1.01*Q200),IF('Pre-Calculation'!$D$17="Type 4 m",MAX(105%*Q200,SA+H200),IF('Pre-Calculation'!$D$17="Type 4 o",MAX(SA,105%*Q200)+V200+X200,IF('Pre-Calculation'!$D$17="Type 5",0)))))))))))))*IF(AND(A200&lt;Revival!$C$4,C200&gt;Revival!$D$12),PUP,1)</f>
        <v>8127625.524</v>
      </c>
      <c r="L200" s="175">
        <f>H200-I200*(1+Tax)</f>
        <v>8127625.524</v>
      </c>
      <c r="M200" s="175">
        <f>L200*(1+GROWTH_RATE_HIST)</f>
        <v>8216430.467</v>
      </c>
      <c r="N200" s="175">
        <f>M200+IF(MOD(A200,B200)=0,VLOOKUP(B200,'Pre-Calculation'!$H$1:$L$31,5,FALSE),0)*IF('Pre-Calculation'!$D$16="% OF FV",M200,IF(OR('Pre-Calculation'!$D$16="% OF AFV(24M)",'Pre-Calculation'!$D$16="% OF AFV(8Q)"),AVERAGE( $M177:$M200),IF('Pre-Calculation'!$D$16="% OF AFV(12M)",AVERAGE($M189:M200),IF('Pre-Calculation'!$D$16="% OF AFV(36M)",AVERAGE($M165:M200)))))</f>
        <v>8216430.467</v>
      </c>
      <c r="O200" s="175">
        <f t="shared" si="4"/>
        <v>8216430.467</v>
      </c>
      <c r="P200" s="175">
        <f>IF('Pre-Calculation'!$D$17="Type 4 a",MAX(SA,N200,1.05*Q200),IF('Pre-Calculation'!$D$17="Type 4 c",N200,IF('Pre-Calculation'!$D$17="Type 4 d",SA+N200,IF('Pre-Calculation'!$D$17="Type 4 e",MAX(SA,N200),IF('Pre-Calculation'!$D$17="Type 4 f",SA,IF('Pre-Calculation'!$D$17="Type 4 g",1000+N200,IF('Pre-Calculation'!$D$17="Type 4 h",SA+V200,IF('Pre-Calculation'!$D$17="Type 4 i",MAX(N200,Q200),IF('Pre-Calculation'!$D$17="Type 4 k",MAX(N200,1.01*Q200),IF('Pre-Calculation'!$D$17="Type 4 m",MAX(105%*Q200,SA+N200),IF('Pre-Calculation'!$D$17="Type 4 o",MAX(SA,105%*Q200)+V200+X200,IF('Pre-Calculation'!$D$17="Type 5",0))))))))))))</f>
        <v>8216430.467</v>
      </c>
      <c r="Q200" s="175">
        <f t="shared" si="5"/>
        <v>1000000</v>
      </c>
      <c r="R200" s="119">
        <f>L200*(1+GROWTH_RATE)*FMC</f>
        <v>9197.404355</v>
      </c>
      <c r="S200" s="112"/>
      <c r="T200" s="175">
        <f>-E200+IF(A199=INPUT!$C$11*12,N200,0)</f>
        <v>0</v>
      </c>
      <c r="U200" s="112"/>
      <c r="V200" s="179">
        <f t="array" ref="V200">NPV('Pre-Calculation'!$E$20,$E201:E$246)</f>
        <v>0</v>
      </c>
      <c r="W200" s="171">
        <f>10%*SA</f>
        <v>100000</v>
      </c>
      <c r="X200" s="179">
        <f t="array" ref="X200">NPV('Pre-Calculation'!$E$20,W201:W210)</f>
        <v>969592.8037</v>
      </c>
      <c r="Y200" s="12"/>
      <c r="Z200" s="12"/>
    </row>
    <row r="201" ht="15.75" customHeight="1">
      <c r="A201" s="171">
        <f t="shared" si="1"/>
        <v>255</v>
      </c>
      <c r="B201" s="171">
        <f t="shared" si="2"/>
        <v>22</v>
      </c>
      <c r="C201" s="176">
        <f>EDATE(RCD,A200)</f>
        <v>50282</v>
      </c>
      <c r="D201" s="171">
        <f>Age_At_Entry+Cashflows_HIST!B201-1</f>
        <v>56</v>
      </c>
      <c r="E201" s="175">
        <f>IF(AND(C201&lt;=Last_Prem,MOD(A200,Mode)=0,C201&gt;INPUT!$C$13,A201&lt;=Revival!$C$11),Mod_Prem,0)</f>
        <v>0</v>
      </c>
      <c r="F201" s="177">
        <f>E201*VLOOKUP(B201,'Pre-Calculation'!$H$1:$I$31,2,FALSE)</f>
        <v>0</v>
      </c>
      <c r="G201" s="177">
        <f>IF(B201&lt;PT+1,VLOOKUP(B201,'Pre-Calculation'!$H$1:$L$32,3,FALSE)+VLOOKUP(B201,'Pre-Calculation'!$H$1:$L$32,4,FALSE)*'Pre-Calculation'!$D$7,0)</f>
        <v>0</v>
      </c>
      <c r="H201" s="175">
        <f>(E201-(F201+G201)*(1+Tax)+N200)</f>
        <v>8216430.467</v>
      </c>
      <c r="I201" s="175">
        <f>IF(B201&lt;PT+1,VLOOKUP(D201,'Pre-Calculation'!$N$3:$P$79,IF(INPUT!$C$4="M",2,3),FALSE)*(J201/1000)*(1/12),0)</f>
        <v>0</v>
      </c>
      <c r="J201" s="175">
        <f t="shared" si="3"/>
        <v>0</v>
      </c>
      <c r="K201" s="175">
        <f>(IF('Pre-Calculation'!$D$17="Type 4 a",MAX(SA,H201,1.05*Q201),IF('Pre-Calculation'!$D$17="Type 4 c",H201,IF('Pre-Calculation'!$D$17="Type 4 d",SA+H201,IF('Pre-Calculation'!$D$17="Type 4 e",MAX(SA,H201),IF('Pre-Calculation'!$D$17="Type 4 f",SA,IF('Pre-Calculation'!$D$17="Type 4 g",1000+H201,IF('Pre-Calculation'!$D$17="Type 4 h",SA+V201,IF('Pre-Calculation'!$D$17="Type 4 i",MAX(H201,Q201),IF('Pre-Calculation'!$D$17="Type 4 k",MAX(H201,1.01*Q201),IF('Pre-Calculation'!$D$17="Type 4 m",MAX(105%*Q201,SA+H201),IF('Pre-Calculation'!$D$17="Type 4 o",MAX(SA,105%*Q201)+V201+X201,IF('Pre-Calculation'!$D$17="Type 5",0)))))))))))))*IF(AND(A201&lt;Revival!$C$4,C201&gt;Revival!$D$12),PUP,1)</f>
        <v>8216430.467</v>
      </c>
      <c r="L201" s="175">
        <f>H201-I201*(1+Tax)</f>
        <v>8216430.467</v>
      </c>
      <c r="M201" s="175">
        <f>L201*(1+GROWTH_RATE_HIST)</f>
        <v>8306205.719</v>
      </c>
      <c r="N201" s="175">
        <f>M201+IF(MOD(A201,B201)=0,VLOOKUP(B201,'Pre-Calculation'!$H$1:$L$31,5,FALSE),0)*IF('Pre-Calculation'!$D$16="% OF FV",M201,IF(OR('Pre-Calculation'!$D$16="% OF AFV(24M)",'Pre-Calculation'!$D$16="% OF AFV(8Q)"),AVERAGE( $M178:$M201),IF('Pre-Calculation'!$D$16="% OF AFV(12M)",AVERAGE($M190:M201),IF('Pre-Calculation'!$D$16="% OF AFV(36M)",AVERAGE($M166:M201)))))</f>
        <v>8306205.719</v>
      </c>
      <c r="O201" s="175">
        <f t="shared" si="4"/>
        <v>8306205.719</v>
      </c>
      <c r="P201" s="175">
        <f>IF('Pre-Calculation'!$D$17="Type 4 a",MAX(SA,N201,1.05*Q201),IF('Pre-Calculation'!$D$17="Type 4 c",N201,IF('Pre-Calculation'!$D$17="Type 4 d",SA+N201,IF('Pre-Calculation'!$D$17="Type 4 e",MAX(SA,N201),IF('Pre-Calculation'!$D$17="Type 4 f",SA,IF('Pre-Calculation'!$D$17="Type 4 g",1000+N201,IF('Pre-Calculation'!$D$17="Type 4 h",SA+V201,IF('Pre-Calculation'!$D$17="Type 4 i",MAX(N201,Q201),IF('Pre-Calculation'!$D$17="Type 4 k",MAX(N201,1.01*Q201),IF('Pre-Calculation'!$D$17="Type 4 m",MAX(105%*Q201,SA+N201),IF('Pre-Calculation'!$D$17="Type 4 o",MAX(SA,105%*Q201)+V201+X201,IF('Pre-Calculation'!$D$17="Type 5",0))))))))))))</f>
        <v>8306205.719</v>
      </c>
      <c r="Q201" s="175">
        <f t="shared" si="5"/>
        <v>1000000</v>
      </c>
      <c r="R201" s="119">
        <f>L201*(1+GROWTH_RATE)*FMC</f>
        <v>9297.898031</v>
      </c>
      <c r="S201" s="112"/>
      <c r="T201" s="175">
        <f>-E201+IF(A200=INPUT!$C$11*12,N201,0)</f>
        <v>0</v>
      </c>
      <c r="U201" s="112"/>
      <c r="V201" s="179">
        <f t="array" ref="V201">NPV('Pre-Calculation'!$E$20,$E202:E$246)</f>
        <v>0</v>
      </c>
      <c r="W201" s="171">
        <f>10%*SA</f>
        <v>100000</v>
      </c>
      <c r="X201" s="179">
        <f t="array" ref="X201">NPV('Pre-Calculation'!$E$20,W202:W211)</f>
        <v>969592.8037</v>
      </c>
      <c r="Y201" s="12"/>
      <c r="Z201" s="12"/>
    </row>
    <row r="202" ht="15.75" customHeight="1">
      <c r="A202" s="171">
        <f t="shared" si="1"/>
        <v>256</v>
      </c>
      <c r="B202" s="171">
        <f t="shared" si="2"/>
        <v>22</v>
      </c>
      <c r="C202" s="176">
        <f>EDATE(RCD,A201)</f>
        <v>50313</v>
      </c>
      <c r="D202" s="171">
        <f>Age_At_Entry+Cashflows_HIST!B202-1</f>
        <v>56</v>
      </c>
      <c r="E202" s="175">
        <f>IF(AND(C202&lt;=Last_Prem,MOD(A201,Mode)=0,C202&gt;INPUT!$C$13,A202&lt;=Revival!$C$11),Mod_Prem,0)</f>
        <v>0</v>
      </c>
      <c r="F202" s="177">
        <f>E202*VLOOKUP(B202,'Pre-Calculation'!$H$1:$I$31,2,FALSE)</f>
        <v>0</v>
      </c>
      <c r="G202" s="177">
        <f>IF(B202&lt;PT+1,VLOOKUP(B202,'Pre-Calculation'!$H$1:$L$32,3,FALSE)+VLOOKUP(B202,'Pre-Calculation'!$H$1:$L$32,4,FALSE)*'Pre-Calculation'!$D$7,0)</f>
        <v>0</v>
      </c>
      <c r="H202" s="175">
        <f>(E202-(F202+G202)*(1+Tax)+N201)</f>
        <v>8306205.719</v>
      </c>
      <c r="I202" s="175">
        <f>IF(B202&lt;PT+1,VLOOKUP(D202,'Pre-Calculation'!$N$3:$P$79,IF(INPUT!$C$4="M",2,3),FALSE)*(J202/1000)*(1/12),0)</f>
        <v>0</v>
      </c>
      <c r="J202" s="175">
        <f t="shared" si="3"/>
        <v>0</v>
      </c>
      <c r="K202" s="175">
        <f>(IF('Pre-Calculation'!$D$17="Type 4 a",MAX(SA,H202,1.05*Q202),IF('Pre-Calculation'!$D$17="Type 4 c",H202,IF('Pre-Calculation'!$D$17="Type 4 d",SA+H202,IF('Pre-Calculation'!$D$17="Type 4 e",MAX(SA,H202),IF('Pre-Calculation'!$D$17="Type 4 f",SA,IF('Pre-Calculation'!$D$17="Type 4 g",1000+H202,IF('Pre-Calculation'!$D$17="Type 4 h",SA+V202,IF('Pre-Calculation'!$D$17="Type 4 i",MAX(H202,Q202),IF('Pre-Calculation'!$D$17="Type 4 k",MAX(H202,1.01*Q202),IF('Pre-Calculation'!$D$17="Type 4 m",MAX(105%*Q202,SA+H202),IF('Pre-Calculation'!$D$17="Type 4 o",MAX(SA,105%*Q202)+V202+X202,IF('Pre-Calculation'!$D$17="Type 5",0)))))))))))))*IF(AND(A202&lt;Revival!$C$4,C202&gt;Revival!$D$12),PUP,1)</f>
        <v>8306205.719</v>
      </c>
      <c r="L202" s="175">
        <f>H202-I202*(1+Tax)</f>
        <v>8306205.719</v>
      </c>
      <c r="M202" s="175">
        <f>L202*(1+GROWTH_RATE_HIST)</f>
        <v>8396961.884</v>
      </c>
      <c r="N202" s="175">
        <f>M202+IF(MOD(A202,B202)=0,VLOOKUP(B202,'Pre-Calculation'!$H$1:$L$31,5,FALSE),0)*IF('Pre-Calculation'!$D$16="% OF FV",M202,IF(OR('Pre-Calculation'!$D$16="% OF AFV(24M)",'Pre-Calculation'!$D$16="% OF AFV(8Q)"),AVERAGE( $M179:$M202),IF('Pre-Calculation'!$D$16="% OF AFV(12M)",AVERAGE($M191:M202),IF('Pre-Calculation'!$D$16="% OF AFV(36M)",AVERAGE($M167:M202)))))</f>
        <v>8396961.884</v>
      </c>
      <c r="O202" s="175">
        <f t="shared" si="4"/>
        <v>8396961.884</v>
      </c>
      <c r="P202" s="175">
        <f>IF('Pre-Calculation'!$D$17="Type 4 a",MAX(SA,N202,1.05*Q202),IF('Pre-Calculation'!$D$17="Type 4 c",N202,IF('Pre-Calculation'!$D$17="Type 4 d",SA+N202,IF('Pre-Calculation'!$D$17="Type 4 e",MAX(SA,N202),IF('Pre-Calculation'!$D$17="Type 4 f",SA,IF('Pre-Calculation'!$D$17="Type 4 g",1000+N202,IF('Pre-Calculation'!$D$17="Type 4 h",SA+V202,IF('Pre-Calculation'!$D$17="Type 4 i",MAX(N202,Q202),IF('Pre-Calculation'!$D$17="Type 4 k",MAX(N202,1.01*Q202),IF('Pre-Calculation'!$D$17="Type 4 m",MAX(105%*Q202,SA+N202),IF('Pre-Calculation'!$D$17="Type 4 o",MAX(SA,105%*Q202)+V202+X202,IF('Pre-Calculation'!$D$17="Type 5",0))))))))))))</f>
        <v>8396961.884</v>
      </c>
      <c r="Q202" s="175">
        <f t="shared" si="5"/>
        <v>1000000</v>
      </c>
      <c r="R202" s="119">
        <f>L202*(1+GROWTH_RATE)*FMC</f>
        <v>9399.489732</v>
      </c>
      <c r="S202" s="112"/>
      <c r="T202" s="175">
        <f>-E202+IF(A201=INPUT!$C$11*12,N202,0)</f>
        <v>0</v>
      </c>
      <c r="U202" s="112"/>
      <c r="V202" s="179">
        <f t="array" ref="V202">NPV('Pre-Calculation'!$E$20,$E203:E$246)</f>
        <v>0</v>
      </c>
      <c r="W202" s="171">
        <f>10%*SA</f>
        <v>100000</v>
      </c>
      <c r="X202" s="179">
        <f t="array" ref="X202">NPV('Pre-Calculation'!$E$20,W203:W212)</f>
        <v>969592.8037</v>
      </c>
      <c r="Y202" s="12"/>
      <c r="Z202" s="12"/>
    </row>
    <row r="203" ht="15.75" customHeight="1">
      <c r="A203" s="171">
        <f t="shared" si="1"/>
        <v>257</v>
      </c>
      <c r="B203" s="171">
        <f t="shared" si="2"/>
        <v>22</v>
      </c>
      <c r="C203" s="176">
        <f>EDATE(RCD,A202)</f>
        <v>50343</v>
      </c>
      <c r="D203" s="171">
        <f>Age_At_Entry+Cashflows_HIST!B203-1</f>
        <v>56</v>
      </c>
      <c r="E203" s="175">
        <f>IF(AND(C203&lt;=Last_Prem,MOD(A202,Mode)=0,C203&gt;INPUT!$C$13,A203&lt;=Revival!$C$11),Mod_Prem,0)</f>
        <v>0</v>
      </c>
      <c r="F203" s="177">
        <f>E203*VLOOKUP(B203,'Pre-Calculation'!$H$1:$I$31,2,FALSE)</f>
        <v>0</v>
      </c>
      <c r="G203" s="177">
        <f>IF(B203&lt;PT+1,VLOOKUP(B203,'Pre-Calculation'!$H$1:$L$32,3,FALSE)+VLOOKUP(B203,'Pre-Calculation'!$H$1:$L$32,4,FALSE)*'Pre-Calculation'!$D$7,0)</f>
        <v>0</v>
      </c>
      <c r="H203" s="175">
        <f>(E203-(F203+G203)*(1+Tax)+N202)</f>
        <v>8396961.884</v>
      </c>
      <c r="I203" s="175">
        <f>IF(B203&lt;PT+1,VLOOKUP(D203,'Pre-Calculation'!$N$3:$P$79,IF(INPUT!$C$4="M",2,3),FALSE)*(J203/1000)*(1/12),0)</f>
        <v>0</v>
      </c>
      <c r="J203" s="175">
        <f t="shared" si="3"/>
        <v>0</v>
      </c>
      <c r="K203" s="175">
        <f>(IF('Pre-Calculation'!$D$17="Type 4 a",MAX(SA,H203,1.05*Q203),IF('Pre-Calculation'!$D$17="Type 4 c",H203,IF('Pre-Calculation'!$D$17="Type 4 d",SA+H203,IF('Pre-Calculation'!$D$17="Type 4 e",MAX(SA,H203),IF('Pre-Calculation'!$D$17="Type 4 f",SA,IF('Pre-Calculation'!$D$17="Type 4 g",1000+H203,IF('Pre-Calculation'!$D$17="Type 4 h",SA+V203,IF('Pre-Calculation'!$D$17="Type 4 i",MAX(H203,Q203),IF('Pre-Calculation'!$D$17="Type 4 k",MAX(H203,1.01*Q203),IF('Pre-Calculation'!$D$17="Type 4 m",MAX(105%*Q203,SA+H203),IF('Pre-Calculation'!$D$17="Type 4 o",MAX(SA,105%*Q203)+V203+X203,IF('Pre-Calculation'!$D$17="Type 5",0)))))))))))))*IF(AND(A203&lt;Revival!$C$4,C203&gt;Revival!$D$12),PUP,1)</f>
        <v>8396961.884</v>
      </c>
      <c r="L203" s="175">
        <f>H203-I203*(1+Tax)</f>
        <v>8396961.884</v>
      </c>
      <c r="M203" s="175">
        <f>L203*(1+GROWTH_RATE_HIST)</f>
        <v>8488709.679</v>
      </c>
      <c r="N203" s="175">
        <f>M203+IF(MOD(A203,B203)=0,VLOOKUP(B203,'Pre-Calculation'!$H$1:$L$31,5,FALSE),0)*IF('Pre-Calculation'!$D$16="% OF FV",M203,IF(OR('Pre-Calculation'!$D$16="% OF AFV(24M)",'Pre-Calculation'!$D$16="% OF AFV(8Q)"),AVERAGE( $M180:$M203),IF('Pre-Calculation'!$D$16="% OF AFV(12M)",AVERAGE($M192:M203),IF('Pre-Calculation'!$D$16="% OF AFV(36M)",AVERAGE($M168:M203)))))</f>
        <v>8488709.679</v>
      </c>
      <c r="O203" s="175">
        <f t="shared" si="4"/>
        <v>8488709.679</v>
      </c>
      <c r="P203" s="175">
        <f>IF('Pre-Calculation'!$D$17="Type 4 a",MAX(SA,N203,1.05*Q203),IF('Pre-Calculation'!$D$17="Type 4 c",N203,IF('Pre-Calculation'!$D$17="Type 4 d",SA+N203,IF('Pre-Calculation'!$D$17="Type 4 e",MAX(SA,N203),IF('Pre-Calculation'!$D$17="Type 4 f",SA,IF('Pre-Calculation'!$D$17="Type 4 g",1000+N203,IF('Pre-Calculation'!$D$17="Type 4 h",SA+V203,IF('Pre-Calculation'!$D$17="Type 4 i",MAX(N203,Q203),IF('Pre-Calculation'!$D$17="Type 4 k",MAX(N203,1.01*Q203),IF('Pre-Calculation'!$D$17="Type 4 m",MAX(105%*Q203,SA+N203),IF('Pre-Calculation'!$D$17="Type 4 o",MAX(SA,105%*Q203)+V203+X203,IF('Pre-Calculation'!$D$17="Type 5",0))))))))))))</f>
        <v>8488709.679</v>
      </c>
      <c r="Q203" s="175">
        <f t="shared" si="5"/>
        <v>1000000</v>
      </c>
      <c r="R203" s="119">
        <f>L203*(1+GROWTH_RATE)*FMC</f>
        <v>9502.191455</v>
      </c>
      <c r="S203" s="112"/>
      <c r="T203" s="175">
        <f>-E203+IF(A202=INPUT!$C$11*12,N203,0)</f>
        <v>0</v>
      </c>
      <c r="U203" s="112"/>
      <c r="V203" s="179">
        <f t="array" ref="V203">NPV('Pre-Calculation'!$E$20,$E204:E$246)</f>
        <v>0</v>
      </c>
      <c r="W203" s="171">
        <f>10%*SA</f>
        <v>100000</v>
      </c>
      <c r="X203" s="179">
        <f t="array" ref="X203">NPV('Pre-Calculation'!$E$20,W204:W213)</f>
        <v>969592.8037</v>
      </c>
      <c r="Y203" s="12"/>
      <c r="Z203" s="12"/>
    </row>
    <row r="204" ht="15.75" customHeight="1">
      <c r="A204" s="171">
        <f t="shared" si="1"/>
        <v>258</v>
      </c>
      <c r="B204" s="171">
        <f t="shared" si="2"/>
        <v>22</v>
      </c>
      <c r="C204" s="176">
        <f>EDATE(RCD,A203)</f>
        <v>50374</v>
      </c>
      <c r="D204" s="171">
        <f>Age_At_Entry+Cashflows_HIST!B204-1</f>
        <v>56</v>
      </c>
      <c r="E204" s="175">
        <f>IF(AND(C204&lt;=Last_Prem,MOD(A203,Mode)=0,C204&gt;INPUT!$C$13,A204&lt;=Revival!$C$11),Mod_Prem,0)</f>
        <v>0</v>
      </c>
      <c r="F204" s="177">
        <f>E204*VLOOKUP(B204,'Pre-Calculation'!$H$1:$I$31,2,FALSE)</f>
        <v>0</v>
      </c>
      <c r="G204" s="177">
        <f>IF(B204&lt;PT+1,VLOOKUP(B204,'Pre-Calculation'!$H$1:$L$32,3,FALSE)+VLOOKUP(B204,'Pre-Calculation'!$H$1:$L$32,4,FALSE)*'Pre-Calculation'!$D$7,0)</f>
        <v>0</v>
      </c>
      <c r="H204" s="175">
        <f>(E204-(F204+G204)*(1+Tax)+N203)</f>
        <v>8488709.679</v>
      </c>
      <c r="I204" s="175">
        <f>IF(B204&lt;PT+1,VLOOKUP(D204,'Pre-Calculation'!$N$3:$P$79,IF(INPUT!$C$4="M",2,3),FALSE)*(J204/1000)*(1/12),0)</f>
        <v>0</v>
      </c>
      <c r="J204" s="175">
        <f t="shared" si="3"/>
        <v>0</v>
      </c>
      <c r="K204" s="175">
        <f>(IF('Pre-Calculation'!$D$17="Type 4 a",MAX(SA,H204,1.05*Q204),IF('Pre-Calculation'!$D$17="Type 4 c",H204,IF('Pre-Calculation'!$D$17="Type 4 d",SA+H204,IF('Pre-Calculation'!$D$17="Type 4 e",MAX(SA,H204),IF('Pre-Calculation'!$D$17="Type 4 f",SA,IF('Pre-Calculation'!$D$17="Type 4 g",1000+H204,IF('Pre-Calculation'!$D$17="Type 4 h",SA+V204,IF('Pre-Calculation'!$D$17="Type 4 i",MAX(H204,Q204),IF('Pre-Calculation'!$D$17="Type 4 k",MAX(H204,1.01*Q204),IF('Pre-Calculation'!$D$17="Type 4 m",MAX(105%*Q204,SA+H204),IF('Pre-Calculation'!$D$17="Type 4 o",MAX(SA,105%*Q204)+V204+X204,IF('Pre-Calculation'!$D$17="Type 5",0)))))))))))))*IF(AND(A204&lt;Revival!$C$4,C204&gt;Revival!$D$12),PUP,1)</f>
        <v>8488709.679</v>
      </c>
      <c r="L204" s="175">
        <f>H204-I204*(1+Tax)</f>
        <v>8488709.679</v>
      </c>
      <c r="M204" s="175">
        <f>L204*(1+GROWTH_RATE_HIST)</f>
        <v>8581459.939</v>
      </c>
      <c r="N204" s="175">
        <f>M204+IF(MOD(A204,B204)=0,VLOOKUP(B204,'Pre-Calculation'!$H$1:$L$31,5,FALSE),0)*IF('Pre-Calculation'!$D$16="% OF FV",M204,IF(OR('Pre-Calculation'!$D$16="% OF AFV(24M)",'Pre-Calculation'!$D$16="% OF AFV(8Q)"),AVERAGE( $M181:$M204),IF('Pre-Calculation'!$D$16="% OF AFV(12M)",AVERAGE($M193:M204),IF('Pre-Calculation'!$D$16="% OF AFV(36M)",AVERAGE($M169:M204)))))</f>
        <v>8581459.939</v>
      </c>
      <c r="O204" s="175">
        <f t="shared" si="4"/>
        <v>8581459.939</v>
      </c>
      <c r="P204" s="175">
        <f>IF('Pre-Calculation'!$D$17="Type 4 a",MAX(SA,N204,1.05*Q204),IF('Pre-Calculation'!$D$17="Type 4 c",N204,IF('Pre-Calculation'!$D$17="Type 4 d",SA+N204,IF('Pre-Calculation'!$D$17="Type 4 e",MAX(SA,N204),IF('Pre-Calculation'!$D$17="Type 4 f",SA,IF('Pre-Calculation'!$D$17="Type 4 g",1000+N204,IF('Pre-Calculation'!$D$17="Type 4 h",SA+V204,IF('Pre-Calculation'!$D$17="Type 4 i",MAX(N204,Q204),IF('Pre-Calculation'!$D$17="Type 4 k",MAX(N204,1.01*Q204),IF('Pre-Calculation'!$D$17="Type 4 m",MAX(105%*Q204,SA+N204),IF('Pre-Calculation'!$D$17="Type 4 o",MAX(SA,105%*Q204)+V204+X204,IF('Pre-Calculation'!$D$17="Type 5",0))))))))))))</f>
        <v>8581459.939</v>
      </c>
      <c r="Q204" s="175">
        <f t="shared" si="5"/>
        <v>1000000</v>
      </c>
      <c r="R204" s="119">
        <f>L204*(1+GROWTH_RATE)*FMC</f>
        <v>9606.015329</v>
      </c>
      <c r="S204" s="112"/>
      <c r="T204" s="175">
        <f>-E204+IF(A203=INPUT!$C$11*12,N204,0)</f>
        <v>0</v>
      </c>
      <c r="U204" s="112"/>
      <c r="V204" s="179">
        <f t="array" ref="V204">NPV('Pre-Calculation'!$E$20,$E205:E$246)</f>
        <v>0</v>
      </c>
      <c r="W204" s="171">
        <f>10%*SA</f>
        <v>100000</v>
      </c>
      <c r="X204" s="179">
        <f t="array" ref="X204">NPV('Pre-Calculation'!$E$20,W205:W214)</f>
        <v>969592.8037</v>
      </c>
      <c r="Y204" s="12"/>
      <c r="Z204" s="12"/>
    </row>
    <row r="205" ht="15.75" customHeight="1">
      <c r="A205" s="171">
        <f t="shared" si="1"/>
        <v>259</v>
      </c>
      <c r="B205" s="171">
        <f t="shared" si="2"/>
        <v>22</v>
      </c>
      <c r="C205" s="176">
        <f>EDATE(RCD,A204)</f>
        <v>50404</v>
      </c>
      <c r="D205" s="171">
        <f>Age_At_Entry+Cashflows_HIST!B205-1</f>
        <v>56</v>
      </c>
      <c r="E205" s="175">
        <f>IF(AND(C205&lt;=Last_Prem,MOD(A204,Mode)=0,C205&gt;INPUT!$C$13,A205&lt;=Revival!$C$11),Mod_Prem,0)</f>
        <v>0</v>
      </c>
      <c r="F205" s="177">
        <f>E205*VLOOKUP(B205,'Pre-Calculation'!$H$1:$I$31,2,FALSE)</f>
        <v>0</v>
      </c>
      <c r="G205" s="177">
        <f>IF(B205&lt;PT+1,VLOOKUP(B205,'Pre-Calculation'!$H$1:$L$32,3,FALSE)+VLOOKUP(B205,'Pre-Calculation'!$H$1:$L$32,4,FALSE)*'Pre-Calculation'!$D$7,0)</f>
        <v>0</v>
      </c>
      <c r="H205" s="175">
        <f>(E205-(F205+G205)*(1+Tax)+N204)</f>
        <v>8581459.939</v>
      </c>
      <c r="I205" s="175">
        <f>IF(B205&lt;PT+1,VLOOKUP(D205,'Pre-Calculation'!$N$3:$P$79,IF(INPUT!$C$4="M",2,3),FALSE)*(J205/1000)*(1/12),0)</f>
        <v>0</v>
      </c>
      <c r="J205" s="175">
        <f t="shared" si="3"/>
        <v>0</v>
      </c>
      <c r="K205" s="175">
        <f>(IF('Pre-Calculation'!$D$17="Type 4 a",MAX(SA,H205,1.05*Q205),IF('Pre-Calculation'!$D$17="Type 4 c",H205,IF('Pre-Calculation'!$D$17="Type 4 d",SA+H205,IF('Pre-Calculation'!$D$17="Type 4 e",MAX(SA,H205),IF('Pre-Calculation'!$D$17="Type 4 f",SA,IF('Pre-Calculation'!$D$17="Type 4 g",1000+H205,IF('Pre-Calculation'!$D$17="Type 4 h",SA+V205,IF('Pre-Calculation'!$D$17="Type 4 i",MAX(H205,Q205),IF('Pre-Calculation'!$D$17="Type 4 k",MAX(H205,1.01*Q205),IF('Pre-Calculation'!$D$17="Type 4 m",MAX(105%*Q205,SA+H205),IF('Pre-Calculation'!$D$17="Type 4 o",MAX(SA,105%*Q205)+V205+X205,IF('Pre-Calculation'!$D$17="Type 5",0)))))))))))))*IF(AND(A205&lt;Revival!$C$4,C205&gt;Revival!$D$12),PUP,1)</f>
        <v>8581459.939</v>
      </c>
      <c r="L205" s="175">
        <f>H205-I205*(1+Tax)</f>
        <v>8581459.939</v>
      </c>
      <c r="M205" s="175">
        <f>L205*(1+GROWTH_RATE_HIST)</f>
        <v>8675223.616</v>
      </c>
      <c r="N205" s="175">
        <f>M205+IF(MOD(A205,B205)=0,VLOOKUP(B205,'Pre-Calculation'!$H$1:$L$31,5,FALSE),0)*IF('Pre-Calculation'!$D$16="% OF FV",M205,IF(OR('Pre-Calculation'!$D$16="% OF AFV(24M)",'Pre-Calculation'!$D$16="% OF AFV(8Q)"),AVERAGE( $M182:$M205),IF('Pre-Calculation'!$D$16="% OF AFV(12M)",AVERAGE($M194:M205),IF('Pre-Calculation'!$D$16="% OF AFV(36M)",AVERAGE($M170:M205)))))</f>
        <v>8675223.616</v>
      </c>
      <c r="O205" s="175">
        <f t="shared" si="4"/>
        <v>8675223.616</v>
      </c>
      <c r="P205" s="175">
        <f>IF('Pre-Calculation'!$D$17="Type 4 a",MAX(SA,N205,1.05*Q205),IF('Pre-Calculation'!$D$17="Type 4 c",N205,IF('Pre-Calculation'!$D$17="Type 4 d",SA+N205,IF('Pre-Calculation'!$D$17="Type 4 e",MAX(SA,N205),IF('Pre-Calculation'!$D$17="Type 4 f",SA,IF('Pre-Calculation'!$D$17="Type 4 g",1000+N205,IF('Pre-Calculation'!$D$17="Type 4 h",SA+V205,IF('Pre-Calculation'!$D$17="Type 4 i",MAX(N205,Q205),IF('Pre-Calculation'!$D$17="Type 4 k",MAX(N205,1.01*Q205),IF('Pre-Calculation'!$D$17="Type 4 m",MAX(105%*Q205,SA+N205),IF('Pre-Calculation'!$D$17="Type 4 o",MAX(SA,105%*Q205)+V205+X205,IF('Pre-Calculation'!$D$17="Type 5",0))))))))))))</f>
        <v>8675223.616</v>
      </c>
      <c r="Q205" s="175">
        <f t="shared" si="5"/>
        <v>1000000</v>
      </c>
      <c r="R205" s="119">
        <f>L205*(1+GROWTH_RATE)*FMC</f>
        <v>9710.973615</v>
      </c>
      <c r="S205" s="112"/>
      <c r="T205" s="175">
        <f>-E205+IF(A204=INPUT!$C$11*12,N205,0)</f>
        <v>0</v>
      </c>
      <c r="U205" s="112"/>
      <c r="V205" s="179">
        <f t="array" ref="V205">NPV('Pre-Calculation'!$E$20,$E206:E$246)</f>
        <v>0</v>
      </c>
      <c r="W205" s="171">
        <f>10%*SA</f>
        <v>100000</v>
      </c>
      <c r="X205" s="179">
        <f t="array" ref="X205">NPV('Pre-Calculation'!$E$20,W206:W215)</f>
        <v>969592.8037</v>
      </c>
      <c r="Y205" s="12"/>
      <c r="Z205" s="12"/>
    </row>
    <row r="206" ht="15.75" customHeight="1">
      <c r="A206" s="171">
        <f t="shared" si="1"/>
        <v>260</v>
      </c>
      <c r="B206" s="171">
        <f t="shared" si="2"/>
        <v>22</v>
      </c>
      <c r="C206" s="176">
        <f>EDATE(RCD,A205)</f>
        <v>50435</v>
      </c>
      <c r="D206" s="171">
        <f>Age_At_Entry+Cashflows_HIST!B206-1</f>
        <v>56</v>
      </c>
      <c r="E206" s="175">
        <f>IF(AND(C206&lt;=Last_Prem,MOD(A205,Mode)=0,C206&gt;INPUT!$C$13,A206&lt;=Revival!$C$11),Mod_Prem,0)</f>
        <v>0</v>
      </c>
      <c r="F206" s="177">
        <f>E206*VLOOKUP(B206,'Pre-Calculation'!$H$1:$I$31,2,FALSE)</f>
        <v>0</v>
      </c>
      <c r="G206" s="177">
        <f>IF(B206&lt;PT+1,VLOOKUP(B206,'Pre-Calculation'!$H$1:$L$32,3,FALSE)+VLOOKUP(B206,'Pre-Calculation'!$H$1:$L$32,4,FALSE)*'Pre-Calculation'!$D$7,0)</f>
        <v>0</v>
      </c>
      <c r="H206" s="175">
        <f>(E206-(F206+G206)*(1+Tax)+N205)</f>
        <v>8675223.616</v>
      </c>
      <c r="I206" s="175">
        <f>IF(B206&lt;PT+1,VLOOKUP(D206,'Pre-Calculation'!$N$3:$P$79,IF(INPUT!$C$4="M",2,3),FALSE)*(J206/1000)*(1/12),0)</f>
        <v>0</v>
      </c>
      <c r="J206" s="175">
        <f t="shared" si="3"/>
        <v>0</v>
      </c>
      <c r="K206" s="175">
        <f>(IF('Pre-Calculation'!$D$17="Type 4 a",MAX(SA,H206,1.05*Q206),IF('Pre-Calculation'!$D$17="Type 4 c",H206,IF('Pre-Calculation'!$D$17="Type 4 d",SA+H206,IF('Pre-Calculation'!$D$17="Type 4 e",MAX(SA,H206),IF('Pre-Calculation'!$D$17="Type 4 f",SA,IF('Pre-Calculation'!$D$17="Type 4 g",1000+H206,IF('Pre-Calculation'!$D$17="Type 4 h",SA+V206,IF('Pre-Calculation'!$D$17="Type 4 i",MAX(H206,Q206),IF('Pre-Calculation'!$D$17="Type 4 k",MAX(H206,1.01*Q206),IF('Pre-Calculation'!$D$17="Type 4 m",MAX(105%*Q206,SA+H206),IF('Pre-Calculation'!$D$17="Type 4 o",MAX(SA,105%*Q206)+V206+X206,IF('Pre-Calculation'!$D$17="Type 5",0)))))))))))))*IF(AND(A206&lt;Revival!$C$4,C206&gt;Revival!$D$12),PUP,1)</f>
        <v>8675223.616</v>
      </c>
      <c r="L206" s="175">
        <f>H206-I206*(1+Tax)</f>
        <v>8675223.616</v>
      </c>
      <c r="M206" s="175">
        <f>L206*(1+GROWTH_RATE_HIST)</f>
        <v>8770011.785</v>
      </c>
      <c r="N206" s="175">
        <f>M206+IF(MOD(A206,B206)=0,VLOOKUP(B206,'Pre-Calculation'!$H$1:$L$31,5,FALSE),0)*IF('Pre-Calculation'!$D$16="% OF FV",M206,IF(OR('Pre-Calculation'!$D$16="% OF AFV(24M)",'Pre-Calculation'!$D$16="% OF AFV(8Q)"),AVERAGE( $M183:$M206),IF('Pre-Calculation'!$D$16="% OF AFV(12M)",AVERAGE($M195:M206),IF('Pre-Calculation'!$D$16="% OF AFV(36M)",AVERAGE($M171:M206)))))</f>
        <v>8770011.785</v>
      </c>
      <c r="O206" s="175">
        <f t="shared" si="4"/>
        <v>8770011.785</v>
      </c>
      <c r="P206" s="175">
        <f>IF('Pre-Calculation'!$D$17="Type 4 a",MAX(SA,N206,1.05*Q206),IF('Pre-Calculation'!$D$17="Type 4 c",N206,IF('Pre-Calculation'!$D$17="Type 4 d",SA+N206,IF('Pre-Calculation'!$D$17="Type 4 e",MAX(SA,N206),IF('Pre-Calculation'!$D$17="Type 4 f",SA,IF('Pre-Calculation'!$D$17="Type 4 g",1000+N206,IF('Pre-Calculation'!$D$17="Type 4 h",SA+V206,IF('Pre-Calculation'!$D$17="Type 4 i",MAX(N206,Q206),IF('Pre-Calculation'!$D$17="Type 4 k",MAX(N206,1.01*Q206),IF('Pre-Calculation'!$D$17="Type 4 m",MAX(105%*Q206,SA+N206),IF('Pre-Calculation'!$D$17="Type 4 o",MAX(SA,105%*Q206)+V206+X206,IF('Pre-Calculation'!$D$17="Type 5",0))))))))))))</f>
        <v>8770011.785</v>
      </c>
      <c r="Q206" s="175">
        <f t="shared" si="5"/>
        <v>1000000</v>
      </c>
      <c r="R206" s="119">
        <f>L206*(1+GROWTH_RATE)*FMC</f>
        <v>9817.078707</v>
      </c>
      <c r="S206" s="112"/>
      <c r="T206" s="175">
        <f>-E206+IF(A205=INPUT!$C$11*12,N206,0)</f>
        <v>0</v>
      </c>
      <c r="U206" s="112"/>
      <c r="V206" s="179">
        <f t="array" ref="V206">NPV('Pre-Calculation'!$E$20,$E207:E$246)</f>
        <v>0</v>
      </c>
      <c r="W206" s="171">
        <f>10%*SA</f>
        <v>100000</v>
      </c>
      <c r="X206" s="179">
        <f t="array" ref="X206">NPV('Pre-Calculation'!$E$20,W207:W216)</f>
        <v>969592.8037</v>
      </c>
      <c r="Y206" s="12"/>
      <c r="Z206" s="12"/>
    </row>
    <row r="207" ht="15.75" customHeight="1">
      <c r="A207" s="171">
        <f t="shared" si="1"/>
        <v>261</v>
      </c>
      <c r="B207" s="171">
        <f t="shared" si="2"/>
        <v>22</v>
      </c>
      <c r="C207" s="176">
        <f>EDATE(RCD,A206)</f>
        <v>50464</v>
      </c>
      <c r="D207" s="171">
        <f>Age_At_Entry+Cashflows_HIST!B207-1</f>
        <v>56</v>
      </c>
      <c r="E207" s="175">
        <f>IF(AND(C207&lt;=Last_Prem,MOD(A206,Mode)=0,C207&gt;INPUT!$C$13,A207&lt;=Revival!$C$11),Mod_Prem,0)</f>
        <v>0</v>
      </c>
      <c r="F207" s="177">
        <f>E207*VLOOKUP(B207,'Pre-Calculation'!$H$1:$I$31,2,FALSE)</f>
        <v>0</v>
      </c>
      <c r="G207" s="177">
        <f>IF(B207&lt;PT+1,VLOOKUP(B207,'Pre-Calculation'!$H$1:$L$32,3,FALSE)+VLOOKUP(B207,'Pre-Calculation'!$H$1:$L$32,4,FALSE)*'Pre-Calculation'!$D$7,0)</f>
        <v>0</v>
      </c>
      <c r="H207" s="175">
        <f>(E207-(F207+G207)*(1+Tax)+N206)</f>
        <v>8770011.785</v>
      </c>
      <c r="I207" s="175">
        <f>IF(B207&lt;PT+1,VLOOKUP(D207,'Pre-Calculation'!$N$3:$P$79,IF(INPUT!$C$4="M",2,3),FALSE)*(J207/1000)*(1/12),0)</f>
        <v>0</v>
      </c>
      <c r="J207" s="175">
        <f t="shared" si="3"/>
        <v>0</v>
      </c>
      <c r="K207" s="175">
        <f>(IF('Pre-Calculation'!$D$17="Type 4 a",MAX(SA,H207,1.05*Q207),IF('Pre-Calculation'!$D$17="Type 4 c",H207,IF('Pre-Calculation'!$D$17="Type 4 d",SA+H207,IF('Pre-Calculation'!$D$17="Type 4 e",MAX(SA,H207),IF('Pre-Calculation'!$D$17="Type 4 f",SA,IF('Pre-Calculation'!$D$17="Type 4 g",1000+H207,IF('Pre-Calculation'!$D$17="Type 4 h",SA+V207,IF('Pre-Calculation'!$D$17="Type 4 i",MAX(H207,Q207),IF('Pre-Calculation'!$D$17="Type 4 k",MAX(H207,1.01*Q207),IF('Pre-Calculation'!$D$17="Type 4 m",MAX(105%*Q207,SA+H207),IF('Pre-Calculation'!$D$17="Type 4 o",MAX(SA,105%*Q207)+V207+X207,IF('Pre-Calculation'!$D$17="Type 5",0)))))))))))))*IF(AND(A207&lt;Revival!$C$4,C207&gt;Revival!$D$12),PUP,1)</f>
        <v>8770011.785</v>
      </c>
      <c r="L207" s="175">
        <f>H207-I207*(1+Tax)</f>
        <v>8770011.785</v>
      </c>
      <c r="M207" s="175">
        <f>L207*(1+GROWTH_RATE_HIST)</f>
        <v>8865835.638</v>
      </c>
      <c r="N207" s="175">
        <f>M207+IF(MOD(A207,B207)=0,VLOOKUP(B207,'Pre-Calculation'!$H$1:$L$31,5,FALSE),0)*IF('Pre-Calculation'!$D$16="% OF FV",M207,IF(OR('Pre-Calculation'!$D$16="% OF AFV(24M)",'Pre-Calculation'!$D$16="% OF AFV(8Q)"),AVERAGE( $M184:$M207),IF('Pre-Calculation'!$D$16="% OF AFV(12M)",AVERAGE($M196:M207),IF('Pre-Calculation'!$D$16="% OF AFV(36M)",AVERAGE($M172:M207)))))</f>
        <v>8865835.638</v>
      </c>
      <c r="O207" s="175">
        <f t="shared" si="4"/>
        <v>8865835.638</v>
      </c>
      <c r="P207" s="175">
        <f>IF('Pre-Calculation'!$D$17="Type 4 a",MAX(SA,N207,1.05*Q207),IF('Pre-Calculation'!$D$17="Type 4 c",N207,IF('Pre-Calculation'!$D$17="Type 4 d",SA+N207,IF('Pre-Calculation'!$D$17="Type 4 e",MAX(SA,N207),IF('Pre-Calculation'!$D$17="Type 4 f",SA,IF('Pre-Calculation'!$D$17="Type 4 g",1000+N207,IF('Pre-Calculation'!$D$17="Type 4 h",SA+V207,IF('Pre-Calculation'!$D$17="Type 4 i",MAX(N207,Q207),IF('Pre-Calculation'!$D$17="Type 4 k",MAX(N207,1.01*Q207),IF('Pre-Calculation'!$D$17="Type 4 m",MAX(105%*Q207,SA+N207),IF('Pre-Calculation'!$D$17="Type 4 o",MAX(SA,105%*Q207)+V207+X207,IF('Pre-Calculation'!$D$17="Type 5",0))))))))))))</f>
        <v>8865835.638</v>
      </c>
      <c r="Q207" s="175">
        <f t="shared" si="5"/>
        <v>1000000</v>
      </c>
      <c r="R207" s="119">
        <f>L207*(1+GROWTH_RATE)*FMC</f>
        <v>9924.343136</v>
      </c>
      <c r="S207" s="112"/>
      <c r="T207" s="175">
        <f>-E207+IF(A206=INPUT!$C$11*12,N207,0)</f>
        <v>0</v>
      </c>
      <c r="U207" s="112"/>
      <c r="V207" s="179">
        <f t="array" ref="V207">NPV('Pre-Calculation'!$E$20,$E208:E$246)</f>
        <v>0</v>
      </c>
      <c r="W207" s="171">
        <f>10%*SA</f>
        <v>100000</v>
      </c>
      <c r="X207" s="179">
        <f t="array" ref="X207">NPV('Pre-Calculation'!$E$20,W208:W217)</f>
        <v>969592.8037</v>
      </c>
      <c r="Y207" s="12"/>
      <c r="Z207" s="12"/>
    </row>
    <row r="208" ht="15.75" customHeight="1">
      <c r="A208" s="171">
        <f t="shared" si="1"/>
        <v>262</v>
      </c>
      <c r="B208" s="171">
        <f t="shared" si="2"/>
        <v>22</v>
      </c>
      <c r="C208" s="176">
        <f>EDATE(RCD,A207)</f>
        <v>50494</v>
      </c>
      <c r="D208" s="171">
        <f>Age_At_Entry+Cashflows_HIST!B208-1</f>
        <v>56</v>
      </c>
      <c r="E208" s="175">
        <f>IF(AND(C208&lt;=Last_Prem,MOD(A207,Mode)=0,C208&gt;INPUT!$C$13,A208&lt;=Revival!$C$11),Mod_Prem,0)</f>
        <v>0</v>
      </c>
      <c r="F208" s="177">
        <f>E208*VLOOKUP(B208,'Pre-Calculation'!$H$1:$I$31,2,FALSE)</f>
        <v>0</v>
      </c>
      <c r="G208" s="177">
        <f>IF(B208&lt;PT+1,VLOOKUP(B208,'Pre-Calculation'!$H$1:$L$32,3,FALSE)+VLOOKUP(B208,'Pre-Calculation'!$H$1:$L$32,4,FALSE)*'Pre-Calculation'!$D$7,0)</f>
        <v>0</v>
      </c>
      <c r="H208" s="175">
        <f>(E208-(F208+G208)*(1+Tax)+N207)</f>
        <v>8865835.638</v>
      </c>
      <c r="I208" s="175">
        <f>IF(B208&lt;PT+1,VLOOKUP(D208,'Pre-Calculation'!$N$3:$P$79,IF(INPUT!$C$4="M",2,3),FALSE)*(J208/1000)*(1/12),0)</f>
        <v>0</v>
      </c>
      <c r="J208" s="175">
        <f t="shared" si="3"/>
        <v>0</v>
      </c>
      <c r="K208" s="175">
        <f>(IF('Pre-Calculation'!$D$17="Type 4 a",MAX(SA,H208,1.05*Q208),IF('Pre-Calculation'!$D$17="Type 4 c",H208,IF('Pre-Calculation'!$D$17="Type 4 d",SA+H208,IF('Pre-Calculation'!$D$17="Type 4 e",MAX(SA,H208),IF('Pre-Calculation'!$D$17="Type 4 f",SA,IF('Pre-Calculation'!$D$17="Type 4 g",1000+H208,IF('Pre-Calculation'!$D$17="Type 4 h",SA+V208,IF('Pre-Calculation'!$D$17="Type 4 i",MAX(H208,Q208),IF('Pre-Calculation'!$D$17="Type 4 k",MAX(H208,1.01*Q208),IF('Pre-Calculation'!$D$17="Type 4 m",MAX(105%*Q208,SA+H208),IF('Pre-Calculation'!$D$17="Type 4 o",MAX(SA,105%*Q208)+V208+X208,IF('Pre-Calculation'!$D$17="Type 5",0)))))))))))))*IF(AND(A208&lt;Revival!$C$4,C208&gt;Revival!$D$12),PUP,1)</f>
        <v>8865835.638</v>
      </c>
      <c r="L208" s="175">
        <f>H208-I208*(1+Tax)</f>
        <v>8865835.638</v>
      </c>
      <c r="M208" s="175">
        <f>L208*(1+GROWTH_RATE_HIST)</f>
        <v>8962706.492</v>
      </c>
      <c r="N208" s="175">
        <f>M208+IF(MOD(A208,B208)=0,VLOOKUP(B208,'Pre-Calculation'!$H$1:$L$31,5,FALSE),0)*IF('Pre-Calculation'!$D$16="% OF FV",M208,IF(OR('Pre-Calculation'!$D$16="% OF AFV(24M)",'Pre-Calculation'!$D$16="% OF AFV(8Q)"),AVERAGE( $M185:$M208),IF('Pre-Calculation'!$D$16="% OF AFV(12M)",AVERAGE($M197:M208),IF('Pre-Calculation'!$D$16="% OF AFV(36M)",AVERAGE($M173:M208)))))</f>
        <v>8962706.492</v>
      </c>
      <c r="O208" s="175">
        <f t="shared" si="4"/>
        <v>8962706.492</v>
      </c>
      <c r="P208" s="175">
        <f>IF('Pre-Calculation'!$D$17="Type 4 a",MAX(SA,N208,1.05*Q208),IF('Pre-Calculation'!$D$17="Type 4 c",N208,IF('Pre-Calculation'!$D$17="Type 4 d",SA+N208,IF('Pre-Calculation'!$D$17="Type 4 e",MAX(SA,N208),IF('Pre-Calculation'!$D$17="Type 4 f",SA,IF('Pre-Calculation'!$D$17="Type 4 g",1000+N208,IF('Pre-Calculation'!$D$17="Type 4 h",SA+V208,IF('Pre-Calculation'!$D$17="Type 4 i",MAX(N208,Q208),IF('Pre-Calculation'!$D$17="Type 4 k",MAX(N208,1.01*Q208),IF('Pre-Calculation'!$D$17="Type 4 m",MAX(105%*Q208,SA+N208),IF('Pre-Calculation'!$D$17="Type 4 o",MAX(SA,105%*Q208)+V208+X208,IF('Pre-Calculation'!$D$17="Type 5",0))))))))))))</f>
        <v>8962706.492</v>
      </c>
      <c r="Q208" s="175">
        <f t="shared" si="5"/>
        <v>1000000</v>
      </c>
      <c r="R208" s="119">
        <f>L208*(1+GROWTH_RATE)*FMC</f>
        <v>10032.77957</v>
      </c>
      <c r="S208" s="112"/>
      <c r="T208" s="175">
        <f>-E208+IF(A207=INPUT!$C$11*12,N208,0)</f>
        <v>0</v>
      </c>
      <c r="U208" s="112"/>
      <c r="V208" s="179">
        <f t="array" ref="V208">NPV('Pre-Calculation'!$E$20,$E209:E$246)</f>
        <v>0</v>
      </c>
      <c r="W208" s="171">
        <f>10%*SA</f>
        <v>100000</v>
      </c>
      <c r="X208" s="179">
        <f t="array" ref="X208">NPV('Pre-Calculation'!$E$20,W209:W218)</f>
        <v>969592.8037</v>
      </c>
      <c r="Y208" s="12"/>
      <c r="Z208" s="12"/>
    </row>
    <row r="209" ht="15.75" customHeight="1">
      <c r="A209" s="171">
        <f t="shared" si="1"/>
        <v>263</v>
      </c>
      <c r="B209" s="171">
        <f t="shared" si="2"/>
        <v>22</v>
      </c>
      <c r="C209" s="176">
        <f>EDATE(RCD,A208)</f>
        <v>50525</v>
      </c>
      <c r="D209" s="171">
        <f>Age_At_Entry+Cashflows_HIST!B209-1</f>
        <v>56</v>
      </c>
      <c r="E209" s="175">
        <f>IF(AND(C209&lt;=Last_Prem,MOD(A208,Mode)=0,C209&gt;INPUT!$C$13,A209&lt;=Revival!$C$11),Mod_Prem,0)</f>
        <v>0</v>
      </c>
      <c r="F209" s="177">
        <f>E209*VLOOKUP(B209,'Pre-Calculation'!$H$1:$I$31,2,FALSE)</f>
        <v>0</v>
      </c>
      <c r="G209" s="177">
        <f>IF(B209&lt;PT+1,VLOOKUP(B209,'Pre-Calculation'!$H$1:$L$32,3,FALSE)+VLOOKUP(B209,'Pre-Calculation'!$H$1:$L$32,4,FALSE)*'Pre-Calculation'!$D$7,0)</f>
        <v>0</v>
      </c>
      <c r="H209" s="175">
        <f>(E209-(F209+G209)*(1+Tax)+N208)</f>
        <v>8962706.492</v>
      </c>
      <c r="I209" s="175">
        <f>IF(B209&lt;PT+1,VLOOKUP(D209,'Pre-Calculation'!$N$3:$P$79,IF(INPUT!$C$4="M",2,3),FALSE)*(J209/1000)*(1/12),0)</f>
        <v>0</v>
      </c>
      <c r="J209" s="175">
        <f t="shared" si="3"/>
        <v>0</v>
      </c>
      <c r="K209" s="175">
        <f>(IF('Pre-Calculation'!$D$17="Type 4 a",MAX(SA,H209,1.05*Q209),IF('Pre-Calculation'!$D$17="Type 4 c",H209,IF('Pre-Calculation'!$D$17="Type 4 d",SA+H209,IF('Pre-Calculation'!$D$17="Type 4 e",MAX(SA,H209),IF('Pre-Calculation'!$D$17="Type 4 f",SA,IF('Pre-Calculation'!$D$17="Type 4 g",1000+H209,IF('Pre-Calculation'!$D$17="Type 4 h",SA+V209,IF('Pre-Calculation'!$D$17="Type 4 i",MAX(H209,Q209),IF('Pre-Calculation'!$D$17="Type 4 k",MAX(H209,1.01*Q209),IF('Pre-Calculation'!$D$17="Type 4 m",MAX(105%*Q209,SA+H209),IF('Pre-Calculation'!$D$17="Type 4 o",MAX(SA,105%*Q209)+V209+X209,IF('Pre-Calculation'!$D$17="Type 5",0)))))))))))))*IF(AND(A209&lt;Revival!$C$4,C209&gt;Revival!$D$12),PUP,1)</f>
        <v>8962706.492</v>
      </c>
      <c r="L209" s="175">
        <f>H209-I209*(1+Tax)</f>
        <v>8962706.492</v>
      </c>
      <c r="M209" s="175">
        <f>L209*(1+GROWTH_RATE_HIST)</f>
        <v>9060635.787</v>
      </c>
      <c r="N209" s="175">
        <f>M209+IF(MOD(A209,B209)=0,VLOOKUP(B209,'Pre-Calculation'!$H$1:$L$31,5,FALSE),0)*IF('Pre-Calculation'!$D$16="% OF FV",M209,IF(OR('Pre-Calculation'!$D$16="% OF AFV(24M)",'Pre-Calculation'!$D$16="% OF AFV(8Q)"),AVERAGE( $M186:$M209),IF('Pre-Calculation'!$D$16="% OF AFV(12M)",AVERAGE($M198:M209),IF('Pre-Calculation'!$D$16="% OF AFV(36M)",AVERAGE($M174:M209)))))</f>
        <v>9060635.787</v>
      </c>
      <c r="O209" s="175">
        <f t="shared" si="4"/>
        <v>9060635.787</v>
      </c>
      <c r="P209" s="175">
        <f>IF('Pre-Calculation'!$D$17="Type 4 a",MAX(SA,N209,1.05*Q209),IF('Pre-Calculation'!$D$17="Type 4 c",N209,IF('Pre-Calculation'!$D$17="Type 4 d",SA+N209,IF('Pre-Calculation'!$D$17="Type 4 e",MAX(SA,N209),IF('Pre-Calculation'!$D$17="Type 4 f",SA,IF('Pre-Calculation'!$D$17="Type 4 g",1000+N209,IF('Pre-Calculation'!$D$17="Type 4 h",SA+V209,IF('Pre-Calculation'!$D$17="Type 4 i",MAX(N209,Q209),IF('Pre-Calculation'!$D$17="Type 4 k",MAX(N209,1.01*Q209),IF('Pre-Calculation'!$D$17="Type 4 m",MAX(105%*Q209,SA+N209),IF('Pre-Calculation'!$D$17="Type 4 o",MAX(SA,105%*Q209)+V209+X209,IF('Pre-Calculation'!$D$17="Type 5",0))))))))))))</f>
        <v>9060635.787</v>
      </c>
      <c r="Q209" s="175">
        <f t="shared" si="5"/>
        <v>1000000</v>
      </c>
      <c r="R209" s="119">
        <f>L209*(1+GROWTH_RATE)*FMC</f>
        <v>10142.40081</v>
      </c>
      <c r="S209" s="112"/>
      <c r="T209" s="175">
        <f>-E209+IF(A208=INPUT!$C$11*12,N209,0)</f>
        <v>0</v>
      </c>
      <c r="U209" s="112"/>
      <c r="V209" s="179">
        <f t="array" ref="V209">NPV('Pre-Calculation'!$E$20,$E210:E$246)</f>
        <v>0</v>
      </c>
      <c r="W209" s="171">
        <f>10%*SA</f>
        <v>100000</v>
      </c>
      <c r="X209" s="179">
        <f t="array" ref="X209">NPV('Pre-Calculation'!$E$20,W210:W219)</f>
        <v>969592.8037</v>
      </c>
      <c r="Y209" s="12"/>
      <c r="Z209" s="12"/>
    </row>
    <row r="210" ht="15.75" customHeight="1">
      <c r="A210" s="171">
        <f t="shared" si="1"/>
        <v>264</v>
      </c>
      <c r="B210" s="171">
        <f t="shared" si="2"/>
        <v>22</v>
      </c>
      <c r="C210" s="176">
        <f>EDATE(RCD,A209)</f>
        <v>50555</v>
      </c>
      <c r="D210" s="171">
        <f>Age_At_Entry+Cashflows_HIST!B210-1</f>
        <v>56</v>
      </c>
      <c r="E210" s="175">
        <f>IF(AND(C210&lt;=Last_Prem,MOD(A209,Mode)=0,C210&gt;INPUT!$C$13,A210&lt;=Revival!$C$11),Mod_Prem,0)</f>
        <v>0</v>
      </c>
      <c r="F210" s="177">
        <f>E210*VLOOKUP(B210,'Pre-Calculation'!$H$1:$I$31,2,FALSE)</f>
        <v>0</v>
      </c>
      <c r="G210" s="177">
        <f>IF(B210&lt;PT+1,VLOOKUP(B210,'Pre-Calculation'!$H$1:$L$32,3,FALSE)+VLOOKUP(B210,'Pre-Calculation'!$H$1:$L$32,4,FALSE)*'Pre-Calculation'!$D$7,0)</f>
        <v>0</v>
      </c>
      <c r="H210" s="175">
        <f>(E210-(F210+G210)*(1+Tax)+N209)</f>
        <v>9060635.787</v>
      </c>
      <c r="I210" s="175">
        <f>IF(B210&lt;PT+1,VLOOKUP(D210,'Pre-Calculation'!$N$3:$P$79,IF(INPUT!$C$4="M",2,3),FALSE)*(J210/1000)*(1/12),0)</f>
        <v>0</v>
      </c>
      <c r="J210" s="175">
        <f t="shared" si="3"/>
        <v>0</v>
      </c>
      <c r="K210" s="175">
        <f>(IF('Pre-Calculation'!$D$17="Type 4 a",MAX(SA,H210,1.05*Q210),IF('Pre-Calculation'!$D$17="Type 4 c",H210,IF('Pre-Calculation'!$D$17="Type 4 d",SA+H210,IF('Pre-Calculation'!$D$17="Type 4 e",MAX(SA,H210),IF('Pre-Calculation'!$D$17="Type 4 f",SA,IF('Pre-Calculation'!$D$17="Type 4 g",1000+H210,IF('Pre-Calculation'!$D$17="Type 4 h",SA+V210,IF('Pre-Calculation'!$D$17="Type 4 i",MAX(H210,Q210),IF('Pre-Calculation'!$D$17="Type 4 k",MAX(H210,1.01*Q210),IF('Pre-Calculation'!$D$17="Type 4 m",MAX(105%*Q210,SA+H210),IF('Pre-Calculation'!$D$17="Type 4 o",MAX(SA,105%*Q210)+V210+X210,IF('Pre-Calculation'!$D$17="Type 5",0)))))))))))))*IF(AND(A210&lt;Revival!$C$4,C210&gt;Revival!$D$12),PUP,1)</f>
        <v>9060635.787</v>
      </c>
      <c r="L210" s="175">
        <f>H210-I210*(1+Tax)</f>
        <v>9060635.787</v>
      </c>
      <c r="M210" s="175">
        <f>L210*(1+GROWTH_RATE_HIST)</f>
        <v>9159635.087</v>
      </c>
      <c r="N210" s="175">
        <f>M210+IF(MOD(A210,B210)=0,VLOOKUP(B210,'Pre-Calculation'!$H$1:$L$31,5,FALSE),0)*IF('Pre-Calculation'!$D$16="% OF FV",M210,IF(OR('Pre-Calculation'!$D$16="% OF AFV(24M)",'Pre-Calculation'!$D$16="% OF AFV(8Q)"),AVERAGE( $M187:$M210),IF('Pre-Calculation'!$D$16="% OF AFV(12M)",AVERAGE($M199:M210),IF('Pre-Calculation'!$D$16="% OF AFV(36M)",AVERAGE($M175:M210)))))</f>
        <v>9159635.087</v>
      </c>
      <c r="O210" s="175">
        <f t="shared" si="4"/>
        <v>9159635.087</v>
      </c>
      <c r="P210" s="175">
        <f>IF('Pre-Calculation'!$D$17="Type 4 a",MAX(SA,N210,1.05*Q210),IF('Pre-Calculation'!$D$17="Type 4 c",N210,IF('Pre-Calculation'!$D$17="Type 4 d",SA+N210,IF('Pre-Calculation'!$D$17="Type 4 e",MAX(SA,N210),IF('Pre-Calculation'!$D$17="Type 4 f",SA,IF('Pre-Calculation'!$D$17="Type 4 g",1000+N210,IF('Pre-Calculation'!$D$17="Type 4 h",SA+V210,IF('Pre-Calculation'!$D$17="Type 4 i",MAX(N210,Q210),IF('Pre-Calculation'!$D$17="Type 4 k",MAX(N210,1.01*Q210),IF('Pre-Calculation'!$D$17="Type 4 m",MAX(105%*Q210,SA+N210),IF('Pre-Calculation'!$D$17="Type 4 o",MAX(SA,105%*Q210)+V210+X210,IF('Pre-Calculation'!$D$17="Type 5",0))))))))))))</f>
        <v>9159635.087</v>
      </c>
      <c r="Q210" s="175">
        <f t="shared" si="5"/>
        <v>1000000</v>
      </c>
      <c r="R210" s="119">
        <f>L210*(1+GROWTH_RATE)*FMC</f>
        <v>10253.21981</v>
      </c>
      <c r="S210" s="112"/>
      <c r="T210" s="175">
        <f>-E210+IF(A209=INPUT!$C$11*12,N210,0)</f>
        <v>0</v>
      </c>
      <c r="U210" s="112"/>
      <c r="V210" s="179">
        <f t="array" ref="V210">NPV('Pre-Calculation'!$E$20,$E211:E$246)</f>
        <v>0</v>
      </c>
      <c r="W210" s="171">
        <f>10%*SA</f>
        <v>100000</v>
      </c>
      <c r="X210" s="179">
        <f t="array" ref="X210">NPV('Pre-Calculation'!$E$20,W211:W220)</f>
        <v>969592.8037</v>
      </c>
      <c r="Y210" s="12"/>
      <c r="Z210" s="12"/>
    </row>
    <row r="211" ht="15.75" customHeight="1">
      <c r="A211" s="171">
        <f t="shared" si="1"/>
        <v>265</v>
      </c>
      <c r="B211" s="171">
        <f t="shared" si="2"/>
        <v>23</v>
      </c>
      <c r="C211" s="176">
        <f>EDATE(RCD,A210)</f>
        <v>50586</v>
      </c>
      <c r="D211" s="171">
        <f>Age_At_Entry+Cashflows_HIST!B211-1</f>
        <v>57</v>
      </c>
      <c r="E211" s="175">
        <f>IF(AND(C211&lt;=Last_Prem,MOD(A210,Mode)=0,C211&gt;INPUT!$C$13,A211&lt;=Revival!$C$11),Mod_Prem,0)</f>
        <v>0</v>
      </c>
      <c r="F211" s="177">
        <f>E211*VLOOKUP(B211,'Pre-Calculation'!$H$1:$I$31,2,FALSE)</f>
        <v>0</v>
      </c>
      <c r="G211" s="177">
        <f>IF(B211&lt;PT+1,VLOOKUP(B211,'Pre-Calculation'!$H$1:$L$32,3,FALSE)+VLOOKUP(B211,'Pre-Calculation'!$H$1:$L$32,4,FALSE)*'Pre-Calculation'!$D$7,0)</f>
        <v>0</v>
      </c>
      <c r="H211" s="175">
        <f>(E211-(F211+G211)*(1+Tax)+N210)</f>
        <v>9159635.087</v>
      </c>
      <c r="I211" s="175">
        <f>IF(B211&lt;PT+1,VLOOKUP(D211,'Pre-Calculation'!$N$3:$P$79,IF(INPUT!$C$4="M",2,3),FALSE)*(J211/1000)*(1/12),0)</f>
        <v>0</v>
      </c>
      <c r="J211" s="175">
        <f t="shared" si="3"/>
        <v>0</v>
      </c>
      <c r="K211" s="175">
        <f>(IF('Pre-Calculation'!$D$17="Type 4 a",MAX(SA,H211,1.05*Q211),IF('Pre-Calculation'!$D$17="Type 4 c",H211,IF('Pre-Calculation'!$D$17="Type 4 d",SA+H211,IF('Pre-Calculation'!$D$17="Type 4 e",MAX(SA,H211),IF('Pre-Calculation'!$D$17="Type 4 f",SA,IF('Pre-Calculation'!$D$17="Type 4 g",1000+H211,IF('Pre-Calculation'!$D$17="Type 4 h",SA+V211,IF('Pre-Calculation'!$D$17="Type 4 i",MAX(H211,Q211),IF('Pre-Calculation'!$D$17="Type 4 k",MAX(H211,1.01*Q211),IF('Pre-Calculation'!$D$17="Type 4 m",MAX(105%*Q211,SA+H211),IF('Pre-Calculation'!$D$17="Type 4 o",MAX(SA,105%*Q211)+V211+X211,IF('Pre-Calculation'!$D$17="Type 5",0)))))))))))))*IF(AND(A211&lt;Revival!$C$4,C211&gt;Revival!$D$12),PUP,1)</f>
        <v>9159635.087</v>
      </c>
      <c r="L211" s="175">
        <f>H211-I211*(1+Tax)</f>
        <v>9159635.087</v>
      </c>
      <c r="M211" s="175">
        <f>L211*(1+GROWTH_RATE_HIST)</f>
        <v>9259716.084</v>
      </c>
      <c r="N211" s="175">
        <f>M211+IF(MOD(A211,B211)=0,VLOOKUP(B211,'Pre-Calculation'!$H$1:$L$31,5,FALSE),0)*IF('Pre-Calculation'!$D$16="% OF FV",M211,IF(OR('Pre-Calculation'!$D$16="% OF AFV(24M)",'Pre-Calculation'!$D$16="% OF AFV(8Q)"),AVERAGE( $M188:$M211),IF('Pre-Calculation'!$D$16="% OF AFV(12M)",AVERAGE($M200:M211),IF('Pre-Calculation'!$D$16="% OF AFV(36M)",AVERAGE($M176:M211)))))</f>
        <v>9259716.084</v>
      </c>
      <c r="O211" s="175">
        <f t="shared" si="4"/>
        <v>9259716.084</v>
      </c>
      <c r="P211" s="175">
        <f>IF('Pre-Calculation'!$D$17="Type 4 a",MAX(SA,N211,1.05*Q211),IF('Pre-Calculation'!$D$17="Type 4 c",N211,IF('Pre-Calculation'!$D$17="Type 4 d",SA+N211,IF('Pre-Calculation'!$D$17="Type 4 e",MAX(SA,N211),IF('Pre-Calculation'!$D$17="Type 4 f",SA,IF('Pre-Calculation'!$D$17="Type 4 g",1000+N211,IF('Pre-Calculation'!$D$17="Type 4 h",SA+V211,IF('Pre-Calculation'!$D$17="Type 4 i",MAX(N211,Q211),IF('Pre-Calculation'!$D$17="Type 4 k",MAX(N211,1.01*Q211),IF('Pre-Calculation'!$D$17="Type 4 m",MAX(105%*Q211,SA+N211),IF('Pre-Calculation'!$D$17="Type 4 o",MAX(SA,105%*Q211)+V211+X211,IF('Pre-Calculation'!$D$17="Type 5",0))))))))))))</f>
        <v>9259716.084</v>
      </c>
      <c r="Q211" s="175">
        <f t="shared" si="5"/>
        <v>1000000</v>
      </c>
      <c r="R211" s="119">
        <f>L211*(1+GROWTH_RATE)*FMC</f>
        <v>10365.24965</v>
      </c>
      <c r="S211" s="112"/>
      <c r="T211" s="175">
        <f>-E211+IF(A210=INPUT!$C$11*12,N211,0)</f>
        <v>0</v>
      </c>
      <c r="U211" s="112"/>
      <c r="V211" s="179">
        <f t="array" ref="V211">NPV('Pre-Calculation'!$E$20,$E212:E$246)</f>
        <v>0</v>
      </c>
      <c r="W211" s="171">
        <f>10%*SA</f>
        <v>100000</v>
      </c>
      <c r="X211" s="179">
        <f t="array" ref="X211">NPV('Pre-Calculation'!$E$20,W212:W221)</f>
        <v>969592.8037</v>
      </c>
      <c r="Y211" s="12"/>
      <c r="Z211" s="12"/>
    </row>
    <row r="212" ht="15.75" customHeight="1">
      <c r="A212" s="171">
        <f t="shared" si="1"/>
        <v>266</v>
      </c>
      <c r="B212" s="171">
        <f t="shared" si="2"/>
        <v>23</v>
      </c>
      <c r="C212" s="176">
        <f>EDATE(RCD,A211)</f>
        <v>50616</v>
      </c>
      <c r="D212" s="171">
        <f>Age_At_Entry+Cashflows_HIST!B212-1</f>
        <v>57</v>
      </c>
      <c r="E212" s="175">
        <f>IF(AND(C212&lt;=Last_Prem,MOD(A211,Mode)=0,C212&gt;INPUT!$C$13,A212&lt;=Revival!$C$11),Mod_Prem,0)</f>
        <v>0</v>
      </c>
      <c r="F212" s="177">
        <f>E212*VLOOKUP(B212,'Pre-Calculation'!$H$1:$I$31,2,FALSE)</f>
        <v>0</v>
      </c>
      <c r="G212" s="177">
        <f>IF(B212&lt;PT+1,VLOOKUP(B212,'Pre-Calculation'!$H$1:$L$32,3,FALSE)+VLOOKUP(B212,'Pre-Calculation'!$H$1:$L$32,4,FALSE)*'Pre-Calculation'!$D$7,0)</f>
        <v>0</v>
      </c>
      <c r="H212" s="175">
        <f>(E212-(F212+G212)*(1+Tax)+N211)</f>
        <v>9259716.084</v>
      </c>
      <c r="I212" s="175">
        <f>IF(B212&lt;PT+1,VLOOKUP(D212,'Pre-Calculation'!$N$3:$P$79,IF(INPUT!$C$4="M",2,3),FALSE)*(J212/1000)*(1/12),0)</f>
        <v>0</v>
      </c>
      <c r="J212" s="175">
        <f t="shared" si="3"/>
        <v>0</v>
      </c>
      <c r="K212" s="175">
        <f>(IF('Pre-Calculation'!$D$17="Type 4 a",MAX(SA,H212,1.05*Q212),IF('Pre-Calculation'!$D$17="Type 4 c",H212,IF('Pre-Calculation'!$D$17="Type 4 d",SA+H212,IF('Pre-Calculation'!$D$17="Type 4 e",MAX(SA,H212),IF('Pre-Calculation'!$D$17="Type 4 f",SA,IF('Pre-Calculation'!$D$17="Type 4 g",1000+H212,IF('Pre-Calculation'!$D$17="Type 4 h",SA+V212,IF('Pre-Calculation'!$D$17="Type 4 i",MAX(H212,Q212),IF('Pre-Calculation'!$D$17="Type 4 k",MAX(H212,1.01*Q212),IF('Pre-Calculation'!$D$17="Type 4 m",MAX(105%*Q212,SA+H212),IF('Pre-Calculation'!$D$17="Type 4 o",MAX(SA,105%*Q212)+V212+X212,IF('Pre-Calculation'!$D$17="Type 5",0)))))))))))))*IF(AND(A212&lt;Revival!$C$4,C212&gt;Revival!$D$12),PUP,1)</f>
        <v>9259716.084</v>
      </c>
      <c r="L212" s="175">
        <f>H212-I212*(1+Tax)</f>
        <v>9259716.084</v>
      </c>
      <c r="M212" s="175">
        <f>L212*(1+GROWTH_RATE_HIST)</f>
        <v>9360890.598</v>
      </c>
      <c r="N212" s="175">
        <f>M212+IF(MOD(A212,B212)=0,VLOOKUP(B212,'Pre-Calculation'!$H$1:$L$31,5,FALSE),0)*IF('Pre-Calculation'!$D$16="% OF FV",M212,IF(OR('Pre-Calculation'!$D$16="% OF AFV(24M)",'Pre-Calculation'!$D$16="% OF AFV(8Q)"),AVERAGE( $M189:$M212),IF('Pre-Calculation'!$D$16="% OF AFV(12M)",AVERAGE($M201:M212),IF('Pre-Calculation'!$D$16="% OF AFV(36M)",AVERAGE($M177:M212)))))</f>
        <v>9360890.598</v>
      </c>
      <c r="O212" s="175">
        <f t="shared" si="4"/>
        <v>9360890.598</v>
      </c>
      <c r="P212" s="175">
        <f>IF('Pre-Calculation'!$D$17="Type 4 a",MAX(SA,N212,1.05*Q212),IF('Pre-Calculation'!$D$17="Type 4 c",N212,IF('Pre-Calculation'!$D$17="Type 4 d",SA+N212,IF('Pre-Calculation'!$D$17="Type 4 e",MAX(SA,N212),IF('Pre-Calculation'!$D$17="Type 4 f",SA,IF('Pre-Calculation'!$D$17="Type 4 g",1000+N212,IF('Pre-Calculation'!$D$17="Type 4 h",SA+V212,IF('Pre-Calculation'!$D$17="Type 4 i",MAX(N212,Q212),IF('Pre-Calculation'!$D$17="Type 4 k",MAX(N212,1.01*Q212),IF('Pre-Calculation'!$D$17="Type 4 m",MAX(105%*Q212,SA+N212),IF('Pre-Calculation'!$D$17="Type 4 o",MAX(SA,105%*Q212)+V212+X212,IF('Pre-Calculation'!$D$17="Type 5",0))))))))))))</f>
        <v>9360890.598</v>
      </c>
      <c r="Q212" s="175">
        <f t="shared" si="5"/>
        <v>1000000</v>
      </c>
      <c r="R212" s="119">
        <f>L212*(1+GROWTH_RATE)*FMC</f>
        <v>10478.50357</v>
      </c>
      <c r="S212" s="112"/>
      <c r="T212" s="175">
        <f>-E212+IF(A211=INPUT!$C$11*12,N212,0)</f>
        <v>0</v>
      </c>
      <c r="U212" s="112"/>
      <c r="V212" s="179">
        <f t="array" ref="V212">NPV('Pre-Calculation'!$E$20,$E213:E$246)</f>
        <v>0</v>
      </c>
      <c r="W212" s="171">
        <f>10%*SA</f>
        <v>100000</v>
      </c>
      <c r="X212" s="179">
        <f t="array" ref="X212">NPV('Pre-Calculation'!$E$20,W213:W222)</f>
        <v>969592.8037</v>
      </c>
      <c r="Y212" s="12"/>
      <c r="Z212" s="12"/>
    </row>
    <row r="213" ht="15.75" customHeight="1">
      <c r="A213" s="171">
        <f t="shared" si="1"/>
        <v>267</v>
      </c>
      <c r="B213" s="171">
        <f t="shared" si="2"/>
        <v>23</v>
      </c>
      <c r="C213" s="176">
        <f>EDATE(RCD,A212)</f>
        <v>50647</v>
      </c>
      <c r="D213" s="171">
        <f>Age_At_Entry+Cashflows_HIST!B213-1</f>
        <v>57</v>
      </c>
      <c r="E213" s="175">
        <f>IF(AND(C213&lt;=Last_Prem,MOD(A212,Mode)=0,C213&gt;INPUT!$C$13,A213&lt;=Revival!$C$11),Mod_Prem,0)</f>
        <v>0</v>
      </c>
      <c r="F213" s="177">
        <f>E213*VLOOKUP(B213,'Pre-Calculation'!$H$1:$I$31,2,FALSE)</f>
        <v>0</v>
      </c>
      <c r="G213" s="177">
        <f>IF(B213&lt;PT+1,VLOOKUP(B213,'Pre-Calculation'!$H$1:$L$32,3,FALSE)+VLOOKUP(B213,'Pre-Calculation'!$H$1:$L$32,4,FALSE)*'Pre-Calculation'!$D$7,0)</f>
        <v>0</v>
      </c>
      <c r="H213" s="175">
        <f>(E213-(F213+G213)*(1+Tax)+N212)</f>
        <v>9360890.598</v>
      </c>
      <c r="I213" s="175">
        <f>IF(B213&lt;PT+1,VLOOKUP(D213,'Pre-Calculation'!$N$3:$P$79,IF(INPUT!$C$4="M",2,3),FALSE)*(J213/1000)*(1/12),0)</f>
        <v>0</v>
      </c>
      <c r="J213" s="175">
        <f t="shared" si="3"/>
        <v>0</v>
      </c>
      <c r="K213" s="175">
        <f>(IF('Pre-Calculation'!$D$17="Type 4 a",MAX(SA,H213,1.05*Q213),IF('Pre-Calculation'!$D$17="Type 4 c",H213,IF('Pre-Calculation'!$D$17="Type 4 d",SA+H213,IF('Pre-Calculation'!$D$17="Type 4 e",MAX(SA,H213),IF('Pre-Calculation'!$D$17="Type 4 f",SA,IF('Pre-Calculation'!$D$17="Type 4 g",1000+H213,IF('Pre-Calculation'!$D$17="Type 4 h",SA+V213,IF('Pre-Calculation'!$D$17="Type 4 i",MAX(H213,Q213),IF('Pre-Calculation'!$D$17="Type 4 k",MAX(H213,1.01*Q213),IF('Pre-Calculation'!$D$17="Type 4 m",MAX(105%*Q213,SA+H213),IF('Pre-Calculation'!$D$17="Type 4 o",MAX(SA,105%*Q213)+V213+X213,IF('Pre-Calculation'!$D$17="Type 5",0)))))))))))))*IF(AND(A213&lt;Revival!$C$4,C213&gt;Revival!$D$12),PUP,1)</f>
        <v>9360890.598</v>
      </c>
      <c r="L213" s="175">
        <f>H213-I213*(1+Tax)</f>
        <v>9360890.598</v>
      </c>
      <c r="M213" s="175">
        <f>L213*(1+GROWTH_RATE_HIST)</f>
        <v>9463170.575</v>
      </c>
      <c r="N213" s="175">
        <f>M213+IF(MOD(A213,B213)=0,VLOOKUP(B213,'Pre-Calculation'!$H$1:$L$31,5,FALSE),0)*IF('Pre-Calculation'!$D$16="% OF FV",M213,IF(OR('Pre-Calculation'!$D$16="% OF AFV(24M)",'Pre-Calculation'!$D$16="% OF AFV(8Q)"),AVERAGE( $M190:$M213),IF('Pre-Calculation'!$D$16="% OF AFV(12M)",AVERAGE($M202:M213),IF('Pre-Calculation'!$D$16="% OF AFV(36M)",AVERAGE($M178:M213)))))</f>
        <v>9463170.575</v>
      </c>
      <c r="O213" s="175">
        <f t="shared" si="4"/>
        <v>9463170.575</v>
      </c>
      <c r="P213" s="175">
        <f>IF('Pre-Calculation'!$D$17="Type 4 a",MAX(SA,N213,1.05*Q213),IF('Pre-Calculation'!$D$17="Type 4 c",N213,IF('Pre-Calculation'!$D$17="Type 4 d",SA+N213,IF('Pre-Calculation'!$D$17="Type 4 e",MAX(SA,N213),IF('Pre-Calculation'!$D$17="Type 4 f",SA,IF('Pre-Calculation'!$D$17="Type 4 g",1000+N213,IF('Pre-Calculation'!$D$17="Type 4 h",SA+V213,IF('Pre-Calculation'!$D$17="Type 4 i",MAX(N213,Q213),IF('Pre-Calculation'!$D$17="Type 4 k",MAX(N213,1.01*Q213),IF('Pre-Calculation'!$D$17="Type 4 m",MAX(105%*Q213,SA+N213),IF('Pre-Calculation'!$D$17="Type 4 o",MAX(SA,105%*Q213)+V213+X213,IF('Pre-Calculation'!$D$17="Type 5",0))))))))))))</f>
        <v>9463170.575</v>
      </c>
      <c r="Q213" s="175">
        <f t="shared" si="5"/>
        <v>1000000</v>
      </c>
      <c r="R213" s="119">
        <f>L213*(1+GROWTH_RATE)*FMC</f>
        <v>10592.99493</v>
      </c>
      <c r="S213" s="112"/>
      <c r="T213" s="175">
        <f>-E213+IF(A212=INPUT!$C$11*12,N213,0)</f>
        <v>0</v>
      </c>
      <c r="U213" s="112"/>
      <c r="V213" s="179">
        <f t="array" ref="V213">NPV('Pre-Calculation'!$E$20,$E214:E$246)</f>
        <v>0</v>
      </c>
      <c r="W213" s="171">
        <f>10%*SA</f>
        <v>100000</v>
      </c>
      <c r="X213" s="179">
        <f t="array" ref="X213">NPV('Pre-Calculation'!$E$20,W214:W223)</f>
        <v>969592.8037</v>
      </c>
      <c r="Y213" s="12"/>
      <c r="Z213" s="12"/>
    </row>
    <row r="214" ht="15.75" customHeight="1">
      <c r="A214" s="171">
        <f t="shared" si="1"/>
        <v>268</v>
      </c>
      <c r="B214" s="171">
        <f t="shared" si="2"/>
        <v>23</v>
      </c>
      <c r="C214" s="176">
        <f>EDATE(RCD,A213)</f>
        <v>50678</v>
      </c>
      <c r="D214" s="171">
        <f>Age_At_Entry+Cashflows_HIST!B214-1</f>
        <v>57</v>
      </c>
      <c r="E214" s="175">
        <f>IF(AND(C214&lt;=Last_Prem,MOD(A213,Mode)=0,C214&gt;INPUT!$C$13,A214&lt;=Revival!$C$11),Mod_Prem,0)</f>
        <v>0</v>
      </c>
      <c r="F214" s="177">
        <f>E214*VLOOKUP(B214,'Pre-Calculation'!$H$1:$I$31,2,FALSE)</f>
        <v>0</v>
      </c>
      <c r="G214" s="177">
        <f>IF(B214&lt;PT+1,VLOOKUP(B214,'Pre-Calculation'!$H$1:$L$32,3,FALSE)+VLOOKUP(B214,'Pre-Calculation'!$H$1:$L$32,4,FALSE)*'Pre-Calculation'!$D$7,0)</f>
        <v>0</v>
      </c>
      <c r="H214" s="175">
        <f>(E214-(F214+G214)*(1+Tax)+N213)</f>
        <v>9463170.575</v>
      </c>
      <c r="I214" s="175">
        <f>IF(B214&lt;PT+1,VLOOKUP(D214,'Pre-Calculation'!$N$3:$P$79,IF(INPUT!$C$4="M",2,3),FALSE)*(J214/1000)*(1/12),0)</f>
        <v>0</v>
      </c>
      <c r="J214" s="175">
        <f t="shared" si="3"/>
        <v>0</v>
      </c>
      <c r="K214" s="175">
        <f>(IF('Pre-Calculation'!$D$17="Type 4 a",MAX(SA,H214,1.05*Q214),IF('Pre-Calculation'!$D$17="Type 4 c",H214,IF('Pre-Calculation'!$D$17="Type 4 d",SA+H214,IF('Pre-Calculation'!$D$17="Type 4 e",MAX(SA,H214),IF('Pre-Calculation'!$D$17="Type 4 f",SA,IF('Pre-Calculation'!$D$17="Type 4 g",1000+H214,IF('Pre-Calculation'!$D$17="Type 4 h",SA+V214,IF('Pre-Calculation'!$D$17="Type 4 i",MAX(H214,Q214),IF('Pre-Calculation'!$D$17="Type 4 k",MAX(H214,1.01*Q214),IF('Pre-Calculation'!$D$17="Type 4 m",MAX(105%*Q214,SA+H214),IF('Pre-Calculation'!$D$17="Type 4 o",MAX(SA,105%*Q214)+V214+X214,IF('Pre-Calculation'!$D$17="Type 5",0)))))))))))))*IF(AND(A214&lt;Revival!$C$4,C214&gt;Revival!$D$12),PUP,1)</f>
        <v>9463170.575</v>
      </c>
      <c r="L214" s="175">
        <f>H214-I214*(1+Tax)</f>
        <v>9463170.575</v>
      </c>
      <c r="M214" s="175">
        <f>L214*(1+GROWTH_RATE_HIST)</f>
        <v>9566568.095</v>
      </c>
      <c r="N214" s="175">
        <f>M214+IF(MOD(A214,B214)=0,VLOOKUP(B214,'Pre-Calculation'!$H$1:$L$31,5,FALSE),0)*IF('Pre-Calculation'!$D$16="% OF FV",M214,IF(OR('Pre-Calculation'!$D$16="% OF AFV(24M)",'Pre-Calculation'!$D$16="% OF AFV(8Q)"),AVERAGE( $M191:$M214),IF('Pre-Calculation'!$D$16="% OF AFV(12M)",AVERAGE($M203:M214),IF('Pre-Calculation'!$D$16="% OF AFV(36M)",AVERAGE($M179:M214)))))</f>
        <v>9566568.095</v>
      </c>
      <c r="O214" s="175">
        <f t="shared" si="4"/>
        <v>9566568.095</v>
      </c>
      <c r="P214" s="175">
        <f>IF('Pre-Calculation'!$D$17="Type 4 a",MAX(SA,N214,1.05*Q214),IF('Pre-Calculation'!$D$17="Type 4 c",N214,IF('Pre-Calculation'!$D$17="Type 4 d",SA+N214,IF('Pre-Calculation'!$D$17="Type 4 e",MAX(SA,N214),IF('Pre-Calculation'!$D$17="Type 4 f",SA,IF('Pre-Calculation'!$D$17="Type 4 g",1000+N214,IF('Pre-Calculation'!$D$17="Type 4 h",SA+V214,IF('Pre-Calculation'!$D$17="Type 4 i",MAX(N214,Q214),IF('Pre-Calculation'!$D$17="Type 4 k",MAX(N214,1.01*Q214),IF('Pre-Calculation'!$D$17="Type 4 m",MAX(105%*Q214,SA+N214),IF('Pre-Calculation'!$D$17="Type 4 o",MAX(SA,105%*Q214)+V214+X214,IF('Pre-Calculation'!$D$17="Type 5",0))))))))))))</f>
        <v>9566568.095</v>
      </c>
      <c r="Q214" s="175">
        <f t="shared" si="5"/>
        <v>1000000</v>
      </c>
      <c r="R214" s="119">
        <f>L214*(1+GROWTH_RATE)*FMC</f>
        <v>10708.73726</v>
      </c>
      <c r="S214" s="112"/>
      <c r="T214" s="175">
        <f>-E214+IF(A213=INPUT!$C$11*12,N214,0)</f>
        <v>0</v>
      </c>
      <c r="U214" s="112"/>
      <c r="V214" s="179">
        <f t="array" ref="V214">NPV('Pre-Calculation'!$E$20,$E215:E$246)</f>
        <v>0</v>
      </c>
      <c r="W214" s="171">
        <f>10%*SA</f>
        <v>100000</v>
      </c>
      <c r="X214" s="179">
        <f t="array" ref="X214">NPV('Pre-Calculation'!$E$20,W215:W224)</f>
        <v>969592.8037</v>
      </c>
      <c r="Y214" s="12"/>
      <c r="Z214" s="12"/>
    </row>
    <row r="215" ht="15.75" customHeight="1">
      <c r="A215" s="171">
        <f t="shared" si="1"/>
        <v>269</v>
      </c>
      <c r="B215" s="171">
        <f t="shared" si="2"/>
        <v>23</v>
      </c>
      <c r="C215" s="176">
        <f>EDATE(RCD,A214)</f>
        <v>50708</v>
      </c>
      <c r="D215" s="171">
        <f>Age_At_Entry+Cashflows_HIST!B215-1</f>
        <v>57</v>
      </c>
      <c r="E215" s="175">
        <f>IF(AND(C215&lt;=Last_Prem,MOD(A214,Mode)=0,C215&gt;INPUT!$C$13,A215&lt;=Revival!$C$11),Mod_Prem,0)</f>
        <v>0</v>
      </c>
      <c r="F215" s="177">
        <f>E215*VLOOKUP(B215,'Pre-Calculation'!$H$1:$I$31,2,FALSE)</f>
        <v>0</v>
      </c>
      <c r="G215" s="177">
        <f>IF(B215&lt;PT+1,VLOOKUP(B215,'Pre-Calculation'!$H$1:$L$32,3,FALSE)+VLOOKUP(B215,'Pre-Calculation'!$H$1:$L$32,4,FALSE)*'Pre-Calculation'!$D$7,0)</f>
        <v>0</v>
      </c>
      <c r="H215" s="175">
        <f>(E215-(F215+G215)*(1+Tax)+N214)</f>
        <v>9566568.095</v>
      </c>
      <c r="I215" s="175">
        <f>IF(B215&lt;PT+1,VLOOKUP(D215,'Pre-Calculation'!$N$3:$P$79,IF(INPUT!$C$4="M",2,3),FALSE)*(J215/1000)*(1/12),0)</f>
        <v>0</v>
      </c>
      <c r="J215" s="175">
        <f t="shared" si="3"/>
        <v>0</v>
      </c>
      <c r="K215" s="175">
        <f>(IF('Pre-Calculation'!$D$17="Type 4 a",MAX(SA,H215,1.05*Q215),IF('Pre-Calculation'!$D$17="Type 4 c",H215,IF('Pre-Calculation'!$D$17="Type 4 d",SA+H215,IF('Pre-Calculation'!$D$17="Type 4 e",MAX(SA,H215),IF('Pre-Calculation'!$D$17="Type 4 f",SA,IF('Pre-Calculation'!$D$17="Type 4 g",1000+H215,IF('Pre-Calculation'!$D$17="Type 4 h",SA+V215,IF('Pre-Calculation'!$D$17="Type 4 i",MAX(H215,Q215),IF('Pre-Calculation'!$D$17="Type 4 k",MAX(H215,1.01*Q215),IF('Pre-Calculation'!$D$17="Type 4 m",MAX(105%*Q215,SA+H215),IF('Pre-Calculation'!$D$17="Type 4 o",MAX(SA,105%*Q215)+V215+X215,IF('Pre-Calculation'!$D$17="Type 5",0)))))))))))))*IF(AND(A215&lt;Revival!$C$4,C215&gt;Revival!$D$12),PUP,1)</f>
        <v>9566568.095</v>
      </c>
      <c r="L215" s="175">
        <f>H215-I215*(1+Tax)</f>
        <v>9566568.095</v>
      </c>
      <c r="M215" s="175">
        <f>L215*(1+GROWTH_RATE_HIST)</f>
        <v>9671095.368</v>
      </c>
      <c r="N215" s="175">
        <f>M215+IF(MOD(A215,B215)=0,VLOOKUP(B215,'Pre-Calculation'!$H$1:$L$31,5,FALSE),0)*IF('Pre-Calculation'!$D$16="% OF FV",M215,IF(OR('Pre-Calculation'!$D$16="% OF AFV(24M)",'Pre-Calculation'!$D$16="% OF AFV(8Q)"),AVERAGE( $M192:$M215),IF('Pre-Calculation'!$D$16="% OF AFV(12M)",AVERAGE($M204:M215),IF('Pre-Calculation'!$D$16="% OF AFV(36M)",AVERAGE($M180:M215)))))</f>
        <v>9671095.368</v>
      </c>
      <c r="O215" s="175">
        <f t="shared" si="4"/>
        <v>9671095.368</v>
      </c>
      <c r="P215" s="175">
        <f>IF('Pre-Calculation'!$D$17="Type 4 a",MAX(SA,N215,1.05*Q215),IF('Pre-Calculation'!$D$17="Type 4 c",N215,IF('Pre-Calculation'!$D$17="Type 4 d",SA+N215,IF('Pre-Calculation'!$D$17="Type 4 e",MAX(SA,N215),IF('Pre-Calculation'!$D$17="Type 4 f",SA,IF('Pre-Calculation'!$D$17="Type 4 g",1000+N215,IF('Pre-Calculation'!$D$17="Type 4 h",SA+V215,IF('Pre-Calculation'!$D$17="Type 4 i",MAX(N215,Q215),IF('Pre-Calculation'!$D$17="Type 4 k",MAX(N215,1.01*Q215),IF('Pre-Calculation'!$D$17="Type 4 m",MAX(105%*Q215,SA+N215),IF('Pre-Calculation'!$D$17="Type 4 o",MAX(SA,105%*Q215)+V215+X215,IF('Pre-Calculation'!$D$17="Type 5",0))))))))))))</f>
        <v>9671095.368</v>
      </c>
      <c r="Q215" s="175">
        <f t="shared" si="5"/>
        <v>1000000</v>
      </c>
      <c r="R215" s="119">
        <f>L215*(1+GROWTH_RATE)*FMC</f>
        <v>10825.74422</v>
      </c>
      <c r="S215" s="112"/>
      <c r="T215" s="175">
        <f>-E215+IF(A214=INPUT!$C$11*12,N215,0)</f>
        <v>0</v>
      </c>
      <c r="U215" s="112"/>
      <c r="V215" s="179">
        <f t="array" ref="V215">NPV('Pre-Calculation'!$E$20,$E216:E$246)</f>
        <v>0</v>
      </c>
      <c r="W215" s="171">
        <f>10%*SA</f>
        <v>100000</v>
      </c>
      <c r="X215" s="179">
        <f t="array" ref="X215">NPV('Pre-Calculation'!$E$20,W216:W225)</f>
        <v>969592.8037</v>
      </c>
      <c r="Y215" s="12"/>
      <c r="Z215" s="12"/>
    </row>
    <row r="216" ht="15.75" customHeight="1">
      <c r="A216" s="171">
        <f t="shared" si="1"/>
        <v>270</v>
      </c>
      <c r="B216" s="171">
        <f t="shared" si="2"/>
        <v>23</v>
      </c>
      <c r="C216" s="176">
        <f>EDATE(RCD,A215)</f>
        <v>50739</v>
      </c>
      <c r="D216" s="171">
        <f>Age_At_Entry+Cashflows_HIST!B216-1</f>
        <v>57</v>
      </c>
      <c r="E216" s="175">
        <f>IF(AND(C216&lt;=Last_Prem,MOD(A215,Mode)=0,C216&gt;INPUT!$C$13,A216&lt;=Revival!$C$11),Mod_Prem,0)</f>
        <v>0</v>
      </c>
      <c r="F216" s="177">
        <f>E216*VLOOKUP(B216,'Pre-Calculation'!$H$1:$I$31,2,FALSE)</f>
        <v>0</v>
      </c>
      <c r="G216" s="177">
        <f>IF(B216&lt;PT+1,VLOOKUP(B216,'Pre-Calculation'!$H$1:$L$32,3,FALSE)+VLOOKUP(B216,'Pre-Calculation'!$H$1:$L$32,4,FALSE)*'Pre-Calculation'!$D$7,0)</f>
        <v>0</v>
      </c>
      <c r="H216" s="175">
        <f>(E216-(F216+G216)*(1+Tax)+N215)</f>
        <v>9671095.368</v>
      </c>
      <c r="I216" s="175">
        <f>IF(B216&lt;PT+1,VLOOKUP(D216,'Pre-Calculation'!$N$3:$P$79,IF(INPUT!$C$4="M",2,3),FALSE)*(J216/1000)*(1/12),0)</f>
        <v>0</v>
      </c>
      <c r="J216" s="175">
        <f t="shared" si="3"/>
        <v>0</v>
      </c>
      <c r="K216" s="175">
        <f>(IF('Pre-Calculation'!$D$17="Type 4 a",MAX(SA,H216,1.05*Q216),IF('Pre-Calculation'!$D$17="Type 4 c",H216,IF('Pre-Calculation'!$D$17="Type 4 d",SA+H216,IF('Pre-Calculation'!$D$17="Type 4 e",MAX(SA,H216),IF('Pre-Calculation'!$D$17="Type 4 f",SA,IF('Pre-Calculation'!$D$17="Type 4 g",1000+H216,IF('Pre-Calculation'!$D$17="Type 4 h",SA+V216,IF('Pre-Calculation'!$D$17="Type 4 i",MAX(H216,Q216),IF('Pre-Calculation'!$D$17="Type 4 k",MAX(H216,1.01*Q216),IF('Pre-Calculation'!$D$17="Type 4 m",MAX(105%*Q216,SA+H216),IF('Pre-Calculation'!$D$17="Type 4 o",MAX(SA,105%*Q216)+V216+X216,IF('Pre-Calculation'!$D$17="Type 5",0)))))))))))))*IF(AND(A216&lt;Revival!$C$4,C216&gt;Revival!$D$12),PUP,1)</f>
        <v>9671095.368</v>
      </c>
      <c r="L216" s="175">
        <f>H216-I216*(1+Tax)</f>
        <v>9671095.368</v>
      </c>
      <c r="M216" s="175">
        <f>L216*(1+GROWTH_RATE_HIST)</f>
        <v>9776764.738</v>
      </c>
      <c r="N216" s="175">
        <f>M216+IF(MOD(A216,B216)=0,VLOOKUP(B216,'Pre-Calculation'!$H$1:$L$31,5,FALSE),0)*IF('Pre-Calculation'!$D$16="% OF FV",M216,IF(OR('Pre-Calculation'!$D$16="% OF AFV(24M)",'Pre-Calculation'!$D$16="% OF AFV(8Q)"),AVERAGE( $M193:$M216),IF('Pre-Calculation'!$D$16="% OF AFV(12M)",AVERAGE($M205:M216),IF('Pre-Calculation'!$D$16="% OF AFV(36M)",AVERAGE($M181:M216)))))</f>
        <v>9776764.738</v>
      </c>
      <c r="O216" s="175">
        <f t="shared" si="4"/>
        <v>9776764.738</v>
      </c>
      <c r="P216" s="175">
        <f>IF('Pre-Calculation'!$D$17="Type 4 a",MAX(SA,N216,1.05*Q216),IF('Pre-Calculation'!$D$17="Type 4 c",N216,IF('Pre-Calculation'!$D$17="Type 4 d",SA+N216,IF('Pre-Calculation'!$D$17="Type 4 e",MAX(SA,N216),IF('Pre-Calculation'!$D$17="Type 4 f",SA,IF('Pre-Calculation'!$D$17="Type 4 g",1000+N216,IF('Pre-Calculation'!$D$17="Type 4 h",SA+V216,IF('Pre-Calculation'!$D$17="Type 4 i",MAX(N216,Q216),IF('Pre-Calculation'!$D$17="Type 4 k",MAX(N216,1.01*Q216),IF('Pre-Calculation'!$D$17="Type 4 m",MAX(105%*Q216,SA+N216),IF('Pre-Calculation'!$D$17="Type 4 o",MAX(SA,105%*Q216)+V216+X216,IF('Pre-Calculation'!$D$17="Type 5",0))))))))))))</f>
        <v>9776764.738</v>
      </c>
      <c r="Q216" s="175">
        <f t="shared" si="5"/>
        <v>1000000</v>
      </c>
      <c r="R216" s="119">
        <f>L216*(1+GROWTH_RATE)*FMC</f>
        <v>10944.02964</v>
      </c>
      <c r="S216" s="112"/>
      <c r="T216" s="175">
        <f>-E216+IF(A215=INPUT!$C$11*12,N216,0)</f>
        <v>0</v>
      </c>
      <c r="U216" s="112"/>
      <c r="V216" s="179">
        <f t="array" ref="V216">NPV('Pre-Calculation'!$E$20,$E217:E$246)</f>
        <v>0</v>
      </c>
      <c r="W216" s="171">
        <f>10%*SA</f>
        <v>100000</v>
      </c>
      <c r="X216" s="179">
        <f t="array" ref="X216">NPV('Pre-Calculation'!$E$20,W217:W226)</f>
        <v>969592.8037</v>
      </c>
      <c r="Y216" s="12"/>
      <c r="Z216" s="12"/>
    </row>
    <row r="217" ht="15.75" customHeight="1">
      <c r="A217" s="171">
        <f t="shared" si="1"/>
        <v>271</v>
      </c>
      <c r="B217" s="171">
        <f t="shared" si="2"/>
        <v>23</v>
      </c>
      <c r="C217" s="176">
        <f>EDATE(RCD,A216)</f>
        <v>50769</v>
      </c>
      <c r="D217" s="171">
        <f>Age_At_Entry+Cashflows_HIST!B217-1</f>
        <v>57</v>
      </c>
      <c r="E217" s="175">
        <f>IF(AND(C217&lt;=Last_Prem,MOD(A216,Mode)=0,C217&gt;INPUT!$C$13,A217&lt;=Revival!$C$11),Mod_Prem,0)</f>
        <v>0</v>
      </c>
      <c r="F217" s="177">
        <f>E217*VLOOKUP(B217,'Pre-Calculation'!$H$1:$I$31,2,FALSE)</f>
        <v>0</v>
      </c>
      <c r="G217" s="177">
        <f>IF(B217&lt;PT+1,VLOOKUP(B217,'Pre-Calculation'!$H$1:$L$32,3,FALSE)+VLOOKUP(B217,'Pre-Calculation'!$H$1:$L$32,4,FALSE)*'Pre-Calculation'!$D$7,0)</f>
        <v>0</v>
      </c>
      <c r="H217" s="175">
        <f>(E217-(F217+G217)*(1+Tax)+N216)</f>
        <v>9776764.738</v>
      </c>
      <c r="I217" s="175">
        <f>IF(B217&lt;PT+1,VLOOKUP(D217,'Pre-Calculation'!$N$3:$P$79,IF(INPUT!$C$4="M",2,3),FALSE)*(J217/1000)*(1/12),0)</f>
        <v>0</v>
      </c>
      <c r="J217" s="175">
        <f t="shared" si="3"/>
        <v>0</v>
      </c>
      <c r="K217" s="175">
        <f>(IF('Pre-Calculation'!$D$17="Type 4 a",MAX(SA,H217,1.05*Q217),IF('Pre-Calculation'!$D$17="Type 4 c",H217,IF('Pre-Calculation'!$D$17="Type 4 d",SA+H217,IF('Pre-Calculation'!$D$17="Type 4 e",MAX(SA,H217),IF('Pre-Calculation'!$D$17="Type 4 f",SA,IF('Pre-Calculation'!$D$17="Type 4 g",1000+H217,IF('Pre-Calculation'!$D$17="Type 4 h",SA+V217,IF('Pre-Calculation'!$D$17="Type 4 i",MAX(H217,Q217),IF('Pre-Calculation'!$D$17="Type 4 k",MAX(H217,1.01*Q217),IF('Pre-Calculation'!$D$17="Type 4 m",MAX(105%*Q217,SA+H217),IF('Pre-Calculation'!$D$17="Type 4 o",MAX(SA,105%*Q217)+V217+X217,IF('Pre-Calculation'!$D$17="Type 5",0)))))))))))))*IF(AND(A217&lt;Revival!$C$4,C217&gt;Revival!$D$12),PUP,1)</f>
        <v>9776764.738</v>
      </c>
      <c r="L217" s="175">
        <f>H217-I217*(1+Tax)</f>
        <v>9776764.738</v>
      </c>
      <c r="M217" s="175">
        <f>L217*(1+GROWTH_RATE_HIST)</f>
        <v>9883588.684</v>
      </c>
      <c r="N217" s="175">
        <f>M217+IF(MOD(A217,B217)=0,VLOOKUP(B217,'Pre-Calculation'!$H$1:$L$31,5,FALSE),0)*IF('Pre-Calculation'!$D$16="% OF FV",M217,IF(OR('Pre-Calculation'!$D$16="% OF AFV(24M)",'Pre-Calculation'!$D$16="% OF AFV(8Q)"),AVERAGE( $M194:$M217),IF('Pre-Calculation'!$D$16="% OF AFV(12M)",AVERAGE($M206:M217),IF('Pre-Calculation'!$D$16="% OF AFV(36M)",AVERAGE($M182:M217)))))</f>
        <v>9883588.684</v>
      </c>
      <c r="O217" s="175">
        <f t="shared" si="4"/>
        <v>9883588.684</v>
      </c>
      <c r="P217" s="175">
        <f>IF('Pre-Calculation'!$D$17="Type 4 a",MAX(SA,N217,1.05*Q217),IF('Pre-Calculation'!$D$17="Type 4 c",N217,IF('Pre-Calculation'!$D$17="Type 4 d",SA+N217,IF('Pre-Calculation'!$D$17="Type 4 e",MAX(SA,N217),IF('Pre-Calculation'!$D$17="Type 4 f",SA,IF('Pre-Calculation'!$D$17="Type 4 g",1000+N217,IF('Pre-Calculation'!$D$17="Type 4 h",SA+V217,IF('Pre-Calculation'!$D$17="Type 4 i",MAX(N217,Q217),IF('Pre-Calculation'!$D$17="Type 4 k",MAX(N217,1.01*Q217),IF('Pre-Calculation'!$D$17="Type 4 m",MAX(105%*Q217,SA+N217),IF('Pre-Calculation'!$D$17="Type 4 o",MAX(SA,105%*Q217)+V217+X217,IF('Pre-Calculation'!$D$17="Type 5",0))))))))))))</f>
        <v>9883588.684</v>
      </c>
      <c r="Q217" s="175">
        <f t="shared" si="5"/>
        <v>1000000</v>
      </c>
      <c r="R217" s="119">
        <f>L217*(1+GROWTH_RATE)*FMC</f>
        <v>11063.60748</v>
      </c>
      <c r="S217" s="112"/>
      <c r="T217" s="175">
        <f>-E217+IF(A216=INPUT!$C$11*12,N217,0)</f>
        <v>0</v>
      </c>
      <c r="U217" s="112"/>
      <c r="V217" s="179">
        <f t="array" ref="V217">NPV('Pre-Calculation'!$E$20,$E218:E$246)</f>
        <v>0</v>
      </c>
      <c r="W217" s="171">
        <f>10%*SA</f>
        <v>100000</v>
      </c>
      <c r="X217" s="179">
        <f t="array" ref="X217">NPV('Pre-Calculation'!$E$20,W218:W227)</f>
        <v>969592.8037</v>
      </c>
      <c r="Y217" s="12"/>
      <c r="Z217" s="12"/>
    </row>
    <row r="218" ht="15.75" customHeight="1">
      <c r="A218" s="171">
        <f t="shared" si="1"/>
        <v>272</v>
      </c>
      <c r="B218" s="171">
        <f t="shared" si="2"/>
        <v>23</v>
      </c>
      <c r="C218" s="176">
        <f>EDATE(RCD,A217)</f>
        <v>50800</v>
      </c>
      <c r="D218" s="171">
        <f>Age_At_Entry+Cashflows_HIST!B218-1</f>
        <v>57</v>
      </c>
      <c r="E218" s="175">
        <f>IF(AND(C218&lt;=Last_Prem,MOD(A217,Mode)=0,C218&gt;INPUT!$C$13,A218&lt;=Revival!$C$11),Mod_Prem,0)</f>
        <v>0</v>
      </c>
      <c r="F218" s="177">
        <f>E218*VLOOKUP(B218,'Pre-Calculation'!$H$1:$I$31,2,FALSE)</f>
        <v>0</v>
      </c>
      <c r="G218" s="177">
        <f>IF(B218&lt;PT+1,VLOOKUP(B218,'Pre-Calculation'!$H$1:$L$32,3,FALSE)+VLOOKUP(B218,'Pre-Calculation'!$H$1:$L$32,4,FALSE)*'Pre-Calculation'!$D$7,0)</f>
        <v>0</v>
      </c>
      <c r="H218" s="175">
        <f>(E218-(F218+G218)*(1+Tax)+N217)</f>
        <v>9883588.684</v>
      </c>
      <c r="I218" s="175">
        <f>IF(B218&lt;PT+1,VLOOKUP(D218,'Pre-Calculation'!$N$3:$P$79,IF(INPUT!$C$4="M",2,3),FALSE)*(J218/1000)*(1/12),0)</f>
        <v>0</v>
      </c>
      <c r="J218" s="175">
        <f t="shared" si="3"/>
        <v>0</v>
      </c>
      <c r="K218" s="175">
        <f>(IF('Pre-Calculation'!$D$17="Type 4 a",MAX(SA,H218,1.05*Q218),IF('Pre-Calculation'!$D$17="Type 4 c",H218,IF('Pre-Calculation'!$D$17="Type 4 d",SA+H218,IF('Pre-Calculation'!$D$17="Type 4 e",MAX(SA,H218),IF('Pre-Calculation'!$D$17="Type 4 f",SA,IF('Pre-Calculation'!$D$17="Type 4 g",1000+H218,IF('Pre-Calculation'!$D$17="Type 4 h",SA+V218,IF('Pre-Calculation'!$D$17="Type 4 i",MAX(H218,Q218),IF('Pre-Calculation'!$D$17="Type 4 k",MAX(H218,1.01*Q218),IF('Pre-Calculation'!$D$17="Type 4 m",MAX(105%*Q218,SA+H218),IF('Pre-Calculation'!$D$17="Type 4 o",MAX(SA,105%*Q218)+V218+X218,IF('Pre-Calculation'!$D$17="Type 5",0)))))))))))))*IF(AND(A218&lt;Revival!$C$4,C218&gt;Revival!$D$12),PUP,1)</f>
        <v>9883588.684</v>
      </c>
      <c r="L218" s="175">
        <f>H218-I218*(1+Tax)</f>
        <v>9883588.684</v>
      </c>
      <c r="M218" s="175">
        <f>L218*(1+GROWTH_RATE_HIST)</f>
        <v>9991579.822</v>
      </c>
      <c r="N218" s="175">
        <f>M218+IF(MOD(A218,B218)=0,VLOOKUP(B218,'Pre-Calculation'!$H$1:$L$31,5,FALSE),0)*IF('Pre-Calculation'!$D$16="% OF FV",M218,IF(OR('Pre-Calculation'!$D$16="% OF AFV(24M)",'Pre-Calculation'!$D$16="% OF AFV(8Q)"),AVERAGE( $M195:$M218),IF('Pre-Calculation'!$D$16="% OF AFV(12M)",AVERAGE($M207:M218),IF('Pre-Calculation'!$D$16="% OF AFV(36M)",AVERAGE($M183:M218)))))</f>
        <v>9991579.822</v>
      </c>
      <c r="O218" s="175">
        <f t="shared" si="4"/>
        <v>9991579.822</v>
      </c>
      <c r="P218" s="175">
        <f>IF('Pre-Calculation'!$D$17="Type 4 a",MAX(SA,N218,1.05*Q218),IF('Pre-Calculation'!$D$17="Type 4 c",N218,IF('Pre-Calculation'!$D$17="Type 4 d",SA+N218,IF('Pre-Calculation'!$D$17="Type 4 e",MAX(SA,N218),IF('Pre-Calculation'!$D$17="Type 4 f",SA,IF('Pre-Calculation'!$D$17="Type 4 g",1000+N218,IF('Pre-Calculation'!$D$17="Type 4 h",SA+V218,IF('Pre-Calculation'!$D$17="Type 4 i",MAX(N218,Q218),IF('Pre-Calculation'!$D$17="Type 4 k",MAX(N218,1.01*Q218),IF('Pre-Calculation'!$D$17="Type 4 m",MAX(105%*Q218,SA+N218),IF('Pre-Calculation'!$D$17="Type 4 o",MAX(SA,105%*Q218)+V218+X218,IF('Pre-Calculation'!$D$17="Type 5",0))))))))))))</f>
        <v>9991579.822</v>
      </c>
      <c r="Q218" s="175">
        <f t="shared" si="5"/>
        <v>1000000</v>
      </c>
      <c r="R218" s="119">
        <f>L218*(1+GROWTH_RATE)*FMC</f>
        <v>11184.49187</v>
      </c>
      <c r="S218" s="112"/>
      <c r="T218" s="175">
        <f>-E218+IF(A217=INPUT!$C$11*12,N218,0)</f>
        <v>0</v>
      </c>
      <c r="U218" s="112"/>
      <c r="V218" s="179">
        <f t="array" ref="V218">NPV('Pre-Calculation'!$E$20,$E219:E$246)</f>
        <v>0</v>
      </c>
      <c r="W218" s="171">
        <f>10%*SA</f>
        <v>100000</v>
      </c>
      <c r="X218" s="179">
        <f t="array" ref="X218">NPV('Pre-Calculation'!$E$20,W219:W228)</f>
        <v>969592.8037</v>
      </c>
      <c r="Y218" s="12"/>
      <c r="Z218" s="12"/>
    </row>
    <row r="219" ht="15.75" customHeight="1">
      <c r="A219" s="171">
        <f t="shared" si="1"/>
        <v>273</v>
      </c>
      <c r="B219" s="171">
        <f t="shared" si="2"/>
        <v>23</v>
      </c>
      <c r="C219" s="176">
        <f>EDATE(RCD,A218)</f>
        <v>50829</v>
      </c>
      <c r="D219" s="171">
        <f>Age_At_Entry+Cashflows_HIST!B219-1</f>
        <v>57</v>
      </c>
      <c r="E219" s="175">
        <f>IF(AND(C219&lt;=Last_Prem,MOD(A218,Mode)=0,C219&gt;INPUT!$C$13,A219&lt;=Revival!$C$11),Mod_Prem,0)</f>
        <v>0</v>
      </c>
      <c r="F219" s="177">
        <f>E219*VLOOKUP(B219,'Pre-Calculation'!$H$1:$I$31,2,FALSE)</f>
        <v>0</v>
      </c>
      <c r="G219" s="177">
        <f>IF(B219&lt;PT+1,VLOOKUP(B219,'Pre-Calculation'!$H$1:$L$32,3,FALSE)+VLOOKUP(B219,'Pre-Calculation'!$H$1:$L$32,4,FALSE)*'Pre-Calculation'!$D$7,0)</f>
        <v>0</v>
      </c>
      <c r="H219" s="175">
        <f>(E219-(F219+G219)*(1+Tax)+N218)</f>
        <v>9991579.822</v>
      </c>
      <c r="I219" s="175">
        <f>IF(B219&lt;PT+1,VLOOKUP(D219,'Pre-Calculation'!$N$3:$P$79,IF(INPUT!$C$4="M",2,3),FALSE)*(J219/1000)*(1/12),0)</f>
        <v>0</v>
      </c>
      <c r="J219" s="175">
        <f t="shared" si="3"/>
        <v>0</v>
      </c>
      <c r="K219" s="175">
        <f>(IF('Pre-Calculation'!$D$17="Type 4 a",MAX(SA,H219,1.05*Q219),IF('Pre-Calculation'!$D$17="Type 4 c",H219,IF('Pre-Calculation'!$D$17="Type 4 d",SA+H219,IF('Pre-Calculation'!$D$17="Type 4 e",MAX(SA,H219),IF('Pre-Calculation'!$D$17="Type 4 f",SA,IF('Pre-Calculation'!$D$17="Type 4 g",1000+H219,IF('Pre-Calculation'!$D$17="Type 4 h",SA+V219,IF('Pre-Calculation'!$D$17="Type 4 i",MAX(H219,Q219),IF('Pre-Calculation'!$D$17="Type 4 k",MAX(H219,1.01*Q219),IF('Pre-Calculation'!$D$17="Type 4 m",MAX(105%*Q219,SA+H219),IF('Pre-Calculation'!$D$17="Type 4 o",MAX(SA,105%*Q219)+V219+X219,IF('Pre-Calculation'!$D$17="Type 5",0)))))))))))))*IF(AND(A219&lt;Revival!$C$4,C219&gt;Revival!$D$12),PUP,1)</f>
        <v>9991579.822</v>
      </c>
      <c r="L219" s="175">
        <f>H219-I219*(1+Tax)</f>
        <v>9991579.822</v>
      </c>
      <c r="M219" s="175">
        <f>L219*(1+GROWTH_RATE_HIST)</f>
        <v>10100750.9</v>
      </c>
      <c r="N219" s="175">
        <f>M219+IF(MOD(A219,B219)=0,VLOOKUP(B219,'Pre-Calculation'!$H$1:$L$31,5,FALSE),0)*IF('Pre-Calculation'!$D$16="% OF FV",M219,IF(OR('Pre-Calculation'!$D$16="% OF AFV(24M)",'Pre-Calculation'!$D$16="% OF AFV(8Q)"),AVERAGE( $M196:$M219),IF('Pre-Calculation'!$D$16="% OF AFV(12M)",AVERAGE($M208:M219),IF('Pre-Calculation'!$D$16="% OF AFV(36M)",AVERAGE($M184:M219)))))</f>
        <v>10100750.9</v>
      </c>
      <c r="O219" s="175">
        <f t="shared" si="4"/>
        <v>10100750.9</v>
      </c>
      <c r="P219" s="175">
        <f>IF('Pre-Calculation'!$D$17="Type 4 a",MAX(SA,N219,1.05*Q219),IF('Pre-Calculation'!$D$17="Type 4 c",N219,IF('Pre-Calculation'!$D$17="Type 4 d",SA+N219,IF('Pre-Calculation'!$D$17="Type 4 e",MAX(SA,N219),IF('Pre-Calculation'!$D$17="Type 4 f",SA,IF('Pre-Calculation'!$D$17="Type 4 g",1000+N219,IF('Pre-Calculation'!$D$17="Type 4 h",SA+V219,IF('Pre-Calculation'!$D$17="Type 4 i",MAX(N219,Q219),IF('Pre-Calculation'!$D$17="Type 4 k",MAX(N219,1.01*Q219),IF('Pre-Calculation'!$D$17="Type 4 m",MAX(105%*Q219,SA+N219),IF('Pre-Calculation'!$D$17="Type 4 o",MAX(SA,105%*Q219)+V219+X219,IF('Pre-Calculation'!$D$17="Type 5",0))))))))))))</f>
        <v>10100750.9</v>
      </c>
      <c r="Q219" s="175">
        <f t="shared" si="5"/>
        <v>1000000</v>
      </c>
      <c r="R219" s="119">
        <f>L219*(1+GROWTH_RATE)*FMC</f>
        <v>11306.69708</v>
      </c>
      <c r="S219" s="112"/>
      <c r="T219" s="175">
        <f>-E219+IF(A218=INPUT!$C$11*12,N219,0)</f>
        <v>0</v>
      </c>
      <c r="U219" s="112"/>
      <c r="V219" s="179">
        <f t="array" ref="V219">NPV('Pre-Calculation'!$E$20,$E220:E$246)</f>
        <v>0</v>
      </c>
      <c r="W219" s="171">
        <f>10%*SA</f>
        <v>100000</v>
      </c>
      <c r="X219" s="179">
        <f t="array" ref="X219">NPV('Pre-Calculation'!$E$20,W220:W229)</f>
        <v>969592.8037</v>
      </c>
      <c r="Y219" s="12"/>
      <c r="Z219" s="12"/>
    </row>
    <row r="220" ht="15.75" customHeight="1">
      <c r="A220" s="171">
        <f t="shared" si="1"/>
        <v>274</v>
      </c>
      <c r="B220" s="171">
        <f t="shared" si="2"/>
        <v>23</v>
      </c>
      <c r="C220" s="176">
        <f>EDATE(RCD,A219)</f>
        <v>50859</v>
      </c>
      <c r="D220" s="171">
        <f>Age_At_Entry+Cashflows_HIST!B220-1</f>
        <v>57</v>
      </c>
      <c r="E220" s="175">
        <f>IF(AND(C220&lt;=Last_Prem,MOD(A219,Mode)=0,C220&gt;INPUT!$C$13,A220&lt;=Revival!$C$11),Mod_Prem,0)</f>
        <v>0</v>
      </c>
      <c r="F220" s="177">
        <f>E220*VLOOKUP(B220,'Pre-Calculation'!$H$1:$I$31,2,FALSE)</f>
        <v>0</v>
      </c>
      <c r="G220" s="177">
        <f>IF(B220&lt;PT+1,VLOOKUP(B220,'Pre-Calculation'!$H$1:$L$32,3,FALSE)+VLOOKUP(B220,'Pre-Calculation'!$H$1:$L$32,4,FALSE)*'Pre-Calculation'!$D$7,0)</f>
        <v>0</v>
      </c>
      <c r="H220" s="175">
        <f>(E220-(F220+G220)*(1+Tax)+N219)</f>
        <v>10100750.9</v>
      </c>
      <c r="I220" s="175">
        <f>IF(B220&lt;PT+1,VLOOKUP(D220,'Pre-Calculation'!$N$3:$P$79,IF(INPUT!$C$4="M",2,3),FALSE)*(J220/1000)*(1/12),0)</f>
        <v>0</v>
      </c>
      <c r="J220" s="175">
        <f t="shared" si="3"/>
        <v>0</v>
      </c>
      <c r="K220" s="175">
        <f>(IF('Pre-Calculation'!$D$17="Type 4 a",MAX(SA,H220,1.05*Q220),IF('Pre-Calculation'!$D$17="Type 4 c",H220,IF('Pre-Calculation'!$D$17="Type 4 d",SA+H220,IF('Pre-Calculation'!$D$17="Type 4 e",MAX(SA,H220),IF('Pre-Calculation'!$D$17="Type 4 f",SA,IF('Pre-Calculation'!$D$17="Type 4 g",1000+H220,IF('Pre-Calculation'!$D$17="Type 4 h",SA+V220,IF('Pre-Calculation'!$D$17="Type 4 i",MAX(H220,Q220),IF('Pre-Calculation'!$D$17="Type 4 k",MAX(H220,1.01*Q220),IF('Pre-Calculation'!$D$17="Type 4 m",MAX(105%*Q220,SA+H220),IF('Pre-Calculation'!$D$17="Type 4 o",MAX(SA,105%*Q220)+V220+X220,IF('Pre-Calculation'!$D$17="Type 5",0)))))))))))))*IF(AND(A220&lt;Revival!$C$4,C220&gt;Revival!$D$12),PUP,1)</f>
        <v>10100750.9</v>
      </c>
      <c r="L220" s="175">
        <f>H220-I220*(1+Tax)</f>
        <v>10100750.9</v>
      </c>
      <c r="M220" s="175">
        <f>L220*(1+GROWTH_RATE_HIST)</f>
        <v>10211114.82</v>
      </c>
      <c r="N220" s="175">
        <f>M220+IF(MOD(A220,B220)=0,VLOOKUP(B220,'Pre-Calculation'!$H$1:$L$31,5,FALSE),0)*IF('Pre-Calculation'!$D$16="% OF FV",M220,IF(OR('Pre-Calculation'!$D$16="% OF AFV(24M)",'Pre-Calculation'!$D$16="% OF AFV(8Q)"),AVERAGE( $M197:$M220),IF('Pre-Calculation'!$D$16="% OF AFV(12M)",AVERAGE($M209:M220),IF('Pre-Calculation'!$D$16="% OF AFV(36M)",AVERAGE($M185:M220)))))</f>
        <v>10211114.82</v>
      </c>
      <c r="O220" s="175">
        <f t="shared" si="4"/>
        <v>10211114.82</v>
      </c>
      <c r="P220" s="175">
        <f>IF('Pre-Calculation'!$D$17="Type 4 a",MAX(SA,N220,1.05*Q220),IF('Pre-Calculation'!$D$17="Type 4 c",N220,IF('Pre-Calculation'!$D$17="Type 4 d",SA+N220,IF('Pre-Calculation'!$D$17="Type 4 e",MAX(SA,N220),IF('Pre-Calculation'!$D$17="Type 4 f",SA,IF('Pre-Calculation'!$D$17="Type 4 g",1000+N220,IF('Pre-Calculation'!$D$17="Type 4 h",SA+V220,IF('Pre-Calculation'!$D$17="Type 4 i",MAX(N220,Q220),IF('Pre-Calculation'!$D$17="Type 4 k",MAX(N220,1.01*Q220),IF('Pre-Calculation'!$D$17="Type 4 m",MAX(105%*Q220,SA+N220),IF('Pre-Calculation'!$D$17="Type 4 o",MAX(SA,105%*Q220)+V220+X220,IF('Pre-Calculation'!$D$17="Type 5",0))))))))))))</f>
        <v>10211114.82</v>
      </c>
      <c r="Q220" s="175">
        <f t="shared" si="5"/>
        <v>1000000</v>
      </c>
      <c r="R220" s="119">
        <f>L220*(1+GROWTH_RATE)*FMC</f>
        <v>11430.23754</v>
      </c>
      <c r="S220" s="112"/>
      <c r="T220" s="175">
        <f>-E220+IF(A219=INPUT!$C$11*12,N220,0)</f>
        <v>0</v>
      </c>
      <c r="U220" s="112"/>
      <c r="V220" s="179">
        <f t="array" ref="V220">NPV('Pre-Calculation'!$E$20,$E221:E$246)</f>
        <v>0</v>
      </c>
      <c r="W220" s="171">
        <f>10%*SA</f>
        <v>100000</v>
      </c>
      <c r="X220" s="179">
        <f t="array" ref="X220">NPV('Pre-Calculation'!$E$20,W221:W230)</f>
        <v>969592.8037</v>
      </c>
      <c r="Y220" s="12"/>
      <c r="Z220" s="12"/>
    </row>
    <row r="221" ht="15.75" customHeight="1">
      <c r="A221" s="171">
        <f t="shared" si="1"/>
        <v>275</v>
      </c>
      <c r="B221" s="171">
        <f t="shared" si="2"/>
        <v>23</v>
      </c>
      <c r="C221" s="176">
        <f>EDATE(RCD,A220)</f>
        <v>50890</v>
      </c>
      <c r="D221" s="171">
        <f>Age_At_Entry+Cashflows_HIST!B221-1</f>
        <v>57</v>
      </c>
      <c r="E221" s="175">
        <f>IF(AND(C221&lt;=Last_Prem,MOD(A220,Mode)=0,C221&gt;INPUT!$C$13,A221&lt;=Revival!$C$11),Mod_Prem,0)</f>
        <v>0</v>
      </c>
      <c r="F221" s="177">
        <f>E221*VLOOKUP(B221,'Pre-Calculation'!$H$1:$I$31,2,FALSE)</f>
        <v>0</v>
      </c>
      <c r="G221" s="177">
        <f>IF(B221&lt;PT+1,VLOOKUP(B221,'Pre-Calculation'!$H$1:$L$32,3,FALSE)+VLOOKUP(B221,'Pre-Calculation'!$H$1:$L$32,4,FALSE)*'Pre-Calculation'!$D$7,0)</f>
        <v>0</v>
      </c>
      <c r="H221" s="175">
        <f>(E221-(F221+G221)*(1+Tax)+N220)</f>
        <v>10211114.82</v>
      </c>
      <c r="I221" s="175">
        <f>IF(B221&lt;PT+1,VLOOKUP(D221,'Pre-Calculation'!$N$3:$P$79,IF(INPUT!$C$4="M",2,3),FALSE)*(J221/1000)*(1/12),0)</f>
        <v>0</v>
      </c>
      <c r="J221" s="175">
        <f t="shared" si="3"/>
        <v>0</v>
      </c>
      <c r="K221" s="175">
        <f>(IF('Pre-Calculation'!$D$17="Type 4 a",MAX(SA,H221,1.05*Q221),IF('Pre-Calculation'!$D$17="Type 4 c",H221,IF('Pre-Calculation'!$D$17="Type 4 d",SA+H221,IF('Pre-Calculation'!$D$17="Type 4 e",MAX(SA,H221),IF('Pre-Calculation'!$D$17="Type 4 f",SA,IF('Pre-Calculation'!$D$17="Type 4 g",1000+H221,IF('Pre-Calculation'!$D$17="Type 4 h",SA+V221,IF('Pre-Calculation'!$D$17="Type 4 i",MAX(H221,Q221),IF('Pre-Calculation'!$D$17="Type 4 k",MAX(H221,1.01*Q221),IF('Pre-Calculation'!$D$17="Type 4 m",MAX(105%*Q221,SA+H221),IF('Pre-Calculation'!$D$17="Type 4 o",MAX(SA,105%*Q221)+V221+X221,IF('Pre-Calculation'!$D$17="Type 5",0)))))))))))))*IF(AND(A221&lt;Revival!$C$4,C221&gt;Revival!$D$12),PUP,1)</f>
        <v>10211114.82</v>
      </c>
      <c r="L221" s="175">
        <f>H221-I221*(1+Tax)</f>
        <v>10211114.82</v>
      </c>
      <c r="M221" s="175">
        <f>L221*(1+GROWTH_RATE_HIST)</f>
        <v>10322684.61</v>
      </c>
      <c r="N221" s="175">
        <f>M221+IF(MOD(A221,B221)=0,VLOOKUP(B221,'Pre-Calculation'!$H$1:$L$31,5,FALSE),0)*IF('Pre-Calculation'!$D$16="% OF FV",M221,IF(OR('Pre-Calculation'!$D$16="% OF AFV(24M)",'Pre-Calculation'!$D$16="% OF AFV(8Q)"),AVERAGE( $M198:$M221),IF('Pre-Calculation'!$D$16="% OF AFV(12M)",AVERAGE($M210:M221),IF('Pre-Calculation'!$D$16="% OF AFV(36M)",AVERAGE($M186:M221)))))</f>
        <v>10322684.61</v>
      </c>
      <c r="O221" s="175">
        <f t="shared" si="4"/>
        <v>10322684.61</v>
      </c>
      <c r="P221" s="175">
        <f>IF('Pre-Calculation'!$D$17="Type 4 a",MAX(SA,N221,1.05*Q221),IF('Pre-Calculation'!$D$17="Type 4 c",N221,IF('Pre-Calculation'!$D$17="Type 4 d",SA+N221,IF('Pre-Calculation'!$D$17="Type 4 e",MAX(SA,N221),IF('Pre-Calculation'!$D$17="Type 4 f",SA,IF('Pre-Calculation'!$D$17="Type 4 g",1000+N221,IF('Pre-Calculation'!$D$17="Type 4 h",SA+V221,IF('Pre-Calculation'!$D$17="Type 4 i",MAX(N221,Q221),IF('Pre-Calculation'!$D$17="Type 4 k",MAX(N221,1.01*Q221),IF('Pre-Calculation'!$D$17="Type 4 m",MAX(105%*Q221,SA+N221),IF('Pre-Calculation'!$D$17="Type 4 o",MAX(SA,105%*Q221)+V221+X221,IF('Pre-Calculation'!$D$17="Type 5",0))))))))))))</f>
        <v>10322684.61</v>
      </c>
      <c r="Q221" s="175">
        <f t="shared" si="5"/>
        <v>1000000</v>
      </c>
      <c r="R221" s="119">
        <f>L221*(1+GROWTH_RATE)*FMC</f>
        <v>11555.12784</v>
      </c>
      <c r="S221" s="112"/>
      <c r="T221" s="175">
        <f>-E221+IF(A220=INPUT!$C$11*12,N221,0)</f>
        <v>0</v>
      </c>
      <c r="U221" s="112"/>
      <c r="V221" s="179">
        <f t="array" ref="V221">NPV('Pre-Calculation'!$E$20,$E222:E$246)</f>
        <v>0</v>
      </c>
      <c r="W221" s="171">
        <f>10%*SA</f>
        <v>100000</v>
      </c>
      <c r="X221" s="179">
        <f t="array" ref="X221">NPV('Pre-Calculation'!$E$20,W222:W231)</f>
        <v>969592.8037</v>
      </c>
      <c r="Y221" s="12"/>
      <c r="Z221" s="12"/>
    </row>
    <row r="222" ht="15.75" customHeight="1">
      <c r="A222" s="171">
        <f t="shared" si="1"/>
        <v>276</v>
      </c>
      <c r="B222" s="171">
        <f t="shared" si="2"/>
        <v>23</v>
      </c>
      <c r="C222" s="176">
        <f>EDATE(RCD,A221)</f>
        <v>50920</v>
      </c>
      <c r="D222" s="171">
        <f>Age_At_Entry+Cashflows_HIST!B222-1</f>
        <v>57</v>
      </c>
      <c r="E222" s="175">
        <f>IF(AND(C222&lt;=Last_Prem,MOD(A221,Mode)=0,C222&gt;INPUT!$C$13,A222&lt;=Revival!$C$11),Mod_Prem,0)</f>
        <v>0</v>
      </c>
      <c r="F222" s="177">
        <f>E222*VLOOKUP(B222,'Pre-Calculation'!$H$1:$I$31,2,FALSE)</f>
        <v>0</v>
      </c>
      <c r="G222" s="177">
        <f>IF(B222&lt;PT+1,VLOOKUP(B222,'Pre-Calculation'!$H$1:$L$32,3,FALSE)+VLOOKUP(B222,'Pre-Calculation'!$H$1:$L$32,4,FALSE)*'Pre-Calculation'!$D$7,0)</f>
        <v>0</v>
      </c>
      <c r="H222" s="175">
        <f>(E222-(F222+G222)*(1+Tax)+N221)</f>
        <v>10322684.61</v>
      </c>
      <c r="I222" s="175">
        <f>IF(B222&lt;PT+1,VLOOKUP(D222,'Pre-Calculation'!$N$3:$P$79,IF(INPUT!$C$4="M",2,3),FALSE)*(J222/1000)*(1/12),0)</f>
        <v>0</v>
      </c>
      <c r="J222" s="175">
        <f t="shared" si="3"/>
        <v>0</v>
      </c>
      <c r="K222" s="175">
        <f>(IF('Pre-Calculation'!$D$17="Type 4 a",MAX(SA,H222,1.05*Q222),IF('Pre-Calculation'!$D$17="Type 4 c",H222,IF('Pre-Calculation'!$D$17="Type 4 d",SA+H222,IF('Pre-Calculation'!$D$17="Type 4 e",MAX(SA,H222),IF('Pre-Calculation'!$D$17="Type 4 f",SA,IF('Pre-Calculation'!$D$17="Type 4 g",1000+H222,IF('Pre-Calculation'!$D$17="Type 4 h",SA+V222,IF('Pre-Calculation'!$D$17="Type 4 i",MAX(H222,Q222),IF('Pre-Calculation'!$D$17="Type 4 k",MAX(H222,1.01*Q222),IF('Pre-Calculation'!$D$17="Type 4 m",MAX(105%*Q222,SA+H222),IF('Pre-Calculation'!$D$17="Type 4 o",MAX(SA,105%*Q222)+V222+X222,IF('Pre-Calculation'!$D$17="Type 5",0)))))))))))))*IF(AND(A222&lt;Revival!$C$4,C222&gt;Revival!$D$12),PUP,1)</f>
        <v>10322684.61</v>
      </c>
      <c r="L222" s="175">
        <f>H222-I222*(1+Tax)</f>
        <v>10322684.61</v>
      </c>
      <c r="M222" s="175">
        <f>L222*(1+GROWTH_RATE_HIST)</f>
        <v>10435473.45</v>
      </c>
      <c r="N222" s="175">
        <f>M222+IF(MOD(A222,B222)=0,VLOOKUP(B222,'Pre-Calculation'!$H$1:$L$31,5,FALSE),0)*IF('Pre-Calculation'!$D$16="% OF FV",M222,IF(OR('Pre-Calculation'!$D$16="% OF AFV(24M)",'Pre-Calculation'!$D$16="% OF AFV(8Q)"),AVERAGE( $M199:$M222),IF('Pre-Calculation'!$D$16="% OF AFV(12M)",AVERAGE($M211:M222),IF('Pre-Calculation'!$D$16="% OF AFV(36M)",AVERAGE($M187:M222)))))</f>
        <v>10435473.45</v>
      </c>
      <c r="O222" s="175">
        <f t="shared" si="4"/>
        <v>10435473.45</v>
      </c>
      <c r="P222" s="175">
        <f>IF('Pre-Calculation'!$D$17="Type 4 a",MAX(SA,N222,1.05*Q222),IF('Pre-Calculation'!$D$17="Type 4 c",N222,IF('Pre-Calculation'!$D$17="Type 4 d",SA+N222,IF('Pre-Calculation'!$D$17="Type 4 e",MAX(SA,N222),IF('Pre-Calculation'!$D$17="Type 4 f",SA,IF('Pre-Calculation'!$D$17="Type 4 g",1000+N222,IF('Pre-Calculation'!$D$17="Type 4 h",SA+V222,IF('Pre-Calculation'!$D$17="Type 4 i",MAX(N222,Q222),IF('Pre-Calculation'!$D$17="Type 4 k",MAX(N222,1.01*Q222),IF('Pre-Calculation'!$D$17="Type 4 m",MAX(105%*Q222,SA+N222),IF('Pre-Calculation'!$D$17="Type 4 o",MAX(SA,105%*Q222)+V222+X222,IF('Pre-Calculation'!$D$17="Type 5",0))))))))))))</f>
        <v>10435473.45</v>
      </c>
      <c r="Q222" s="175">
        <f t="shared" si="5"/>
        <v>1000000</v>
      </c>
      <c r="R222" s="119">
        <f>L222*(1+GROWTH_RATE)*FMC</f>
        <v>11681.38273</v>
      </c>
      <c r="S222" s="112"/>
      <c r="T222" s="175">
        <f>-E222+IF(A221=INPUT!$C$11*12,N222,0)</f>
        <v>0</v>
      </c>
      <c r="U222" s="112"/>
      <c r="V222" s="179">
        <f t="array" ref="V222">NPV('Pre-Calculation'!$E$20,$E223:E$246)</f>
        <v>0</v>
      </c>
      <c r="W222" s="171">
        <f>10%*SA</f>
        <v>100000</v>
      </c>
      <c r="X222" s="179">
        <f t="array" ref="X222">NPV('Pre-Calculation'!$E$20,W223:W232)</f>
        <v>969592.8037</v>
      </c>
      <c r="Y222" s="12"/>
      <c r="Z222" s="12"/>
    </row>
    <row r="223" ht="15.75" customHeight="1">
      <c r="A223" s="171">
        <f t="shared" si="1"/>
        <v>277</v>
      </c>
      <c r="B223" s="171">
        <f t="shared" si="2"/>
        <v>24</v>
      </c>
      <c r="C223" s="176">
        <f>EDATE(RCD,A222)</f>
        <v>50951</v>
      </c>
      <c r="D223" s="171">
        <f>Age_At_Entry+Cashflows_HIST!B223-1</f>
        <v>58</v>
      </c>
      <c r="E223" s="175">
        <f>IF(AND(C223&lt;=Last_Prem,MOD(A222,Mode)=0,C223&gt;INPUT!$C$13,A223&lt;=Revival!$C$11),Mod_Prem,0)</f>
        <v>0</v>
      </c>
      <c r="F223" s="177">
        <f>E223*VLOOKUP(B223,'Pre-Calculation'!$H$1:$I$31,2,FALSE)</f>
        <v>0</v>
      </c>
      <c r="G223" s="177">
        <f>IF(B223&lt;PT+1,VLOOKUP(B223,'Pre-Calculation'!$H$1:$L$32,3,FALSE)+VLOOKUP(B223,'Pre-Calculation'!$H$1:$L$32,4,FALSE)*'Pre-Calculation'!$D$7,0)</f>
        <v>0</v>
      </c>
      <c r="H223" s="175">
        <f>(E223-(F223+G223)*(1+Tax)+N222)</f>
        <v>10435473.45</v>
      </c>
      <c r="I223" s="175">
        <f>IF(B223&lt;PT+1,VLOOKUP(D223,'Pre-Calculation'!$N$3:$P$79,IF(INPUT!$C$4="M",2,3),FALSE)*(J223/1000)*(1/12),0)</f>
        <v>0</v>
      </c>
      <c r="J223" s="175">
        <f t="shared" si="3"/>
        <v>0</v>
      </c>
      <c r="K223" s="175">
        <f>(IF('Pre-Calculation'!$D$17="Type 4 a",MAX(SA,H223,1.05*Q223),IF('Pre-Calculation'!$D$17="Type 4 c",H223,IF('Pre-Calculation'!$D$17="Type 4 d",SA+H223,IF('Pre-Calculation'!$D$17="Type 4 e",MAX(SA,H223),IF('Pre-Calculation'!$D$17="Type 4 f",SA,IF('Pre-Calculation'!$D$17="Type 4 g",1000+H223,IF('Pre-Calculation'!$D$17="Type 4 h",SA+V223,IF('Pre-Calculation'!$D$17="Type 4 i",MAX(H223,Q223),IF('Pre-Calculation'!$D$17="Type 4 k",MAX(H223,1.01*Q223),IF('Pre-Calculation'!$D$17="Type 4 m",MAX(105%*Q223,SA+H223),IF('Pre-Calculation'!$D$17="Type 4 o",MAX(SA,105%*Q223)+V223+X223,IF('Pre-Calculation'!$D$17="Type 5",0)))))))))))))*IF(AND(A223&lt;Revival!$C$4,C223&gt;Revival!$D$12),PUP,1)</f>
        <v>10435473.45</v>
      </c>
      <c r="L223" s="175">
        <f>H223-I223*(1+Tax)</f>
        <v>10435473.45</v>
      </c>
      <c r="M223" s="175">
        <f>L223*(1+GROWTH_RATE_HIST)</f>
        <v>10549494.65</v>
      </c>
      <c r="N223" s="175">
        <f>M223+IF(MOD(A223,B223)=0,VLOOKUP(B223,'Pre-Calculation'!$H$1:$L$31,5,FALSE),0)*IF('Pre-Calculation'!$D$16="% OF FV",M223,IF(OR('Pre-Calculation'!$D$16="% OF AFV(24M)",'Pre-Calculation'!$D$16="% OF AFV(8Q)"),AVERAGE( $M200:$M223),IF('Pre-Calculation'!$D$16="% OF AFV(12M)",AVERAGE($M212:M223),IF('Pre-Calculation'!$D$16="% OF AFV(36M)",AVERAGE($M188:M223)))))</f>
        <v>10549494.65</v>
      </c>
      <c r="O223" s="175">
        <f t="shared" si="4"/>
        <v>10549494.65</v>
      </c>
      <c r="P223" s="175">
        <f>IF('Pre-Calculation'!$D$17="Type 4 a",MAX(SA,N223,1.05*Q223),IF('Pre-Calculation'!$D$17="Type 4 c",N223,IF('Pre-Calculation'!$D$17="Type 4 d",SA+N223,IF('Pre-Calculation'!$D$17="Type 4 e",MAX(SA,N223),IF('Pre-Calculation'!$D$17="Type 4 f",SA,IF('Pre-Calculation'!$D$17="Type 4 g",1000+N223,IF('Pre-Calculation'!$D$17="Type 4 h",SA+V223,IF('Pre-Calculation'!$D$17="Type 4 i",MAX(N223,Q223),IF('Pre-Calculation'!$D$17="Type 4 k",MAX(N223,1.01*Q223),IF('Pre-Calculation'!$D$17="Type 4 m",MAX(105%*Q223,SA+N223),IF('Pre-Calculation'!$D$17="Type 4 o",MAX(SA,105%*Q223)+V223+X223,IF('Pre-Calculation'!$D$17="Type 5",0))))))))))))</f>
        <v>10549494.65</v>
      </c>
      <c r="Q223" s="175">
        <f t="shared" si="5"/>
        <v>1000000</v>
      </c>
      <c r="R223" s="119">
        <f>L223*(1+GROWTH_RATE)*FMC</f>
        <v>11809.01712</v>
      </c>
      <c r="S223" s="112"/>
      <c r="T223" s="175">
        <f>-E223+IF(A222=INPUT!$C$11*12,N223,0)</f>
        <v>0</v>
      </c>
      <c r="U223" s="112"/>
      <c r="V223" s="179">
        <f t="array" ref="V223">NPV('Pre-Calculation'!$E$20,$E224:E$246)</f>
        <v>0</v>
      </c>
      <c r="W223" s="171">
        <f>10%*SA</f>
        <v>100000</v>
      </c>
      <c r="X223" s="179">
        <f t="array" ref="X223">NPV('Pre-Calculation'!$E$20,W224:W233)</f>
        <v>969592.8037</v>
      </c>
      <c r="Y223" s="12"/>
      <c r="Z223" s="12"/>
    </row>
    <row r="224" ht="15.75" customHeight="1">
      <c r="A224" s="171">
        <f t="shared" si="1"/>
        <v>278</v>
      </c>
      <c r="B224" s="171">
        <f t="shared" si="2"/>
        <v>24</v>
      </c>
      <c r="C224" s="176">
        <f>EDATE(RCD,A223)</f>
        <v>50981</v>
      </c>
      <c r="D224" s="171">
        <f>Age_At_Entry+Cashflows_HIST!B224-1</f>
        <v>58</v>
      </c>
      <c r="E224" s="175">
        <f>IF(AND(C224&lt;=Last_Prem,MOD(A223,Mode)=0,C224&gt;INPUT!$C$13,A224&lt;=Revival!$C$11),Mod_Prem,0)</f>
        <v>0</v>
      </c>
      <c r="F224" s="177">
        <f>E224*VLOOKUP(B224,'Pre-Calculation'!$H$1:$I$31,2,FALSE)</f>
        <v>0</v>
      </c>
      <c r="G224" s="177">
        <f>IF(B224&lt;PT+1,VLOOKUP(B224,'Pre-Calculation'!$H$1:$L$32,3,FALSE)+VLOOKUP(B224,'Pre-Calculation'!$H$1:$L$32,4,FALSE)*'Pre-Calculation'!$D$7,0)</f>
        <v>0</v>
      </c>
      <c r="H224" s="175">
        <f>(E224-(F224+G224)*(1+Tax)+N223)</f>
        <v>10549494.65</v>
      </c>
      <c r="I224" s="175">
        <f>IF(B224&lt;PT+1,VLOOKUP(D224,'Pre-Calculation'!$N$3:$P$79,IF(INPUT!$C$4="M",2,3),FALSE)*(J224/1000)*(1/12),0)</f>
        <v>0</v>
      </c>
      <c r="J224" s="175">
        <f t="shared" si="3"/>
        <v>0</v>
      </c>
      <c r="K224" s="175">
        <f>(IF('Pre-Calculation'!$D$17="Type 4 a",MAX(SA,H224,1.05*Q224),IF('Pre-Calculation'!$D$17="Type 4 c",H224,IF('Pre-Calculation'!$D$17="Type 4 d",SA+H224,IF('Pre-Calculation'!$D$17="Type 4 e",MAX(SA,H224),IF('Pre-Calculation'!$D$17="Type 4 f",SA,IF('Pre-Calculation'!$D$17="Type 4 g",1000+H224,IF('Pre-Calculation'!$D$17="Type 4 h",SA+V224,IF('Pre-Calculation'!$D$17="Type 4 i",MAX(H224,Q224),IF('Pre-Calculation'!$D$17="Type 4 k",MAX(H224,1.01*Q224),IF('Pre-Calculation'!$D$17="Type 4 m",MAX(105%*Q224,SA+H224),IF('Pre-Calculation'!$D$17="Type 4 o",MAX(SA,105%*Q224)+V224+X224,IF('Pre-Calculation'!$D$17="Type 5",0)))))))))))))*IF(AND(A224&lt;Revival!$C$4,C224&gt;Revival!$D$12),PUP,1)</f>
        <v>10549494.65</v>
      </c>
      <c r="L224" s="175">
        <f>H224-I224*(1+Tax)</f>
        <v>10549494.65</v>
      </c>
      <c r="M224" s="175">
        <f>L224*(1+GROWTH_RATE_HIST)</f>
        <v>10664761.68</v>
      </c>
      <c r="N224" s="175">
        <f>M224+IF(MOD(A224,B224)=0,VLOOKUP(B224,'Pre-Calculation'!$H$1:$L$31,5,FALSE),0)*IF('Pre-Calculation'!$D$16="% OF FV",M224,IF(OR('Pre-Calculation'!$D$16="% OF AFV(24M)",'Pre-Calculation'!$D$16="% OF AFV(8Q)"),AVERAGE( $M201:$M224),IF('Pre-Calculation'!$D$16="% OF AFV(12M)",AVERAGE($M213:M224),IF('Pre-Calculation'!$D$16="% OF AFV(36M)",AVERAGE($M189:M224)))))</f>
        <v>10664761.68</v>
      </c>
      <c r="O224" s="175">
        <f t="shared" si="4"/>
        <v>10664761.68</v>
      </c>
      <c r="P224" s="175">
        <f>IF('Pre-Calculation'!$D$17="Type 4 a",MAX(SA,N224,1.05*Q224),IF('Pre-Calculation'!$D$17="Type 4 c",N224,IF('Pre-Calculation'!$D$17="Type 4 d",SA+N224,IF('Pre-Calculation'!$D$17="Type 4 e",MAX(SA,N224),IF('Pre-Calculation'!$D$17="Type 4 f",SA,IF('Pre-Calculation'!$D$17="Type 4 g",1000+N224,IF('Pre-Calculation'!$D$17="Type 4 h",SA+V224,IF('Pre-Calculation'!$D$17="Type 4 i",MAX(N224,Q224),IF('Pre-Calculation'!$D$17="Type 4 k",MAX(N224,1.01*Q224),IF('Pre-Calculation'!$D$17="Type 4 m",MAX(105%*Q224,SA+N224),IF('Pre-Calculation'!$D$17="Type 4 o",MAX(SA,105%*Q224)+V224+X224,IF('Pre-Calculation'!$D$17="Type 5",0))))))))))))</f>
        <v>10664761.68</v>
      </c>
      <c r="Q224" s="175">
        <f t="shared" si="5"/>
        <v>1000000</v>
      </c>
      <c r="R224" s="119">
        <f>L224*(1+GROWTH_RATE)*FMC</f>
        <v>11938.04608</v>
      </c>
      <c r="S224" s="112"/>
      <c r="T224" s="175">
        <f>-E224+IF(A223=INPUT!$C$11*12,N224,0)</f>
        <v>0</v>
      </c>
      <c r="U224" s="112"/>
      <c r="V224" s="179">
        <f t="array" ref="V224">NPV('Pre-Calculation'!$E$20,$E225:E$246)</f>
        <v>0</v>
      </c>
      <c r="W224" s="171">
        <f>10%*SA</f>
        <v>100000</v>
      </c>
      <c r="X224" s="179">
        <f t="array" ref="X224">NPV('Pre-Calculation'!$E$20,W225:W234)</f>
        <v>969592.8037</v>
      </c>
      <c r="Y224" s="12"/>
      <c r="Z224" s="12"/>
    </row>
    <row r="225" ht="15.75" customHeight="1">
      <c r="A225" s="171">
        <f t="shared" si="1"/>
        <v>279</v>
      </c>
      <c r="B225" s="171">
        <f t="shared" si="2"/>
        <v>24</v>
      </c>
      <c r="C225" s="176">
        <f>EDATE(RCD,A224)</f>
        <v>51012</v>
      </c>
      <c r="D225" s="171">
        <f>Age_At_Entry+Cashflows_HIST!B225-1</f>
        <v>58</v>
      </c>
      <c r="E225" s="175">
        <f>IF(AND(C225&lt;=Last_Prem,MOD(A224,Mode)=0,C225&gt;INPUT!$C$13,A225&lt;=Revival!$C$11),Mod_Prem,0)</f>
        <v>0</v>
      </c>
      <c r="F225" s="177">
        <f>E225*VLOOKUP(B225,'Pre-Calculation'!$H$1:$I$31,2,FALSE)</f>
        <v>0</v>
      </c>
      <c r="G225" s="177">
        <f>IF(B225&lt;PT+1,VLOOKUP(B225,'Pre-Calculation'!$H$1:$L$32,3,FALSE)+VLOOKUP(B225,'Pre-Calculation'!$H$1:$L$32,4,FALSE)*'Pre-Calculation'!$D$7,0)</f>
        <v>0</v>
      </c>
      <c r="H225" s="175">
        <f>(E225-(F225+G225)*(1+Tax)+N224)</f>
        <v>10664761.68</v>
      </c>
      <c r="I225" s="175">
        <f>IF(B225&lt;PT+1,VLOOKUP(D225,'Pre-Calculation'!$N$3:$P$79,IF(INPUT!$C$4="M",2,3),FALSE)*(J225/1000)*(1/12),0)</f>
        <v>0</v>
      </c>
      <c r="J225" s="175">
        <f t="shared" si="3"/>
        <v>0</v>
      </c>
      <c r="K225" s="175">
        <f>(IF('Pre-Calculation'!$D$17="Type 4 a",MAX(SA,H225,1.05*Q225),IF('Pre-Calculation'!$D$17="Type 4 c",H225,IF('Pre-Calculation'!$D$17="Type 4 d",SA+H225,IF('Pre-Calculation'!$D$17="Type 4 e",MAX(SA,H225),IF('Pre-Calculation'!$D$17="Type 4 f",SA,IF('Pre-Calculation'!$D$17="Type 4 g",1000+H225,IF('Pre-Calculation'!$D$17="Type 4 h",SA+V225,IF('Pre-Calculation'!$D$17="Type 4 i",MAX(H225,Q225),IF('Pre-Calculation'!$D$17="Type 4 k",MAX(H225,1.01*Q225),IF('Pre-Calculation'!$D$17="Type 4 m",MAX(105%*Q225,SA+H225),IF('Pre-Calculation'!$D$17="Type 4 o",MAX(SA,105%*Q225)+V225+X225,IF('Pre-Calculation'!$D$17="Type 5",0)))))))))))))*IF(AND(A225&lt;Revival!$C$4,C225&gt;Revival!$D$12),PUP,1)</f>
        <v>10664761.68</v>
      </c>
      <c r="L225" s="175">
        <f>H225-I225*(1+Tax)</f>
        <v>10664761.68</v>
      </c>
      <c r="M225" s="175">
        <f>L225*(1+GROWTH_RATE_HIST)</f>
        <v>10781288.15</v>
      </c>
      <c r="N225" s="175">
        <f>M225+IF(MOD(A225,B225)=0,VLOOKUP(B225,'Pre-Calculation'!$H$1:$L$31,5,FALSE),0)*IF('Pre-Calculation'!$D$16="% OF FV",M225,IF(OR('Pre-Calculation'!$D$16="% OF AFV(24M)",'Pre-Calculation'!$D$16="% OF AFV(8Q)"),AVERAGE( $M202:$M225),IF('Pre-Calculation'!$D$16="% OF AFV(12M)",AVERAGE($M214:M225),IF('Pre-Calculation'!$D$16="% OF AFV(36M)",AVERAGE($M190:M225)))))</f>
        <v>10781288.15</v>
      </c>
      <c r="O225" s="175">
        <f t="shared" si="4"/>
        <v>10781288.15</v>
      </c>
      <c r="P225" s="175">
        <f>IF('Pre-Calculation'!$D$17="Type 4 a",MAX(SA,N225,1.05*Q225),IF('Pre-Calculation'!$D$17="Type 4 c",N225,IF('Pre-Calculation'!$D$17="Type 4 d",SA+N225,IF('Pre-Calculation'!$D$17="Type 4 e",MAX(SA,N225),IF('Pre-Calculation'!$D$17="Type 4 f",SA,IF('Pre-Calculation'!$D$17="Type 4 g",1000+N225,IF('Pre-Calculation'!$D$17="Type 4 h",SA+V225,IF('Pre-Calculation'!$D$17="Type 4 i",MAX(N225,Q225),IF('Pre-Calculation'!$D$17="Type 4 k",MAX(N225,1.01*Q225),IF('Pre-Calculation'!$D$17="Type 4 m",MAX(105%*Q225,SA+N225),IF('Pre-Calculation'!$D$17="Type 4 o",MAX(SA,105%*Q225)+V225+X225,IF('Pre-Calculation'!$D$17="Type 5",0))))))))))))</f>
        <v>10781288.15</v>
      </c>
      <c r="Q225" s="175">
        <f t="shared" si="5"/>
        <v>1000000</v>
      </c>
      <c r="R225" s="119">
        <f>L225*(1+GROWTH_RATE)*FMC</f>
        <v>12068.48485</v>
      </c>
      <c r="S225" s="112"/>
      <c r="T225" s="175">
        <f>-E225+IF(A224=INPUT!$C$11*12,N225,0)</f>
        <v>0</v>
      </c>
      <c r="U225" s="112"/>
      <c r="V225" s="179">
        <f t="array" ref="V225">NPV('Pre-Calculation'!$E$20,$E226:E$246)</f>
        <v>0</v>
      </c>
      <c r="W225" s="171">
        <f>10%*SA</f>
        <v>100000</v>
      </c>
      <c r="X225" s="179">
        <f t="array" ref="X225">NPV('Pre-Calculation'!$E$20,W226:W235)</f>
        <v>969592.8037</v>
      </c>
      <c r="Y225" s="12"/>
      <c r="Z225" s="12"/>
    </row>
    <row r="226" ht="15.75" customHeight="1">
      <c r="A226" s="171">
        <f t="shared" si="1"/>
        <v>280</v>
      </c>
      <c r="B226" s="171">
        <f t="shared" si="2"/>
        <v>24</v>
      </c>
      <c r="C226" s="176">
        <f>EDATE(RCD,A225)</f>
        <v>51043</v>
      </c>
      <c r="D226" s="171">
        <f>Age_At_Entry+Cashflows_HIST!B226-1</f>
        <v>58</v>
      </c>
      <c r="E226" s="175">
        <f>IF(AND(C226&lt;=Last_Prem,MOD(A225,Mode)=0,C226&gt;INPUT!$C$13,A226&lt;=Revival!$C$11),Mod_Prem,0)</f>
        <v>0</v>
      </c>
      <c r="F226" s="177">
        <f>E226*VLOOKUP(B226,'Pre-Calculation'!$H$1:$I$31,2,FALSE)</f>
        <v>0</v>
      </c>
      <c r="G226" s="177">
        <f>IF(B226&lt;PT+1,VLOOKUP(B226,'Pre-Calculation'!$H$1:$L$32,3,FALSE)+VLOOKUP(B226,'Pre-Calculation'!$H$1:$L$32,4,FALSE)*'Pre-Calculation'!$D$7,0)</f>
        <v>0</v>
      </c>
      <c r="H226" s="175">
        <f>(E226-(F226+G226)*(1+Tax)+N225)</f>
        <v>10781288.15</v>
      </c>
      <c r="I226" s="175">
        <f>IF(B226&lt;PT+1,VLOOKUP(D226,'Pre-Calculation'!$N$3:$P$79,IF(INPUT!$C$4="M",2,3),FALSE)*(J226/1000)*(1/12),0)</f>
        <v>0</v>
      </c>
      <c r="J226" s="175">
        <f t="shared" si="3"/>
        <v>0</v>
      </c>
      <c r="K226" s="175">
        <f>(IF('Pre-Calculation'!$D$17="Type 4 a",MAX(SA,H226,1.05*Q226),IF('Pre-Calculation'!$D$17="Type 4 c",H226,IF('Pre-Calculation'!$D$17="Type 4 d",SA+H226,IF('Pre-Calculation'!$D$17="Type 4 e",MAX(SA,H226),IF('Pre-Calculation'!$D$17="Type 4 f",SA,IF('Pre-Calculation'!$D$17="Type 4 g",1000+H226,IF('Pre-Calculation'!$D$17="Type 4 h",SA+V226,IF('Pre-Calculation'!$D$17="Type 4 i",MAX(H226,Q226),IF('Pre-Calculation'!$D$17="Type 4 k",MAX(H226,1.01*Q226),IF('Pre-Calculation'!$D$17="Type 4 m",MAX(105%*Q226,SA+H226),IF('Pre-Calculation'!$D$17="Type 4 o",MAX(SA,105%*Q226)+V226+X226,IF('Pre-Calculation'!$D$17="Type 5",0)))))))))))))*IF(AND(A226&lt;Revival!$C$4,C226&gt;Revival!$D$12),PUP,1)</f>
        <v>10781288.15</v>
      </c>
      <c r="L226" s="175">
        <f>H226-I226*(1+Tax)</f>
        <v>10781288.15</v>
      </c>
      <c r="M226" s="175">
        <f>L226*(1+GROWTH_RATE_HIST)</f>
        <v>10899087.83</v>
      </c>
      <c r="N226" s="175">
        <f>M226+IF(MOD(A226,B226)=0,VLOOKUP(B226,'Pre-Calculation'!$H$1:$L$31,5,FALSE),0)*IF('Pre-Calculation'!$D$16="% OF FV",M226,IF(OR('Pre-Calculation'!$D$16="% OF AFV(24M)",'Pre-Calculation'!$D$16="% OF AFV(8Q)"),AVERAGE( $M203:$M226),IF('Pre-Calculation'!$D$16="% OF AFV(12M)",AVERAGE($M215:M226),IF('Pre-Calculation'!$D$16="% OF AFV(36M)",AVERAGE($M191:M226)))))</f>
        <v>10899087.83</v>
      </c>
      <c r="O226" s="175">
        <f t="shared" si="4"/>
        <v>10899087.83</v>
      </c>
      <c r="P226" s="175">
        <f>IF('Pre-Calculation'!$D$17="Type 4 a",MAX(SA,N226,1.05*Q226),IF('Pre-Calculation'!$D$17="Type 4 c",N226,IF('Pre-Calculation'!$D$17="Type 4 d",SA+N226,IF('Pre-Calculation'!$D$17="Type 4 e",MAX(SA,N226),IF('Pre-Calculation'!$D$17="Type 4 f",SA,IF('Pre-Calculation'!$D$17="Type 4 g",1000+N226,IF('Pre-Calculation'!$D$17="Type 4 h",SA+V226,IF('Pre-Calculation'!$D$17="Type 4 i",MAX(N226,Q226),IF('Pre-Calculation'!$D$17="Type 4 k",MAX(N226,1.01*Q226),IF('Pre-Calculation'!$D$17="Type 4 m",MAX(105%*Q226,SA+N226),IF('Pre-Calculation'!$D$17="Type 4 o",MAX(SA,105%*Q226)+V226+X226,IF('Pre-Calculation'!$D$17="Type 5",0))))))))))))</f>
        <v>10899087.83</v>
      </c>
      <c r="Q226" s="175">
        <f t="shared" si="5"/>
        <v>1000000</v>
      </c>
      <c r="R226" s="119">
        <f>L226*(1+GROWTH_RATE)*FMC</f>
        <v>12200.34884</v>
      </c>
      <c r="S226" s="112"/>
      <c r="T226" s="175">
        <f>-E226+IF(A225=INPUT!$C$11*12,N226,0)</f>
        <v>0</v>
      </c>
      <c r="U226" s="112"/>
      <c r="V226" s="179">
        <f t="array" ref="V226">NPV('Pre-Calculation'!$E$20,$E227:E$246)</f>
        <v>0</v>
      </c>
      <c r="W226" s="171">
        <f>10%*SA</f>
        <v>100000</v>
      </c>
      <c r="X226" s="179">
        <f t="array" ref="X226">NPV('Pre-Calculation'!$E$20,W227:W236)</f>
        <v>969592.8037</v>
      </c>
      <c r="Y226" s="12"/>
      <c r="Z226" s="12"/>
    </row>
    <row r="227" ht="15.75" customHeight="1">
      <c r="A227" s="171">
        <f t="shared" si="1"/>
        <v>281</v>
      </c>
      <c r="B227" s="171">
        <f t="shared" si="2"/>
        <v>24</v>
      </c>
      <c r="C227" s="176">
        <f>EDATE(RCD,A226)</f>
        <v>51073</v>
      </c>
      <c r="D227" s="171">
        <f>Age_At_Entry+Cashflows_HIST!B227-1</f>
        <v>58</v>
      </c>
      <c r="E227" s="175">
        <f>IF(AND(C227&lt;=Last_Prem,MOD(A226,Mode)=0,C227&gt;INPUT!$C$13,A227&lt;=Revival!$C$11),Mod_Prem,0)</f>
        <v>0</v>
      </c>
      <c r="F227" s="177">
        <f>E227*VLOOKUP(B227,'Pre-Calculation'!$H$1:$I$31,2,FALSE)</f>
        <v>0</v>
      </c>
      <c r="G227" s="177">
        <f>IF(B227&lt;PT+1,VLOOKUP(B227,'Pre-Calculation'!$H$1:$L$32,3,FALSE)+VLOOKUP(B227,'Pre-Calculation'!$H$1:$L$32,4,FALSE)*'Pre-Calculation'!$D$7,0)</f>
        <v>0</v>
      </c>
      <c r="H227" s="175">
        <f>(E227-(F227+G227)*(1+Tax)+N226)</f>
        <v>10899087.83</v>
      </c>
      <c r="I227" s="175">
        <f>IF(B227&lt;PT+1,VLOOKUP(D227,'Pre-Calculation'!$N$3:$P$79,IF(INPUT!$C$4="M",2,3),FALSE)*(J227/1000)*(1/12),0)</f>
        <v>0</v>
      </c>
      <c r="J227" s="175">
        <f t="shared" si="3"/>
        <v>0</v>
      </c>
      <c r="K227" s="175">
        <f>(IF('Pre-Calculation'!$D$17="Type 4 a",MAX(SA,H227,1.05*Q227),IF('Pre-Calculation'!$D$17="Type 4 c",H227,IF('Pre-Calculation'!$D$17="Type 4 d",SA+H227,IF('Pre-Calculation'!$D$17="Type 4 e",MAX(SA,H227),IF('Pre-Calculation'!$D$17="Type 4 f",SA,IF('Pre-Calculation'!$D$17="Type 4 g",1000+H227,IF('Pre-Calculation'!$D$17="Type 4 h",SA+V227,IF('Pre-Calculation'!$D$17="Type 4 i",MAX(H227,Q227),IF('Pre-Calculation'!$D$17="Type 4 k",MAX(H227,1.01*Q227),IF('Pre-Calculation'!$D$17="Type 4 m",MAX(105%*Q227,SA+H227),IF('Pre-Calculation'!$D$17="Type 4 o",MAX(SA,105%*Q227)+V227+X227,IF('Pre-Calculation'!$D$17="Type 5",0)))))))))))))*IF(AND(A227&lt;Revival!$C$4,C227&gt;Revival!$D$12),PUP,1)</f>
        <v>10899087.83</v>
      </c>
      <c r="L227" s="175">
        <f>H227-I227*(1+Tax)</f>
        <v>10899087.83</v>
      </c>
      <c r="M227" s="175">
        <f>L227*(1+GROWTH_RATE_HIST)</f>
        <v>11018174.63</v>
      </c>
      <c r="N227" s="175">
        <f>M227+IF(MOD(A227,B227)=0,VLOOKUP(B227,'Pre-Calculation'!$H$1:$L$31,5,FALSE),0)*IF('Pre-Calculation'!$D$16="% OF FV",M227,IF(OR('Pre-Calculation'!$D$16="% OF AFV(24M)",'Pre-Calculation'!$D$16="% OF AFV(8Q)"),AVERAGE( $M204:$M227),IF('Pre-Calculation'!$D$16="% OF AFV(12M)",AVERAGE($M216:M227),IF('Pre-Calculation'!$D$16="% OF AFV(36M)",AVERAGE($M192:M227)))))</f>
        <v>11018174.63</v>
      </c>
      <c r="O227" s="175">
        <f t="shared" si="4"/>
        <v>11018174.63</v>
      </c>
      <c r="P227" s="175">
        <f>IF('Pre-Calculation'!$D$17="Type 4 a",MAX(SA,N227,1.05*Q227),IF('Pre-Calculation'!$D$17="Type 4 c",N227,IF('Pre-Calculation'!$D$17="Type 4 d",SA+N227,IF('Pre-Calculation'!$D$17="Type 4 e",MAX(SA,N227),IF('Pre-Calculation'!$D$17="Type 4 f",SA,IF('Pre-Calculation'!$D$17="Type 4 g",1000+N227,IF('Pre-Calculation'!$D$17="Type 4 h",SA+V227,IF('Pre-Calculation'!$D$17="Type 4 i",MAX(N227,Q227),IF('Pre-Calculation'!$D$17="Type 4 k",MAX(N227,1.01*Q227),IF('Pre-Calculation'!$D$17="Type 4 m",MAX(105%*Q227,SA+N227),IF('Pre-Calculation'!$D$17="Type 4 o",MAX(SA,105%*Q227)+V227+X227,IF('Pre-Calculation'!$D$17="Type 5",0))))))))))))</f>
        <v>11018174.63</v>
      </c>
      <c r="Q227" s="175">
        <f t="shared" si="5"/>
        <v>1000000</v>
      </c>
      <c r="R227" s="119">
        <f>L227*(1+GROWTH_RATE)*FMC</f>
        <v>12333.65361</v>
      </c>
      <c r="S227" s="112"/>
      <c r="T227" s="175">
        <f>-E227+IF(A226=INPUT!$C$11*12,N227,0)</f>
        <v>0</v>
      </c>
      <c r="U227" s="112"/>
      <c r="V227" s="179">
        <f t="array" ref="V227">NPV('Pre-Calculation'!$E$20,$E228:E$246)</f>
        <v>0</v>
      </c>
      <c r="W227" s="171">
        <f>10%*SA</f>
        <v>100000</v>
      </c>
      <c r="X227" s="179">
        <f t="array" ref="X227">NPV('Pre-Calculation'!$E$20,W228:W237)</f>
        <v>969592.8037</v>
      </c>
      <c r="Y227" s="12"/>
      <c r="Z227" s="12"/>
    </row>
    <row r="228" ht="15.75" customHeight="1">
      <c r="A228" s="171">
        <f t="shared" si="1"/>
        <v>282</v>
      </c>
      <c r="B228" s="171">
        <f t="shared" si="2"/>
        <v>24</v>
      </c>
      <c r="C228" s="176">
        <f>EDATE(RCD,A227)</f>
        <v>51104</v>
      </c>
      <c r="D228" s="171">
        <f>Age_At_Entry+Cashflows_HIST!B228-1</f>
        <v>58</v>
      </c>
      <c r="E228" s="175">
        <f>IF(AND(C228&lt;=Last_Prem,MOD(A227,Mode)=0,C228&gt;INPUT!$C$13,A228&lt;=Revival!$C$11),Mod_Prem,0)</f>
        <v>0</v>
      </c>
      <c r="F228" s="177">
        <f>E228*VLOOKUP(B228,'Pre-Calculation'!$H$1:$I$31,2,FALSE)</f>
        <v>0</v>
      </c>
      <c r="G228" s="177">
        <f>IF(B228&lt;PT+1,VLOOKUP(B228,'Pre-Calculation'!$H$1:$L$32,3,FALSE)+VLOOKUP(B228,'Pre-Calculation'!$H$1:$L$32,4,FALSE)*'Pre-Calculation'!$D$7,0)</f>
        <v>0</v>
      </c>
      <c r="H228" s="175">
        <f>(E228-(F228+G228)*(1+Tax)+N227)</f>
        <v>11018174.63</v>
      </c>
      <c r="I228" s="175">
        <f>IF(B228&lt;PT+1,VLOOKUP(D228,'Pre-Calculation'!$N$3:$P$79,IF(INPUT!$C$4="M",2,3),FALSE)*(J228/1000)*(1/12),0)</f>
        <v>0</v>
      </c>
      <c r="J228" s="175">
        <f t="shared" si="3"/>
        <v>0</v>
      </c>
      <c r="K228" s="175">
        <f>(IF('Pre-Calculation'!$D$17="Type 4 a",MAX(SA,H228,1.05*Q228),IF('Pre-Calculation'!$D$17="Type 4 c",H228,IF('Pre-Calculation'!$D$17="Type 4 d",SA+H228,IF('Pre-Calculation'!$D$17="Type 4 e",MAX(SA,H228),IF('Pre-Calculation'!$D$17="Type 4 f",SA,IF('Pre-Calculation'!$D$17="Type 4 g",1000+H228,IF('Pre-Calculation'!$D$17="Type 4 h",SA+V228,IF('Pre-Calculation'!$D$17="Type 4 i",MAX(H228,Q228),IF('Pre-Calculation'!$D$17="Type 4 k",MAX(H228,1.01*Q228),IF('Pre-Calculation'!$D$17="Type 4 m",MAX(105%*Q228,SA+H228),IF('Pre-Calculation'!$D$17="Type 4 o",MAX(SA,105%*Q228)+V228+X228,IF('Pre-Calculation'!$D$17="Type 5",0)))))))))))))*IF(AND(A228&lt;Revival!$C$4,C228&gt;Revival!$D$12),PUP,1)</f>
        <v>11018174.63</v>
      </c>
      <c r="L228" s="175">
        <f>H228-I228*(1+Tax)</f>
        <v>11018174.63</v>
      </c>
      <c r="M228" s="175">
        <f>L228*(1+GROWTH_RATE_HIST)</f>
        <v>11138562.6</v>
      </c>
      <c r="N228" s="175">
        <f>M228+IF(MOD(A228,B228)=0,VLOOKUP(B228,'Pre-Calculation'!$H$1:$L$31,5,FALSE),0)*IF('Pre-Calculation'!$D$16="% OF FV",M228,IF(OR('Pre-Calculation'!$D$16="% OF AFV(24M)",'Pre-Calculation'!$D$16="% OF AFV(8Q)"),AVERAGE( $M205:$M228),IF('Pre-Calculation'!$D$16="% OF AFV(12M)",AVERAGE($M217:M228),IF('Pre-Calculation'!$D$16="% OF AFV(36M)",AVERAGE($M193:M228)))))</f>
        <v>11138562.6</v>
      </c>
      <c r="O228" s="175">
        <f t="shared" si="4"/>
        <v>11138562.6</v>
      </c>
      <c r="P228" s="175">
        <f>IF('Pre-Calculation'!$D$17="Type 4 a",MAX(SA,N228,1.05*Q228),IF('Pre-Calculation'!$D$17="Type 4 c",N228,IF('Pre-Calculation'!$D$17="Type 4 d",SA+N228,IF('Pre-Calculation'!$D$17="Type 4 e",MAX(SA,N228),IF('Pre-Calculation'!$D$17="Type 4 f",SA,IF('Pre-Calculation'!$D$17="Type 4 g",1000+N228,IF('Pre-Calculation'!$D$17="Type 4 h",SA+V228,IF('Pre-Calculation'!$D$17="Type 4 i",MAX(N228,Q228),IF('Pre-Calculation'!$D$17="Type 4 k",MAX(N228,1.01*Q228),IF('Pre-Calculation'!$D$17="Type 4 m",MAX(105%*Q228,SA+N228),IF('Pre-Calculation'!$D$17="Type 4 o",MAX(SA,105%*Q228)+V228+X228,IF('Pre-Calculation'!$D$17="Type 5",0))))))))))))</f>
        <v>11138562.6</v>
      </c>
      <c r="Q228" s="175">
        <f t="shared" si="5"/>
        <v>1000000</v>
      </c>
      <c r="R228" s="119">
        <f>L228*(1+GROWTH_RATE)*FMC</f>
        <v>12468.41492</v>
      </c>
      <c r="S228" s="112"/>
      <c r="T228" s="175">
        <f>-E228+IF(A227=INPUT!$C$11*12,N228,0)</f>
        <v>0</v>
      </c>
      <c r="U228" s="112"/>
      <c r="V228" s="179">
        <f t="array" ref="V228">NPV('Pre-Calculation'!$E$20,$E229:E$246)</f>
        <v>0</v>
      </c>
      <c r="W228" s="171">
        <f>10%*SA</f>
        <v>100000</v>
      </c>
      <c r="X228" s="179">
        <f t="array" ref="X228">NPV('Pre-Calculation'!$E$20,W229:W238)</f>
        <v>969592.8037</v>
      </c>
      <c r="Y228" s="12"/>
      <c r="Z228" s="12"/>
    </row>
    <row r="229" ht="15.75" customHeight="1">
      <c r="A229" s="171">
        <f t="shared" si="1"/>
        <v>283</v>
      </c>
      <c r="B229" s="171">
        <f t="shared" si="2"/>
        <v>24</v>
      </c>
      <c r="C229" s="176">
        <f>EDATE(RCD,A228)</f>
        <v>51134</v>
      </c>
      <c r="D229" s="171">
        <f>Age_At_Entry+Cashflows_HIST!B229-1</f>
        <v>58</v>
      </c>
      <c r="E229" s="175">
        <f>IF(AND(C229&lt;=Last_Prem,MOD(A228,Mode)=0,C229&gt;INPUT!$C$13,A229&lt;=Revival!$C$11),Mod_Prem,0)</f>
        <v>0</v>
      </c>
      <c r="F229" s="177">
        <f>E229*VLOOKUP(B229,'Pre-Calculation'!$H$1:$I$31,2,FALSE)</f>
        <v>0</v>
      </c>
      <c r="G229" s="177">
        <f>IF(B229&lt;PT+1,VLOOKUP(B229,'Pre-Calculation'!$H$1:$L$32,3,FALSE)+VLOOKUP(B229,'Pre-Calculation'!$H$1:$L$32,4,FALSE)*'Pre-Calculation'!$D$7,0)</f>
        <v>0</v>
      </c>
      <c r="H229" s="175">
        <f>(E229-(F229+G229)*(1+Tax)+N228)</f>
        <v>11138562.6</v>
      </c>
      <c r="I229" s="175">
        <f>IF(B229&lt;PT+1,VLOOKUP(D229,'Pre-Calculation'!$N$3:$P$79,IF(INPUT!$C$4="M",2,3),FALSE)*(J229/1000)*(1/12),0)</f>
        <v>0</v>
      </c>
      <c r="J229" s="175">
        <f t="shared" si="3"/>
        <v>0</v>
      </c>
      <c r="K229" s="175">
        <f>(IF('Pre-Calculation'!$D$17="Type 4 a",MAX(SA,H229,1.05*Q229),IF('Pre-Calculation'!$D$17="Type 4 c",H229,IF('Pre-Calculation'!$D$17="Type 4 d",SA+H229,IF('Pre-Calculation'!$D$17="Type 4 e",MAX(SA,H229),IF('Pre-Calculation'!$D$17="Type 4 f",SA,IF('Pre-Calculation'!$D$17="Type 4 g",1000+H229,IF('Pre-Calculation'!$D$17="Type 4 h",SA+V229,IF('Pre-Calculation'!$D$17="Type 4 i",MAX(H229,Q229),IF('Pre-Calculation'!$D$17="Type 4 k",MAX(H229,1.01*Q229),IF('Pre-Calculation'!$D$17="Type 4 m",MAX(105%*Q229,SA+H229),IF('Pre-Calculation'!$D$17="Type 4 o",MAX(SA,105%*Q229)+V229+X229,IF('Pre-Calculation'!$D$17="Type 5",0)))))))))))))*IF(AND(A229&lt;Revival!$C$4,C229&gt;Revival!$D$12),PUP,1)</f>
        <v>11138562.6</v>
      </c>
      <c r="L229" s="175">
        <f>H229-I229*(1+Tax)</f>
        <v>11138562.6</v>
      </c>
      <c r="M229" s="175">
        <f>L229*(1+GROWTH_RATE_HIST)</f>
        <v>11260265.97</v>
      </c>
      <c r="N229" s="175">
        <f>M229+IF(MOD(A229,B229)=0,VLOOKUP(B229,'Pre-Calculation'!$H$1:$L$31,5,FALSE),0)*IF('Pre-Calculation'!$D$16="% OF FV",M229,IF(OR('Pre-Calculation'!$D$16="% OF AFV(24M)",'Pre-Calculation'!$D$16="% OF AFV(8Q)"),AVERAGE( $M206:$M229),IF('Pre-Calculation'!$D$16="% OF AFV(12M)",AVERAGE($M218:M229),IF('Pre-Calculation'!$D$16="% OF AFV(36M)",AVERAGE($M194:M229)))))</f>
        <v>11260265.97</v>
      </c>
      <c r="O229" s="175">
        <f t="shared" si="4"/>
        <v>11260265.97</v>
      </c>
      <c r="P229" s="175">
        <f>IF('Pre-Calculation'!$D$17="Type 4 a",MAX(SA,N229,1.05*Q229),IF('Pre-Calculation'!$D$17="Type 4 c",N229,IF('Pre-Calculation'!$D$17="Type 4 d",SA+N229,IF('Pre-Calculation'!$D$17="Type 4 e",MAX(SA,N229),IF('Pre-Calculation'!$D$17="Type 4 f",SA,IF('Pre-Calculation'!$D$17="Type 4 g",1000+N229,IF('Pre-Calculation'!$D$17="Type 4 h",SA+V229,IF('Pre-Calculation'!$D$17="Type 4 i",MAX(N229,Q229),IF('Pre-Calculation'!$D$17="Type 4 k",MAX(N229,1.01*Q229),IF('Pre-Calculation'!$D$17="Type 4 m",MAX(105%*Q229,SA+N229),IF('Pre-Calculation'!$D$17="Type 4 o",MAX(SA,105%*Q229)+V229+X229,IF('Pre-Calculation'!$D$17="Type 5",0))))))))))))</f>
        <v>11260265.97</v>
      </c>
      <c r="Q229" s="175">
        <f t="shared" si="5"/>
        <v>1000000</v>
      </c>
      <c r="R229" s="119">
        <f>L229*(1+GROWTH_RATE)*FMC</f>
        <v>12604.64866</v>
      </c>
      <c r="S229" s="112"/>
      <c r="T229" s="175">
        <f>-E229+IF(A228=INPUT!$C$11*12,N229,0)</f>
        <v>0</v>
      </c>
      <c r="U229" s="112"/>
      <c r="V229" s="179">
        <f t="array" ref="V229">NPV('Pre-Calculation'!$E$20,$E230:E$246)</f>
        <v>0</v>
      </c>
      <c r="W229" s="171">
        <f>10%*SA</f>
        <v>100000</v>
      </c>
      <c r="X229" s="179">
        <f t="array" ref="X229">NPV('Pre-Calculation'!$E$20,W230:W239)</f>
        <v>969592.8037</v>
      </c>
      <c r="Y229" s="12"/>
      <c r="Z229" s="12"/>
    </row>
    <row r="230" ht="15.75" customHeight="1">
      <c r="A230" s="171">
        <f t="shared" si="1"/>
        <v>284</v>
      </c>
      <c r="B230" s="171">
        <f t="shared" si="2"/>
        <v>24</v>
      </c>
      <c r="C230" s="176">
        <f>EDATE(RCD,A229)</f>
        <v>51165</v>
      </c>
      <c r="D230" s="171">
        <f>Age_At_Entry+Cashflows_HIST!B230-1</f>
        <v>58</v>
      </c>
      <c r="E230" s="175">
        <f>IF(AND(C230&lt;=Last_Prem,MOD(A229,Mode)=0,C230&gt;INPUT!$C$13,A230&lt;=Revival!$C$11),Mod_Prem,0)</f>
        <v>0</v>
      </c>
      <c r="F230" s="177">
        <f>E230*VLOOKUP(B230,'Pre-Calculation'!$H$1:$I$31,2,FALSE)</f>
        <v>0</v>
      </c>
      <c r="G230" s="177">
        <f>IF(B230&lt;PT+1,VLOOKUP(B230,'Pre-Calculation'!$H$1:$L$32,3,FALSE)+VLOOKUP(B230,'Pre-Calculation'!$H$1:$L$32,4,FALSE)*'Pre-Calculation'!$D$7,0)</f>
        <v>0</v>
      </c>
      <c r="H230" s="175">
        <f>(E230-(F230+G230)*(1+Tax)+N229)</f>
        <v>11260265.97</v>
      </c>
      <c r="I230" s="175">
        <f>IF(B230&lt;PT+1,VLOOKUP(D230,'Pre-Calculation'!$N$3:$P$79,IF(INPUT!$C$4="M",2,3),FALSE)*(J230/1000)*(1/12),0)</f>
        <v>0</v>
      </c>
      <c r="J230" s="175">
        <f t="shared" si="3"/>
        <v>0</v>
      </c>
      <c r="K230" s="175">
        <f>(IF('Pre-Calculation'!$D$17="Type 4 a",MAX(SA,H230,1.05*Q230),IF('Pre-Calculation'!$D$17="Type 4 c",H230,IF('Pre-Calculation'!$D$17="Type 4 d",SA+H230,IF('Pre-Calculation'!$D$17="Type 4 e",MAX(SA,H230),IF('Pre-Calculation'!$D$17="Type 4 f",SA,IF('Pre-Calculation'!$D$17="Type 4 g",1000+H230,IF('Pre-Calculation'!$D$17="Type 4 h",SA+V230,IF('Pre-Calculation'!$D$17="Type 4 i",MAX(H230,Q230),IF('Pre-Calculation'!$D$17="Type 4 k",MAX(H230,1.01*Q230),IF('Pre-Calculation'!$D$17="Type 4 m",MAX(105%*Q230,SA+H230),IF('Pre-Calculation'!$D$17="Type 4 o",MAX(SA,105%*Q230)+V230+X230,IF('Pre-Calculation'!$D$17="Type 5",0)))))))))))))*IF(AND(A230&lt;Revival!$C$4,C230&gt;Revival!$D$12),PUP,1)</f>
        <v>11260265.97</v>
      </c>
      <c r="L230" s="175">
        <f>H230-I230*(1+Tax)</f>
        <v>11260265.97</v>
      </c>
      <c r="M230" s="175">
        <f>L230*(1+GROWTH_RATE_HIST)</f>
        <v>11383299.11</v>
      </c>
      <c r="N230" s="175">
        <f>M230+IF(MOD(A230,B230)=0,VLOOKUP(B230,'Pre-Calculation'!$H$1:$L$31,5,FALSE),0)*IF('Pre-Calculation'!$D$16="% OF FV",M230,IF(OR('Pre-Calculation'!$D$16="% OF AFV(24M)",'Pre-Calculation'!$D$16="% OF AFV(8Q)"),AVERAGE( $M207:$M230),IF('Pre-Calculation'!$D$16="% OF AFV(12M)",AVERAGE($M219:M230),IF('Pre-Calculation'!$D$16="% OF AFV(36M)",AVERAGE($M195:M230)))))</f>
        <v>11383299.11</v>
      </c>
      <c r="O230" s="175">
        <f t="shared" si="4"/>
        <v>11383299.11</v>
      </c>
      <c r="P230" s="175">
        <f>IF('Pre-Calculation'!$D$17="Type 4 a",MAX(SA,N230,1.05*Q230),IF('Pre-Calculation'!$D$17="Type 4 c",N230,IF('Pre-Calculation'!$D$17="Type 4 d",SA+N230,IF('Pre-Calculation'!$D$17="Type 4 e",MAX(SA,N230),IF('Pre-Calculation'!$D$17="Type 4 f",SA,IF('Pre-Calculation'!$D$17="Type 4 g",1000+N230,IF('Pre-Calculation'!$D$17="Type 4 h",SA+V230,IF('Pre-Calculation'!$D$17="Type 4 i",MAX(N230,Q230),IF('Pre-Calculation'!$D$17="Type 4 k",MAX(N230,1.01*Q230),IF('Pre-Calculation'!$D$17="Type 4 m",MAX(105%*Q230,SA+N230),IF('Pre-Calculation'!$D$17="Type 4 o",MAX(SA,105%*Q230)+V230+X230,IF('Pre-Calculation'!$D$17="Type 5",0))))))))))))</f>
        <v>11383299.11</v>
      </c>
      <c r="Q230" s="175">
        <f t="shared" si="5"/>
        <v>1000000</v>
      </c>
      <c r="R230" s="119">
        <f>L230*(1+GROWTH_RATE)*FMC</f>
        <v>12742.37094</v>
      </c>
      <c r="S230" s="112"/>
      <c r="T230" s="175">
        <f>-E230+IF(A229=INPUT!$C$11*12,N230,0)</f>
        <v>0</v>
      </c>
      <c r="U230" s="112"/>
      <c r="V230" s="179">
        <f t="array" ref="V230">NPV('Pre-Calculation'!$E$20,$E231:E$246)</f>
        <v>0</v>
      </c>
      <c r="W230" s="171">
        <f>10%*SA</f>
        <v>100000</v>
      </c>
      <c r="X230" s="179">
        <f t="array" ref="X230">NPV('Pre-Calculation'!$E$20,W231:W240)</f>
        <v>969592.8037</v>
      </c>
      <c r="Y230" s="12"/>
      <c r="Z230" s="12"/>
    </row>
    <row r="231" ht="15.75" customHeight="1">
      <c r="A231" s="171">
        <f t="shared" si="1"/>
        <v>285</v>
      </c>
      <c r="B231" s="171">
        <f t="shared" si="2"/>
        <v>24</v>
      </c>
      <c r="C231" s="176">
        <f>EDATE(RCD,A230)</f>
        <v>51195</v>
      </c>
      <c r="D231" s="171">
        <f>Age_At_Entry+Cashflows_HIST!B231-1</f>
        <v>58</v>
      </c>
      <c r="E231" s="175">
        <f>IF(AND(C231&lt;=Last_Prem,MOD(A230,Mode)=0,C231&gt;INPUT!$C$13,A231&lt;=Revival!$C$11),Mod_Prem,0)</f>
        <v>0</v>
      </c>
      <c r="F231" s="177">
        <f>E231*VLOOKUP(B231,'Pre-Calculation'!$H$1:$I$31,2,FALSE)</f>
        <v>0</v>
      </c>
      <c r="G231" s="177">
        <f>IF(B231&lt;PT+1,VLOOKUP(B231,'Pre-Calculation'!$H$1:$L$32,3,FALSE)+VLOOKUP(B231,'Pre-Calculation'!$H$1:$L$32,4,FALSE)*'Pre-Calculation'!$D$7,0)</f>
        <v>0</v>
      </c>
      <c r="H231" s="175">
        <f>(E231-(F231+G231)*(1+Tax)+N230)</f>
        <v>11383299.11</v>
      </c>
      <c r="I231" s="175">
        <f>IF(B231&lt;PT+1,VLOOKUP(D231,'Pre-Calculation'!$N$3:$P$79,IF(INPUT!$C$4="M",2,3),FALSE)*(J231/1000)*(1/12),0)</f>
        <v>0</v>
      </c>
      <c r="J231" s="175">
        <f t="shared" si="3"/>
        <v>0</v>
      </c>
      <c r="K231" s="175">
        <f>(IF('Pre-Calculation'!$D$17="Type 4 a",MAX(SA,H231,1.05*Q231),IF('Pre-Calculation'!$D$17="Type 4 c",H231,IF('Pre-Calculation'!$D$17="Type 4 d",SA+H231,IF('Pre-Calculation'!$D$17="Type 4 e",MAX(SA,H231),IF('Pre-Calculation'!$D$17="Type 4 f",SA,IF('Pre-Calculation'!$D$17="Type 4 g",1000+H231,IF('Pre-Calculation'!$D$17="Type 4 h",SA+V231,IF('Pre-Calculation'!$D$17="Type 4 i",MAX(H231,Q231),IF('Pre-Calculation'!$D$17="Type 4 k",MAX(H231,1.01*Q231),IF('Pre-Calculation'!$D$17="Type 4 m",MAX(105%*Q231,SA+H231),IF('Pre-Calculation'!$D$17="Type 4 o",MAX(SA,105%*Q231)+V231+X231,IF('Pre-Calculation'!$D$17="Type 5",0)))))))))))))*IF(AND(A231&lt;Revival!$C$4,C231&gt;Revival!$D$12),PUP,1)</f>
        <v>11383299.11</v>
      </c>
      <c r="L231" s="175">
        <f>H231-I231*(1+Tax)</f>
        <v>11383299.11</v>
      </c>
      <c r="M231" s="175">
        <f>L231*(1+GROWTH_RATE_HIST)</f>
        <v>11507676.55</v>
      </c>
      <c r="N231" s="175">
        <f>M231+IF(MOD(A231,B231)=0,VLOOKUP(B231,'Pre-Calculation'!$H$1:$L$31,5,FALSE),0)*IF('Pre-Calculation'!$D$16="% OF FV",M231,IF(OR('Pre-Calculation'!$D$16="% OF AFV(24M)",'Pre-Calculation'!$D$16="% OF AFV(8Q)"),AVERAGE( $M208:$M231),IF('Pre-Calculation'!$D$16="% OF AFV(12M)",AVERAGE($M220:M231),IF('Pre-Calculation'!$D$16="% OF AFV(36M)",AVERAGE($M196:M231)))))</f>
        <v>11507676.55</v>
      </c>
      <c r="O231" s="175">
        <f t="shared" si="4"/>
        <v>11507676.55</v>
      </c>
      <c r="P231" s="175">
        <f>IF('Pre-Calculation'!$D$17="Type 4 a",MAX(SA,N231,1.05*Q231),IF('Pre-Calculation'!$D$17="Type 4 c",N231,IF('Pre-Calculation'!$D$17="Type 4 d",SA+N231,IF('Pre-Calculation'!$D$17="Type 4 e",MAX(SA,N231),IF('Pre-Calculation'!$D$17="Type 4 f",SA,IF('Pre-Calculation'!$D$17="Type 4 g",1000+N231,IF('Pre-Calculation'!$D$17="Type 4 h",SA+V231,IF('Pre-Calculation'!$D$17="Type 4 i",MAX(N231,Q231),IF('Pre-Calculation'!$D$17="Type 4 k",MAX(N231,1.01*Q231),IF('Pre-Calculation'!$D$17="Type 4 m",MAX(105%*Q231,SA+N231),IF('Pre-Calculation'!$D$17="Type 4 o",MAX(SA,105%*Q231)+V231+X231,IF('Pre-Calculation'!$D$17="Type 5",0))))))))))))</f>
        <v>11507676.55</v>
      </c>
      <c r="Q231" s="175">
        <f t="shared" si="5"/>
        <v>1000000</v>
      </c>
      <c r="R231" s="119">
        <f>L231*(1+GROWTH_RATE)*FMC</f>
        <v>12881.59801</v>
      </c>
      <c r="S231" s="112"/>
      <c r="T231" s="175">
        <f>-E231+IF(A230=INPUT!$C$11*12,N231,0)</f>
        <v>0</v>
      </c>
      <c r="U231" s="112"/>
      <c r="V231" s="179">
        <f t="array" ref="V231">NPV('Pre-Calculation'!$E$20,$E232:E$246)</f>
        <v>0</v>
      </c>
      <c r="W231" s="171">
        <f>10%*SA</f>
        <v>100000</v>
      </c>
      <c r="X231" s="179">
        <f t="array" ref="X231">NPV('Pre-Calculation'!$E$20,W232:W241)</f>
        <v>969592.8037</v>
      </c>
      <c r="Y231" s="12"/>
      <c r="Z231" s="12"/>
    </row>
    <row r="232" ht="15.75" customHeight="1">
      <c r="A232" s="171">
        <f t="shared" si="1"/>
        <v>286</v>
      </c>
      <c r="B232" s="171">
        <f t="shared" si="2"/>
        <v>24</v>
      </c>
      <c r="C232" s="176">
        <f>EDATE(RCD,A231)</f>
        <v>51225</v>
      </c>
      <c r="D232" s="171">
        <f>Age_At_Entry+Cashflows_HIST!B232-1</f>
        <v>58</v>
      </c>
      <c r="E232" s="175">
        <f>IF(AND(C232&lt;=Last_Prem,MOD(A231,Mode)=0,C232&gt;INPUT!$C$13,A232&lt;=Revival!$C$11),Mod_Prem,0)</f>
        <v>0</v>
      </c>
      <c r="F232" s="177">
        <f>E232*VLOOKUP(B232,'Pre-Calculation'!$H$1:$I$31,2,FALSE)</f>
        <v>0</v>
      </c>
      <c r="G232" s="177">
        <f>IF(B232&lt;PT+1,VLOOKUP(B232,'Pre-Calculation'!$H$1:$L$32,3,FALSE)+VLOOKUP(B232,'Pre-Calculation'!$H$1:$L$32,4,FALSE)*'Pre-Calculation'!$D$7,0)</f>
        <v>0</v>
      </c>
      <c r="H232" s="175">
        <f>(E232-(F232+G232)*(1+Tax)+N231)</f>
        <v>11507676.55</v>
      </c>
      <c r="I232" s="175">
        <f>IF(B232&lt;PT+1,VLOOKUP(D232,'Pre-Calculation'!$N$3:$P$79,IF(INPUT!$C$4="M",2,3),FALSE)*(J232/1000)*(1/12),0)</f>
        <v>0</v>
      </c>
      <c r="J232" s="175">
        <f t="shared" si="3"/>
        <v>0</v>
      </c>
      <c r="K232" s="175">
        <f>(IF('Pre-Calculation'!$D$17="Type 4 a",MAX(SA,H232,1.05*Q232),IF('Pre-Calculation'!$D$17="Type 4 c",H232,IF('Pre-Calculation'!$D$17="Type 4 d",SA+H232,IF('Pre-Calculation'!$D$17="Type 4 e",MAX(SA,H232),IF('Pre-Calculation'!$D$17="Type 4 f",SA,IF('Pre-Calculation'!$D$17="Type 4 g",1000+H232,IF('Pre-Calculation'!$D$17="Type 4 h",SA+V232,IF('Pre-Calculation'!$D$17="Type 4 i",MAX(H232,Q232),IF('Pre-Calculation'!$D$17="Type 4 k",MAX(H232,1.01*Q232),IF('Pre-Calculation'!$D$17="Type 4 m",MAX(105%*Q232,SA+H232),IF('Pre-Calculation'!$D$17="Type 4 o",MAX(SA,105%*Q232)+V232+X232,IF('Pre-Calculation'!$D$17="Type 5",0)))))))))))))*IF(AND(A232&lt;Revival!$C$4,C232&gt;Revival!$D$12),PUP,1)</f>
        <v>11507676.55</v>
      </c>
      <c r="L232" s="175">
        <f>H232-I232*(1+Tax)</f>
        <v>11507676.55</v>
      </c>
      <c r="M232" s="175">
        <f>L232*(1+GROWTH_RATE_HIST)</f>
        <v>11633412.97</v>
      </c>
      <c r="N232" s="175">
        <f>M232+IF(MOD(A232,B232)=0,VLOOKUP(B232,'Pre-Calculation'!$H$1:$L$31,5,FALSE),0)*IF('Pre-Calculation'!$D$16="% OF FV",M232,IF(OR('Pre-Calculation'!$D$16="% OF AFV(24M)",'Pre-Calculation'!$D$16="% OF AFV(8Q)"),AVERAGE( $M209:$M232),IF('Pre-Calculation'!$D$16="% OF AFV(12M)",AVERAGE($M221:M232),IF('Pre-Calculation'!$D$16="% OF AFV(36M)",AVERAGE($M197:M232)))))</f>
        <v>11633412.97</v>
      </c>
      <c r="O232" s="175">
        <f t="shared" si="4"/>
        <v>11633412.97</v>
      </c>
      <c r="P232" s="175">
        <f>IF('Pre-Calculation'!$D$17="Type 4 a",MAX(SA,N232,1.05*Q232),IF('Pre-Calculation'!$D$17="Type 4 c",N232,IF('Pre-Calculation'!$D$17="Type 4 d",SA+N232,IF('Pre-Calculation'!$D$17="Type 4 e",MAX(SA,N232),IF('Pre-Calculation'!$D$17="Type 4 f",SA,IF('Pre-Calculation'!$D$17="Type 4 g",1000+N232,IF('Pre-Calculation'!$D$17="Type 4 h",SA+V232,IF('Pre-Calculation'!$D$17="Type 4 i",MAX(N232,Q232),IF('Pre-Calculation'!$D$17="Type 4 k",MAX(N232,1.01*Q232),IF('Pre-Calculation'!$D$17="Type 4 m",MAX(105%*Q232,SA+N232),IF('Pre-Calculation'!$D$17="Type 4 o",MAX(SA,105%*Q232)+V232+X232,IF('Pre-Calculation'!$D$17="Type 5",0))))))))))))</f>
        <v>11633412.97</v>
      </c>
      <c r="Q232" s="175">
        <f t="shared" si="5"/>
        <v>1000000</v>
      </c>
      <c r="R232" s="119">
        <f>L232*(1+GROWTH_RATE)*FMC</f>
        <v>13022.34633</v>
      </c>
      <c r="S232" s="112"/>
      <c r="T232" s="175">
        <f>-E232+IF(A231=INPUT!$C$11*12,N232,0)</f>
        <v>0</v>
      </c>
      <c r="U232" s="112"/>
      <c r="V232" s="179">
        <f t="array" ref="V232">NPV('Pre-Calculation'!$E$20,$E233:E$246)</f>
        <v>0</v>
      </c>
      <c r="W232" s="171">
        <f>10%*SA</f>
        <v>100000</v>
      </c>
      <c r="X232" s="179">
        <f t="array" ref="X232">NPV('Pre-Calculation'!$E$20,W233:W242)</f>
        <v>969592.8037</v>
      </c>
      <c r="Y232" s="12"/>
      <c r="Z232" s="12"/>
    </row>
    <row r="233" ht="15.75" customHeight="1">
      <c r="A233" s="171">
        <f t="shared" si="1"/>
        <v>287</v>
      </c>
      <c r="B233" s="171">
        <f t="shared" si="2"/>
        <v>24</v>
      </c>
      <c r="C233" s="176">
        <f>EDATE(RCD,A232)</f>
        <v>51256</v>
      </c>
      <c r="D233" s="171">
        <f>Age_At_Entry+Cashflows_HIST!B233-1</f>
        <v>58</v>
      </c>
      <c r="E233" s="175">
        <f>IF(AND(C233&lt;=Last_Prem,MOD(A232,Mode)=0,C233&gt;INPUT!$C$13,A233&lt;=Revival!$C$11),Mod_Prem,0)</f>
        <v>0</v>
      </c>
      <c r="F233" s="177">
        <f>E233*VLOOKUP(B233,'Pre-Calculation'!$H$1:$I$31,2,FALSE)</f>
        <v>0</v>
      </c>
      <c r="G233" s="177">
        <f>IF(B233&lt;PT+1,VLOOKUP(B233,'Pre-Calculation'!$H$1:$L$32,3,FALSE)+VLOOKUP(B233,'Pre-Calculation'!$H$1:$L$32,4,FALSE)*'Pre-Calculation'!$D$7,0)</f>
        <v>0</v>
      </c>
      <c r="H233" s="175">
        <f>(E233-(F233+G233)*(1+Tax)+N232)</f>
        <v>11633412.97</v>
      </c>
      <c r="I233" s="175">
        <f>IF(B233&lt;PT+1,VLOOKUP(D233,'Pre-Calculation'!$N$3:$P$79,IF(INPUT!$C$4="M",2,3),FALSE)*(J233/1000)*(1/12),0)</f>
        <v>0</v>
      </c>
      <c r="J233" s="175">
        <f t="shared" si="3"/>
        <v>0</v>
      </c>
      <c r="K233" s="175">
        <f>(IF('Pre-Calculation'!$D$17="Type 4 a",MAX(SA,H233,1.05*Q233),IF('Pre-Calculation'!$D$17="Type 4 c",H233,IF('Pre-Calculation'!$D$17="Type 4 d",SA+H233,IF('Pre-Calculation'!$D$17="Type 4 e",MAX(SA,H233),IF('Pre-Calculation'!$D$17="Type 4 f",SA,IF('Pre-Calculation'!$D$17="Type 4 g",1000+H233,IF('Pre-Calculation'!$D$17="Type 4 h",SA+V233,IF('Pre-Calculation'!$D$17="Type 4 i",MAX(H233,Q233),IF('Pre-Calculation'!$D$17="Type 4 k",MAX(H233,1.01*Q233),IF('Pre-Calculation'!$D$17="Type 4 m",MAX(105%*Q233,SA+H233),IF('Pre-Calculation'!$D$17="Type 4 o",MAX(SA,105%*Q233)+V233+X233,IF('Pre-Calculation'!$D$17="Type 5",0)))))))))))))*IF(AND(A233&lt;Revival!$C$4,C233&gt;Revival!$D$12),PUP,1)</f>
        <v>11633412.97</v>
      </c>
      <c r="L233" s="175">
        <f>H233-I233*(1+Tax)</f>
        <v>11633412.97</v>
      </c>
      <c r="M233" s="175">
        <f>L233*(1+GROWTH_RATE_HIST)</f>
        <v>11760523.23</v>
      </c>
      <c r="N233" s="175">
        <f>M233+IF(MOD(A233,B233)=0,VLOOKUP(B233,'Pre-Calculation'!$H$1:$L$31,5,FALSE),0)*IF('Pre-Calculation'!$D$16="% OF FV",M233,IF(OR('Pre-Calculation'!$D$16="% OF AFV(24M)",'Pre-Calculation'!$D$16="% OF AFV(8Q)"),AVERAGE( $M210:$M233),IF('Pre-Calculation'!$D$16="% OF AFV(12M)",AVERAGE($M222:M233),IF('Pre-Calculation'!$D$16="% OF AFV(36M)",AVERAGE($M198:M233)))))</f>
        <v>11760523.23</v>
      </c>
      <c r="O233" s="175">
        <f t="shared" si="4"/>
        <v>11760523.23</v>
      </c>
      <c r="P233" s="175">
        <f>IF('Pre-Calculation'!$D$17="Type 4 a",MAX(SA,N233,1.05*Q233),IF('Pre-Calculation'!$D$17="Type 4 c",N233,IF('Pre-Calculation'!$D$17="Type 4 d",SA+N233,IF('Pre-Calculation'!$D$17="Type 4 e",MAX(SA,N233),IF('Pre-Calculation'!$D$17="Type 4 f",SA,IF('Pre-Calculation'!$D$17="Type 4 g",1000+N233,IF('Pre-Calculation'!$D$17="Type 4 h",SA+V233,IF('Pre-Calculation'!$D$17="Type 4 i",MAX(N233,Q233),IF('Pre-Calculation'!$D$17="Type 4 k",MAX(N233,1.01*Q233),IF('Pre-Calculation'!$D$17="Type 4 m",MAX(105%*Q233,SA+N233),IF('Pre-Calculation'!$D$17="Type 4 o",MAX(SA,105%*Q233)+V233+X233,IF('Pre-Calculation'!$D$17="Type 5",0))))))))))))</f>
        <v>11760523.23</v>
      </c>
      <c r="Q233" s="175">
        <f t="shared" si="5"/>
        <v>1000000</v>
      </c>
      <c r="R233" s="119">
        <f>L233*(1+GROWTH_RATE)*FMC</f>
        <v>13164.6325</v>
      </c>
      <c r="S233" s="112"/>
      <c r="T233" s="175">
        <f>-E233+IF(A232=INPUT!$C$11*12,N233,0)</f>
        <v>0</v>
      </c>
      <c r="U233" s="112"/>
      <c r="V233" s="179">
        <f t="array" ref="V233">NPV('Pre-Calculation'!$E$20,$E234:E$246)</f>
        <v>0</v>
      </c>
      <c r="W233" s="171">
        <f>10%*SA</f>
        <v>100000</v>
      </c>
      <c r="X233" s="179">
        <f t="array" ref="X233">NPV('Pre-Calculation'!$E$20,W234:W243)</f>
        <v>969592.8037</v>
      </c>
      <c r="Y233" s="12"/>
      <c r="Z233" s="12"/>
    </row>
    <row r="234" ht="15.75" customHeight="1">
      <c r="A234" s="171">
        <f t="shared" si="1"/>
        <v>288</v>
      </c>
      <c r="B234" s="171">
        <f t="shared" si="2"/>
        <v>24</v>
      </c>
      <c r="C234" s="176">
        <f>EDATE(RCD,A233)</f>
        <v>51286</v>
      </c>
      <c r="D234" s="171">
        <f>Age_At_Entry+Cashflows_HIST!B234-1</f>
        <v>58</v>
      </c>
      <c r="E234" s="175">
        <f>IF(AND(C234&lt;=Last_Prem,MOD(A233,Mode)=0,C234&gt;INPUT!$C$13,A234&lt;=Revival!$C$11),Mod_Prem,0)</f>
        <v>0</v>
      </c>
      <c r="F234" s="177">
        <f>E234*VLOOKUP(B234,'Pre-Calculation'!$H$1:$I$31,2,FALSE)</f>
        <v>0</v>
      </c>
      <c r="G234" s="177">
        <f>IF(B234&lt;PT+1,VLOOKUP(B234,'Pre-Calculation'!$H$1:$L$32,3,FALSE)+VLOOKUP(B234,'Pre-Calculation'!$H$1:$L$32,4,FALSE)*'Pre-Calculation'!$D$7,0)</f>
        <v>0</v>
      </c>
      <c r="H234" s="175">
        <f>(E234-(F234+G234)*(1+Tax)+N233)</f>
        <v>11760523.23</v>
      </c>
      <c r="I234" s="175">
        <f>IF(B234&lt;PT+1,VLOOKUP(D234,'Pre-Calculation'!$N$3:$P$79,IF(INPUT!$C$4="M",2,3),FALSE)*(J234/1000)*(1/12),0)</f>
        <v>0</v>
      </c>
      <c r="J234" s="175">
        <f t="shared" si="3"/>
        <v>0</v>
      </c>
      <c r="K234" s="175">
        <f>(IF('Pre-Calculation'!$D$17="Type 4 a",MAX(SA,H234,1.05*Q234),IF('Pre-Calculation'!$D$17="Type 4 c",H234,IF('Pre-Calculation'!$D$17="Type 4 d",SA+H234,IF('Pre-Calculation'!$D$17="Type 4 e",MAX(SA,H234),IF('Pre-Calculation'!$D$17="Type 4 f",SA,IF('Pre-Calculation'!$D$17="Type 4 g",1000+H234,IF('Pre-Calculation'!$D$17="Type 4 h",SA+V234,IF('Pre-Calculation'!$D$17="Type 4 i",MAX(H234,Q234),IF('Pre-Calculation'!$D$17="Type 4 k",MAX(H234,1.01*Q234),IF('Pre-Calculation'!$D$17="Type 4 m",MAX(105%*Q234,SA+H234),IF('Pre-Calculation'!$D$17="Type 4 o",MAX(SA,105%*Q234)+V234+X234,IF('Pre-Calculation'!$D$17="Type 5",0)))))))))))))*IF(AND(A234&lt;Revival!$C$4,C234&gt;Revival!$D$12),PUP,1)</f>
        <v>11760523.23</v>
      </c>
      <c r="L234" s="175">
        <f>H234-I234*(1+Tax)</f>
        <v>11760523.23</v>
      </c>
      <c r="M234" s="175">
        <f>L234*(1+GROWTH_RATE_HIST)</f>
        <v>11889022.33</v>
      </c>
      <c r="N234" s="175">
        <f>M234+IF(MOD(A234,B234)=0,VLOOKUP(B234,'Pre-Calculation'!$H$1:$L$31,5,FALSE),0)*IF('Pre-Calculation'!$D$16="% OF FV",M234,IF(OR('Pre-Calculation'!$D$16="% OF AFV(24M)",'Pre-Calculation'!$D$16="% OF AFV(8Q)"),AVERAGE( $M211:$M234),IF('Pre-Calculation'!$D$16="% OF AFV(12M)",AVERAGE($M223:M234),IF('Pre-Calculation'!$D$16="% OF AFV(36M)",AVERAGE($M199:M234)))))</f>
        <v>11889022.33</v>
      </c>
      <c r="O234" s="175">
        <f t="shared" si="4"/>
        <v>11889022.33</v>
      </c>
      <c r="P234" s="175">
        <f>IF('Pre-Calculation'!$D$17="Type 4 a",MAX(SA,N234,1.05*Q234),IF('Pre-Calculation'!$D$17="Type 4 c",N234,IF('Pre-Calculation'!$D$17="Type 4 d",SA+N234,IF('Pre-Calculation'!$D$17="Type 4 e",MAX(SA,N234),IF('Pre-Calculation'!$D$17="Type 4 f",SA,IF('Pre-Calculation'!$D$17="Type 4 g",1000+N234,IF('Pre-Calculation'!$D$17="Type 4 h",SA+V234,IF('Pre-Calculation'!$D$17="Type 4 i",MAX(N234,Q234),IF('Pre-Calculation'!$D$17="Type 4 k",MAX(N234,1.01*Q234),IF('Pre-Calculation'!$D$17="Type 4 m",MAX(105%*Q234,SA+N234),IF('Pre-Calculation'!$D$17="Type 4 o",MAX(SA,105%*Q234)+V234+X234,IF('Pre-Calculation'!$D$17="Type 5",0))))))))))))</f>
        <v>11889022.33</v>
      </c>
      <c r="Q234" s="175">
        <f t="shared" si="5"/>
        <v>1000000</v>
      </c>
      <c r="R234" s="119">
        <f>L234*(1+GROWTH_RATE)*FMC</f>
        <v>13308.47333</v>
      </c>
      <c r="S234" s="112"/>
      <c r="T234" s="175">
        <f>-E234+IF(A233=INPUT!$C$11*12,N234,0)</f>
        <v>0</v>
      </c>
      <c r="U234" s="112"/>
      <c r="V234" s="179">
        <f t="array" ref="V234">NPV('Pre-Calculation'!$E$20,$E235:E$246)</f>
        <v>0</v>
      </c>
      <c r="W234" s="171">
        <f>10%*SA</f>
        <v>100000</v>
      </c>
      <c r="X234" s="179">
        <f t="array" ref="X234">NPV('Pre-Calculation'!$E$20,W235:W244)</f>
        <v>969592.8037</v>
      </c>
      <c r="Y234" s="12"/>
      <c r="Z234" s="12"/>
    </row>
    <row r="235" ht="15.75" customHeight="1">
      <c r="A235" s="171">
        <f t="shared" si="1"/>
        <v>289</v>
      </c>
      <c r="B235" s="171">
        <f t="shared" si="2"/>
        <v>25</v>
      </c>
      <c r="C235" s="176">
        <f>EDATE(RCD,A234)</f>
        <v>51317</v>
      </c>
      <c r="D235" s="171">
        <f>Age_At_Entry+Cashflows_HIST!B235-1</f>
        <v>59</v>
      </c>
      <c r="E235" s="175">
        <f>IF(AND(C235&lt;=Last_Prem,MOD(A234,Mode)=0,C235&gt;INPUT!$C$13,A235&lt;=Revival!$C$11),Mod_Prem,0)</f>
        <v>0</v>
      </c>
      <c r="F235" s="177">
        <f>E235*VLOOKUP(B235,'Pre-Calculation'!$H$1:$I$31,2,FALSE)</f>
        <v>0</v>
      </c>
      <c r="G235" s="177">
        <f>IF(B235&lt;PT+1,VLOOKUP(B235,'Pre-Calculation'!$H$1:$L$32,3,FALSE)+VLOOKUP(B235,'Pre-Calculation'!$H$1:$L$32,4,FALSE)*'Pre-Calculation'!$D$7,0)</f>
        <v>0</v>
      </c>
      <c r="H235" s="175">
        <f>(E235-(F235+G235)*(1+Tax)+N234)</f>
        <v>11889022.33</v>
      </c>
      <c r="I235" s="175">
        <f>IF(B235&lt;PT+1,VLOOKUP(D235,'Pre-Calculation'!$N$3:$P$79,IF(INPUT!$C$4="M",2,3),FALSE)*(J235/1000)*(1/12),0)</f>
        <v>0</v>
      </c>
      <c r="J235" s="175">
        <f t="shared" si="3"/>
        <v>0</v>
      </c>
      <c r="K235" s="175">
        <f>(IF('Pre-Calculation'!$D$17="Type 4 a",MAX(SA,H235,1.05*Q235),IF('Pre-Calculation'!$D$17="Type 4 c",H235,IF('Pre-Calculation'!$D$17="Type 4 d",SA+H235,IF('Pre-Calculation'!$D$17="Type 4 e",MAX(SA,H235),IF('Pre-Calculation'!$D$17="Type 4 f",SA,IF('Pre-Calculation'!$D$17="Type 4 g",1000+H235,IF('Pre-Calculation'!$D$17="Type 4 h",SA+V235,IF('Pre-Calculation'!$D$17="Type 4 i",MAX(H235,Q235),IF('Pre-Calculation'!$D$17="Type 4 k",MAX(H235,1.01*Q235),IF('Pre-Calculation'!$D$17="Type 4 m",MAX(105%*Q235,SA+H235),IF('Pre-Calculation'!$D$17="Type 4 o",MAX(SA,105%*Q235)+V235+X235,IF('Pre-Calculation'!$D$17="Type 5",0)))))))))))))*IF(AND(A235&lt;Revival!$C$4,C235&gt;Revival!$D$12),PUP,1)</f>
        <v>11889022.33</v>
      </c>
      <c r="L235" s="175">
        <f>H235-I235*(1+Tax)</f>
        <v>11889022.33</v>
      </c>
      <c r="M235" s="175">
        <f>L235*(1+GROWTH_RATE_HIST)</f>
        <v>12018925.45</v>
      </c>
      <c r="N235" s="175">
        <f>M235+IF(MOD(A235,B235)=0,VLOOKUP(B235,'Pre-Calculation'!$H$1:$L$31,5,FALSE),0)*IF('Pre-Calculation'!$D$16="% OF FV",M235,IF(OR('Pre-Calculation'!$D$16="% OF AFV(24M)",'Pre-Calculation'!$D$16="% OF AFV(8Q)"),AVERAGE( $M212:$M235),IF('Pre-Calculation'!$D$16="% OF AFV(12M)",AVERAGE($M224:M235),IF('Pre-Calculation'!$D$16="% OF AFV(36M)",AVERAGE($M200:M235)))))</f>
        <v>12018925.45</v>
      </c>
      <c r="O235" s="175">
        <f t="shared" si="4"/>
        <v>12018925.45</v>
      </c>
      <c r="P235" s="175">
        <f>IF('Pre-Calculation'!$D$17="Type 4 a",MAX(SA,N235,1.05*Q235),IF('Pre-Calculation'!$D$17="Type 4 c",N235,IF('Pre-Calculation'!$D$17="Type 4 d",SA+N235,IF('Pre-Calculation'!$D$17="Type 4 e",MAX(SA,N235),IF('Pre-Calculation'!$D$17="Type 4 f",SA,IF('Pre-Calculation'!$D$17="Type 4 g",1000+N235,IF('Pre-Calculation'!$D$17="Type 4 h",SA+V235,IF('Pre-Calculation'!$D$17="Type 4 i",MAX(N235,Q235),IF('Pre-Calculation'!$D$17="Type 4 k",MAX(N235,1.01*Q235),IF('Pre-Calculation'!$D$17="Type 4 m",MAX(105%*Q235,SA+N235),IF('Pre-Calculation'!$D$17="Type 4 o",MAX(SA,105%*Q235)+V235+X235,IF('Pre-Calculation'!$D$17="Type 5",0))))))))))))</f>
        <v>12018925.45</v>
      </c>
      <c r="Q235" s="175">
        <f t="shared" si="5"/>
        <v>1000000</v>
      </c>
      <c r="R235" s="119">
        <f>L235*(1+GROWTH_RATE)*FMC</f>
        <v>13453.88581</v>
      </c>
      <c r="S235" s="112"/>
      <c r="T235" s="175">
        <f>-E235+IF(A234=INPUT!$C$11*12,N235,0)</f>
        <v>0</v>
      </c>
      <c r="U235" s="112"/>
      <c r="V235" s="179">
        <f t="array" ref="V235">NPV('Pre-Calculation'!$E$20,$E236:E$246)</f>
        <v>0</v>
      </c>
      <c r="W235" s="171">
        <f>10%*SA</f>
        <v>100000</v>
      </c>
      <c r="X235" s="179">
        <f t="array" ref="X235">NPV('Pre-Calculation'!$E$20,W236:W245)</f>
        <v>969592.8037</v>
      </c>
      <c r="Y235" s="12"/>
      <c r="Z235" s="12"/>
    </row>
    <row r="236" ht="15.75" customHeight="1">
      <c r="A236" s="171">
        <f t="shared" si="1"/>
        <v>290</v>
      </c>
      <c r="B236" s="171">
        <f t="shared" si="2"/>
        <v>25</v>
      </c>
      <c r="C236" s="176">
        <f>EDATE(RCD,A235)</f>
        <v>51347</v>
      </c>
      <c r="D236" s="171">
        <f>Age_At_Entry+Cashflows_HIST!B236-1</f>
        <v>59</v>
      </c>
      <c r="E236" s="175">
        <f>IF(AND(C236&lt;=Last_Prem,MOD(A235,Mode)=0,C236&gt;INPUT!$C$13,A236&lt;=Revival!$C$11),Mod_Prem,0)</f>
        <v>0</v>
      </c>
      <c r="F236" s="177">
        <f>E236*VLOOKUP(B236,'Pre-Calculation'!$H$1:$I$31,2,FALSE)</f>
        <v>0</v>
      </c>
      <c r="G236" s="177">
        <f>IF(B236&lt;PT+1,VLOOKUP(B236,'Pre-Calculation'!$H$1:$L$32,3,FALSE)+VLOOKUP(B236,'Pre-Calculation'!$H$1:$L$32,4,FALSE)*'Pre-Calculation'!$D$7,0)</f>
        <v>0</v>
      </c>
      <c r="H236" s="175">
        <f>(E236-(F236+G236)*(1+Tax)+N235)</f>
        <v>12018925.45</v>
      </c>
      <c r="I236" s="175">
        <f>IF(B236&lt;PT+1,VLOOKUP(D236,'Pre-Calculation'!$N$3:$P$79,IF(INPUT!$C$4="M",2,3),FALSE)*(J236/1000)*(1/12),0)</f>
        <v>0</v>
      </c>
      <c r="J236" s="175">
        <f t="shared" si="3"/>
        <v>0</v>
      </c>
      <c r="K236" s="175">
        <f>(IF('Pre-Calculation'!$D$17="Type 4 a",MAX(SA,H236,1.05*Q236),IF('Pre-Calculation'!$D$17="Type 4 c",H236,IF('Pre-Calculation'!$D$17="Type 4 d",SA+H236,IF('Pre-Calculation'!$D$17="Type 4 e",MAX(SA,H236),IF('Pre-Calculation'!$D$17="Type 4 f",SA,IF('Pre-Calculation'!$D$17="Type 4 g",1000+H236,IF('Pre-Calculation'!$D$17="Type 4 h",SA+V236,IF('Pre-Calculation'!$D$17="Type 4 i",MAX(H236,Q236),IF('Pre-Calculation'!$D$17="Type 4 k",MAX(H236,1.01*Q236),IF('Pre-Calculation'!$D$17="Type 4 m",MAX(105%*Q236,SA+H236),IF('Pre-Calculation'!$D$17="Type 4 o",MAX(SA,105%*Q236)+V236+X236,IF('Pre-Calculation'!$D$17="Type 5",0)))))))))))))*IF(AND(A236&lt;Revival!$C$4,C236&gt;Revival!$D$12),PUP,1)</f>
        <v>12018925.45</v>
      </c>
      <c r="L236" s="175">
        <f>H236-I236*(1+Tax)</f>
        <v>12018925.45</v>
      </c>
      <c r="M236" s="175">
        <f>L236*(1+GROWTH_RATE_HIST)</f>
        <v>12150247.94</v>
      </c>
      <c r="N236" s="175">
        <f>M236+IF(MOD(A236,B236)=0,VLOOKUP(B236,'Pre-Calculation'!$H$1:$L$31,5,FALSE),0)*IF('Pre-Calculation'!$D$16="% OF FV",M236,IF(OR('Pre-Calculation'!$D$16="% OF AFV(24M)",'Pre-Calculation'!$D$16="% OF AFV(8Q)"),AVERAGE( $M213:$M236),IF('Pre-Calculation'!$D$16="% OF AFV(12M)",AVERAGE($M225:M236),IF('Pre-Calculation'!$D$16="% OF AFV(36M)",AVERAGE($M201:M236)))))</f>
        <v>12150247.94</v>
      </c>
      <c r="O236" s="175">
        <f t="shared" si="4"/>
        <v>12150247.94</v>
      </c>
      <c r="P236" s="175">
        <f>IF('Pre-Calculation'!$D$17="Type 4 a",MAX(SA,N236,1.05*Q236),IF('Pre-Calculation'!$D$17="Type 4 c",N236,IF('Pre-Calculation'!$D$17="Type 4 d",SA+N236,IF('Pre-Calculation'!$D$17="Type 4 e",MAX(SA,N236),IF('Pre-Calculation'!$D$17="Type 4 f",SA,IF('Pre-Calculation'!$D$17="Type 4 g",1000+N236,IF('Pre-Calculation'!$D$17="Type 4 h",SA+V236,IF('Pre-Calculation'!$D$17="Type 4 i",MAX(N236,Q236),IF('Pre-Calculation'!$D$17="Type 4 k",MAX(N236,1.01*Q236),IF('Pre-Calculation'!$D$17="Type 4 m",MAX(105%*Q236,SA+N236),IF('Pre-Calculation'!$D$17="Type 4 o",MAX(SA,105%*Q236)+V236+X236,IF('Pre-Calculation'!$D$17="Type 5",0))))))))))))</f>
        <v>12150247.94</v>
      </c>
      <c r="Q236" s="175">
        <f t="shared" si="5"/>
        <v>1000000</v>
      </c>
      <c r="R236" s="119">
        <f>L236*(1+GROWTH_RATE)*FMC</f>
        <v>13600.88712</v>
      </c>
      <c r="S236" s="112"/>
      <c r="T236" s="175">
        <f>-E236+IF(A235=INPUT!$C$11*12,N236,0)</f>
        <v>0</v>
      </c>
      <c r="U236" s="112"/>
      <c r="V236" s="179">
        <f t="array" ref="V236">NPV('Pre-Calculation'!$E$20,$E237:E$246)</f>
        <v>0</v>
      </c>
      <c r="W236" s="171">
        <f>10%*SA</f>
        <v>100000</v>
      </c>
      <c r="X236" s="179">
        <f t="array" ref="X236">NPV('Pre-Calculation'!$E$20,W237:W246)</f>
        <v>969592.8037</v>
      </c>
      <c r="Y236" s="12"/>
      <c r="Z236" s="12"/>
    </row>
    <row r="237" ht="15.75" customHeight="1">
      <c r="A237" s="171">
        <f t="shared" si="1"/>
        <v>291</v>
      </c>
      <c r="B237" s="171">
        <f t="shared" si="2"/>
        <v>25</v>
      </c>
      <c r="C237" s="176">
        <f>EDATE(RCD,A236)</f>
        <v>51378</v>
      </c>
      <c r="D237" s="171">
        <f>Age_At_Entry+Cashflows_HIST!B237-1</f>
        <v>59</v>
      </c>
      <c r="E237" s="175">
        <f>IF(AND(C237&lt;=Last_Prem,MOD(A236,Mode)=0,C237&gt;INPUT!$C$13,A237&lt;=Revival!$C$11),Mod_Prem,0)</f>
        <v>0</v>
      </c>
      <c r="F237" s="177">
        <f>E237*VLOOKUP(B237,'Pre-Calculation'!$H$1:$I$31,2,FALSE)</f>
        <v>0</v>
      </c>
      <c r="G237" s="177">
        <f>IF(B237&lt;PT+1,VLOOKUP(B237,'Pre-Calculation'!$H$1:$L$32,3,FALSE)+VLOOKUP(B237,'Pre-Calculation'!$H$1:$L$32,4,FALSE)*'Pre-Calculation'!$D$7,0)</f>
        <v>0</v>
      </c>
      <c r="H237" s="175">
        <f>(E237-(F237+G237)*(1+Tax)+N236)</f>
        <v>12150247.94</v>
      </c>
      <c r="I237" s="175">
        <f>IF(B237&lt;PT+1,VLOOKUP(D237,'Pre-Calculation'!$N$3:$P$79,IF(INPUT!$C$4="M",2,3),FALSE)*(J237/1000)*(1/12),0)</f>
        <v>0</v>
      </c>
      <c r="J237" s="175">
        <f t="shared" si="3"/>
        <v>0</v>
      </c>
      <c r="K237" s="175">
        <f>(IF('Pre-Calculation'!$D$17="Type 4 a",MAX(SA,H237,1.05*Q237),IF('Pre-Calculation'!$D$17="Type 4 c",H237,IF('Pre-Calculation'!$D$17="Type 4 d",SA+H237,IF('Pre-Calculation'!$D$17="Type 4 e",MAX(SA,H237),IF('Pre-Calculation'!$D$17="Type 4 f",SA,IF('Pre-Calculation'!$D$17="Type 4 g",1000+H237,IF('Pre-Calculation'!$D$17="Type 4 h",SA+V237,IF('Pre-Calculation'!$D$17="Type 4 i",MAX(H237,Q237),IF('Pre-Calculation'!$D$17="Type 4 k",MAX(H237,1.01*Q237),IF('Pre-Calculation'!$D$17="Type 4 m",MAX(105%*Q237,SA+H237),IF('Pre-Calculation'!$D$17="Type 4 o",MAX(SA,105%*Q237)+V237+X237,IF('Pre-Calculation'!$D$17="Type 5",0)))))))))))))*IF(AND(A237&lt;Revival!$C$4,C237&gt;Revival!$D$12),PUP,1)</f>
        <v>12150247.94</v>
      </c>
      <c r="L237" s="175">
        <f>H237-I237*(1+Tax)</f>
        <v>12150247.94</v>
      </c>
      <c r="M237" s="175">
        <f>L237*(1+GROWTH_RATE_HIST)</f>
        <v>12283005.29</v>
      </c>
      <c r="N237" s="175">
        <f>M237+IF(MOD(A237,B237)=0,VLOOKUP(B237,'Pre-Calculation'!$H$1:$L$31,5,FALSE),0)*IF('Pre-Calculation'!$D$16="% OF FV",M237,IF(OR('Pre-Calculation'!$D$16="% OF AFV(24M)",'Pre-Calculation'!$D$16="% OF AFV(8Q)"),AVERAGE( $M214:$M237),IF('Pre-Calculation'!$D$16="% OF AFV(12M)",AVERAGE($M226:M237),IF('Pre-Calculation'!$D$16="% OF AFV(36M)",AVERAGE($M202:M237)))))</f>
        <v>12283005.29</v>
      </c>
      <c r="O237" s="175">
        <f t="shared" si="4"/>
        <v>12283005.29</v>
      </c>
      <c r="P237" s="175">
        <f>IF('Pre-Calculation'!$D$17="Type 4 a",MAX(SA,N237,1.05*Q237),IF('Pre-Calculation'!$D$17="Type 4 c",N237,IF('Pre-Calculation'!$D$17="Type 4 d",SA+N237,IF('Pre-Calculation'!$D$17="Type 4 e",MAX(SA,N237),IF('Pre-Calculation'!$D$17="Type 4 f",SA,IF('Pre-Calculation'!$D$17="Type 4 g",1000+N237,IF('Pre-Calculation'!$D$17="Type 4 h",SA+V237,IF('Pre-Calculation'!$D$17="Type 4 i",MAX(N237,Q237),IF('Pre-Calculation'!$D$17="Type 4 k",MAX(N237,1.01*Q237),IF('Pre-Calculation'!$D$17="Type 4 m",MAX(105%*Q237,SA+N237),IF('Pre-Calculation'!$D$17="Type 4 o",MAX(SA,105%*Q237)+V237+X237,IF('Pre-Calculation'!$D$17="Type 5",0))))))))))))</f>
        <v>12283005.29</v>
      </c>
      <c r="Q237" s="175">
        <f t="shared" si="5"/>
        <v>1000000</v>
      </c>
      <c r="R237" s="119">
        <f>L237*(1+GROWTH_RATE)*FMC</f>
        <v>13749.49461</v>
      </c>
      <c r="S237" s="112"/>
      <c r="T237" s="175">
        <f>-E237+IF(A236=INPUT!$C$11*12,N237,0)</f>
        <v>0</v>
      </c>
      <c r="U237" s="112"/>
      <c r="V237" s="179">
        <f t="array" ref="V237">NPV('Pre-Calculation'!$E$20,$E238:E$246)</f>
        <v>0</v>
      </c>
      <c r="W237" s="171">
        <f>10%*SA</f>
        <v>100000</v>
      </c>
      <c r="X237" s="179">
        <f t="array" ref="X237">NPV('Pre-Calculation'!$E$20,W238:W247)</f>
        <v>969592.8037</v>
      </c>
      <c r="Y237" s="12"/>
      <c r="Z237" s="12"/>
    </row>
    <row r="238" ht="15.75" customHeight="1">
      <c r="A238" s="171">
        <f t="shared" si="1"/>
        <v>292</v>
      </c>
      <c r="B238" s="171">
        <f t="shared" si="2"/>
        <v>25</v>
      </c>
      <c r="C238" s="176">
        <f>EDATE(RCD,A237)</f>
        <v>51409</v>
      </c>
      <c r="D238" s="171">
        <f>Age_At_Entry+Cashflows_HIST!B238-1</f>
        <v>59</v>
      </c>
      <c r="E238" s="175">
        <f>IF(AND(C238&lt;=Last_Prem,MOD(A237,Mode)=0,C238&gt;INPUT!$C$13,A238&lt;=Revival!$C$11),Mod_Prem,0)</f>
        <v>0</v>
      </c>
      <c r="F238" s="177">
        <f>E238*VLOOKUP(B238,'Pre-Calculation'!$H$1:$I$31,2,FALSE)</f>
        <v>0</v>
      </c>
      <c r="G238" s="177">
        <f>IF(B238&lt;PT+1,VLOOKUP(B238,'Pre-Calculation'!$H$1:$L$32,3,FALSE)+VLOOKUP(B238,'Pre-Calculation'!$H$1:$L$32,4,FALSE)*'Pre-Calculation'!$D$7,0)</f>
        <v>0</v>
      </c>
      <c r="H238" s="175">
        <f>(E238-(F238+G238)*(1+Tax)+N237)</f>
        <v>12283005.29</v>
      </c>
      <c r="I238" s="175">
        <f>IF(B238&lt;PT+1,VLOOKUP(D238,'Pre-Calculation'!$N$3:$P$79,IF(INPUT!$C$4="M",2,3),FALSE)*(J238/1000)*(1/12),0)</f>
        <v>0</v>
      </c>
      <c r="J238" s="175">
        <f t="shared" si="3"/>
        <v>0</v>
      </c>
      <c r="K238" s="175">
        <f>(IF('Pre-Calculation'!$D$17="Type 4 a",MAX(SA,H238,1.05*Q238),IF('Pre-Calculation'!$D$17="Type 4 c",H238,IF('Pre-Calculation'!$D$17="Type 4 d",SA+H238,IF('Pre-Calculation'!$D$17="Type 4 e",MAX(SA,H238),IF('Pre-Calculation'!$D$17="Type 4 f",SA,IF('Pre-Calculation'!$D$17="Type 4 g",1000+H238,IF('Pre-Calculation'!$D$17="Type 4 h",SA+V238,IF('Pre-Calculation'!$D$17="Type 4 i",MAX(H238,Q238),IF('Pre-Calculation'!$D$17="Type 4 k",MAX(H238,1.01*Q238),IF('Pre-Calculation'!$D$17="Type 4 m",MAX(105%*Q238,SA+H238),IF('Pre-Calculation'!$D$17="Type 4 o",MAX(SA,105%*Q238)+V238+X238,IF('Pre-Calculation'!$D$17="Type 5",0)))))))))))))*IF(AND(A238&lt;Revival!$C$4,C238&gt;Revival!$D$12),PUP,1)</f>
        <v>12283005.29</v>
      </c>
      <c r="L238" s="175">
        <f>H238-I238*(1+Tax)</f>
        <v>12283005.29</v>
      </c>
      <c r="M238" s="175">
        <f>L238*(1+GROWTH_RATE_HIST)</f>
        <v>12417213.2</v>
      </c>
      <c r="N238" s="175">
        <f>M238+IF(MOD(A238,B238)=0,VLOOKUP(B238,'Pre-Calculation'!$H$1:$L$31,5,FALSE),0)*IF('Pre-Calculation'!$D$16="% OF FV",M238,IF(OR('Pre-Calculation'!$D$16="% OF AFV(24M)",'Pre-Calculation'!$D$16="% OF AFV(8Q)"),AVERAGE( $M215:$M238),IF('Pre-Calculation'!$D$16="% OF AFV(12M)",AVERAGE($M227:M238),IF('Pre-Calculation'!$D$16="% OF AFV(36M)",AVERAGE($M203:M238)))))</f>
        <v>12417213.2</v>
      </c>
      <c r="O238" s="175">
        <f t="shared" si="4"/>
        <v>12417213.2</v>
      </c>
      <c r="P238" s="175">
        <f>IF('Pre-Calculation'!$D$17="Type 4 a",MAX(SA,N238,1.05*Q238),IF('Pre-Calculation'!$D$17="Type 4 c",N238,IF('Pre-Calculation'!$D$17="Type 4 d",SA+N238,IF('Pre-Calculation'!$D$17="Type 4 e",MAX(SA,N238),IF('Pre-Calculation'!$D$17="Type 4 f",SA,IF('Pre-Calculation'!$D$17="Type 4 g",1000+N238,IF('Pre-Calculation'!$D$17="Type 4 h",SA+V238,IF('Pre-Calculation'!$D$17="Type 4 i",MAX(N238,Q238),IF('Pre-Calculation'!$D$17="Type 4 k",MAX(N238,1.01*Q238),IF('Pre-Calculation'!$D$17="Type 4 m",MAX(105%*Q238,SA+N238),IF('Pre-Calculation'!$D$17="Type 4 o",MAX(SA,105%*Q238)+V238+X238,IF('Pre-Calculation'!$D$17="Type 5",0))))))))))))</f>
        <v>12417213.2</v>
      </c>
      <c r="Q238" s="175">
        <f t="shared" si="5"/>
        <v>1000000</v>
      </c>
      <c r="R238" s="119">
        <f>L238*(1+GROWTH_RATE)*FMC</f>
        <v>13899.72582</v>
      </c>
      <c r="S238" s="112"/>
      <c r="T238" s="175">
        <f>-E238+IF(A237=INPUT!$C$11*12,N238,0)</f>
        <v>0</v>
      </c>
      <c r="U238" s="112"/>
      <c r="V238" s="179">
        <f t="array" ref="V238">NPV('Pre-Calculation'!$E$20,$E239:E$246)</f>
        <v>0</v>
      </c>
      <c r="W238" s="171">
        <f>10%*SA</f>
        <v>100000</v>
      </c>
      <c r="X238" s="179">
        <f t="array" ref="X238">NPV('Pre-Calculation'!$E$20,W239:W248)</f>
        <v>969592.8037</v>
      </c>
      <c r="Y238" s="12"/>
      <c r="Z238" s="12"/>
    </row>
    <row r="239" ht="15.75" customHeight="1">
      <c r="A239" s="171">
        <f t="shared" si="1"/>
        <v>293</v>
      </c>
      <c r="B239" s="171">
        <f t="shared" si="2"/>
        <v>25</v>
      </c>
      <c r="C239" s="176">
        <f>EDATE(RCD,A238)</f>
        <v>51439</v>
      </c>
      <c r="D239" s="171">
        <f>Age_At_Entry+Cashflows_HIST!B239-1</f>
        <v>59</v>
      </c>
      <c r="E239" s="175">
        <f>IF(AND(C239&lt;=Last_Prem,MOD(A238,Mode)=0,C239&gt;INPUT!$C$13,A239&lt;=Revival!$C$11),Mod_Prem,0)</f>
        <v>0</v>
      </c>
      <c r="F239" s="177">
        <f>E239*VLOOKUP(B239,'Pre-Calculation'!$H$1:$I$31,2,FALSE)</f>
        <v>0</v>
      </c>
      <c r="G239" s="177">
        <f>IF(B239&lt;PT+1,VLOOKUP(B239,'Pre-Calculation'!$H$1:$L$32,3,FALSE)+VLOOKUP(B239,'Pre-Calculation'!$H$1:$L$32,4,FALSE)*'Pre-Calculation'!$D$7,0)</f>
        <v>0</v>
      </c>
      <c r="H239" s="175">
        <f>(E239-(F239+G239)*(1+Tax)+N238)</f>
        <v>12417213.2</v>
      </c>
      <c r="I239" s="175">
        <f>IF(B239&lt;PT+1,VLOOKUP(D239,'Pre-Calculation'!$N$3:$P$79,IF(INPUT!$C$4="M",2,3),FALSE)*(J239/1000)*(1/12),0)</f>
        <v>0</v>
      </c>
      <c r="J239" s="175">
        <f t="shared" si="3"/>
        <v>0</v>
      </c>
      <c r="K239" s="175">
        <f>(IF('Pre-Calculation'!$D$17="Type 4 a",MAX(SA,H239,1.05*Q239),IF('Pre-Calculation'!$D$17="Type 4 c",H239,IF('Pre-Calculation'!$D$17="Type 4 d",SA+H239,IF('Pre-Calculation'!$D$17="Type 4 e",MAX(SA,H239),IF('Pre-Calculation'!$D$17="Type 4 f",SA,IF('Pre-Calculation'!$D$17="Type 4 g",1000+H239,IF('Pre-Calculation'!$D$17="Type 4 h",SA+V239,IF('Pre-Calculation'!$D$17="Type 4 i",MAX(H239,Q239),IF('Pre-Calculation'!$D$17="Type 4 k",MAX(H239,1.01*Q239),IF('Pre-Calculation'!$D$17="Type 4 m",MAX(105%*Q239,SA+H239),IF('Pre-Calculation'!$D$17="Type 4 o",MAX(SA,105%*Q239)+V239+X239,IF('Pre-Calculation'!$D$17="Type 5",0)))))))))))))*IF(AND(A239&lt;Revival!$C$4,C239&gt;Revival!$D$12),PUP,1)</f>
        <v>12417213.2</v>
      </c>
      <c r="L239" s="175">
        <f>H239-I239*(1+Tax)</f>
        <v>12417213.2</v>
      </c>
      <c r="M239" s="175">
        <f>L239*(1+GROWTH_RATE_HIST)</f>
        <v>12552887.5</v>
      </c>
      <c r="N239" s="175">
        <f>M239+IF(MOD(A239,B239)=0,VLOOKUP(B239,'Pre-Calculation'!$H$1:$L$31,5,FALSE),0)*IF('Pre-Calculation'!$D$16="% OF FV",M239,IF(OR('Pre-Calculation'!$D$16="% OF AFV(24M)",'Pre-Calculation'!$D$16="% OF AFV(8Q)"),AVERAGE( $M216:$M239),IF('Pre-Calculation'!$D$16="% OF AFV(12M)",AVERAGE($M228:M239),IF('Pre-Calculation'!$D$16="% OF AFV(36M)",AVERAGE($M204:M239)))))</f>
        <v>12552887.5</v>
      </c>
      <c r="O239" s="175">
        <f t="shared" si="4"/>
        <v>12552887.5</v>
      </c>
      <c r="P239" s="175">
        <f>IF('Pre-Calculation'!$D$17="Type 4 a",MAX(SA,N239,1.05*Q239),IF('Pre-Calculation'!$D$17="Type 4 c",N239,IF('Pre-Calculation'!$D$17="Type 4 d",SA+N239,IF('Pre-Calculation'!$D$17="Type 4 e",MAX(SA,N239),IF('Pre-Calculation'!$D$17="Type 4 f",SA,IF('Pre-Calculation'!$D$17="Type 4 g",1000+N239,IF('Pre-Calculation'!$D$17="Type 4 h",SA+V239,IF('Pre-Calculation'!$D$17="Type 4 i",MAX(N239,Q239),IF('Pre-Calculation'!$D$17="Type 4 k",MAX(N239,1.01*Q239),IF('Pre-Calculation'!$D$17="Type 4 m",MAX(105%*Q239,SA+N239),IF('Pre-Calculation'!$D$17="Type 4 o",MAX(SA,105%*Q239)+V239+X239,IF('Pre-Calculation'!$D$17="Type 5",0))))))))))))</f>
        <v>12552887.5</v>
      </c>
      <c r="Q239" s="175">
        <f t="shared" si="5"/>
        <v>1000000</v>
      </c>
      <c r="R239" s="119">
        <f>L239*(1+GROWTH_RATE)*FMC</f>
        <v>14051.59851</v>
      </c>
      <c r="S239" s="112"/>
      <c r="T239" s="175">
        <f>-E239+IF(A238=INPUT!$C$11*12,N239,0)</f>
        <v>0</v>
      </c>
      <c r="U239" s="112"/>
      <c r="V239" s="179">
        <f t="array" ref="V239">NPV('Pre-Calculation'!$E$20,$E240:E$246)</f>
        <v>0</v>
      </c>
      <c r="W239" s="171">
        <f>10%*SA</f>
        <v>100000</v>
      </c>
      <c r="X239" s="179">
        <f t="array" ref="X239">NPV('Pre-Calculation'!$E$20,W240:W249)</f>
        <v>969592.8037</v>
      </c>
      <c r="Y239" s="12"/>
      <c r="Z239" s="12"/>
    </row>
    <row r="240" ht="15.75" customHeight="1">
      <c r="A240" s="171">
        <f t="shared" si="1"/>
        <v>294</v>
      </c>
      <c r="B240" s="171">
        <f t="shared" si="2"/>
        <v>25</v>
      </c>
      <c r="C240" s="176">
        <f>EDATE(RCD,A239)</f>
        <v>51470</v>
      </c>
      <c r="D240" s="171">
        <f>Age_At_Entry+Cashflows_HIST!B240-1</f>
        <v>59</v>
      </c>
      <c r="E240" s="175">
        <f>IF(AND(C240&lt;=Last_Prem,MOD(A239,Mode)=0,C240&gt;INPUT!$C$13,A240&lt;=Revival!$C$11),Mod_Prem,0)</f>
        <v>0</v>
      </c>
      <c r="F240" s="177">
        <f>E240*VLOOKUP(B240,'Pre-Calculation'!$H$1:$I$31,2,FALSE)</f>
        <v>0</v>
      </c>
      <c r="G240" s="177">
        <f>IF(B240&lt;PT+1,VLOOKUP(B240,'Pre-Calculation'!$H$1:$L$32,3,FALSE)+VLOOKUP(B240,'Pre-Calculation'!$H$1:$L$32,4,FALSE)*'Pre-Calculation'!$D$7,0)</f>
        <v>0</v>
      </c>
      <c r="H240" s="175">
        <f>(E240-(F240+G240)*(1+Tax)+N239)</f>
        <v>12552887.5</v>
      </c>
      <c r="I240" s="175">
        <f>IF(B240&lt;PT+1,VLOOKUP(D240,'Pre-Calculation'!$N$3:$P$79,IF(INPUT!$C$4="M",2,3),FALSE)*(J240/1000)*(1/12),0)</f>
        <v>0</v>
      </c>
      <c r="J240" s="175">
        <f t="shared" si="3"/>
        <v>0</v>
      </c>
      <c r="K240" s="175">
        <f>(IF('Pre-Calculation'!$D$17="Type 4 a",MAX(SA,H240,1.05*Q240),IF('Pre-Calculation'!$D$17="Type 4 c",H240,IF('Pre-Calculation'!$D$17="Type 4 d",SA+H240,IF('Pre-Calculation'!$D$17="Type 4 e",MAX(SA,H240),IF('Pre-Calculation'!$D$17="Type 4 f",SA,IF('Pre-Calculation'!$D$17="Type 4 g",1000+H240,IF('Pre-Calculation'!$D$17="Type 4 h",SA+V240,IF('Pre-Calculation'!$D$17="Type 4 i",MAX(H240,Q240),IF('Pre-Calculation'!$D$17="Type 4 k",MAX(H240,1.01*Q240),IF('Pre-Calculation'!$D$17="Type 4 m",MAX(105%*Q240,SA+H240),IF('Pre-Calculation'!$D$17="Type 4 o",MAX(SA,105%*Q240)+V240+X240,IF('Pre-Calculation'!$D$17="Type 5",0)))))))))))))*IF(AND(A240&lt;Revival!$C$4,C240&gt;Revival!$D$12),PUP,1)</f>
        <v>12552887.5</v>
      </c>
      <c r="L240" s="175">
        <f>H240-I240*(1+Tax)</f>
        <v>12552887.5</v>
      </c>
      <c r="M240" s="175">
        <f>L240*(1+GROWTH_RATE_HIST)</f>
        <v>12690044.22</v>
      </c>
      <c r="N240" s="175">
        <f>M240+IF(MOD(A240,B240)=0,VLOOKUP(B240,'Pre-Calculation'!$H$1:$L$31,5,FALSE),0)*IF('Pre-Calculation'!$D$16="% OF FV",M240,IF(OR('Pre-Calculation'!$D$16="% OF AFV(24M)",'Pre-Calculation'!$D$16="% OF AFV(8Q)"),AVERAGE( $M217:$M240),IF('Pre-Calculation'!$D$16="% OF AFV(12M)",AVERAGE($M229:M240),IF('Pre-Calculation'!$D$16="% OF AFV(36M)",AVERAGE($M205:M240)))))</f>
        <v>12690044.22</v>
      </c>
      <c r="O240" s="175">
        <f t="shared" si="4"/>
        <v>12690044.22</v>
      </c>
      <c r="P240" s="175">
        <f>IF('Pre-Calculation'!$D$17="Type 4 a",MAX(SA,N240,1.05*Q240),IF('Pre-Calculation'!$D$17="Type 4 c",N240,IF('Pre-Calculation'!$D$17="Type 4 d",SA+N240,IF('Pre-Calculation'!$D$17="Type 4 e",MAX(SA,N240),IF('Pre-Calculation'!$D$17="Type 4 f",SA,IF('Pre-Calculation'!$D$17="Type 4 g",1000+N240,IF('Pre-Calculation'!$D$17="Type 4 h",SA+V240,IF('Pre-Calculation'!$D$17="Type 4 i",MAX(N240,Q240),IF('Pre-Calculation'!$D$17="Type 4 k",MAX(N240,1.01*Q240),IF('Pre-Calculation'!$D$17="Type 4 m",MAX(105%*Q240,SA+N240),IF('Pre-Calculation'!$D$17="Type 4 o",MAX(SA,105%*Q240)+V240+X240,IF('Pre-Calculation'!$D$17="Type 5",0))))))))))))</f>
        <v>12690044.22</v>
      </c>
      <c r="Q240" s="175">
        <f t="shared" si="5"/>
        <v>1000000</v>
      </c>
      <c r="R240" s="119">
        <f>L240*(1+GROWTH_RATE)*FMC</f>
        <v>14205.13061</v>
      </c>
      <c r="S240" s="112"/>
      <c r="T240" s="175">
        <f>-E240+IF(A239=INPUT!$C$11*12,N240,0)</f>
        <v>0</v>
      </c>
      <c r="U240" s="112"/>
      <c r="V240" s="179">
        <f t="array" ref="V240">NPV('Pre-Calculation'!$E$20,$E241:E$246)</f>
        <v>0</v>
      </c>
      <c r="W240" s="171">
        <f>10%*SA</f>
        <v>100000</v>
      </c>
      <c r="X240" s="179">
        <f t="array" ref="X240">NPV('Pre-Calculation'!$E$20,W241:W250)</f>
        <v>969592.8037</v>
      </c>
      <c r="Y240" s="12"/>
      <c r="Z240" s="12"/>
    </row>
    <row r="241" ht="15.75" customHeight="1">
      <c r="A241" s="171">
        <f t="shared" si="1"/>
        <v>295</v>
      </c>
      <c r="B241" s="171">
        <f t="shared" si="2"/>
        <v>25</v>
      </c>
      <c r="C241" s="176">
        <f>EDATE(RCD,A240)</f>
        <v>51500</v>
      </c>
      <c r="D241" s="171">
        <f>Age_At_Entry+Cashflows_HIST!B241-1</f>
        <v>59</v>
      </c>
      <c r="E241" s="175">
        <f>IF(AND(C241&lt;=Last_Prem,MOD(A240,Mode)=0,C241&gt;INPUT!$C$13,A241&lt;=Revival!$C$11),Mod_Prem,0)</f>
        <v>0</v>
      </c>
      <c r="F241" s="177">
        <f>E241*VLOOKUP(B241,'Pre-Calculation'!$H$1:$I$31,2,FALSE)</f>
        <v>0</v>
      </c>
      <c r="G241" s="177">
        <f>IF(B241&lt;PT+1,VLOOKUP(B241,'Pre-Calculation'!$H$1:$L$32,3,FALSE)+VLOOKUP(B241,'Pre-Calculation'!$H$1:$L$32,4,FALSE)*'Pre-Calculation'!$D$7,0)</f>
        <v>0</v>
      </c>
      <c r="H241" s="175">
        <f>(E241-(F241+G241)*(1+Tax)+N240)</f>
        <v>12690044.22</v>
      </c>
      <c r="I241" s="175">
        <f>IF(B241&lt;PT+1,VLOOKUP(D241,'Pre-Calculation'!$N$3:$P$79,IF(INPUT!$C$4="M",2,3),FALSE)*(J241/1000)*(1/12),0)</f>
        <v>0</v>
      </c>
      <c r="J241" s="175">
        <f t="shared" si="3"/>
        <v>0</v>
      </c>
      <c r="K241" s="175">
        <f>(IF('Pre-Calculation'!$D$17="Type 4 a",MAX(SA,H241,1.05*Q241),IF('Pre-Calculation'!$D$17="Type 4 c",H241,IF('Pre-Calculation'!$D$17="Type 4 d",SA+H241,IF('Pre-Calculation'!$D$17="Type 4 e",MAX(SA,H241),IF('Pre-Calculation'!$D$17="Type 4 f",SA,IF('Pre-Calculation'!$D$17="Type 4 g",1000+H241,IF('Pre-Calculation'!$D$17="Type 4 h",SA+V241,IF('Pre-Calculation'!$D$17="Type 4 i",MAX(H241,Q241),IF('Pre-Calculation'!$D$17="Type 4 k",MAX(H241,1.01*Q241),IF('Pre-Calculation'!$D$17="Type 4 m",MAX(105%*Q241,SA+H241),IF('Pre-Calculation'!$D$17="Type 4 o",MAX(SA,105%*Q241)+V241+X241,IF('Pre-Calculation'!$D$17="Type 5",0)))))))))))))*IF(AND(A241&lt;Revival!$C$4,C241&gt;Revival!$D$12),PUP,1)</f>
        <v>12690044.22</v>
      </c>
      <c r="L241" s="175">
        <f>H241-I241*(1+Tax)</f>
        <v>12690044.22</v>
      </c>
      <c r="M241" s="175">
        <f>L241*(1+GROWTH_RATE_HIST)</f>
        <v>12828699.55</v>
      </c>
      <c r="N241" s="175">
        <f>M241+IF(MOD(A241,B241)=0,VLOOKUP(B241,'Pre-Calculation'!$H$1:$L$31,5,FALSE),0)*IF('Pre-Calculation'!$D$16="% OF FV",M241,IF(OR('Pre-Calculation'!$D$16="% OF AFV(24M)",'Pre-Calculation'!$D$16="% OF AFV(8Q)"),AVERAGE( $M218:$M241),IF('Pre-Calculation'!$D$16="% OF AFV(12M)",AVERAGE($M230:M241),IF('Pre-Calculation'!$D$16="% OF AFV(36M)",AVERAGE($M206:M241)))))</f>
        <v>12828699.55</v>
      </c>
      <c r="O241" s="175">
        <f t="shared" si="4"/>
        <v>12828699.55</v>
      </c>
      <c r="P241" s="175">
        <f>IF('Pre-Calculation'!$D$17="Type 4 a",MAX(SA,N241,1.05*Q241),IF('Pre-Calculation'!$D$17="Type 4 c",N241,IF('Pre-Calculation'!$D$17="Type 4 d",SA+N241,IF('Pre-Calculation'!$D$17="Type 4 e",MAX(SA,N241),IF('Pre-Calculation'!$D$17="Type 4 f",SA,IF('Pre-Calculation'!$D$17="Type 4 g",1000+N241,IF('Pre-Calculation'!$D$17="Type 4 h",SA+V241,IF('Pre-Calculation'!$D$17="Type 4 i",MAX(N241,Q241),IF('Pre-Calculation'!$D$17="Type 4 k",MAX(N241,1.01*Q241),IF('Pre-Calculation'!$D$17="Type 4 m",MAX(105%*Q241,SA+N241),IF('Pre-Calculation'!$D$17="Type 4 o",MAX(SA,105%*Q241)+V241+X241,IF('Pre-Calculation'!$D$17="Type 5",0))))))))))))</f>
        <v>12828699.55</v>
      </c>
      <c r="Q241" s="175">
        <f t="shared" si="5"/>
        <v>1000000</v>
      </c>
      <c r="R241" s="119">
        <f>L241*(1+GROWTH_RATE)*FMC</f>
        <v>14360.34025</v>
      </c>
      <c r="S241" s="112"/>
      <c r="T241" s="175">
        <f>-E241+IF(A240=INPUT!$C$11*12,N241,0)</f>
        <v>0</v>
      </c>
      <c r="U241" s="112"/>
      <c r="V241" s="179">
        <f t="array" ref="V241">NPV('Pre-Calculation'!$E$20,$E242:E$246)</f>
        <v>0</v>
      </c>
      <c r="W241" s="171">
        <f>10%*SA</f>
        <v>100000</v>
      </c>
      <c r="X241" s="179">
        <f t="array" ref="X241">NPV('Pre-Calculation'!$E$20,W242:W251)</f>
        <v>969592.8037</v>
      </c>
      <c r="Y241" s="12"/>
      <c r="Z241" s="12"/>
    </row>
    <row r="242" ht="15.75" customHeight="1">
      <c r="A242" s="171">
        <f t="shared" si="1"/>
        <v>296</v>
      </c>
      <c r="B242" s="171">
        <f t="shared" si="2"/>
        <v>25</v>
      </c>
      <c r="C242" s="176">
        <f>EDATE(RCD,A241)</f>
        <v>51531</v>
      </c>
      <c r="D242" s="171">
        <f>Age_At_Entry+Cashflows_HIST!B242-1</f>
        <v>59</v>
      </c>
      <c r="E242" s="175">
        <f>IF(AND(C242&lt;=Last_Prem,MOD(A241,Mode)=0,C242&gt;INPUT!$C$13,A242&lt;=Revival!$C$11),Mod_Prem,0)</f>
        <v>0</v>
      </c>
      <c r="F242" s="177">
        <f>E242*VLOOKUP(B242,'Pre-Calculation'!$H$1:$I$31,2,FALSE)</f>
        <v>0</v>
      </c>
      <c r="G242" s="177">
        <f>IF(B242&lt;PT+1,VLOOKUP(B242,'Pre-Calculation'!$H$1:$L$32,3,FALSE)+VLOOKUP(B242,'Pre-Calculation'!$H$1:$L$32,4,FALSE)*'Pre-Calculation'!$D$7,0)</f>
        <v>0</v>
      </c>
      <c r="H242" s="175">
        <f>(E242-(F242+G242)*(1+Tax)+N241)</f>
        <v>12828699.55</v>
      </c>
      <c r="I242" s="175">
        <f>IF(B242&lt;PT+1,VLOOKUP(D242,'Pre-Calculation'!$N$3:$P$79,IF(INPUT!$C$4="M",2,3),FALSE)*(J242/1000)*(1/12),0)</f>
        <v>0</v>
      </c>
      <c r="J242" s="175">
        <f t="shared" si="3"/>
        <v>0</v>
      </c>
      <c r="K242" s="175">
        <f>(IF('Pre-Calculation'!$D$17="Type 4 a",MAX(SA,H242,1.05*Q242),IF('Pre-Calculation'!$D$17="Type 4 c",H242,IF('Pre-Calculation'!$D$17="Type 4 d",SA+H242,IF('Pre-Calculation'!$D$17="Type 4 e",MAX(SA,H242),IF('Pre-Calculation'!$D$17="Type 4 f",SA,IF('Pre-Calculation'!$D$17="Type 4 g",1000+H242,IF('Pre-Calculation'!$D$17="Type 4 h",SA+V242,IF('Pre-Calculation'!$D$17="Type 4 i",MAX(H242,Q242),IF('Pre-Calculation'!$D$17="Type 4 k",MAX(H242,1.01*Q242),IF('Pre-Calculation'!$D$17="Type 4 m",MAX(105%*Q242,SA+H242),IF('Pre-Calculation'!$D$17="Type 4 o",MAX(SA,105%*Q242)+V242+X242,IF('Pre-Calculation'!$D$17="Type 5",0)))))))))))))*IF(AND(A242&lt;Revival!$C$4,C242&gt;Revival!$D$12),PUP,1)</f>
        <v>12828699.55</v>
      </c>
      <c r="L242" s="175">
        <f>H242-I242*(1+Tax)</f>
        <v>12828699.55</v>
      </c>
      <c r="M242" s="175">
        <f>L242*(1+GROWTH_RATE_HIST)</f>
        <v>12968869.88</v>
      </c>
      <c r="N242" s="175">
        <f>M242+IF(MOD(A242,B242)=0,VLOOKUP(B242,'Pre-Calculation'!$H$1:$L$31,5,FALSE),0)*IF('Pre-Calculation'!$D$16="% OF FV",M242,IF(OR('Pre-Calculation'!$D$16="% OF AFV(24M)",'Pre-Calculation'!$D$16="% OF AFV(8Q)"),AVERAGE( $M219:$M242),IF('Pre-Calculation'!$D$16="% OF AFV(12M)",AVERAGE($M231:M242),IF('Pre-Calculation'!$D$16="% OF AFV(36M)",AVERAGE($M207:M242)))))</f>
        <v>12968869.88</v>
      </c>
      <c r="O242" s="175">
        <f t="shared" si="4"/>
        <v>12968869.88</v>
      </c>
      <c r="P242" s="175">
        <f>IF('Pre-Calculation'!$D$17="Type 4 a",MAX(SA,N242,1.05*Q242),IF('Pre-Calculation'!$D$17="Type 4 c",N242,IF('Pre-Calculation'!$D$17="Type 4 d",SA+N242,IF('Pre-Calculation'!$D$17="Type 4 e",MAX(SA,N242),IF('Pre-Calculation'!$D$17="Type 4 f",SA,IF('Pre-Calculation'!$D$17="Type 4 g",1000+N242,IF('Pre-Calculation'!$D$17="Type 4 h",SA+V242,IF('Pre-Calculation'!$D$17="Type 4 i",MAX(N242,Q242),IF('Pre-Calculation'!$D$17="Type 4 k",MAX(N242,1.01*Q242),IF('Pre-Calculation'!$D$17="Type 4 m",MAX(105%*Q242,SA+N242),IF('Pre-Calculation'!$D$17="Type 4 o",MAX(SA,105%*Q242)+V242+X242,IF('Pre-Calculation'!$D$17="Type 5",0))))))))))))</f>
        <v>12968869.88</v>
      </c>
      <c r="Q242" s="175">
        <f t="shared" si="5"/>
        <v>1000000</v>
      </c>
      <c r="R242" s="119">
        <f>L242*(1+GROWTH_RATE)*FMC</f>
        <v>14517.24576</v>
      </c>
      <c r="S242" s="112"/>
      <c r="T242" s="175">
        <f>-E242+IF(A241=INPUT!$C$11*12,N242,0)</f>
        <v>0</v>
      </c>
      <c r="U242" s="112"/>
      <c r="V242" s="179">
        <f t="array" ref="V242">NPV('Pre-Calculation'!$E$20,$E243:E$246)</f>
        <v>0</v>
      </c>
      <c r="W242" s="171">
        <f>10%*SA</f>
        <v>100000</v>
      </c>
      <c r="X242" s="179">
        <f t="array" ref="X242">NPV('Pre-Calculation'!$E$20,W243:W252)</f>
        <v>969592.8037</v>
      </c>
      <c r="Y242" s="12"/>
      <c r="Z242" s="12"/>
    </row>
    <row r="243" ht="15.75" customHeight="1">
      <c r="A243" s="171">
        <f t="shared" si="1"/>
        <v>297</v>
      </c>
      <c r="B243" s="171">
        <f t="shared" si="2"/>
        <v>25</v>
      </c>
      <c r="C243" s="176">
        <f>EDATE(RCD,A242)</f>
        <v>51560</v>
      </c>
      <c r="D243" s="171">
        <f>Age_At_Entry+Cashflows_HIST!B243-1</f>
        <v>59</v>
      </c>
      <c r="E243" s="175">
        <f>IF(AND(C243&lt;=Last_Prem,MOD(A242,Mode)=0,C243&gt;INPUT!$C$13,A243&lt;=Revival!$C$11),Mod_Prem,0)</f>
        <v>0</v>
      </c>
      <c r="F243" s="177">
        <f>E243*VLOOKUP(B243,'Pre-Calculation'!$H$1:$I$31,2,FALSE)</f>
        <v>0</v>
      </c>
      <c r="G243" s="177">
        <f>IF(B243&lt;PT+1,VLOOKUP(B243,'Pre-Calculation'!$H$1:$L$32,3,FALSE)+VLOOKUP(B243,'Pre-Calculation'!$H$1:$L$32,4,FALSE)*'Pre-Calculation'!$D$7,0)</f>
        <v>0</v>
      </c>
      <c r="H243" s="175">
        <f>(E243-(F243+G243)*(1+Tax)+N242)</f>
        <v>12968869.88</v>
      </c>
      <c r="I243" s="175">
        <f>IF(B243&lt;PT+1,VLOOKUP(D243,'Pre-Calculation'!$N$3:$P$79,IF(INPUT!$C$4="M",2,3),FALSE)*(J243/1000)*(1/12),0)</f>
        <v>0</v>
      </c>
      <c r="J243" s="175">
        <f t="shared" si="3"/>
        <v>0</v>
      </c>
      <c r="K243" s="175">
        <f>(IF('Pre-Calculation'!$D$17="Type 4 a",MAX(SA,H243,1.05*Q243),IF('Pre-Calculation'!$D$17="Type 4 c",H243,IF('Pre-Calculation'!$D$17="Type 4 d",SA+H243,IF('Pre-Calculation'!$D$17="Type 4 e",MAX(SA,H243),IF('Pre-Calculation'!$D$17="Type 4 f",SA,IF('Pre-Calculation'!$D$17="Type 4 g",1000+H243,IF('Pre-Calculation'!$D$17="Type 4 h",SA+V243,IF('Pre-Calculation'!$D$17="Type 4 i",MAX(H243,Q243),IF('Pre-Calculation'!$D$17="Type 4 k",MAX(H243,1.01*Q243),IF('Pre-Calculation'!$D$17="Type 4 m",MAX(105%*Q243,SA+H243),IF('Pre-Calculation'!$D$17="Type 4 o",MAX(SA,105%*Q243)+V243+X243,IF('Pre-Calculation'!$D$17="Type 5",0)))))))))))))*IF(AND(A243&lt;Revival!$C$4,C243&gt;Revival!$D$12),PUP,1)</f>
        <v>12968869.88</v>
      </c>
      <c r="L243" s="175">
        <f>H243-I243*(1+Tax)</f>
        <v>12968869.88</v>
      </c>
      <c r="M243" s="175">
        <f>L243*(1+GROWTH_RATE_HIST)</f>
        <v>13110571.75</v>
      </c>
      <c r="N243" s="175">
        <f>M243+IF(MOD(A243,B243)=0,VLOOKUP(B243,'Pre-Calculation'!$H$1:$L$31,5,FALSE),0)*IF('Pre-Calculation'!$D$16="% OF FV",M243,IF(OR('Pre-Calculation'!$D$16="% OF AFV(24M)",'Pre-Calculation'!$D$16="% OF AFV(8Q)"),AVERAGE( $M220:$M243),IF('Pre-Calculation'!$D$16="% OF AFV(12M)",AVERAGE($M232:M243),IF('Pre-Calculation'!$D$16="% OF AFV(36M)",AVERAGE($M208:M243)))))</f>
        <v>13110571.75</v>
      </c>
      <c r="O243" s="175">
        <f t="shared" si="4"/>
        <v>13110571.75</v>
      </c>
      <c r="P243" s="175">
        <f>IF('Pre-Calculation'!$D$17="Type 4 a",MAX(SA,N243,1.05*Q243),IF('Pre-Calculation'!$D$17="Type 4 c",N243,IF('Pre-Calculation'!$D$17="Type 4 d",SA+N243,IF('Pre-Calculation'!$D$17="Type 4 e",MAX(SA,N243),IF('Pre-Calculation'!$D$17="Type 4 f",SA,IF('Pre-Calculation'!$D$17="Type 4 g",1000+N243,IF('Pre-Calculation'!$D$17="Type 4 h",SA+V243,IF('Pre-Calculation'!$D$17="Type 4 i",MAX(N243,Q243),IF('Pre-Calculation'!$D$17="Type 4 k",MAX(N243,1.01*Q243),IF('Pre-Calculation'!$D$17="Type 4 m",MAX(105%*Q243,SA+N243),IF('Pre-Calculation'!$D$17="Type 4 o",MAX(SA,105%*Q243)+V243+X243,IF('Pre-Calculation'!$D$17="Type 5",0))))))))))))</f>
        <v>13110571.75</v>
      </c>
      <c r="Q243" s="175">
        <f t="shared" si="5"/>
        <v>1000000</v>
      </c>
      <c r="R243" s="119">
        <f>L243*(1+GROWTH_RATE)*FMC</f>
        <v>14675.86566</v>
      </c>
      <c r="S243" s="112"/>
      <c r="T243" s="175">
        <f>-E243+IF(A242=INPUT!$C$11*12,N243,0)</f>
        <v>0</v>
      </c>
      <c r="U243" s="112"/>
      <c r="V243" s="179">
        <f t="array" ref="V243">NPV('Pre-Calculation'!$E$20,$E244:E$246)</f>
        <v>0</v>
      </c>
      <c r="W243" s="171">
        <f>10%*SA</f>
        <v>100000</v>
      </c>
      <c r="X243" s="179">
        <f t="array" ref="X243">NPV('Pre-Calculation'!$E$20,W244:W253)</f>
        <v>969592.8037</v>
      </c>
      <c r="Y243" s="12"/>
      <c r="Z243" s="12"/>
    </row>
    <row r="244" ht="15.75" customHeight="1">
      <c r="A244" s="171">
        <f t="shared" si="1"/>
        <v>298</v>
      </c>
      <c r="B244" s="171">
        <f t="shared" si="2"/>
        <v>25</v>
      </c>
      <c r="C244" s="176">
        <f>EDATE(RCD,A243)</f>
        <v>51590</v>
      </c>
      <c r="D244" s="171">
        <f>Age_At_Entry+Cashflows_HIST!B244-1</f>
        <v>59</v>
      </c>
      <c r="E244" s="175">
        <f>IF(AND(C244&lt;=Last_Prem,MOD(A243,Mode)=0,C244&gt;INPUT!$C$13,A244&lt;=Revival!$C$11),Mod_Prem,0)</f>
        <v>0</v>
      </c>
      <c r="F244" s="177">
        <f>E244*VLOOKUP(B244,'Pre-Calculation'!$H$1:$I$31,2,FALSE)</f>
        <v>0</v>
      </c>
      <c r="G244" s="177">
        <f>IF(B244&lt;PT+1,VLOOKUP(B244,'Pre-Calculation'!$H$1:$L$32,3,FALSE)+VLOOKUP(B244,'Pre-Calculation'!$H$1:$L$32,4,FALSE)*'Pre-Calculation'!$D$7,0)</f>
        <v>0</v>
      </c>
      <c r="H244" s="175">
        <f>(E244-(F244+G244)*(1+Tax)+N243)</f>
        <v>13110571.75</v>
      </c>
      <c r="I244" s="175">
        <f>IF(B244&lt;PT+1,VLOOKUP(D244,'Pre-Calculation'!$N$3:$P$79,IF(INPUT!$C$4="M",2,3),FALSE)*(J244/1000)*(1/12),0)</f>
        <v>0</v>
      </c>
      <c r="J244" s="175">
        <f t="shared" si="3"/>
        <v>0</v>
      </c>
      <c r="K244" s="175">
        <f>(IF('Pre-Calculation'!$D$17="Type 4 a",MAX(SA,H244,1.05*Q244),IF('Pre-Calculation'!$D$17="Type 4 c",H244,IF('Pre-Calculation'!$D$17="Type 4 d",SA+H244,IF('Pre-Calculation'!$D$17="Type 4 e",MAX(SA,H244),IF('Pre-Calculation'!$D$17="Type 4 f",SA,IF('Pre-Calculation'!$D$17="Type 4 g",1000+H244,IF('Pre-Calculation'!$D$17="Type 4 h",SA+V244,IF('Pre-Calculation'!$D$17="Type 4 i",MAX(H244,Q244),IF('Pre-Calculation'!$D$17="Type 4 k",MAX(H244,1.01*Q244),IF('Pre-Calculation'!$D$17="Type 4 m",MAX(105%*Q244,SA+H244),IF('Pre-Calculation'!$D$17="Type 4 o",MAX(SA,105%*Q244)+V244+X244,IF('Pre-Calculation'!$D$17="Type 5",0)))))))))))))*IF(AND(A244&lt;Revival!$C$4,C244&gt;Revival!$D$12),PUP,1)</f>
        <v>13110571.75</v>
      </c>
      <c r="L244" s="175">
        <f>H244-I244*(1+Tax)</f>
        <v>13110571.75</v>
      </c>
      <c r="M244" s="175">
        <f>L244*(1+GROWTH_RATE_HIST)</f>
        <v>13253821.9</v>
      </c>
      <c r="N244" s="175">
        <f>M244+IF(MOD(A244,B244)=0,VLOOKUP(B244,'Pre-Calculation'!$H$1:$L$31,5,FALSE),0)*IF('Pre-Calculation'!$D$16="% OF FV",M244,IF(OR('Pre-Calculation'!$D$16="% OF AFV(24M)",'Pre-Calculation'!$D$16="% OF AFV(8Q)"),AVERAGE( $M221:$M244),IF('Pre-Calculation'!$D$16="% OF AFV(12M)",AVERAGE($M233:M244),IF('Pre-Calculation'!$D$16="% OF AFV(36M)",AVERAGE($M209:M244)))))</f>
        <v>13253821.9</v>
      </c>
      <c r="O244" s="175">
        <f t="shared" si="4"/>
        <v>13253821.9</v>
      </c>
      <c r="P244" s="175">
        <f>IF('Pre-Calculation'!$D$17="Type 4 a",MAX(SA,N244,1.05*Q244),IF('Pre-Calculation'!$D$17="Type 4 c",N244,IF('Pre-Calculation'!$D$17="Type 4 d",SA+N244,IF('Pre-Calculation'!$D$17="Type 4 e",MAX(SA,N244),IF('Pre-Calculation'!$D$17="Type 4 f",SA,IF('Pre-Calculation'!$D$17="Type 4 g",1000+N244,IF('Pre-Calculation'!$D$17="Type 4 h",SA+V244,IF('Pre-Calculation'!$D$17="Type 4 i",MAX(N244,Q244),IF('Pre-Calculation'!$D$17="Type 4 k",MAX(N244,1.01*Q244),IF('Pre-Calculation'!$D$17="Type 4 m",MAX(105%*Q244,SA+N244),IF('Pre-Calculation'!$D$17="Type 4 o",MAX(SA,105%*Q244)+V244+X244,IF('Pre-Calculation'!$D$17="Type 5",0))))))))))))</f>
        <v>13253821.9</v>
      </c>
      <c r="Q244" s="175">
        <f t="shared" si="5"/>
        <v>1000000</v>
      </c>
      <c r="R244" s="119">
        <f>L244*(1+GROWTH_RATE)*FMC</f>
        <v>14836.21869</v>
      </c>
      <c r="S244" s="112"/>
      <c r="T244" s="175">
        <f>-E244+IF(A243=INPUT!$C$11*12,N244,0)</f>
        <v>0</v>
      </c>
      <c r="U244" s="112"/>
      <c r="V244" s="179">
        <f t="array" ref="V244">NPV('Pre-Calculation'!$E$20,$E245:E$246)</f>
        <v>0</v>
      </c>
      <c r="W244" s="171">
        <f>10%*SA</f>
        <v>100000</v>
      </c>
      <c r="X244" s="179">
        <f t="array" ref="X244">NPV('Pre-Calculation'!$E$20,W245:W254)</f>
        <v>969592.8037</v>
      </c>
      <c r="Y244" s="12"/>
      <c r="Z244" s="12"/>
    </row>
    <row r="245" ht="15.75" customHeight="1">
      <c r="A245" s="171">
        <f t="shared" si="1"/>
        <v>299</v>
      </c>
      <c r="B245" s="171">
        <f t="shared" si="2"/>
        <v>25</v>
      </c>
      <c r="C245" s="176">
        <f>EDATE(RCD,A244)</f>
        <v>51621</v>
      </c>
      <c r="D245" s="171">
        <f>Age_At_Entry+Cashflows_HIST!B245-1</f>
        <v>59</v>
      </c>
      <c r="E245" s="175">
        <f>IF(AND(C245&lt;=Last_Prem,MOD(A244,Mode)=0,C245&gt;INPUT!$C$13,A245&lt;=Revival!$C$11),Mod_Prem,0)</f>
        <v>0</v>
      </c>
      <c r="F245" s="177">
        <f>E245*VLOOKUP(B245,'Pre-Calculation'!$H$1:$I$31,2,FALSE)</f>
        <v>0</v>
      </c>
      <c r="G245" s="177">
        <f>IF(B245&lt;PT+1,VLOOKUP(B245,'Pre-Calculation'!$H$1:$L$32,3,FALSE)+VLOOKUP(B245,'Pre-Calculation'!$H$1:$L$32,4,FALSE)*'Pre-Calculation'!$D$7,0)</f>
        <v>0</v>
      </c>
      <c r="H245" s="175">
        <f>(E245-(F245+G245)*(1+Tax)+N244)</f>
        <v>13253821.9</v>
      </c>
      <c r="I245" s="175">
        <f>IF(B245&lt;PT+1,VLOOKUP(D245,'Pre-Calculation'!$N$3:$P$79,IF(INPUT!$C$4="M",2,3),FALSE)*(J245/1000)*(1/12),0)</f>
        <v>0</v>
      </c>
      <c r="J245" s="175">
        <f t="shared" si="3"/>
        <v>0</v>
      </c>
      <c r="K245" s="175">
        <f>(IF('Pre-Calculation'!$D$17="Type 4 a",MAX(SA,H245,1.05*Q245),IF('Pre-Calculation'!$D$17="Type 4 c",H245,IF('Pre-Calculation'!$D$17="Type 4 d",SA+H245,IF('Pre-Calculation'!$D$17="Type 4 e",MAX(SA,H245),IF('Pre-Calculation'!$D$17="Type 4 f",SA,IF('Pre-Calculation'!$D$17="Type 4 g",1000+H245,IF('Pre-Calculation'!$D$17="Type 4 h",SA+V245,IF('Pre-Calculation'!$D$17="Type 4 i",MAX(H245,Q245),IF('Pre-Calculation'!$D$17="Type 4 k",MAX(H245,1.01*Q245),IF('Pre-Calculation'!$D$17="Type 4 m",MAX(105%*Q245,SA+H245),IF('Pre-Calculation'!$D$17="Type 4 o",MAX(SA,105%*Q245)+V245+X245,IF('Pre-Calculation'!$D$17="Type 5",0)))))))))))))*IF(AND(A245&lt;Revival!$C$4,C245&gt;Revival!$D$12),PUP,1)</f>
        <v>13253821.9</v>
      </c>
      <c r="L245" s="175">
        <f>H245-I245*(1+Tax)</f>
        <v>13253821.9</v>
      </c>
      <c r="M245" s="175">
        <f>L245*(1+GROWTH_RATE_HIST)</f>
        <v>13398637.25</v>
      </c>
      <c r="N245" s="175">
        <f>M245+IF(MOD(A245,B245)=0,VLOOKUP(B245,'Pre-Calculation'!$H$1:$L$31,5,FALSE),0)*IF('Pre-Calculation'!$D$16="% OF FV",M245,IF(OR('Pre-Calculation'!$D$16="% OF AFV(24M)",'Pre-Calculation'!$D$16="% OF AFV(8Q)"),AVERAGE( $M222:$M245),IF('Pre-Calculation'!$D$16="% OF AFV(12M)",AVERAGE($M234:M245),IF('Pre-Calculation'!$D$16="% OF AFV(36M)",AVERAGE($M210:M245)))))</f>
        <v>13398637.25</v>
      </c>
      <c r="O245" s="175">
        <f t="shared" si="4"/>
        <v>13398637.25</v>
      </c>
      <c r="P245" s="175">
        <f>IF('Pre-Calculation'!$D$17="Type 4 a",MAX(SA,N245,1.05*Q245),IF('Pre-Calculation'!$D$17="Type 4 c",N245,IF('Pre-Calculation'!$D$17="Type 4 d",SA+N245,IF('Pre-Calculation'!$D$17="Type 4 e",MAX(SA,N245),IF('Pre-Calculation'!$D$17="Type 4 f",SA,IF('Pre-Calculation'!$D$17="Type 4 g",1000+N245,IF('Pre-Calculation'!$D$17="Type 4 h",SA+V245,IF('Pre-Calculation'!$D$17="Type 4 i",MAX(N245,Q245),IF('Pre-Calculation'!$D$17="Type 4 k",MAX(N245,1.01*Q245),IF('Pre-Calculation'!$D$17="Type 4 m",MAX(105%*Q245,SA+N245),IF('Pre-Calculation'!$D$17="Type 4 o",MAX(SA,105%*Q245)+V245+X245,IF('Pre-Calculation'!$D$17="Type 5",0))))))))))))</f>
        <v>13398637.25</v>
      </c>
      <c r="Q245" s="175">
        <f t="shared" si="5"/>
        <v>1000000</v>
      </c>
      <c r="R245" s="119">
        <f>L245*(1+GROWTH_RATE)*FMC</f>
        <v>14998.32379</v>
      </c>
      <c r="S245" s="112"/>
      <c r="T245" s="175">
        <f>-E245+IF(A244=INPUT!$C$11*12,N245,0)</f>
        <v>0</v>
      </c>
      <c r="U245" s="112"/>
      <c r="V245" s="179">
        <f t="array" ref="V245">NPV('Pre-Calculation'!$E$20,$E246:E$246)</f>
        <v>0</v>
      </c>
      <c r="W245" s="171">
        <f>10%*SA</f>
        <v>100000</v>
      </c>
      <c r="X245" s="179">
        <f t="array" ref="X245">NPV('Pre-Calculation'!$E$20,W246:W255)</f>
        <v>969592.8037</v>
      </c>
      <c r="Y245" s="12"/>
      <c r="Z245" s="12"/>
    </row>
    <row r="246" ht="15.75" customHeight="1">
      <c r="A246" s="171">
        <f t="shared" si="1"/>
        <v>300</v>
      </c>
      <c r="B246" s="171">
        <f t="shared" si="2"/>
        <v>25</v>
      </c>
      <c r="C246" s="176">
        <f>EDATE(RCD,A245)</f>
        <v>51651</v>
      </c>
      <c r="D246" s="171">
        <f>Age_At_Entry+Cashflows_HIST!B246-1</f>
        <v>59</v>
      </c>
      <c r="E246" s="175">
        <f>IF(AND(C246&lt;=Last_Prem,MOD(A245,Mode)=0,C246&gt;INPUT!$C$13,A246&lt;=Revival!$C$11),Mod_Prem,0)</f>
        <v>0</v>
      </c>
      <c r="F246" s="177">
        <f>E246*VLOOKUP(B246,'Pre-Calculation'!$H$1:$I$31,2,FALSE)</f>
        <v>0</v>
      </c>
      <c r="G246" s="177">
        <f>IF(B246&lt;PT+1,VLOOKUP(B246,'Pre-Calculation'!$H$1:$L$32,3,FALSE)+VLOOKUP(B246,'Pre-Calculation'!$H$1:$L$32,4,FALSE)*'Pre-Calculation'!$D$7,0)</f>
        <v>0</v>
      </c>
      <c r="H246" s="175">
        <f>(E246-(F246+G246)*(1+Tax)+N245)</f>
        <v>13398637.25</v>
      </c>
      <c r="I246" s="175">
        <f>IF(B246&lt;PT+1,VLOOKUP(D246,'Pre-Calculation'!$N$3:$P$79,IF(INPUT!$C$4="M",2,3),FALSE)*(J246/1000)*(1/12),0)</f>
        <v>0</v>
      </c>
      <c r="J246" s="175">
        <f t="shared" si="3"/>
        <v>0</v>
      </c>
      <c r="K246" s="175">
        <f>(IF('Pre-Calculation'!$D$17="Type 4 a",MAX(SA,H246,1.05*Q246),IF('Pre-Calculation'!$D$17="Type 4 c",H246,IF('Pre-Calculation'!$D$17="Type 4 d",SA+H246,IF('Pre-Calculation'!$D$17="Type 4 e",MAX(SA,H246),IF('Pre-Calculation'!$D$17="Type 4 f",SA,IF('Pre-Calculation'!$D$17="Type 4 g",1000+H246,IF('Pre-Calculation'!$D$17="Type 4 h",SA+V246,IF('Pre-Calculation'!$D$17="Type 4 i",MAX(H246,Q246),IF('Pre-Calculation'!$D$17="Type 4 k",MAX(H246,1.01*Q246),IF('Pre-Calculation'!$D$17="Type 4 m",MAX(105%*Q246,SA+H246),IF('Pre-Calculation'!$D$17="Type 4 o",MAX(SA,105%*Q246)+V246+X246,IF('Pre-Calculation'!$D$17="Type 5",0)))))))))))))*IF(AND(A246&lt;Revival!$C$4,C246&gt;Revival!$D$12),PUP,1)</f>
        <v>13398637.25</v>
      </c>
      <c r="L246" s="175">
        <f>H246-I246*(1+Tax)</f>
        <v>13398637.25</v>
      </c>
      <c r="M246" s="175">
        <f>L246*(1+GROWTH_RATE_HIST)</f>
        <v>13545034.89</v>
      </c>
      <c r="N246" s="175">
        <f>M246+IF(MOD(A246,B246)=0,VLOOKUP(B246,'Pre-Calculation'!$H$1:$L$31,5,FALSE),0)*IF('Pre-Calculation'!$D$16="% OF FV",M246,IF(OR('Pre-Calculation'!$D$16="% OF AFV(24M)",'Pre-Calculation'!$D$16="% OF AFV(8Q)"),AVERAGE( $M223:$M246),IF('Pre-Calculation'!$D$16="% OF AFV(12M)",AVERAGE($M235:M246),IF('Pre-Calculation'!$D$16="% OF AFV(36M)",AVERAGE($M211:M246)))))</f>
        <v>13545034.89</v>
      </c>
      <c r="O246" s="175">
        <f t="shared" si="4"/>
        <v>13545034.89</v>
      </c>
      <c r="P246" s="175">
        <f>IF('Pre-Calculation'!$D$17="Type 4 a",MAX(SA,N246,1.05*Q246),IF('Pre-Calculation'!$D$17="Type 4 c",N246,IF('Pre-Calculation'!$D$17="Type 4 d",SA+N246,IF('Pre-Calculation'!$D$17="Type 4 e",MAX(SA,N246),IF('Pre-Calculation'!$D$17="Type 4 f",SA,IF('Pre-Calculation'!$D$17="Type 4 g",1000+N246,IF('Pre-Calculation'!$D$17="Type 4 h",SA+V246,IF('Pre-Calculation'!$D$17="Type 4 i",MAX(N246,Q246),IF('Pre-Calculation'!$D$17="Type 4 k",MAX(N246,1.01*Q246),IF('Pre-Calculation'!$D$17="Type 4 m",MAX(105%*Q246,SA+N246),IF('Pre-Calculation'!$D$17="Type 4 o",MAX(SA,105%*Q246)+V246+X246,IF('Pre-Calculation'!$D$17="Type 5",0))))))))))))</f>
        <v>13545034.89</v>
      </c>
      <c r="Q246" s="175">
        <f t="shared" si="5"/>
        <v>1000000</v>
      </c>
      <c r="R246" s="119">
        <f>L246*(1+GROWTH_RATE)*FMC</f>
        <v>15162.2001</v>
      </c>
      <c r="S246" s="112"/>
      <c r="T246" s="175">
        <f>-E246+IF(A245=INPUT!$C$11*12,N246,0)</f>
        <v>0</v>
      </c>
      <c r="U246" s="112"/>
      <c r="V246" s="179">
        <f t="array" ref="V246">NPV('Pre-Calculation'!$E$20,$E$246:E247)</f>
        <v>0</v>
      </c>
      <c r="W246" s="171">
        <f>10%*SA</f>
        <v>100000</v>
      </c>
      <c r="X246" s="179">
        <f t="array" ref="X246">NPV('Pre-Calculation'!$E$20,W247:W256)</f>
        <v>969592.8037</v>
      </c>
      <c r="Y246" s="12"/>
      <c r="Z246" s="12"/>
    </row>
    <row r="247" ht="15.75" customHeight="1">
      <c r="A247" s="12"/>
      <c r="B247" s="171"/>
      <c r="C247" s="12"/>
      <c r="D247" s="12"/>
      <c r="E247" s="171"/>
      <c r="F247" s="12"/>
      <c r="G247" s="12"/>
      <c r="H247" s="12"/>
      <c r="I247" s="12"/>
      <c r="J247" s="12"/>
      <c r="K247" s="12"/>
      <c r="L247" s="12"/>
      <c r="M247" s="12"/>
      <c r="N247" s="12"/>
      <c r="O247" s="12"/>
      <c r="P247" s="12"/>
      <c r="Q247" s="12"/>
      <c r="R247" s="12"/>
      <c r="S247" s="12"/>
      <c r="T247" s="12"/>
      <c r="U247" s="12"/>
      <c r="V247" s="12"/>
      <c r="W247" s="36">
        <f>10%*SA</f>
        <v>100000</v>
      </c>
      <c r="X247" s="12"/>
      <c r="Y247" s="12"/>
      <c r="Z247" s="12"/>
    </row>
    <row r="248" ht="15.75" customHeight="1">
      <c r="A248" s="12"/>
      <c r="B248" s="12"/>
      <c r="C248" s="12"/>
      <c r="D248" s="12"/>
      <c r="E248" s="171"/>
      <c r="F248" s="12"/>
      <c r="G248" s="12"/>
      <c r="H248" s="12"/>
      <c r="I248" s="12"/>
      <c r="J248" s="12"/>
      <c r="K248" s="12"/>
      <c r="L248" s="12"/>
      <c r="M248" s="12"/>
      <c r="N248" s="12"/>
      <c r="O248" s="12"/>
      <c r="P248" s="12"/>
      <c r="Q248" s="12"/>
      <c r="R248" s="12"/>
      <c r="S248" s="12"/>
      <c r="T248" s="12"/>
      <c r="U248" s="12"/>
      <c r="V248" s="12"/>
      <c r="W248" s="36">
        <f>10%*SA</f>
        <v>100000</v>
      </c>
      <c r="X248" s="12"/>
      <c r="Y248" s="12"/>
      <c r="Z248" s="12"/>
    </row>
    <row r="249" ht="15.75" customHeight="1">
      <c r="A249" s="12"/>
      <c r="B249" s="12"/>
      <c r="C249" s="12"/>
      <c r="D249" s="12"/>
      <c r="E249" s="171"/>
      <c r="F249" s="12"/>
      <c r="G249" s="12"/>
      <c r="H249" s="12"/>
      <c r="I249" s="12"/>
      <c r="J249" s="12"/>
      <c r="K249" s="12"/>
      <c r="L249" s="12"/>
      <c r="M249" s="12"/>
      <c r="N249" s="12"/>
      <c r="O249" s="12"/>
      <c r="P249" s="12"/>
      <c r="Q249" s="12"/>
      <c r="R249" s="12"/>
      <c r="S249" s="12"/>
      <c r="T249" s="12"/>
      <c r="U249" s="12"/>
      <c r="V249" s="12"/>
      <c r="W249" s="36">
        <f>10%*SA</f>
        <v>100000</v>
      </c>
      <c r="X249" s="12"/>
      <c r="Y249" s="12"/>
      <c r="Z249" s="12"/>
    </row>
    <row r="250" ht="15.75" customHeight="1">
      <c r="A250" s="12"/>
      <c r="B250" s="12"/>
      <c r="C250" s="12"/>
      <c r="D250" s="12"/>
      <c r="E250" s="171"/>
      <c r="F250" s="12"/>
      <c r="G250" s="12"/>
      <c r="H250" s="12"/>
      <c r="I250" s="12"/>
      <c r="J250" s="12"/>
      <c r="K250" s="12"/>
      <c r="L250" s="12"/>
      <c r="M250" s="12"/>
      <c r="N250" s="12"/>
      <c r="O250" s="12"/>
      <c r="P250" s="12"/>
      <c r="Q250" s="12"/>
      <c r="R250" s="12"/>
      <c r="S250" s="12"/>
      <c r="T250" s="12"/>
      <c r="U250" s="12"/>
      <c r="V250" s="12"/>
      <c r="W250" s="36">
        <f>10%*SA</f>
        <v>100000</v>
      </c>
      <c r="X250" s="12"/>
      <c r="Y250" s="12"/>
      <c r="Z250" s="12"/>
    </row>
    <row r="251" ht="15.75" customHeight="1">
      <c r="A251" s="12"/>
      <c r="B251" s="12"/>
      <c r="C251" s="12"/>
      <c r="D251" s="12"/>
      <c r="E251" s="171"/>
      <c r="F251" s="12"/>
      <c r="G251" s="12"/>
      <c r="H251" s="12"/>
      <c r="I251" s="12"/>
      <c r="J251" s="12"/>
      <c r="K251" s="12"/>
      <c r="L251" s="12"/>
      <c r="M251" s="12"/>
      <c r="N251" s="12"/>
      <c r="O251" s="12"/>
      <c r="P251" s="12"/>
      <c r="Q251" s="12"/>
      <c r="R251" s="12"/>
      <c r="S251" s="12"/>
      <c r="T251" s="12"/>
      <c r="U251" s="12"/>
      <c r="V251" s="12"/>
      <c r="W251" s="36">
        <f>10%*SA</f>
        <v>100000</v>
      </c>
      <c r="X251" s="12"/>
      <c r="Y251" s="12"/>
      <c r="Z251" s="12"/>
    </row>
    <row r="252" ht="15.75" customHeight="1">
      <c r="A252" s="12"/>
      <c r="B252" s="12"/>
      <c r="C252" s="12"/>
      <c r="D252" s="12"/>
      <c r="E252" s="171"/>
      <c r="F252" s="12"/>
      <c r="G252" s="12"/>
      <c r="H252" s="12"/>
      <c r="I252" s="12"/>
      <c r="J252" s="12"/>
      <c r="K252" s="12"/>
      <c r="L252" s="12"/>
      <c r="M252" s="12"/>
      <c r="N252" s="12"/>
      <c r="O252" s="12"/>
      <c r="P252" s="12"/>
      <c r="Q252" s="12"/>
      <c r="R252" s="12"/>
      <c r="S252" s="12"/>
      <c r="T252" s="12"/>
      <c r="U252" s="12"/>
      <c r="V252" s="12"/>
      <c r="W252" s="36">
        <f>10%*SA</f>
        <v>100000</v>
      </c>
      <c r="X252" s="12"/>
      <c r="Y252" s="12"/>
      <c r="Z252" s="12"/>
    </row>
    <row r="253" ht="15.75" customHeight="1">
      <c r="A253" s="12"/>
      <c r="B253" s="12"/>
      <c r="C253" s="12"/>
      <c r="D253" s="12"/>
      <c r="E253" s="171"/>
      <c r="F253" s="12"/>
      <c r="G253" s="12"/>
      <c r="H253" s="12"/>
      <c r="I253" s="12"/>
      <c r="J253" s="12"/>
      <c r="K253" s="12"/>
      <c r="L253" s="12"/>
      <c r="M253" s="12"/>
      <c r="N253" s="12"/>
      <c r="O253" s="12"/>
      <c r="P253" s="12"/>
      <c r="Q253" s="12"/>
      <c r="R253" s="12"/>
      <c r="S253" s="12"/>
      <c r="T253" s="12"/>
      <c r="U253" s="12"/>
      <c r="V253" s="12"/>
      <c r="W253" s="36">
        <f>10%*SA</f>
        <v>100000</v>
      </c>
      <c r="X253" s="12"/>
      <c r="Y253" s="12"/>
      <c r="Z253" s="12"/>
    </row>
    <row r="254" ht="15.75" customHeight="1">
      <c r="A254" s="12"/>
      <c r="B254" s="12"/>
      <c r="C254" s="12"/>
      <c r="D254" s="12"/>
      <c r="E254" s="171"/>
      <c r="F254" s="12"/>
      <c r="G254" s="12"/>
      <c r="H254" s="12"/>
      <c r="I254" s="12"/>
      <c r="J254" s="12"/>
      <c r="K254" s="12"/>
      <c r="L254" s="12"/>
      <c r="M254" s="12"/>
      <c r="N254" s="12"/>
      <c r="O254" s="12"/>
      <c r="P254" s="12"/>
      <c r="Q254" s="12"/>
      <c r="R254" s="12"/>
      <c r="S254" s="12"/>
      <c r="T254" s="12"/>
      <c r="U254" s="12"/>
      <c r="V254" s="12"/>
      <c r="W254" s="36">
        <f>10%*SA</f>
        <v>100000</v>
      </c>
      <c r="X254" s="12"/>
      <c r="Y254" s="12"/>
      <c r="Z254" s="12"/>
    </row>
    <row r="255" ht="15.75" customHeight="1">
      <c r="A255" s="12"/>
      <c r="B255" s="12"/>
      <c r="C255" s="12"/>
      <c r="D255" s="12"/>
      <c r="E255" s="171"/>
      <c r="F255" s="12"/>
      <c r="G255" s="12"/>
      <c r="H255" s="12"/>
      <c r="I255" s="12"/>
      <c r="J255" s="12"/>
      <c r="K255" s="12"/>
      <c r="L255" s="12"/>
      <c r="M255" s="12"/>
      <c r="N255" s="12"/>
      <c r="O255" s="12"/>
      <c r="P255" s="12"/>
      <c r="Q255" s="12"/>
      <c r="R255" s="12"/>
      <c r="S255" s="12"/>
      <c r="T255" s="12"/>
      <c r="U255" s="12"/>
      <c r="V255" s="12"/>
      <c r="W255" s="36">
        <f>10%*SA</f>
        <v>100000</v>
      </c>
      <c r="X255" s="12"/>
      <c r="Y255" s="12"/>
      <c r="Z255" s="12"/>
    </row>
    <row r="256" ht="15.75" customHeight="1">
      <c r="A256" s="12"/>
      <c r="B256" s="12"/>
      <c r="C256" s="12"/>
      <c r="D256" s="12"/>
      <c r="E256" s="171"/>
      <c r="F256" s="12"/>
      <c r="G256" s="12"/>
      <c r="H256" s="12"/>
      <c r="I256" s="12"/>
      <c r="J256" s="12"/>
      <c r="K256" s="12"/>
      <c r="L256" s="12"/>
      <c r="M256" s="12"/>
      <c r="N256" s="12"/>
      <c r="O256" s="12"/>
      <c r="P256" s="12"/>
      <c r="Q256" s="12"/>
      <c r="R256" s="12"/>
      <c r="S256" s="12"/>
      <c r="T256" s="12"/>
      <c r="U256" s="12"/>
      <c r="V256" s="12"/>
      <c r="W256" s="36">
        <f>10%*SA</f>
        <v>100000</v>
      </c>
      <c r="X256" s="12"/>
      <c r="Y256" s="12"/>
      <c r="Z256" s="12"/>
    </row>
    <row r="257" ht="15.75" customHeight="1">
      <c r="A257" s="12"/>
      <c r="B257" s="12"/>
      <c r="C257" s="12"/>
      <c r="D257" s="12"/>
      <c r="E257" s="171"/>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71"/>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71"/>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71"/>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71"/>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71"/>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71"/>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71"/>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71"/>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71"/>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71"/>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71"/>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71"/>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71"/>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71"/>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71"/>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71"/>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71"/>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71"/>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71"/>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71"/>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71"/>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71"/>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71"/>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71"/>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71"/>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71"/>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71"/>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71"/>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71"/>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71"/>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71"/>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71"/>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71"/>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71"/>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71"/>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71"/>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71"/>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71"/>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71"/>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71"/>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71"/>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71"/>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71"/>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71"/>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71"/>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71"/>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71"/>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71"/>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71"/>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71"/>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71"/>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71"/>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71"/>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71"/>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71"/>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71"/>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71"/>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71"/>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71"/>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71"/>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71"/>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71"/>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71"/>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71"/>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71"/>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71"/>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71"/>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71"/>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71"/>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71"/>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71"/>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71"/>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71"/>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71"/>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71"/>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71"/>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71"/>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71"/>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71"/>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71"/>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71"/>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71"/>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71"/>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71"/>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71"/>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71"/>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71"/>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71"/>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71"/>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71"/>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71"/>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71"/>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71"/>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71"/>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71"/>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71"/>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71"/>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71"/>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71"/>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71"/>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71"/>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71"/>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71"/>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71"/>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71"/>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71"/>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71"/>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71"/>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71"/>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71"/>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71"/>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71"/>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71"/>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71"/>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71"/>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71"/>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71"/>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71"/>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71"/>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71"/>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71"/>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71"/>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71"/>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71"/>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71"/>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71"/>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71"/>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71"/>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71"/>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71"/>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71"/>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71"/>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71"/>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71"/>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71"/>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71"/>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71"/>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71"/>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71"/>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71"/>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71"/>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71"/>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71"/>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71"/>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71"/>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71"/>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71"/>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71"/>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71"/>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71"/>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71"/>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71"/>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71"/>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71"/>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71"/>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71"/>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71"/>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71"/>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71"/>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71"/>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71"/>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71"/>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71"/>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71"/>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71"/>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71"/>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71"/>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71"/>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71"/>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71"/>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71"/>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71"/>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71"/>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71"/>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71"/>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71"/>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71"/>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71"/>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71"/>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71"/>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71"/>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71"/>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71"/>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71"/>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71"/>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71"/>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71"/>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71"/>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71"/>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0" width="12.63"/>
    <col customWidth="1" min="11" max="11" width="20.13"/>
    <col customWidth="1" min="12" max="12" width="12.63"/>
    <col customWidth="1" min="13" max="13" width="16.88"/>
    <col customWidth="1" min="14" max="23" width="12.63"/>
  </cols>
  <sheetData>
    <row r="1">
      <c r="A1" s="12"/>
      <c r="B1" s="36"/>
      <c r="C1" s="169"/>
      <c r="D1" s="36"/>
      <c r="E1" s="36"/>
      <c r="F1" s="170"/>
      <c r="G1" s="12"/>
      <c r="H1" s="36"/>
      <c r="I1" s="36"/>
      <c r="J1" s="170"/>
      <c r="K1" s="170"/>
      <c r="L1" s="12"/>
      <c r="M1" s="36"/>
      <c r="N1" s="12"/>
      <c r="O1" s="12"/>
      <c r="P1" s="12"/>
      <c r="Q1" s="12"/>
      <c r="R1" s="12"/>
      <c r="S1" s="12"/>
      <c r="T1" s="36"/>
      <c r="U1" s="12"/>
      <c r="V1" s="12"/>
      <c r="W1" s="12"/>
      <c r="X1" s="12"/>
      <c r="Y1" s="12"/>
      <c r="Z1" s="12"/>
    </row>
    <row r="2">
      <c r="A2" s="36"/>
      <c r="B2" s="36"/>
      <c r="C2" s="36"/>
      <c r="D2" s="36"/>
      <c r="E2" s="36"/>
      <c r="F2" s="36"/>
      <c r="G2" s="36"/>
      <c r="H2" s="36"/>
      <c r="I2" s="36"/>
      <c r="J2" s="36"/>
      <c r="K2" s="36"/>
      <c r="L2" s="12"/>
      <c r="M2" s="36"/>
      <c r="N2" s="12"/>
      <c r="O2" s="12"/>
      <c r="P2" s="12"/>
      <c r="Q2" s="12"/>
      <c r="R2" s="12"/>
      <c r="S2" s="12"/>
      <c r="T2" s="36"/>
      <c r="U2" s="12"/>
      <c r="V2" s="12"/>
      <c r="W2" s="12"/>
      <c r="X2" s="12"/>
      <c r="Y2" s="12"/>
      <c r="Z2" s="12"/>
    </row>
    <row r="3">
      <c r="A3" s="36"/>
      <c r="B3" s="36"/>
      <c r="C3" s="36"/>
      <c r="D3" s="36"/>
      <c r="E3" s="36"/>
      <c r="F3" s="36"/>
      <c r="G3" s="36"/>
      <c r="H3" s="36"/>
      <c r="I3" s="36"/>
      <c r="J3" s="36"/>
      <c r="K3" s="36"/>
      <c r="L3" s="12"/>
      <c r="M3" s="36"/>
      <c r="N3" s="12"/>
      <c r="O3" s="12"/>
      <c r="P3" s="12"/>
      <c r="Q3" s="12"/>
      <c r="R3" s="12"/>
      <c r="S3" s="12"/>
      <c r="T3" s="36"/>
      <c r="U3" s="12"/>
      <c r="V3" s="12"/>
      <c r="W3" s="12"/>
      <c r="X3" s="12"/>
      <c r="Y3" s="12"/>
      <c r="Z3" s="12"/>
    </row>
    <row r="4">
      <c r="A4" s="171" t="s">
        <v>251</v>
      </c>
      <c r="B4" s="171" t="s">
        <v>215</v>
      </c>
      <c r="C4" s="171" t="s">
        <v>252</v>
      </c>
      <c r="D4" s="171" t="s">
        <v>225</v>
      </c>
      <c r="E4" s="171" t="s">
        <v>253</v>
      </c>
      <c r="F4" s="171" t="s">
        <v>216</v>
      </c>
      <c r="G4" s="171" t="s">
        <v>254</v>
      </c>
      <c r="H4" s="171" t="s">
        <v>255</v>
      </c>
      <c r="I4" s="171" t="s">
        <v>256</v>
      </c>
      <c r="J4" s="171" t="s">
        <v>257</v>
      </c>
      <c r="K4" s="171" t="s">
        <v>258</v>
      </c>
      <c r="L4" s="171" t="s">
        <v>259</v>
      </c>
      <c r="M4" s="171" t="s">
        <v>260</v>
      </c>
      <c r="N4" s="171" t="s">
        <v>261</v>
      </c>
      <c r="O4" s="171" t="s">
        <v>262</v>
      </c>
      <c r="P4" s="171" t="s">
        <v>239</v>
      </c>
      <c r="Q4" s="171" t="s">
        <v>263</v>
      </c>
      <c r="R4" s="112" t="s">
        <v>221</v>
      </c>
      <c r="S4" s="112"/>
      <c r="T4" s="172">
        <f>(IRR(T7:T246)+1)^12-1</f>
        <v>0.04360830362</v>
      </c>
      <c r="U4" s="171"/>
      <c r="V4" s="112" t="s">
        <v>267</v>
      </c>
      <c r="W4" s="112" t="s">
        <v>268</v>
      </c>
      <c r="X4" s="112" t="s">
        <v>269</v>
      </c>
      <c r="Y4" s="12"/>
      <c r="Z4" s="12"/>
    </row>
    <row r="5">
      <c r="A5" s="171"/>
      <c r="B5" s="171"/>
      <c r="C5" s="171"/>
      <c r="D5" s="171"/>
      <c r="E5" s="171"/>
      <c r="F5" s="171"/>
      <c r="G5" s="171"/>
      <c r="H5" s="171"/>
      <c r="I5" s="171"/>
      <c r="J5" s="171"/>
      <c r="K5" s="171"/>
      <c r="L5" s="171"/>
      <c r="M5" s="171"/>
      <c r="N5" s="171"/>
      <c r="O5" s="171"/>
      <c r="P5" s="171"/>
      <c r="Q5" s="171"/>
      <c r="R5" s="112"/>
      <c r="S5" s="112"/>
      <c r="T5" s="171"/>
      <c r="U5" s="171"/>
      <c r="V5" s="112"/>
      <c r="W5" s="171"/>
      <c r="X5" s="171"/>
      <c r="Y5" s="12"/>
      <c r="Z5" s="12"/>
    </row>
    <row r="6">
      <c r="A6" s="171">
        <f>'Pre-Calculation'!D12</f>
        <v>60</v>
      </c>
      <c r="B6" s="171"/>
      <c r="C6" s="171"/>
      <c r="D6" s="171"/>
      <c r="E6" s="171"/>
      <c r="F6" s="171"/>
      <c r="G6" s="173"/>
      <c r="H6" s="173"/>
      <c r="I6" s="173"/>
      <c r="J6" s="171"/>
      <c r="K6" s="171"/>
      <c r="L6" s="171"/>
      <c r="M6" s="171"/>
      <c r="N6" s="174">
        <f>SV+Revival!C14-SUM(Revival!D14:E14)*(1+Tax)-PW</f>
        <v>750000</v>
      </c>
      <c r="O6" s="171"/>
      <c r="P6" s="171"/>
      <c r="Q6" s="175">
        <f>Revival!C8+Revival!C14</f>
        <v>600000</v>
      </c>
      <c r="R6" s="112"/>
      <c r="S6" s="112"/>
      <c r="T6" s="175"/>
      <c r="U6" s="171"/>
      <c r="V6" s="112"/>
      <c r="W6" s="171"/>
      <c r="X6" s="171"/>
      <c r="Y6" s="12"/>
      <c r="Z6" s="12"/>
    </row>
    <row r="7">
      <c r="A7" s="171">
        <f t="shared" ref="A7:A246" si="1">A6+1</f>
        <v>61</v>
      </c>
      <c r="B7" s="171">
        <f t="shared" ref="B7:B246" si="2">_xlfn.CEILING.MATH(A7/12)</f>
        <v>6</v>
      </c>
      <c r="C7" s="176">
        <f>EDATE(RCD,A6)</f>
        <v>44377</v>
      </c>
      <c r="D7" s="171">
        <f>Age_At_Entry+'Cashflows_Bond Fund'!B7-1</f>
        <v>40</v>
      </c>
      <c r="E7" s="175">
        <f>IF(AND(C7&lt;=Last_Prem,MOD(A6,Mode)=0,C7&gt;INPUT!$C$13,A7&lt;=Revival!$C$11),Mod_Prem,0)</f>
        <v>0</v>
      </c>
      <c r="F7" s="177">
        <f>E7*VLOOKUP(B7,'Pre-Calculation'!$H$1:$I$31,2,FALSE)</f>
        <v>0</v>
      </c>
      <c r="G7" s="177">
        <f>IF(B7&lt;PT+1,VLOOKUP(B7,'Pre-Calculation'!$H$1:$L$32,3,FALSE)+VLOOKUP(B7,'Pre-Calculation'!$H$1:$L$32,4,FALSE)*'Pre-Calculation'!$D$7,0)</f>
        <v>830</v>
      </c>
      <c r="H7" s="175">
        <f>(E7-(F7+G7)*(1+Tax)+N6)</f>
        <v>749020.6</v>
      </c>
      <c r="I7" s="175">
        <f>IF(B7&lt;PT+1,VLOOKUP(D7,'Pre-Calculation'!$N$3:$P$79,IF(INPUT!$C$4="M",2,3),FALSE)*(J7/1000)*(1/12),0)</f>
        <v>37.69919738</v>
      </c>
      <c r="J7" s="175">
        <f t="shared" ref="J7:J246" si="3">MAX(0,(K7-H7))</f>
        <v>250979.4</v>
      </c>
      <c r="K7" s="175">
        <f>(IF('Pre-Calculation'!$D$17="Type 4 a",MAX(SA,H7,1.05*Q7),IF('Pre-Calculation'!$D$17="Type 4 c",H7,IF('Pre-Calculation'!$D$17="Type 4 d",SA+H7,IF('Pre-Calculation'!$D$17="Type 4 e",MAX(SA,H7),IF('Pre-Calculation'!$D$17="Type 4 f",SA,IF('Pre-Calculation'!$D$17="Type 4 g",1000+H7,IF('Pre-Calculation'!$D$17="Type 4 h",SA+V7,IF('Pre-Calculation'!$D$17="Type 4 i",MAX(H7,Q7),IF('Pre-Calculation'!$D$17="Type 4 k",MAX(H7,1.01*Q7),IF('Pre-Calculation'!$D$17="Type 4 m",MAX(105%*Q7,SA+H7),IF('Pre-Calculation'!$D$17="Type 4 o",MAX(SA,105%*Q7)+V7+X7,IF('Pre-Calculation'!$D$17="Type 5",0)))))))))))))*IF(AND(A7&lt;Revival!$C$4,C7&gt;=Revival!$D$12),PUP,1)</f>
        <v>1000000</v>
      </c>
      <c r="L7" s="175">
        <f>H7-I7*(1+Tax)</f>
        <v>748976.1149</v>
      </c>
      <c r="M7" s="175">
        <f>L7*(1+'Pre-Calculation'!$E$28)*(1-'Pre-Calculation'!$E$29*(1+Tax))</f>
        <v>752304.5414</v>
      </c>
      <c r="N7" s="175">
        <f>M7+IF(MOD(A7,B7)=0,VLOOKUP(B7,'Pre-Calculation'!$H$1:$L$31,5,FALSE),0)*IF('Pre-Calculation'!$D$16="% OF FV",M7,IF(OR('Pre-Calculation'!$D$16="% OF AFV(24M)",'Pre-Calculation'!$D$16="% OF AFV(8Q)"),AVERAGE( $M$7:$M7),IF('Pre-Calculation'!$D$16="% OF AFV(12M)",AVERAGE($M$7:M7),IF('Pre-Calculation'!$D$16="% OF AFV(36M)",AVERAGE($M$7:M7)))))</f>
        <v>752304.5414</v>
      </c>
      <c r="O7" s="175">
        <f t="shared" ref="O7:O246" si="4">N7</f>
        <v>752304.5414</v>
      </c>
      <c r="P7" s="175">
        <f>IF('Pre-Calculation'!$D$17="Type 4 a",MAX(SA,N7,1.05*Q7),IF('Pre-Calculation'!$D$17="Type 4 c",N7,IF('Pre-Calculation'!$D$17="Type 4 d",SA+N7,IF('Pre-Calculation'!$D$17="Type 4 e",MAX(SA,N7),IF('Pre-Calculation'!$D$17="Type 4 f",SA,IF('Pre-Calculation'!$D$17="Type 4 g",1000+N7,IF('Pre-Calculation'!$D$17="Type 4 h",SA+V7,IF('Pre-Calculation'!$D$17="Type 4 i",MAX(N7,Q7),IF('Pre-Calculation'!$D$17="Type 4 k",MAX(N7,1.01*Q7),IF('Pre-Calculation'!$D$17="Type 4 m",MAX(105%*Q7,SA+N7),IF('Pre-Calculation'!$D$17="Type 4 o",MAX(SA,105%*Q7)+V7+X7,IF('Pre-Calculation'!$D$17="Type 5",0))))))))))))</f>
        <v>1000000</v>
      </c>
      <c r="Q7" s="175">
        <f t="shared" ref="Q7:Q246" si="5">Q6+E7</f>
        <v>600000</v>
      </c>
      <c r="R7" s="119">
        <f>L7*(1+GROWTH_RATE)*FMC</f>
        <v>847.5582643</v>
      </c>
      <c r="S7" s="112"/>
      <c r="T7" s="174">
        <f>-E7+IF(A6=INPUT!$C$11*12,N7,0)-N6</f>
        <v>-750000</v>
      </c>
      <c r="U7" s="171"/>
      <c r="V7" s="179">
        <f t="array" ref="V7">NPV('Pre-Calculation'!$E$20,$E8:E$246)</f>
        <v>338721.1256</v>
      </c>
      <c r="W7" s="171">
        <f>10%*SA</f>
        <v>100000</v>
      </c>
      <c r="X7" s="179">
        <f t="array" ref="X7">NPV('Pre-Calculation'!$E$20,W8:W17)</f>
        <v>969592.8037</v>
      </c>
      <c r="Y7" s="12"/>
      <c r="Z7" s="12"/>
    </row>
    <row r="8">
      <c r="A8" s="171">
        <f t="shared" si="1"/>
        <v>62</v>
      </c>
      <c r="B8" s="171">
        <f t="shared" si="2"/>
        <v>6</v>
      </c>
      <c r="C8" s="176">
        <f>EDATE(RCD,A7)</f>
        <v>44407</v>
      </c>
      <c r="D8" s="171">
        <f>Age_At_Entry+'Cashflows_Bond Fund'!B8-1</f>
        <v>40</v>
      </c>
      <c r="E8" s="175">
        <f>IF(AND(C8&lt;=Last_Prem,MOD(A7,Mode)=0,C8&gt;INPUT!$C$13,A8&lt;=Revival!$C$11),Mod_Prem,0)</f>
        <v>0</v>
      </c>
      <c r="F8" s="177">
        <f>E8*VLOOKUP(B8,'Pre-Calculation'!$H$1:$I$31,2,FALSE)</f>
        <v>0</v>
      </c>
      <c r="G8" s="177">
        <f>IF(B8&lt;PT+1,VLOOKUP(B8,'Pre-Calculation'!$H$1:$L$32,3,FALSE)+VLOOKUP(B8,'Pre-Calculation'!$H$1:$L$32,4,FALSE)*'Pre-Calculation'!$D$7,0)</f>
        <v>830</v>
      </c>
      <c r="H8" s="175">
        <f>(E8-(F8+G8)*(1+Tax)+N7)</f>
        <v>751325.1414</v>
      </c>
      <c r="I8" s="175">
        <f>IF(B8&lt;PT+1,VLOOKUP(D8,'Pre-Calculation'!$N$3:$P$79,IF(INPUT!$C$4="M",2,3),FALSE)*(J8/1000)*(1/12),0)</f>
        <v>37.35303605</v>
      </c>
      <c r="J8" s="175">
        <f t="shared" si="3"/>
        <v>248674.8586</v>
      </c>
      <c r="K8" s="175">
        <f>(IF('Pre-Calculation'!$D$17="Type 4 a",MAX(SA,H8,1.05*Q8),IF('Pre-Calculation'!$D$17="Type 4 c",H8,IF('Pre-Calculation'!$D$17="Type 4 d",SA+H8,IF('Pre-Calculation'!$D$17="Type 4 e",MAX(SA,H8),IF('Pre-Calculation'!$D$17="Type 4 f",SA,IF('Pre-Calculation'!$D$17="Type 4 g",1000+H8,IF('Pre-Calculation'!$D$17="Type 4 h",SA+V8,IF('Pre-Calculation'!$D$17="Type 4 i",MAX(H8,Q8),IF('Pre-Calculation'!$D$17="Type 4 k",MAX(H8,1.01*Q8),IF('Pre-Calculation'!$D$17="Type 4 m",MAX(105%*Q8,SA+H8),IF('Pre-Calculation'!$D$17="Type 4 o",MAX(SA,105%*Q8)+V8+X8,IF('Pre-Calculation'!$D$17="Type 5",0)))))))))))))*IF(AND(A8&lt;Revival!$C$4,C8&gt;=Revival!$D$12),PUP,1)</f>
        <v>1000000</v>
      </c>
      <c r="L8" s="175">
        <f>H8-I8*(1+Tax)</f>
        <v>751281.0648</v>
      </c>
      <c r="M8" s="175">
        <f>L8*(1+'Pre-Calculation'!$E$28)*(1-'Pre-Calculation'!$E$29*(1+Tax))</f>
        <v>754619.7344</v>
      </c>
      <c r="N8" s="175">
        <f>M8+IF(MOD(A8,B8)=0,VLOOKUP(B8,'Pre-Calculation'!$H$1:$L$31,5,FALSE),0)*IF('Pre-Calculation'!$D$16="% OF FV",M8,IF(OR('Pre-Calculation'!$D$16="% OF AFV(24M)",'Pre-Calculation'!$D$16="% OF AFV(8Q)"),AVERAGE( $M$7:$M8),IF('Pre-Calculation'!$D$16="% OF AFV(12M)",AVERAGE($M$7:M8),IF('Pre-Calculation'!$D$16="% OF AFV(36M)",AVERAGE($M$7:M8)))))</f>
        <v>754619.7344</v>
      </c>
      <c r="O8" s="175">
        <f t="shared" si="4"/>
        <v>754619.7344</v>
      </c>
      <c r="P8" s="175">
        <f>IF('Pre-Calculation'!$D$17="Type 4 a",MAX(SA,N8,1.05*Q8),IF('Pre-Calculation'!$D$17="Type 4 c",N8,IF('Pre-Calculation'!$D$17="Type 4 d",SA+N8,IF('Pre-Calculation'!$D$17="Type 4 e",MAX(SA,N8),IF('Pre-Calculation'!$D$17="Type 4 f",SA,IF('Pre-Calculation'!$D$17="Type 4 g",1000+N8,IF('Pre-Calculation'!$D$17="Type 4 h",SA+V8,IF('Pre-Calculation'!$D$17="Type 4 i",MAX(N8,Q8),IF('Pre-Calculation'!$D$17="Type 4 k",MAX(N8,1.01*Q8),IF('Pre-Calculation'!$D$17="Type 4 m",MAX(105%*Q8,SA+N8),IF('Pre-Calculation'!$D$17="Type 4 o",MAX(SA,105%*Q8)+V8+X8,IF('Pre-Calculation'!$D$17="Type 5",0))))))))))))</f>
        <v>1000000</v>
      </c>
      <c r="Q8" s="175">
        <f t="shared" si="5"/>
        <v>600000</v>
      </c>
      <c r="R8" s="119">
        <f>L8*(1+GROWTH_RATE)*FMC</f>
        <v>850.1665975</v>
      </c>
      <c r="S8" s="112"/>
      <c r="T8" s="175">
        <f>-E8+IF(A7=INPUT!$C$11*12,N8,0)</f>
        <v>0</v>
      </c>
      <c r="U8" s="171"/>
      <c r="V8" s="179">
        <f t="array" ref="V8">NPV('Pre-Calculation'!$E$20,$E9:E$246)</f>
        <v>340636.3041</v>
      </c>
      <c r="W8" s="171">
        <f>10%*SA</f>
        <v>100000</v>
      </c>
      <c r="X8" s="179">
        <f t="array" ref="X8">NPV('Pre-Calculation'!$E$20,W9:W18)</f>
        <v>969592.8037</v>
      </c>
      <c r="Y8" s="12"/>
      <c r="Z8" s="12"/>
    </row>
    <row r="9">
      <c r="A9" s="171">
        <f t="shared" si="1"/>
        <v>63</v>
      </c>
      <c r="B9" s="171">
        <f t="shared" si="2"/>
        <v>6</v>
      </c>
      <c r="C9" s="176">
        <f>EDATE(RCD,A8)</f>
        <v>44438</v>
      </c>
      <c r="D9" s="171">
        <f>Age_At_Entry+'Cashflows_Bond Fund'!B9-1</f>
        <v>40</v>
      </c>
      <c r="E9" s="175">
        <f>IF(AND(C9&lt;=Last_Prem,MOD(A8,Mode)=0,C9&gt;INPUT!$C$13,A9&lt;=Revival!$C$11),Mod_Prem,0)</f>
        <v>0</v>
      </c>
      <c r="F9" s="177">
        <f>E9*VLOOKUP(B9,'Pre-Calculation'!$H$1:$I$31,2,FALSE)</f>
        <v>0</v>
      </c>
      <c r="G9" s="177">
        <f>IF(B9&lt;PT+1,VLOOKUP(B9,'Pre-Calculation'!$H$1:$L$32,3,FALSE)+VLOOKUP(B9,'Pre-Calculation'!$H$1:$L$32,4,FALSE)*'Pre-Calculation'!$D$7,0)</f>
        <v>830</v>
      </c>
      <c r="H9" s="175">
        <f>(E9-(F9+G9)*(1+Tax)+N8)</f>
        <v>753640.3344</v>
      </c>
      <c r="I9" s="175">
        <f>IF(B9&lt;PT+1,VLOOKUP(D9,'Pre-Calculation'!$N$3:$P$79,IF(INPUT!$C$4="M",2,3),FALSE)*(J9/1000)*(1/12),0)</f>
        <v>37.00527478</v>
      </c>
      <c r="J9" s="175">
        <f t="shared" si="3"/>
        <v>246359.6656</v>
      </c>
      <c r="K9" s="175">
        <f>(IF('Pre-Calculation'!$D$17="Type 4 a",MAX(SA,H9,1.05*Q9),IF('Pre-Calculation'!$D$17="Type 4 c",H9,IF('Pre-Calculation'!$D$17="Type 4 d",SA+H9,IF('Pre-Calculation'!$D$17="Type 4 e",MAX(SA,H9),IF('Pre-Calculation'!$D$17="Type 4 f",SA,IF('Pre-Calculation'!$D$17="Type 4 g",1000+H9,IF('Pre-Calculation'!$D$17="Type 4 h",SA+V9,IF('Pre-Calculation'!$D$17="Type 4 i",MAX(H9,Q9),IF('Pre-Calculation'!$D$17="Type 4 k",MAX(H9,1.01*Q9),IF('Pre-Calculation'!$D$17="Type 4 m",MAX(105%*Q9,SA+H9),IF('Pre-Calculation'!$D$17="Type 4 o",MAX(SA,105%*Q9)+V9+X9,IF('Pre-Calculation'!$D$17="Type 5",0)))))))))))))*IF(AND(A9&lt;Revival!$C$4,C9&gt;=Revival!$D$12),PUP,1)</f>
        <v>1000000</v>
      </c>
      <c r="L9" s="175">
        <f>H9-I9*(1+Tax)</f>
        <v>753596.6681</v>
      </c>
      <c r="M9" s="175">
        <f>L9*(1+'Pre-Calculation'!$E$28)*(1-'Pre-Calculation'!$E$29*(1+Tax))</f>
        <v>756945.6282</v>
      </c>
      <c r="N9" s="175">
        <f>M9+IF(MOD(A9,B9)=0,VLOOKUP(B9,'Pre-Calculation'!$H$1:$L$31,5,FALSE),0)*IF('Pre-Calculation'!$D$16="% OF FV",M9,IF(OR('Pre-Calculation'!$D$16="% OF AFV(24M)",'Pre-Calculation'!$D$16="% OF AFV(8Q)"),AVERAGE( $M$7:$M9),IF('Pre-Calculation'!$D$16="% OF AFV(12M)",AVERAGE($M$7:M9),IF('Pre-Calculation'!$D$16="% OF AFV(36M)",AVERAGE($M$7:M9)))))</f>
        <v>756945.6282</v>
      </c>
      <c r="O9" s="175">
        <f t="shared" si="4"/>
        <v>756945.6282</v>
      </c>
      <c r="P9" s="175">
        <f>IF('Pre-Calculation'!$D$17="Type 4 a",MAX(SA,N9,1.05*Q9),IF('Pre-Calculation'!$D$17="Type 4 c",N9,IF('Pre-Calculation'!$D$17="Type 4 d",SA+N9,IF('Pre-Calculation'!$D$17="Type 4 e",MAX(SA,N9),IF('Pre-Calculation'!$D$17="Type 4 f",SA,IF('Pre-Calculation'!$D$17="Type 4 g",1000+N9,IF('Pre-Calculation'!$D$17="Type 4 h",SA+V9,IF('Pre-Calculation'!$D$17="Type 4 i",MAX(N9,Q9),IF('Pre-Calculation'!$D$17="Type 4 k",MAX(N9,1.01*Q9),IF('Pre-Calculation'!$D$17="Type 4 m",MAX(105%*Q9,SA+N9),IF('Pre-Calculation'!$D$17="Type 4 o",MAX(SA,105%*Q9)+V9+X9,IF('Pre-Calculation'!$D$17="Type 5",0))))))))))))</f>
        <v>1000000</v>
      </c>
      <c r="Q9" s="175">
        <f t="shared" si="5"/>
        <v>600000</v>
      </c>
      <c r="R9" s="119">
        <f>L9*(1+GROWTH_RATE)*FMC</f>
        <v>852.7869865</v>
      </c>
      <c r="S9" s="112"/>
      <c r="T9" s="175">
        <f>-E9+IF(A8=INPUT!$C$11*12,N9,0)</f>
        <v>0</v>
      </c>
      <c r="U9" s="112"/>
      <c r="V9" s="179">
        <f t="array" ref="V9">NPV('Pre-Calculation'!$E$20,$E10:E$246)</f>
        <v>342562.3113</v>
      </c>
      <c r="W9" s="171">
        <f>10%*SA</f>
        <v>100000</v>
      </c>
      <c r="X9" s="179">
        <f t="array" ref="X9">NPV('Pre-Calculation'!$E$20,W10:W19)</f>
        <v>969592.8037</v>
      </c>
      <c r="Y9" s="12"/>
      <c r="Z9" s="12"/>
    </row>
    <row r="10">
      <c r="A10" s="171">
        <f t="shared" si="1"/>
        <v>64</v>
      </c>
      <c r="B10" s="171">
        <f t="shared" si="2"/>
        <v>6</v>
      </c>
      <c r="C10" s="176">
        <f>EDATE(RCD,A9)</f>
        <v>44469</v>
      </c>
      <c r="D10" s="171">
        <f>Age_At_Entry+'Cashflows_Bond Fund'!B10-1</f>
        <v>40</v>
      </c>
      <c r="E10" s="175">
        <f>IF(AND(C10&lt;=Last_Prem,MOD(A9,Mode)=0,C10&gt;INPUT!$C$13,A10&lt;=Revival!$C$11),Mod_Prem,0)</f>
        <v>0</v>
      </c>
      <c r="F10" s="177">
        <f>E10*VLOOKUP(B10,'Pre-Calculation'!$H$1:$I$31,2,FALSE)</f>
        <v>0</v>
      </c>
      <c r="G10" s="177">
        <f>IF(B10&lt;PT+1,VLOOKUP(B10,'Pre-Calculation'!$H$1:$L$32,3,FALSE)+VLOOKUP(B10,'Pre-Calculation'!$H$1:$L$32,4,FALSE)*'Pre-Calculation'!$D$7,0)</f>
        <v>830</v>
      </c>
      <c r="H10" s="175">
        <f>(E10-(F10+G10)*(1+Tax)+N9)</f>
        <v>755966.2282</v>
      </c>
      <c r="I10" s="175">
        <f>IF(B10&lt;PT+1,VLOOKUP(D10,'Pre-Calculation'!$N$3:$P$79,IF(INPUT!$C$4="M",2,3),FALSE)*(J10/1000)*(1/12),0)</f>
        <v>36.65590614</v>
      </c>
      <c r="J10" s="175">
        <f t="shared" si="3"/>
        <v>244033.7718</v>
      </c>
      <c r="K10" s="175">
        <f>(IF('Pre-Calculation'!$D$17="Type 4 a",MAX(SA,H10,1.05*Q10),IF('Pre-Calculation'!$D$17="Type 4 c",H10,IF('Pre-Calculation'!$D$17="Type 4 d",SA+H10,IF('Pre-Calculation'!$D$17="Type 4 e",MAX(SA,H10),IF('Pre-Calculation'!$D$17="Type 4 f",SA,IF('Pre-Calculation'!$D$17="Type 4 g",1000+H10,IF('Pre-Calculation'!$D$17="Type 4 h",SA+V10,IF('Pre-Calculation'!$D$17="Type 4 i",MAX(H10,Q10),IF('Pre-Calculation'!$D$17="Type 4 k",MAX(H10,1.01*Q10),IF('Pre-Calculation'!$D$17="Type 4 m",MAX(105%*Q10,SA+H10),IF('Pre-Calculation'!$D$17="Type 4 o",MAX(SA,105%*Q10)+V10+X10,IF('Pre-Calculation'!$D$17="Type 5",0)))))))))))))*IF(AND(A10&lt;Revival!$C$4,C10&gt;=Revival!$D$12),PUP,1)</f>
        <v>1000000</v>
      </c>
      <c r="L10" s="175">
        <f>H10-I10*(1+Tax)</f>
        <v>755922.9742</v>
      </c>
      <c r="M10" s="175">
        <f>L10*(1+'Pre-Calculation'!$E$28)*(1-'Pre-Calculation'!$E$29*(1+Tax))</f>
        <v>759282.2723</v>
      </c>
      <c r="N10" s="175">
        <f>M10+IF(MOD(A10,B10)=0,VLOOKUP(B10,'Pre-Calculation'!$H$1:$L$31,5,FALSE),0)*IF('Pre-Calculation'!$D$16="% OF FV",M10,IF(OR('Pre-Calculation'!$D$16="% OF AFV(24M)",'Pre-Calculation'!$D$16="% OF AFV(8Q)"),AVERAGE( $M$7:$M10),IF('Pre-Calculation'!$D$16="% OF AFV(12M)",AVERAGE($M$7:M10),IF('Pre-Calculation'!$D$16="% OF AFV(36M)",AVERAGE($M$7:M10)))))</f>
        <v>759282.2723</v>
      </c>
      <c r="O10" s="175">
        <f t="shared" si="4"/>
        <v>759282.2723</v>
      </c>
      <c r="P10" s="175">
        <f>IF('Pre-Calculation'!$D$17="Type 4 a",MAX(SA,N10,1.05*Q10),IF('Pre-Calculation'!$D$17="Type 4 c",N10,IF('Pre-Calculation'!$D$17="Type 4 d",SA+N10,IF('Pre-Calculation'!$D$17="Type 4 e",MAX(SA,N10),IF('Pre-Calculation'!$D$17="Type 4 f",SA,IF('Pre-Calculation'!$D$17="Type 4 g",1000+N10,IF('Pre-Calculation'!$D$17="Type 4 h",SA+V10,IF('Pre-Calculation'!$D$17="Type 4 i",MAX(N10,Q10),IF('Pre-Calculation'!$D$17="Type 4 k",MAX(N10,1.01*Q10),IF('Pre-Calculation'!$D$17="Type 4 m",MAX(105%*Q10,SA+N10),IF('Pre-Calculation'!$D$17="Type 4 o",MAX(SA,105%*Q10)+V10+X10,IF('Pre-Calculation'!$D$17="Type 5",0))))))))))))</f>
        <v>1000000</v>
      </c>
      <c r="Q10" s="175">
        <f t="shared" si="5"/>
        <v>600000</v>
      </c>
      <c r="R10" s="119">
        <f>L10*(1+GROWTH_RATE)*FMC</f>
        <v>855.4194869</v>
      </c>
      <c r="S10" s="112"/>
      <c r="T10" s="175">
        <f>-E10+IF(A9=INPUT!$C$11*12,N10,0)</f>
        <v>0</v>
      </c>
      <c r="U10" s="171"/>
      <c r="V10" s="179">
        <f t="array" ref="V10">NPV('Pre-Calculation'!$E$20,$E11:E$246)</f>
        <v>344499.2084</v>
      </c>
      <c r="W10" s="171">
        <f>10%*SA</f>
        <v>100000</v>
      </c>
      <c r="X10" s="179">
        <f t="array" ref="X10">NPV('Pre-Calculation'!$E$20,W11:W20)</f>
        <v>969592.8037</v>
      </c>
      <c r="Y10" s="12"/>
      <c r="Z10" s="12"/>
    </row>
    <row r="11">
      <c r="A11" s="171">
        <f t="shared" si="1"/>
        <v>65</v>
      </c>
      <c r="B11" s="171">
        <f t="shared" si="2"/>
        <v>6</v>
      </c>
      <c r="C11" s="176">
        <f>EDATE(RCD,A10)</f>
        <v>44499</v>
      </c>
      <c r="D11" s="171">
        <f>Age_At_Entry+'Cashflows_Bond Fund'!B11-1</f>
        <v>40</v>
      </c>
      <c r="E11" s="175">
        <f>IF(AND(C11&lt;=Last_Prem,MOD(A10,Mode)=0,C11&gt;INPUT!$C$13,A11&lt;=Revival!$C$11),Mod_Prem,0)</f>
        <v>0</v>
      </c>
      <c r="F11" s="177">
        <f>E11*VLOOKUP(B11,'Pre-Calculation'!$H$1:$I$31,2,FALSE)</f>
        <v>0</v>
      </c>
      <c r="G11" s="177">
        <f>IF(B11&lt;PT+1,VLOOKUP(B11,'Pre-Calculation'!$H$1:$L$32,3,FALSE)+VLOOKUP(B11,'Pre-Calculation'!$H$1:$L$32,4,FALSE)*'Pre-Calculation'!$D$7,0)</f>
        <v>830</v>
      </c>
      <c r="H11" s="175">
        <f>(E11-(F11+G11)*(1+Tax)+N10)</f>
        <v>758302.8723</v>
      </c>
      <c r="I11" s="175">
        <f>IF(B11&lt;PT+1,VLOOKUP(D11,'Pre-Calculation'!$N$3:$P$79,IF(INPUT!$C$4="M",2,3),FALSE)*(J11/1000)*(1/12),0)</f>
        <v>36.30492273</v>
      </c>
      <c r="J11" s="175">
        <f t="shared" si="3"/>
        <v>241697.1277</v>
      </c>
      <c r="K11" s="175">
        <f>(IF('Pre-Calculation'!$D$17="Type 4 a",MAX(SA,H11,1.05*Q11),IF('Pre-Calculation'!$D$17="Type 4 c",H11,IF('Pre-Calculation'!$D$17="Type 4 d",SA+H11,IF('Pre-Calculation'!$D$17="Type 4 e",MAX(SA,H11),IF('Pre-Calculation'!$D$17="Type 4 f",SA,IF('Pre-Calculation'!$D$17="Type 4 g",1000+H11,IF('Pre-Calculation'!$D$17="Type 4 h",SA+V11,IF('Pre-Calculation'!$D$17="Type 4 i",MAX(H11,Q11),IF('Pre-Calculation'!$D$17="Type 4 k",MAX(H11,1.01*Q11),IF('Pre-Calculation'!$D$17="Type 4 m",MAX(105%*Q11,SA+H11),IF('Pre-Calculation'!$D$17="Type 4 o",MAX(SA,105%*Q11)+V11+X11,IF('Pre-Calculation'!$D$17="Type 5",0)))))))))))))*IF(AND(A11&lt;Revival!$C$4,C11&gt;=Revival!$D$12),PUP,1)</f>
        <v>1000000</v>
      </c>
      <c r="L11" s="175">
        <f>H11-I11*(1+Tax)</f>
        <v>758260.0325</v>
      </c>
      <c r="M11" s="175">
        <f>L11*(1+'Pre-Calculation'!$E$28)*(1-'Pre-Calculation'!$E$29*(1+Tax))</f>
        <v>761629.7163</v>
      </c>
      <c r="N11" s="175">
        <f>M11+IF(MOD(A11,B11)=0,VLOOKUP(B11,'Pre-Calculation'!$H$1:$L$31,5,FALSE),0)*IF('Pre-Calculation'!$D$16="% OF FV",M11,IF(OR('Pre-Calculation'!$D$16="% OF AFV(24M)",'Pre-Calculation'!$D$16="% OF AFV(8Q)"),AVERAGE( $M$7:$M11),IF('Pre-Calculation'!$D$16="% OF AFV(12M)",AVERAGE($M$7:M11),IF('Pre-Calculation'!$D$16="% OF AFV(36M)",AVERAGE($M$7:M11)))))</f>
        <v>761629.7163</v>
      </c>
      <c r="O11" s="175">
        <f t="shared" si="4"/>
        <v>761629.7163</v>
      </c>
      <c r="P11" s="175">
        <f>IF('Pre-Calculation'!$D$17="Type 4 a",MAX(SA,N11,1.05*Q11),IF('Pre-Calculation'!$D$17="Type 4 c",N11,IF('Pre-Calculation'!$D$17="Type 4 d",SA+N11,IF('Pre-Calculation'!$D$17="Type 4 e",MAX(SA,N11),IF('Pre-Calculation'!$D$17="Type 4 f",SA,IF('Pre-Calculation'!$D$17="Type 4 g",1000+N11,IF('Pre-Calculation'!$D$17="Type 4 h",SA+V11,IF('Pre-Calculation'!$D$17="Type 4 i",MAX(N11,Q11),IF('Pre-Calculation'!$D$17="Type 4 k",MAX(N11,1.01*Q11),IF('Pre-Calculation'!$D$17="Type 4 m",MAX(105%*Q11,SA+N11),IF('Pre-Calculation'!$D$17="Type 4 o",MAX(SA,105%*Q11)+V11+X11,IF('Pre-Calculation'!$D$17="Type 5",0))))))))))))</f>
        <v>1000000</v>
      </c>
      <c r="Q11" s="175">
        <f t="shared" si="5"/>
        <v>600000</v>
      </c>
      <c r="R11" s="119">
        <f>L11*(1+GROWTH_RATE)*FMC</f>
        <v>858.0641547</v>
      </c>
      <c r="S11" s="112"/>
      <c r="T11" s="175">
        <f>-E11+IF(A10=INPUT!$C$11*12,N11,0)</f>
        <v>0</v>
      </c>
      <c r="U11" s="112"/>
      <c r="V11" s="179">
        <f t="array" ref="V11">NPV('Pre-Calculation'!$E$20,$E12:E$246)</f>
        <v>346447.057</v>
      </c>
      <c r="W11" s="171">
        <f>10%*SA</f>
        <v>100000</v>
      </c>
      <c r="X11" s="179">
        <f t="array" ref="X11">NPV('Pre-Calculation'!$E$20,W12:W21)</f>
        <v>969592.8037</v>
      </c>
      <c r="Y11" s="12"/>
      <c r="Z11" s="12"/>
    </row>
    <row r="12">
      <c r="A12" s="171">
        <f t="shared" si="1"/>
        <v>66</v>
      </c>
      <c r="B12" s="171">
        <f t="shared" si="2"/>
        <v>6</v>
      </c>
      <c r="C12" s="176">
        <f>EDATE(RCD,A11)</f>
        <v>44530</v>
      </c>
      <c r="D12" s="171">
        <f>Age_At_Entry+'Cashflows_Bond Fund'!B12-1</f>
        <v>40</v>
      </c>
      <c r="E12" s="175">
        <f>IF(AND(C12&lt;=Last_Prem,MOD(A11,Mode)=0,C12&gt;INPUT!$C$13,A12&lt;=Revival!$C$11),Mod_Prem,0)</f>
        <v>0</v>
      </c>
      <c r="F12" s="177">
        <f>E12*VLOOKUP(B12,'Pre-Calculation'!$H$1:$I$31,2,FALSE)</f>
        <v>0</v>
      </c>
      <c r="G12" s="177">
        <f>IF(B12&lt;PT+1,VLOOKUP(B12,'Pre-Calculation'!$H$1:$L$32,3,FALSE)+VLOOKUP(B12,'Pre-Calculation'!$H$1:$L$32,4,FALSE)*'Pre-Calculation'!$D$7,0)</f>
        <v>830</v>
      </c>
      <c r="H12" s="175">
        <f>(E12-(F12+G12)*(1+Tax)+N11)</f>
        <v>760650.3163</v>
      </c>
      <c r="I12" s="175">
        <f>IF(B12&lt;PT+1,VLOOKUP(D12,'Pre-Calculation'!$N$3:$P$79,IF(INPUT!$C$4="M",2,3),FALSE)*(J12/1000)*(1/12),0)</f>
        <v>35.95231707</v>
      </c>
      <c r="J12" s="175">
        <f t="shared" si="3"/>
        <v>239349.6837</v>
      </c>
      <c r="K12" s="175">
        <f>(IF('Pre-Calculation'!$D$17="Type 4 a",MAX(SA,H12,1.05*Q12),IF('Pre-Calculation'!$D$17="Type 4 c",H12,IF('Pre-Calculation'!$D$17="Type 4 d",SA+H12,IF('Pre-Calculation'!$D$17="Type 4 e",MAX(SA,H12),IF('Pre-Calculation'!$D$17="Type 4 f",SA,IF('Pre-Calculation'!$D$17="Type 4 g",1000+H12,IF('Pre-Calculation'!$D$17="Type 4 h",SA+V12,IF('Pre-Calculation'!$D$17="Type 4 i",MAX(H12,Q12),IF('Pre-Calculation'!$D$17="Type 4 k",MAX(H12,1.01*Q12),IF('Pre-Calculation'!$D$17="Type 4 m",MAX(105%*Q12,SA+H12),IF('Pre-Calculation'!$D$17="Type 4 o",MAX(SA,105%*Q12)+V12+X12,IF('Pre-Calculation'!$D$17="Type 5",0)))))))))))))*IF(AND(A12&lt;Revival!$C$4,C12&gt;=Revival!$D$12),PUP,1)</f>
        <v>1000000</v>
      </c>
      <c r="L12" s="175">
        <f>H12-I12*(1+Tax)</f>
        <v>760607.8926</v>
      </c>
      <c r="M12" s="175">
        <f>L12*(1+'Pre-Calculation'!$E$28)*(1-'Pre-Calculation'!$E$29*(1+Tax))</f>
        <v>763988.0103</v>
      </c>
      <c r="N12" s="175">
        <f>M12+IF(MOD(A12,B12)=0,VLOOKUP(B12,'Pre-Calculation'!$H$1:$L$31,5,FALSE),0)*IF('Pre-Calculation'!$D$16="% OF FV",M12,IF(OR('Pre-Calculation'!$D$16="% OF AFV(24M)",'Pre-Calculation'!$D$16="% OF AFV(8Q)"),AVERAGE( $M$7:$M12),IF('Pre-Calculation'!$D$16="% OF AFV(12M)",AVERAGE($M$7:M12),IF('Pre-Calculation'!$D$16="% OF AFV(36M)",AVERAGE($M$7:M12)))))</f>
        <v>763988.0103</v>
      </c>
      <c r="O12" s="175">
        <f t="shared" si="4"/>
        <v>763988.0103</v>
      </c>
      <c r="P12" s="175">
        <f>IF('Pre-Calculation'!$D$17="Type 4 a",MAX(SA,N12,1.05*Q12),IF('Pre-Calculation'!$D$17="Type 4 c",N12,IF('Pre-Calculation'!$D$17="Type 4 d",SA+N12,IF('Pre-Calculation'!$D$17="Type 4 e",MAX(SA,N12),IF('Pre-Calculation'!$D$17="Type 4 f",SA,IF('Pre-Calculation'!$D$17="Type 4 g",1000+N12,IF('Pre-Calculation'!$D$17="Type 4 h",SA+V12,IF('Pre-Calculation'!$D$17="Type 4 i",MAX(N12,Q12),IF('Pre-Calculation'!$D$17="Type 4 k",MAX(N12,1.01*Q12),IF('Pre-Calculation'!$D$17="Type 4 m",MAX(105%*Q12,SA+N12),IF('Pre-Calculation'!$D$17="Type 4 o",MAX(SA,105%*Q12)+V12+X12,IF('Pre-Calculation'!$D$17="Type 5",0))))))))))))</f>
        <v>1000000</v>
      </c>
      <c r="Q12" s="175">
        <f t="shared" si="5"/>
        <v>600000</v>
      </c>
      <c r="R12" s="119">
        <f>L12*(1+GROWTH_RATE)*FMC</f>
        <v>860.7210462</v>
      </c>
      <c r="S12" s="112"/>
      <c r="T12" s="175">
        <f>-E12+IF(A11=INPUT!$C$11*12,N12,0)</f>
        <v>0</v>
      </c>
      <c r="U12" s="112"/>
      <c r="V12" s="179">
        <f t="array" ref="V12">NPV('Pre-Calculation'!$E$20,$E13:E$246)</f>
        <v>348405.9191</v>
      </c>
      <c r="W12" s="171">
        <f>10%*SA</f>
        <v>100000</v>
      </c>
      <c r="X12" s="179">
        <f t="array" ref="X12">NPV('Pre-Calculation'!$E$20,W13:W22)</f>
        <v>969592.8037</v>
      </c>
      <c r="Y12" s="12"/>
      <c r="Z12" s="12"/>
    </row>
    <row r="13">
      <c r="A13" s="171">
        <f t="shared" si="1"/>
        <v>67</v>
      </c>
      <c r="B13" s="171">
        <f t="shared" si="2"/>
        <v>6</v>
      </c>
      <c r="C13" s="176">
        <f>EDATE(RCD,A12)</f>
        <v>44560</v>
      </c>
      <c r="D13" s="171">
        <f>Age_At_Entry+'Cashflows_Bond Fund'!B13-1</f>
        <v>40</v>
      </c>
      <c r="E13" s="175">
        <f>IF(AND(C13&lt;=Last_Prem,MOD(A12,Mode)=0,C13&gt;INPUT!$C$13,A13&lt;=Revival!$C$11),Mod_Prem,0)</f>
        <v>0</v>
      </c>
      <c r="F13" s="177">
        <f>E13*VLOOKUP(B13,'Pre-Calculation'!$H$1:$I$31,2,FALSE)</f>
        <v>0</v>
      </c>
      <c r="G13" s="177">
        <f>IF(B13&lt;PT+1,VLOOKUP(B13,'Pre-Calculation'!$H$1:$L$32,3,FALSE)+VLOOKUP(B13,'Pre-Calculation'!$H$1:$L$32,4,FALSE)*'Pre-Calculation'!$D$7,0)</f>
        <v>830</v>
      </c>
      <c r="H13" s="175">
        <f>(E13-(F13+G13)*(1+Tax)+N12)</f>
        <v>763008.6103</v>
      </c>
      <c r="I13" s="175">
        <f>IF(B13&lt;PT+1,VLOOKUP(D13,'Pre-Calculation'!$N$3:$P$79,IF(INPUT!$C$4="M",2,3),FALSE)*(J13/1000)*(1/12),0)</f>
        <v>35.59808166</v>
      </c>
      <c r="J13" s="175">
        <f t="shared" si="3"/>
        <v>236991.3897</v>
      </c>
      <c r="K13" s="175">
        <f>(IF('Pre-Calculation'!$D$17="Type 4 a",MAX(SA,H13,1.05*Q13),IF('Pre-Calculation'!$D$17="Type 4 c",H13,IF('Pre-Calculation'!$D$17="Type 4 d",SA+H13,IF('Pre-Calculation'!$D$17="Type 4 e",MAX(SA,H13),IF('Pre-Calculation'!$D$17="Type 4 f",SA,IF('Pre-Calculation'!$D$17="Type 4 g",1000+H13,IF('Pre-Calculation'!$D$17="Type 4 h",SA+V13,IF('Pre-Calculation'!$D$17="Type 4 i",MAX(H13,Q13),IF('Pre-Calculation'!$D$17="Type 4 k",MAX(H13,1.01*Q13),IF('Pre-Calculation'!$D$17="Type 4 m",MAX(105%*Q13,SA+H13),IF('Pre-Calculation'!$D$17="Type 4 o",MAX(SA,105%*Q13)+V13+X13,IF('Pre-Calculation'!$D$17="Type 5",0)))))))))))))*IF(AND(A13&lt;Revival!$C$4,C13&gt;=Revival!$D$12),PUP,1)</f>
        <v>1000000</v>
      </c>
      <c r="L13" s="175">
        <f>H13-I13*(1+Tax)</f>
        <v>762966.6046</v>
      </c>
      <c r="M13" s="175">
        <f>L13*(1+'Pre-Calculation'!$E$28)*(1-'Pre-Calculation'!$E$29*(1+Tax))</f>
        <v>766357.2043</v>
      </c>
      <c r="N13" s="175">
        <f>M13+IF(MOD(A13,B13)=0,VLOOKUP(B13,'Pre-Calculation'!$H$1:$L$31,5,FALSE),0)*IF('Pre-Calculation'!$D$16="% OF FV",M13,IF(OR('Pre-Calculation'!$D$16="% OF AFV(24M)",'Pre-Calculation'!$D$16="% OF AFV(8Q)"),AVERAGE( $M$7:$M13),IF('Pre-Calculation'!$D$16="% OF AFV(12M)",AVERAGE($M$7:M13),IF('Pre-Calculation'!$D$16="% OF AFV(36M)",AVERAGE($M$7:M13)))))</f>
        <v>766357.2043</v>
      </c>
      <c r="O13" s="175">
        <f t="shared" si="4"/>
        <v>766357.2043</v>
      </c>
      <c r="P13" s="175">
        <f>IF('Pre-Calculation'!$D$17="Type 4 a",MAX(SA,N13,1.05*Q13),IF('Pre-Calculation'!$D$17="Type 4 c",N13,IF('Pre-Calculation'!$D$17="Type 4 d",SA+N13,IF('Pre-Calculation'!$D$17="Type 4 e",MAX(SA,N13),IF('Pre-Calculation'!$D$17="Type 4 f",SA,IF('Pre-Calculation'!$D$17="Type 4 g",1000+N13,IF('Pre-Calculation'!$D$17="Type 4 h",SA+V13,IF('Pre-Calculation'!$D$17="Type 4 i",MAX(N13,Q13),IF('Pre-Calculation'!$D$17="Type 4 k",MAX(N13,1.01*Q13),IF('Pre-Calculation'!$D$17="Type 4 m",MAX(105%*Q13,SA+N13),IF('Pre-Calculation'!$D$17="Type 4 o",MAX(SA,105%*Q13)+V13+X13,IF('Pre-Calculation'!$D$17="Type 5",0))))))))))))</f>
        <v>1000000</v>
      </c>
      <c r="Q13" s="175">
        <f t="shared" si="5"/>
        <v>600000</v>
      </c>
      <c r="R13" s="119">
        <f>L13*(1+GROWTH_RATE)*FMC</f>
        <v>863.3902179</v>
      </c>
      <c r="S13" s="112"/>
      <c r="T13" s="175">
        <f>-E13+IF(A12=INPUT!$C$11*12,N13,0)</f>
        <v>0</v>
      </c>
      <c r="U13" s="181"/>
      <c r="V13" s="179">
        <f t="array" ref="V13">NPV('Pre-Calculation'!$E$20,$E14:E$246)</f>
        <v>350375.8568</v>
      </c>
      <c r="W13" s="171">
        <f>10%*SA</f>
        <v>100000</v>
      </c>
      <c r="X13" s="179">
        <f t="array" ref="X13">NPV('Pre-Calculation'!$E$20,W14:W23)</f>
        <v>969592.8037</v>
      </c>
      <c r="Y13" s="12"/>
      <c r="Z13" s="12"/>
    </row>
    <row r="14">
      <c r="A14" s="171">
        <f t="shared" si="1"/>
        <v>68</v>
      </c>
      <c r="B14" s="171">
        <f t="shared" si="2"/>
        <v>6</v>
      </c>
      <c r="C14" s="176">
        <f>EDATE(RCD,A13)</f>
        <v>44591</v>
      </c>
      <c r="D14" s="171">
        <f>Age_At_Entry+'Cashflows_Bond Fund'!B14-1</f>
        <v>40</v>
      </c>
      <c r="E14" s="175">
        <f>IF(AND(C14&lt;=Last_Prem,MOD(A13,Mode)=0,C14&gt;INPUT!$C$13,A14&lt;=Revival!$C$11),Mod_Prem,0)</f>
        <v>0</v>
      </c>
      <c r="F14" s="177">
        <f>E14*VLOOKUP(B14,'Pre-Calculation'!$H$1:$I$31,2,FALSE)</f>
        <v>0</v>
      </c>
      <c r="G14" s="177">
        <f>IF(B14&lt;PT+1,VLOOKUP(B14,'Pre-Calculation'!$H$1:$L$32,3,FALSE)+VLOOKUP(B14,'Pre-Calculation'!$H$1:$L$32,4,FALSE)*'Pre-Calculation'!$D$7,0)</f>
        <v>830</v>
      </c>
      <c r="H14" s="175">
        <f>(E14-(F14+G14)*(1+Tax)+N13)</f>
        <v>765377.8043</v>
      </c>
      <c r="I14" s="175">
        <f>IF(B14&lt;PT+1,VLOOKUP(D14,'Pre-Calculation'!$N$3:$P$79,IF(INPUT!$C$4="M",2,3),FALSE)*(J14/1000)*(1/12),0)</f>
        <v>35.24220898</v>
      </c>
      <c r="J14" s="175">
        <f t="shared" si="3"/>
        <v>234622.1957</v>
      </c>
      <c r="K14" s="175">
        <f>(IF('Pre-Calculation'!$D$17="Type 4 a",MAX(SA,H14,1.05*Q14),IF('Pre-Calculation'!$D$17="Type 4 c",H14,IF('Pre-Calculation'!$D$17="Type 4 d",SA+H14,IF('Pre-Calculation'!$D$17="Type 4 e",MAX(SA,H14),IF('Pre-Calculation'!$D$17="Type 4 f",SA,IF('Pre-Calculation'!$D$17="Type 4 g",1000+H14,IF('Pre-Calculation'!$D$17="Type 4 h",SA+V14,IF('Pre-Calculation'!$D$17="Type 4 i",MAX(H14,Q14),IF('Pre-Calculation'!$D$17="Type 4 k",MAX(H14,1.01*Q14),IF('Pre-Calculation'!$D$17="Type 4 m",MAX(105%*Q14,SA+H14),IF('Pre-Calculation'!$D$17="Type 4 o",MAX(SA,105%*Q14)+V14+X14,IF('Pre-Calculation'!$D$17="Type 5",0)))))))))))))*IF(AND(A14&lt;Revival!$C$4,C14&gt;=Revival!$D$12),PUP,1)</f>
        <v>1000000</v>
      </c>
      <c r="L14" s="175">
        <f>H14-I14*(1+Tax)</f>
        <v>765336.2185</v>
      </c>
      <c r="M14" s="175">
        <f>L14*(1+'Pre-Calculation'!$E$28)*(1-'Pre-Calculation'!$E$29*(1+Tax))</f>
        <v>768737.3487</v>
      </c>
      <c r="N14" s="175">
        <f>M14+IF(MOD(A14,B14)=0,VLOOKUP(B14,'Pre-Calculation'!$H$1:$L$31,5,FALSE),0)*IF('Pre-Calculation'!$D$16="% OF FV",M14,IF(OR('Pre-Calculation'!$D$16="% OF AFV(24M)",'Pre-Calculation'!$D$16="% OF AFV(8Q)"),AVERAGE( $M$7:$M14),IF('Pre-Calculation'!$D$16="% OF AFV(12M)",AVERAGE($M$7:M14),IF('Pre-Calculation'!$D$16="% OF AFV(36M)",AVERAGE($M$7:M14)))))</f>
        <v>768737.3487</v>
      </c>
      <c r="O14" s="175">
        <f t="shared" si="4"/>
        <v>768737.3487</v>
      </c>
      <c r="P14" s="175">
        <f>IF('Pre-Calculation'!$D$17="Type 4 a",MAX(SA,N14,1.05*Q14),IF('Pre-Calculation'!$D$17="Type 4 c",N14,IF('Pre-Calculation'!$D$17="Type 4 d",SA+N14,IF('Pre-Calculation'!$D$17="Type 4 e",MAX(SA,N14),IF('Pre-Calculation'!$D$17="Type 4 f",SA,IF('Pre-Calculation'!$D$17="Type 4 g",1000+N14,IF('Pre-Calculation'!$D$17="Type 4 h",SA+V14,IF('Pre-Calculation'!$D$17="Type 4 i",MAX(N14,Q14),IF('Pre-Calculation'!$D$17="Type 4 k",MAX(N14,1.01*Q14),IF('Pre-Calculation'!$D$17="Type 4 m",MAX(105%*Q14,SA+N14),IF('Pre-Calculation'!$D$17="Type 4 o",MAX(SA,105%*Q14)+V14+X14,IF('Pre-Calculation'!$D$17="Type 5",0))))))))))))</f>
        <v>1000000</v>
      </c>
      <c r="Q14" s="175">
        <f t="shared" si="5"/>
        <v>600000</v>
      </c>
      <c r="R14" s="119">
        <f>L14*(1+GROWTH_RATE)*FMC</f>
        <v>866.0717264</v>
      </c>
      <c r="S14" s="112"/>
      <c r="T14" s="175">
        <f>-E14+IF(A13=INPUT!$C$11*12,N14,0)</f>
        <v>0</v>
      </c>
      <c r="U14" s="181"/>
      <c r="V14" s="179">
        <f t="array" ref="V14">NPV('Pre-Calculation'!$E$20,$E15:E$246)</f>
        <v>352356.9328</v>
      </c>
      <c r="W14" s="171">
        <f>10%*SA</f>
        <v>100000</v>
      </c>
      <c r="X14" s="179">
        <f t="array" ref="X14">NPV('Pre-Calculation'!$E$20,W15:W24)</f>
        <v>969592.8037</v>
      </c>
      <c r="Y14" s="12"/>
      <c r="Z14" s="12"/>
    </row>
    <row r="15">
      <c r="A15" s="171">
        <f t="shared" si="1"/>
        <v>69</v>
      </c>
      <c r="B15" s="171">
        <f t="shared" si="2"/>
        <v>6</v>
      </c>
      <c r="C15" s="176">
        <f>EDATE(RCD,A14)</f>
        <v>44620</v>
      </c>
      <c r="D15" s="171">
        <f>Age_At_Entry+'Cashflows_Bond Fund'!B15-1</f>
        <v>40</v>
      </c>
      <c r="E15" s="175">
        <f>IF(AND(C15&lt;=Last_Prem,MOD(A14,Mode)=0,C15&gt;INPUT!$C$13,A15&lt;=Revival!$C$11),Mod_Prem,0)</f>
        <v>0</v>
      </c>
      <c r="F15" s="177">
        <f>E15*VLOOKUP(B15,'Pre-Calculation'!$H$1:$I$31,2,FALSE)</f>
        <v>0</v>
      </c>
      <c r="G15" s="177">
        <f>IF(B15&lt;PT+1,VLOOKUP(B15,'Pre-Calculation'!$H$1:$L$32,3,FALSE)+VLOOKUP(B15,'Pre-Calculation'!$H$1:$L$32,4,FALSE)*'Pre-Calculation'!$D$7,0)</f>
        <v>830</v>
      </c>
      <c r="H15" s="175">
        <f>(E15-(F15+G15)*(1+Tax)+N14)</f>
        <v>767757.9487</v>
      </c>
      <c r="I15" s="175">
        <f>IF(B15&lt;PT+1,VLOOKUP(D15,'Pre-Calculation'!$N$3:$P$79,IF(INPUT!$C$4="M",2,3),FALSE)*(J15/1000)*(1/12),0)</f>
        <v>34.88469145</v>
      </c>
      <c r="J15" s="175">
        <f t="shared" si="3"/>
        <v>232242.0513</v>
      </c>
      <c r="K15" s="175">
        <f>(IF('Pre-Calculation'!$D$17="Type 4 a",MAX(SA,H15,1.05*Q15),IF('Pre-Calculation'!$D$17="Type 4 c",H15,IF('Pre-Calculation'!$D$17="Type 4 d",SA+H15,IF('Pre-Calculation'!$D$17="Type 4 e",MAX(SA,H15),IF('Pre-Calculation'!$D$17="Type 4 f",SA,IF('Pre-Calculation'!$D$17="Type 4 g",1000+H15,IF('Pre-Calculation'!$D$17="Type 4 h",SA+V15,IF('Pre-Calculation'!$D$17="Type 4 i",MAX(H15,Q15),IF('Pre-Calculation'!$D$17="Type 4 k",MAX(H15,1.01*Q15),IF('Pre-Calculation'!$D$17="Type 4 m",MAX(105%*Q15,SA+H15),IF('Pre-Calculation'!$D$17="Type 4 o",MAX(SA,105%*Q15)+V15+X15,IF('Pre-Calculation'!$D$17="Type 5",0)))))))))))))*IF(AND(A15&lt;Revival!$C$4,C15&gt;=Revival!$D$12),PUP,1)</f>
        <v>1000000</v>
      </c>
      <c r="L15" s="175">
        <f>H15-I15*(1+Tax)</f>
        <v>767716.7848</v>
      </c>
      <c r="M15" s="175">
        <f>L15*(1+'Pre-Calculation'!$E$28)*(1-'Pre-Calculation'!$E$29*(1+Tax))</f>
        <v>771128.4942</v>
      </c>
      <c r="N15" s="175">
        <f>M15+IF(MOD(A15,B15)=0,VLOOKUP(B15,'Pre-Calculation'!$H$1:$L$31,5,FALSE),0)*IF('Pre-Calculation'!$D$16="% OF FV",M15,IF(OR('Pre-Calculation'!$D$16="% OF AFV(24M)",'Pre-Calculation'!$D$16="% OF AFV(8Q)"),AVERAGE( $M$7:$M15),IF('Pre-Calculation'!$D$16="% OF AFV(12M)",AVERAGE($M$7:M15),IF('Pre-Calculation'!$D$16="% OF AFV(36M)",AVERAGE($M$7:M15)))))</f>
        <v>771128.4942</v>
      </c>
      <c r="O15" s="175">
        <f t="shared" si="4"/>
        <v>771128.4942</v>
      </c>
      <c r="P15" s="175">
        <f>IF('Pre-Calculation'!$D$17="Type 4 a",MAX(SA,N15,1.05*Q15),IF('Pre-Calculation'!$D$17="Type 4 c",N15,IF('Pre-Calculation'!$D$17="Type 4 d",SA+N15,IF('Pre-Calculation'!$D$17="Type 4 e",MAX(SA,N15),IF('Pre-Calculation'!$D$17="Type 4 f",SA,IF('Pre-Calculation'!$D$17="Type 4 g",1000+N15,IF('Pre-Calculation'!$D$17="Type 4 h",SA+V15,IF('Pre-Calculation'!$D$17="Type 4 i",MAX(N15,Q15),IF('Pre-Calculation'!$D$17="Type 4 k",MAX(N15,1.01*Q15),IF('Pre-Calculation'!$D$17="Type 4 m",MAX(105%*Q15,SA+N15),IF('Pre-Calculation'!$D$17="Type 4 o",MAX(SA,105%*Q15)+V15+X15,IF('Pre-Calculation'!$D$17="Type 5",0))))))))))))</f>
        <v>1000000</v>
      </c>
      <c r="Q15" s="175">
        <f t="shared" si="5"/>
        <v>600000</v>
      </c>
      <c r="R15" s="119">
        <f>L15*(1+GROWTH_RATE)*FMC</f>
        <v>868.7656289</v>
      </c>
      <c r="S15" s="112"/>
      <c r="T15" s="175">
        <f>-E15+IF(A14=INPUT!$C$11*12,N15,0)</f>
        <v>0</v>
      </c>
      <c r="U15" s="181"/>
      <c r="V15" s="179">
        <f t="array" ref="V15">NPV('Pre-Calculation'!$E$20,$E16:E$246)</f>
        <v>354349.2102</v>
      </c>
      <c r="W15" s="171">
        <f>10%*SA</f>
        <v>100000</v>
      </c>
      <c r="X15" s="179">
        <f t="array" ref="X15">NPV('Pre-Calculation'!$E$20,W16:W25)</f>
        <v>969592.8037</v>
      </c>
      <c r="Y15" s="12"/>
      <c r="Z15" s="12"/>
    </row>
    <row r="16">
      <c r="A16" s="171">
        <f t="shared" si="1"/>
        <v>70</v>
      </c>
      <c r="B16" s="171">
        <f t="shared" si="2"/>
        <v>6</v>
      </c>
      <c r="C16" s="176">
        <f>EDATE(RCD,A15)</f>
        <v>44650</v>
      </c>
      <c r="D16" s="171">
        <f>Age_At_Entry+'Cashflows_Bond Fund'!B16-1</f>
        <v>40</v>
      </c>
      <c r="E16" s="175">
        <f>IF(AND(C16&lt;=Last_Prem,MOD(A15,Mode)=0,C16&gt;INPUT!$C$13,A16&lt;=Revival!$C$11),Mod_Prem,0)</f>
        <v>0</v>
      </c>
      <c r="F16" s="177">
        <f>E16*VLOOKUP(B16,'Pre-Calculation'!$H$1:$I$31,2,FALSE)</f>
        <v>0</v>
      </c>
      <c r="G16" s="177">
        <f>IF(B16&lt;PT+1,VLOOKUP(B16,'Pre-Calculation'!$H$1:$L$32,3,FALSE)+VLOOKUP(B16,'Pre-Calculation'!$H$1:$L$32,4,FALSE)*'Pre-Calculation'!$D$7,0)</f>
        <v>830</v>
      </c>
      <c r="H16" s="175">
        <f>(E16-(F16+G16)*(1+Tax)+N15)</f>
        <v>770149.0942</v>
      </c>
      <c r="I16" s="175">
        <f>IF(B16&lt;PT+1,VLOOKUP(D16,'Pre-Calculation'!$N$3:$P$79,IF(INPUT!$C$4="M",2,3),FALSE)*(J16/1000)*(1/12),0)</f>
        <v>34.52552148</v>
      </c>
      <c r="J16" s="175">
        <f t="shared" si="3"/>
        <v>229850.9058</v>
      </c>
      <c r="K16" s="175">
        <f>(IF('Pre-Calculation'!$D$17="Type 4 a",MAX(SA,H16,1.05*Q16),IF('Pre-Calculation'!$D$17="Type 4 c",H16,IF('Pre-Calculation'!$D$17="Type 4 d",SA+H16,IF('Pre-Calculation'!$D$17="Type 4 e",MAX(SA,H16),IF('Pre-Calculation'!$D$17="Type 4 f",SA,IF('Pre-Calculation'!$D$17="Type 4 g",1000+H16,IF('Pre-Calculation'!$D$17="Type 4 h",SA+V16,IF('Pre-Calculation'!$D$17="Type 4 i",MAX(H16,Q16),IF('Pre-Calculation'!$D$17="Type 4 k",MAX(H16,1.01*Q16),IF('Pre-Calculation'!$D$17="Type 4 m",MAX(105%*Q16,SA+H16),IF('Pre-Calculation'!$D$17="Type 4 o",MAX(SA,105%*Q16)+V16+X16,IF('Pre-Calculation'!$D$17="Type 5",0)))))))))))))*IF(AND(A16&lt;Revival!$C$4,C16&gt;=Revival!$D$12),PUP,1)</f>
        <v>1000000</v>
      </c>
      <c r="L16" s="175">
        <f>H16-I16*(1+Tax)</f>
        <v>770108.3541</v>
      </c>
      <c r="M16" s="175">
        <f>L16*(1+'Pre-Calculation'!$E$28)*(1-'Pre-Calculation'!$E$29*(1+Tax))</f>
        <v>773530.6915</v>
      </c>
      <c r="N16" s="175">
        <f>M16+IF(MOD(A16,B16)=0,VLOOKUP(B16,'Pre-Calculation'!$H$1:$L$31,5,FALSE),0)*IF('Pre-Calculation'!$D$16="% OF FV",M16,IF(OR('Pre-Calculation'!$D$16="% OF AFV(24M)",'Pre-Calculation'!$D$16="% OF AFV(8Q)"),AVERAGE( $M$7:$M16),IF('Pre-Calculation'!$D$16="% OF AFV(12M)",AVERAGE($M$7:M16),IF('Pre-Calculation'!$D$16="% OF AFV(36M)",AVERAGE($M$7:M16)))))</f>
        <v>773530.6915</v>
      </c>
      <c r="O16" s="175">
        <f t="shared" si="4"/>
        <v>773530.6915</v>
      </c>
      <c r="P16" s="175">
        <f>IF('Pre-Calculation'!$D$17="Type 4 a",MAX(SA,N16,1.05*Q16),IF('Pre-Calculation'!$D$17="Type 4 c",N16,IF('Pre-Calculation'!$D$17="Type 4 d",SA+N16,IF('Pre-Calculation'!$D$17="Type 4 e",MAX(SA,N16),IF('Pre-Calculation'!$D$17="Type 4 f",SA,IF('Pre-Calculation'!$D$17="Type 4 g",1000+N16,IF('Pre-Calculation'!$D$17="Type 4 h",SA+V16,IF('Pre-Calculation'!$D$17="Type 4 i",MAX(N16,Q16),IF('Pre-Calculation'!$D$17="Type 4 k",MAX(N16,1.01*Q16),IF('Pre-Calculation'!$D$17="Type 4 m",MAX(105%*Q16,SA+N16),IF('Pre-Calculation'!$D$17="Type 4 o",MAX(SA,105%*Q16)+V16+X16,IF('Pre-Calculation'!$D$17="Type 5",0))))))))))))</f>
        <v>1000000</v>
      </c>
      <c r="Q16" s="175">
        <f t="shared" si="5"/>
        <v>600000</v>
      </c>
      <c r="R16" s="119">
        <f>L16*(1+GROWTH_RATE)*FMC</f>
        <v>871.4719827</v>
      </c>
      <c r="S16" s="112"/>
      <c r="T16" s="175">
        <f>-E16+IF(A15=INPUT!$C$11*12,N16,0)</f>
        <v>0</v>
      </c>
      <c r="U16" s="181"/>
      <c r="V16" s="179">
        <f t="array" ref="V16">NPV('Pre-Calculation'!$E$20,$E17:E$246)</f>
        <v>356352.7521</v>
      </c>
      <c r="W16" s="171">
        <f>10%*SA</f>
        <v>100000</v>
      </c>
      <c r="X16" s="179">
        <f t="array" ref="X16">NPV('Pre-Calculation'!$E$20,W17:W26)</f>
        <v>969592.8037</v>
      </c>
      <c r="Y16" s="12"/>
      <c r="Z16" s="12"/>
    </row>
    <row r="17">
      <c r="A17" s="171">
        <f t="shared" si="1"/>
        <v>71</v>
      </c>
      <c r="B17" s="171">
        <f t="shared" si="2"/>
        <v>6</v>
      </c>
      <c r="C17" s="176">
        <f>EDATE(RCD,A16)</f>
        <v>44681</v>
      </c>
      <c r="D17" s="171">
        <f>Age_At_Entry+'Cashflows_Bond Fund'!B17-1</f>
        <v>40</v>
      </c>
      <c r="E17" s="175">
        <f>IF(AND(C17&lt;=Last_Prem,MOD(A16,Mode)=0,C17&gt;INPUT!$C$13,A17&lt;=Revival!$C$11),Mod_Prem,0)</f>
        <v>0</v>
      </c>
      <c r="F17" s="177">
        <f>E17*VLOOKUP(B17,'Pre-Calculation'!$H$1:$I$31,2,FALSE)</f>
        <v>0</v>
      </c>
      <c r="G17" s="177">
        <f>IF(B17&lt;PT+1,VLOOKUP(B17,'Pre-Calculation'!$H$1:$L$32,3,FALSE)+VLOOKUP(B17,'Pre-Calculation'!$H$1:$L$32,4,FALSE)*'Pre-Calculation'!$D$7,0)</f>
        <v>830</v>
      </c>
      <c r="H17" s="175">
        <f>(E17-(F17+G17)*(1+Tax)+N16)</f>
        <v>772551.2915</v>
      </c>
      <c r="I17" s="175">
        <f>IF(B17&lt;PT+1,VLOOKUP(D17,'Pre-Calculation'!$N$3:$P$79,IF(INPUT!$C$4="M",2,3),FALSE)*(J17/1000)*(1/12),0)</f>
        <v>34.16469142</v>
      </c>
      <c r="J17" s="175">
        <f t="shared" si="3"/>
        <v>227448.7085</v>
      </c>
      <c r="K17" s="175">
        <f>(IF('Pre-Calculation'!$D$17="Type 4 a",MAX(SA,H17,1.05*Q17),IF('Pre-Calculation'!$D$17="Type 4 c",H17,IF('Pre-Calculation'!$D$17="Type 4 d",SA+H17,IF('Pre-Calculation'!$D$17="Type 4 e",MAX(SA,H17),IF('Pre-Calculation'!$D$17="Type 4 f",SA,IF('Pre-Calculation'!$D$17="Type 4 g",1000+H17,IF('Pre-Calculation'!$D$17="Type 4 h",SA+V17,IF('Pre-Calculation'!$D$17="Type 4 i",MAX(H17,Q17),IF('Pre-Calculation'!$D$17="Type 4 k",MAX(H17,1.01*Q17),IF('Pre-Calculation'!$D$17="Type 4 m",MAX(105%*Q17,SA+H17),IF('Pre-Calculation'!$D$17="Type 4 o",MAX(SA,105%*Q17)+V17+X17,IF('Pre-Calculation'!$D$17="Type 5",0)))))))))))))*IF(AND(A17&lt;Revival!$C$4,C17&gt;=Revival!$D$12),PUP,1)</f>
        <v>1000000</v>
      </c>
      <c r="L17" s="175">
        <f>H17-I17*(1+Tax)</f>
        <v>772510.9772</v>
      </c>
      <c r="M17" s="175">
        <f>L17*(1+'Pre-Calculation'!$E$28)*(1-'Pre-Calculation'!$E$29*(1+Tax))</f>
        <v>775943.9918</v>
      </c>
      <c r="N17" s="175">
        <f>M17+IF(MOD(A17,B17)=0,VLOOKUP(B17,'Pre-Calculation'!$H$1:$L$31,5,FALSE),0)*IF('Pre-Calculation'!$D$16="% OF FV",M17,IF(OR('Pre-Calculation'!$D$16="% OF AFV(24M)",'Pre-Calculation'!$D$16="% OF AFV(8Q)"),AVERAGE( $M$7:$M17),IF('Pre-Calculation'!$D$16="% OF AFV(12M)",AVERAGE($M$7:M17),IF('Pre-Calculation'!$D$16="% OF AFV(36M)",AVERAGE($M$7:M17)))))</f>
        <v>775943.9918</v>
      </c>
      <c r="O17" s="175">
        <f t="shared" si="4"/>
        <v>775943.9918</v>
      </c>
      <c r="P17" s="175">
        <f>IF('Pre-Calculation'!$D$17="Type 4 a",MAX(SA,N17,1.05*Q17),IF('Pre-Calculation'!$D$17="Type 4 c",N17,IF('Pre-Calculation'!$D$17="Type 4 d",SA+N17,IF('Pre-Calculation'!$D$17="Type 4 e",MAX(SA,N17),IF('Pre-Calculation'!$D$17="Type 4 f",SA,IF('Pre-Calculation'!$D$17="Type 4 g",1000+N17,IF('Pre-Calculation'!$D$17="Type 4 h",SA+V17,IF('Pre-Calculation'!$D$17="Type 4 i",MAX(N17,Q17),IF('Pre-Calculation'!$D$17="Type 4 k",MAX(N17,1.01*Q17),IF('Pre-Calculation'!$D$17="Type 4 m",MAX(105%*Q17,SA+N17),IF('Pre-Calculation'!$D$17="Type 4 o",MAX(SA,105%*Q17)+V17+X17,IF('Pre-Calculation'!$D$17="Type 5",0))))))))))))</f>
        <v>1000000</v>
      </c>
      <c r="Q17" s="175">
        <f t="shared" si="5"/>
        <v>600000</v>
      </c>
      <c r="R17" s="119">
        <f>L17*(1+GROWTH_RATE)*FMC</f>
        <v>874.1908452</v>
      </c>
      <c r="S17" s="112"/>
      <c r="T17" s="175">
        <f>-E17+IF(A16=INPUT!$C$11*12,N17,0)</f>
        <v>0</v>
      </c>
      <c r="U17" s="181"/>
      <c r="V17" s="179">
        <f t="array" ref="V17">NPV('Pre-Calculation'!$E$20,$E18:E$246)</f>
        <v>358367.6224</v>
      </c>
      <c r="W17" s="171">
        <f>10%*SA</f>
        <v>100000</v>
      </c>
      <c r="X17" s="179">
        <f t="array" ref="X17">NPV('Pre-Calculation'!$E$20,W18:W27)</f>
        <v>969592.8037</v>
      </c>
      <c r="Y17" s="12"/>
      <c r="Z17" s="12"/>
    </row>
    <row r="18">
      <c r="A18" s="171">
        <f t="shared" si="1"/>
        <v>72</v>
      </c>
      <c r="B18" s="171">
        <f t="shared" si="2"/>
        <v>6</v>
      </c>
      <c r="C18" s="176">
        <f>EDATE(RCD,A17)</f>
        <v>44711</v>
      </c>
      <c r="D18" s="171">
        <f>Age_At_Entry+'Cashflows_Bond Fund'!B18-1</f>
        <v>40</v>
      </c>
      <c r="E18" s="175">
        <f>IF(AND(C18&lt;=Last_Prem,MOD(A17,Mode)=0,C18&gt;INPUT!$C$13,A18&lt;=Revival!$C$11),Mod_Prem,0)</f>
        <v>0</v>
      </c>
      <c r="F18" s="177">
        <f>E18*VLOOKUP(B18,'Pre-Calculation'!$H$1:$I$31,2,FALSE)</f>
        <v>0</v>
      </c>
      <c r="G18" s="177">
        <f>IF(B18&lt;PT+1,VLOOKUP(B18,'Pre-Calculation'!$H$1:$L$32,3,FALSE)+VLOOKUP(B18,'Pre-Calculation'!$H$1:$L$32,4,FALSE)*'Pre-Calculation'!$D$7,0)</f>
        <v>830</v>
      </c>
      <c r="H18" s="175">
        <f>(E18-(F18+G18)*(1+Tax)+N17)</f>
        <v>774964.5918</v>
      </c>
      <c r="I18" s="175">
        <f>IF(B18&lt;PT+1,VLOOKUP(D18,'Pre-Calculation'!$N$3:$P$79,IF(INPUT!$C$4="M",2,3),FALSE)*(J18/1000)*(1/12),0)</f>
        <v>33.8021936</v>
      </c>
      <c r="J18" s="175">
        <f t="shared" si="3"/>
        <v>225035.4082</v>
      </c>
      <c r="K18" s="175">
        <f>(IF('Pre-Calculation'!$D$17="Type 4 a",MAX(SA,H18,1.05*Q18),IF('Pre-Calculation'!$D$17="Type 4 c",H18,IF('Pre-Calculation'!$D$17="Type 4 d",SA+H18,IF('Pre-Calculation'!$D$17="Type 4 e",MAX(SA,H18),IF('Pre-Calculation'!$D$17="Type 4 f",SA,IF('Pre-Calculation'!$D$17="Type 4 g",1000+H18,IF('Pre-Calculation'!$D$17="Type 4 h",SA+V18,IF('Pre-Calculation'!$D$17="Type 4 i",MAX(H18,Q18),IF('Pre-Calculation'!$D$17="Type 4 k",MAX(H18,1.01*Q18),IF('Pre-Calculation'!$D$17="Type 4 m",MAX(105%*Q18,SA+H18),IF('Pre-Calculation'!$D$17="Type 4 o",MAX(SA,105%*Q18)+V18+X18,IF('Pre-Calculation'!$D$17="Type 5",0)))))))))))))*IF(AND(A18&lt;Revival!$C$4,C18&gt;=Revival!$D$12),PUP,1)</f>
        <v>1000000</v>
      </c>
      <c r="L18" s="175">
        <f>H18-I18*(1+Tax)</f>
        <v>774924.7052</v>
      </c>
      <c r="M18" s="175">
        <f>L18*(1+'Pre-Calculation'!$E$28)*(1-'Pre-Calculation'!$E$29*(1+Tax))</f>
        <v>778368.4464</v>
      </c>
      <c r="N18" s="175">
        <f>M18+IF(MOD(A18,B18)=0,VLOOKUP(B18,'Pre-Calculation'!$H$1:$L$31,5,FALSE),0)*IF('Pre-Calculation'!$D$16="% OF FV",M18,IF(OR('Pre-Calculation'!$D$16="% OF AFV(24M)",'Pre-Calculation'!$D$16="% OF AFV(8Q)"),AVERAGE( $M$7:$M18),IF('Pre-Calculation'!$D$16="% OF AFV(12M)",AVERAGE($M7:M18),IF('Pre-Calculation'!$D$16="% OF AFV(36M)",AVERAGE($M$7:M18)))))</f>
        <v>778368.4464</v>
      </c>
      <c r="O18" s="175">
        <f t="shared" si="4"/>
        <v>778368.4464</v>
      </c>
      <c r="P18" s="175">
        <f>IF('Pre-Calculation'!$D$17="Type 4 a",MAX(SA,N18,1.05*Q18),IF('Pre-Calculation'!$D$17="Type 4 c",N18,IF('Pre-Calculation'!$D$17="Type 4 d",SA+N18,IF('Pre-Calculation'!$D$17="Type 4 e",MAX(SA,N18),IF('Pre-Calculation'!$D$17="Type 4 f",SA,IF('Pre-Calculation'!$D$17="Type 4 g",1000+N18,IF('Pre-Calculation'!$D$17="Type 4 h",SA+V18,IF('Pre-Calculation'!$D$17="Type 4 i",MAX(N18,Q18),IF('Pre-Calculation'!$D$17="Type 4 k",MAX(N18,1.01*Q18),IF('Pre-Calculation'!$D$17="Type 4 m",MAX(105%*Q18,SA+N18),IF('Pre-Calculation'!$D$17="Type 4 o",MAX(SA,105%*Q18)+V18+X18,IF('Pre-Calculation'!$D$17="Type 5",0))))))))))))</f>
        <v>1000000</v>
      </c>
      <c r="Q18" s="175">
        <f t="shared" si="5"/>
        <v>600000</v>
      </c>
      <c r="R18" s="119">
        <f>L18*(1+GROWTH_RATE)*FMC</f>
        <v>876.9222743</v>
      </c>
      <c r="S18" s="112"/>
      <c r="T18" s="175">
        <f>-E18+IF(A17=INPUT!$C$11*12,N18,0)</f>
        <v>0</v>
      </c>
      <c r="U18" s="181"/>
      <c r="V18" s="179">
        <f t="array" ref="V18">NPV('Pre-Calculation'!$E$20,$E19:E$246)</f>
        <v>360393.885</v>
      </c>
      <c r="W18" s="171">
        <f>10%*SA</f>
        <v>100000</v>
      </c>
      <c r="X18" s="179">
        <f t="array" ref="X18">NPV('Pre-Calculation'!$E$20,W19:W28)</f>
        <v>969592.8037</v>
      </c>
      <c r="Y18" s="12"/>
      <c r="Z18" s="12"/>
    </row>
    <row r="19">
      <c r="A19" s="171">
        <f t="shared" si="1"/>
        <v>73</v>
      </c>
      <c r="B19" s="171">
        <f t="shared" si="2"/>
        <v>7</v>
      </c>
      <c r="C19" s="176">
        <f>EDATE(RCD,A18)</f>
        <v>44742</v>
      </c>
      <c r="D19" s="171">
        <f>Age_At_Entry+'Cashflows_Bond Fund'!B19-1</f>
        <v>41</v>
      </c>
      <c r="E19" s="175">
        <f>IF(AND(C19&lt;=Last_Prem,MOD(A18,Mode)=0,C19&gt;INPUT!$C$13,A19&lt;=Revival!$C$11),Mod_Prem,0)</f>
        <v>100000</v>
      </c>
      <c r="F19" s="177">
        <f>E19*VLOOKUP(B19,'Pre-Calculation'!$H$1:$I$31,2,FALSE)</f>
        <v>0</v>
      </c>
      <c r="G19" s="177">
        <f>IF(B19&lt;PT+1,VLOOKUP(B19,'Pre-Calculation'!$H$1:$L$32,3,FALSE)+VLOOKUP(B19,'Pre-Calculation'!$H$1:$L$32,4,FALSE)*'Pre-Calculation'!$D$7,0)</f>
        <v>830</v>
      </c>
      <c r="H19" s="175">
        <f>(E19-(F19+G19)*(1+Tax)+N18)</f>
        <v>877389.0464</v>
      </c>
      <c r="I19" s="175">
        <f>IF(B19&lt;PT+1,VLOOKUP(D19,'Pre-Calculation'!$N$3:$P$79,IF(INPUT!$C$4="M",2,3),FALSE)*(J19/1000)*(1/12),0)</f>
        <v>20.01623818</v>
      </c>
      <c r="J19" s="175">
        <f t="shared" si="3"/>
        <v>122610.9536</v>
      </c>
      <c r="K19" s="175">
        <f>(IF('Pre-Calculation'!$D$17="Type 4 a",MAX(SA,H19,1.05*Q19),IF('Pre-Calculation'!$D$17="Type 4 c",H19,IF('Pre-Calculation'!$D$17="Type 4 d",SA+H19,IF('Pre-Calculation'!$D$17="Type 4 e",MAX(SA,H19),IF('Pre-Calculation'!$D$17="Type 4 f",SA,IF('Pre-Calculation'!$D$17="Type 4 g",1000+H19,IF('Pre-Calculation'!$D$17="Type 4 h",SA+V19,IF('Pre-Calculation'!$D$17="Type 4 i",MAX(H19,Q19),IF('Pre-Calculation'!$D$17="Type 4 k",MAX(H19,1.01*Q19),IF('Pre-Calculation'!$D$17="Type 4 m",MAX(105%*Q19,SA+H19),IF('Pre-Calculation'!$D$17="Type 4 o",MAX(SA,105%*Q19)+V19+X19,IF('Pre-Calculation'!$D$17="Type 5",0)))))))))))))*IF(AND(A19&lt;Revival!$C$4,C19&gt;=Revival!$D$12),PUP,1)</f>
        <v>1000000</v>
      </c>
      <c r="L19" s="175">
        <f>H19-I19*(1+Tax)</f>
        <v>877365.4272</v>
      </c>
      <c r="M19" s="175">
        <f>L19*(1+'Pre-Calculation'!$E$28)*(1-'Pre-Calculation'!$E$29*(1+Tax))</f>
        <v>881264.4118</v>
      </c>
      <c r="N19" s="175">
        <f>M19+IF(MOD(A19,B19)=0,VLOOKUP(B19,'Pre-Calculation'!$H$1:$L$31,5,FALSE),0)*IF('Pre-Calculation'!$D$16="% OF FV",M19,IF(OR('Pre-Calculation'!$D$16="% OF AFV(24M)",'Pre-Calculation'!$D$16="% OF AFV(8Q)"),AVERAGE( $M$7:$M19),IF('Pre-Calculation'!$D$16="% OF AFV(12M)",AVERAGE($M8:M19),IF('Pre-Calculation'!$D$16="% OF AFV(36M)",AVERAGE($M$7:M19)))))</f>
        <v>881264.4118</v>
      </c>
      <c r="O19" s="175">
        <f t="shared" si="4"/>
        <v>881264.4118</v>
      </c>
      <c r="P19" s="175">
        <f>IF('Pre-Calculation'!$D$17="Type 4 a",MAX(SA,N19,1.05*Q19),IF('Pre-Calculation'!$D$17="Type 4 c",N19,IF('Pre-Calculation'!$D$17="Type 4 d",SA+N19,IF('Pre-Calculation'!$D$17="Type 4 e",MAX(SA,N19),IF('Pre-Calculation'!$D$17="Type 4 f",SA,IF('Pre-Calculation'!$D$17="Type 4 g",1000+N19,IF('Pre-Calculation'!$D$17="Type 4 h",SA+V19,IF('Pre-Calculation'!$D$17="Type 4 i",MAX(N19,Q19),IF('Pre-Calculation'!$D$17="Type 4 k",MAX(N19,1.01*Q19),IF('Pre-Calculation'!$D$17="Type 4 m",MAX(105%*Q19,SA+N19),IF('Pre-Calculation'!$D$17="Type 4 o",MAX(SA,105%*Q19)+V19+X19,IF('Pre-Calculation'!$D$17="Type 5",0))))))))))))</f>
        <v>1000000</v>
      </c>
      <c r="Q19" s="175">
        <f t="shared" si="5"/>
        <v>700000</v>
      </c>
      <c r="R19" s="119">
        <f>L19*(1+GROWTH_RATE)*FMC</f>
        <v>992.8465058</v>
      </c>
      <c r="S19" s="112"/>
      <c r="T19" s="175">
        <f>-E19+IF(A18=INPUT!$C$11*12,N19,0)</f>
        <v>-100000</v>
      </c>
      <c r="U19" s="181"/>
      <c r="V19" s="179">
        <f t="array" ref="V19">NPV('Pre-Calculation'!$E$20,$E20:E$246)</f>
        <v>262431.6044</v>
      </c>
      <c r="W19" s="171">
        <f>10%*SA</f>
        <v>100000</v>
      </c>
      <c r="X19" s="179">
        <f t="array" ref="X19">NPV('Pre-Calculation'!$E$20,W20:W29)</f>
        <v>969592.8037</v>
      </c>
      <c r="Y19" s="12"/>
      <c r="Z19" s="12"/>
    </row>
    <row r="20">
      <c r="A20" s="171">
        <f t="shared" si="1"/>
        <v>74</v>
      </c>
      <c r="B20" s="171">
        <f t="shared" si="2"/>
        <v>7</v>
      </c>
      <c r="C20" s="176">
        <f>EDATE(RCD,A19)</f>
        <v>44772</v>
      </c>
      <c r="D20" s="171">
        <f>Age_At_Entry+'Cashflows_Bond Fund'!B20-1</f>
        <v>41</v>
      </c>
      <c r="E20" s="175">
        <f>IF(AND(C20&lt;=Last_Prem,MOD(A19,Mode)=0,C20&gt;INPUT!$C$13,A20&lt;=Revival!$C$11),Mod_Prem,0)</f>
        <v>0</v>
      </c>
      <c r="F20" s="177">
        <f>E20*VLOOKUP(B20,'Pre-Calculation'!$H$1:$I$31,2,FALSE)</f>
        <v>0</v>
      </c>
      <c r="G20" s="177">
        <f>IF(B20&lt;PT+1,VLOOKUP(B20,'Pre-Calculation'!$H$1:$L$32,3,FALSE)+VLOOKUP(B20,'Pre-Calculation'!$H$1:$L$32,4,FALSE)*'Pre-Calculation'!$D$7,0)</f>
        <v>830</v>
      </c>
      <c r="H20" s="175">
        <f>(E20-(F20+G20)*(1+Tax)+N19)</f>
        <v>880285.0118</v>
      </c>
      <c r="I20" s="175">
        <f>IF(B20&lt;PT+1,VLOOKUP(D20,'Pre-Calculation'!$N$3:$P$79,IF(INPUT!$C$4="M",2,3),FALSE)*(J20/1000)*(1/12),0)</f>
        <v>19.54347183</v>
      </c>
      <c r="J20" s="175">
        <f t="shared" si="3"/>
        <v>119714.9882</v>
      </c>
      <c r="K20" s="175">
        <f>(IF('Pre-Calculation'!$D$17="Type 4 a",MAX(SA,H20,1.05*Q20),IF('Pre-Calculation'!$D$17="Type 4 c",H20,IF('Pre-Calculation'!$D$17="Type 4 d",SA+H20,IF('Pre-Calculation'!$D$17="Type 4 e",MAX(SA,H20),IF('Pre-Calculation'!$D$17="Type 4 f",SA,IF('Pre-Calculation'!$D$17="Type 4 g",1000+H20,IF('Pre-Calculation'!$D$17="Type 4 h",SA+V20,IF('Pre-Calculation'!$D$17="Type 4 i",MAX(H20,Q20),IF('Pre-Calculation'!$D$17="Type 4 k",MAX(H20,1.01*Q20),IF('Pre-Calculation'!$D$17="Type 4 m",MAX(105%*Q20,SA+H20),IF('Pre-Calculation'!$D$17="Type 4 o",MAX(SA,105%*Q20)+V20+X20,IF('Pre-Calculation'!$D$17="Type 5",0)))))))))))))*IF(AND(A20&lt;Revival!$C$4,C20&gt;=Revival!$D$12),PUP,1)</f>
        <v>1000000</v>
      </c>
      <c r="L20" s="175">
        <f>H20-I20*(1+Tax)</f>
        <v>880261.9505</v>
      </c>
      <c r="M20" s="175">
        <f>L20*(1+'Pre-Calculation'!$E$28)*(1-'Pre-Calculation'!$E$29*(1+Tax))</f>
        <v>884173.807</v>
      </c>
      <c r="N20" s="175">
        <f>M20+IF(MOD(A20,B20)=0,VLOOKUP(B20,'Pre-Calculation'!$H$1:$L$31,5,FALSE),0)*IF('Pre-Calculation'!$D$16="% OF FV",M20,IF(OR('Pre-Calculation'!$D$16="% OF AFV(24M)",'Pre-Calculation'!$D$16="% OF AFV(8Q)"),AVERAGE( $M$7:$M20),IF('Pre-Calculation'!$D$16="% OF AFV(12M)",AVERAGE($M9:M20),IF('Pre-Calculation'!$D$16="% OF AFV(36M)",AVERAGE($M$7:M20)))))</f>
        <v>884173.807</v>
      </c>
      <c r="O20" s="175">
        <f t="shared" si="4"/>
        <v>884173.807</v>
      </c>
      <c r="P20" s="175">
        <f>IF('Pre-Calculation'!$D$17="Type 4 a",MAX(SA,N20,1.05*Q20),IF('Pre-Calculation'!$D$17="Type 4 c",N20,IF('Pre-Calculation'!$D$17="Type 4 d",SA+N20,IF('Pre-Calculation'!$D$17="Type 4 e",MAX(SA,N20),IF('Pre-Calculation'!$D$17="Type 4 f",SA,IF('Pre-Calculation'!$D$17="Type 4 g",1000+N20,IF('Pre-Calculation'!$D$17="Type 4 h",SA+V20,IF('Pre-Calculation'!$D$17="Type 4 i",MAX(N20,Q20),IF('Pre-Calculation'!$D$17="Type 4 k",MAX(N20,1.01*Q20),IF('Pre-Calculation'!$D$17="Type 4 m",MAX(105%*Q20,SA+N20),IF('Pre-Calculation'!$D$17="Type 4 o",MAX(SA,105%*Q20)+V20+X20,IF('Pre-Calculation'!$D$17="Type 5",0))))))))))))</f>
        <v>1000000</v>
      </c>
      <c r="Q20" s="175">
        <f t="shared" si="5"/>
        <v>700000</v>
      </c>
      <c r="R20" s="119">
        <f>L20*(1+GROWTH_RATE)*FMC</f>
        <v>996.1242768</v>
      </c>
      <c r="S20" s="112"/>
      <c r="T20" s="175">
        <f>-E20+IF(A19=INPUT!$C$11*12,N20,0)</f>
        <v>0</v>
      </c>
      <c r="U20" s="181"/>
      <c r="V20" s="179">
        <f t="array" ref="V20">NPV('Pre-Calculation'!$E$20,$E21:E$246)</f>
        <v>263915.4309</v>
      </c>
      <c r="W20" s="171">
        <f>10%*SA</f>
        <v>100000</v>
      </c>
      <c r="X20" s="179">
        <f t="array" ref="X20">NPV('Pre-Calculation'!$E$20,W21:W30)</f>
        <v>969592.8037</v>
      </c>
      <c r="Y20" s="12"/>
      <c r="Z20" s="12"/>
    </row>
    <row r="21" ht="15.75" customHeight="1">
      <c r="A21" s="171">
        <f t="shared" si="1"/>
        <v>75</v>
      </c>
      <c r="B21" s="171">
        <f t="shared" si="2"/>
        <v>7</v>
      </c>
      <c r="C21" s="176">
        <f>EDATE(RCD,A20)</f>
        <v>44803</v>
      </c>
      <c r="D21" s="171">
        <f>Age_At_Entry+'Cashflows_Bond Fund'!B21-1</f>
        <v>41</v>
      </c>
      <c r="E21" s="175">
        <f>IF(AND(C21&lt;=Last_Prem,MOD(A20,Mode)=0,C21&gt;INPUT!$C$13,A21&lt;=Revival!$C$11),Mod_Prem,0)</f>
        <v>0</v>
      </c>
      <c r="F21" s="177">
        <f>E21*VLOOKUP(B21,'Pre-Calculation'!$H$1:$I$31,2,FALSE)</f>
        <v>0</v>
      </c>
      <c r="G21" s="177">
        <f>IF(B21&lt;PT+1,VLOOKUP(B21,'Pre-Calculation'!$H$1:$L$32,3,FALSE)+VLOOKUP(B21,'Pre-Calculation'!$H$1:$L$32,4,FALSE)*'Pre-Calculation'!$D$7,0)</f>
        <v>830</v>
      </c>
      <c r="H21" s="175">
        <f>(E21-(F21+G21)*(1+Tax)+N20)</f>
        <v>883194.407</v>
      </c>
      <c r="I21" s="175">
        <f>IF(B21&lt;PT+1,VLOOKUP(D21,'Pre-Calculation'!$N$3:$P$79,IF(INPUT!$C$4="M",2,3),FALSE)*(J21/1000)*(1/12),0)</f>
        <v>19.06851305</v>
      </c>
      <c r="J21" s="175">
        <f t="shared" si="3"/>
        <v>116805.593</v>
      </c>
      <c r="K21" s="175">
        <f>(IF('Pre-Calculation'!$D$17="Type 4 a",MAX(SA,H21,1.05*Q21),IF('Pre-Calculation'!$D$17="Type 4 c",H21,IF('Pre-Calculation'!$D$17="Type 4 d",SA+H21,IF('Pre-Calculation'!$D$17="Type 4 e",MAX(SA,H21),IF('Pre-Calculation'!$D$17="Type 4 f",SA,IF('Pre-Calculation'!$D$17="Type 4 g",1000+H21,IF('Pre-Calculation'!$D$17="Type 4 h",SA+V21,IF('Pre-Calculation'!$D$17="Type 4 i",MAX(H21,Q21),IF('Pre-Calculation'!$D$17="Type 4 k",MAX(H21,1.01*Q21),IF('Pre-Calculation'!$D$17="Type 4 m",MAX(105%*Q21,SA+H21),IF('Pre-Calculation'!$D$17="Type 4 o",MAX(SA,105%*Q21)+V21+X21,IF('Pre-Calculation'!$D$17="Type 5",0)))))))))))))*IF(AND(A21&lt;Revival!$C$4,C21&gt;=Revival!$D$12),PUP,1)</f>
        <v>1000000</v>
      </c>
      <c r="L21" s="175">
        <f>H21-I21*(1+Tax)</f>
        <v>883171.9062</v>
      </c>
      <c r="M21" s="175">
        <f>L21*(1+'Pre-Calculation'!$E$28)*(1-'Pre-Calculation'!$E$29*(1+Tax))</f>
        <v>887096.6945</v>
      </c>
      <c r="N21" s="175">
        <f>M21+IF(MOD(A21,B21)=0,VLOOKUP(B21,'Pre-Calculation'!$H$1:$L$31,5,FALSE),0)*IF('Pre-Calculation'!$D$16="% OF FV",M21,IF(OR('Pre-Calculation'!$D$16="% OF AFV(24M)",'Pre-Calculation'!$D$16="% OF AFV(8Q)"),AVERAGE( $M$7:$M21),IF('Pre-Calculation'!$D$16="% OF AFV(12M)",AVERAGE($M10:M21),IF('Pre-Calculation'!$D$16="% OF AFV(36M)",AVERAGE($M$7:M21)))))</f>
        <v>887096.6945</v>
      </c>
      <c r="O21" s="175">
        <f t="shared" si="4"/>
        <v>887096.6945</v>
      </c>
      <c r="P21" s="175">
        <f>IF('Pre-Calculation'!$D$17="Type 4 a",MAX(SA,N21,1.05*Q21),IF('Pre-Calculation'!$D$17="Type 4 c",N21,IF('Pre-Calculation'!$D$17="Type 4 d",SA+N21,IF('Pre-Calculation'!$D$17="Type 4 e",MAX(SA,N21),IF('Pre-Calculation'!$D$17="Type 4 f",SA,IF('Pre-Calculation'!$D$17="Type 4 g",1000+N21,IF('Pre-Calculation'!$D$17="Type 4 h",SA+V21,IF('Pre-Calculation'!$D$17="Type 4 i",MAX(N21,Q21),IF('Pre-Calculation'!$D$17="Type 4 k",MAX(N21,1.01*Q21),IF('Pre-Calculation'!$D$17="Type 4 m",MAX(105%*Q21,SA+N21),IF('Pre-Calculation'!$D$17="Type 4 o",MAX(SA,105%*Q21)+V21+X21,IF('Pre-Calculation'!$D$17="Type 5",0))))))))))))</f>
        <v>1000000</v>
      </c>
      <c r="Q21" s="175">
        <f t="shared" si="5"/>
        <v>700000</v>
      </c>
      <c r="R21" s="119">
        <f>L21*(1+GROWTH_RATE)*FMC</f>
        <v>999.4172483</v>
      </c>
      <c r="S21" s="112"/>
      <c r="T21" s="175">
        <f>-E21+IF(A20=INPUT!$C$11*12,N21,0)</f>
        <v>0</v>
      </c>
      <c r="U21" s="181"/>
      <c r="V21" s="179">
        <f t="array" ref="V21">NPV('Pre-Calculation'!$E$20,$E22:E$246)</f>
        <v>265407.6471</v>
      </c>
      <c r="W21" s="171">
        <f>10%*SA</f>
        <v>100000</v>
      </c>
      <c r="X21" s="179">
        <f t="array" ref="X21">NPV('Pre-Calculation'!$E$20,W22:W31)</f>
        <v>969592.8037</v>
      </c>
      <c r="Y21" s="12"/>
      <c r="Z21" s="12"/>
    </row>
    <row r="22" ht="15.75" customHeight="1">
      <c r="A22" s="171">
        <f t="shared" si="1"/>
        <v>76</v>
      </c>
      <c r="B22" s="171">
        <f t="shared" si="2"/>
        <v>7</v>
      </c>
      <c r="C22" s="176">
        <f>EDATE(RCD,A21)</f>
        <v>44834</v>
      </c>
      <c r="D22" s="171">
        <f>Age_At_Entry+'Cashflows_Bond Fund'!B22-1</f>
        <v>41</v>
      </c>
      <c r="E22" s="175">
        <f>IF(AND(C22&lt;=Last_Prem,MOD(A21,Mode)=0,C22&gt;INPUT!$C$13,A22&lt;=Revival!$C$11),Mod_Prem,0)</f>
        <v>0</v>
      </c>
      <c r="F22" s="177">
        <f>E22*VLOOKUP(B22,'Pre-Calculation'!$H$1:$I$31,2,FALSE)</f>
        <v>0</v>
      </c>
      <c r="G22" s="177">
        <f>IF(B22&lt;PT+1,VLOOKUP(B22,'Pre-Calculation'!$H$1:$L$32,3,FALSE)+VLOOKUP(B22,'Pre-Calculation'!$H$1:$L$32,4,FALSE)*'Pre-Calculation'!$D$7,0)</f>
        <v>830</v>
      </c>
      <c r="H22" s="175">
        <f>(E22-(F22+G22)*(1+Tax)+N21)</f>
        <v>886117.2945</v>
      </c>
      <c r="I22" s="175">
        <f>IF(B22&lt;PT+1,VLOOKUP(D22,'Pre-Calculation'!$N$3:$P$79,IF(INPUT!$C$4="M",2,3),FALSE)*(J22/1000)*(1/12),0)</f>
        <v>18.59135167</v>
      </c>
      <c r="J22" s="175">
        <f t="shared" si="3"/>
        <v>113882.7055</v>
      </c>
      <c r="K22" s="175">
        <f>(IF('Pre-Calculation'!$D$17="Type 4 a",MAX(SA,H22,1.05*Q22),IF('Pre-Calculation'!$D$17="Type 4 c",H22,IF('Pre-Calculation'!$D$17="Type 4 d",SA+H22,IF('Pre-Calculation'!$D$17="Type 4 e",MAX(SA,H22),IF('Pre-Calculation'!$D$17="Type 4 f",SA,IF('Pre-Calculation'!$D$17="Type 4 g",1000+H22,IF('Pre-Calculation'!$D$17="Type 4 h",SA+V22,IF('Pre-Calculation'!$D$17="Type 4 i",MAX(H22,Q22),IF('Pre-Calculation'!$D$17="Type 4 k",MAX(H22,1.01*Q22),IF('Pre-Calculation'!$D$17="Type 4 m",MAX(105%*Q22,SA+H22),IF('Pre-Calculation'!$D$17="Type 4 o",MAX(SA,105%*Q22)+V22+X22,IF('Pre-Calculation'!$D$17="Type 5",0)))))))))))))*IF(AND(A22&lt;Revival!$C$4,C22&gt;=Revival!$D$12),PUP,1)</f>
        <v>1000000</v>
      </c>
      <c r="L22" s="175">
        <f>H22-I22*(1+Tax)</f>
        <v>886095.3567</v>
      </c>
      <c r="M22" s="175">
        <f>L22*(1+'Pre-Calculation'!$E$28)*(1-'Pre-Calculation'!$E$29*(1+Tax))</f>
        <v>890033.1368</v>
      </c>
      <c r="N22" s="175">
        <f>M22+IF(MOD(A22,B22)=0,VLOOKUP(B22,'Pre-Calculation'!$H$1:$L$31,5,FALSE),0)*IF('Pre-Calculation'!$D$16="% OF FV",M22,IF(OR('Pre-Calculation'!$D$16="% OF AFV(24M)",'Pre-Calculation'!$D$16="% OF AFV(8Q)"),AVERAGE( $M$7:$M22),IF('Pre-Calculation'!$D$16="% OF AFV(12M)",AVERAGE($M11:M22),IF('Pre-Calculation'!$D$16="% OF AFV(36M)",AVERAGE($M$7:M22)))))</f>
        <v>890033.1368</v>
      </c>
      <c r="O22" s="175">
        <f t="shared" si="4"/>
        <v>890033.1368</v>
      </c>
      <c r="P22" s="175">
        <f>IF('Pre-Calculation'!$D$17="Type 4 a",MAX(SA,N22,1.05*Q22),IF('Pre-Calculation'!$D$17="Type 4 c",N22,IF('Pre-Calculation'!$D$17="Type 4 d",SA+N22,IF('Pre-Calculation'!$D$17="Type 4 e",MAX(SA,N22),IF('Pre-Calculation'!$D$17="Type 4 f",SA,IF('Pre-Calculation'!$D$17="Type 4 g",1000+N22,IF('Pre-Calculation'!$D$17="Type 4 h",SA+V22,IF('Pre-Calculation'!$D$17="Type 4 i",MAX(N22,Q22),IF('Pre-Calculation'!$D$17="Type 4 k",MAX(N22,1.01*Q22),IF('Pre-Calculation'!$D$17="Type 4 m",MAX(105%*Q22,SA+N22),IF('Pre-Calculation'!$D$17="Type 4 o",MAX(SA,105%*Q22)+V22+X22,IF('Pre-Calculation'!$D$17="Type 5",0))))))))))))</f>
        <v>1000000</v>
      </c>
      <c r="Q22" s="175">
        <f t="shared" si="5"/>
        <v>700000</v>
      </c>
      <c r="R22" s="119">
        <f>L22*(1+GROWTH_RATE)*FMC</f>
        <v>1002.725491</v>
      </c>
      <c r="S22" s="112"/>
      <c r="T22" s="175">
        <f>-E22+IF(A21=INPUT!$C$11*12,N22,0)</f>
        <v>0</v>
      </c>
      <c r="U22" s="181"/>
      <c r="V22" s="179">
        <f t="array" ref="V22">NPV('Pre-Calculation'!$E$20,$E23:E$246)</f>
        <v>266908.3005</v>
      </c>
      <c r="W22" s="171">
        <f>10%*SA</f>
        <v>100000</v>
      </c>
      <c r="X22" s="179">
        <f t="array" ref="X22">NPV('Pre-Calculation'!$E$20,W23:W32)</f>
        <v>969592.8037</v>
      </c>
      <c r="Y22" s="12"/>
      <c r="Z22" s="12"/>
    </row>
    <row r="23" ht="15.75" customHeight="1">
      <c r="A23" s="171">
        <f t="shared" si="1"/>
        <v>77</v>
      </c>
      <c r="B23" s="171">
        <f t="shared" si="2"/>
        <v>7</v>
      </c>
      <c r="C23" s="176">
        <f>EDATE(RCD,A22)</f>
        <v>44864</v>
      </c>
      <c r="D23" s="171">
        <f>Age_At_Entry+'Cashflows_Bond Fund'!B23-1</f>
        <v>41</v>
      </c>
      <c r="E23" s="175">
        <f>IF(AND(C23&lt;=Last_Prem,MOD(A22,Mode)=0,C23&gt;INPUT!$C$13,A23&lt;=Revival!$C$11),Mod_Prem,0)</f>
        <v>0</v>
      </c>
      <c r="F23" s="177">
        <f>E23*VLOOKUP(B23,'Pre-Calculation'!$H$1:$I$31,2,FALSE)</f>
        <v>0</v>
      </c>
      <c r="G23" s="177">
        <f>IF(B23&lt;PT+1,VLOOKUP(B23,'Pre-Calculation'!$H$1:$L$32,3,FALSE)+VLOOKUP(B23,'Pre-Calculation'!$H$1:$L$32,4,FALSE)*'Pre-Calculation'!$D$7,0)</f>
        <v>830</v>
      </c>
      <c r="H23" s="175">
        <f>(E23-(F23+G23)*(1+Tax)+N22)</f>
        <v>889053.7368</v>
      </c>
      <c r="I23" s="175">
        <f>IF(B23&lt;PT+1,VLOOKUP(D23,'Pre-Calculation'!$N$3:$P$79,IF(INPUT!$C$4="M",2,3),FALSE)*(J23/1000)*(1/12),0)</f>
        <v>18.11197747</v>
      </c>
      <c r="J23" s="175">
        <f t="shared" si="3"/>
        <v>110946.2632</v>
      </c>
      <c r="K23" s="175">
        <f>(IF('Pre-Calculation'!$D$17="Type 4 a",MAX(SA,H23,1.05*Q23),IF('Pre-Calculation'!$D$17="Type 4 c",H23,IF('Pre-Calculation'!$D$17="Type 4 d",SA+H23,IF('Pre-Calculation'!$D$17="Type 4 e",MAX(SA,H23),IF('Pre-Calculation'!$D$17="Type 4 f",SA,IF('Pre-Calculation'!$D$17="Type 4 g",1000+H23,IF('Pre-Calculation'!$D$17="Type 4 h",SA+V23,IF('Pre-Calculation'!$D$17="Type 4 i",MAX(H23,Q23),IF('Pre-Calculation'!$D$17="Type 4 k",MAX(H23,1.01*Q23),IF('Pre-Calculation'!$D$17="Type 4 m",MAX(105%*Q23,SA+H23),IF('Pre-Calculation'!$D$17="Type 4 o",MAX(SA,105%*Q23)+V23+X23,IF('Pre-Calculation'!$D$17="Type 5",0)))))))))))))*IF(AND(A23&lt;Revival!$C$4,C23&gt;=Revival!$D$12),PUP,1)</f>
        <v>1000000</v>
      </c>
      <c r="L23" s="175">
        <f>H23-I23*(1+Tax)</f>
        <v>889032.3647</v>
      </c>
      <c r="M23" s="175">
        <f>L23*(1+'Pre-Calculation'!$E$28)*(1-'Pre-Calculation'!$E$29*(1+Tax))</f>
        <v>892983.1967</v>
      </c>
      <c r="N23" s="175">
        <f>M23+IF(MOD(A23,B23)=0,VLOOKUP(B23,'Pre-Calculation'!$H$1:$L$31,5,FALSE),0)*IF('Pre-Calculation'!$D$16="% OF FV",M23,IF(OR('Pre-Calculation'!$D$16="% OF AFV(24M)",'Pre-Calculation'!$D$16="% OF AFV(8Q)"),AVERAGE( $M$7:$M23),IF('Pre-Calculation'!$D$16="% OF AFV(12M)",AVERAGE($M12:M23),IF('Pre-Calculation'!$D$16="% OF AFV(36M)",AVERAGE($M$7:M23)))))</f>
        <v>892983.1967</v>
      </c>
      <c r="O23" s="175">
        <f t="shared" si="4"/>
        <v>892983.1967</v>
      </c>
      <c r="P23" s="175">
        <f>IF('Pre-Calculation'!$D$17="Type 4 a",MAX(SA,N23,1.05*Q23),IF('Pre-Calculation'!$D$17="Type 4 c",N23,IF('Pre-Calculation'!$D$17="Type 4 d",SA+N23,IF('Pre-Calculation'!$D$17="Type 4 e",MAX(SA,N23),IF('Pre-Calculation'!$D$17="Type 4 f",SA,IF('Pre-Calculation'!$D$17="Type 4 g",1000+N23,IF('Pre-Calculation'!$D$17="Type 4 h",SA+V23,IF('Pre-Calculation'!$D$17="Type 4 i",MAX(N23,Q23),IF('Pre-Calculation'!$D$17="Type 4 k",MAX(N23,1.01*Q23),IF('Pre-Calculation'!$D$17="Type 4 m",MAX(105%*Q23,SA+N23),IF('Pre-Calculation'!$D$17="Type 4 o",MAX(SA,105%*Q23)+V23+X23,IF('Pre-Calculation'!$D$17="Type 5",0))))))))))))</f>
        <v>1000000</v>
      </c>
      <c r="Q23" s="175">
        <f t="shared" si="5"/>
        <v>700000</v>
      </c>
      <c r="R23" s="119">
        <f>L23*(1+GROWTH_RATE)*FMC</f>
        <v>1006.049075</v>
      </c>
      <c r="S23" s="112"/>
      <c r="T23" s="175">
        <f>-E23+IF(A22=INPUT!$C$11*12,N23,0)</f>
        <v>0</v>
      </c>
      <c r="U23" s="181"/>
      <c r="V23" s="179">
        <f t="array" ref="V23">NPV('Pre-Calculation'!$E$20,$E24:E$246)</f>
        <v>268417.4389</v>
      </c>
      <c r="W23" s="171">
        <f>10%*SA</f>
        <v>100000</v>
      </c>
      <c r="X23" s="179">
        <f t="array" ref="X23">NPV('Pre-Calculation'!$E$20,W24:W33)</f>
        <v>969592.8037</v>
      </c>
      <c r="Y23" s="12"/>
      <c r="Z23" s="12"/>
    </row>
    <row r="24" ht="15.75" customHeight="1">
      <c r="A24" s="171">
        <f t="shared" si="1"/>
        <v>78</v>
      </c>
      <c r="B24" s="171">
        <f t="shared" si="2"/>
        <v>7</v>
      </c>
      <c r="C24" s="176">
        <f>EDATE(RCD,A23)</f>
        <v>44895</v>
      </c>
      <c r="D24" s="171">
        <f>Age_At_Entry+'Cashflows_Bond Fund'!B24-1</f>
        <v>41</v>
      </c>
      <c r="E24" s="175">
        <f>IF(AND(C24&lt;=Last_Prem,MOD(A23,Mode)=0,C24&gt;INPUT!$C$13,A24&lt;=Revival!$C$11),Mod_Prem,0)</f>
        <v>0</v>
      </c>
      <c r="F24" s="177">
        <f>E24*VLOOKUP(B24,'Pre-Calculation'!$H$1:$I$31,2,FALSE)</f>
        <v>0</v>
      </c>
      <c r="G24" s="177">
        <f>IF(B24&lt;PT+1,VLOOKUP(B24,'Pre-Calculation'!$H$1:$L$32,3,FALSE)+VLOOKUP(B24,'Pre-Calculation'!$H$1:$L$32,4,FALSE)*'Pre-Calculation'!$D$7,0)</f>
        <v>830</v>
      </c>
      <c r="H24" s="175">
        <f>(E24-(F24+G24)*(1+Tax)+N23)</f>
        <v>892003.7967</v>
      </c>
      <c r="I24" s="175">
        <f>IF(B24&lt;PT+1,VLOOKUP(D24,'Pre-Calculation'!$N$3:$P$79,IF(INPUT!$C$4="M",2,3),FALSE)*(J24/1000)*(1/12),0)</f>
        <v>17.63038019</v>
      </c>
      <c r="J24" s="175">
        <f t="shared" si="3"/>
        <v>107996.2033</v>
      </c>
      <c r="K24" s="175">
        <f>(IF('Pre-Calculation'!$D$17="Type 4 a",MAX(SA,H24,1.05*Q24),IF('Pre-Calculation'!$D$17="Type 4 c",H24,IF('Pre-Calculation'!$D$17="Type 4 d",SA+H24,IF('Pre-Calculation'!$D$17="Type 4 e",MAX(SA,H24),IF('Pre-Calculation'!$D$17="Type 4 f",SA,IF('Pre-Calculation'!$D$17="Type 4 g",1000+H24,IF('Pre-Calculation'!$D$17="Type 4 h",SA+V24,IF('Pre-Calculation'!$D$17="Type 4 i",MAX(H24,Q24),IF('Pre-Calculation'!$D$17="Type 4 k",MAX(H24,1.01*Q24),IF('Pre-Calculation'!$D$17="Type 4 m",MAX(105%*Q24,SA+H24),IF('Pre-Calculation'!$D$17="Type 4 o",MAX(SA,105%*Q24)+V24+X24,IF('Pre-Calculation'!$D$17="Type 5",0)))))))))))))*IF(AND(A24&lt;Revival!$C$4,C24&gt;=Revival!$D$12),PUP,1)</f>
        <v>1000000</v>
      </c>
      <c r="L24" s="175">
        <f>H24-I24*(1+Tax)</f>
        <v>891982.9929</v>
      </c>
      <c r="M24" s="175">
        <f>L24*(1+'Pre-Calculation'!$E$28)*(1-'Pre-Calculation'!$E$29*(1+Tax))</f>
        <v>895946.9374</v>
      </c>
      <c r="N24" s="175">
        <f>M24+IF(MOD(A24,B24)=0,VLOOKUP(B24,'Pre-Calculation'!$H$1:$L$31,5,FALSE),0)*IF('Pre-Calculation'!$D$16="% OF FV",M24,IF(OR('Pre-Calculation'!$D$16="% OF AFV(24M)",'Pre-Calculation'!$D$16="% OF AFV(8Q)"),AVERAGE( $M$7:$M24),IF('Pre-Calculation'!$D$16="% OF AFV(12M)",AVERAGE($M13:M24),IF('Pre-Calculation'!$D$16="% OF AFV(36M)",AVERAGE($M$7:M24)))))</f>
        <v>895946.9374</v>
      </c>
      <c r="O24" s="175">
        <f t="shared" si="4"/>
        <v>895946.9374</v>
      </c>
      <c r="P24" s="175">
        <f>IF('Pre-Calculation'!$D$17="Type 4 a",MAX(SA,N24,1.05*Q24),IF('Pre-Calculation'!$D$17="Type 4 c",N24,IF('Pre-Calculation'!$D$17="Type 4 d",SA+N24,IF('Pre-Calculation'!$D$17="Type 4 e",MAX(SA,N24),IF('Pre-Calculation'!$D$17="Type 4 f",SA,IF('Pre-Calculation'!$D$17="Type 4 g",1000+N24,IF('Pre-Calculation'!$D$17="Type 4 h",SA+V24,IF('Pre-Calculation'!$D$17="Type 4 i",MAX(N24,Q24),IF('Pre-Calculation'!$D$17="Type 4 k",MAX(N24,1.01*Q24),IF('Pre-Calculation'!$D$17="Type 4 m",MAX(105%*Q24,SA+N24),IF('Pre-Calculation'!$D$17="Type 4 o",MAX(SA,105%*Q24)+V24+X24,IF('Pre-Calculation'!$D$17="Type 5",0))))))))))))</f>
        <v>1000000</v>
      </c>
      <c r="Q24" s="175">
        <f t="shared" si="5"/>
        <v>700000</v>
      </c>
      <c r="R24" s="119">
        <f>L24*(1+GROWTH_RATE)*FMC</f>
        <v>1009.388073</v>
      </c>
      <c r="S24" s="112"/>
      <c r="T24" s="175">
        <f>-E24+IF(A23=INPUT!$C$11*12,N24,0)</f>
        <v>0</v>
      </c>
      <c r="U24" s="181"/>
      <c r="V24" s="179">
        <f t="array" ref="V24">NPV('Pre-Calculation'!$E$20,$E25:E$246)</f>
        <v>269935.1101</v>
      </c>
      <c r="W24" s="171">
        <f>10%*SA</f>
        <v>100000</v>
      </c>
      <c r="X24" s="179">
        <f t="array" ref="X24">NPV('Pre-Calculation'!$E$20,W25:W34)</f>
        <v>969592.8037</v>
      </c>
      <c r="Y24" s="12"/>
      <c r="Z24" s="12"/>
    </row>
    <row r="25" ht="15.75" customHeight="1">
      <c r="A25" s="171">
        <f t="shared" si="1"/>
        <v>79</v>
      </c>
      <c r="B25" s="171">
        <f t="shared" si="2"/>
        <v>7</v>
      </c>
      <c r="C25" s="176">
        <f>EDATE(RCD,A24)</f>
        <v>44925</v>
      </c>
      <c r="D25" s="171">
        <f>Age_At_Entry+'Cashflows_Bond Fund'!B25-1</f>
        <v>41</v>
      </c>
      <c r="E25" s="175">
        <f>IF(AND(C25&lt;=Last_Prem,MOD(A24,Mode)=0,C25&gt;INPUT!$C$13,A25&lt;=Revival!$C$11),Mod_Prem,0)</f>
        <v>0</v>
      </c>
      <c r="F25" s="177">
        <f>E25*VLOOKUP(B25,'Pre-Calculation'!$H$1:$I$31,2,FALSE)</f>
        <v>0</v>
      </c>
      <c r="G25" s="177">
        <f>IF(B25&lt;PT+1,VLOOKUP(B25,'Pre-Calculation'!$H$1:$L$32,3,FALSE)+VLOOKUP(B25,'Pre-Calculation'!$H$1:$L$32,4,FALSE)*'Pre-Calculation'!$D$7,0)</f>
        <v>830</v>
      </c>
      <c r="H25" s="175">
        <f>(E25-(F25+G25)*(1+Tax)+N24)</f>
        <v>894967.5374</v>
      </c>
      <c r="I25" s="175">
        <f>IF(B25&lt;PT+1,VLOOKUP(D25,'Pre-Calculation'!$N$3:$P$79,IF(INPUT!$C$4="M",2,3),FALSE)*(J25/1000)*(1/12),0)</f>
        <v>17.14654952</v>
      </c>
      <c r="J25" s="175">
        <f t="shared" si="3"/>
        <v>105032.4626</v>
      </c>
      <c r="K25" s="175">
        <f>(IF('Pre-Calculation'!$D$17="Type 4 a",MAX(SA,H25,1.05*Q25),IF('Pre-Calculation'!$D$17="Type 4 c",H25,IF('Pre-Calculation'!$D$17="Type 4 d",SA+H25,IF('Pre-Calculation'!$D$17="Type 4 e",MAX(SA,H25),IF('Pre-Calculation'!$D$17="Type 4 f",SA,IF('Pre-Calculation'!$D$17="Type 4 g",1000+H25,IF('Pre-Calculation'!$D$17="Type 4 h",SA+V25,IF('Pre-Calculation'!$D$17="Type 4 i",MAX(H25,Q25),IF('Pre-Calculation'!$D$17="Type 4 k",MAX(H25,1.01*Q25),IF('Pre-Calculation'!$D$17="Type 4 m",MAX(105%*Q25,SA+H25),IF('Pre-Calculation'!$D$17="Type 4 o",MAX(SA,105%*Q25)+V25+X25,IF('Pre-Calculation'!$D$17="Type 5",0)))))))))))))*IF(AND(A25&lt;Revival!$C$4,C25&gt;=Revival!$D$12),PUP,1)</f>
        <v>1000000</v>
      </c>
      <c r="L25" s="175">
        <f>H25-I25*(1+Tax)</f>
        <v>894947.3045</v>
      </c>
      <c r="M25" s="175">
        <f>L25*(1+'Pre-Calculation'!$E$28)*(1-'Pre-Calculation'!$E$29*(1+Tax))</f>
        <v>898924.4223</v>
      </c>
      <c r="N25" s="175">
        <f>M25+IF(MOD(A25,B25)=0,VLOOKUP(B25,'Pre-Calculation'!$H$1:$L$31,5,FALSE),0)*IF('Pre-Calculation'!$D$16="% OF FV",M25,IF(OR('Pre-Calculation'!$D$16="% OF AFV(24M)",'Pre-Calculation'!$D$16="% OF AFV(8Q)"),AVERAGE( $M$7:$M25),IF('Pre-Calculation'!$D$16="% OF AFV(12M)",AVERAGE($M14:M25),IF('Pre-Calculation'!$D$16="% OF AFV(36M)",AVERAGE($M$7:M25)))))</f>
        <v>898924.4223</v>
      </c>
      <c r="O25" s="175">
        <f t="shared" si="4"/>
        <v>898924.4223</v>
      </c>
      <c r="P25" s="175">
        <f>IF('Pre-Calculation'!$D$17="Type 4 a",MAX(SA,N25,1.05*Q25),IF('Pre-Calculation'!$D$17="Type 4 c",N25,IF('Pre-Calculation'!$D$17="Type 4 d",SA+N25,IF('Pre-Calculation'!$D$17="Type 4 e",MAX(SA,N25),IF('Pre-Calculation'!$D$17="Type 4 f",SA,IF('Pre-Calculation'!$D$17="Type 4 g",1000+N25,IF('Pre-Calculation'!$D$17="Type 4 h",SA+V25,IF('Pre-Calculation'!$D$17="Type 4 i",MAX(N25,Q25),IF('Pre-Calculation'!$D$17="Type 4 k",MAX(N25,1.01*Q25),IF('Pre-Calculation'!$D$17="Type 4 m",MAX(105%*Q25,SA+N25),IF('Pre-Calculation'!$D$17="Type 4 o",MAX(SA,105%*Q25)+V25+X25,IF('Pre-Calculation'!$D$17="Type 5",0))))))))))))</f>
        <v>1000000</v>
      </c>
      <c r="Q25" s="175">
        <f t="shared" si="5"/>
        <v>700000</v>
      </c>
      <c r="R25" s="119">
        <f>L25*(1+GROWTH_RATE)*FMC</f>
        <v>1012.742555</v>
      </c>
      <c r="S25" s="112"/>
      <c r="T25" s="175">
        <f>-E25+IF(A24=INPUT!$C$11*12,N25,0)</f>
        <v>0</v>
      </c>
      <c r="U25" s="181"/>
      <c r="V25" s="179">
        <f t="array" ref="V25">NPV('Pre-Calculation'!$E$20,$E26:E$246)</f>
        <v>271461.3624</v>
      </c>
      <c r="W25" s="171">
        <f>10%*SA</f>
        <v>100000</v>
      </c>
      <c r="X25" s="179">
        <f t="array" ref="X25">NPV('Pre-Calculation'!$E$20,W26:W35)</f>
        <v>969592.8037</v>
      </c>
      <c r="Y25" s="12"/>
      <c r="Z25" s="12"/>
    </row>
    <row r="26" ht="15.75" customHeight="1">
      <c r="A26" s="171">
        <f t="shared" si="1"/>
        <v>80</v>
      </c>
      <c r="B26" s="171">
        <f t="shared" si="2"/>
        <v>7</v>
      </c>
      <c r="C26" s="176">
        <f>EDATE(RCD,A25)</f>
        <v>44956</v>
      </c>
      <c r="D26" s="171">
        <f>Age_At_Entry+'Cashflows_Bond Fund'!B26-1</f>
        <v>41</v>
      </c>
      <c r="E26" s="175">
        <f>IF(AND(C26&lt;=Last_Prem,MOD(A25,Mode)=0,C26&gt;INPUT!$C$13,A26&lt;=Revival!$C$11),Mod_Prem,0)</f>
        <v>0</v>
      </c>
      <c r="F26" s="177">
        <f>E26*VLOOKUP(B26,'Pre-Calculation'!$H$1:$I$31,2,FALSE)</f>
        <v>0</v>
      </c>
      <c r="G26" s="177">
        <f>IF(B26&lt;PT+1,VLOOKUP(B26,'Pre-Calculation'!$H$1:$L$32,3,FALSE)+VLOOKUP(B26,'Pre-Calculation'!$H$1:$L$32,4,FALSE)*'Pre-Calculation'!$D$7,0)</f>
        <v>830</v>
      </c>
      <c r="H26" s="175">
        <f>(E26-(F26+G26)*(1+Tax)+N25)</f>
        <v>897945.0223</v>
      </c>
      <c r="I26" s="175">
        <f>IF(B26&lt;PT+1,VLOOKUP(D26,'Pre-Calculation'!$N$3:$P$79,IF(INPUT!$C$4="M",2,3),FALSE)*(J26/1000)*(1/12),0)</f>
        <v>16.66047511</v>
      </c>
      <c r="J26" s="175">
        <f t="shared" si="3"/>
        <v>102054.9777</v>
      </c>
      <c r="K26" s="175">
        <f>(IF('Pre-Calculation'!$D$17="Type 4 a",MAX(SA,H26,1.05*Q26),IF('Pre-Calculation'!$D$17="Type 4 c",H26,IF('Pre-Calculation'!$D$17="Type 4 d",SA+H26,IF('Pre-Calculation'!$D$17="Type 4 e",MAX(SA,H26),IF('Pre-Calculation'!$D$17="Type 4 f",SA,IF('Pre-Calculation'!$D$17="Type 4 g",1000+H26,IF('Pre-Calculation'!$D$17="Type 4 h",SA+V26,IF('Pre-Calculation'!$D$17="Type 4 i",MAX(H26,Q26),IF('Pre-Calculation'!$D$17="Type 4 k",MAX(H26,1.01*Q26),IF('Pre-Calculation'!$D$17="Type 4 m",MAX(105%*Q26,SA+H26),IF('Pre-Calculation'!$D$17="Type 4 o",MAX(SA,105%*Q26)+V26+X26,IF('Pre-Calculation'!$D$17="Type 5",0)))))))))))))*IF(AND(A26&lt;Revival!$C$4,C26&gt;=Revival!$D$12),PUP,1)</f>
        <v>1000000</v>
      </c>
      <c r="L26" s="175">
        <f>H26-I26*(1+Tax)</f>
        <v>897925.363</v>
      </c>
      <c r="M26" s="175">
        <f>L26*(1+'Pre-Calculation'!$E$28)*(1-'Pre-Calculation'!$E$29*(1+Tax))</f>
        <v>901915.7152</v>
      </c>
      <c r="N26" s="175">
        <f>M26+IF(MOD(A26,B26)=0,VLOOKUP(B26,'Pre-Calculation'!$H$1:$L$31,5,FALSE),0)*IF('Pre-Calculation'!$D$16="% OF FV",M26,IF(OR('Pre-Calculation'!$D$16="% OF AFV(24M)",'Pre-Calculation'!$D$16="% OF AFV(8Q)"),AVERAGE( $M$7:$M26),IF('Pre-Calculation'!$D$16="% OF AFV(12M)",AVERAGE($M15:M26),IF('Pre-Calculation'!$D$16="% OF AFV(36M)",AVERAGE($M$7:M26)))))</f>
        <v>901915.7152</v>
      </c>
      <c r="O26" s="175">
        <f t="shared" si="4"/>
        <v>901915.7152</v>
      </c>
      <c r="P26" s="175">
        <f>IF('Pre-Calculation'!$D$17="Type 4 a",MAX(SA,N26,1.05*Q26),IF('Pre-Calculation'!$D$17="Type 4 c",N26,IF('Pre-Calculation'!$D$17="Type 4 d",SA+N26,IF('Pre-Calculation'!$D$17="Type 4 e",MAX(SA,N26),IF('Pre-Calculation'!$D$17="Type 4 f",SA,IF('Pre-Calculation'!$D$17="Type 4 g",1000+N26,IF('Pre-Calculation'!$D$17="Type 4 h",SA+V26,IF('Pre-Calculation'!$D$17="Type 4 i",MAX(N26,Q26),IF('Pre-Calculation'!$D$17="Type 4 k",MAX(N26,1.01*Q26),IF('Pre-Calculation'!$D$17="Type 4 m",MAX(105%*Q26,SA+N26),IF('Pre-Calculation'!$D$17="Type 4 o",MAX(SA,105%*Q26)+V26+X26,IF('Pre-Calculation'!$D$17="Type 5",0))))))))))))</f>
        <v>1000000</v>
      </c>
      <c r="Q26" s="175">
        <f t="shared" si="5"/>
        <v>700000</v>
      </c>
      <c r="R26" s="119">
        <f>L26*(1+GROWTH_RATE)*FMC</f>
        <v>1016.112593</v>
      </c>
      <c r="S26" s="112"/>
      <c r="T26" s="175">
        <f>-E26+IF(A25=INPUT!$C$11*12,N26,0)</f>
        <v>0</v>
      </c>
      <c r="U26" s="181"/>
      <c r="V26" s="179">
        <f t="array" ref="V26">NPV('Pre-Calculation'!$E$20,$E27:E$246)</f>
        <v>272996.2445</v>
      </c>
      <c r="W26" s="171">
        <f>10%*SA</f>
        <v>100000</v>
      </c>
      <c r="X26" s="179">
        <f t="array" ref="X26">NPV('Pre-Calculation'!$E$20,W27:W36)</f>
        <v>969592.8037</v>
      </c>
      <c r="Y26" s="12"/>
      <c r="Z26" s="12"/>
    </row>
    <row r="27" ht="15.75" customHeight="1">
      <c r="A27" s="171">
        <f t="shared" si="1"/>
        <v>81</v>
      </c>
      <c r="B27" s="171">
        <f t="shared" si="2"/>
        <v>7</v>
      </c>
      <c r="C27" s="176">
        <f>EDATE(RCD,A26)</f>
        <v>44985</v>
      </c>
      <c r="D27" s="171">
        <f>Age_At_Entry+'Cashflows_Bond Fund'!B27-1</f>
        <v>41</v>
      </c>
      <c r="E27" s="175">
        <f>IF(AND(C27&lt;=Last_Prem,MOD(A26,Mode)=0,C27&gt;INPUT!$C$13,A27&lt;=Revival!$C$11),Mod_Prem,0)</f>
        <v>0</v>
      </c>
      <c r="F27" s="177">
        <f>E27*VLOOKUP(B27,'Pre-Calculation'!$H$1:$I$31,2,FALSE)</f>
        <v>0</v>
      </c>
      <c r="G27" s="177">
        <f>IF(B27&lt;PT+1,VLOOKUP(B27,'Pre-Calculation'!$H$1:$L$32,3,FALSE)+VLOOKUP(B27,'Pre-Calculation'!$H$1:$L$32,4,FALSE)*'Pre-Calculation'!$D$7,0)</f>
        <v>830</v>
      </c>
      <c r="H27" s="175">
        <f>(E27-(F27+G27)*(1+Tax)+N26)</f>
        <v>900936.3152</v>
      </c>
      <c r="I27" s="175">
        <f>IF(B27&lt;PT+1,VLOOKUP(D27,'Pre-Calculation'!$N$3:$P$79,IF(INPUT!$C$4="M",2,3),FALSE)*(J27/1000)*(1/12),0)</f>
        <v>16.17214654</v>
      </c>
      <c r="J27" s="175">
        <f t="shared" si="3"/>
        <v>99063.68481</v>
      </c>
      <c r="K27" s="175">
        <f>(IF('Pre-Calculation'!$D$17="Type 4 a",MAX(SA,H27,1.05*Q27),IF('Pre-Calculation'!$D$17="Type 4 c",H27,IF('Pre-Calculation'!$D$17="Type 4 d",SA+H27,IF('Pre-Calculation'!$D$17="Type 4 e",MAX(SA,H27),IF('Pre-Calculation'!$D$17="Type 4 f",SA,IF('Pre-Calculation'!$D$17="Type 4 g",1000+H27,IF('Pre-Calculation'!$D$17="Type 4 h",SA+V27,IF('Pre-Calculation'!$D$17="Type 4 i",MAX(H27,Q27),IF('Pre-Calculation'!$D$17="Type 4 k",MAX(H27,1.01*Q27),IF('Pre-Calculation'!$D$17="Type 4 m",MAX(105%*Q27,SA+H27),IF('Pre-Calculation'!$D$17="Type 4 o",MAX(SA,105%*Q27)+V27+X27,IF('Pre-Calculation'!$D$17="Type 5",0)))))))))))))*IF(AND(A27&lt;Revival!$C$4,C27&gt;=Revival!$D$12),PUP,1)</f>
        <v>1000000</v>
      </c>
      <c r="L27" s="175">
        <f>H27-I27*(1+Tax)</f>
        <v>900917.2321</v>
      </c>
      <c r="M27" s="175">
        <f>L27*(1+'Pre-Calculation'!$E$28)*(1-'Pre-Calculation'!$E$29*(1+Tax))</f>
        <v>904920.8801</v>
      </c>
      <c r="N27" s="175">
        <f>M27+IF(MOD(A27,B27)=0,VLOOKUP(B27,'Pre-Calculation'!$H$1:$L$31,5,FALSE),0)*IF('Pre-Calculation'!$D$16="% OF FV",M27,IF(OR('Pre-Calculation'!$D$16="% OF AFV(24M)",'Pre-Calculation'!$D$16="% OF AFV(8Q)"),AVERAGE( $M$7:$M27),IF('Pre-Calculation'!$D$16="% OF AFV(12M)",AVERAGE($M16:M27),IF('Pre-Calculation'!$D$16="% OF AFV(36M)",AVERAGE($M$7:M27)))))</f>
        <v>904920.8801</v>
      </c>
      <c r="O27" s="175">
        <f t="shared" si="4"/>
        <v>904920.8801</v>
      </c>
      <c r="P27" s="175">
        <f>IF('Pre-Calculation'!$D$17="Type 4 a",MAX(SA,N27,1.05*Q27),IF('Pre-Calculation'!$D$17="Type 4 c",N27,IF('Pre-Calculation'!$D$17="Type 4 d",SA+N27,IF('Pre-Calculation'!$D$17="Type 4 e",MAX(SA,N27),IF('Pre-Calculation'!$D$17="Type 4 f",SA,IF('Pre-Calculation'!$D$17="Type 4 g",1000+N27,IF('Pre-Calculation'!$D$17="Type 4 h",SA+V27,IF('Pre-Calculation'!$D$17="Type 4 i",MAX(N27,Q27),IF('Pre-Calculation'!$D$17="Type 4 k",MAX(N27,1.01*Q27),IF('Pre-Calculation'!$D$17="Type 4 m",MAX(105%*Q27,SA+N27),IF('Pre-Calculation'!$D$17="Type 4 o",MAX(SA,105%*Q27)+V27+X27,IF('Pre-Calculation'!$D$17="Type 5",0))))))))))))</f>
        <v>1000000</v>
      </c>
      <c r="Q27" s="175">
        <f t="shared" si="5"/>
        <v>700000</v>
      </c>
      <c r="R27" s="119">
        <f>L27*(1+GROWTH_RATE)*FMC</f>
        <v>1019.498259</v>
      </c>
      <c r="S27" s="112"/>
      <c r="T27" s="175">
        <f>-E27+IF(A26=INPUT!$C$11*12,N27,0)</f>
        <v>0</v>
      </c>
      <c r="U27" s="181"/>
      <c r="V27" s="179">
        <f t="array" ref="V27">NPV('Pre-Calculation'!$E$20,$E28:E$246)</f>
        <v>274539.8049</v>
      </c>
      <c r="W27" s="171">
        <f>10%*SA</f>
        <v>100000</v>
      </c>
      <c r="X27" s="179">
        <f t="array" ref="X27">NPV('Pre-Calculation'!$E$20,W28:W37)</f>
        <v>969592.8037</v>
      </c>
      <c r="Y27" s="12"/>
      <c r="Z27" s="12"/>
    </row>
    <row r="28" ht="15.75" customHeight="1">
      <c r="A28" s="171">
        <f t="shared" si="1"/>
        <v>82</v>
      </c>
      <c r="B28" s="171">
        <f t="shared" si="2"/>
        <v>7</v>
      </c>
      <c r="C28" s="176">
        <f>EDATE(RCD,A27)</f>
        <v>45015</v>
      </c>
      <c r="D28" s="171">
        <f>Age_At_Entry+'Cashflows_Bond Fund'!B28-1</f>
        <v>41</v>
      </c>
      <c r="E28" s="175">
        <f>IF(AND(C28&lt;=Last_Prem,MOD(A27,Mode)=0,C28&gt;INPUT!$C$13,A28&lt;=Revival!$C$11),Mod_Prem,0)</f>
        <v>0</v>
      </c>
      <c r="F28" s="177">
        <f>E28*VLOOKUP(B28,'Pre-Calculation'!$H$1:$I$31,2,FALSE)</f>
        <v>0</v>
      </c>
      <c r="G28" s="177">
        <f>IF(B28&lt;PT+1,VLOOKUP(B28,'Pre-Calculation'!$H$1:$L$32,3,FALSE)+VLOOKUP(B28,'Pre-Calculation'!$H$1:$L$32,4,FALSE)*'Pre-Calculation'!$D$7,0)</f>
        <v>830</v>
      </c>
      <c r="H28" s="175">
        <f>(E28-(F28+G28)*(1+Tax)+N27)</f>
        <v>903941.4801</v>
      </c>
      <c r="I28" s="175">
        <f>IF(B28&lt;PT+1,VLOOKUP(D28,'Pre-Calculation'!$N$3:$P$79,IF(INPUT!$C$4="M",2,3),FALSE)*(J28/1000)*(1/12),0)</f>
        <v>15.68155338</v>
      </c>
      <c r="J28" s="175">
        <f t="shared" si="3"/>
        <v>96058.51993</v>
      </c>
      <c r="K28" s="175">
        <f>(IF('Pre-Calculation'!$D$17="Type 4 a",MAX(SA,H28,1.05*Q28),IF('Pre-Calculation'!$D$17="Type 4 c",H28,IF('Pre-Calculation'!$D$17="Type 4 d",SA+H28,IF('Pre-Calculation'!$D$17="Type 4 e",MAX(SA,H28),IF('Pre-Calculation'!$D$17="Type 4 f",SA,IF('Pre-Calculation'!$D$17="Type 4 g",1000+H28,IF('Pre-Calculation'!$D$17="Type 4 h",SA+V28,IF('Pre-Calculation'!$D$17="Type 4 i",MAX(H28,Q28),IF('Pre-Calculation'!$D$17="Type 4 k",MAX(H28,1.01*Q28),IF('Pre-Calculation'!$D$17="Type 4 m",MAX(105%*Q28,SA+H28),IF('Pre-Calculation'!$D$17="Type 4 o",MAX(SA,105%*Q28)+V28+X28,IF('Pre-Calculation'!$D$17="Type 5",0)))))))))))))*IF(AND(A28&lt;Revival!$C$4,C28&gt;=Revival!$D$12),PUP,1)</f>
        <v>1000000</v>
      </c>
      <c r="L28" s="175">
        <f>H28-I28*(1+Tax)</f>
        <v>903922.9758</v>
      </c>
      <c r="M28" s="175">
        <f>L28*(1+'Pre-Calculation'!$E$28)*(1-'Pre-Calculation'!$E$29*(1+Tax))</f>
        <v>907939.9813</v>
      </c>
      <c r="N28" s="175">
        <f>M28+IF(MOD(A28,B28)=0,VLOOKUP(B28,'Pre-Calculation'!$H$1:$L$31,5,FALSE),0)*IF('Pre-Calculation'!$D$16="% OF FV",M28,IF(OR('Pre-Calculation'!$D$16="% OF AFV(24M)",'Pre-Calculation'!$D$16="% OF AFV(8Q)"),AVERAGE( $M$7:$M28),IF('Pre-Calculation'!$D$16="% OF AFV(12M)",AVERAGE($M17:M28),IF('Pre-Calculation'!$D$16="% OF AFV(36M)",AVERAGE($M$7:M28)))))</f>
        <v>907939.9813</v>
      </c>
      <c r="O28" s="175">
        <f t="shared" si="4"/>
        <v>907939.9813</v>
      </c>
      <c r="P28" s="175">
        <f>IF('Pre-Calculation'!$D$17="Type 4 a",MAX(SA,N28,1.05*Q28),IF('Pre-Calculation'!$D$17="Type 4 c",N28,IF('Pre-Calculation'!$D$17="Type 4 d",SA+N28,IF('Pre-Calculation'!$D$17="Type 4 e",MAX(SA,N28),IF('Pre-Calculation'!$D$17="Type 4 f",SA,IF('Pre-Calculation'!$D$17="Type 4 g",1000+N28,IF('Pre-Calculation'!$D$17="Type 4 h",SA+V28,IF('Pre-Calculation'!$D$17="Type 4 i",MAX(N28,Q28),IF('Pre-Calculation'!$D$17="Type 4 k",MAX(N28,1.01*Q28),IF('Pre-Calculation'!$D$17="Type 4 m",MAX(105%*Q28,SA+N28),IF('Pre-Calculation'!$D$17="Type 4 o",MAX(SA,105%*Q28)+V28+X28,IF('Pre-Calculation'!$D$17="Type 5",0))))))))))))</f>
        <v>1000000</v>
      </c>
      <c r="Q28" s="175">
        <f t="shared" si="5"/>
        <v>700000</v>
      </c>
      <c r="R28" s="119">
        <f>L28*(1+GROWTH_RATE)*FMC</f>
        <v>1022.899627</v>
      </c>
      <c r="S28" s="112"/>
      <c r="T28" s="175">
        <f>-E28+IF(A27=INPUT!$C$11*12,N28,0)</f>
        <v>0</v>
      </c>
      <c r="U28" s="181"/>
      <c r="V28" s="179">
        <f t="array" ref="V28">NPV('Pre-Calculation'!$E$20,$E29:E$246)</f>
        <v>276092.0929</v>
      </c>
      <c r="W28" s="171">
        <f>10%*SA</f>
        <v>100000</v>
      </c>
      <c r="X28" s="179">
        <f t="array" ref="X28">NPV('Pre-Calculation'!$E$20,W29:W38)</f>
        <v>969592.8037</v>
      </c>
      <c r="Y28" s="12"/>
      <c r="Z28" s="12"/>
    </row>
    <row r="29" ht="15.75" customHeight="1">
      <c r="A29" s="171">
        <f t="shared" si="1"/>
        <v>83</v>
      </c>
      <c r="B29" s="171">
        <f t="shared" si="2"/>
        <v>7</v>
      </c>
      <c r="C29" s="176">
        <f>EDATE(RCD,A28)</f>
        <v>45046</v>
      </c>
      <c r="D29" s="171">
        <f>Age_At_Entry+'Cashflows_Bond Fund'!B29-1</f>
        <v>41</v>
      </c>
      <c r="E29" s="175">
        <f>IF(AND(C29&lt;=Last_Prem,MOD(A28,Mode)=0,C29&gt;INPUT!$C$13,A29&lt;=Revival!$C$11),Mod_Prem,0)</f>
        <v>0</v>
      </c>
      <c r="F29" s="177">
        <f>E29*VLOOKUP(B29,'Pre-Calculation'!$H$1:$I$31,2,FALSE)</f>
        <v>0</v>
      </c>
      <c r="G29" s="177">
        <f>IF(B29&lt;PT+1,VLOOKUP(B29,'Pre-Calculation'!$H$1:$L$32,3,FALSE)+VLOOKUP(B29,'Pre-Calculation'!$H$1:$L$32,4,FALSE)*'Pre-Calculation'!$D$7,0)</f>
        <v>830</v>
      </c>
      <c r="H29" s="175">
        <f>(E29-(F29+G29)*(1+Tax)+N28)</f>
        <v>906960.5813</v>
      </c>
      <c r="I29" s="175">
        <f>IF(B29&lt;PT+1,VLOOKUP(D29,'Pre-Calculation'!$N$3:$P$79,IF(INPUT!$C$4="M",2,3),FALSE)*(J29/1000)*(1/12),0)</f>
        <v>15.1886851</v>
      </c>
      <c r="J29" s="175">
        <f t="shared" si="3"/>
        <v>93039.41871</v>
      </c>
      <c r="K29" s="175">
        <f>(IF('Pre-Calculation'!$D$17="Type 4 a",MAX(SA,H29,1.05*Q29),IF('Pre-Calculation'!$D$17="Type 4 c",H29,IF('Pre-Calculation'!$D$17="Type 4 d",SA+H29,IF('Pre-Calculation'!$D$17="Type 4 e",MAX(SA,H29),IF('Pre-Calculation'!$D$17="Type 4 f",SA,IF('Pre-Calculation'!$D$17="Type 4 g",1000+H29,IF('Pre-Calculation'!$D$17="Type 4 h",SA+V29,IF('Pre-Calculation'!$D$17="Type 4 i",MAX(H29,Q29),IF('Pre-Calculation'!$D$17="Type 4 k",MAX(H29,1.01*Q29),IF('Pre-Calculation'!$D$17="Type 4 m",MAX(105%*Q29,SA+H29),IF('Pre-Calculation'!$D$17="Type 4 o",MAX(SA,105%*Q29)+V29+X29,IF('Pre-Calculation'!$D$17="Type 5",0)))))))))))))*IF(AND(A29&lt;Revival!$C$4,C29&gt;=Revival!$D$12),PUP,1)</f>
        <v>1000000</v>
      </c>
      <c r="L29" s="175">
        <f>H29-I29*(1+Tax)</f>
        <v>906942.6586</v>
      </c>
      <c r="M29" s="175">
        <f>L29*(1+'Pre-Calculation'!$E$28)*(1-'Pre-Calculation'!$E$29*(1+Tax))</f>
        <v>910973.0835</v>
      </c>
      <c r="N29" s="175">
        <f>M29+IF(MOD(A29,B29)=0,VLOOKUP(B29,'Pre-Calculation'!$H$1:$L$31,5,FALSE),0)*IF('Pre-Calculation'!$D$16="% OF FV",M29,IF(OR('Pre-Calculation'!$D$16="% OF AFV(24M)",'Pre-Calculation'!$D$16="% OF AFV(8Q)"),AVERAGE( $M$7:$M29),IF('Pre-Calculation'!$D$16="% OF AFV(12M)",AVERAGE($M18:M29),IF('Pre-Calculation'!$D$16="% OF AFV(36M)",AVERAGE($M$7:M29)))))</f>
        <v>910973.0835</v>
      </c>
      <c r="O29" s="175">
        <f t="shared" si="4"/>
        <v>910973.0835</v>
      </c>
      <c r="P29" s="175">
        <f>IF('Pre-Calculation'!$D$17="Type 4 a",MAX(SA,N29,1.05*Q29),IF('Pre-Calculation'!$D$17="Type 4 c",N29,IF('Pre-Calculation'!$D$17="Type 4 d",SA+N29,IF('Pre-Calculation'!$D$17="Type 4 e",MAX(SA,N29),IF('Pre-Calculation'!$D$17="Type 4 f",SA,IF('Pre-Calculation'!$D$17="Type 4 g",1000+N29,IF('Pre-Calculation'!$D$17="Type 4 h",SA+V29,IF('Pre-Calculation'!$D$17="Type 4 i",MAX(N29,Q29),IF('Pre-Calculation'!$D$17="Type 4 k",MAX(N29,1.01*Q29),IF('Pre-Calculation'!$D$17="Type 4 m",MAX(105%*Q29,SA+N29),IF('Pre-Calculation'!$D$17="Type 4 o",MAX(SA,105%*Q29)+V29+X29,IF('Pre-Calculation'!$D$17="Type 5",0))))))))))))</f>
        <v>1000000</v>
      </c>
      <c r="Q29" s="175">
        <f t="shared" si="5"/>
        <v>700000</v>
      </c>
      <c r="R29" s="119">
        <f>L29*(1+GROWTH_RATE)*FMC</f>
        <v>1026.316768</v>
      </c>
      <c r="S29" s="112"/>
      <c r="T29" s="175">
        <f>-E29+IF(A28=INPUT!$C$11*12,N29,0)</f>
        <v>0</v>
      </c>
      <c r="U29" s="181"/>
      <c r="V29" s="179">
        <f t="array" ref="V29">NPV('Pre-Calculation'!$E$20,$E30:E$246)</f>
        <v>277653.1577</v>
      </c>
      <c r="W29" s="171">
        <f>10%*SA</f>
        <v>100000</v>
      </c>
      <c r="X29" s="179">
        <f t="array" ref="X29">NPV('Pre-Calculation'!$E$20,W30:W39)</f>
        <v>969592.8037</v>
      </c>
      <c r="Y29" s="12"/>
      <c r="Z29" s="12"/>
    </row>
    <row r="30" ht="15.75" customHeight="1">
      <c r="A30" s="171">
        <f t="shared" si="1"/>
        <v>84</v>
      </c>
      <c r="B30" s="171">
        <f t="shared" si="2"/>
        <v>7</v>
      </c>
      <c r="C30" s="176">
        <f>EDATE(RCD,A29)</f>
        <v>45076</v>
      </c>
      <c r="D30" s="171">
        <f>Age_At_Entry+'Cashflows_Bond Fund'!B30-1</f>
        <v>41</v>
      </c>
      <c r="E30" s="175">
        <f>IF(AND(C30&lt;=Last_Prem,MOD(A29,Mode)=0,C30&gt;INPUT!$C$13,A30&lt;=Revival!$C$11),Mod_Prem,0)</f>
        <v>0</v>
      </c>
      <c r="F30" s="177">
        <f>E30*VLOOKUP(B30,'Pre-Calculation'!$H$1:$I$31,2,FALSE)</f>
        <v>0</v>
      </c>
      <c r="G30" s="177">
        <f>IF(B30&lt;PT+1,VLOOKUP(B30,'Pre-Calculation'!$H$1:$L$32,3,FALSE)+VLOOKUP(B30,'Pre-Calculation'!$H$1:$L$32,4,FALSE)*'Pre-Calculation'!$D$7,0)</f>
        <v>830</v>
      </c>
      <c r="H30" s="175">
        <f>(E30-(F30+G30)*(1+Tax)+N29)</f>
        <v>909993.6835</v>
      </c>
      <c r="I30" s="175">
        <f>IF(B30&lt;PT+1,VLOOKUP(D30,'Pre-Calculation'!$N$3:$P$79,IF(INPUT!$C$4="M",2,3),FALSE)*(J30/1000)*(1/12),0)</f>
        <v>14.69353118</v>
      </c>
      <c r="J30" s="175">
        <f t="shared" si="3"/>
        <v>90006.31654</v>
      </c>
      <c r="K30" s="175">
        <f>(IF('Pre-Calculation'!$D$17="Type 4 a",MAX(SA,H30,1.05*Q30),IF('Pre-Calculation'!$D$17="Type 4 c",H30,IF('Pre-Calculation'!$D$17="Type 4 d",SA+H30,IF('Pre-Calculation'!$D$17="Type 4 e",MAX(SA,H30),IF('Pre-Calculation'!$D$17="Type 4 f",SA,IF('Pre-Calculation'!$D$17="Type 4 g",1000+H30,IF('Pre-Calculation'!$D$17="Type 4 h",SA+V30,IF('Pre-Calculation'!$D$17="Type 4 i",MAX(H30,Q30),IF('Pre-Calculation'!$D$17="Type 4 k",MAX(H30,1.01*Q30),IF('Pre-Calculation'!$D$17="Type 4 m",MAX(105%*Q30,SA+H30),IF('Pre-Calculation'!$D$17="Type 4 o",MAX(SA,105%*Q30)+V30+X30,IF('Pre-Calculation'!$D$17="Type 5",0)))))))))))))*IF(AND(A30&lt;Revival!$C$4,C30&gt;=Revival!$D$12),PUP,1)</f>
        <v>1000000</v>
      </c>
      <c r="L30" s="175">
        <f>H30-I30*(1+Tax)</f>
        <v>909976.3451</v>
      </c>
      <c r="M30" s="175">
        <f>L30*(1+'Pre-Calculation'!$E$28)*(1-'Pre-Calculation'!$E$29*(1+Tax))</f>
        <v>914020.2515</v>
      </c>
      <c r="N30" s="175">
        <f>M30+IF(MOD(A30,B30)=0,VLOOKUP(B30,'Pre-Calculation'!$H$1:$L$31,5,FALSE),0)*IF('Pre-Calculation'!$D$16="% OF FV",M30,IF(OR('Pre-Calculation'!$D$16="% OF AFV(24M)",'Pre-Calculation'!$D$16="% OF AFV(8Q)"),AVERAGE( $M7:$M30),IF('Pre-Calculation'!$D$16="% OF AFV(12M)",AVERAGE($M19:M30),IF('Pre-Calculation'!$D$16="% OF AFV(36M)",AVERAGE($M$7:M30)))))</f>
        <v>914020.2515</v>
      </c>
      <c r="O30" s="175">
        <f t="shared" si="4"/>
        <v>914020.2515</v>
      </c>
      <c r="P30" s="175">
        <f>IF('Pre-Calculation'!$D$17="Type 4 a",MAX(SA,N30,1.05*Q30),IF('Pre-Calculation'!$D$17="Type 4 c",N30,IF('Pre-Calculation'!$D$17="Type 4 d",SA+N30,IF('Pre-Calculation'!$D$17="Type 4 e",MAX(SA,N30),IF('Pre-Calculation'!$D$17="Type 4 f",SA,IF('Pre-Calculation'!$D$17="Type 4 g",1000+N30,IF('Pre-Calculation'!$D$17="Type 4 h",SA+V30,IF('Pre-Calculation'!$D$17="Type 4 i",MAX(N30,Q30),IF('Pre-Calculation'!$D$17="Type 4 k",MAX(N30,1.01*Q30),IF('Pre-Calculation'!$D$17="Type 4 m",MAX(105%*Q30,SA+N30),IF('Pre-Calculation'!$D$17="Type 4 o",MAX(SA,105%*Q30)+V30+X30,IF('Pre-Calculation'!$D$17="Type 5",0))))))))))))</f>
        <v>1000000</v>
      </c>
      <c r="Q30" s="175">
        <f t="shared" si="5"/>
        <v>700000</v>
      </c>
      <c r="R30" s="119">
        <f>L30*(1+GROWTH_RATE)*FMC</f>
        <v>1029.749756</v>
      </c>
      <c r="S30" s="112"/>
      <c r="T30" s="175">
        <f>-E30+IF(A29=INPUT!$C$11*12,N30,0)</f>
        <v>0</v>
      </c>
      <c r="U30" s="171"/>
      <c r="V30" s="179">
        <f t="array" ref="V30">NPV('Pre-Calculation'!$E$20,$E31:E$246)</f>
        <v>279223.049</v>
      </c>
      <c r="W30" s="171">
        <f>10%*SA</f>
        <v>100000</v>
      </c>
      <c r="X30" s="179">
        <f t="array" ref="X30">NPV('Pre-Calculation'!$E$20,W31:W40)</f>
        <v>969592.8037</v>
      </c>
      <c r="Y30" s="12"/>
      <c r="Z30" s="12"/>
    </row>
    <row r="31" ht="15.75" customHeight="1">
      <c r="A31" s="171">
        <f t="shared" si="1"/>
        <v>85</v>
      </c>
      <c r="B31" s="171">
        <f t="shared" si="2"/>
        <v>8</v>
      </c>
      <c r="C31" s="176">
        <f>EDATE(RCD,A30)</f>
        <v>45107</v>
      </c>
      <c r="D31" s="171">
        <f>Age_At_Entry+'Cashflows_Bond Fund'!B31-1</f>
        <v>42</v>
      </c>
      <c r="E31" s="175">
        <f>IF(AND(C31&lt;=Last_Prem,MOD(A30,Mode)=0,C31&gt;INPUT!$C$13,A31&lt;=Revival!$C$11),Mod_Prem,0)</f>
        <v>100000</v>
      </c>
      <c r="F31" s="177">
        <f>E31*VLOOKUP(B31,'Pre-Calculation'!$H$1:$I$31,2,FALSE)</f>
        <v>0</v>
      </c>
      <c r="G31" s="177">
        <f>IF(B31&lt;PT+1,VLOOKUP(B31,'Pre-Calculation'!$H$1:$L$32,3,FALSE)+VLOOKUP(B31,'Pre-Calculation'!$H$1:$L$32,4,FALSE)*'Pre-Calculation'!$D$7,0)</f>
        <v>830</v>
      </c>
      <c r="H31" s="175">
        <f>(E31-(F31+G31)*(1+Tax)+N30)</f>
        <v>1013040.852</v>
      </c>
      <c r="I31" s="175">
        <f>IF(B31&lt;PT+1,VLOOKUP(D31,'Pre-Calculation'!$N$3:$P$79,IF(INPUT!$C$4="M",2,3),FALSE)*(J31/1000)*(1/12),0)</f>
        <v>0</v>
      </c>
      <c r="J31" s="175">
        <f t="shared" si="3"/>
        <v>0</v>
      </c>
      <c r="K31" s="175">
        <f>(IF('Pre-Calculation'!$D$17="Type 4 a",MAX(SA,H31,1.05*Q31),IF('Pre-Calculation'!$D$17="Type 4 c",H31,IF('Pre-Calculation'!$D$17="Type 4 d",SA+H31,IF('Pre-Calculation'!$D$17="Type 4 e",MAX(SA,H31),IF('Pre-Calculation'!$D$17="Type 4 f",SA,IF('Pre-Calculation'!$D$17="Type 4 g",1000+H31,IF('Pre-Calculation'!$D$17="Type 4 h",SA+V31,IF('Pre-Calculation'!$D$17="Type 4 i",MAX(H31,Q31),IF('Pre-Calculation'!$D$17="Type 4 k",MAX(H31,1.01*Q31),IF('Pre-Calculation'!$D$17="Type 4 m",MAX(105%*Q31,SA+H31),IF('Pre-Calculation'!$D$17="Type 4 o",MAX(SA,105%*Q31)+V31+X31,IF('Pre-Calculation'!$D$17="Type 5",0)))))))))))))*IF(AND(A31&lt;Revival!$C$4,C31&gt;=Revival!$D$12),PUP,1)</f>
        <v>1013040.852</v>
      </c>
      <c r="L31" s="175">
        <f>H31-I31*(1+Tax)</f>
        <v>1013040.852</v>
      </c>
      <c r="M31" s="175">
        <f>L31*(1+'Pre-Calculation'!$E$28)*(1-'Pre-Calculation'!$E$29*(1+Tax))</f>
        <v>1017542.773</v>
      </c>
      <c r="N31" s="175">
        <f>M31+IF(MOD(A31,B31)=0,VLOOKUP(B31,'Pre-Calculation'!$H$1:$L$31,5,FALSE),0)*IF('Pre-Calculation'!$D$16="% OF FV",M31,IF(OR('Pre-Calculation'!$D$16="% OF AFV(24M)",'Pre-Calculation'!$D$16="% OF AFV(8Q)"),AVERAGE( $M8:$M31),IF('Pre-Calculation'!$D$16="% OF AFV(12M)",AVERAGE($M20:M31),IF('Pre-Calculation'!$D$16="% OF AFV(36M)",AVERAGE($M$7:M31)))))</f>
        <v>1017542.773</v>
      </c>
      <c r="O31" s="175">
        <f t="shared" si="4"/>
        <v>1017542.773</v>
      </c>
      <c r="P31" s="175">
        <f>IF('Pre-Calculation'!$D$17="Type 4 a",MAX(SA,N31,1.05*Q31),IF('Pre-Calculation'!$D$17="Type 4 c",N31,IF('Pre-Calculation'!$D$17="Type 4 d",SA+N31,IF('Pre-Calculation'!$D$17="Type 4 e",MAX(SA,N31),IF('Pre-Calculation'!$D$17="Type 4 f",SA,IF('Pre-Calculation'!$D$17="Type 4 g",1000+N31,IF('Pre-Calculation'!$D$17="Type 4 h",SA+V31,IF('Pre-Calculation'!$D$17="Type 4 i",MAX(N31,Q31),IF('Pre-Calculation'!$D$17="Type 4 k",MAX(N31,1.01*Q31),IF('Pre-Calculation'!$D$17="Type 4 m",MAX(105%*Q31,SA+N31),IF('Pre-Calculation'!$D$17="Type 4 o",MAX(SA,105%*Q31)+V31+X31,IF('Pre-Calculation'!$D$17="Type 5",0))))))))))))</f>
        <v>1017542.773</v>
      </c>
      <c r="Q31" s="175">
        <f t="shared" si="5"/>
        <v>800000</v>
      </c>
      <c r="R31" s="119">
        <f>L31*(1+GROWTH_RATE)*FMC</f>
        <v>1146.379876</v>
      </c>
      <c r="S31" s="112"/>
      <c r="T31" s="175">
        <f>-E31+IF(A30=INPUT!$C$11*12,N31,0)</f>
        <v>-100000</v>
      </c>
      <c r="U31" s="171"/>
      <c r="V31" s="179">
        <f t="array" ref="V31">NPV('Pre-Calculation'!$E$20,$E32:E$246)</f>
        <v>180801.8168</v>
      </c>
      <c r="W31" s="171">
        <f>10%*SA</f>
        <v>100000</v>
      </c>
      <c r="X31" s="179">
        <f t="array" ref="X31">NPV('Pre-Calculation'!$E$20,W32:W41)</f>
        <v>969592.8037</v>
      </c>
      <c r="Y31" s="12"/>
      <c r="Z31" s="12"/>
    </row>
    <row r="32" ht="15.75" customHeight="1">
      <c r="A32" s="171">
        <f t="shared" si="1"/>
        <v>86</v>
      </c>
      <c r="B32" s="171">
        <f t="shared" si="2"/>
        <v>8</v>
      </c>
      <c r="C32" s="176">
        <f>EDATE(RCD,A31)</f>
        <v>45137</v>
      </c>
      <c r="D32" s="171">
        <f>Age_At_Entry+'Cashflows_Bond Fund'!B32-1</f>
        <v>42</v>
      </c>
      <c r="E32" s="175">
        <f>IF(AND(C32&lt;=Last_Prem,MOD(A31,Mode)=0,C32&gt;INPUT!$C$13,A32&lt;=Revival!$C$11),Mod_Prem,0)</f>
        <v>0</v>
      </c>
      <c r="F32" s="177">
        <f>E32*VLOOKUP(B32,'Pre-Calculation'!$H$1:$I$31,2,FALSE)</f>
        <v>0</v>
      </c>
      <c r="G32" s="177">
        <f>IF(B32&lt;PT+1,VLOOKUP(B32,'Pre-Calculation'!$H$1:$L$32,3,FALSE)+VLOOKUP(B32,'Pre-Calculation'!$H$1:$L$32,4,FALSE)*'Pre-Calculation'!$D$7,0)</f>
        <v>830</v>
      </c>
      <c r="H32" s="175">
        <f>(E32-(F32+G32)*(1+Tax)+N31)</f>
        <v>1016563.373</v>
      </c>
      <c r="I32" s="175">
        <f>IF(B32&lt;PT+1,VLOOKUP(D32,'Pre-Calculation'!$N$3:$P$79,IF(INPUT!$C$4="M",2,3),FALSE)*(J32/1000)*(1/12),0)</f>
        <v>0</v>
      </c>
      <c r="J32" s="175">
        <f t="shared" si="3"/>
        <v>0</v>
      </c>
      <c r="K32" s="175">
        <f>(IF('Pre-Calculation'!$D$17="Type 4 a",MAX(SA,H32,1.05*Q32),IF('Pre-Calculation'!$D$17="Type 4 c",H32,IF('Pre-Calculation'!$D$17="Type 4 d",SA+H32,IF('Pre-Calculation'!$D$17="Type 4 e",MAX(SA,H32),IF('Pre-Calculation'!$D$17="Type 4 f",SA,IF('Pre-Calculation'!$D$17="Type 4 g",1000+H32,IF('Pre-Calculation'!$D$17="Type 4 h",SA+V32,IF('Pre-Calculation'!$D$17="Type 4 i",MAX(H32,Q32),IF('Pre-Calculation'!$D$17="Type 4 k",MAX(H32,1.01*Q32),IF('Pre-Calculation'!$D$17="Type 4 m",MAX(105%*Q32,SA+H32),IF('Pre-Calculation'!$D$17="Type 4 o",MAX(SA,105%*Q32)+V32+X32,IF('Pre-Calculation'!$D$17="Type 5",0)))))))))))))*IF(AND(A32&lt;Revival!$C$4,C32&gt;=Revival!$D$12),PUP,1)</f>
        <v>1016563.373</v>
      </c>
      <c r="L32" s="175">
        <f>H32-I32*(1+Tax)</f>
        <v>1016563.373</v>
      </c>
      <c r="M32" s="175">
        <f>L32*(1+'Pre-Calculation'!$E$28)*(1-'Pre-Calculation'!$E$29*(1+Tax))</f>
        <v>1021080.949</v>
      </c>
      <c r="N32" s="175">
        <f>M32+IF(MOD(A32,B32)=0,VLOOKUP(B32,'Pre-Calculation'!$H$1:$L$31,5,FALSE),0)*IF('Pre-Calculation'!$D$16="% OF FV",M32,IF(OR('Pre-Calculation'!$D$16="% OF AFV(24M)",'Pre-Calculation'!$D$16="% OF AFV(8Q)"),AVERAGE( $M9:$M32),IF('Pre-Calculation'!$D$16="% OF AFV(12M)",AVERAGE($M21:M32),IF('Pre-Calculation'!$D$16="% OF AFV(36M)",AVERAGE($M$7:M32)))))</f>
        <v>1021080.949</v>
      </c>
      <c r="O32" s="175">
        <f t="shared" si="4"/>
        <v>1021080.949</v>
      </c>
      <c r="P32" s="175">
        <f>IF('Pre-Calculation'!$D$17="Type 4 a",MAX(SA,N32,1.05*Q32),IF('Pre-Calculation'!$D$17="Type 4 c",N32,IF('Pre-Calculation'!$D$17="Type 4 d",SA+N32,IF('Pre-Calculation'!$D$17="Type 4 e",MAX(SA,N32),IF('Pre-Calculation'!$D$17="Type 4 f",SA,IF('Pre-Calculation'!$D$17="Type 4 g",1000+N32,IF('Pre-Calculation'!$D$17="Type 4 h",SA+V32,IF('Pre-Calculation'!$D$17="Type 4 i",MAX(N32,Q32),IF('Pre-Calculation'!$D$17="Type 4 k",MAX(N32,1.01*Q32),IF('Pre-Calculation'!$D$17="Type 4 m",MAX(105%*Q32,SA+N32),IF('Pre-Calculation'!$D$17="Type 4 o",MAX(SA,105%*Q32)+V32+X32,IF('Pre-Calculation'!$D$17="Type 5",0))))))))))))</f>
        <v>1021080.949</v>
      </c>
      <c r="Q32" s="175">
        <f t="shared" si="5"/>
        <v>800000</v>
      </c>
      <c r="R32" s="119">
        <f>L32*(1+GROWTH_RATE)*FMC</f>
        <v>1150.366041</v>
      </c>
      <c r="S32" s="112"/>
      <c r="T32" s="175">
        <f>-E32+IF(A31=INPUT!$C$11*12,N32,0)</f>
        <v>0</v>
      </c>
      <c r="U32" s="171"/>
      <c r="V32" s="179">
        <f t="array" ref="V32">NPV('Pre-Calculation'!$E$20,$E33:E$246)</f>
        <v>181824.0965</v>
      </c>
      <c r="W32" s="171">
        <f>10%*SA</f>
        <v>100000</v>
      </c>
      <c r="X32" s="179">
        <f t="array" ref="X32">NPV('Pre-Calculation'!$E$20,W33:W42)</f>
        <v>969592.8037</v>
      </c>
      <c r="Y32" s="12"/>
      <c r="Z32" s="12"/>
    </row>
    <row r="33" ht="15.75" customHeight="1">
      <c r="A33" s="171">
        <f t="shared" si="1"/>
        <v>87</v>
      </c>
      <c r="B33" s="171">
        <f t="shared" si="2"/>
        <v>8</v>
      </c>
      <c r="C33" s="176">
        <f>EDATE(RCD,A32)</f>
        <v>45168</v>
      </c>
      <c r="D33" s="171">
        <f>Age_At_Entry+'Cashflows_Bond Fund'!B33-1</f>
        <v>42</v>
      </c>
      <c r="E33" s="175">
        <f>IF(AND(C33&lt;=Last_Prem,MOD(A32,Mode)=0,C33&gt;INPUT!$C$13,A33&lt;=Revival!$C$11),Mod_Prem,0)</f>
        <v>0</v>
      </c>
      <c r="F33" s="177">
        <f>E33*VLOOKUP(B33,'Pre-Calculation'!$H$1:$I$31,2,FALSE)</f>
        <v>0</v>
      </c>
      <c r="G33" s="177">
        <f>IF(B33&lt;PT+1,VLOOKUP(B33,'Pre-Calculation'!$H$1:$L$32,3,FALSE)+VLOOKUP(B33,'Pre-Calculation'!$H$1:$L$32,4,FALSE)*'Pre-Calculation'!$D$7,0)</f>
        <v>830</v>
      </c>
      <c r="H33" s="175">
        <f>(E33-(F33+G33)*(1+Tax)+N32)</f>
        <v>1020101.549</v>
      </c>
      <c r="I33" s="175">
        <f>IF(B33&lt;PT+1,VLOOKUP(D33,'Pre-Calculation'!$N$3:$P$79,IF(INPUT!$C$4="M",2,3),FALSE)*(J33/1000)*(1/12),0)</f>
        <v>0</v>
      </c>
      <c r="J33" s="175">
        <f t="shared" si="3"/>
        <v>0</v>
      </c>
      <c r="K33" s="175">
        <f>(IF('Pre-Calculation'!$D$17="Type 4 a",MAX(SA,H33,1.05*Q33),IF('Pre-Calculation'!$D$17="Type 4 c",H33,IF('Pre-Calculation'!$D$17="Type 4 d",SA+H33,IF('Pre-Calculation'!$D$17="Type 4 e",MAX(SA,H33),IF('Pre-Calculation'!$D$17="Type 4 f",SA,IF('Pre-Calculation'!$D$17="Type 4 g",1000+H33,IF('Pre-Calculation'!$D$17="Type 4 h",SA+V33,IF('Pre-Calculation'!$D$17="Type 4 i",MAX(H33,Q33),IF('Pre-Calculation'!$D$17="Type 4 k",MAX(H33,1.01*Q33),IF('Pre-Calculation'!$D$17="Type 4 m",MAX(105%*Q33,SA+H33),IF('Pre-Calculation'!$D$17="Type 4 o",MAX(SA,105%*Q33)+V33+X33,IF('Pre-Calculation'!$D$17="Type 5",0)))))))))))))*IF(AND(A33&lt;Revival!$C$4,C33&gt;=Revival!$D$12),PUP,1)</f>
        <v>1020101.549</v>
      </c>
      <c r="L33" s="175">
        <f>H33-I33*(1+Tax)</f>
        <v>1020101.549</v>
      </c>
      <c r="M33" s="175">
        <f>L33*(1+'Pre-Calculation'!$E$28)*(1-'Pre-Calculation'!$E$29*(1+Tax))</f>
        <v>1024634.849</v>
      </c>
      <c r="N33" s="175">
        <f>M33+IF(MOD(A33,B33)=0,VLOOKUP(B33,'Pre-Calculation'!$H$1:$L$31,5,FALSE),0)*IF('Pre-Calculation'!$D$16="% OF FV",M33,IF(OR('Pre-Calculation'!$D$16="% OF AFV(24M)",'Pre-Calculation'!$D$16="% OF AFV(8Q)"),AVERAGE( $M10:$M33),IF('Pre-Calculation'!$D$16="% OF AFV(12M)",AVERAGE($M22:M33),IF('Pre-Calculation'!$D$16="% OF AFV(36M)",AVERAGE($M$7:M33)))))</f>
        <v>1024634.849</v>
      </c>
      <c r="O33" s="175">
        <f t="shared" si="4"/>
        <v>1024634.849</v>
      </c>
      <c r="P33" s="175">
        <f>IF('Pre-Calculation'!$D$17="Type 4 a",MAX(SA,N33,1.05*Q33),IF('Pre-Calculation'!$D$17="Type 4 c",N33,IF('Pre-Calculation'!$D$17="Type 4 d",SA+N33,IF('Pre-Calculation'!$D$17="Type 4 e",MAX(SA,N33),IF('Pre-Calculation'!$D$17="Type 4 f",SA,IF('Pre-Calculation'!$D$17="Type 4 g",1000+N33,IF('Pre-Calculation'!$D$17="Type 4 h",SA+V33,IF('Pre-Calculation'!$D$17="Type 4 i",MAX(N33,Q33),IF('Pre-Calculation'!$D$17="Type 4 k",MAX(N33,1.01*Q33),IF('Pre-Calculation'!$D$17="Type 4 m",MAX(105%*Q33,SA+N33),IF('Pre-Calculation'!$D$17="Type 4 o",MAX(SA,105%*Q33)+V33+X33,IF('Pre-Calculation'!$D$17="Type 5",0))))))))))))</f>
        <v>1024634.849</v>
      </c>
      <c r="Q33" s="175">
        <f t="shared" si="5"/>
        <v>800000</v>
      </c>
      <c r="R33" s="119">
        <f>L33*(1+GROWTH_RATE)*FMC</f>
        <v>1154.369921</v>
      </c>
      <c r="S33" s="112"/>
      <c r="T33" s="175">
        <f>-E33+IF(A32=INPUT!$C$11*12,N33,0)</f>
        <v>0</v>
      </c>
      <c r="U33" s="171"/>
      <c r="V33" s="179">
        <f t="array" ref="V33">NPV('Pre-Calculation'!$E$20,$E34:E$246)</f>
        <v>182852.1564</v>
      </c>
      <c r="W33" s="171">
        <f>10%*SA</f>
        <v>100000</v>
      </c>
      <c r="X33" s="179">
        <f t="array" ref="X33">NPV('Pre-Calculation'!$E$20,W34:W43)</f>
        <v>969592.8037</v>
      </c>
      <c r="Y33" s="12"/>
      <c r="Z33" s="12"/>
    </row>
    <row r="34" ht="15.75" customHeight="1">
      <c r="A34" s="171">
        <f t="shared" si="1"/>
        <v>88</v>
      </c>
      <c r="B34" s="171">
        <f t="shared" si="2"/>
        <v>8</v>
      </c>
      <c r="C34" s="176">
        <f>EDATE(RCD,A33)</f>
        <v>45199</v>
      </c>
      <c r="D34" s="171">
        <f>Age_At_Entry+'Cashflows_Bond Fund'!B34-1</f>
        <v>42</v>
      </c>
      <c r="E34" s="175">
        <f>IF(AND(C34&lt;=Last_Prem,MOD(A33,Mode)=0,C34&gt;INPUT!$C$13,A34&lt;=Revival!$C$11),Mod_Prem,0)</f>
        <v>0</v>
      </c>
      <c r="F34" s="177">
        <f>E34*VLOOKUP(B34,'Pre-Calculation'!$H$1:$I$31,2,FALSE)</f>
        <v>0</v>
      </c>
      <c r="G34" s="177">
        <f>IF(B34&lt;PT+1,VLOOKUP(B34,'Pre-Calculation'!$H$1:$L$32,3,FALSE)+VLOOKUP(B34,'Pre-Calculation'!$H$1:$L$32,4,FALSE)*'Pre-Calculation'!$D$7,0)</f>
        <v>830</v>
      </c>
      <c r="H34" s="175">
        <f>(E34-(F34+G34)*(1+Tax)+N33)</f>
        <v>1023655.449</v>
      </c>
      <c r="I34" s="175">
        <f>IF(B34&lt;PT+1,VLOOKUP(D34,'Pre-Calculation'!$N$3:$P$79,IF(INPUT!$C$4="M",2,3),FALSE)*(J34/1000)*(1/12),0)</f>
        <v>0</v>
      </c>
      <c r="J34" s="175">
        <f t="shared" si="3"/>
        <v>0</v>
      </c>
      <c r="K34" s="175">
        <f>(IF('Pre-Calculation'!$D$17="Type 4 a",MAX(SA,H34,1.05*Q34),IF('Pre-Calculation'!$D$17="Type 4 c",H34,IF('Pre-Calculation'!$D$17="Type 4 d",SA+H34,IF('Pre-Calculation'!$D$17="Type 4 e",MAX(SA,H34),IF('Pre-Calculation'!$D$17="Type 4 f",SA,IF('Pre-Calculation'!$D$17="Type 4 g",1000+H34,IF('Pre-Calculation'!$D$17="Type 4 h",SA+V34,IF('Pre-Calculation'!$D$17="Type 4 i",MAX(H34,Q34),IF('Pre-Calculation'!$D$17="Type 4 k",MAX(H34,1.01*Q34),IF('Pre-Calculation'!$D$17="Type 4 m",MAX(105%*Q34,SA+H34),IF('Pre-Calculation'!$D$17="Type 4 o",MAX(SA,105%*Q34)+V34+X34,IF('Pre-Calculation'!$D$17="Type 5",0)))))))))))))*IF(AND(A34&lt;Revival!$C$4,C34&gt;=Revival!$D$12),PUP,1)</f>
        <v>1023655.449</v>
      </c>
      <c r="L34" s="175">
        <f>H34-I34*(1+Tax)</f>
        <v>1023655.449</v>
      </c>
      <c r="M34" s="175">
        <f>L34*(1+'Pre-Calculation'!$E$28)*(1-'Pre-Calculation'!$E$29*(1+Tax))</f>
        <v>1028204.541</v>
      </c>
      <c r="N34" s="175">
        <f>M34+IF(MOD(A34,B34)=0,VLOOKUP(B34,'Pre-Calculation'!$H$1:$L$31,5,FALSE),0)*IF('Pre-Calculation'!$D$16="% OF FV",M34,IF(OR('Pre-Calculation'!$D$16="% OF AFV(24M)",'Pre-Calculation'!$D$16="% OF AFV(8Q)"),AVERAGE( $M11:$M34),IF('Pre-Calculation'!$D$16="% OF AFV(12M)",AVERAGE($M23:M34),IF('Pre-Calculation'!$D$16="% OF AFV(36M)",AVERAGE($M$7:M34)))))</f>
        <v>1028204.541</v>
      </c>
      <c r="O34" s="175">
        <f t="shared" si="4"/>
        <v>1028204.541</v>
      </c>
      <c r="P34" s="175">
        <f>IF('Pre-Calculation'!$D$17="Type 4 a",MAX(SA,N34,1.05*Q34),IF('Pre-Calculation'!$D$17="Type 4 c",N34,IF('Pre-Calculation'!$D$17="Type 4 d",SA+N34,IF('Pre-Calculation'!$D$17="Type 4 e",MAX(SA,N34),IF('Pre-Calculation'!$D$17="Type 4 f",SA,IF('Pre-Calculation'!$D$17="Type 4 g",1000+N34,IF('Pre-Calculation'!$D$17="Type 4 h",SA+V34,IF('Pre-Calculation'!$D$17="Type 4 i",MAX(N34,Q34),IF('Pre-Calculation'!$D$17="Type 4 k",MAX(N34,1.01*Q34),IF('Pre-Calculation'!$D$17="Type 4 m",MAX(105%*Q34,SA+N34),IF('Pre-Calculation'!$D$17="Type 4 o",MAX(SA,105%*Q34)+V34+X34,IF('Pre-Calculation'!$D$17="Type 5",0))))))))))))</f>
        <v>1028204.541</v>
      </c>
      <c r="Q34" s="175">
        <f t="shared" si="5"/>
        <v>800000</v>
      </c>
      <c r="R34" s="119">
        <f>L34*(1+GROWTH_RATE)*FMC</f>
        <v>1158.391593</v>
      </c>
      <c r="S34" s="112"/>
      <c r="T34" s="175">
        <f>-E34+IF(A33=INPUT!$C$11*12,N34,0)</f>
        <v>0</v>
      </c>
      <c r="U34" s="171"/>
      <c r="V34" s="179">
        <f t="array" ref="V34">NPV('Pre-Calculation'!$E$20,$E35:E$246)</f>
        <v>183886.0291</v>
      </c>
      <c r="W34" s="171">
        <f>10%*SA</f>
        <v>100000</v>
      </c>
      <c r="X34" s="179">
        <f t="array" ref="X34">NPV('Pre-Calculation'!$E$20,W35:W44)</f>
        <v>969592.8037</v>
      </c>
      <c r="Y34" s="12"/>
      <c r="Z34" s="12"/>
    </row>
    <row r="35" ht="15.75" customHeight="1">
      <c r="A35" s="171">
        <f t="shared" si="1"/>
        <v>89</v>
      </c>
      <c r="B35" s="171">
        <f t="shared" si="2"/>
        <v>8</v>
      </c>
      <c r="C35" s="176">
        <f>EDATE(RCD,A34)</f>
        <v>45229</v>
      </c>
      <c r="D35" s="171">
        <f>Age_At_Entry+'Cashflows_Bond Fund'!B35-1</f>
        <v>42</v>
      </c>
      <c r="E35" s="175">
        <f>IF(AND(C35&lt;=Last_Prem,MOD(A34,Mode)=0,C35&gt;INPUT!$C$13,A35&lt;=Revival!$C$11),Mod_Prem,0)</f>
        <v>0</v>
      </c>
      <c r="F35" s="177">
        <f>E35*VLOOKUP(B35,'Pre-Calculation'!$H$1:$I$31,2,FALSE)</f>
        <v>0</v>
      </c>
      <c r="G35" s="177">
        <f>IF(B35&lt;PT+1,VLOOKUP(B35,'Pre-Calculation'!$H$1:$L$32,3,FALSE)+VLOOKUP(B35,'Pre-Calculation'!$H$1:$L$32,4,FALSE)*'Pre-Calculation'!$D$7,0)</f>
        <v>830</v>
      </c>
      <c r="H35" s="175">
        <f>(E35-(F35+G35)*(1+Tax)+N34)</f>
        <v>1027225.141</v>
      </c>
      <c r="I35" s="175">
        <f>IF(B35&lt;PT+1,VLOOKUP(D35,'Pre-Calculation'!$N$3:$P$79,IF(INPUT!$C$4="M",2,3),FALSE)*(J35/1000)*(1/12),0)</f>
        <v>0</v>
      </c>
      <c r="J35" s="175">
        <f t="shared" si="3"/>
        <v>0</v>
      </c>
      <c r="K35" s="175">
        <f>(IF('Pre-Calculation'!$D$17="Type 4 a",MAX(SA,H35,1.05*Q35),IF('Pre-Calculation'!$D$17="Type 4 c",H35,IF('Pre-Calculation'!$D$17="Type 4 d",SA+H35,IF('Pre-Calculation'!$D$17="Type 4 e",MAX(SA,H35),IF('Pre-Calculation'!$D$17="Type 4 f",SA,IF('Pre-Calculation'!$D$17="Type 4 g",1000+H35,IF('Pre-Calculation'!$D$17="Type 4 h",SA+V35,IF('Pre-Calculation'!$D$17="Type 4 i",MAX(H35,Q35),IF('Pre-Calculation'!$D$17="Type 4 k",MAX(H35,1.01*Q35),IF('Pre-Calculation'!$D$17="Type 4 m",MAX(105%*Q35,SA+H35),IF('Pre-Calculation'!$D$17="Type 4 o",MAX(SA,105%*Q35)+V35+X35,IF('Pre-Calculation'!$D$17="Type 5",0)))))))))))))*IF(AND(A35&lt;Revival!$C$4,C35&gt;=Revival!$D$12),PUP,1)</f>
        <v>1027225.141</v>
      </c>
      <c r="L35" s="175">
        <f>H35-I35*(1+Tax)</f>
        <v>1027225.141</v>
      </c>
      <c r="M35" s="175">
        <f>L35*(1+'Pre-Calculation'!$E$28)*(1-'Pre-Calculation'!$E$29*(1+Tax))</f>
        <v>1031790.098</v>
      </c>
      <c r="N35" s="175">
        <f>M35+IF(MOD(A35,B35)=0,VLOOKUP(B35,'Pre-Calculation'!$H$1:$L$31,5,FALSE),0)*IF('Pre-Calculation'!$D$16="% OF FV",M35,IF(OR('Pre-Calculation'!$D$16="% OF AFV(24M)",'Pre-Calculation'!$D$16="% OF AFV(8Q)"),AVERAGE( $M12:$M35),IF('Pre-Calculation'!$D$16="% OF AFV(12M)",AVERAGE($M24:M35),IF('Pre-Calculation'!$D$16="% OF AFV(36M)",AVERAGE($M$7:M35)))))</f>
        <v>1031790.098</v>
      </c>
      <c r="O35" s="175">
        <f t="shared" si="4"/>
        <v>1031790.098</v>
      </c>
      <c r="P35" s="175">
        <f>IF('Pre-Calculation'!$D$17="Type 4 a",MAX(SA,N35,1.05*Q35),IF('Pre-Calculation'!$D$17="Type 4 c",N35,IF('Pre-Calculation'!$D$17="Type 4 d",SA+N35,IF('Pre-Calculation'!$D$17="Type 4 e",MAX(SA,N35),IF('Pre-Calculation'!$D$17="Type 4 f",SA,IF('Pre-Calculation'!$D$17="Type 4 g",1000+N35,IF('Pre-Calculation'!$D$17="Type 4 h",SA+V35,IF('Pre-Calculation'!$D$17="Type 4 i",MAX(N35,Q35),IF('Pre-Calculation'!$D$17="Type 4 k",MAX(N35,1.01*Q35),IF('Pre-Calculation'!$D$17="Type 4 m",MAX(105%*Q35,SA+N35),IF('Pre-Calculation'!$D$17="Type 4 o",MAX(SA,105%*Q35)+V35+X35,IF('Pre-Calculation'!$D$17="Type 5",0))))))))))))</f>
        <v>1031790.098</v>
      </c>
      <c r="Q35" s="175">
        <f t="shared" si="5"/>
        <v>800000</v>
      </c>
      <c r="R35" s="119">
        <f>L35*(1+GROWTH_RATE)*FMC</f>
        <v>1162.431138</v>
      </c>
      <c r="S35" s="112"/>
      <c r="T35" s="175">
        <f>-E35+IF(A34=INPUT!$C$11*12,N35,0)</f>
        <v>0</v>
      </c>
      <c r="U35" s="171"/>
      <c r="V35" s="179">
        <f t="array" ref="V35">NPV('Pre-Calculation'!$E$20,$E36:E$246)</f>
        <v>184925.7474</v>
      </c>
      <c r="W35" s="171">
        <f>10%*SA</f>
        <v>100000</v>
      </c>
      <c r="X35" s="179">
        <f t="array" ref="X35">NPV('Pre-Calculation'!$E$20,W36:W45)</f>
        <v>969592.8037</v>
      </c>
      <c r="Y35" s="12"/>
      <c r="Z35" s="12"/>
    </row>
    <row r="36" ht="15.75" customHeight="1">
      <c r="A36" s="171">
        <f t="shared" si="1"/>
        <v>90</v>
      </c>
      <c r="B36" s="171">
        <f t="shared" si="2"/>
        <v>8</v>
      </c>
      <c r="C36" s="176">
        <f>EDATE(RCD,A35)</f>
        <v>45260</v>
      </c>
      <c r="D36" s="171">
        <f>Age_At_Entry+'Cashflows_Bond Fund'!B36-1</f>
        <v>42</v>
      </c>
      <c r="E36" s="175">
        <f>IF(AND(C36&lt;=Last_Prem,MOD(A35,Mode)=0,C36&gt;INPUT!$C$13,A36&lt;=Revival!$C$11),Mod_Prem,0)</f>
        <v>0</v>
      </c>
      <c r="F36" s="177">
        <f>E36*VLOOKUP(B36,'Pre-Calculation'!$H$1:$I$31,2,FALSE)</f>
        <v>0</v>
      </c>
      <c r="G36" s="177">
        <f>IF(B36&lt;PT+1,VLOOKUP(B36,'Pre-Calculation'!$H$1:$L$32,3,FALSE)+VLOOKUP(B36,'Pre-Calculation'!$H$1:$L$32,4,FALSE)*'Pre-Calculation'!$D$7,0)</f>
        <v>830</v>
      </c>
      <c r="H36" s="175">
        <f>(E36-(F36+G36)*(1+Tax)+N35)</f>
        <v>1030810.698</v>
      </c>
      <c r="I36" s="175">
        <f>IF(B36&lt;PT+1,VLOOKUP(D36,'Pre-Calculation'!$N$3:$P$79,IF(INPUT!$C$4="M",2,3),FALSE)*(J36/1000)*(1/12),0)</f>
        <v>0</v>
      </c>
      <c r="J36" s="175">
        <f t="shared" si="3"/>
        <v>0</v>
      </c>
      <c r="K36" s="175">
        <f>(IF('Pre-Calculation'!$D$17="Type 4 a",MAX(SA,H36,1.05*Q36),IF('Pre-Calculation'!$D$17="Type 4 c",H36,IF('Pre-Calculation'!$D$17="Type 4 d",SA+H36,IF('Pre-Calculation'!$D$17="Type 4 e",MAX(SA,H36),IF('Pre-Calculation'!$D$17="Type 4 f",SA,IF('Pre-Calculation'!$D$17="Type 4 g",1000+H36,IF('Pre-Calculation'!$D$17="Type 4 h",SA+V36,IF('Pre-Calculation'!$D$17="Type 4 i",MAX(H36,Q36),IF('Pre-Calculation'!$D$17="Type 4 k",MAX(H36,1.01*Q36),IF('Pre-Calculation'!$D$17="Type 4 m",MAX(105%*Q36,SA+H36),IF('Pre-Calculation'!$D$17="Type 4 o",MAX(SA,105%*Q36)+V36+X36,IF('Pre-Calculation'!$D$17="Type 5",0)))))))))))))*IF(AND(A36&lt;Revival!$C$4,C36&gt;=Revival!$D$12),PUP,1)</f>
        <v>1030810.698</v>
      </c>
      <c r="L36" s="175">
        <f>H36-I36*(1+Tax)</f>
        <v>1030810.698</v>
      </c>
      <c r="M36" s="175">
        <f>L36*(1+'Pre-Calculation'!$E$28)*(1-'Pre-Calculation'!$E$29*(1+Tax))</f>
        <v>1035391.588</v>
      </c>
      <c r="N36" s="175">
        <f>M36+IF(MOD(A36,B36)=0,VLOOKUP(B36,'Pre-Calculation'!$H$1:$L$31,5,FALSE),0)*IF('Pre-Calculation'!$D$16="% OF FV",M36,IF(OR('Pre-Calculation'!$D$16="% OF AFV(24M)",'Pre-Calculation'!$D$16="% OF AFV(8Q)"),AVERAGE( $M13:$M36),IF('Pre-Calculation'!$D$16="% OF AFV(12M)",AVERAGE($M25:M36),IF('Pre-Calculation'!$D$16="% OF AFV(36M)",AVERAGE($M$7:M36)))))</f>
        <v>1035391.588</v>
      </c>
      <c r="O36" s="175">
        <f t="shared" si="4"/>
        <v>1035391.588</v>
      </c>
      <c r="P36" s="175">
        <f>IF('Pre-Calculation'!$D$17="Type 4 a",MAX(SA,N36,1.05*Q36),IF('Pre-Calculation'!$D$17="Type 4 c",N36,IF('Pre-Calculation'!$D$17="Type 4 d",SA+N36,IF('Pre-Calculation'!$D$17="Type 4 e",MAX(SA,N36),IF('Pre-Calculation'!$D$17="Type 4 f",SA,IF('Pre-Calculation'!$D$17="Type 4 g",1000+N36,IF('Pre-Calculation'!$D$17="Type 4 h",SA+V36,IF('Pre-Calculation'!$D$17="Type 4 i",MAX(N36,Q36),IF('Pre-Calculation'!$D$17="Type 4 k",MAX(N36,1.01*Q36),IF('Pre-Calculation'!$D$17="Type 4 m",MAX(105%*Q36,SA+N36),IF('Pre-Calculation'!$D$17="Type 4 o",MAX(SA,105%*Q36)+V36+X36,IF('Pre-Calculation'!$D$17="Type 5",0))))))))))))</f>
        <v>1035391.588</v>
      </c>
      <c r="Q36" s="175">
        <f t="shared" si="5"/>
        <v>800000</v>
      </c>
      <c r="R36" s="119">
        <f>L36*(1+GROWTH_RATE)*FMC</f>
        <v>1166.488635</v>
      </c>
      <c r="S36" s="112"/>
      <c r="T36" s="175">
        <f>-E36+IF(A35=INPUT!$C$11*12,N36,0)</f>
        <v>0</v>
      </c>
      <c r="U36" s="171"/>
      <c r="V36" s="179">
        <f t="array" ref="V36">NPV('Pre-Calculation'!$E$20,$E37:E$246)</f>
        <v>185971.3445</v>
      </c>
      <c r="W36" s="171">
        <f>10%*SA</f>
        <v>100000</v>
      </c>
      <c r="X36" s="179">
        <f t="array" ref="X36">NPV('Pre-Calculation'!$E$20,W37:W46)</f>
        <v>969592.8037</v>
      </c>
      <c r="Y36" s="12"/>
      <c r="Z36" s="12"/>
    </row>
    <row r="37" ht="15.75" customHeight="1">
      <c r="A37" s="171">
        <f t="shared" si="1"/>
        <v>91</v>
      </c>
      <c r="B37" s="171">
        <f t="shared" si="2"/>
        <v>8</v>
      </c>
      <c r="C37" s="176">
        <f>EDATE(RCD,A36)</f>
        <v>45290</v>
      </c>
      <c r="D37" s="171">
        <f>Age_At_Entry+'Cashflows_Bond Fund'!B37-1</f>
        <v>42</v>
      </c>
      <c r="E37" s="175">
        <f>IF(AND(C37&lt;=Last_Prem,MOD(A36,Mode)=0,C37&gt;INPUT!$C$13,A37&lt;=Revival!$C$11),Mod_Prem,0)</f>
        <v>0</v>
      </c>
      <c r="F37" s="177">
        <f>E37*VLOOKUP(B37,'Pre-Calculation'!$H$1:$I$31,2,FALSE)</f>
        <v>0</v>
      </c>
      <c r="G37" s="177">
        <f>IF(B37&lt;PT+1,VLOOKUP(B37,'Pre-Calculation'!$H$1:$L$32,3,FALSE)+VLOOKUP(B37,'Pre-Calculation'!$H$1:$L$32,4,FALSE)*'Pre-Calculation'!$D$7,0)</f>
        <v>830</v>
      </c>
      <c r="H37" s="175">
        <f>(E37-(F37+G37)*(1+Tax)+N36)</f>
        <v>1034412.188</v>
      </c>
      <c r="I37" s="175">
        <f>IF(B37&lt;PT+1,VLOOKUP(D37,'Pre-Calculation'!$N$3:$P$79,IF(INPUT!$C$4="M",2,3),FALSE)*(J37/1000)*(1/12),0)</f>
        <v>0</v>
      </c>
      <c r="J37" s="175">
        <f t="shared" si="3"/>
        <v>0</v>
      </c>
      <c r="K37" s="175">
        <f>(IF('Pre-Calculation'!$D$17="Type 4 a",MAX(SA,H37,1.05*Q37),IF('Pre-Calculation'!$D$17="Type 4 c",H37,IF('Pre-Calculation'!$D$17="Type 4 d",SA+H37,IF('Pre-Calculation'!$D$17="Type 4 e",MAX(SA,H37),IF('Pre-Calculation'!$D$17="Type 4 f",SA,IF('Pre-Calculation'!$D$17="Type 4 g",1000+H37,IF('Pre-Calculation'!$D$17="Type 4 h",SA+V37,IF('Pre-Calculation'!$D$17="Type 4 i",MAX(H37,Q37),IF('Pre-Calculation'!$D$17="Type 4 k",MAX(H37,1.01*Q37),IF('Pre-Calculation'!$D$17="Type 4 m",MAX(105%*Q37,SA+H37),IF('Pre-Calculation'!$D$17="Type 4 o",MAX(SA,105%*Q37)+V37+X37,IF('Pre-Calculation'!$D$17="Type 5",0)))))))))))))*IF(AND(A37&lt;Revival!$C$4,C37&gt;=Revival!$D$12),PUP,1)</f>
        <v>1034412.188</v>
      </c>
      <c r="L37" s="175">
        <f>H37-I37*(1+Tax)</f>
        <v>1034412.188</v>
      </c>
      <c r="M37" s="175">
        <f>L37*(1+'Pre-Calculation'!$E$28)*(1-'Pre-Calculation'!$E$29*(1+Tax))</f>
        <v>1039009.084</v>
      </c>
      <c r="N37" s="175">
        <f>M37+IF(MOD(A37,B37)=0,VLOOKUP(B37,'Pre-Calculation'!$H$1:$L$31,5,FALSE),0)*IF('Pre-Calculation'!$D$16="% OF FV",M37,IF(OR('Pre-Calculation'!$D$16="% OF AFV(24M)",'Pre-Calculation'!$D$16="% OF AFV(8Q)"),AVERAGE( $M14:$M37),IF('Pre-Calculation'!$D$16="% OF AFV(12M)",AVERAGE($M26:M37),IF('Pre-Calculation'!$D$16="% OF AFV(36M)",AVERAGE($M$7:M37)))))</f>
        <v>1039009.084</v>
      </c>
      <c r="O37" s="175">
        <f t="shared" si="4"/>
        <v>1039009.084</v>
      </c>
      <c r="P37" s="175">
        <f>IF('Pre-Calculation'!$D$17="Type 4 a",MAX(SA,N37,1.05*Q37),IF('Pre-Calculation'!$D$17="Type 4 c",N37,IF('Pre-Calculation'!$D$17="Type 4 d",SA+N37,IF('Pre-Calculation'!$D$17="Type 4 e",MAX(SA,N37),IF('Pre-Calculation'!$D$17="Type 4 f",SA,IF('Pre-Calculation'!$D$17="Type 4 g",1000+N37,IF('Pre-Calculation'!$D$17="Type 4 h",SA+V37,IF('Pre-Calculation'!$D$17="Type 4 i",MAX(N37,Q37),IF('Pre-Calculation'!$D$17="Type 4 k",MAX(N37,1.01*Q37),IF('Pre-Calculation'!$D$17="Type 4 m",MAX(105%*Q37,SA+N37),IF('Pre-Calculation'!$D$17="Type 4 o",MAX(SA,105%*Q37)+V37+X37,IF('Pre-Calculation'!$D$17="Type 5",0))))))))))))</f>
        <v>1039009.084</v>
      </c>
      <c r="Q37" s="175">
        <f t="shared" si="5"/>
        <v>800000</v>
      </c>
      <c r="R37" s="119">
        <f>L37*(1+GROWTH_RATE)*FMC</f>
        <v>1170.564163</v>
      </c>
      <c r="S37" s="112"/>
      <c r="T37" s="175">
        <f>-E37+IF(A36=INPUT!$C$11*12,N37,0)</f>
        <v>0</v>
      </c>
      <c r="U37" s="171"/>
      <c r="V37" s="179">
        <f t="array" ref="V37">NPV('Pre-Calculation'!$E$20,$E38:E$246)</f>
        <v>187022.8535</v>
      </c>
      <c r="W37" s="171">
        <f>10%*SA</f>
        <v>100000</v>
      </c>
      <c r="X37" s="179">
        <f t="array" ref="X37">NPV('Pre-Calculation'!$E$20,W38:W47)</f>
        <v>969592.8037</v>
      </c>
      <c r="Y37" s="12"/>
      <c r="Z37" s="12"/>
    </row>
    <row r="38" ht="15.75" customHeight="1">
      <c r="A38" s="171">
        <f t="shared" si="1"/>
        <v>92</v>
      </c>
      <c r="B38" s="171">
        <f t="shared" si="2"/>
        <v>8</v>
      </c>
      <c r="C38" s="176">
        <f>EDATE(RCD,A37)</f>
        <v>45321</v>
      </c>
      <c r="D38" s="171">
        <f>Age_At_Entry+'Cashflows_Bond Fund'!B38-1</f>
        <v>42</v>
      </c>
      <c r="E38" s="175">
        <f>IF(AND(C38&lt;=Last_Prem,MOD(A37,Mode)=0,C38&gt;INPUT!$C$13,A38&lt;=Revival!$C$11),Mod_Prem,0)</f>
        <v>0</v>
      </c>
      <c r="F38" s="177">
        <f>E38*VLOOKUP(B38,'Pre-Calculation'!$H$1:$I$31,2,FALSE)</f>
        <v>0</v>
      </c>
      <c r="G38" s="177">
        <f>IF(B38&lt;PT+1,VLOOKUP(B38,'Pre-Calculation'!$H$1:$L$32,3,FALSE)+VLOOKUP(B38,'Pre-Calculation'!$H$1:$L$32,4,FALSE)*'Pre-Calculation'!$D$7,0)</f>
        <v>830</v>
      </c>
      <c r="H38" s="175">
        <f>(E38-(F38+G38)*(1+Tax)+N37)</f>
        <v>1038029.684</v>
      </c>
      <c r="I38" s="175">
        <f>IF(B38&lt;PT+1,VLOOKUP(D38,'Pre-Calculation'!$N$3:$P$79,IF(INPUT!$C$4="M",2,3),FALSE)*(J38/1000)*(1/12),0)</f>
        <v>0</v>
      </c>
      <c r="J38" s="175">
        <f t="shared" si="3"/>
        <v>0</v>
      </c>
      <c r="K38" s="175">
        <f>(IF('Pre-Calculation'!$D$17="Type 4 a",MAX(SA,H38,1.05*Q38),IF('Pre-Calculation'!$D$17="Type 4 c",H38,IF('Pre-Calculation'!$D$17="Type 4 d",SA+H38,IF('Pre-Calculation'!$D$17="Type 4 e",MAX(SA,H38),IF('Pre-Calculation'!$D$17="Type 4 f",SA,IF('Pre-Calculation'!$D$17="Type 4 g",1000+H38,IF('Pre-Calculation'!$D$17="Type 4 h",SA+V38,IF('Pre-Calculation'!$D$17="Type 4 i",MAX(H38,Q38),IF('Pre-Calculation'!$D$17="Type 4 k",MAX(H38,1.01*Q38),IF('Pre-Calculation'!$D$17="Type 4 m",MAX(105%*Q38,SA+H38),IF('Pre-Calculation'!$D$17="Type 4 o",MAX(SA,105%*Q38)+V38+X38,IF('Pre-Calculation'!$D$17="Type 5",0)))))))))))))*IF(AND(A38&lt;Revival!$C$4,C38&gt;=Revival!$D$12),PUP,1)</f>
        <v>1038029.684</v>
      </c>
      <c r="L38" s="175">
        <f>H38-I38*(1+Tax)</f>
        <v>1038029.684</v>
      </c>
      <c r="M38" s="175">
        <f>L38*(1+'Pre-Calculation'!$E$28)*(1-'Pre-Calculation'!$E$29*(1+Tax))</f>
        <v>1042642.655</v>
      </c>
      <c r="N38" s="175">
        <f>M38+IF(MOD(A38,B38)=0,VLOOKUP(B38,'Pre-Calculation'!$H$1:$L$31,5,FALSE),0)*IF('Pre-Calculation'!$D$16="% OF FV",M38,IF(OR('Pre-Calculation'!$D$16="% OF AFV(24M)",'Pre-Calculation'!$D$16="% OF AFV(8Q)"),AVERAGE( $M15:$M38),IF('Pre-Calculation'!$D$16="% OF AFV(12M)",AVERAGE($M27:M38),IF('Pre-Calculation'!$D$16="% OF AFV(36M)",AVERAGE($M$7:M38)))))</f>
        <v>1042642.655</v>
      </c>
      <c r="O38" s="175">
        <f t="shared" si="4"/>
        <v>1042642.655</v>
      </c>
      <c r="P38" s="175">
        <f>IF('Pre-Calculation'!$D$17="Type 4 a",MAX(SA,N38,1.05*Q38),IF('Pre-Calculation'!$D$17="Type 4 c",N38,IF('Pre-Calculation'!$D$17="Type 4 d",SA+N38,IF('Pre-Calculation'!$D$17="Type 4 e",MAX(SA,N38),IF('Pre-Calculation'!$D$17="Type 4 f",SA,IF('Pre-Calculation'!$D$17="Type 4 g",1000+N38,IF('Pre-Calculation'!$D$17="Type 4 h",SA+V38,IF('Pre-Calculation'!$D$17="Type 4 i",MAX(N38,Q38),IF('Pre-Calculation'!$D$17="Type 4 k",MAX(N38,1.01*Q38),IF('Pre-Calculation'!$D$17="Type 4 m",MAX(105%*Q38,SA+N38),IF('Pre-Calculation'!$D$17="Type 4 o",MAX(SA,105%*Q38)+V38+X38,IF('Pre-Calculation'!$D$17="Type 5",0))))))))))))</f>
        <v>1042642.655</v>
      </c>
      <c r="Q38" s="175">
        <f t="shared" si="5"/>
        <v>800000</v>
      </c>
      <c r="R38" s="119">
        <f>L38*(1+GROWTH_RATE)*FMC</f>
        <v>1174.657802</v>
      </c>
      <c r="S38" s="112"/>
      <c r="T38" s="175">
        <f>-E38+IF(A37=INPUT!$C$11*12,N38,0)</f>
        <v>0</v>
      </c>
      <c r="U38" s="171"/>
      <c r="V38" s="179">
        <f t="array" ref="V38">NPV('Pre-Calculation'!$E$20,$E39:E$246)</f>
        <v>188080.3079</v>
      </c>
      <c r="W38" s="171">
        <f>10%*SA</f>
        <v>100000</v>
      </c>
      <c r="X38" s="179">
        <f t="array" ref="X38">NPV('Pre-Calculation'!$E$20,W39:W48)</f>
        <v>969592.8037</v>
      </c>
      <c r="Y38" s="12"/>
      <c r="Z38" s="12"/>
    </row>
    <row r="39" ht="15.75" customHeight="1">
      <c r="A39" s="171">
        <f t="shared" si="1"/>
        <v>93</v>
      </c>
      <c r="B39" s="171">
        <f t="shared" si="2"/>
        <v>8</v>
      </c>
      <c r="C39" s="176">
        <f>EDATE(RCD,A38)</f>
        <v>45351</v>
      </c>
      <c r="D39" s="171">
        <f>Age_At_Entry+'Cashflows_Bond Fund'!B39-1</f>
        <v>42</v>
      </c>
      <c r="E39" s="175">
        <f>IF(AND(C39&lt;=Last_Prem,MOD(A38,Mode)=0,C39&gt;INPUT!$C$13,A39&lt;=Revival!$C$11),Mod_Prem,0)</f>
        <v>0</v>
      </c>
      <c r="F39" s="177">
        <f>E39*VLOOKUP(B39,'Pre-Calculation'!$H$1:$I$31,2,FALSE)</f>
        <v>0</v>
      </c>
      <c r="G39" s="177">
        <f>IF(B39&lt;PT+1,VLOOKUP(B39,'Pre-Calculation'!$H$1:$L$32,3,FALSE)+VLOOKUP(B39,'Pre-Calculation'!$H$1:$L$32,4,FALSE)*'Pre-Calculation'!$D$7,0)</f>
        <v>830</v>
      </c>
      <c r="H39" s="175">
        <f>(E39-(F39+G39)*(1+Tax)+N38)</f>
        <v>1041663.255</v>
      </c>
      <c r="I39" s="175">
        <f>IF(B39&lt;PT+1,VLOOKUP(D39,'Pre-Calculation'!$N$3:$P$79,IF(INPUT!$C$4="M",2,3),FALSE)*(J39/1000)*(1/12),0)</f>
        <v>0</v>
      </c>
      <c r="J39" s="175">
        <f t="shared" si="3"/>
        <v>0</v>
      </c>
      <c r="K39" s="175">
        <f>(IF('Pre-Calculation'!$D$17="Type 4 a",MAX(SA,H39,1.05*Q39),IF('Pre-Calculation'!$D$17="Type 4 c",H39,IF('Pre-Calculation'!$D$17="Type 4 d",SA+H39,IF('Pre-Calculation'!$D$17="Type 4 e",MAX(SA,H39),IF('Pre-Calculation'!$D$17="Type 4 f",SA,IF('Pre-Calculation'!$D$17="Type 4 g",1000+H39,IF('Pre-Calculation'!$D$17="Type 4 h",SA+V39,IF('Pre-Calculation'!$D$17="Type 4 i",MAX(H39,Q39),IF('Pre-Calculation'!$D$17="Type 4 k",MAX(H39,1.01*Q39),IF('Pre-Calculation'!$D$17="Type 4 m",MAX(105%*Q39,SA+H39),IF('Pre-Calculation'!$D$17="Type 4 o",MAX(SA,105%*Q39)+V39+X39,IF('Pre-Calculation'!$D$17="Type 5",0)))))))))))))*IF(AND(A39&lt;Revival!$C$4,C39&gt;=Revival!$D$12),PUP,1)</f>
        <v>1041663.255</v>
      </c>
      <c r="L39" s="175">
        <f>H39-I39*(1+Tax)</f>
        <v>1041663.255</v>
      </c>
      <c r="M39" s="175">
        <f>L39*(1+'Pre-Calculation'!$E$28)*(1-'Pre-Calculation'!$E$29*(1+Tax))</f>
        <v>1046292.374</v>
      </c>
      <c r="N39" s="175">
        <f>M39+IF(MOD(A39,B39)=0,VLOOKUP(B39,'Pre-Calculation'!$H$1:$L$31,5,FALSE),0)*IF('Pre-Calculation'!$D$16="% OF FV",M39,IF(OR('Pre-Calculation'!$D$16="% OF AFV(24M)",'Pre-Calculation'!$D$16="% OF AFV(8Q)"),AVERAGE( $M16:$M39),IF('Pre-Calculation'!$D$16="% OF AFV(12M)",AVERAGE($M28:M39),IF('Pre-Calculation'!$D$16="% OF AFV(36M)",AVERAGE($M$7:M39)))))</f>
        <v>1046292.374</v>
      </c>
      <c r="O39" s="175">
        <f t="shared" si="4"/>
        <v>1046292.374</v>
      </c>
      <c r="P39" s="175">
        <f>IF('Pre-Calculation'!$D$17="Type 4 a",MAX(SA,N39,1.05*Q39),IF('Pre-Calculation'!$D$17="Type 4 c",N39,IF('Pre-Calculation'!$D$17="Type 4 d",SA+N39,IF('Pre-Calculation'!$D$17="Type 4 e",MAX(SA,N39),IF('Pre-Calculation'!$D$17="Type 4 f",SA,IF('Pre-Calculation'!$D$17="Type 4 g",1000+N39,IF('Pre-Calculation'!$D$17="Type 4 h",SA+V39,IF('Pre-Calculation'!$D$17="Type 4 i",MAX(N39,Q39),IF('Pre-Calculation'!$D$17="Type 4 k",MAX(N39,1.01*Q39),IF('Pre-Calculation'!$D$17="Type 4 m",MAX(105%*Q39,SA+N39),IF('Pre-Calculation'!$D$17="Type 4 o",MAX(SA,105%*Q39)+V39+X39,IF('Pre-Calculation'!$D$17="Type 5",0))))))))))))</f>
        <v>1046292.374</v>
      </c>
      <c r="Q39" s="175">
        <f t="shared" si="5"/>
        <v>800000</v>
      </c>
      <c r="R39" s="119">
        <f>L39*(1+GROWTH_RATE)*FMC</f>
        <v>1178.769634</v>
      </c>
      <c r="S39" s="112"/>
      <c r="T39" s="175">
        <f>-E39+IF(A38=INPUT!$C$11*12,N39,0)</f>
        <v>0</v>
      </c>
      <c r="U39" s="171"/>
      <c r="V39" s="179">
        <f t="array" ref="V39">NPV('Pre-Calculation'!$E$20,$E40:E$246)</f>
        <v>189143.7413</v>
      </c>
      <c r="W39" s="171">
        <f>10%*SA</f>
        <v>100000</v>
      </c>
      <c r="X39" s="179">
        <f t="array" ref="X39">NPV('Pre-Calculation'!$E$20,W40:W49)</f>
        <v>969592.8037</v>
      </c>
      <c r="Y39" s="12"/>
      <c r="Z39" s="12"/>
    </row>
    <row r="40" ht="15.75" customHeight="1">
      <c r="A40" s="171">
        <f t="shared" si="1"/>
        <v>94</v>
      </c>
      <c r="B40" s="171">
        <f t="shared" si="2"/>
        <v>8</v>
      </c>
      <c r="C40" s="176">
        <f>EDATE(RCD,A39)</f>
        <v>45381</v>
      </c>
      <c r="D40" s="171">
        <f>Age_At_Entry+'Cashflows_Bond Fund'!B40-1</f>
        <v>42</v>
      </c>
      <c r="E40" s="175">
        <f>IF(AND(C40&lt;=Last_Prem,MOD(A39,Mode)=0,C40&gt;INPUT!$C$13,A40&lt;=Revival!$C$11),Mod_Prem,0)</f>
        <v>0</v>
      </c>
      <c r="F40" s="177">
        <f>E40*VLOOKUP(B40,'Pre-Calculation'!$H$1:$I$31,2,FALSE)</f>
        <v>0</v>
      </c>
      <c r="G40" s="177">
        <f>IF(B40&lt;PT+1,VLOOKUP(B40,'Pre-Calculation'!$H$1:$L$32,3,FALSE)+VLOOKUP(B40,'Pre-Calculation'!$H$1:$L$32,4,FALSE)*'Pre-Calculation'!$D$7,0)</f>
        <v>830</v>
      </c>
      <c r="H40" s="175">
        <f>(E40-(F40+G40)*(1+Tax)+N39)</f>
        <v>1045312.974</v>
      </c>
      <c r="I40" s="175">
        <f>IF(B40&lt;PT+1,VLOOKUP(D40,'Pre-Calculation'!$N$3:$P$79,IF(INPUT!$C$4="M",2,3),FALSE)*(J40/1000)*(1/12),0)</f>
        <v>0</v>
      </c>
      <c r="J40" s="175">
        <f t="shared" si="3"/>
        <v>0</v>
      </c>
      <c r="K40" s="175">
        <f>(IF('Pre-Calculation'!$D$17="Type 4 a",MAX(SA,H40,1.05*Q40),IF('Pre-Calculation'!$D$17="Type 4 c",H40,IF('Pre-Calculation'!$D$17="Type 4 d",SA+H40,IF('Pre-Calculation'!$D$17="Type 4 e",MAX(SA,H40),IF('Pre-Calculation'!$D$17="Type 4 f",SA,IF('Pre-Calculation'!$D$17="Type 4 g",1000+H40,IF('Pre-Calculation'!$D$17="Type 4 h",SA+V40,IF('Pre-Calculation'!$D$17="Type 4 i",MAX(H40,Q40),IF('Pre-Calculation'!$D$17="Type 4 k",MAX(H40,1.01*Q40),IF('Pre-Calculation'!$D$17="Type 4 m",MAX(105%*Q40,SA+H40),IF('Pre-Calculation'!$D$17="Type 4 o",MAX(SA,105%*Q40)+V40+X40,IF('Pre-Calculation'!$D$17="Type 5",0)))))))))))))*IF(AND(A40&lt;Revival!$C$4,C40&gt;=Revival!$D$12),PUP,1)</f>
        <v>1045312.974</v>
      </c>
      <c r="L40" s="175">
        <f>H40-I40*(1+Tax)</f>
        <v>1045312.974</v>
      </c>
      <c r="M40" s="175">
        <f>L40*(1+'Pre-Calculation'!$E$28)*(1-'Pre-Calculation'!$E$29*(1+Tax))</f>
        <v>1049958.312</v>
      </c>
      <c r="N40" s="175">
        <f>M40+IF(MOD(A40,B40)=0,VLOOKUP(B40,'Pre-Calculation'!$H$1:$L$31,5,FALSE),0)*IF('Pre-Calculation'!$D$16="% OF FV",M40,IF(OR('Pre-Calculation'!$D$16="% OF AFV(24M)",'Pre-Calculation'!$D$16="% OF AFV(8Q)"),AVERAGE( $M17:$M40),IF('Pre-Calculation'!$D$16="% OF AFV(12M)",AVERAGE($M29:M40),IF('Pre-Calculation'!$D$16="% OF AFV(36M)",AVERAGE($M$7:M40)))))</f>
        <v>1049958.312</v>
      </c>
      <c r="O40" s="175">
        <f t="shared" si="4"/>
        <v>1049958.312</v>
      </c>
      <c r="P40" s="175">
        <f>IF('Pre-Calculation'!$D$17="Type 4 a",MAX(SA,N40,1.05*Q40),IF('Pre-Calculation'!$D$17="Type 4 c",N40,IF('Pre-Calculation'!$D$17="Type 4 d",SA+N40,IF('Pre-Calculation'!$D$17="Type 4 e",MAX(SA,N40),IF('Pre-Calculation'!$D$17="Type 4 f",SA,IF('Pre-Calculation'!$D$17="Type 4 g",1000+N40,IF('Pre-Calculation'!$D$17="Type 4 h",SA+V40,IF('Pre-Calculation'!$D$17="Type 4 i",MAX(N40,Q40),IF('Pre-Calculation'!$D$17="Type 4 k",MAX(N40,1.01*Q40),IF('Pre-Calculation'!$D$17="Type 4 m",MAX(105%*Q40,SA+N40),IF('Pre-Calculation'!$D$17="Type 4 o",MAX(SA,105%*Q40)+V40+X40,IF('Pre-Calculation'!$D$17="Type 5",0))))))))))))</f>
        <v>1049958.312</v>
      </c>
      <c r="Q40" s="175">
        <f t="shared" si="5"/>
        <v>800000</v>
      </c>
      <c r="R40" s="119">
        <f>L40*(1+GROWTH_RATE)*FMC</f>
        <v>1182.899738</v>
      </c>
      <c r="S40" s="112"/>
      <c r="T40" s="175">
        <f>-E40+IF(A39=INPUT!$C$11*12,N40,0)</f>
        <v>0</v>
      </c>
      <c r="U40" s="171"/>
      <c r="V40" s="179">
        <f t="array" ref="V40">NPV('Pre-Calculation'!$E$20,$E41:E$246)</f>
        <v>190213.1875</v>
      </c>
      <c r="W40" s="171">
        <f>10%*SA</f>
        <v>100000</v>
      </c>
      <c r="X40" s="179">
        <f t="array" ref="X40">NPV('Pre-Calculation'!$E$20,W41:W50)</f>
        <v>969592.8037</v>
      </c>
      <c r="Y40" s="12"/>
      <c r="Z40" s="12"/>
    </row>
    <row r="41" ht="15.75" customHeight="1">
      <c r="A41" s="171">
        <f t="shared" si="1"/>
        <v>95</v>
      </c>
      <c r="B41" s="171">
        <f t="shared" si="2"/>
        <v>8</v>
      </c>
      <c r="C41" s="176">
        <f>EDATE(RCD,A40)</f>
        <v>45412</v>
      </c>
      <c r="D41" s="171">
        <f>Age_At_Entry+'Cashflows_Bond Fund'!B41-1</f>
        <v>42</v>
      </c>
      <c r="E41" s="175">
        <f>IF(AND(C41&lt;=Last_Prem,MOD(A40,Mode)=0,C41&gt;INPUT!$C$13,A41&lt;=Revival!$C$11),Mod_Prem,0)</f>
        <v>0</v>
      </c>
      <c r="F41" s="177">
        <f>E41*VLOOKUP(B41,'Pre-Calculation'!$H$1:$I$31,2,FALSE)</f>
        <v>0</v>
      </c>
      <c r="G41" s="177">
        <f>IF(B41&lt;PT+1,VLOOKUP(B41,'Pre-Calculation'!$H$1:$L$32,3,FALSE)+VLOOKUP(B41,'Pre-Calculation'!$H$1:$L$32,4,FALSE)*'Pre-Calculation'!$D$7,0)</f>
        <v>830</v>
      </c>
      <c r="H41" s="175">
        <f>(E41-(F41+G41)*(1+Tax)+N40)</f>
        <v>1048978.912</v>
      </c>
      <c r="I41" s="175">
        <f>IF(B41&lt;PT+1,VLOOKUP(D41,'Pre-Calculation'!$N$3:$P$79,IF(INPUT!$C$4="M",2,3),FALSE)*(J41/1000)*(1/12),0)</f>
        <v>0</v>
      </c>
      <c r="J41" s="175">
        <f t="shared" si="3"/>
        <v>0</v>
      </c>
      <c r="K41" s="175">
        <f>(IF('Pre-Calculation'!$D$17="Type 4 a",MAX(SA,H41,1.05*Q41),IF('Pre-Calculation'!$D$17="Type 4 c",H41,IF('Pre-Calculation'!$D$17="Type 4 d",SA+H41,IF('Pre-Calculation'!$D$17="Type 4 e",MAX(SA,H41),IF('Pre-Calculation'!$D$17="Type 4 f",SA,IF('Pre-Calculation'!$D$17="Type 4 g",1000+H41,IF('Pre-Calculation'!$D$17="Type 4 h",SA+V41,IF('Pre-Calculation'!$D$17="Type 4 i",MAX(H41,Q41),IF('Pre-Calculation'!$D$17="Type 4 k",MAX(H41,1.01*Q41),IF('Pre-Calculation'!$D$17="Type 4 m",MAX(105%*Q41,SA+H41),IF('Pre-Calculation'!$D$17="Type 4 o",MAX(SA,105%*Q41)+V41+X41,IF('Pre-Calculation'!$D$17="Type 5",0)))))))))))))*IF(AND(A41&lt;Revival!$C$4,C41&gt;=Revival!$D$12),PUP,1)</f>
        <v>1048978.912</v>
      </c>
      <c r="L41" s="175">
        <f>H41-I41*(1+Tax)</f>
        <v>1048978.912</v>
      </c>
      <c r="M41" s="175">
        <f>L41*(1+'Pre-Calculation'!$E$28)*(1-'Pre-Calculation'!$E$29*(1+Tax))</f>
        <v>1053640.542</v>
      </c>
      <c r="N41" s="175">
        <f>M41+IF(MOD(A41,B41)=0,VLOOKUP(B41,'Pre-Calculation'!$H$1:$L$31,5,FALSE),0)*IF('Pre-Calculation'!$D$16="% OF FV",M41,IF(OR('Pre-Calculation'!$D$16="% OF AFV(24M)",'Pre-Calculation'!$D$16="% OF AFV(8Q)"),AVERAGE( $M18:$M41),IF('Pre-Calculation'!$D$16="% OF AFV(12M)",AVERAGE($M30:M41),IF('Pre-Calculation'!$D$16="% OF AFV(36M)",AVERAGE($M$7:M41)))))</f>
        <v>1053640.542</v>
      </c>
      <c r="O41" s="175">
        <f t="shared" si="4"/>
        <v>1053640.542</v>
      </c>
      <c r="P41" s="175">
        <f>IF('Pre-Calculation'!$D$17="Type 4 a",MAX(SA,N41,1.05*Q41),IF('Pre-Calculation'!$D$17="Type 4 c",N41,IF('Pre-Calculation'!$D$17="Type 4 d",SA+N41,IF('Pre-Calculation'!$D$17="Type 4 e",MAX(SA,N41),IF('Pre-Calculation'!$D$17="Type 4 f",SA,IF('Pre-Calculation'!$D$17="Type 4 g",1000+N41,IF('Pre-Calculation'!$D$17="Type 4 h",SA+V41,IF('Pre-Calculation'!$D$17="Type 4 i",MAX(N41,Q41),IF('Pre-Calculation'!$D$17="Type 4 k",MAX(N41,1.01*Q41),IF('Pre-Calculation'!$D$17="Type 4 m",MAX(105%*Q41,SA+N41),IF('Pre-Calculation'!$D$17="Type 4 o",MAX(SA,105%*Q41)+V41+X41,IF('Pre-Calculation'!$D$17="Type 5",0))))))))))))</f>
        <v>1053640.542</v>
      </c>
      <c r="Q41" s="175">
        <f t="shared" si="5"/>
        <v>800000</v>
      </c>
      <c r="R41" s="119">
        <f>L41*(1+GROWTH_RATE)*FMC</f>
        <v>1187.048196</v>
      </c>
      <c r="S41" s="112"/>
      <c r="T41" s="175">
        <f>-E41+IF(A40=INPUT!$C$11*12,N41,0)</f>
        <v>0</v>
      </c>
      <c r="U41" s="171"/>
      <c r="V41" s="179">
        <f t="array" ref="V41">NPV('Pre-Calculation'!$E$20,$E42:E$246)</f>
        <v>191288.6805</v>
      </c>
      <c r="W41" s="171">
        <f>10%*SA</f>
        <v>100000</v>
      </c>
      <c r="X41" s="179">
        <f t="array" ref="X41">NPV('Pre-Calculation'!$E$20,W42:W51)</f>
        <v>969592.8037</v>
      </c>
      <c r="Y41" s="12"/>
      <c r="Z41" s="12"/>
    </row>
    <row r="42" ht="15.75" customHeight="1">
      <c r="A42" s="171">
        <f t="shared" si="1"/>
        <v>96</v>
      </c>
      <c r="B42" s="171">
        <f t="shared" si="2"/>
        <v>8</v>
      </c>
      <c r="C42" s="176">
        <f>EDATE(RCD,A41)</f>
        <v>45442</v>
      </c>
      <c r="D42" s="171">
        <f>Age_At_Entry+'Cashflows_Bond Fund'!B42-1</f>
        <v>42</v>
      </c>
      <c r="E42" s="175">
        <f>IF(AND(C42&lt;=Last_Prem,MOD(A41,Mode)=0,C42&gt;INPUT!$C$13,A42&lt;=Revival!$C$11),Mod_Prem,0)</f>
        <v>0</v>
      </c>
      <c r="F42" s="177">
        <f>E42*VLOOKUP(B42,'Pre-Calculation'!$H$1:$I$31,2,FALSE)</f>
        <v>0</v>
      </c>
      <c r="G42" s="177">
        <f>IF(B42&lt;PT+1,VLOOKUP(B42,'Pre-Calculation'!$H$1:$L$32,3,FALSE)+VLOOKUP(B42,'Pre-Calculation'!$H$1:$L$32,4,FALSE)*'Pre-Calculation'!$D$7,0)</f>
        <v>830</v>
      </c>
      <c r="H42" s="175">
        <f>(E42-(F42+G42)*(1+Tax)+N41)</f>
        <v>1052661.142</v>
      </c>
      <c r="I42" s="175">
        <f>IF(B42&lt;PT+1,VLOOKUP(D42,'Pre-Calculation'!$N$3:$P$79,IF(INPUT!$C$4="M",2,3),FALSE)*(J42/1000)*(1/12),0)</f>
        <v>0</v>
      </c>
      <c r="J42" s="175">
        <f t="shared" si="3"/>
        <v>0</v>
      </c>
      <c r="K42" s="175">
        <f>(IF('Pre-Calculation'!$D$17="Type 4 a",MAX(SA,H42,1.05*Q42),IF('Pre-Calculation'!$D$17="Type 4 c",H42,IF('Pre-Calculation'!$D$17="Type 4 d",SA+H42,IF('Pre-Calculation'!$D$17="Type 4 e",MAX(SA,H42),IF('Pre-Calculation'!$D$17="Type 4 f",SA,IF('Pre-Calculation'!$D$17="Type 4 g",1000+H42,IF('Pre-Calculation'!$D$17="Type 4 h",SA+V42,IF('Pre-Calculation'!$D$17="Type 4 i",MAX(H42,Q42),IF('Pre-Calculation'!$D$17="Type 4 k",MAX(H42,1.01*Q42),IF('Pre-Calculation'!$D$17="Type 4 m",MAX(105%*Q42,SA+H42),IF('Pre-Calculation'!$D$17="Type 4 o",MAX(SA,105%*Q42)+V42+X42,IF('Pre-Calculation'!$D$17="Type 5",0)))))))))))))*IF(AND(A42&lt;Revival!$C$4,C42&gt;=Revival!$D$12),PUP,1)</f>
        <v>1052661.142</v>
      </c>
      <c r="L42" s="175">
        <f>H42-I42*(1+Tax)</f>
        <v>1052661.142</v>
      </c>
      <c r="M42" s="175">
        <f>L42*(1+'Pre-Calculation'!$E$28)*(1-'Pre-Calculation'!$E$29*(1+Tax))</f>
        <v>1057339.135</v>
      </c>
      <c r="N42" s="175">
        <f>M42+IF(MOD(A42,B42)=0,VLOOKUP(B42,'Pre-Calculation'!$H$1:$L$31,5,FALSE),0)*IF('Pre-Calculation'!$D$16="% OF FV",M42,IF(OR('Pre-Calculation'!$D$16="% OF AFV(24M)",'Pre-Calculation'!$D$16="% OF AFV(8Q)"),AVERAGE( $M19:$M42),IF('Pre-Calculation'!$D$16="% OF AFV(12M)",AVERAGE($M31:M42),IF('Pre-Calculation'!$D$16="% OF AFV(36M)",AVERAGE($M7:M42)))))</f>
        <v>1057339.135</v>
      </c>
      <c r="O42" s="175">
        <f t="shared" si="4"/>
        <v>1057339.135</v>
      </c>
      <c r="P42" s="175">
        <f>IF('Pre-Calculation'!$D$17="Type 4 a",MAX(SA,N42,1.05*Q42),IF('Pre-Calculation'!$D$17="Type 4 c",N42,IF('Pre-Calculation'!$D$17="Type 4 d",SA+N42,IF('Pre-Calculation'!$D$17="Type 4 e",MAX(SA,N42),IF('Pre-Calculation'!$D$17="Type 4 f",SA,IF('Pre-Calculation'!$D$17="Type 4 g",1000+N42,IF('Pre-Calculation'!$D$17="Type 4 h",SA+V42,IF('Pre-Calculation'!$D$17="Type 4 i",MAX(N42,Q42),IF('Pre-Calculation'!$D$17="Type 4 k",MAX(N42,1.01*Q42),IF('Pre-Calculation'!$D$17="Type 4 m",MAX(105%*Q42,SA+N42),IF('Pre-Calculation'!$D$17="Type 4 o",MAX(SA,105%*Q42)+V42+X42,IF('Pre-Calculation'!$D$17="Type 5",0))))))))))))</f>
        <v>1057339.135</v>
      </c>
      <c r="Q42" s="175">
        <f t="shared" si="5"/>
        <v>800000</v>
      </c>
      <c r="R42" s="119">
        <f>L42*(1+GROWTH_RATE)*FMC</f>
        <v>1191.21509</v>
      </c>
      <c r="S42" s="112"/>
      <c r="T42" s="175">
        <f>-E42+IF(A41=INPUT!$C$11*12,N42,0)</f>
        <v>0</v>
      </c>
      <c r="U42" s="171"/>
      <c r="V42" s="179">
        <f t="array" ref="V42">NPV('Pre-Calculation'!$E$20,$E43:E$246)</f>
        <v>192370.2545</v>
      </c>
      <c r="W42" s="171">
        <f>10%*SA</f>
        <v>100000</v>
      </c>
      <c r="X42" s="179">
        <f t="array" ref="X42">NPV('Pre-Calculation'!$E$20,W43:W52)</f>
        <v>969592.8037</v>
      </c>
      <c r="Y42" s="12"/>
      <c r="Z42" s="12"/>
    </row>
    <row r="43" ht="15.75" customHeight="1">
      <c r="A43" s="171">
        <f t="shared" si="1"/>
        <v>97</v>
      </c>
      <c r="B43" s="171">
        <f t="shared" si="2"/>
        <v>9</v>
      </c>
      <c r="C43" s="176">
        <f>EDATE(RCD,A42)</f>
        <v>45473</v>
      </c>
      <c r="D43" s="171">
        <f>Age_At_Entry+'Cashflows_Bond Fund'!B43-1</f>
        <v>43</v>
      </c>
      <c r="E43" s="175">
        <f>IF(AND(C43&lt;=Last_Prem,MOD(A42,Mode)=0,C43&gt;INPUT!$C$13,A43&lt;=Revival!$C$11),Mod_Prem,0)</f>
        <v>100000</v>
      </c>
      <c r="F43" s="177">
        <f>E43*VLOOKUP(B43,'Pre-Calculation'!$H$1:$I$31,2,FALSE)</f>
        <v>0</v>
      </c>
      <c r="G43" s="177">
        <f>IF(B43&lt;PT+1,VLOOKUP(B43,'Pre-Calculation'!$H$1:$L$32,3,FALSE)+VLOOKUP(B43,'Pre-Calculation'!$H$1:$L$32,4,FALSE)*'Pre-Calculation'!$D$7,0)</f>
        <v>830</v>
      </c>
      <c r="H43" s="175">
        <f>(E43-(F43+G43)*(1+Tax)+N42)</f>
        <v>1156359.735</v>
      </c>
      <c r="I43" s="175">
        <f>IF(B43&lt;PT+1,VLOOKUP(D43,'Pre-Calculation'!$N$3:$P$79,IF(INPUT!$C$4="M",2,3),FALSE)*(J43/1000)*(1/12),0)</f>
        <v>0</v>
      </c>
      <c r="J43" s="175">
        <f t="shared" si="3"/>
        <v>0</v>
      </c>
      <c r="K43" s="175">
        <f>(IF('Pre-Calculation'!$D$17="Type 4 a",MAX(SA,H43,1.05*Q43),IF('Pre-Calculation'!$D$17="Type 4 c",H43,IF('Pre-Calculation'!$D$17="Type 4 d",SA+H43,IF('Pre-Calculation'!$D$17="Type 4 e",MAX(SA,H43),IF('Pre-Calculation'!$D$17="Type 4 f",SA,IF('Pre-Calculation'!$D$17="Type 4 g",1000+H43,IF('Pre-Calculation'!$D$17="Type 4 h",SA+V43,IF('Pre-Calculation'!$D$17="Type 4 i",MAX(H43,Q43),IF('Pre-Calculation'!$D$17="Type 4 k",MAX(H43,1.01*Q43),IF('Pre-Calculation'!$D$17="Type 4 m",MAX(105%*Q43,SA+H43),IF('Pre-Calculation'!$D$17="Type 4 o",MAX(SA,105%*Q43)+V43+X43,IF('Pre-Calculation'!$D$17="Type 5",0)))))))))))))*IF(AND(A43&lt;Revival!$C$4,C43&gt;=Revival!$D$12),PUP,1)</f>
        <v>1156359.735</v>
      </c>
      <c r="L43" s="175">
        <f>H43-I43*(1+Tax)</f>
        <v>1156359.735</v>
      </c>
      <c r="M43" s="175">
        <f>L43*(1+'Pre-Calculation'!$E$28)*(1-'Pre-Calculation'!$E$29*(1+Tax))</f>
        <v>1161498.562</v>
      </c>
      <c r="N43" s="175">
        <f>M43+IF(MOD(A43,B43)=0,VLOOKUP(B43,'Pre-Calculation'!$H$1:$L$31,5,FALSE),0)*IF('Pre-Calculation'!$D$16="% OF FV",M43,IF(OR('Pre-Calculation'!$D$16="% OF AFV(24M)",'Pre-Calculation'!$D$16="% OF AFV(8Q)"),AVERAGE( $M20:$M43),IF('Pre-Calculation'!$D$16="% OF AFV(12M)",AVERAGE($M32:M43),IF('Pre-Calculation'!$D$16="% OF AFV(36M)",AVERAGE($M8:M43)))))</f>
        <v>1161498.562</v>
      </c>
      <c r="O43" s="175">
        <f t="shared" si="4"/>
        <v>1161498.562</v>
      </c>
      <c r="P43" s="175">
        <f>IF('Pre-Calculation'!$D$17="Type 4 a",MAX(SA,N43,1.05*Q43),IF('Pre-Calculation'!$D$17="Type 4 c",N43,IF('Pre-Calculation'!$D$17="Type 4 d",SA+N43,IF('Pre-Calculation'!$D$17="Type 4 e",MAX(SA,N43),IF('Pre-Calculation'!$D$17="Type 4 f",SA,IF('Pre-Calculation'!$D$17="Type 4 g",1000+N43,IF('Pre-Calculation'!$D$17="Type 4 h",SA+V43,IF('Pre-Calculation'!$D$17="Type 4 i",MAX(N43,Q43),IF('Pre-Calculation'!$D$17="Type 4 k",MAX(N43,1.01*Q43),IF('Pre-Calculation'!$D$17="Type 4 m",MAX(105%*Q43,SA+N43),IF('Pre-Calculation'!$D$17="Type 4 o",MAX(SA,105%*Q43)+V43+X43,IF('Pre-Calculation'!$D$17="Type 5",0))))))))))))</f>
        <v>1161498.562</v>
      </c>
      <c r="Q43" s="175">
        <f t="shared" si="5"/>
        <v>900000</v>
      </c>
      <c r="R43" s="119">
        <f>L43*(1+GROWTH_RATE)*FMC</f>
        <v>1308.562757</v>
      </c>
      <c r="S43" s="112"/>
      <c r="T43" s="175">
        <f>-E43+IF(A42=INPUT!$C$11*12,N43,0)</f>
        <v>-100000</v>
      </c>
      <c r="U43" s="171"/>
      <c r="V43" s="179">
        <f t="array" ref="V43">NPV('Pre-Calculation'!$E$20,$E44:E$246)</f>
        <v>93457.94393</v>
      </c>
      <c r="W43" s="171">
        <f>10%*SA</f>
        <v>100000</v>
      </c>
      <c r="X43" s="179">
        <f t="array" ref="X43">NPV('Pre-Calculation'!$E$20,W44:W53)</f>
        <v>969592.8037</v>
      </c>
      <c r="Y43" s="12"/>
      <c r="Z43" s="12"/>
    </row>
    <row r="44" ht="15.75" customHeight="1">
      <c r="A44" s="171">
        <f t="shared" si="1"/>
        <v>98</v>
      </c>
      <c r="B44" s="171">
        <f t="shared" si="2"/>
        <v>9</v>
      </c>
      <c r="C44" s="176">
        <f>EDATE(RCD,A43)</f>
        <v>45503</v>
      </c>
      <c r="D44" s="171">
        <f>Age_At_Entry+'Cashflows_Bond Fund'!B44-1</f>
        <v>43</v>
      </c>
      <c r="E44" s="175">
        <f>IF(AND(C44&lt;=Last_Prem,MOD(A43,Mode)=0,C44&gt;INPUT!$C$13,A44&lt;=Revival!$C$11),Mod_Prem,0)</f>
        <v>0</v>
      </c>
      <c r="F44" s="177">
        <f>E44*VLOOKUP(B44,'Pre-Calculation'!$H$1:$I$31,2,FALSE)</f>
        <v>0</v>
      </c>
      <c r="G44" s="177">
        <f>IF(B44&lt;PT+1,VLOOKUP(B44,'Pre-Calculation'!$H$1:$L$32,3,FALSE)+VLOOKUP(B44,'Pre-Calculation'!$H$1:$L$32,4,FALSE)*'Pre-Calculation'!$D$7,0)</f>
        <v>830</v>
      </c>
      <c r="H44" s="175">
        <f>(E44-(F44+G44)*(1+Tax)+N43)</f>
        <v>1160519.162</v>
      </c>
      <c r="I44" s="175">
        <f>IF(B44&lt;PT+1,VLOOKUP(D44,'Pre-Calculation'!$N$3:$P$79,IF(INPUT!$C$4="M",2,3),FALSE)*(J44/1000)*(1/12),0)</f>
        <v>0</v>
      </c>
      <c r="J44" s="175">
        <f t="shared" si="3"/>
        <v>0</v>
      </c>
      <c r="K44" s="175">
        <f>(IF('Pre-Calculation'!$D$17="Type 4 a",MAX(SA,H44,1.05*Q44),IF('Pre-Calculation'!$D$17="Type 4 c",H44,IF('Pre-Calculation'!$D$17="Type 4 d",SA+H44,IF('Pre-Calculation'!$D$17="Type 4 e",MAX(SA,H44),IF('Pre-Calculation'!$D$17="Type 4 f",SA,IF('Pre-Calculation'!$D$17="Type 4 g",1000+H44,IF('Pre-Calculation'!$D$17="Type 4 h",SA+V44,IF('Pre-Calculation'!$D$17="Type 4 i",MAX(H44,Q44),IF('Pre-Calculation'!$D$17="Type 4 k",MAX(H44,1.01*Q44),IF('Pre-Calculation'!$D$17="Type 4 m",MAX(105%*Q44,SA+H44),IF('Pre-Calculation'!$D$17="Type 4 o",MAX(SA,105%*Q44)+V44+X44,IF('Pre-Calculation'!$D$17="Type 5",0)))))))))))))*IF(AND(A44&lt;Revival!$C$4,C44&gt;=Revival!$D$12),PUP,1)</f>
        <v>1160519.162</v>
      </c>
      <c r="L44" s="175">
        <f>H44-I44*(1+Tax)</f>
        <v>1160519.162</v>
      </c>
      <c r="M44" s="175">
        <f>L44*(1+'Pre-Calculation'!$E$28)*(1-'Pre-Calculation'!$E$29*(1+Tax))</f>
        <v>1165676.472</v>
      </c>
      <c r="N44" s="175">
        <f>M44+IF(MOD(A44,B44)=0,VLOOKUP(B44,'Pre-Calculation'!$H$1:$L$31,5,FALSE),0)*IF('Pre-Calculation'!$D$16="% OF FV",M44,IF(OR('Pre-Calculation'!$D$16="% OF AFV(24M)",'Pre-Calculation'!$D$16="% OF AFV(8Q)"),AVERAGE( $M21:$M44),IF('Pre-Calculation'!$D$16="% OF AFV(12M)",AVERAGE($M33:M44),IF('Pre-Calculation'!$D$16="% OF AFV(36M)",AVERAGE($M9:M44)))))</f>
        <v>1165676.472</v>
      </c>
      <c r="O44" s="175">
        <f t="shared" si="4"/>
        <v>1165676.472</v>
      </c>
      <c r="P44" s="175">
        <f>IF('Pre-Calculation'!$D$17="Type 4 a",MAX(SA,N44,1.05*Q44),IF('Pre-Calculation'!$D$17="Type 4 c",N44,IF('Pre-Calculation'!$D$17="Type 4 d",SA+N44,IF('Pre-Calculation'!$D$17="Type 4 e",MAX(SA,N44),IF('Pre-Calculation'!$D$17="Type 4 f",SA,IF('Pre-Calculation'!$D$17="Type 4 g",1000+N44,IF('Pre-Calculation'!$D$17="Type 4 h",SA+V44,IF('Pre-Calculation'!$D$17="Type 4 i",MAX(N44,Q44),IF('Pre-Calculation'!$D$17="Type 4 k",MAX(N44,1.01*Q44),IF('Pre-Calculation'!$D$17="Type 4 m",MAX(105%*Q44,SA+N44),IF('Pre-Calculation'!$D$17="Type 4 o",MAX(SA,105%*Q44)+V44+X44,IF('Pre-Calculation'!$D$17="Type 5",0))))))))))))</f>
        <v>1165676.472</v>
      </c>
      <c r="Q44" s="175">
        <f t="shared" si="5"/>
        <v>900000</v>
      </c>
      <c r="R44" s="119">
        <f>L44*(1+GROWTH_RATE)*FMC</f>
        <v>1313.269658</v>
      </c>
      <c r="S44" s="112"/>
      <c r="T44" s="175">
        <f>-E44+IF(A43=INPUT!$C$11*12,N44,0)</f>
        <v>0</v>
      </c>
      <c r="U44" s="171"/>
      <c r="V44" s="179">
        <f t="array" ref="V44">NPV('Pre-Calculation'!$E$20,$E45:E$246)</f>
        <v>93986.36873</v>
      </c>
      <c r="W44" s="171">
        <f>10%*SA</f>
        <v>100000</v>
      </c>
      <c r="X44" s="179">
        <f t="array" ref="X44">NPV('Pre-Calculation'!$E$20,W45:W54)</f>
        <v>969592.8037</v>
      </c>
      <c r="Y44" s="12"/>
      <c r="Z44" s="12"/>
    </row>
    <row r="45" ht="15.75" customHeight="1">
      <c r="A45" s="171">
        <f t="shared" si="1"/>
        <v>99</v>
      </c>
      <c r="B45" s="171">
        <f t="shared" si="2"/>
        <v>9</v>
      </c>
      <c r="C45" s="176">
        <f>EDATE(RCD,A44)</f>
        <v>45534</v>
      </c>
      <c r="D45" s="171">
        <f>Age_At_Entry+'Cashflows_Bond Fund'!B45-1</f>
        <v>43</v>
      </c>
      <c r="E45" s="175">
        <f>IF(AND(C45&lt;=Last_Prem,MOD(A44,Mode)=0,C45&gt;INPUT!$C$13,A45&lt;=Revival!$C$11),Mod_Prem,0)</f>
        <v>0</v>
      </c>
      <c r="F45" s="177">
        <f>E45*VLOOKUP(B45,'Pre-Calculation'!$H$1:$I$31,2,FALSE)</f>
        <v>0</v>
      </c>
      <c r="G45" s="177">
        <f>IF(B45&lt;PT+1,VLOOKUP(B45,'Pre-Calculation'!$H$1:$L$32,3,FALSE)+VLOOKUP(B45,'Pre-Calculation'!$H$1:$L$32,4,FALSE)*'Pre-Calculation'!$D$7,0)</f>
        <v>830</v>
      </c>
      <c r="H45" s="175">
        <f>(E45-(F45+G45)*(1+Tax)+N44)</f>
        <v>1164697.072</v>
      </c>
      <c r="I45" s="175">
        <f>IF(B45&lt;PT+1,VLOOKUP(D45,'Pre-Calculation'!$N$3:$P$79,IF(INPUT!$C$4="M",2,3),FALSE)*(J45/1000)*(1/12),0)</f>
        <v>0</v>
      </c>
      <c r="J45" s="175">
        <f t="shared" si="3"/>
        <v>0</v>
      </c>
      <c r="K45" s="175">
        <f>(IF('Pre-Calculation'!$D$17="Type 4 a",MAX(SA,H45,1.05*Q45),IF('Pre-Calculation'!$D$17="Type 4 c",H45,IF('Pre-Calculation'!$D$17="Type 4 d",SA+H45,IF('Pre-Calculation'!$D$17="Type 4 e",MAX(SA,H45),IF('Pre-Calculation'!$D$17="Type 4 f",SA,IF('Pre-Calculation'!$D$17="Type 4 g",1000+H45,IF('Pre-Calculation'!$D$17="Type 4 h",SA+V45,IF('Pre-Calculation'!$D$17="Type 4 i",MAX(H45,Q45),IF('Pre-Calculation'!$D$17="Type 4 k",MAX(H45,1.01*Q45),IF('Pre-Calculation'!$D$17="Type 4 m",MAX(105%*Q45,SA+H45),IF('Pre-Calculation'!$D$17="Type 4 o",MAX(SA,105%*Q45)+V45+X45,IF('Pre-Calculation'!$D$17="Type 5",0)))))))))))))*IF(AND(A45&lt;Revival!$C$4,C45&gt;=Revival!$D$12),PUP,1)</f>
        <v>1164697.072</v>
      </c>
      <c r="L45" s="175">
        <f>H45-I45*(1+Tax)</f>
        <v>1164697.072</v>
      </c>
      <c r="M45" s="175">
        <f>L45*(1+'Pre-Calculation'!$E$28)*(1-'Pre-Calculation'!$E$29*(1+Tax))</f>
        <v>1169872.95</v>
      </c>
      <c r="N45" s="175">
        <f>M45+IF(MOD(A45,B45)=0,VLOOKUP(B45,'Pre-Calculation'!$H$1:$L$31,5,FALSE),0)*IF('Pre-Calculation'!$D$16="% OF FV",M45,IF(OR('Pre-Calculation'!$D$16="% OF AFV(24M)",'Pre-Calculation'!$D$16="% OF AFV(8Q)"),AVERAGE( $M22:$M45),IF('Pre-Calculation'!$D$16="% OF AFV(12M)",AVERAGE($M34:M45),IF('Pre-Calculation'!$D$16="% OF AFV(36M)",AVERAGE($M10:M45)))))</f>
        <v>1169872.95</v>
      </c>
      <c r="O45" s="175">
        <f t="shared" si="4"/>
        <v>1169872.95</v>
      </c>
      <c r="P45" s="175">
        <f>IF('Pre-Calculation'!$D$17="Type 4 a",MAX(SA,N45,1.05*Q45),IF('Pre-Calculation'!$D$17="Type 4 c",N45,IF('Pre-Calculation'!$D$17="Type 4 d",SA+N45,IF('Pre-Calculation'!$D$17="Type 4 e",MAX(SA,N45),IF('Pre-Calculation'!$D$17="Type 4 f",SA,IF('Pre-Calculation'!$D$17="Type 4 g",1000+N45,IF('Pre-Calculation'!$D$17="Type 4 h",SA+V45,IF('Pre-Calculation'!$D$17="Type 4 i",MAX(N45,Q45),IF('Pre-Calculation'!$D$17="Type 4 k",MAX(N45,1.01*Q45),IF('Pre-Calculation'!$D$17="Type 4 m",MAX(105%*Q45,SA+N45),IF('Pre-Calculation'!$D$17="Type 4 o",MAX(SA,105%*Q45)+V45+X45,IF('Pre-Calculation'!$D$17="Type 5",0))))))))))))</f>
        <v>1169872.95</v>
      </c>
      <c r="Q45" s="175">
        <f t="shared" si="5"/>
        <v>900000</v>
      </c>
      <c r="R45" s="119">
        <f>L45*(1+GROWTH_RATE)*FMC</f>
        <v>1317.997476</v>
      </c>
      <c r="S45" s="112"/>
      <c r="T45" s="175">
        <f>-E45+IF(A44=INPUT!$C$11*12,N45,0)</f>
        <v>0</v>
      </c>
      <c r="U45" s="171"/>
      <c r="V45" s="179">
        <f t="array" ref="V45">NPV('Pre-Calculation'!$E$20,$E46:E$246)</f>
        <v>94517.78132</v>
      </c>
      <c r="W45" s="171">
        <f>10%*SA</f>
        <v>100000</v>
      </c>
      <c r="X45" s="179">
        <f t="array" ref="X45">NPV('Pre-Calculation'!$E$20,W46:W55)</f>
        <v>969592.8037</v>
      </c>
      <c r="Y45" s="12"/>
      <c r="Z45" s="12"/>
    </row>
    <row r="46" ht="15.75" customHeight="1">
      <c r="A46" s="171">
        <f t="shared" si="1"/>
        <v>100</v>
      </c>
      <c r="B46" s="171">
        <f t="shared" si="2"/>
        <v>9</v>
      </c>
      <c r="C46" s="176">
        <f>EDATE(RCD,A45)</f>
        <v>45565</v>
      </c>
      <c r="D46" s="171">
        <f>Age_At_Entry+'Cashflows_Bond Fund'!B46-1</f>
        <v>43</v>
      </c>
      <c r="E46" s="175">
        <f>IF(AND(C46&lt;=Last_Prem,MOD(A45,Mode)=0,C46&gt;INPUT!$C$13,A46&lt;=Revival!$C$11),Mod_Prem,0)</f>
        <v>0</v>
      </c>
      <c r="F46" s="177">
        <f>E46*VLOOKUP(B46,'Pre-Calculation'!$H$1:$I$31,2,FALSE)</f>
        <v>0</v>
      </c>
      <c r="G46" s="177">
        <f>IF(B46&lt;PT+1,VLOOKUP(B46,'Pre-Calculation'!$H$1:$L$32,3,FALSE)+VLOOKUP(B46,'Pre-Calculation'!$H$1:$L$32,4,FALSE)*'Pre-Calculation'!$D$7,0)</f>
        <v>830</v>
      </c>
      <c r="H46" s="175">
        <f>(E46-(F46+G46)*(1+Tax)+N45)</f>
        <v>1168893.55</v>
      </c>
      <c r="I46" s="175">
        <f>IF(B46&lt;PT+1,VLOOKUP(D46,'Pre-Calculation'!$N$3:$P$79,IF(INPUT!$C$4="M",2,3),FALSE)*(J46/1000)*(1/12),0)</f>
        <v>0</v>
      </c>
      <c r="J46" s="175">
        <f t="shared" si="3"/>
        <v>0</v>
      </c>
      <c r="K46" s="175">
        <f>(IF('Pre-Calculation'!$D$17="Type 4 a",MAX(SA,H46,1.05*Q46),IF('Pre-Calculation'!$D$17="Type 4 c",H46,IF('Pre-Calculation'!$D$17="Type 4 d",SA+H46,IF('Pre-Calculation'!$D$17="Type 4 e",MAX(SA,H46),IF('Pre-Calculation'!$D$17="Type 4 f",SA,IF('Pre-Calculation'!$D$17="Type 4 g",1000+H46,IF('Pre-Calculation'!$D$17="Type 4 h",SA+V46,IF('Pre-Calculation'!$D$17="Type 4 i",MAX(H46,Q46),IF('Pre-Calculation'!$D$17="Type 4 k",MAX(H46,1.01*Q46),IF('Pre-Calculation'!$D$17="Type 4 m",MAX(105%*Q46,SA+H46),IF('Pre-Calculation'!$D$17="Type 4 o",MAX(SA,105%*Q46)+V46+X46,IF('Pre-Calculation'!$D$17="Type 5",0)))))))))))))*IF(AND(A46&lt;Revival!$C$4,C46&gt;=Revival!$D$12),PUP,1)</f>
        <v>1168893.55</v>
      </c>
      <c r="L46" s="175">
        <f>H46-I46*(1+Tax)</f>
        <v>1168893.55</v>
      </c>
      <c r="M46" s="175">
        <f>L46*(1+'Pre-Calculation'!$E$28)*(1-'Pre-Calculation'!$E$29*(1+Tax))</f>
        <v>1174088.076</v>
      </c>
      <c r="N46" s="175">
        <f>M46+IF(MOD(A46,B46)=0,VLOOKUP(B46,'Pre-Calculation'!$H$1:$L$31,5,FALSE),0)*IF('Pre-Calculation'!$D$16="% OF FV",M46,IF(OR('Pre-Calculation'!$D$16="% OF AFV(24M)",'Pre-Calculation'!$D$16="% OF AFV(8Q)"),AVERAGE( $M23:$M46),IF('Pre-Calculation'!$D$16="% OF AFV(12M)",AVERAGE($M35:M46),IF('Pre-Calculation'!$D$16="% OF AFV(36M)",AVERAGE($M11:M46)))))</f>
        <v>1174088.076</v>
      </c>
      <c r="O46" s="175">
        <f t="shared" si="4"/>
        <v>1174088.076</v>
      </c>
      <c r="P46" s="175">
        <f>IF('Pre-Calculation'!$D$17="Type 4 a",MAX(SA,N46,1.05*Q46),IF('Pre-Calculation'!$D$17="Type 4 c",N46,IF('Pre-Calculation'!$D$17="Type 4 d",SA+N46,IF('Pre-Calculation'!$D$17="Type 4 e",MAX(SA,N46),IF('Pre-Calculation'!$D$17="Type 4 f",SA,IF('Pre-Calculation'!$D$17="Type 4 g",1000+N46,IF('Pre-Calculation'!$D$17="Type 4 h",SA+V46,IF('Pre-Calculation'!$D$17="Type 4 i",MAX(N46,Q46),IF('Pre-Calculation'!$D$17="Type 4 k",MAX(N46,1.01*Q46),IF('Pre-Calculation'!$D$17="Type 4 m",MAX(105%*Q46,SA+N46),IF('Pre-Calculation'!$D$17="Type 4 o",MAX(SA,105%*Q46)+V46+X46,IF('Pre-Calculation'!$D$17="Type 5",0))))))))))))</f>
        <v>1174088.076</v>
      </c>
      <c r="Q46" s="175">
        <f t="shared" si="5"/>
        <v>900000</v>
      </c>
      <c r="R46" s="119">
        <f>L46*(1+GROWTH_RATE)*FMC</f>
        <v>1322.746304</v>
      </c>
      <c r="S46" s="112"/>
      <c r="T46" s="175">
        <f>-E46+IF(A45=INPUT!$C$11*12,N46,0)</f>
        <v>0</v>
      </c>
      <c r="U46" s="171"/>
      <c r="V46" s="179">
        <f t="array" ref="V46">NPV('Pre-Calculation'!$E$20,$E47:E$246)</f>
        <v>95052.1986</v>
      </c>
      <c r="W46" s="171">
        <f>10%*SA</f>
        <v>100000</v>
      </c>
      <c r="X46" s="179">
        <f t="array" ref="X46">NPV('Pre-Calculation'!$E$20,W47:W56)</f>
        <v>969592.8037</v>
      </c>
      <c r="Y46" s="12"/>
      <c r="Z46" s="12"/>
    </row>
    <row r="47" ht="15.75" customHeight="1">
      <c r="A47" s="171">
        <f t="shared" si="1"/>
        <v>101</v>
      </c>
      <c r="B47" s="171">
        <f t="shared" si="2"/>
        <v>9</v>
      </c>
      <c r="C47" s="176">
        <f>EDATE(RCD,A46)</f>
        <v>45595</v>
      </c>
      <c r="D47" s="171">
        <f>Age_At_Entry+'Cashflows_Bond Fund'!B47-1</f>
        <v>43</v>
      </c>
      <c r="E47" s="175">
        <f>IF(AND(C47&lt;=Last_Prem,MOD(A46,Mode)=0,C47&gt;INPUT!$C$13,A47&lt;=Revival!$C$11),Mod_Prem,0)</f>
        <v>0</v>
      </c>
      <c r="F47" s="177">
        <f>E47*VLOOKUP(B47,'Pre-Calculation'!$H$1:$I$31,2,FALSE)</f>
        <v>0</v>
      </c>
      <c r="G47" s="177">
        <f>IF(B47&lt;PT+1,VLOOKUP(B47,'Pre-Calculation'!$H$1:$L$32,3,FALSE)+VLOOKUP(B47,'Pre-Calculation'!$H$1:$L$32,4,FALSE)*'Pre-Calculation'!$D$7,0)</f>
        <v>830</v>
      </c>
      <c r="H47" s="175">
        <f>(E47-(F47+G47)*(1+Tax)+N46)</f>
        <v>1173108.676</v>
      </c>
      <c r="I47" s="175">
        <f>IF(B47&lt;PT+1,VLOOKUP(D47,'Pre-Calculation'!$N$3:$P$79,IF(INPUT!$C$4="M",2,3),FALSE)*(J47/1000)*(1/12),0)</f>
        <v>0</v>
      </c>
      <c r="J47" s="175">
        <f t="shared" si="3"/>
        <v>0</v>
      </c>
      <c r="K47" s="175">
        <f>(IF('Pre-Calculation'!$D$17="Type 4 a",MAX(SA,H47,1.05*Q47),IF('Pre-Calculation'!$D$17="Type 4 c",H47,IF('Pre-Calculation'!$D$17="Type 4 d",SA+H47,IF('Pre-Calculation'!$D$17="Type 4 e",MAX(SA,H47),IF('Pre-Calculation'!$D$17="Type 4 f",SA,IF('Pre-Calculation'!$D$17="Type 4 g",1000+H47,IF('Pre-Calculation'!$D$17="Type 4 h",SA+V47,IF('Pre-Calculation'!$D$17="Type 4 i",MAX(H47,Q47),IF('Pre-Calculation'!$D$17="Type 4 k",MAX(H47,1.01*Q47),IF('Pre-Calculation'!$D$17="Type 4 m",MAX(105%*Q47,SA+H47),IF('Pre-Calculation'!$D$17="Type 4 o",MAX(SA,105%*Q47)+V47+X47,IF('Pre-Calculation'!$D$17="Type 5",0)))))))))))))*IF(AND(A47&lt;Revival!$C$4,C47&gt;=Revival!$D$12),PUP,1)</f>
        <v>1173108.676</v>
      </c>
      <c r="L47" s="175">
        <f>H47-I47*(1+Tax)</f>
        <v>1173108.676</v>
      </c>
      <c r="M47" s="175">
        <f>L47*(1+'Pre-Calculation'!$E$28)*(1-'Pre-Calculation'!$E$29*(1+Tax))</f>
        <v>1178321.935</v>
      </c>
      <c r="N47" s="175">
        <f>M47+IF(MOD(A47,B47)=0,VLOOKUP(B47,'Pre-Calculation'!$H$1:$L$31,5,FALSE),0)*IF('Pre-Calculation'!$D$16="% OF FV",M47,IF(OR('Pre-Calculation'!$D$16="% OF AFV(24M)",'Pre-Calculation'!$D$16="% OF AFV(8Q)"),AVERAGE( $M24:$M47),IF('Pre-Calculation'!$D$16="% OF AFV(12M)",AVERAGE($M36:M47),IF('Pre-Calculation'!$D$16="% OF AFV(36M)",AVERAGE($M12:M47)))))</f>
        <v>1178321.935</v>
      </c>
      <c r="O47" s="175">
        <f t="shared" si="4"/>
        <v>1178321.935</v>
      </c>
      <c r="P47" s="175">
        <f>IF('Pre-Calculation'!$D$17="Type 4 a",MAX(SA,N47,1.05*Q47),IF('Pre-Calculation'!$D$17="Type 4 c",N47,IF('Pre-Calculation'!$D$17="Type 4 d",SA+N47,IF('Pre-Calculation'!$D$17="Type 4 e",MAX(SA,N47),IF('Pre-Calculation'!$D$17="Type 4 f",SA,IF('Pre-Calculation'!$D$17="Type 4 g",1000+N47,IF('Pre-Calculation'!$D$17="Type 4 h",SA+V47,IF('Pre-Calculation'!$D$17="Type 4 i",MAX(N47,Q47),IF('Pre-Calculation'!$D$17="Type 4 k",MAX(N47,1.01*Q47),IF('Pre-Calculation'!$D$17="Type 4 m",MAX(105%*Q47,SA+N47),IF('Pre-Calculation'!$D$17="Type 4 o",MAX(SA,105%*Q47)+V47+X47,IF('Pre-Calculation'!$D$17="Type 5",0))))))))))))</f>
        <v>1178321.935</v>
      </c>
      <c r="Q47" s="175">
        <f t="shared" si="5"/>
        <v>900000</v>
      </c>
      <c r="R47" s="119">
        <f>L47*(1+GROWTH_RATE)*FMC</f>
        <v>1327.516237</v>
      </c>
      <c r="S47" s="112"/>
      <c r="T47" s="175">
        <f>-E47+IF(A46=INPUT!$C$11*12,N47,0)</f>
        <v>0</v>
      </c>
      <c r="U47" s="171"/>
      <c r="V47" s="179">
        <f t="array" ref="V47">NPV('Pre-Calculation'!$E$20,$E48:E$246)</f>
        <v>95589.63755</v>
      </c>
      <c r="W47" s="171">
        <f>10%*SA</f>
        <v>100000</v>
      </c>
      <c r="X47" s="179">
        <f t="array" ref="X47">NPV('Pre-Calculation'!$E$20,W48:W57)</f>
        <v>969592.8037</v>
      </c>
      <c r="Y47" s="12"/>
      <c r="Z47" s="12"/>
    </row>
    <row r="48" ht="15.75" customHeight="1">
      <c r="A48" s="171">
        <f t="shared" si="1"/>
        <v>102</v>
      </c>
      <c r="B48" s="171">
        <f t="shared" si="2"/>
        <v>9</v>
      </c>
      <c r="C48" s="176">
        <f>EDATE(RCD,A47)</f>
        <v>45626</v>
      </c>
      <c r="D48" s="171">
        <f>Age_At_Entry+'Cashflows_Bond Fund'!B48-1</f>
        <v>43</v>
      </c>
      <c r="E48" s="175">
        <f>IF(AND(C48&lt;=Last_Prem,MOD(A47,Mode)=0,C48&gt;INPUT!$C$13,A48&lt;=Revival!$C$11),Mod_Prem,0)</f>
        <v>0</v>
      </c>
      <c r="F48" s="177">
        <f>E48*VLOOKUP(B48,'Pre-Calculation'!$H$1:$I$31,2,FALSE)</f>
        <v>0</v>
      </c>
      <c r="G48" s="177">
        <f>IF(B48&lt;PT+1,VLOOKUP(B48,'Pre-Calculation'!$H$1:$L$32,3,FALSE)+VLOOKUP(B48,'Pre-Calculation'!$H$1:$L$32,4,FALSE)*'Pre-Calculation'!$D$7,0)</f>
        <v>830</v>
      </c>
      <c r="H48" s="175">
        <f>(E48-(F48+G48)*(1+Tax)+N47)</f>
        <v>1177342.535</v>
      </c>
      <c r="I48" s="175">
        <f>IF(B48&lt;PT+1,VLOOKUP(D48,'Pre-Calculation'!$N$3:$P$79,IF(INPUT!$C$4="M",2,3),FALSE)*(J48/1000)*(1/12),0)</f>
        <v>0</v>
      </c>
      <c r="J48" s="175">
        <f t="shared" si="3"/>
        <v>0</v>
      </c>
      <c r="K48" s="175">
        <f>(IF('Pre-Calculation'!$D$17="Type 4 a",MAX(SA,H48,1.05*Q48),IF('Pre-Calculation'!$D$17="Type 4 c",H48,IF('Pre-Calculation'!$D$17="Type 4 d",SA+H48,IF('Pre-Calculation'!$D$17="Type 4 e",MAX(SA,H48),IF('Pre-Calculation'!$D$17="Type 4 f",SA,IF('Pre-Calculation'!$D$17="Type 4 g",1000+H48,IF('Pre-Calculation'!$D$17="Type 4 h",SA+V48,IF('Pre-Calculation'!$D$17="Type 4 i",MAX(H48,Q48),IF('Pre-Calculation'!$D$17="Type 4 k",MAX(H48,1.01*Q48),IF('Pre-Calculation'!$D$17="Type 4 m",MAX(105%*Q48,SA+H48),IF('Pre-Calculation'!$D$17="Type 4 o",MAX(SA,105%*Q48)+V48+X48,IF('Pre-Calculation'!$D$17="Type 5",0)))))))))))))*IF(AND(A48&lt;Revival!$C$4,C48&gt;=Revival!$D$12),PUP,1)</f>
        <v>1177342.535</v>
      </c>
      <c r="L48" s="175">
        <f>H48-I48*(1+Tax)</f>
        <v>1177342.535</v>
      </c>
      <c r="M48" s="175">
        <f>L48*(1+'Pre-Calculation'!$E$28)*(1-'Pre-Calculation'!$E$29*(1+Tax))</f>
        <v>1182574.608</v>
      </c>
      <c r="N48" s="175">
        <f>M48+IF(MOD(A48,B48)=0,VLOOKUP(B48,'Pre-Calculation'!$H$1:$L$31,5,FALSE),0)*IF('Pre-Calculation'!$D$16="% OF FV",M48,IF(OR('Pre-Calculation'!$D$16="% OF AFV(24M)",'Pre-Calculation'!$D$16="% OF AFV(8Q)"),AVERAGE( $M25:$M48),IF('Pre-Calculation'!$D$16="% OF AFV(12M)",AVERAGE($M37:M48),IF('Pre-Calculation'!$D$16="% OF AFV(36M)",AVERAGE($M13:M48)))))</f>
        <v>1182574.608</v>
      </c>
      <c r="O48" s="175">
        <f t="shared" si="4"/>
        <v>1182574.608</v>
      </c>
      <c r="P48" s="175">
        <f>IF('Pre-Calculation'!$D$17="Type 4 a",MAX(SA,N48,1.05*Q48),IF('Pre-Calculation'!$D$17="Type 4 c",N48,IF('Pre-Calculation'!$D$17="Type 4 d",SA+N48,IF('Pre-Calculation'!$D$17="Type 4 e",MAX(SA,N48),IF('Pre-Calculation'!$D$17="Type 4 f",SA,IF('Pre-Calculation'!$D$17="Type 4 g",1000+N48,IF('Pre-Calculation'!$D$17="Type 4 h",SA+V48,IF('Pre-Calculation'!$D$17="Type 4 i",MAX(N48,Q48),IF('Pre-Calculation'!$D$17="Type 4 k",MAX(N48,1.01*Q48),IF('Pre-Calculation'!$D$17="Type 4 m",MAX(105%*Q48,SA+N48),IF('Pre-Calculation'!$D$17="Type 4 o",MAX(SA,105%*Q48)+V48+X48,IF('Pre-Calculation'!$D$17="Type 5",0))))))))))))</f>
        <v>1182574.608</v>
      </c>
      <c r="Q48" s="175">
        <f t="shared" si="5"/>
        <v>900000</v>
      </c>
      <c r="R48" s="119">
        <f>L48*(1+GROWTH_RATE)*FMC</f>
        <v>1332.307366</v>
      </c>
      <c r="S48" s="112"/>
      <c r="T48" s="175">
        <f>-E48+IF(A47=INPUT!$C$11*12,N48,0)</f>
        <v>0</v>
      </c>
      <c r="U48" s="171"/>
      <c r="V48" s="179">
        <f t="array" ref="V48">NPV('Pre-Calculation'!$E$20,$E49:E$246)</f>
        <v>96130.11526</v>
      </c>
      <c r="W48" s="171">
        <f>10%*SA</f>
        <v>100000</v>
      </c>
      <c r="X48" s="179">
        <f t="array" ref="X48">NPV('Pre-Calculation'!$E$20,W49:W58)</f>
        <v>969592.8037</v>
      </c>
      <c r="Y48" s="12"/>
      <c r="Z48" s="12"/>
    </row>
    <row r="49" ht="15.75" customHeight="1">
      <c r="A49" s="171">
        <f t="shared" si="1"/>
        <v>103</v>
      </c>
      <c r="B49" s="171">
        <f t="shared" si="2"/>
        <v>9</v>
      </c>
      <c r="C49" s="176">
        <f>EDATE(RCD,A48)</f>
        <v>45656</v>
      </c>
      <c r="D49" s="171">
        <f>Age_At_Entry+'Cashflows_Bond Fund'!B49-1</f>
        <v>43</v>
      </c>
      <c r="E49" s="175">
        <f>IF(AND(C49&lt;=Last_Prem,MOD(A48,Mode)=0,C49&gt;INPUT!$C$13,A49&lt;=Revival!$C$11),Mod_Prem,0)</f>
        <v>0</v>
      </c>
      <c r="F49" s="177">
        <f>E49*VLOOKUP(B49,'Pre-Calculation'!$H$1:$I$31,2,FALSE)</f>
        <v>0</v>
      </c>
      <c r="G49" s="177">
        <f>IF(B49&lt;PT+1,VLOOKUP(B49,'Pre-Calculation'!$H$1:$L$32,3,FALSE)+VLOOKUP(B49,'Pre-Calculation'!$H$1:$L$32,4,FALSE)*'Pre-Calculation'!$D$7,0)</f>
        <v>830</v>
      </c>
      <c r="H49" s="175">
        <f>(E49-(F49+G49)*(1+Tax)+N48)</f>
        <v>1181595.208</v>
      </c>
      <c r="I49" s="175">
        <f>IF(B49&lt;PT+1,VLOOKUP(D49,'Pre-Calculation'!$N$3:$P$79,IF(INPUT!$C$4="M",2,3),FALSE)*(J49/1000)*(1/12),0)</f>
        <v>0</v>
      </c>
      <c r="J49" s="175">
        <f t="shared" si="3"/>
        <v>0</v>
      </c>
      <c r="K49" s="175">
        <f>(IF('Pre-Calculation'!$D$17="Type 4 a",MAX(SA,H49,1.05*Q49),IF('Pre-Calculation'!$D$17="Type 4 c",H49,IF('Pre-Calculation'!$D$17="Type 4 d",SA+H49,IF('Pre-Calculation'!$D$17="Type 4 e",MAX(SA,H49),IF('Pre-Calculation'!$D$17="Type 4 f",SA,IF('Pre-Calculation'!$D$17="Type 4 g",1000+H49,IF('Pre-Calculation'!$D$17="Type 4 h",SA+V49,IF('Pre-Calculation'!$D$17="Type 4 i",MAX(H49,Q49),IF('Pre-Calculation'!$D$17="Type 4 k",MAX(H49,1.01*Q49),IF('Pre-Calculation'!$D$17="Type 4 m",MAX(105%*Q49,SA+H49),IF('Pre-Calculation'!$D$17="Type 4 o",MAX(SA,105%*Q49)+V49+X49,IF('Pre-Calculation'!$D$17="Type 5",0)))))))))))))*IF(AND(A49&lt;Revival!$C$4,C49&gt;=Revival!$D$12),PUP,1)</f>
        <v>1181595.208</v>
      </c>
      <c r="L49" s="175">
        <f>H49-I49*(1+Tax)</f>
        <v>1181595.208</v>
      </c>
      <c r="M49" s="175">
        <f>L49*(1+'Pre-Calculation'!$E$28)*(1-'Pre-Calculation'!$E$29*(1+Tax))</f>
        <v>1186846.18</v>
      </c>
      <c r="N49" s="175">
        <f>M49+IF(MOD(A49,B49)=0,VLOOKUP(B49,'Pre-Calculation'!$H$1:$L$31,5,FALSE),0)*IF('Pre-Calculation'!$D$16="% OF FV",M49,IF(OR('Pre-Calculation'!$D$16="% OF AFV(24M)",'Pre-Calculation'!$D$16="% OF AFV(8Q)"),AVERAGE( $M26:$M49),IF('Pre-Calculation'!$D$16="% OF AFV(12M)",AVERAGE($M38:M49),IF('Pre-Calculation'!$D$16="% OF AFV(36M)",AVERAGE($M14:M49)))))</f>
        <v>1186846.18</v>
      </c>
      <c r="O49" s="175">
        <f t="shared" si="4"/>
        <v>1186846.18</v>
      </c>
      <c r="P49" s="175">
        <f>IF('Pre-Calculation'!$D$17="Type 4 a",MAX(SA,N49,1.05*Q49),IF('Pre-Calculation'!$D$17="Type 4 c",N49,IF('Pre-Calculation'!$D$17="Type 4 d",SA+N49,IF('Pre-Calculation'!$D$17="Type 4 e",MAX(SA,N49),IF('Pre-Calculation'!$D$17="Type 4 f",SA,IF('Pre-Calculation'!$D$17="Type 4 g",1000+N49,IF('Pre-Calculation'!$D$17="Type 4 h",SA+V49,IF('Pre-Calculation'!$D$17="Type 4 i",MAX(N49,Q49),IF('Pre-Calculation'!$D$17="Type 4 k",MAX(N49,1.01*Q49),IF('Pre-Calculation'!$D$17="Type 4 m",MAX(105%*Q49,SA+N49),IF('Pre-Calculation'!$D$17="Type 4 o",MAX(SA,105%*Q49)+V49+X49,IF('Pre-Calculation'!$D$17="Type 5",0))))))))))))</f>
        <v>1186846.18</v>
      </c>
      <c r="Q49" s="175">
        <f t="shared" si="5"/>
        <v>900000</v>
      </c>
      <c r="R49" s="119">
        <f>L49*(1+GROWTH_RATE)*FMC</f>
        <v>1337.119787</v>
      </c>
      <c r="S49" s="112"/>
      <c r="T49" s="175">
        <f>-E49+IF(A48=INPUT!$C$11*12,N49,0)</f>
        <v>0</v>
      </c>
      <c r="U49" s="171"/>
      <c r="V49" s="179">
        <f t="array" ref="V49">NPV('Pre-Calculation'!$E$20,$E50:E$246)</f>
        <v>96673.6489</v>
      </c>
      <c r="W49" s="171">
        <f>10%*SA</f>
        <v>100000</v>
      </c>
      <c r="X49" s="179">
        <f t="array" ref="X49">NPV('Pre-Calculation'!$E$20,W50:W59)</f>
        <v>969592.8037</v>
      </c>
      <c r="Y49" s="12"/>
      <c r="Z49" s="12"/>
    </row>
    <row r="50" ht="15.75" customHeight="1">
      <c r="A50" s="171">
        <f t="shared" si="1"/>
        <v>104</v>
      </c>
      <c r="B50" s="171">
        <f t="shared" si="2"/>
        <v>9</v>
      </c>
      <c r="C50" s="176">
        <f>EDATE(RCD,A49)</f>
        <v>45687</v>
      </c>
      <c r="D50" s="171">
        <f>Age_At_Entry+'Cashflows_Bond Fund'!B50-1</f>
        <v>43</v>
      </c>
      <c r="E50" s="175">
        <f>IF(AND(C50&lt;=Last_Prem,MOD(A49,Mode)=0,C50&gt;INPUT!$C$13,A50&lt;=Revival!$C$11),Mod_Prem,0)</f>
        <v>0</v>
      </c>
      <c r="F50" s="177">
        <f>E50*VLOOKUP(B50,'Pre-Calculation'!$H$1:$I$31,2,FALSE)</f>
        <v>0</v>
      </c>
      <c r="G50" s="177">
        <f>IF(B50&lt;PT+1,VLOOKUP(B50,'Pre-Calculation'!$H$1:$L$32,3,FALSE)+VLOOKUP(B50,'Pre-Calculation'!$H$1:$L$32,4,FALSE)*'Pre-Calculation'!$D$7,0)</f>
        <v>830</v>
      </c>
      <c r="H50" s="175">
        <f>(E50-(F50+G50)*(1+Tax)+N49)</f>
        <v>1185866.78</v>
      </c>
      <c r="I50" s="175">
        <f>IF(B50&lt;PT+1,VLOOKUP(D50,'Pre-Calculation'!$N$3:$P$79,IF(INPUT!$C$4="M",2,3),FALSE)*(J50/1000)*(1/12),0)</f>
        <v>0</v>
      </c>
      <c r="J50" s="175">
        <f t="shared" si="3"/>
        <v>0</v>
      </c>
      <c r="K50" s="175">
        <f>(IF('Pre-Calculation'!$D$17="Type 4 a",MAX(SA,H50,1.05*Q50),IF('Pre-Calculation'!$D$17="Type 4 c",H50,IF('Pre-Calculation'!$D$17="Type 4 d",SA+H50,IF('Pre-Calculation'!$D$17="Type 4 e",MAX(SA,H50),IF('Pre-Calculation'!$D$17="Type 4 f",SA,IF('Pre-Calculation'!$D$17="Type 4 g",1000+H50,IF('Pre-Calculation'!$D$17="Type 4 h",SA+V50,IF('Pre-Calculation'!$D$17="Type 4 i",MAX(H50,Q50),IF('Pre-Calculation'!$D$17="Type 4 k",MAX(H50,1.01*Q50),IF('Pre-Calculation'!$D$17="Type 4 m",MAX(105%*Q50,SA+H50),IF('Pre-Calculation'!$D$17="Type 4 o",MAX(SA,105%*Q50)+V50+X50,IF('Pre-Calculation'!$D$17="Type 5",0)))))))))))))*IF(AND(A50&lt;Revival!$C$4,C50&gt;=Revival!$D$12),PUP,1)</f>
        <v>1185866.78</v>
      </c>
      <c r="L50" s="175">
        <f>H50-I50*(1+Tax)</f>
        <v>1185866.78</v>
      </c>
      <c r="M50" s="175">
        <f>L50*(1+'Pre-Calculation'!$E$28)*(1-'Pre-Calculation'!$E$29*(1+Tax))</f>
        <v>1191136.735</v>
      </c>
      <c r="N50" s="175">
        <f>M50+IF(MOD(A50,B50)=0,VLOOKUP(B50,'Pre-Calculation'!$H$1:$L$31,5,FALSE),0)*IF('Pre-Calculation'!$D$16="% OF FV",M50,IF(OR('Pre-Calculation'!$D$16="% OF AFV(24M)",'Pre-Calculation'!$D$16="% OF AFV(8Q)"),AVERAGE( $M27:$M50),IF('Pre-Calculation'!$D$16="% OF AFV(12M)",AVERAGE($M39:M50),IF('Pre-Calculation'!$D$16="% OF AFV(36M)",AVERAGE($M15:M50)))))</f>
        <v>1191136.735</v>
      </c>
      <c r="O50" s="175">
        <f t="shared" si="4"/>
        <v>1191136.735</v>
      </c>
      <c r="P50" s="175">
        <f>IF('Pre-Calculation'!$D$17="Type 4 a",MAX(SA,N50,1.05*Q50),IF('Pre-Calculation'!$D$17="Type 4 c",N50,IF('Pre-Calculation'!$D$17="Type 4 d",SA+N50,IF('Pre-Calculation'!$D$17="Type 4 e",MAX(SA,N50),IF('Pre-Calculation'!$D$17="Type 4 f",SA,IF('Pre-Calculation'!$D$17="Type 4 g",1000+N50,IF('Pre-Calculation'!$D$17="Type 4 h",SA+V50,IF('Pre-Calculation'!$D$17="Type 4 i",MAX(N50,Q50),IF('Pre-Calculation'!$D$17="Type 4 k",MAX(N50,1.01*Q50),IF('Pre-Calculation'!$D$17="Type 4 m",MAX(105%*Q50,SA+N50),IF('Pre-Calculation'!$D$17="Type 4 o",MAX(SA,105%*Q50)+V50+X50,IF('Pre-Calculation'!$D$17="Type 5",0))))))))))))</f>
        <v>1191136.735</v>
      </c>
      <c r="Q50" s="175">
        <f t="shared" si="5"/>
        <v>900000</v>
      </c>
      <c r="R50" s="119">
        <f>L50*(1+GROWTH_RATE)*FMC</f>
        <v>1341.953595</v>
      </c>
      <c r="S50" s="112"/>
      <c r="T50" s="175">
        <f>-E50+IF(A49=INPUT!$C$11*12,N50,0)</f>
        <v>0</v>
      </c>
      <c r="U50" s="171"/>
      <c r="V50" s="179">
        <f t="array" ref="V50">NPV('Pre-Calculation'!$E$20,$E51:E$246)</f>
        <v>97220.25577</v>
      </c>
      <c r="W50" s="171">
        <f>10%*SA</f>
        <v>100000</v>
      </c>
      <c r="X50" s="179">
        <f t="array" ref="X50">NPV('Pre-Calculation'!$E$20,W51:W60)</f>
        <v>969592.8037</v>
      </c>
      <c r="Y50" s="12"/>
      <c r="Z50" s="12"/>
    </row>
    <row r="51" ht="15.75" customHeight="1">
      <c r="A51" s="171">
        <f t="shared" si="1"/>
        <v>105</v>
      </c>
      <c r="B51" s="171">
        <f t="shared" si="2"/>
        <v>9</v>
      </c>
      <c r="C51" s="176">
        <f>EDATE(RCD,A50)</f>
        <v>45716</v>
      </c>
      <c r="D51" s="171">
        <f>Age_At_Entry+'Cashflows_Bond Fund'!B51-1</f>
        <v>43</v>
      </c>
      <c r="E51" s="175">
        <f>IF(AND(C51&lt;=Last_Prem,MOD(A50,Mode)=0,C51&gt;INPUT!$C$13,A51&lt;=Revival!$C$11),Mod_Prem,0)</f>
        <v>0</v>
      </c>
      <c r="F51" s="177">
        <f>E51*VLOOKUP(B51,'Pre-Calculation'!$H$1:$I$31,2,FALSE)</f>
        <v>0</v>
      </c>
      <c r="G51" s="177">
        <f>IF(B51&lt;PT+1,VLOOKUP(B51,'Pre-Calculation'!$H$1:$L$32,3,FALSE)+VLOOKUP(B51,'Pre-Calculation'!$H$1:$L$32,4,FALSE)*'Pre-Calculation'!$D$7,0)</f>
        <v>830</v>
      </c>
      <c r="H51" s="175">
        <f>(E51-(F51+G51)*(1+Tax)+N50)</f>
        <v>1190157.335</v>
      </c>
      <c r="I51" s="175">
        <f>IF(B51&lt;PT+1,VLOOKUP(D51,'Pre-Calculation'!$N$3:$P$79,IF(INPUT!$C$4="M",2,3),FALSE)*(J51/1000)*(1/12),0)</f>
        <v>0</v>
      </c>
      <c r="J51" s="175">
        <f t="shared" si="3"/>
        <v>0</v>
      </c>
      <c r="K51" s="175">
        <f>(IF('Pre-Calculation'!$D$17="Type 4 a",MAX(SA,H51,1.05*Q51),IF('Pre-Calculation'!$D$17="Type 4 c",H51,IF('Pre-Calculation'!$D$17="Type 4 d",SA+H51,IF('Pre-Calculation'!$D$17="Type 4 e",MAX(SA,H51),IF('Pre-Calculation'!$D$17="Type 4 f",SA,IF('Pre-Calculation'!$D$17="Type 4 g",1000+H51,IF('Pre-Calculation'!$D$17="Type 4 h",SA+V51,IF('Pre-Calculation'!$D$17="Type 4 i",MAX(H51,Q51),IF('Pre-Calculation'!$D$17="Type 4 k",MAX(H51,1.01*Q51),IF('Pre-Calculation'!$D$17="Type 4 m",MAX(105%*Q51,SA+H51),IF('Pre-Calculation'!$D$17="Type 4 o",MAX(SA,105%*Q51)+V51+X51,IF('Pre-Calculation'!$D$17="Type 5",0)))))))))))))*IF(AND(A51&lt;Revival!$C$4,C51&gt;=Revival!$D$12),PUP,1)</f>
        <v>1190157.335</v>
      </c>
      <c r="L51" s="175">
        <f>H51-I51*(1+Tax)</f>
        <v>1190157.335</v>
      </c>
      <c r="M51" s="175">
        <f>L51*(1+'Pre-Calculation'!$E$28)*(1-'Pre-Calculation'!$E$29*(1+Tax))</f>
        <v>1195446.357</v>
      </c>
      <c r="N51" s="175">
        <f>M51+IF(MOD(A51,B51)=0,VLOOKUP(B51,'Pre-Calculation'!$H$1:$L$31,5,FALSE),0)*IF('Pre-Calculation'!$D$16="% OF FV",M51,IF(OR('Pre-Calculation'!$D$16="% OF AFV(24M)",'Pre-Calculation'!$D$16="% OF AFV(8Q)"),AVERAGE( $M28:$M51),IF('Pre-Calculation'!$D$16="% OF AFV(12M)",AVERAGE($M40:M51),IF('Pre-Calculation'!$D$16="% OF AFV(36M)",AVERAGE($M16:M51)))))</f>
        <v>1195446.357</v>
      </c>
      <c r="O51" s="175">
        <f t="shared" si="4"/>
        <v>1195446.357</v>
      </c>
      <c r="P51" s="175">
        <f>IF('Pre-Calculation'!$D$17="Type 4 a",MAX(SA,N51,1.05*Q51),IF('Pre-Calculation'!$D$17="Type 4 c",N51,IF('Pre-Calculation'!$D$17="Type 4 d",SA+N51,IF('Pre-Calculation'!$D$17="Type 4 e",MAX(SA,N51),IF('Pre-Calculation'!$D$17="Type 4 f",SA,IF('Pre-Calculation'!$D$17="Type 4 g",1000+N51,IF('Pre-Calculation'!$D$17="Type 4 h",SA+V51,IF('Pre-Calculation'!$D$17="Type 4 i",MAX(N51,Q51),IF('Pre-Calculation'!$D$17="Type 4 k",MAX(N51,1.01*Q51),IF('Pre-Calculation'!$D$17="Type 4 m",MAX(105%*Q51,SA+N51),IF('Pre-Calculation'!$D$17="Type 4 o",MAX(SA,105%*Q51)+V51+X51,IF('Pre-Calculation'!$D$17="Type 5",0))))))))))))</f>
        <v>1195446.357</v>
      </c>
      <c r="Q51" s="175">
        <f t="shared" si="5"/>
        <v>900000</v>
      </c>
      <c r="R51" s="119">
        <f>L51*(1+GROWTH_RATE)*FMC</f>
        <v>1346.808883</v>
      </c>
      <c r="S51" s="112"/>
      <c r="T51" s="175">
        <f>-E51+IF(A50=INPUT!$C$11*12,N51,0)</f>
        <v>0</v>
      </c>
      <c r="U51" s="171"/>
      <c r="V51" s="179">
        <f t="array" ref="V51">NPV('Pre-Calculation'!$E$20,$E52:E$246)</f>
        <v>97769.95323</v>
      </c>
      <c r="W51" s="171">
        <f>10%*SA</f>
        <v>100000</v>
      </c>
      <c r="X51" s="179">
        <f t="array" ref="X51">NPV('Pre-Calculation'!$E$20,W52:W61)</f>
        <v>969592.8037</v>
      </c>
      <c r="Y51" s="12"/>
      <c r="Z51" s="12"/>
    </row>
    <row r="52" ht="15.75" customHeight="1">
      <c r="A52" s="171">
        <f t="shared" si="1"/>
        <v>106</v>
      </c>
      <c r="B52" s="171">
        <f t="shared" si="2"/>
        <v>9</v>
      </c>
      <c r="C52" s="176">
        <f>EDATE(RCD,A51)</f>
        <v>45746</v>
      </c>
      <c r="D52" s="171">
        <f>Age_At_Entry+'Cashflows_Bond Fund'!B52-1</f>
        <v>43</v>
      </c>
      <c r="E52" s="175">
        <f>IF(AND(C52&lt;=Last_Prem,MOD(A51,Mode)=0,C52&gt;INPUT!$C$13,A52&lt;=Revival!$C$11),Mod_Prem,0)</f>
        <v>0</v>
      </c>
      <c r="F52" s="177">
        <f>E52*VLOOKUP(B52,'Pre-Calculation'!$H$1:$I$31,2,FALSE)</f>
        <v>0</v>
      </c>
      <c r="G52" s="177">
        <f>IF(B52&lt;PT+1,VLOOKUP(B52,'Pre-Calculation'!$H$1:$L$32,3,FALSE)+VLOOKUP(B52,'Pre-Calculation'!$H$1:$L$32,4,FALSE)*'Pre-Calculation'!$D$7,0)</f>
        <v>830</v>
      </c>
      <c r="H52" s="175">
        <f>(E52-(F52+G52)*(1+Tax)+N51)</f>
        <v>1194466.957</v>
      </c>
      <c r="I52" s="175">
        <f>IF(B52&lt;PT+1,VLOOKUP(D52,'Pre-Calculation'!$N$3:$P$79,IF(INPUT!$C$4="M",2,3),FALSE)*(J52/1000)*(1/12),0)</f>
        <v>0</v>
      </c>
      <c r="J52" s="175">
        <f t="shared" si="3"/>
        <v>0</v>
      </c>
      <c r="K52" s="175">
        <f>(IF('Pre-Calculation'!$D$17="Type 4 a",MAX(SA,H52,1.05*Q52),IF('Pre-Calculation'!$D$17="Type 4 c",H52,IF('Pre-Calculation'!$D$17="Type 4 d",SA+H52,IF('Pre-Calculation'!$D$17="Type 4 e",MAX(SA,H52),IF('Pre-Calculation'!$D$17="Type 4 f",SA,IF('Pre-Calculation'!$D$17="Type 4 g",1000+H52,IF('Pre-Calculation'!$D$17="Type 4 h",SA+V52,IF('Pre-Calculation'!$D$17="Type 4 i",MAX(H52,Q52),IF('Pre-Calculation'!$D$17="Type 4 k",MAX(H52,1.01*Q52),IF('Pre-Calculation'!$D$17="Type 4 m",MAX(105%*Q52,SA+H52),IF('Pre-Calculation'!$D$17="Type 4 o",MAX(SA,105%*Q52)+V52+X52,IF('Pre-Calculation'!$D$17="Type 5",0)))))))))))))*IF(AND(A52&lt;Revival!$C$4,C52&gt;=Revival!$D$12),PUP,1)</f>
        <v>1194466.957</v>
      </c>
      <c r="L52" s="175">
        <f>H52-I52*(1+Tax)</f>
        <v>1194466.957</v>
      </c>
      <c r="M52" s="175">
        <f>L52*(1+'Pre-Calculation'!$E$28)*(1-'Pre-Calculation'!$E$29*(1+Tax))</f>
        <v>1199775.131</v>
      </c>
      <c r="N52" s="175">
        <f>M52+IF(MOD(A52,B52)=0,VLOOKUP(B52,'Pre-Calculation'!$H$1:$L$31,5,FALSE),0)*IF('Pre-Calculation'!$D$16="% OF FV",M52,IF(OR('Pre-Calculation'!$D$16="% OF AFV(24M)",'Pre-Calculation'!$D$16="% OF AFV(8Q)"),AVERAGE( $M29:$M52),IF('Pre-Calculation'!$D$16="% OF AFV(12M)",AVERAGE($M41:M52),IF('Pre-Calculation'!$D$16="% OF AFV(36M)",AVERAGE($M17:M52)))))</f>
        <v>1199775.131</v>
      </c>
      <c r="O52" s="175">
        <f t="shared" si="4"/>
        <v>1199775.131</v>
      </c>
      <c r="P52" s="175">
        <f>IF('Pre-Calculation'!$D$17="Type 4 a",MAX(SA,N52,1.05*Q52),IF('Pre-Calculation'!$D$17="Type 4 c",N52,IF('Pre-Calculation'!$D$17="Type 4 d",SA+N52,IF('Pre-Calculation'!$D$17="Type 4 e",MAX(SA,N52),IF('Pre-Calculation'!$D$17="Type 4 f",SA,IF('Pre-Calculation'!$D$17="Type 4 g",1000+N52,IF('Pre-Calculation'!$D$17="Type 4 h",SA+V52,IF('Pre-Calculation'!$D$17="Type 4 i",MAX(N52,Q52),IF('Pre-Calculation'!$D$17="Type 4 k",MAX(N52,1.01*Q52),IF('Pre-Calculation'!$D$17="Type 4 m",MAX(105%*Q52,SA+N52),IF('Pre-Calculation'!$D$17="Type 4 o",MAX(SA,105%*Q52)+V52+X52,IF('Pre-Calculation'!$D$17="Type 5",0))))))))))))</f>
        <v>1199775.131</v>
      </c>
      <c r="Q52" s="175">
        <f t="shared" si="5"/>
        <v>900000</v>
      </c>
      <c r="R52" s="119">
        <f>L52*(1+GROWTH_RATE)*FMC</f>
        <v>1351.685749</v>
      </c>
      <c r="S52" s="112"/>
      <c r="T52" s="175">
        <f>-E52+IF(A51=INPUT!$C$11*12,N52,0)</f>
        <v>0</v>
      </c>
      <c r="U52" s="171"/>
      <c r="V52" s="179">
        <f t="array" ref="V52">NPV('Pre-Calculation'!$E$20,$E53:E$246)</f>
        <v>98322.75876</v>
      </c>
      <c r="W52" s="171">
        <f>10%*SA</f>
        <v>100000</v>
      </c>
      <c r="X52" s="179">
        <f t="array" ref="X52">NPV('Pre-Calculation'!$E$20,W53:W62)</f>
        <v>969592.8037</v>
      </c>
      <c r="Y52" s="12"/>
      <c r="Z52" s="12"/>
    </row>
    <row r="53" ht="15.75" customHeight="1">
      <c r="A53" s="171">
        <f t="shared" si="1"/>
        <v>107</v>
      </c>
      <c r="B53" s="171">
        <f t="shared" si="2"/>
        <v>9</v>
      </c>
      <c r="C53" s="176">
        <f>EDATE(RCD,A52)</f>
        <v>45777</v>
      </c>
      <c r="D53" s="171">
        <f>Age_At_Entry+'Cashflows_Bond Fund'!B53-1</f>
        <v>43</v>
      </c>
      <c r="E53" s="175">
        <f>IF(AND(C53&lt;=Last_Prem,MOD(A52,Mode)=0,C53&gt;INPUT!$C$13,A53&lt;=Revival!$C$11),Mod_Prem,0)</f>
        <v>0</v>
      </c>
      <c r="F53" s="177">
        <f>E53*VLOOKUP(B53,'Pre-Calculation'!$H$1:$I$31,2,FALSE)</f>
        <v>0</v>
      </c>
      <c r="G53" s="177">
        <f>IF(B53&lt;PT+1,VLOOKUP(B53,'Pre-Calculation'!$H$1:$L$32,3,FALSE)+VLOOKUP(B53,'Pre-Calculation'!$H$1:$L$32,4,FALSE)*'Pre-Calculation'!$D$7,0)</f>
        <v>830</v>
      </c>
      <c r="H53" s="175">
        <f>(E53-(F53+G53)*(1+Tax)+N52)</f>
        <v>1198795.731</v>
      </c>
      <c r="I53" s="175">
        <f>IF(B53&lt;PT+1,VLOOKUP(D53,'Pre-Calculation'!$N$3:$P$79,IF(INPUT!$C$4="M",2,3),FALSE)*(J53/1000)*(1/12),0)</f>
        <v>0</v>
      </c>
      <c r="J53" s="175">
        <f t="shared" si="3"/>
        <v>0</v>
      </c>
      <c r="K53" s="175">
        <f>(IF('Pre-Calculation'!$D$17="Type 4 a",MAX(SA,H53,1.05*Q53),IF('Pre-Calculation'!$D$17="Type 4 c",H53,IF('Pre-Calculation'!$D$17="Type 4 d",SA+H53,IF('Pre-Calculation'!$D$17="Type 4 e",MAX(SA,H53),IF('Pre-Calculation'!$D$17="Type 4 f",SA,IF('Pre-Calculation'!$D$17="Type 4 g",1000+H53,IF('Pre-Calculation'!$D$17="Type 4 h",SA+V53,IF('Pre-Calculation'!$D$17="Type 4 i",MAX(H53,Q53),IF('Pre-Calculation'!$D$17="Type 4 k",MAX(H53,1.01*Q53),IF('Pre-Calculation'!$D$17="Type 4 m",MAX(105%*Q53,SA+H53),IF('Pre-Calculation'!$D$17="Type 4 o",MAX(SA,105%*Q53)+V53+X53,IF('Pre-Calculation'!$D$17="Type 5",0)))))))))))))*IF(AND(A53&lt;Revival!$C$4,C53&gt;=Revival!$D$12),PUP,1)</f>
        <v>1198795.731</v>
      </c>
      <c r="L53" s="175">
        <f>H53-I53*(1+Tax)</f>
        <v>1198795.731</v>
      </c>
      <c r="M53" s="175">
        <f>L53*(1+'Pre-Calculation'!$E$28)*(1-'Pre-Calculation'!$E$29*(1+Tax))</f>
        <v>1204123.142</v>
      </c>
      <c r="N53" s="175">
        <f>M53+IF(MOD(A53,B53)=0,VLOOKUP(B53,'Pre-Calculation'!$H$1:$L$31,5,FALSE),0)*IF('Pre-Calculation'!$D$16="% OF FV",M53,IF(OR('Pre-Calculation'!$D$16="% OF AFV(24M)",'Pre-Calculation'!$D$16="% OF AFV(8Q)"),AVERAGE( $M30:$M53),IF('Pre-Calculation'!$D$16="% OF AFV(12M)",AVERAGE($M42:M53),IF('Pre-Calculation'!$D$16="% OF AFV(36M)",AVERAGE($M18:M53)))))</f>
        <v>1204123.142</v>
      </c>
      <c r="O53" s="175">
        <f t="shared" si="4"/>
        <v>1204123.142</v>
      </c>
      <c r="P53" s="175">
        <f>IF('Pre-Calculation'!$D$17="Type 4 a",MAX(SA,N53,1.05*Q53),IF('Pre-Calculation'!$D$17="Type 4 c",N53,IF('Pre-Calculation'!$D$17="Type 4 d",SA+N53,IF('Pre-Calculation'!$D$17="Type 4 e",MAX(SA,N53),IF('Pre-Calculation'!$D$17="Type 4 f",SA,IF('Pre-Calculation'!$D$17="Type 4 g",1000+N53,IF('Pre-Calculation'!$D$17="Type 4 h",SA+V53,IF('Pre-Calculation'!$D$17="Type 4 i",MAX(N53,Q53),IF('Pre-Calculation'!$D$17="Type 4 k",MAX(N53,1.01*Q53),IF('Pre-Calculation'!$D$17="Type 4 m",MAX(105%*Q53,SA+N53),IF('Pre-Calculation'!$D$17="Type 4 o",MAX(SA,105%*Q53)+V53+X53,IF('Pre-Calculation'!$D$17="Type 5",0))))))))))))</f>
        <v>1204123.142</v>
      </c>
      <c r="Q53" s="175">
        <f t="shared" si="5"/>
        <v>900000</v>
      </c>
      <c r="R53" s="119">
        <f>L53*(1+GROWTH_RATE)*FMC</f>
        <v>1356.584287</v>
      </c>
      <c r="S53" s="112"/>
      <c r="T53" s="175">
        <f>-E53+IF(A52=INPUT!$C$11*12,N53,0)</f>
        <v>0</v>
      </c>
      <c r="U53" s="171"/>
      <c r="V53" s="179">
        <f t="array" ref="V53">NPV('Pre-Calculation'!$E$20,$E54:E$246)</f>
        <v>98878.68993</v>
      </c>
      <c r="W53" s="171">
        <f>10%*SA</f>
        <v>100000</v>
      </c>
      <c r="X53" s="179">
        <f t="array" ref="X53">NPV('Pre-Calculation'!$E$20,W54:W63)</f>
        <v>969592.8037</v>
      </c>
      <c r="Y53" s="12"/>
      <c r="Z53" s="12"/>
    </row>
    <row r="54" ht="15.75" customHeight="1">
      <c r="A54" s="171">
        <f t="shared" si="1"/>
        <v>108</v>
      </c>
      <c r="B54" s="171">
        <f t="shared" si="2"/>
        <v>9</v>
      </c>
      <c r="C54" s="176">
        <f>EDATE(RCD,A53)</f>
        <v>45807</v>
      </c>
      <c r="D54" s="171">
        <f>Age_At_Entry+'Cashflows_Bond Fund'!B54-1</f>
        <v>43</v>
      </c>
      <c r="E54" s="175">
        <f>IF(AND(C54&lt;=Last_Prem,MOD(A53,Mode)=0,C54&gt;INPUT!$C$13,A54&lt;=Revival!$C$11),Mod_Prem,0)</f>
        <v>0</v>
      </c>
      <c r="F54" s="177">
        <f>E54*VLOOKUP(B54,'Pre-Calculation'!$H$1:$I$31,2,FALSE)</f>
        <v>0</v>
      </c>
      <c r="G54" s="177">
        <f>IF(B54&lt;PT+1,VLOOKUP(B54,'Pre-Calculation'!$H$1:$L$32,3,FALSE)+VLOOKUP(B54,'Pre-Calculation'!$H$1:$L$32,4,FALSE)*'Pre-Calculation'!$D$7,0)</f>
        <v>830</v>
      </c>
      <c r="H54" s="175">
        <f>(E54-(F54+G54)*(1+Tax)+N53)</f>
        <v>1203143.742</v>
      </c>
      <c r="I54" s="175">
        <f>IF(B54&lt;PT+1,VLOOKUP(D54,'Pre-Calculation'!$N$3:$P$79,IF(INPUT!$C$4="M",2,3),FALSE)*(J54/1000)*(1/12),0)</f>
        <v>0</v>
      </c>
      <c r="J54" s="175">
        <f t="shared" si="3"/>
        <v>0</v>
      </c>
      <c r="K54" s="175">
        <f>(IF('Pre-Calculation'!$D$17="Type 4 a",MAX(SA,H54,1.05*Q54),IF('Pre-Calculation'!$D$17="Type 4 c",H54,IF('Pre-Calculation'!$D$17="Type 4 d",SA+H54,IF('Pre-Calculation'!$D$17="Type 4 e",MAX(SA,H54),IF('Pre-Calculation'!$D$17="Type 4 f",SA,IF('Pre-Calculation'!$D$17="Type 4 g",1000+H54,IF('Pre-Calculation'!$D$17="Type 4 h",SA+V54,IF('Pre-Calculation'!$D$17="Type 4 i",MAX(H54,Q54),IF('Pre-Calculation'!$D$17="Type 4 k",MAX(H54,1.01*Q54),IF('Pre-Calculation'!$D$17="Type 4 m",MAX(105%*Q54,SA+H54),IF('Pre-Calculation'!$D$17="Type 4 o",MAX(SA,105%*Q54)+V54+X54,IF('Pre-Calculation'!$D$17="Type 5",0)))))))))))))*IF(AND(A54&lt;Revival!$C$4,C54&gt;=Revival!$D$12),PUP,1)</f>
        <v>1203143.742</v>
      </c>
      <c r="L54" s="175">
        <f>H54-I54*(1+Tax)</f>
        <v>1203143.742</v>
      </c>
      <c r="M54" s="175">
        <f>L54*(1+'Pre-Calculation'!$E$28)*(1-'Pre-Calculation'!$E$29*(1+Tax))</f>
        <v>1208490.475</v>
      </c>
      <c r="N54" s="175">
        <f>M54+IF(MOD(A54,B54)=0,VLOOKUP(B54,'Pre-Calculation'!$H$1:$L$31,5,FALSE),0)*IF('Pre-Calculation'!$D$16="% OF FV",M54,IF(OR('Pre-Calculation'!$D$16="% OF AFV(24M)",'Pre-Calculation'!$D$16="% OF AFV(8Q)"),AVERAGE( $M31:$M54),IF('Pre-Calculation'!$D$16="% OF AFV(12M)",AVERAGE($M43:M54),IF('Pre-Calculation'!$D$16="% OF AFV(36M)",AVERAGE($M19:M54)))))</f>
        <v>1208490.475</v>
      </c>
      <c r="O54" s="175">
        <f t="shared" si="4"/>
        <v>1208490.475</v>
      </c>
      <c r="P54" s="175">
        <f>IF('Pre-Calculation'!$D$17="Type 4 a",MAX(SA,N54,1.05*Q54),IF('Pre-Calculation'!$D$17="Type 4 c",N54,IF('Pre-Calculation'!$D$17="Type 4 d",SA+N54,IF('Pre-Calculation'!$D$17="Type 4 e",MAX(SA,N54),IF('Pre-Calculation'!$D$17="Type 4 f",SA,IF('Pre-Calculation'!$D$17="Type 4 g",1000+N54,IF('Pre-Calculation'!$D$17="Type 4 h",SA+V54,IF('Pre-Calculation'!$D$17="Type 4 i",MAX(N54,Q54),IF('Pre-Calculation'!$D$17="Type 4 k",MAX(N54,1.01*Q54),IF('Pre-Calculation'!$D$17="Type 4 m",MAX(105%*Q54,SA+N54),IF('Pre-Calculation'!$D$17="Type 4 o",MAX(SA,105%*Q54)+V54+X54,IF('Pre-Calculation'!$D$17="Type 5",0))))))))))))</f>
        <v>1208490.475</v>
      </c>
      <c r="Q54" s="175">
        <f t="shared" si="5"/>
        <v>900000</v>
      </c>
      <c r="R54" s="119">
        <f>L54*(1+GROWTH_RATE)*FMC</f>
        <v>1361.504594</v>
      </c>
      <c r="S54" s="112"/>
      <c r="T54" s="175">
        <f>-E54+IF(A53=INPUT!$C$11*12,N54,0)</f>
        <v>0</v>
      </c>
      <c r="U54" s="171"/>
      <c r="V54" s="179">
        <f t="array" ref="V54">NPV('Pre-Calculation'!$E$20,$E55:E$246)</f>
        <v>99437.76442</v>
      </c>
      <c r="W54" s="171">
        <f>10%*SA</f>
        <v>100000</v>
      </c>
      <c r="X54" s="179">
        <f t="array" ref="X54">NPV('Pre-Calculation'!$E$20,W55:W64)</f>
        <v>969592.8037</v>
      </c>
      <c r="Y54" s="12"/>
      <c r="Z54" s="12"/>
    </row>
    <row r="55" ht="15.75" customHeight="1">
      <c r="A55" s="171">
        <f t="shared" si="1"/>
        <v>109</v>
      </c>
      <c r="B55" s="171">
        <f t="shared" si="2"/>
        <v>10</v>
      </c>
      <c r="C55" s="176">
        <f>EDATE(RCD,A54)</f>
        <v>45838</v>
      </c>
      <c r="D55" s="171">
        <f>Age_At_Entry+'Cashflows_Bond Fund'!B55-1</f>
        <v>44</v>
      </c>
      <c r="E55" s="175">
        <f>IF(AND(C55&lt;=Last_Prem,MOD(A54,Mode)=0,C55&gt;INPUT!$C$13,A55&lt;=Revival!$C$11),Mod_Prem,0)</f>
        <v>100000</v>
      </c>
      <c r="F55" s="177">
        <f>E55*VLOOKUP(B55,'Pre-Calculation'!$H$1:$I$31,2,FALSE)</f>
        <v>0</v>
      </c>
      <c r="G55" s="177">
        <f>IF(B55&lt;PT+1,VLOOKUP(B55,'Pre-Calculation'!$H$1:$L$32,3,FALSE)+VLOOKUP(B55,'Pre-Calculation'!$H$1:$L$32,4,FALSE)*'Pre-Calculation'!$D$7,0)</f>
        <v>830</v>
      </c>
      <c r="H55" s="175">
        <f>(E55-(F55+G55)*(1+Tax)+N54)</f>
        <v>1307511.075</v>
      </c>
      <c r="I55" s="175">
        <f>IF(B55&lt;PT+1,VLOOKUP(D55,'Pre-Calculation'!$N$3:$P$79,IF(INPUT!$C$4="M",2,3),FALSE)*(J55/1000)*(1/12),0)</f>
        <v>0</v>
      </c>
      <c r="J55" s="175">
        <f t="shared" si="3"/>
        <v>0</v>
      </c>
      <c r="K55" s="175">
        <f>(IF('Pre-Calculation'!$D$17="Type 4 a",MAX(SA,H55,1.05*Q55),IF('Pre-Calculation'!$D$17="Type 4 c",H55,IF('Pre-Calculation'!$D$17="Type 4 d",SA+H55,IF('Pre-Calculation'!$D$17="Type 4 e",MAX(SA,H55),IF('Pre-Calculation'!$D$17="Type 4 f",SA,IF('Pre-Calculation'!$D$17="Type 4 g",1000+H55,IF('Pre-Calculation'!$D$17="Type 4 h",SA+V55,IF('Pre-Calculation'!$D$17="Type 4 i",MAX(H55,Q55),IF('Pre-Calculation'!$D$17="Type 4 k",MAX(H55,1.01*Q55),IF('Pre-Calculation'!$D$17="Type 4 m",MAX(105%*Q55,SA+H55),IF('Pre-Calculation'!$D$17="Type 4 o",MAX(SA,105%*Q55)+V55+X55,IF('Pre-Calculation'!$D$17="Type 5",0)))))))))))))*IF(AND(A55&lt;Revival!$C$4,C55&gt;=Revival!$D$12),PUP,1)</f>
        <v>1307511.075</v>
      </c>
      <c r="L55" s="175">
        <f>H55-I55*(1+Tax)</f>
        <v>1307511.075</v>
      </c>
      <c r="M55" s="175">
        <f>L55*(1+'Pre-Calculation'!$E$28)*(1-'Pre-Calculation'!$E$29*(1+Tax))</f>
        <v>1313321.613</v>
      </c>
      <c r="N55" s="175">
        <f>M55+IF(MOD(A55,B55)=0,VLOOKUP(B55,'Pre-Calculation'!$H$1:$L$31,5,FALSE),0)*IF('Pre-Calculation'!$D$16="% OF FV",M55,IF(OR('Pre-Calculation'!$D$16="% OF AFV(24M)",'Pre-Calculation'!$D$16="% OF AFV(8Q)"),AVERAGE( $M32:$M55),IF('Pre-Calculation'!$D$16="% OF AFV(12M)",AVERAGE($M44:M55),IF('Pre-Calculation'!$D$16="% OF AFV(36M)",AVERAGE($M20:M55)))))</f>
        <v>1313321.613</v>
      </c>
      <c r="O55" s="175">
        <f t="shared" si="4"/>
        <v>1313321.613</v>
      </c>
      <c r="P55" s="175">
        <f>IF('Pre-Calculation'!$D$17="Type 4 a",MAX(SA,N55,1.05*Q55),IF('Pre-Calculation'!$D$17="Type 4 c",N55,IF('Pre-Calculation'!$D$17="Type 4 d",SA+N55,IF('Pre-Calculation'!$D$17="Type 4 e",MAX(SA,N55),IF('Pre-Calculation'!$D$17="Type 4 f",SA,IF('Pre-Calculation'!$D$17="Type 4 g",1000+N55,IF('Pre-Calculation'!$D$17="Type 4 h",SA+V55,IF('Pre-Calculation'!$D$17="Type 4 i",MAX(N55,Q55),IF('Pre-Calculation'!$D$17="Type 4 k",MAX(N55,1.01*Q55),IF('Pre-Calculation'!$D$17="Type 4 m",MAX(105%*Q55,SA+N55),IF('Pre-Calculation'!$D$17="Type 4 o",MAX(SA,105%*Q55)+V55+X55,IF('Pre-Calculation'!$D$17="Type 5",0))))))))))))</f>
        <v>1313321.613</v>
      </c>
      <c r="Q55" s="175">
        <f t="shared" si="5"/>
        <v>1000000</v>
      </c>
      <c r="R55" s="119">
        <f>L55*(1+GROWTH_RATE)*FMC</f>
        <v>1479.609022</v>
      </c>
      <c r="S55" s="112"/>
      <c r="T55" s="175">
        <f>-E55+IF(A54=INPUT!$C$11*12,N55,0)</f>
        <v>-100000</v>
      </c>
      <c r="U55" s="171"/>
      <c r="V55" s="179">
        <f t="array" ref="V55">NPV('Pre-Calculation'!$E$20,$E56:E$246)</f>
        <v>0</v>
      </c>
      <c r="W55" s="171">
        <f>10%*SA</f>
        <v>100000</v>
      </c>
      <c r="X55" s="179">
        <f t="array" ref="X55">NPV('Pre-Calculation'!$E$20,W56:W65)</f>
        <v>969592.8037</v>
      </c>
      <c r="Y55" s="12"/>
      <c r="Z55" s="12"/>
    </row>
    <row r="56" ht="15.75" customHeight="1">
      <c r="A56" s="171">
        <f t="shared" si="1"/>
        <v>110</v>
      </c>
      <c r="B56" s="171">
        <f t="shared" si="2"/>
        <v>10</v>
      </c>
      <c r="C56" s="176">
        <f>EDATE(RCD,A55)</f>
        <v>45868</v>
      </c>
      <c r="D56" s="171">
        <f>Age_At_Entry+'Cashflows_Bond Fund'!B56-1</f>
        <v>44</v>
      </c>
      <c r="E56" s="175">
        <f>IF(AND(C56&lt;=Last_Prem,MOD(A55,Mode)=0,C56&gt;INPUT!$C$13,A56&lt;=Revival!$C$11),Mod_Prem,0)</f>
        <v>0</v>
      </c>
      <c r="F56" s="177">
        <f>E56*VLOOKUP(B56,'Pre-Calculation'!$H$1:$I$31,2,FALSE)</f>
        <v>0</v>
      </c>
      <c r="G56" s="177">
        <f>IF(B56&lt;PT+1,VLOOKUP(B56,'Pre-Calculation'!$H$1:$L$32,3,FALSE)+VLOOKUP(B56,'Pre-Calculation'!$H$1:$L$32,4,FALSE)*'Pre-Calculation'!$D$7,0)</f>
        <v>830</v>
      </c>
      <c r="H56" s="175">
        <f>(E56-(F56+G56)*(1+Tax)+N55)</f>
        <v>1312342.213</v>
      </c>
      <c r="I56" s="175">
        <f>IF(B56&lt;PT+1,VLOOKUP(D56,'Pre-Calculation'!$N$3:$P$79,IF(INPUT!$C$4="M",2,3),FALSE)*(J56/1000)*(1/12),0)</f>
        <v>0</v>
      </c>
      <c r="J56" s="175">
        <f t="shared" si="3"/>
        <v>0</v>
      </c>
      <c r="K56" s="175">
        <f>(IF('Pre-Calculation'!$D$17="Type 4 a",MAX(SA,H56,1.05*Q56),IF('Pre-Calculation'!$D$17="Type 4 c",H56,IF('Pre-Calculation'!$D$17="Type 4 d",SA+H56,IF('Pre-Calculation'!$D$17="Type 4 e",MAX(SA,H56),IF('Pre-Calculation'!$D$17="Type 4 f",SA,IF('Pre-Calculation'!$D$17="Type 4 g",1000+H56,IF('Pre-Calculation'!$D$17="Type 4 h",SA+V56,IF('Pre-Calculation'!$D$17="Type 4 i",MAX(H56,Q56),IF('Pre-Calculation'!$D$17="Type 4 k",MAX(H56,1.01*Q56),IF('Pre-Calculation'!$D$17="Type 4 m",MAX(105%*Q56,SA+H56),IF('Pre-Calculation'!$D$17="Type 4 o",MAX(SA,105%*Q56)+V56+X56,IF('Pre-Calculation'!$D$17="Type 5",0)))))))))))))*IF(AND(A56&lt;Revival!$C$4,C56&gt;=Revival!$D$12),PUP,1)</f>
        <v>1312342.213</v>
      </c>
      <c r="L56" s="175">
        <f>H56-I56*(1+Tax)</f>
        <v>1312342.213</v>
      </c>
      <c r="M56" s="175">
        <f>L56*(1+'Pre-Calculation'!$E$28)*(1-'Pre-Calculation'!$E$29*(1+Tax))</f>
        <v>1318174.221</v>
      </c>
      <c r="N56" s="175">
        <f>M56+IF(MOD(A56,B56)=0,VLOOKUP(B56,'Pre-Calculation'!$H$1:$L$31,5,FALSE),0)*IF('Pre-Calculation'!$D$16="% OF FV",M56,IF(OR('Pre-Calculation'!$D$16="% OF AFV(24M)",'Pre-Calculation'!$D$16="% OF AFV(8Q)"),AVERAGE( $M33:$M56),IF('Pre-Calculation'!$D$16="% OF AFV(12M)",AVERAGE($M45:M56),IF('Pre-Calculation'!$D$16="% OF AFV(36M)",AVERAGE($M21:M56)))))</f>
        <v>1318174.221</v>
      </c>
      <c r="O56" s="175">
        <f t="shared" si="4"/>
        <v>1318174.221</v>
      </c>
      <c r="P56" s="175">
        <f>IF('Pre-Calculation'!$D$17="Type 4 a",MAX(SA,N56,1.05*Q56),IF('Pre-Calculation'!$D$17="Type 4 c",N56,IF('Pre-Calculation'!$D$17="Type 4 d",SA+N56,IF('Pre-Calculation'!$D$17="Type 4 e",MAX(SA,N56),IF('Pre-Calculation'!$D$17="Type 4 f",SA,IF('Pre-Calculation'!$D$17="Type 4 g",1000+N56,IF('Pre-Calculation'!$D$17="Type 4 h",SA+V56,IF('Pre-Calculation'!$D$17="Type 4 i",MAX(N56,Q56),IF('Pre-Calculation'!$D$17="Type 4 k",MAX(N56,1.01*Q56),IF('Pre-Calculation'!$D$17="Type 4 m",MAX(105%*Q56,SA+N56),IF('Pre-Calculation'!$D$17="Type 4 o",MAX(SA,105%*Q56)+V56+X56,IF('Pre-Calculation'!$D$17="Type 5",0))))))))))))</f>
        <v>1318174.221</v>
      </c>
      <c r="Q56" s="175">
        <f t="shared" si="5"/>
        <v>1000000</v>
      </c>
      <c r="R56" s="119">
        <f>L56*(1+GROWTH_RATE)*FMC</f>
        <v>1485.076047</v>
      </c>
      <c r="S56" s="112"/>
      <c r="T56" s="175">
        <f>-E56+IF(A55=INPUT!$C$11*12,N56,0)</f>
        <v>0</v>
      </c>
      <c r="U56" s="171"/>
      <c r="V56" s="179">
        <f t="array" ref="V56">NPV('Pre-Calculation'!$E$20,$E57:E$246)</f>
        <v>0</v>
      </c>
      <c r="W56" s="171">
        <f>10%*SA</f>
        <v>100000</v>
      </c>
      <c r="X56" s="179">
        <f t="array" ref="X56">NPV('Pre-Calculation'!$E$20,W57:W66)</f>
        <v>969592.8037</v>
      </c>
      <c r="Y56" s="12"/>
      <c r="Z56" s="12"/>
    </row>
    <row r="57" ht="15.75" customHeight="1">
      <c r="A57" s="171">
        <f t="shared" si="1"/>
        <v>111</v>
      </c>
      <c r="B57" s="171">
        <f t="shared" si="2"/>
        <v>10</v>
      </c>
      <c r="C57" s="176">
        <f>EDATE(RCD,A56)</f>
        <v>45899</v>
      </c>
      <c r="D57" s="171">
        <f>Age_At_Entry+'Cashflows_Bond Fund'!B57-1</f>
        <v>44</v>
      </c>
      <c r="E57" s="175">
        <f>IF(AND(C57&lt;=Last_Prem,MOD(A56,Mode)=0,C57&gt;INPUT!$C$13,A57&lt;=Revival!$C$11),Mod_Prem,0)</f>
        <v>0</v>
      </c>
      <c r="F57" s="177">
        <f>E57*VLOOKUP(B57,'Pre-Calculation'!$H$1:$I$31,2,FALSE)</f>
        <v>0</v>
      </c>
      <c r="G57" s="177">
        <f>IF(B57&lt;PT+1,VLOOKUP(B57,'Pre-Calculation'!$H$1:$L$32,3,FALSE)+VLOOKUP(B57,'Pre-Calculation'!$H$1:$L$32,4,FALSE)*'Pre-Calculation'!$D$7,0)</f>
        <v>830</v>
      </c>
      <c r="H57" s="175">
        <f>(E57-(F57+G57)*(1+Tax)+N56)</f>
        <v>1317194.821</v>
      </c>
      <c r="I57" s="175">
        <f>IF(B57&lt;PT+1,VLOOKUP(D57,'Pre-Calculation'!$N$3:$P$79,IF(INPUT!$C$4="M",2,3),FALSE)*(J57/1000)*(1/12),0)</f>
        <v>0</v>
      </c>
      <c r="J57" s="175">
        <f t="shared" si="3"/>
        <v>0</v>
      </c>
      <c r="K57" s="175">
        <f>(IF('Pre-Calculation'!$D$17="Type 4 a",MAX(SA,H57,1.05*Q57),IF('Pre-Calculation'!$D$17="Type 4 c",H57,IF('Pre-Calculation'!$D$17="Type 4 d",SA+H57,IF('Pre-Calculation'!$D$17="Type 4 e",MAX(SA,H57),IF('Pre-Calculation'!$D$17="Type 4 f",SA,IF('Pre-Calculation'!$D$17="Type 4 g",1000+H57,IF('Pre-Calculation'!$D$17="Type 4 h",SA+V57,IF('Pre-Calculation'!$D$17="Type 4 i",MAX(H57,Q57),IF('Pre-Calculation'!$D$17="Type 4 k",MAX(H57,1.01*Q57),IF('Pre-Calculation'!$D$17="Type 4 m",MAX(105%*Q57,SA+H57),IF('Pre-Calculation'!$D$17="Type 4 o",MAX(SA,105%*Q57)+V57+X57,IF('Pre-Calculation'!$D$17="Type 5",0)))))))))))))*IF(AND(A57&lt;Revival!$C$4,C57&gt;=Revival!$D$12),PUP,1)</f>
        <v>1317194.821</v>
      </c>
      <c r="L57" s="175">
        <f>H57-I57*(1+Tax)</f>
        <v>1317194.821</v>
      </c>
      <c r="M57" s="175">
        <f>L57*(1+'Pre-Calculation'!$E$28)*(1-'Pre-Calculation'!$E$29*(1+Tax))</f>
        <v>1323048.393</v>
      </c>
      <c r="N57" s="175">
        <f>M57+IF(MOD(A57,B57)=0,VLOOKUP(B57,'Pre-Calculation'!$H$1:$L$31,5,FALSE),0)*IF('Pre-Calculation'!$D$16="% OF FV",M57,IF(OR('Pre-Calculation'!$D$16="% OF AFV(24M)",'Pre-Calculation'!$D$16="% OF AFV(8Q)"),AVERAGE( $M34:$M57),IF('Pre-Calculation'!$D$16="% OF AFV(12M)",AVERAGE($M46:M57),IF('Pre-Calculation'!$D$16="% OF AFV(36M)",AVERAGE($M22:M57)))))</f>
        <v>1323048.393</v>
      </c>
      <c r="O57" s="175">
        <f t="shared" si="4"/>
        <v>1323048.393</v>
      </c>
      <c r="P57" s="175">
        <f>IF('Pre-Calculation'!$D$17="Type 4 a",MAX(SA,N57,1.05*Q57),IF('Pre-Calculation'!$D$17="Type 4 c",N57,IF('Pre-Calculation'!$D$17="Type 4 d",SA+N57,IF('Pre-Calculation'!$D$17="Type 4 e",MAX(SA,N57),IF('Pre-Calculation'!$D$17="Type 4 f",SA,IF('Pre-Calculation'!$D$17="Type 4 g",1000+N57,IF('Pre-Calculation'!$D$17="Type 4 h",SA+V57,IF('Pre-Calculation'!$D$17="Type 4 i",MAX(N57,Q57),IF('Pre-Calculation'!$D$17="Type 4 k",MAX(N57,1.01*Q57),IF('Pre-Calculation'!$D$17="Type 4 m",MAX(105%*Q57,SA+N57),IF('Pre-Calculation'!$D$17="Type 4 o",MAX(SA,105%*Q57)+V57+X57,IF('Pre-Calculation'!$D$17="Type 5",0))))))))))))</f>
        <v>1323048.393</v>
      </c>
      <c r="Q57" s="175">
        <f t="shared" si="5"/>
        <v>1000000</v>
      </c>
      <c r="R57" s="119">
        <f>L57*(1+GROWTH_RATE)*FMC</f>
        <v>1490.567368</v>
      </c>
      <c r="S57" s="112"/>
      <c r="T57" s="175">
        <f>-E57+IF(A56=INPUT!$C$11*12,N57,0)</f>
        <v>0</v>
      </c>
      <c r="U57" s="171"/>
      <c r="V57" s="179">
        <f t="array" ref="V57">NPV('Pre-Calculation'!$E$20,$E58:E$246)</f>
        <v>0</v>
      </c>
      <c r="W57" s="171">
        <f>10%*SA</f>
        <v>100000</v>
      </c>
      <c r="X57" s="179">
        <f t="array" ref="X57">NPV('Pre-Calculation'!$E$20,W58:W67)</f>
        <v>969592.8037</v>
      </c>
      <c r="Y57" s="12"/>
      <c r="Z57" s="12"/>
    </row>
    <row r="58" ht="15.75" customHeight="1">
      <c r="A58" s="171">
        <f t="shared" si="1"/>
        <v>112</v>
      </c>
      <c r="B58" s="171">
        <f t="shared" si="2"/>
        <v>10</v>
      </c>
      <c r="C58" s="176">
        <f>EDATE(RCD,A57)</f>
        <v>45930</v>
      </c>
      <c r="D58" s="171">
        <f>Age_At_Entry+'Cashflows_Bond Fund'!B58-1</f>
        <v>44</v>
      </c>
      <c r="E58" s="175">
        <f>IF(AND(C58&lt;=Last_Prem,MOD(A57,Mode)=0,C58&gt;INPUT!$C$13,A58&lt;=Revival!$C$11),Mod_Prem,0)</f>
        <v>0</v>
      </c>
      <c r="F58" s="177">
        <f>E58*VLOOKUP(B58,'Pre-Calculation'!$H$1:$I$31,2,FALSE)</f>
        <v>0</v>
      </c>
      <c r="G58" s="177">
        <f>IF(B58&lt;PT+1,VLOOKUP(B58,'Pre-Calculation'!$H$1:$L$32,3,FALSE)+VLOOKUP(B58,'Pre-Calculation'!$H$1:$L$32,4,FALSE)*'Pre-Calculation'!$D$7,0)</f>
        <v>830</v>
      </c>
      <c r="H58" s="175">
        <f>(E58-(F58+G58)*(1+Tax)+N57)</f>
        <v>1322068.993</v>
      </c>
      <c r="I58" s="175">
        <f>IF(B58&lt;PT+1,VLOOKUP(D58,'Pre-Calculation'!$N$3:$P$79,IF(INPUT!$C$4="M",2,3),FALSE)*(J58/1000)*(1/12),0)</f>
        <v>0</v>
      </c>
      <c r="J58" s="175">
        <f t="shared" si="3"/>
        <v>0</v>
      </c>
      <c r="K58" s="175">
        <f>(IF('Pre-Calculation'!$D$17="Type 4 a",MAX(SA,H58,1.05*Q58),IF('Pre-Calculation'!$D$17="Type 4 c",H58,IF('Pre-Calculation'!$D$17="Type 4 d",SA+H58,IF('Pre-Calculation'!$D$17="Type 4 e",MAX(SA,H58),IF('Pre-Calculation'!$D$17="Type 4 f",SA,IF('Pre-Calculation'!$D$17="Type 4 g",1000+H58,IF('Pre-Calculation'!$D$17="Type 4 h",SA+V58,IF('Pre-Calculation'!$D$17="Type 4 i",MAX(H58,Q58),IF('Pre-Calculation'!$D$17="Type 4 k",MAX(H58,1.01*Q58),IF('Pre-Calculation'!$D$17="Type 4 m",MAX(105%*Q58,SA+H58),IF('Pre-Calculation'!$D$17="Type 4 o",MAX(SA,105%*Q58)+V58+X58,IF('Pre-Calculation'!$D$17="Type 5",0)))))))))))))*IF(AND(A58&lt;Revival!$C$4,C58&gt;=Revival!$D$12),PUP,1)</f>
        <v>1322068.993</v>
      </c>
      <c r="L58" s="175">
        <f>H58-I58*(1+Tax)</f>
        <v>1322068.993</v>
      </c>
      <c r="M58" s="175">
        <f>L58*(1+'Pre-Calculation'!$E$28)*(1-'Pre-Calculation'!$E$29*(1+Tax))</f>
        <v>1327944.227</v>
      </c>
      <c r="N58" s="175">
        <f>M58+IF(MOD(A58,B58)=0,VLOOKUP(B58,'Pre-Calculation'!$H$1:$L$31,5,FALSE),0)*IF('Pre-Calculation'!$D$16="% OF FV",M58,IF(OR('Pre-Calculation'!$D$16="% OF AFV(24M)",'Pre-Calculation'!$D$16="% OF AFV(8Q)"),AVERAGE( $M35:$M58),IF('Pre-Calculation'!$D$16="% OF AFV(12M)",AVERAGE($M47:M58),IF('Pre-Calculation'!$D$16="% OF AFV(36M)",AVERAGE($M23:M58)))))</f>
        <v>1327944.227</v>
      </c>
      <c r="O58" s="175">
        <f t="shared" si="4"/>
        <v>1327944.227</v>
      </c>
      <c r="P58" s="175">
        <f>IF('Pre-Calculation'!$D$17="Type 4 a",MAX(SA,N58,1.05*Q58),IF('Pre-Calculation'!$D$17="Type 4 c",N58,IF('Pre-Calculation'!$D$17="Type 4 d",SA+N58,IF('Pre-Calculation'!$D$17="Type 4 e",MAX(SA,N58),IF('Pre-Calculation'!$D$17="Type 4 f",SA,IF('Pre-Calculation'!$D$17="Type 4 g",1000+N58,IF('Pre-Calculation'!$D$17="Type 4 h",SA+V58,IF('Pre-Calculation'!$D$17="Type 4 i",MAX(N58,Q58),IF('Pre-Calculation'!$D$17="Type 4 k",MAX(N58,1.01*Q58),IF('Pre-Calculation'!$D$17="Type 4 m",MAX(105%*Q58,SA+N58),IF('Pre-Calculation'!$D$17="Type 4 o",MAX(SA,105%*Q58)+V58+X58,IF('Pre-Calculation'!$D$17="Type 5",0))))))))))))</f>
        <v>1327944.227</v>
      </c>
      <c r="Q58" s="175">
        <f t="shared" si="5"/>
        <v>1000000</v>
      </c>
      <c r="R58" s="119">
        <f>L58*(1+GROWTH_RATE)*FMC</f>
        <v>1496.083091</v>
      </c>
      <c r="S58" s="112"/>
      <c r="T58" s="175">
        <f>-E58+IF(A57=INPUT!$C$11*12,N58,0)</f>
        <v>0</v>
      </c>
      <c r="U58" s="171"/>
      <c r="V58" s="179">
        <f t="array" ref="V58">NPV('Pre-Calculation'!$E$20,$E59:E$246)</f>
        <v>0</v>
      </c>
      <c r="W58" s="171">
        <f>10%*SA</f>
        <v>100000</v>
      </c>
      <c r="X58" s="179">
        <f t="array" ref="X58">NPV('Pre-Calculation'!$E$20,W59:W68)</f>
        <v>969592.8037</v>
      </c>
      <c r="Y58" s="12"/>
      <c r="Z58" s="12"/>
    </row>
    <row r="59" ht="15.75" customHeight="1">
      <c r="A59" s="171">
        <f t="shared" si="1"/>
        <v>113</v>
      </c>
      <c r="B59" s="171">
        <f t="shared" si="2"/>
        <v>10</v>
      </c>
      <c r="C59" s="176">
        <f>EDATE(RCD,A58)</f>
        <v>45960</v>
      </c>
      <c r="D59" s="171">
        <f>Age_At_Entry+'Cashflows_Bond Fund'!B59-1</f>
        <v>44</v>
      </c>
      <c r="E59" s="175">
        <f>IF(AND(C59&lt;=Last_Prem,MOD(A58,Mode)=0,C59&gt;INPUT!$C$13,A59&lt;=Revival!$C$11),Mod_Prem,0)</f>
        <v>0</v>
      </c>
      <c r="F59" s="177">
        <f>E59*VLOOKUP(B59,'Pre-Calculation'!$H$1:$I$31,2,FALSE)</f>
        <v>0</v>
      </c>
      <c r="G59" s="177">
        <f>IF(B59&lt;PT+1,VLOOKUP(B59,'Pre-Calculation'!$H$1:$L$32,3,FALSE)+VLOOKUP(B59,'Pre-Calculation'!$H$1:$L$32,4,FALSE)*'Pre-Calculation'!$D$7,0)</f>
        <v>830</v>
      </c>
      <c r="H59" s="175">
        <f>(E59-(F59+G59)*(1+Tax)+N58)</f>
        <v>1326964.827</v>
      </c>
      <c r="I59" s="175">
        <f>IF(B59&lt;PT+1,VLOOKUP(D59,'Pre-Calculation'!$N$3:$P$79,IF(INPUT!$C$4="M",2,3),FALSE)*(J59/1000)*(1/12),0)</f>
        <v>0</v>
      </c>
      <c r="J59" s="175">
        <f t="shared" si="3"/>
        <v>0</v>
      </c>
      <c r="K59" s="175">
        <f>(IF('Pre-Calculation'!$D$17="Type 4 a",MAX(SA,H59,1.05*Q59),IF('Pre-Calculation'!$D$17="Type 4 c",H59,IF('Pre-Calculation'!$D$17="Type 4 d",SA+H59,IF('Pre-Calculation'!$D$17="Type 4 e",MAX(SA,H59),IF('Pre-Calculation'!$D$17="Type 4 f",SA,IF('Pre-Calculation'!$D$17="Type 4 g",1000+H59,IF('Pre-Calculation'!$D$17="Type 4 h",SA+V59,IF('Pre-Calculation'!$D$17="Type 4 i",MAX(H59,Q59),IF('Pre-Calculation'!$D$17="Type 4 k",MAX(H59,1.01*Q59),IF('Pre-Calculation'!$D$17="Type 4 m",MAX(105%*Q59,SA+H59),IF('Pre-Calculation'!$D$17="Type 4 o",MAX(SA,105%*Q59)+V59+X59,IF('Pre-Calculation'!$D$17="Type 5",0)))))))))))))*IF(AND(A59&lt;Revival!$C$4,C59&gt;=Revival!$D$12),PUP,1)</f>
        <v>1326964.827</v>
      </c>
      <c r="L59" s="175">
        <f>H59-I59*(1+Tax)</f>
        <v>1326964.827</v>
      </c>
      <c r="M59" s="175">
        <f>L59*(1+'Pre-Calculation'!$E$28)*(1-'Pre-Calculation'!$E$29*(1+Tax))</f>
        <v>1332861.817</v>
      </c>
      <c r="N59" s="175">
        <f>M59+IF(MOD(A59,B59)=0,VLOOKUP(B59,'Pre-Calculation'!$H$1:$L$31,5,FALSE),0)*IF('Pre-Calculation'!$D$16="% OF FV",M59,IF(OR('Pre-Calculation'!$D$16="% OF AFV(24M)",'Pre-Calculation'!$D$16="% OF AFV(8Q)"),AVERAGE( $M36:$M59),IF('Pre-Calculation'!$D$16="% OF AFV(12M)",AVERAGE($M48:M59),IF('Pre-Calculation'!$D$16="% OF AFV(36M)",AVERAGE($M24:M59)))))</f>
        <v>1332861.817</v>
      </c>
      <c r="O59" s="175">
        <f t="shared" si="4"/>
        <v>1332861.817</v>
      </c>
      <c r="P59" s="175">
        <f>IF('Pre-Calculation'!$D$17="Type 4 a",MAX(SA,N59,1.05*Q59),IF('Pre-Calculation'!$D$17="Type 4 c",N59,IF('Pre-Calculation'!$D$17="Type 4 d",SA+N59,IF('Pre-Calculation'!$D$17="Type 4 e",MAX(SA,N59),IF('Pre-Calculation'!$D$17="Type 4 f",SA,IF('Pre-Calculation'!$D$17="Type 4 g",1000+N59,IF('Pre-Calculation'!$D$17="Type 4 h",SA+V59,IF('Pre-Calculation'!$D$17="Type 4 i",MAX(N59,Q59),IF('Pre-Calculation'!$D$17="Type 4 k",MAX(N59,1.01*Q59),IF('Pre-Calculation'!$D$17="Type 4 m",MAX(105%*Q59,SA+N59),IF('Pre-Calculation'!$D$17="Type 4 o",MAX(SA,105%*Q59)+V59+X59,IF('Pre-Calculation'!$D$17="Type 5",0))))))))))))</f>
        <v>1332861.817</v>
      </c>
      <c r="Q59" s="175">
        <f t="shared" si="5"/>
        <v>1000000</v>
      </c>
      <c r="R59" s="119">
        <f>L59*(1+GROWTH_RATE)*FMC</f>
        <v>1501.623327</v>
      </c>
      <c r="S59" s="112"/>
      <c r="T59" s="175">
        <f>-E59+IF(A58=INPUT!$C$11*12,N59,0)</f>
        <v>0</v>
      </c>
      <c r="U59" s="171"/>
      <c r="V59" s="179">
        <f t="array" ref="V59">NPV('Pre-Calculation'!$E$20,$E60:E$246)</f>
        <v>0</v>
      </c>
      <c r="W59" s="171">
        <f>10%*SA</f>
        <v>100000</v>
      </c>
      <c r="X59" s="179">
        <f t="array" ref="X59">NPV('Pre-Calculation'!$E$20,W60:W69)</f>
        <v>969592.8037</v>
      </c>
      <c r="Y59" s="12"/>
      <c r="Z59" s="12"/>
    </row>
    <row r="60" ht="15.75" customHeight="1">
      <c r="A60" s="171">
        <f t="shared" si="1"/>
        <v>114</v>
      </c>
      <c r="B60" s="171">
        <f t="shared" si="2"/>
        <v>10</v>
      </c>
      <c r="C60" s="176">
        <f>EDATE(RCD,A59)</f>
        <v>45991</v>
      </c>
      <c r="D60" s="171">
        <f>Age_At_Entry+'Cashflows_Bond Fund'!B60-1</f>
        <v>44</v>
      </c>
      <c r="E60" s="175">
        <f>IF(AND(C60&lt;=Last_Prem,MOD(A59,Mode)=0,C60&gt;INPUT!$C$13,A60&lt;=Revival!$C$11),Mod_Prem,0)</f>
        <v>0</v>
      </c>
      <c r="F60" s="177">
        <f>E60*VLOOKUP(B60,'Pre-Calculation'!$H$1:$I$31,2,FALSE)</f>
        <v>0</v>
      </c>
      <c r="G60" s="177">
        <f>IF(B60&lt;PT+1,VLOOKUP(B60,'Pre-Calculation'!$H$1:$L$32,3,FALSE)+VLOOKUP(B60,'Pre-Calculation'!$H$1:$L$32,4,FALSE)*'Pre-Calculation'!$D$7,0)</f>
        <v>830</v>
      </c>
      <c r="H60" s="175">
        <f>(E60-(F60+G60)*(1+Tax)+N59)</f>
        <v>1331882.417</v>
      </c>
      <c r="I60" s="175">
        <f>IF(B60&lt;PT+1,VLOOKUP(D60,'Pre-Calculation'!$N$3:$P$79,IF(INPUT!$C$4="M",2,3),FALSE)*(J60/1000)*(1/12),0)</f>
        <v>0</v>
      </c>
      <c r="J60" s="175">
        <f t="shared" si="3"/>
        <v>0</v>
      </c>
      <c r="K60" s="175">
        <f>(IF('Pre-Calculation'!$D$17="Type 4 a",MAX(SA,H60,1.05*Q60),IF('Pre-Calculation'!$D$17="Type 4 c",H60,IF('Pre-Calculation'!$D$17="Type 4 d",SA+H60,IF('Pre-Calculation'!$D$17="Type 4 e",MAX(SA,H60),IF('Pre-Calculation'!$D$17="Type 4 f",SA,IF('Pre-Calculation'!$D$17="Type 4 g",1000+H60,IF('Pre-Calculation'!$D$17="Type 4 h",SA+V60,IF('Pre-Calculation'!$D$17="Type 4 i",MAX(H60,Q60),IF('Pre-Calculation'!$D$17="Type 4 k",MAX(H60,1.01*Q60),IF('Pre-Calculation'!$D$17="Type 4 m",MAX(105%*Q60,SA+H60),IF('Pre-Calculation'!$D$17="Type 4 o",MAX(SA,105%*Q60)+V60+X60,IF('Pre-Calculation'!$D$17="Type 5",0)))))))))))))*IF(AND(A60&lt;Revival!$C$4,C60&gt;=Revival!$D$12),PUP,1)</f>
        <v>1331882.417</v>
      </c>
      <c r="L60" s="175">
        <f>H60-I60*(1+Tax)</f>
        <v>1331882.417</v>
      </c>
      <c r="M60" s="175">
        <f>L60*(1+'Pre-Calculation'!$E$28)*(1-'Pre-Calculation'!$E$29*(1+Tax))</f>
        <v>1337801.261</v>
      </c>
      <c r="N60" s="175">
        <f>M60+IF(MOD(A60,B60)=0,VLOOKUP(B60,'Pre-Calculation'!$H$1:$L$31,5,FALSE),0)*IF('Pre-Calculation'!$D$16="% OF FV",M60,IF(OR('Pre-Calculation'!$D$16="% OF AFV(24M)",'Pre-Calculation'!$D$16="% OF AFV(8Q)"),AVERAGE( $M37:$M60),IF('Pre-Calculation'!$D$16="% OF AFV(12M)",AVERAGE($M49:M60),IF('Pre-Calculation'!$D$16="% OF AFV(36M)",AVERAGE($M25:M60)))))</f>
        <v>1337801.261</v>
      </c>
      <c r="O60" s="175">
        <f t="shared" si="4"/>
        <v>1337801.261</v>
      </c>
      <c r="P60" s="175">
        <f>IF('Pre-Calculation'!$D$17="Type 4 a",MAX(SA,N60,1.05*Q60),IF('Pre-Calculation'!$D$17="Type 4 c",N60,IF('Pre-Calculation'!$D$17="Type 4 d",SA+N60,IF('Pre-Calculation'!$D$17="Type 4 e",MAX(SA,N60),IF('Pre-Calculation'!$D$17="Type 4 f",SA,IF('Pre-Calculation'!$D$17="Type 4 g",1000+N60,IF('Pre-Calculation'!$D$17="Type 4 h",SA+V60,IF('Pre-Calculation'!$D$17="Type 4 i",MAX(N60,Q60),IF('Pre-Calculation'!$D$17="Type 4 k",MAX(N60,1.01*Q60),IF('Pre-Calculation'!$D$17="Type 4 m",MAX(105%*Q60,SA+N60),IF('Pre-Calculation'!$D$17="Type 4 o",MAX(SA,105%*Q60)+V60+X60,IF('Pre-Calculation'!$D$17="Type 5",0))))))))))))</f>
        <v>1337801.261</v>
      </c>
      <c r="Q60" s="175">
        <f t="shared" si="5"/>
        <v>1000000</v>
      </c>
      <c r="R60" s="119">
        <f>L60*(1+GROWTH_RATE)*FMC</f>
        <v>1507.188183</v>
      </c>
      <c r="S60" s="112"/>
      <c r="T60" s="175">
        <f>-E60+IF(A59=INPUT!$C$11*12,N60,0)</f>
        <v>0</v>
      </c>
      <c r="U60" s="171"/>
      <c r="V60" s="179">
        <f t="array" ref="V60">NPV('Pre-Calculation'!$E$20,$E61:E$246)</f>
        <v>0</v>
      </c>
      <c r="W60" s="171">
        <f>10%*SA</f>
        <v>100000</v>
      </c>
      <c r="X60" s="179">
        <f t="array" ref="X60">NPV('Pre-Calculation'!$E$20,W61:W70)</f>
        <v>969592.8037</v>
      </c>
      <c r="Y60" s="12"/>
      <c r="Z60" s="12"/>
    </row>
    <row r="61" ht="15.75" customHeight="1">
      <c r="A61" s="171">
        <f t="shared" si="1"/>
        <v>115</v>
      </c>
      <c r="B61" s="171">
        <f t="shared" si="2"/>
        <v>10</v>
      </c>
      <c r="C61" s="176">
        <f>EDATE(RCD,A60)</f>
        <v>46021</v>
      </c>
      <c r="D61" s="171">
        <f>Age_At_Entry+'Cashflows_Bond Fund'!B61-1</f>
        <v>44</v>
      </c>
      <c r="E61" s="175">
        <f>IF(AND(C61&lt;=Last_Prem,MOD(A60,Mode)=0,C61&gt;INPUT!$C$13,A61&lt;=Revival!$C$11),Mod_Prem,0)</f>
        <v>0</v>
      </c>
      <c r="F61" s="177">
        <f>E61*VLOOKUP(B61,'Pre-Calculation'!$H$1:$I$31,2,FALSE)</f>
        <v>0</v>
      </c>
      <c r="G61" s="177">
        <f>IF(B61&lt;PT+1,VLOOKUP(B61,'Pre-Calculation'!$H$1:$L$32,3,FALSE)+VLOOKUP(B61,'Pre-Calculation'!$H$1:$L$32,4,FALSE)*'Pre-Calculation'!$D$7,0)</f>
        <v>830</v>
      </c>
      <c r="H61" s="175">
        <f>(E61-(F61+G61)*(1+Tax)+N60)</f>
        <v>1336821.861</v>
      </c>
      <c r="I61" s="175">
        <f>IF(B61&lt;PT+1,VLOOKUP(D61,'Pre-Calculation'!$N$3:$P$79,IF(INPUT!$C$4="M",2,3),FALSE)*(J61/1000)*(1/12),0)</f>
        <v>0</v>
      </c>
      <c r="J61" s="175">
        <f t="shared" si="3"/>
        <v>0</v>
      </c>
      <c r="K61" s="175">
        <f>(IF('Pre-Calculation'!$D$17="Type 4 a",MAX(SA,H61,1.05*Q61),IF('Pre-Calculation'!$D$17="Type 4 c",H61,IF('Pre-Calculation'!$D$17="Type 4 d",SA+H61,IF('Pre-Calculation'!$D$17="Type 4 e",MAX(SA,H61),IF('Pre-Calculation'!$D$17="Type 4 f",SA,IF('Pre-Calculation'!$D$17="Type 4 g",1000+H61,IF('Pre-Calculation'!$D$17="Type 4 h",SA+V61,IF('Pre-Calculation'!$D$17="Type 4 i",MAX(H61,Q61),IF('Pre-Calculation'!$D$17="Type 4 k",MAX(H61,1.01*Q61),IF('Pre-Calculation'!$D$17="Type 4 m",MAX(105%*Q61,SA+H61),IF('Pre-Calculation'!$D$17="Type 4 o",MAX(SA,105%*Q61)+V61+X61,IF('Pre-Calculation'!$D$17="Type 5",0)))))))))))))*IF(AND(A61&lt;Revival!$C$4,C61&gt;=Revival!$D$12),PUP,1)</f>
        <v>1336821.861</v>
      </c>
      <c r="L61" s="175">
        <f>H61-I61*(1+Tax)</f>
        <v>1336821.861</v>
      </c>
      <c r="M61" s="175">
        <f>L61*(1+'Pre-Calculation'!$E$28)*(1-'Pre-Calculation'!$E$29*(1+Tax))</f>
        <v>1342762.655</v>
      </c>
      <c r="N61" s="175">
        <f>M61+IF(MOD(A61,B61)=0,VLOOKUP(B61,'Pre-Calculation'!$H$1:$L$31,5,FALSE),0)*IF('Pre-Calculation'!$D$16="% OF FV",M61,IF(OR('Pre-Calculation'!$D$16="% OF AFV(24M)",'Pre-Calculation'!$D$16="% OF AFV(8Q)"),AVERAGE( $M38:$M61),IF('Pre-Calculation'!$D$16="% OF AFV(12M)",AVERAGE($M50:M61),IF('Pre-Calculation'!$D$16="% OF AFV(36M)",AVERAGE($M26:M61)))))</f>
        <v>1342762.655</v>
      </c>
      <c r="O61" s="175">
        <f t="shared" si="4"/>
        <v>1342762.655</v>
      </c>
      <c r="P61" s="175">
        <f>IF('Pre-Calculation'!$D$17="Type 4 a",MAX(SA,N61,1.05*Q61),IF('Pre-Calculation'!$D$17="Type 4 c",N61,IF('Pre-Calculation'!$D$17="Type 4 d",SA+N61,IF('Pre-Calculation'!$D$17="Type 4 e",MAX(SA,N61),IF('Pre-Calculation'!$D$17="Type 4 f",SA,IF('Pre-Calculation'!$D$17="Type 4 g",1000+N61,IF('Pre-Calculation'!$D$17="Type 4 h",SA+V61,IF('Pre-Calculation'!$D$17="Type 4 i",MAX(N61,Q61),IF('Pre-Calculation'!$D$17="Type 4 k",MAX(N61,1.01*Q61),IF('Pre-Calculation'!$D$17="Type 4 m",MAX(105%*Q61,SA+N61),IF('Pre-Calculation'!$D$17="Type 4 o",MAX(SA,105%*Q61)+V61+X61,IF('Pre-Calculation'!$D$17="Type 5",0))))))))))))</f>
        <v>1342762.655</v>
      </c>
      <c r="Q61" s="175">
        <f t="shared" si="5"/>
        <v>1000000</v>
      </c>
      <c r="R61" s="119">
        <f>L61*(1+GROWTH_RATE)*FMC</f>
        <v>1512.777769</v>
      </c>
      <c r="S61" s="112"/>
      <c r="T61" s="175">
        <f>-E61+IF(A60=INPUT!$C$11*12,N61,0)</f>
        <v>0</v>
      </c>
      <c r="U61" s="171"/>
      <c r="V61" s="179">
        <f t="array" ref="V61">NPV('Pre-Calculation'!$E$20,$E62:E$246)</f>
        <v>0</v>
      </c>
      <c r="W61" s="171">
        <f>10%*SA</f>
        <v>100000</v>
      </c>
      <c r="X61" s="179">
        <f t="array" ref="X61">NPV('Pre-Calculation'!$E$20,W62:W71)</f>
        <v>969592.8037</v>
      </c>
      <c r="Y61" s="12"/>
      <c r="Z61" s="12"/>
    </row>
    <row r="62" ht="15.75" customHeight="1">
      <c r="A62" s="171">
        <f t="shared" si="1"/>
        <v>116</v>
      </c>
      <c r="B62" s="171">
        <f t="shared" si="2"/>
        <v>10</v>
      </c>
      <c r="C62" s="176">
        <f>EDATE(RCD,A61)</f>
        <v>46052</v>
      </c>
      <c r="D62" s="171">
        <f>Age_At_Entry+'Cashflows_Bond Fund'!B62-1</f>
        <v>44</v>
      </c>
      <c r="E62" s="175">
        <f>IF(AND(C62&lt;=Last_Prem,MOD(A61,Mode)=0,C62&gt;INPUT!$C$13,A62&lt;=Revival!$C$11),Mod_Prem,0)</f>
        <v>0</v>
      </c>
      <c r="F62" s="177">
        <f>E62*VLOOKUP(B62,'Pre-Calculation'!$H$1:$I$31,2,FALSE)</f>
        <v>0</v>
      </c>
      <c r="G62" s="177">
        <f>IF(B62&lt;PT+1,VLOOKUP(B62,'Pre-Calculation'!$H$1:$L$32,3,FALSE)+VLOOKUP(B62,'Pre-Calculation'!$H$1:$L$32,4,FALSE)*'Pre-Calculation'!$D$7,0)</f>
        <v>830</v>
      </c>
      <c r="H62" s="175">
        <f>(E62-(F62+G62)*(1+Tax)+N61)</f>
        <v>1341783.255</v>
      </c>
      <c r="I62" s="175">
        <f>IF(B62&lt;PT+1,VLOOKUP(D62,'Pre-Calculation'!$N$3:$P$79,IF(INPUT!$C$4="M",2,3),FALSE)*(J62/1000)*(1/12),0)</f>
        <v>0</v>
      </c>
      <c r="J62" s="175">
        <f t="shared" si="3"/>
        <v>0</v>
      </c>
      <c r="K62" s="175">
        <f>(IF('Pre-Calculation'!$D$17="Type 4 a",MAX(SA,H62,1.05*Q62),IF('Pre-Calculation'!$D$17="Type 4 c",H62,IF('Pre-Calculation'!$D$17="Type 4 d",SA+H62,IF('Pre-Calculation'!$D$17="Type 4 e",MAX(SA,H62),IF('Pre-Calculation'!$D$17="Type 4 f",SA,IF('Pre-Calculation'!$D$17="Type 4 g",1000+H62,IF('Pre-Calculation'!$D$17="Type 4 h",SA+V62,IF('Pre-Calculation'!$D$17="Type 4 i",MAX(H62,Q62),IF('Pre-Calculation'!$D$17="Type 4 k",MAX(H62,1.01*Q62),IF('Pre-Calculation'!$D$17="Type 4 m",MAX(105%*Q62,SA+H62),IF('Pre-Calculation'!$D$17="Type 4 o",MAX(SA,105%*Q62)+V62+X62,IF('Pre-Calculation'!$D$17="Type 5",0)))))))))))))*IF(AND(A62&lt;Revival!$C$4,C62&gt;=Revival!$D$12),PUP,1)</f>
        <v>1341783.255</v>
      </c>
      <c r="L62" s="175">
        <f>H62-I62*(1+Tax)</f>
        <v>1341783.255</v>
      </c>
      <c r="M62" s="175">
        <f>L62*(1+'Pre-Calculation'!$E$28)*(1-'Pre-Calculation'!$E$29*(1+Tax))</f>
        <v>1347746.098</v>
      </c>
      <c r="N62" s="175">
        <f>M62+IF(MOD(A62,B62)=0,VLOOKUP(B62,'Pre-Calculation'!$H$1:$L$31,5,FALSE),0)*IF('Pre-Calculation'!$D$16="% OF FV",M62,IF(OR('Pre-Calculation'!$D$16="% OF AFV(24M)",'Pre-Calculation'!$D$16="% OF AFV(8Q)"),AVERAGE( $M39:$M62),IF('Pre-Calculation'!$D$16="% OF AFV(12M)",AVERAGE($M51:M62),IF('Pre-Calculation'!$D$16="% OF AFV(36M)",AVERAGE($M27:M62)))))</f>
        <v>1347746.098</v>
      </c>
      <c r="O62" s="175">
        <f t="shared" si="4"/>
        <v>1347746.098</v>
      </c>
      <c r="P62" s="175">
        <f>IF('Pre-Calculation'!$D$17="Type 4 a",MAX(SA,N62,1.05*Q62),IF('Pre-Calculation'!$D$17="Type 4 c",N62,IF('Pre-Calculation'!$D$17="Type 4 d",SA+N62,IF('Pre-Calculation'!$D$17="Type 4 e",MAX(SA,N62),IF('Pre-Calculation'!$D$17="Type 4 f",SA,IF('Pre-Calculation'!$D$17="Type 4 g",1000+N62,IF('Pre-Calculation'!$D$17="Type 4 h",SA+V62,IF('Pre-Calculation'!$D$17="Type 4 i",MAX(N62,Q62),IF('Pre-Calculation'!$D$17="Type 4 k",MAX(N62,1.01*Q62),IF('Pre-Calculation'!$D$17="Type 4 m",MAX(105%*Q62,SA+N62),IF('Pre-Calculation'!$D$17="Type 4 o",MAX(SA,105%*Q62)+V62+X62,IF('Pre-Calculation'!$D$17="Type 5",0))))))))))))</f>
        <v>1347746.098</v>
      </c>
      <c r="Q62" s="175">
        <f t="shared" si="5"/>
        <v>1000000</v>
      </c>
      <c r="R62" s="119">
        <f>L62*(1+GROWTH_RATE)*FMC</f>
        <v>1518.392195</v>
      </c>
      <c r="S62" s="112"/>
      <c r="T62" s="175">
        <f>-E62+IF(A61=INPUT!$C$11*12,N62,0)</f>
        <v>0</v>
      </c>
      <c r="U62" s="171"/>
      <c r="V62" s="179">
        <f t="array" ref="V62">NPV('Pre-Calculation'!$E$20,$E63:E$246)</f>
        <v>0</v>
      </c>
      <c r="W62" s="171">
        <f>10%*SA</f>
        <v>100000</v>
      </c>
      <c r="X62" s="179">
        <f t="array" ref="X62">NPV('Pre-Calculation'!$E$20,W63:W72)</f>
        <v>969592.8037</v>
      </c>
      <c r="Y62" s="12"/>
      <c r="Z62" s="12"/>
    </row>
    <row r="63" ht="15.75" customHeight="1">
      <c r="A63" s="171">
        <f t="shared" si="1"/>
        <v>117</v>
      </c>
      <c r="B63" s="171">
        <f t="shared" si="2"/>
        <v>10</v>
      </c>
      <c r="C63" s="176">
        <f>EDATE(RCD,A62)</f>
        <v>46081</v>
      </c>
      <c r="D63" s="171">
        <f>Age_At_Entry+'Cashflows_Bond Fund'!B63-1</f>
        <v>44</v>
      </c>
      <c r="E63" s="175">
        <f>IF(AND(C63&lt;=Last_Prem,MOD(A62,Mode)=0,C63&gt;INPUT!$C$13,A63&lt;=Revival!$C$11),Mod_Prem,0)</f>
        <v>0</v>
      </c>
      <c r="F63" s="177">
        <f>E63*VLOOKUP(B63,'Pre-Calculation'!$H$1:$I$31,2,FALSE)</f>
        <v>0</v>
      </c>
      <c r="G63" s="177">
        <f>IF(B63&lt;PT+1,VLOOKUP(B63,'Pre-Calculation'!$H$1:$L$32,3,FALSE)+VLOOKUP(B63,'Pre-Calculation'!$H$1:$L$32,4,FALSE)*'Pre-Calculation'!$D$7,0)</f>
        <v>830</v>
      </c>
      <c r="H63" s="175">
        <f>(E63-(F63+G63)*(1+Tax)+N62)</f>
        <v>1346766.698</v>
      </c>
      <c r="I63" s="175">
        <f>IF(B63&lt;PT+1,VLOOKUP(D63,'Pre-Calculation'!$N$3:$P$79,IF(INPUT!$C$4="M",2,3),FALSE)*(J63/1000)*(1/12),0)</f>
        <v>0</v>
      </c>
      <c r="J63" s="175">
        <f t="shared" si="3"/>
        <v>0</v>
      </c>
      <c r="K63" s="175">
        <f>(IF('Pre-Calculation'!$D$17="Type 4 a",MAX(SA,H63,1.05*Q63),IF('Pre-Calculation'!$D$17="Type 4 c",H63,IF('Pre-Calculation'!$D$17="Type 4 d",SA+H63,IF('Pre-Calculation'!$D$17="Type 4 e",MAX(SA,H63),IF('Pre-Calculation'!$D$17="Type 4 f",SA,IF('Pre-Calculation'!$D$17="Type 4 g",1000+H63,IF('Pre-Calculation'!$D$17="Type 4 h",SA+V63,IF('Pre-Calculation'!$D$17="Type 4 i",MAX(H63,Q63),IF('Pre-Calculation'!$D$17="Type 4 k",MAX(H63,1.01*Q63),IF('Pre-Calculation'!$D$17="Type 4 m",MAX(105%*Q63,SA+H63),IF('Pre-Calculation'!$D$17="Type 4 o",MAX(SA,105%*Q63)+V63+X63,IF('Pre-Calculation'!$D$17="Type 5",0)))))))))))))*IF(AND(A63&lt;Revival!$C$4,C63&gt;=Revival!$D$12),PUP,1)</f>
        <v>1346766.698</v>
      </c>
      <c r="L63" s="175">
        <f>H63-I63*(1+Tax)</f>
        <v>1346766.698</v>
      </c>
      <c r="M63" s="175">
        <f>L63*(1+'Pre-Calculation'!$E$28)*(1-'Pre-Calculation'!$E$29*(1+Tax))</f>
        <v>1352751.687</v>
      </c>
      <c r="N63" s="175">
        <f>M63+IF(MOD(A63,B63)=0,VLOOKUP(B63,'Pre-Calculation'!$H$1:$L$31,5,FALSE),0)*IF('Pre-Calculation'!$D$16="% OF FV",M63,IF(OR('Pre-Calculation'!$D$16="% OF AFV(24M)",'Pre-Calculation'!$D$16="% OF AFV(8Q)"),AVERAGE( $M40:$M63),IF('Pre-Calculation'!$D$16="% OF AFV(12M)",AVERAGE($M52:M63),IF('Pre-Calculation'!$D$16="% OF AFV(36M)",AVERAGE($M28:M63)))))</f>
        <v>1352751.687</v>
      </c>
      <c r="O63" s="175">
        <f t="shared" si="4"/>
        <v>1352751.687</v>
      </c>
      <c r="P63" s="175">
        <f>IF('Pre-Calculation'!$D$17="Type 4 a",MAX(SA,N63,1.05*Q63),IF('Pre-Calculation'!$D$17="Type 4 c",N63,IF('Pre-Calculation'!$D$17="Type 4 d",SA+N63,IF('Pre-Calculation'!$D$17="Type 4 e",MAX(SA,N63),IF('Pre-Calculation'!$D$17="Type 4 f",SA,IF('Pre-Calculation'!$D$17="Type 4 g",1000+N63,IF('Pre-Calculation'!$D$17="Type 4 h",SA+V63,IF('Pre-Calculation'!$D$17="Type 4 i",MAX(N63,Q63),IF('Pre-Calculation'!$D$17="Type 4 k",MAX(N63,1.01*Q63),IF('Pre-Calculation'!$D$17="Type 4 m",MAX(105%*Q63,SA+N63),IF('Pre-Calculation'!$D$17="Type 4 o",MAX(SA,105%*Q63)+V63+X63,IF('Pre-Calculation'!$D$17="Type 5",0))))))))))))</f>
        <v>1352751.687</v>
      </c>
      <c r="Q63" s="175">
        <f t="shared" si="5"/>
        <v>1000000</v>
      </c>
      <c r="R63" s="119">
        <f>L63*(1+GROWTH_RATE)*FMC</f>
        <v>1524.031571</v>
      </c>
      <c r="S63" s="112"/>
      <c r="T63" s="175">
        <f>-E63+IF(A62=INPUT!$C$11*12,N63,0)</f>
        <v>0</v>
      </c>
      <c r="U63" s="171"/>
      <c r="V63" s="179">
        <f t="array" ref="V63">NPV('Pre-Calculation'!$E$20,$E64:E$246)</f>
        <v>0</v>
      </c>
      <c r="W63" s="171">
        <f>10%*SA</f>
        <v>100000</v>
      </c>
      <c r="X63" s="179">
        <f t="array" ref="X63">NPV('Pre-Calculation'!$E$20,W64:W73)</f>
        <v>969592.8037</v>
      </c>
      <c r="Y63" s="12"/>
      <c r="Z63" s="12"/>
    </row>
    <row r="64" ht="15.75" customHeight="1">
      <c r="A64" s="171">
        <f t="shared" si="1"/>
        <v>118</v>
      </c>
      <c r="B64" s="171">
        <f t="shared" si="2"/>
        <v>10</v>
      </c>
      <c r="C64" s="176">
        <f>EDATE(RCD,A63)</f>
        <v>46111</v>
      </c>
      <c r="D64" s="171">
        <f>Age_At_Entry+'Cashflows_Bond Fund'!B64-1</f>
        <v>44</v>
      </c>
      <c r="E64" s="175">
        <f>IF(AND(C64&lt;=Last_Prem,MOD(A63,Mode)=0,C64&gt;INPUT!$C$13,A64&lt;=Revival!$C$11),Mod_Prem,0)</f>
        <v>0</v>
      </c>
      <c r="F64" s="177">
        <f>E64*VLOOKUP(B64,'Pre-Calculation'!$H$1:$I$31,2,FALSE)</f>
        <v>0</v>
      </c>
      <c r="G64" s="177">
        <f>IF(B64&lt;PT+1,VLOOKUP(B64,'Pre-Calculation'!$H$1:$L$32,3,FALSE)+VLOOKUP(B64,'Pre-Calculation'!$H$1:$L$32,4,FALSE)*'Pre-Calculation'!$D$7,0)</f>
        <v>830</v>
      </c>
      <c r="H64" s="175">
        <f>(E64-(F64+G64)*(1+Tax)+N63)</f>
        <v>1351772.287</v>
      </c>
      <c r="I64" s="175">
        <f>IF(B64&lt;PT+1,VLOOKUP(D64,'Pre-Calculation'!$N$3:$P$79,IF(INPUT!$C$4="M",2,3),FALSE)*(J64/1000)*(1/12),0)</f>
        <v>0</v>
      </c>
      <c r="J64" s="175">
        <f t="shared" si="3"/>
        <v>0</v>
      </c>
      <c r="K64" s="175">
        <f>(IF('Pre-Calculation'!$D$17="Type 4 a",MAX(SA,H64,1.05*Q64),IF('Pre-Calculation'!$D$17="Type 4 c",H64,IF('Pre-Calculation'!$D$17="Type 4 d",SA+H64,IF('Pre-Calculation'!$D$17="Type 4 e",MAX(SA,H64),IF('Pre-Calculation'!$D$17="Type 4 f",SA,IF('Pre-Calculation'!$D$17="Type 4 g",1000+H64,IF('Pre-Calculation'!$D$17="Type 4 h",SA+V64,IF('Pre-Calculation'!$D$17="Type 4 i",MAX(H64,Q64),IF('Pre-Calculation'!$D$17="Type 4 k",MAX(H64,1.01*Q64),IF('Pre-Calculation'!$D$17="Type 4 m",MAX(105%*Q64,SA+H64),IF('Pre-Calculation'!$D$17="Type 4 o",MAX(SA,105%*Q64)+V64+X64,IF('Pre-Calculation'!$D$17="Type 5",0)))))))))))))*IF(AND(A64&lt;Revival!$C$4,C64&gt;=Revival!$D$12),PUP,1)</f>
        <v>1351772.287</v>
      </c>
      <c r="L64" s="175">
        <f>H64-I64*(1+Tax)</f>
        <v>1351772.287</v>
      </c>
      <c r="M64" s="175">
        <f>L64*(1+'Pre-Calculation'!$E$28)*(1-'Pre-Calculation'!$E$29*(1+Tax))</f>
        <v>1357779.521</v>
      </c>
      <c r="N64" s="175">
        <f>M64+IF(MOD(A64,B64)=0,VLOOKUP(B64,'Pre-Calculation'!$H$1:$L$31,5,FALSE),0)*IF('Pre-Calculation'!$D$16="% OF FV",M64,IF(OR('Pre-Calculation'!$D$16="% OF AFV(24M)",'Pre-Calculation'!$D$16="% OF AFV(8Q)"),AVERAGE( $M41:$M64),IF('Pre-Calculation'!$D$16="% OF AFV(12M)",AVERAGE($M53:M64),IF('Pre-Calculation'!$D$16="% OF AFV(36M)",AVERAGE($M29:M64)))))</f>
        <v>1357779.521</v>
      </c>
      <c r="O64" s="175">
        <f t="shared" si="4"/>
        <v>1357779.521</v>
      </c>
      <c r="P64" s="175">
        <f>IF('Pre-Calculation'!$D$17="Type 4 a",MAX(SA,N64,1.05*Q64),IF('Pre-Calculation'!$D$17="Type 4 c",N64,IF('Pre-Calculation'!$D$17="Type 4 d",SA+N64,IF('Pre-Calculation'!$D$17="Type 4 e",MAX(SA,N64),IF('Pre-Calculation'!$D$17="Type 4 f",SA,IF('Pre-Calculation'!$D$17="Type 4 g",1000+N64,IF('Pre-Calculation'!$D$17="Type 4 h",SA+V64,IF('Pre-Calculation'!$D$17="Type 4 i",MAX(N64,Q64),IF('Pre-Calculation'!$D$17="Type 4 k",MAX(N64,1.01*Q64),IF('Pre-Calculation'!$D$17="Type 4 m",MAX(105%*Q64,SA+N64),IF('Pre-Calculation'!$D$17="Type 4 o",MAX(SA,105%*Q64)+V64+X64,IF('Pre-Calculation'!$D$17="Type 5",0))))))))))))</f>
        <v>1357779.521</v>
      </c>
      <c r="Q64" s="175">
        <f t="shared" si="5"/>
        <v>1000000</v>
      </c>
      <c r="R64" s="119">
        <f>L64*(1+GROWTH_RATE)*FMC</f>
        <v>1529.696008</v>
      </c>
      <c r="S64" s="112"/>
      <c r="T64" s="175">
        <f>-E64+IF(A63=INPUT!$C$11*12,N64,0)</f>
        <v>0</v>
      </c>
      <c r="U64" s="171"/>
      <c r="V64" s="179">
        <f t="array" ref="V64">NPV('Pre-Calculation'!$E$20,$E65:E$246)</f>
        <v>0</v>
      </c>
      <c r="W64" s="171">
        <f>10%*SA</f>
        <v>100000</v>
      </c>
      <c r="X64" s="179">
        <f t="array" ref="X64">NPV('Pre-Calculation'!$E$20,W65:W74)</f>
        <v>969592.8037</v>
      </c>
      <c r="Y64" s="12"/>
      <c r="Z64" s="12"/>
    </row>
    <row r="65" ht="15.75" customHeight="1">
      <c r="A65" s="171">
        <f t="shared" si="1"/>
        <v>119</v>
      </c>
      <c r="B65" s="171">
        <f t="shared" si="2"/>
        <v>10</v>
      </c>
      <c r="C65" s="176">
        <f>EDATE(RCD,A64)</f>
        <v>46142</v>
      </c>
      <c r="D65" s="171">
        <f>Age_At_Entry+'Cashflows_Bond Fund'!B65-1</f>
        <v>44</v>
      </c>
      <c r="E65" s="175">
        <f>IF(AND(C65&lt;=Last_Prem,MOD(A64,Mode)=0,C65&gt;INPUT!$C$13,A65&lt;=Revival!$C$11),Mod_Prem,0)</f>
        <v>0</v>
      </c>
      <c r="F65" s="177">
        <f>E65*VLOOKUP(B65,'Pre-Calculation'!$H$1:$I$31,2,FALSE)</f>
        <v>0</v>
      </c>
      <c r="G65" s="177">
        <f>IF(B65&lt;PT+1,VLOOKUP(B65,'Pre-Calculation'!$H$1:$L$32,3,FALSE)+VLOOKUP(B65,'Pre-Calculation'!$H$1:$L$32,4,FALSE)*'Pre-Calculation'!$D$7,0)</f>
        <v>830</v>
      </c>
      <c r="H65" s="175">
        <f>(E65-(F65+G65)*(1+Tax)+N64)</f>
        <v>1356800.121</v>
      </c>
      <c r="I65" s="175">
        <f>IF(B65&lt;PT+1,VLOOKUP(D65,'Pre-Calculation'!$N$3:$P$79,IF(INPUT!$C$4="M",2,3),FALSE)*(J65/1000)*(1/12),0)</f>
        <v>0</v>
      </c>
      <c r="J65" s="175">
        <f t="shared" si="3"/>
        <v>0</v>
      </c>
      <c r="K65" s="175">
        <f>(IF('Pre-Calculation'!$D$17="Type 4 a",MAX(SA,H65,1.05*Q65),IF('Pre-Calculation'!$D$17="Type 4 c",H65,IF('Pre-Calculation'!$D$17="Type 4 d",SA+H65,IF('Pre-Calculation'!$D$17="Type 4 e",MAX(SA,H65),IF('Pre-Calculation'!$D$17="Type 4 f",SA,IF('Pre-Calculation'!$D$17="Type 4 g",1000+H65,IF('Pre-Calculation'!$D$17="Type 4 h",SA+V65,IF('Pre-Calculation'!$D$17="Type 4 i",MAX(H65,Q65),IF('Pre-Calculation'!$D$17="Type 4 k",MAX(H65,1.01*Q65),IF('Pre-Calculation'!$D$17="Type 4 m",MAX(105%*Q65,SA+H65),IF('Pre-Calculation'!$D$17="Type 4 o",MAX(SA,105%*Q65)+V65+X65,IF('Pre-Calculation'!$D$17="Type 5",0)))))))))))))*IF(AND(A65&lt;Revival!$C$4,C65&gt;=Revival!$D$12),PUP,1)</f>
        <v>1356800.121</v>
      </c>
      <c r="L65" s="175">
        <f>H65-I65*(1+Tax)</f>
        <v>1356800.121</v>
      </c>
      <c r="M65" s="175">
        <f>L65*(1+'Pre-Calculation'!$E$28)*(1-'Pre-Calculation'!$E$29*(1+Tax))</f>
        <v>1362829.698</v>
      </c>
      <c r="N65" s="175">
        <f>M65+IF(MOD(A65,B65)=0,VLOOKUP(B65,'Pre-Calculation'!$H$1:$L$31,5,FALSE),0)*IF('Pre-Calculation'!$D$16="% OF FV",M65,IF(OR('Pre-Calculation'!$D$16="% OF AFV(24M)",'Pre-Calculation'!$D$16="% OF AFV(8Q)"),AVERAGE( $M42:$M65),IF('Pre-Calculation'!$D$16="% OF AFV(12M)",AVERAGE($M54:M65),IF('Pre-Calculation'!$D$16="% OF AFV(36M)",AVERAGE($M30:M65)))))</f>
        <v>1362829.698</v>
      </c>
      <c r="O65" s="175">
        <f t="shared" si="4"/>
        <v>1362829.698</v>
      </c>
      <c r="P65" s="175">
        <f>IF('Pre-Calculation'!$D$17="Type 4 a",MAX(SA,N65,1.05*Q65),IF('Pre-Calculation'!$D$17="Type 4 c",N65,IF('Pre-Calculation'!$D$17="Type 4 d",SA+N65,IF('Pre-Calculation'!$D$17="Type 4 e",MAX(SA,N65),IF('Pre-Calculation'!$D$17="Type 4 f",SA,IF('Pre-Calculation'!$D$17="Type 4 g",1000+N65,IF('Pre-Calculation'!$D$17="Type 4 h",SA+V65,IF('Pre-Calculation'!$D$17="Type 4 i",MAX(N65,Q65),IF('Pre-Calculation'!$D$17="Type 4 k",MAX(N65,1.01*Q65),IF('Pre-Calculation'!$D$17="Type 4 m",MAX(105%*Q65,SA+N65),IF('Pre-Calculation'!$D$17="Type 4 o",MAX(SA,105%*Q65)+V65+X65,IF('Pre-Calculation'!$D$17="Type 5",0))))))))))))</f>
        <v>1362829.698</v>
      </c>
      <c r="Q65" s="175">
        <f t="shared" si="5"/>
        <v>1000000</v>
      </c>
      <c r="R65" s="119">
        <f>L65*(1+GROWTH_RATE)*FMC</f>
        <v>1535.385619</v>
      </c>
      <c r="S65" s="112"/>
      <c r="T65" s="175">
        <f>-E65+IF(A64=INPUT!$C$11*12,N65,0)</f>
        <v>0</v>
      </c>
      <c r="U65" s="171"/>
      <c r="V65" s="179">
        <f t="array" ref="V65">NPV('Pre-Calculation'!$E$20,$E66:E$246)</f>
        <v>0</v>
      </c>
      <c r="W65" s="171">
        <f>10%*SA</f>
        <v>100000</v>
      </c>
      <c r="X65" s="179">
        <f t="array" ref="X65">NPV('Pre-Calculation'!$E$20,W66:W75)</f>
        <v>969592.8037</v>
      </c>
      <c r="Y65" s="12"/>
      <c r="Z65" s="12"/>
    </row>
    <row r="66" ht="15.75" customHeight="1">
      <c r="A66" s="171">
        <f t="shared" si="1"/>
        <v>120</v>
      </c>
      <c r="B66" s="171">
        <f t="shared" si="2"/>
        <v>10</v>
      </c>
      <c r="C66" s="176">
        <f>EDATE(RCD,A65)</f>
        <v>46172</v>
      </c>
      <c r="D66" s="171">
        <f>Age_At_Entry+'Cashflows_Bond Fund'!B66-1</f>
        <v>44</v>
      </c>
      <c r="E66" s="175">
        <f>IF(AND(C66&lt;=Last_Prem,MOD(A65,Mode)=0,C66&gt;INPUT!$C$13,A66&lt;=Revival!$C$11),Mod_Prem,0)</f>
        <v>0</v>
      </c>
      <c r="F66" s="177">
        <f>E66*VLOOKUP(B66,'Pre-Calculation'!$H$1:$I$31,2,FALSE)</f>
        <v>0</v>
      </c>
      <c r="G66" s="177">
        <f>IF(B66&lt;PT+1,VLOOKUP(B66,'Pre-Calculation'!$H$1:$L$32,3,FALSE)+VLOOKUP(B66,'Pre-Calculation'!$H$1:$L$32,4,FALSE)*'Pre-Calculation'!$D$7,0)</f>
        <v>830</v>
      </c>
      <c r="H66" s="175">
        <f>(E66-(F66+G66)*(1+Tax)+N65)</f>
        <v>1361850.298</v>
      </c>
      <c r="I66" s="175">
        <f>IF(B66&lt;PT+1,VLOOKUP(D66,'Pre-Calculation'!$N$3:$P$79,IF(INPUT!$C$4="M",2,3),FALSE)*(J66/1000)*(1/12),0)</f>
        <v>0</v>
      </c>
      <c r="J66" s="175">
        <f t="shared" si="3"/>
        <v>0</v>
      </c>
      <c r="K66" s="175">
        <f>(IF('Pre-Calculation'!$D$17="Type 4 a",MAX(SA,H66,1.05*Q66),IF('Pre-Calculation'!$D$17="Type 4 c",H66,IF('Pre-Calculation'!$D$17="Type 4 d",SA+H66,IF('Pre-Calculation'!$D$17="Type 4 e",MAX(SA,H66),IF('Pre-Calculation'!$D$17="Type 4 f",SA,IF('Pre-Calculation'!$D$17="Type 4 g",1000+H66,IF('Pre-Calculation'!$D$17="Type 4 h",SA+V66,IF('Pre-Calculation'!$D$17="Type 4 i",MAX(H66,Q66),IF('Pre-Calculation'!$D$17="Type 4 k",MAX(H66,1.01*Q66),IF('Pre-Calculation'!$D$17="Type 4 m",MAX(105%*Q66,SA+H66),IF('Pre-Calculation'!$D$17="Type 4 o",MAX(SA,105%*Q66)+V66+X66,IF('Pre-Calculation'!$D$17="Type 5",0)))))))))))))*IF(AND(A66&lt;Revival!$C$4,C66&gt;=Revival!$D$12),PUP,1)</f>
        <v>1361850.298</v>
      </c>
      <c r="L66" s="175">
        <f>H66-I66*(1+Tax)</f>
        <v>1361850.298</v>
      </c>
      <c r="M66" s="175">
        <f>L66*(1+'Pre-Calculation'!$E$28)*(1-'Pre-Calculation'!$E$29*(1+Tax))</f>
        <v>1367902.318</v>
      </c>
      <c r="N66" s="175">
        <f>M66+IF(MOD(A66,B66)=0,VLOOKUP(B66,'Pre-Calculation'!$H$1:$L$31,5,FALSE),0)*IF('Pre-Calculation'!$D$16="% OF FV",M66,IF(OR('Pre-Calculation'!$D$16="% OF AFV(24M)",'Pre-Calculation'!$D$16="% OF AFV(8Q)"),AVERAGE( $M43:$M66),IF('Pre-Calculation'!$D$16="% OF AFV(12M)",AVERAGE($M55:M66),IF('Pre-Calculation'!$D$16="% OF AFV(36M)",AVERAGE($M31:M66)))))</f>
        <v>1367902.318</v>
      </c>
      <c r="O66" s="175">
        <f t="shared" si="4"/>
        <v>1367902.318</v>
      </c>
      <c r="P66" s="175">
        <f>IF('Pre-Calculation'!$D$17="Type 4 a",MAX(SA,N66,1.05*Q66),IF('Pre-Calculation'!$D$17="Type 4 c",N66,IF('Pre-Calculation'!$D$17="Type 4 d",SA+N66,IF('Pre-Calculation'!$D$17="Type 4 e",MAX(SA,N66),IF('Pre-Calculation'!$D$17="Type 4 f",SA,IF('Pre-Calculation'!$D$17="Type 4 g",1000+N66,IF('Pre-Calculation'!$D$17="Type 4 h",SA+V66,IF('Pre-Calculation'!$D$17="Type 4 i",MAX(N66,Q66),IF('Pre-Calculation'!$D$17="Type 4 k",MAX(N66,1.01*Q66),IF('Pre-Calculation'!$D$17="Type 4 m",MAX(105%*Q66,SA+N66),IF('Pre-Calculation'!$D$17="Type 4 o",MAX(SA,105%*Q66)+V66+X66,IF('Pre-Calculation'!$D$17="Type 5",0))))))))))))</f>
        <v>1367902.318</v>
      </c>
      <c r="Q66" s="175">
        <f t="shared" si="5"/>
        <v>1000000</v>
      </c>
      <c r="R66" s="119">
        <f>L66*(1+GROWTH_RATE)*FMC</f>
        <v>1541.100513</v>
      </c>
      <c r="S66" s="112"/>
      <c r="T66" s="175">
        <f>-E66+IF(A65=INPUT!$C$11*12,N66,0)</f>
        <v>0</v>
      </c>
      <c r="U66" s="171"/>
      <c r="V66" s="179">
        <f t="array" ref="V66">NPV('Pre-Calculation'!$E$20,$E67:E$246)</f>
        <v>0</v>
      </c>
      <c r="W66" s="171">
        <f>10%*SA</f>
        <v>100000</v>
      </c>
      <c r="X66" s="179">
        <f t="array" ref="X66">NPV('Pre-Calculation'!$E$20,W67:W76)</f>
        <v>969592.8037</v>
      </c>
      <c r="Y66" s="12"/>
      <c r="Z66" s="12"/>
    </row>
    <row r="67" ht="15.75" customHeight="1">
      <c r="A67" s="171">
        <f t="shared" si="1"/>
        <v>121</v>
      </c>
      <c r="B67" s="171">
        <f t="shared" si="2"/>
        <v>11</v>
      </c>
      <c r="C67" s="176">
        <f>EDATE(RCD,A66)</f>
        <v>46203</v>
      </c>
      <c r="D67" s="171">
        <f>Age_At_Entry+'Cashflows_Bond Fund'!B67-1</f>
        <v>45</v>
      </c>
      <c r="E67" s="175">
        <f>IF(AND(C67&lt;=Last_Prem,MOD(A66,Mode)=0,C67&gt;INPUT!$C$13,A67&lt;=Revival!$C$11),Mod_Prem,0)</f>
        <v>0</v>
      </c>
      <c r="F67" s="177">
        <f>E67*VLOOKUP(B67,'Pre-Calculation'!$H$1:$I$31,2,FALSE)</f>
        <v>0</v>
      </c>
      <c r="G67" s="177">
        <f>IF(B67&lt;PT+1,VLOOKUP(B67,'Pre-Calculation'!$H$1:$L$32,3,FALSE)+VLOOKUP(B67,'Pre-Calculation'!$H$1:$L$32,4,FALSE)*'Pre-Calculation'!$D$7,0)</f>
        <v>0</v>
      </c>
      <c r="H67" s="175">
        <f>(E67-(F67+G67)*(1+Tax)+N66)</f>
        <v>1367902.318</v>
      </c>
      <c r="I67" s="175">
        <f>IF(B67&lt;PT+1,VLOOKUP(D67,'Pre-Calculation'!$N$3:$P$79,IF(INPUT!$C$4="M",2,3),FALSE)*(J67/1000)*(1/12),0)</f>
        <v>0</v>
      </c>
      <c r="J67" s="175">
        <f t="shared" si="3"/>
        <v>0</v>
      </c>
      <c r="K67" s="175">
        <f>(IF('Pre-Calculation'!$D$17="Type 4 a",MAX(SA,H67,1.05*Q67),IF('Pre-Calculation'!$D$17="Type 4 c",H67,IF('Pre-Calculation'!$D$17="Type 4 d",SA+H67,IF('Pre-Calculation'!$D$17="Type 4 e",MAX(SA,H67),IF('Pre-Calculation'!$D$17="Type 4 f",SA,IF('Pre-Calculation'!$D$17="Type 4 g",1000+H67,IF('Pre-Calculation'!$D$17="Type 4 h",SA+V67,IF('Pre-Calculation'!$D$17="Type 4 i",MAX(H67,Q67),IF('Pre-Calculation'!$D$17="Type 4 k",MAX(H67,1.01*Q67),IF('Pre-Calculation'!$D$17="Type 4 m",MAX(105%*Q67,SA+H67),IF('Pre-Calculation'!$D$17="Type 4 o",MAX(SA,105%*Q67)+V67+X67,IF('Pre-Calculation'!$D$17="Type 5",0)))))))))))))*IF(AND(A67&lt;Revival!$C$4,C67&gt;=Revival!$D$12),PUP,1)</f>
        <v>1367902.318</v>
      </c>
      <c r="L67" s="175">
        <f>H67-I67*(1+Tax)</f>
        <v>1367902.318</v>
      </c>
      <c r="M67" s="175">
        <f>L67*(1+'Pre-Calculation'!$E$28)*(1-'Pre-Calculation'!$E$29*(1+Tax))</f>
        <v>1373981.234</v>
      </c>
      <c r="N67" s="175">
        <f>M67+IF(MOD(A67,B67)=0,VLOOKUP(B67,'Pre-Calculation'!$H$1:$L$31,5,FALSE),0)*IF('Pre-Calculation'!$D$16="% OF FV",M67,IF(OR('Pre-Calculation'!$D$16="% OF AFV(24M)",'Pre-Calculation'!$D$16="% OF AFV(8Q)"),AVERAGE( $M44:$M67),IF('Pre-Calculation'!$D$16="% OF AFV(12M)",AVERAGE($M56:M67),IF('Pre-Calculation'!$D$16="% OF AFV(36M)",AVERAGE($M32:M67)))))</f>
        <v>1373981.234</v>
      </c>
      <c r="O67" s="175">
        <f t="shared" si="4"/>
        <v>1373981.234</v>
      </c>
      <c r="P67" s="175">
        <f>IF('Pre-Calculation'!$D$17="Type 4 a",MAX(SA,N67,1.05*Q67),IF('Pre-Calculation'!$D$17="Type 4 c",N67,IF('Pre-Calculation'!$D$17="Type 4 d",SA+N67,IF('Pre-Calculation'!$D$17="Type 4 e",MAX(SA,N67),IF('Pre-Calculation'!$D$17="Type 4 f",SA,IF('Pre-Calculation'!$D$17="Type 4 g",1000+N67,IF('Pre-Calculation'!$D$17="Type 4 h",SA+V67,IF('Pre-Calculation'!$D$17="Type 4 i",MAX(N67,Q67),IF('Pre-Calculation'!$D$17="Type 4 k",MAX(N67,1.01*Q67),IF('Pre-Calculation'!$D$17="Type 4 m",MAX(105%*Q67,SA+N67),IF('Pre-Calculation'!$D$17="Type 4 o",MAX(SA,105%*Q67)+V67+X67,IF('Pre-Calculation'!$D$17="Type 5",0))))))))))))</f>
        <v>1373981.234</v>
      </c>
      <c r="Q67" s="175">
        <f t="shared" si="5"/>
        <v>1000000</v>
      </c>
      <c r="R67" s="119">
        <f>L67*(1+GROWTH_RATE)*FMC</f>
        <v>1547.949116</v>
      </c>
      <c r="S67" s="112"/>
      <c r="T67" s="175">
        <f>-E67+IF(A66=INPUT!$C$11*12,N67,0)</f>
        <v>1373981.234</v>
      </c>
      <c r="U67" s="171"/>
      <c r="V67" s="179">
        <f t="array" ref="V67">NPV('Pre-Calculation'!$E$20,$E68:E$246)</f>
        <v>0</v>
      </c>
      <c r="W67" s="171">
        <f>10%*SA</f>
        <v>100000</v>
      </c>
      <c r="X67" s="179">
        <f t="array" ref="X67">NPV('Pre-Calculation'!$E$20,W68:W77)</f>
        <v>969592.8037</v>
      </c>
      <c r="Y67" s="12"/>
      <c r="Z67" s="12"/>
    </row>
    <row r="68" ht="15.75" customHeight="1">
      <c r="A68" s="171">
        <f t="shared" si="1"/>
        <v>122</v>
      </c>
      <c r="B68" s="171">
        <f t="shared" si="2"/>
        <v>11</v>
      </c>
      <c r="C68" s="176">
        <f>EDATE(RCD,A67)</f>
        <v>46233</v>
      </c>
      <c r="D68" s="171">
        <f>Age_At_Entry+'Cashflows_Bond Fund'!B68-1</f>
        <v>45</v>
      </c>
      <c r="E68" s="175">
        <f>IF(AND(C68&lt;=Last_Prem,MOD(A67,Mode)=0,C68&gt;INPUT!$C$13,A68&lt;=Revival!$C$11),Mod_Prem,0)</f>
        <v>0</v>
      </c>
      <c r="F68" s="177">
        <f>E68*VLOOKUP(B68,'Pre-Calculation'!$H$1:$I$31,2,FALSE)</f>
        <v>0</v>
      </c>
      <c r="G68" s="177">
        <f>IF(B68&lt;PT+1,VLOOKUP(B68,'Pre-Calculation'!$H$1:$L$32,3,FALSE)+VLOOKUP(B68,'Pre-Calculation'!$H$1:$L$32,4,FALSE)*'Pre-Calculation'!$D$7,0)</f>
        <v>0</v>
      </c>
      <c r="H68" s="175">
        <f>(E68-(F68+G68)*(1+Tax)+N67)</f>
        <v>1373981.234</v>
      </c>
      <c r="I68" s="175">
        <f>IF(B68&lt;PT+1,VLOOKUP(D68,'Pre-Calculation'!$N$3:$P$79,IF(INPUT!$C$4="M",2,3),FALSE)*(J68/1000)*(1/12),0)</f>
        <v>0</v>
      </c>
      <c r="J68" s="175">
        <f t="shared" si="3"/>
        <v>0</v>
      </c>
      <c r="K68" s="175">
        <f>(IF('Pre-Calculation'!$D$17="Type 4 a",MAX(SA,H68,1.05*Q68),IF('Pre-Calculation'!$D$17="Type 4 c",H68,IF('Pre-Calculation'!$D$17="Type 4 d",SA+H68,IF('Pre-Calculation'!$D$17="Type 4 e",MAX(SA,H68),IF('Pre-Calculation'!$D$17="Type 4 f",SA,IF('Pre-Calculation'!$D$17="Type 4 g",1000+H68,IF('Pre-Calculation'!$D$17="Type 4 h",SA+V68,IF('Pre-Calculation'!$D$17="Type 4 i",MAX(H68,Q68),IF('Pre-Calculation'!$D$17="Type 4 k",MAX(H68,1.01*Q68),IF('Pre-Calculation'!$D$17="Type 4 m",MAX(105%*Q68,SA+H68),IF('Pre-Calculation'!$D$17="Type 4 o",MAX(SA,105%*Q68)+V68+X68,IF('Pre-Calculation'!$D$17="Type 5",0)))))))))))))*IF(AND(A68&lt;Revival!$C$4,C68&gt;=Revival!$D$12),PUP,1)</f>
        <v>1373981.234</v>
      </c>
      <c r="L68" s="175">
        <f>H68-I68*(1+Tax)</f>
        <v>1373981.234</v>
      </c>
      <c r="M68" s="175">
        <f>L68*(1+'Pre-Calculation'!$E$28)*(1-'Pre-Calculation'!$E$29*(1+Tax))</f>
        <v>1380087.163</v>
      </c>
      <c r="N68" s="175">
        <f>M68+IF(MOD(A68,B68)=0,VLOOKUP(B68,'Pre-Calculation'!$H$1:$L$31,5,FALSE),0)*IF('Pre-Calculation'!$D$16="% OF FV",M68,IF(OR('Pre-Calculation'!$D$16="% OF AFV(24M)",'Pre-Calculation'!$D$16="% OF AFV(8Q)"),AVERAGE( $M45:$M68),IF('Pre-Calculation'!$D$16="% OF AFV(12M)",AVERAGE($M57:M68),IF('Pre-Calculation'!$D$16="% OF AFV(36M)",AVERAGE($M33:M68)))))</f>
        <v>1380087.163</v>
      </c>
      <c r="O68" s="175">
        <f t="shared" si="4"/>
        <v>1380087.163</v>
      </c>
      <c r="P68" s="175">
        <f>IF('Pre-Calculation'!$D$17="Type 4 a",MAX(SA,N68,1.05*Q68),IF('Pre-Calculation'!$D$17="Type 4 c",N68,IF('Pre-Calculation'!$D$17="Type 4 d",SA+N68,IF('Pre-Calculation'!$D$17="Type 4 e",MAX(SA,N68),IF('Pre-Calculation'!$D$17="Type 4 f",SA,IF('Pre-Calculation'!$D$17="Type 4 g",1000+N68,IF('Pre-Calculation'!$D$17="Type 4 h",SA+V68,IF('Pre-Calculation'!$D$17="Type 4 i",MAX(N68,Q68),IF('Pre-Calculation'!$D$17="Type 4 k",MAX(N68,1.01*Q68),IF('Pre-Calculation'!$D$17="Type 4 m",MAX(105%*Q68,SA+N68),IF('Pre-Calculation'!$D$17="Type 4 o",MAX(SA,105%*Q68)+V68+X68,IF('Pre-Calculation'!$D$17="Type 5",0))))))))))))</f>
        <v>1380087.163</v>
      </c>
      <c r="Q68" s="175">
        <f t="shared" si="5"/>
        <v>1000000</v>
      </c>
      <c r="R68" s="119">
        <f>L68*(1+GROWTH_RATE)*FMC</f>
        <v>1554.828153</v>
      </c>
      <c r="S68" s="112"/>
      <c r="T68" s="175">
        <f>-E68+IF(A67=INPUT!$C$11*12,N68,0)</f>
        <v>0</v>
      </c>
      <c r="U68" s="171"/>
      <c r="V68" s="179">
        <f t="array" ref="V68">NPV('Pre-Calculation'!$E$20,$E69:E$246)</f>
        <v>0</v>
      </c>
      <c r="W68" s="171">
        <f>10%*SA</f>
        <v>100000</v>
      </c>
      <c r="X68" s="179">
        <f t="array" ref="X68">NPV('Pre-Calculation'!$E$20,W69:W78)</f>
        <v>969592.8037</v>
      </c>
      <c r="Y68" s="12"/>
      <c r="Z68" s="12"/>
    </row>
    <row r="69" ht="15.75" customHeight="1">
      <c r="A69" s="171">
        <f t="shared" si="1"/>
        <v>123</v>
      </c>
      <c r="B69" s="171">
        <f t="shared" si="2"/>
        <v>11</v>
      </c>
      <c r="C69" s="176">
        <f>EDATE(RCD,A68)</f>
        <v>46264</v>
      </c>
      <c r="D69" s="171">
        <f>Age_At_Entry+'Cashflows_Bond Fund'!B69-1</f>
        <v>45</v>
      </c>
      <c r="E69" s="175">
        <f>IF(AND(C69&lt;=Last_Prem,MOD(A68,Mode)=0,C69&gt;INPUT!$C$13,A69&lt;=Revival!$C$11),Mod_Prem,0)</f>
        <v>0</v>
      </c>
      <c r="F69" s="177">
        <f>E69*VLOOKUP(B69,'Pre-Calculation'!$H$1:$I$31,2,FALSE)</f>
        <v>0</v>
      </c>
      <c r="G69" s="177">
        <f>IF(B69&lt;PT+1,VLOOKUP(B69,'Pre-Calculation'!$H$1:$L$32,3,FALSE)+VLOOKUP(B69,'Pre-Calculation'!$H$1:$L$32,4,FALSE)*'Pre-Calculation'!$D$7,0)</f>
        <v>0</v>
      </c>
      <c r="H69" s="175">
        <f>(E69-(F69+G69)*(1+Tax)+N68)</f>
        <v>1380087.163</v>
      </c>
      <c r="I69" s="175">
        <f>IF(B69&lt;PT+1,VLOOKUP(D69,'Pre-Calculation'!$N$3:$P$79,IF(INPUT!$C$4="M",2,3),FALSE)*(J69/1000)*(1/12),0)</f>
        <v>0</v>
      </c>
      <c r="J69" s="175">
        <f t="shared" si="3"/>
        <v>0</v>
      </c>
      <c r="K69" s="175">
        <f>(IF('Pre-Calculation'!$D$17="Type 4 a",MAX(SA,H69,1.05*Q69),IF('Pre-Calculation'!$D$17="Type 4 c",H69,IF('Pre-Calculation'!$D$17="Type 4 d",SA+H69,IF('Pre-Calculation'!$D$17="Type 4 e",MAX(SA,H69),IF('Pre-Calculation'!$D$17="Type 4 f",SA,IF('Pre-Calculation'!$D$17="Type 4 g",1000+H69,IF('Pre-Calculation'!$D$17="Type 4 h",SA+V69,IF('Pre-Calculation'!$D$17="Type 4 i",MAX(H69,Q69),IF('Pre-Calculation'!$D$17="Type 4 k",MAX(H69,1.01*Q69),IF('Pre-Calculation'!$D$17="Type 4 m",MAX(105%*Q69,SA+H69),IF('Pre-Calculation'!$D$17="Type 4 o",MAX(SA,105%*Q69)+V69+X69,IF('Pre-Calculation'!$D$17="Type 5",0)))))))))))))*IF(AND(A69&lt;Revival!$C$4,C69&gt;=Revival!$D$12),PUP,1)</f>
        <v>1380087.163</v>
      </c>
      <c r="L69" s="175">
        <f>H69-I69*(1+Tax)</f>
        <v>1380087.163</v>
      </c>
      <c r="M69" s="175">
        <f>L69*(1+'Pre-Calculation'!$E$28)*(1-'Pre-Calculation'!$E$29*(1+Tax))</f>
        <v>1386220.227</v>
      </c>
      <c r="N69" s="175">
        <f>M69+IF(MOD(A69,B69)=0,VLOOKUP(B69,'Pre-Calculation'!$H$1:$L$31,5,FALSE),0)*IF('Pre-Calculation'!$D$16="% OF FV",M69,IF(OR('Pre-Calculation'!$D$16="% OF AFV(24M)",'Pre-Calculation'!$D$16="% OF AFV(8Q)"),AVERAGE( $M46:$M69),IF('Pre-Calculation'!$D$16="% OF AFV(12M)",AVERAGE($M58:M69),IF('Pre-Calculation'!$D$16="% OF AFV(36M)",AVERAGE($M34:M69)))))</f>
        <v>1386220.227</v>
      </c>
      <c r="O69" s="175">
        <f t="shared" si="4"/>
        <v>1386220.227</v>
      </c>
      <c r="P69" s="175">
        <f>IF('Pre-Calculation'!$D$17="Type 4 a",MAX(SA,N69,1.05*Q69),IF('Pre-Calculation'!$D$17="Type 4 c",N69,IF('Pre-Calculation'!$D$17="Type 4 d",SA+N69,IF('Pre-Calculation'!$D$17="Type 4 e",MAX(SA,N69),IF('Pre-Calculation'!$D$17="Type 4 f",SA,IF('Pre-Calculation'!$D$17="Type 4 g",1000+N69,IF('Pre-Calculation'!$D$17="Type 4 h",SA+V69,IF('Pre-Calculation'!$D$17="Type 4 i",MAX(N69,Q69),IF('Pre-Calculation'!$D$17="Type 4 k",MAX(N69,1.01*Q69),IF('Pre-Calculation'!$D$17="Type 4 m",MAX(105%*Q69,SA+N69),IF('Pre-Calculation'!$D$17="Type 4 o",MAX(SA,105%*Q69)+V69+X69,IF('Pre-Calculation'!$D$17="Type 5",0))))))))))))</f>
        <v>1386220.227</v>
      </c>
      <c r="Q69" s="175">
        <f t="shared" si="5"/>
        <v>1000000</v>
      </c>
      <c r="R69" s="119">
        <f>L69*(1+GROWTH_RATE)*FMC</f>
        <v>1561.737761</v>
      </c>
      <c r="S69" s="112"/>
      <c r="T69" s="175">
        <f>-E69+IF(A68=INPUT!$C$11*12,N69,0)</f>
        <v>0</v>
      </c>
      <c r="U69" s="171"/>
      <c r="V69" s="179">
        <f t="array" ref="V69">NPV('Pre-Calculation'!$E$20,$E70:E$246)</f>
        <v>0</v>
      </c>
      <c r="W69" s="171">
        <f>10%*SA</f>
        <v>100000</v>
      </c>
      <c r="X69" s="179">
        <f t="array" ref="X69">NPV('Pre-Calculation'!$E$20,W70:W79)</f>
        <v>969592.8037</v>
      </c>
      <c r="Y69" s="12"/>
      <c r="Z69" s="12"/>
    </row>
    <row r="70" ht="15.75" customHeight="1">
      <c r="A70" s="171">
        <f t="shared" si="1"/>
        <v>124</v>
      </c>
      <c r="B70" s="171">
        <f t="shared" si="2"/>
        <v>11</v>
      </c>
      <c r="C70" s="176">
        <f>EDATE(RCD,A69)</f>
        <v>46295</v>
      </c>
      <c r="D70" s="171">
        <f>Age_At_Entry+'Cashflows_Bond Fund'!B70-1</f>
        <v>45</v>
      </c>
      <c r="E70" s="175">
        <f>IF(AND(C70&lt;=Last_Prem,MOD(A69,Mode)=0,C70&gt;INPUT!$C$13,A70&lt;=Revival!$C$11),Mod_Prem,0)</f>
        <v>0</v>
      </c>
      <c r="F70" s="177">
        <f>E70*VLOOKUP(B70,'Pre-Calculation'!$H$1:$I$31,2,FALSE)</f>
        <v>0</v>
      </c>
      <c r="G70" s="177">
        <f>IF(B70&lt;PT+1,VLOOKUP(B70,'Pre-Calculation'!$H$1:$L$32,3,FALSE)+VLOOKUP(B70,'Pre-Calculation'!$H$1:$L$32,4,FALSE)*'Pre-Calculation'!$D$7,0)</f>
        <v>0</v>
      </c>
      <c r="H70" s="175">
        <f>(E70-(F70+G70)*(1+Tax)+N69)</f>
        <v>1386220.227</v>
      </c>
      <c r="I70" s="175">
        <f>IF(B70&lt;PT+1,VLOOKUP(D70,'Pre-Calculation'!$N$3:$P$79,IF(INPUT!$C$4="M",2,3),FALSE)*(J70/1000)*(1/12),0)</f>
        <v>0</v>
      </c>
      <c r="J70" s="175">
        <f t="shared" si="3"/>
        <v>0</v>
      </c>
      <c r="K70" s="175">
        <f>(IF('Pre-Calculation'!$D$17="Type 4 a",MAX(SA,H70,1.05*Q70),IF('Pre-Calculation'!$D$17="Type 4 c",H70,IF('Pre-Calculation'!$D$17="Type 4 d",SA+H70,IF('Pre-Calculation'!$D$17="Type 4 e",MAX(SA,H70),IF('Pre-Calculation'!$D$17="Type 4 f",SA,IF('Pre-Calculation'!$D$17="Type 4 g",1000+H70,IF('Pre-Calculation'!$D$17="Type 4 h",SA+V70,IF('Pre-Calculation'!$D$17="Type 4 i",MAX(H70,Q70),IF('Pre-Calculation'!$D$17="Type 4 k",MAX(H70,1.01*Q70),IF('Pre-Calculation'!$D$17="Type 4 m",MAX(105%*Q70,SA+H70),IF('Pre-Calculation'!$D$17="Type 4 o",MAX(SA,105%*Q70)+V70+X70,IF('Pre-Calculation'!$D$17="Type 5",0)))))))))))))*IF(AND(A70&lt;Revival!$C$4,C70&gt;=Revival!$D$12),PUP,1)</f>
        <v>1386220.227</v>
      </c>
      <c r="L70" s="175">
        <f>H70-I70*(1+Tax)</f>
        <v>1386220.227</v>
      </c>
      <c r="M70" s="175">
        <f>L70*(1+'Pre-Calculation'!$E$28)*(1-'Pre-Calculation'!$E$29*(1+Tax))</f>
        <v>1392380.547</v>
      </c>
      <c r="N70" s="175">
        <f>M70+IF(MOD(A70,B70)=0,VLOOKUP(B70,'Pre-Calculation'!$H$1:$L$31,5,FALSE),0)*IF('Pre-Calculation'!$D$16="% OF FV",M70,IF(OR('Pre-Calculation'!$D$16="% OF AFV(24M)",'Pre-Calculation'!$D$16="% OF AFV(8Q)"),AVERAGE( $M47:$M70),IF('Pre-Calculation'!$D$16="% OF AFV(12M)",AVERAGE($M59:M70),IF('Pre-Calculation'!$D$16="% OF AFV(36M)",AVERAGE($M35:M70)))))</f>
        <v>1392380.547</v>
      </c>
      <c r="O70" s="175">
        <f t="shared" si="4"/>
        <v>1392380.547</v>
      </c>
      <c r="P70" s="175">
        <f>IF('Pre-Calculation'!$D$17="Type 4 a",MAX(SA,N70,1.05*Q70),IF('Pre-Calculation'!$D$17="Type 4 c",N70,IF('Pre-Calculation'!$D$17="Type 4 d",SA+N70,IF('Pre-Calculation'!$D$17="Type 4 e",MAX(SA,N70),IF('Pre-Calculation'!$D$17="Type 4 f",SA,IF('Pre-Calculation'!$D$17="Type 4 g",1000+N70,IF('Pre-Calculation'!$D$17="Type 4 h",SA+V70,IF('Pre-Calculation'!$D$17="Type 4 i",MAX(N70,Q70),IF('Pre-Calculation'!$D$17="Type 4 k",MAX(N70,1.01*Q70),IF('Pre-Calculation'!$D$17="Type 4 m",MAX(105%*Q70,SA+N70),IF('Pre-Calculation'!$D$17="Type 4 o",MAX(SA,105%*Q70)+V70+X70,IF('Pre-Calculation'!$D$17="Type 5",0))))))))))))</f>
        <v>1392380.547</v>
      </c>
      <c r="Q70" s="175">
        <f t="shared" si="5"/>
        <v>1000000</v>
      </c>
      <c r="R70" s="119">
        <f>L70*(1+GROWTH_RATE)*FMC</f>
        <v>1568.678075</v>
      </c>
      <c r="S70" s="112"/>
      <c r="T70" s="175">
        <f>-E70+IF(A69=INPUT!$C$11*12,N70,0)</f>
        <v>0</v>
      </c>
      <c r="U70" s="171"/>
      <c r="V70" s="179">
        <f t="array" ref="V70">NPV('Pre-Calculation'!$E$20,$E71:E$246)</f>
        <v>0</v>
      </c>
      <c r="W70" s="171">
        <f>10%*SA</f>
        <v>100000</v>
      </c>
      <c r="X70" s="179">
        <f t="array" ref="X70">NPV('Pre-Calculation'!$E$20,W71:W80)</f>
        <v>969592.8037</v>
      </c>
      <c r="Y70" s="12"/>
      <c r="Z70" s="12"/>
    </row>
    <row r="71" ht="15.75" customHeight="1">
      <c r="A71" s="171">
        <f t="shared" si="1"/>
        <v>125</v>
      </c>
      <c r="B71" s="171">
        <f t="shared" si="2"/>
        <v>11</v>
      </c>
      <c r="C71" s="176">
        <f>EDATE(RCD,A70)</f>
        <v>46325</v>
      </c>
      <c r="D71" s="171">
        <f>Age_At_Entry+'Cashflows_Bond Fund'!B71-1</f>
        <v>45</v>
      </c>
      <c r="E71" s="175">
        <f>IF(AND(C71&lt;=Last_Prem,MOD(A70,Mode)=0,C71&gt;INPUT!$C$13,A71&lt;=Revival!$C$11),Mod_Prem,0)</f>
        <v>0</v>
      </c>
      <c r="F71" s="177">
        <f>E71*VLOOKUP(B71,'Pre-Calculation'!$H$1:$I$31,2,FALSE)</f>
        <v>0</v>
      </c>
      <c r="G71" s="177">
        <f>IF(B71&lt;PT+1,VLOOKUP(B71,'Pre-Calculation'!$H$1:$L$32,3,FALSE)+VLOOKUP(B71,'Pre-Calculation'!$H$1:$L$32,4,FALSE)*'Pre-Calculation'!$D$7,0)</f>
        <v>0</v>
      </c>
      <c r="H71" s="175">
        <f>(E71-(F71+G71)*(1+Tax)+N70)</f>
        <v>1392380.547</v>
      </c>
      <c r="I71" s="175">
        <f>IF(B71&lt;PT+1,VLOOKUP(D71,'Pre-Calculation'!$N$3:$P$79,IF(INPUT!$C$4="M",2,3),FALSE)*(J71/1000)*(1/12),0)</f>
        <v>0</v>
      </c>
      <c r="J71" s="175">
        <f t="shared" si="3"/>
        <v>0</v>
      </c>
      <c r="K71" s="175">
        <f>(IF('Pre-Calculation'!$D$17="Type 4 a",MAX(SA,H71,1.05*Q71),IF('Pre-Calculation'!$D$17="Type 4 c",H71,IF('Pre-Calculation'!$D$17="Type 4 d",SA+H71,IF('Pre-Calculation'!$D$17="Type 4 e",MAX(SA,H71),IF('Pre-Calculation'!$D$17="Type 4 f",SA,IF('Pre-Calculation'!$D$17="Type 4 g",1000+H71,IF('Pre-Calculation'!$D$17="Type 4 h",SA+V71,IF('Pre-Calculation'!$D$17="Type 4 i",MAX(H71,Q71),IF('Pre-Calculation'!$D$17="Type 4 k",MAX(H71,1.01*Q71),IF('Pre-Calculation'!$D$17="Type 4 m",MAX(105%*Q71,SA+H71),IF('Pre-Calculation'!$D$17="Type 4 o",MAX(SA,105%*Q71)+V71+X71,IF('Pre-Calculation'!$D$17="Type 5",0)))))))))))))*IF(AND(A71&lt;Revival!$C$4,C71&gt;=Revival!$D$12),PUP,1)</f>
        <v>1392380.547</v>
      </c>
      <c r="L71" s="175">
        <f>H71-I71*(1+Tax)</f>
        <v>1392380.547</v>
      </c>
      <c r="M71" s="175">
        <f>L71*(1+'Pre-Calculation'!$E$28)*(1-'Pre-Calculation'!$E$29*(1+Tax))</f>
        <v>1398568.242</v>
      </c>
      <c r="N71" s="175">
        <f>M71+IF(MOD(A71,B71)=0,VLOOKUP(B71,'Pre-Calculation'!$H$1:$L$31,5,FALSE),0)*IF('Pre-Calculation'!$D$16="% OF FV",M71,IF(OR('Pre-Calculation'!$D$16="% OF AFV(24M)",'Pre-Calculation'!$D$16="% OF AFV(8Q)"),AVERAGE( $M48:$M71),IF('Pre-Calculation'!$D$16="% OF AFV(12M)",AVERAGE($M60:M71),IF('Pre-Calculation'!$D$16="% OF AFV(36M)",AVERAGE($M36:M71)))))</f>
        <v>1398568.242</v>
      </c>
      <c r="O71" s="175">
        <f t="shared" si="4"/>
        <v>1398568.242</v>
      </c>
      <c r="P71" s="175">
        <f>IF('Pre-Calculation'!$D$17="Type 4 a",MAX(SA,N71,1.05*Q71),IF('Pre-Calculation'!$D$17="Type 4 c",N71,IF('Pre-Calculation'!$D$17="Type 4 d",SA+N71,IF('Pre-Calculation'!$D$17="Type 4 e",MAX(SA,N71),IF('Pre-Calculation'!$D$17="Type 4 f",SA,IF('Pre-Calculation'!$D$17="Type 4 g",1000+N71,IF('Pre-Calculation'!$D$17="Type 4 h",SA+V71,IF('Pre-Calculation'!$D$17="Type 4 i",MAX(N71,Q71),IF('Pre-Calculation'!$D$17="Type 4 k",MAX(N71,1.01*Q71),IF('Pre-Calculation'!$D$17="Type 4 m",MAX(105%*Q71,SA+N71),IF('Pre-Calculation'!$D$17="Type 4 o",MAX(SA,105%*Q71)+V71+X71,IF('Pre-Calculation'!$D$17="Type 5",0))))))))))))</f>
        <v>1398568.242</v>
      </c>
      <c r="Q71" s="175">
        <f t="shared" si="5"/>
        <v>1000000</v>
      </c>
      <c r="R71" s="119">
        <f>L71*(1+GROWTH_RATE)*FMC</f>
        <v>1575.649231</v>
      </c>
      <c r="S71" s="112"/>
      <c r="T71" s="175">
        <f>-E71+IF(A70=INPUT!$C$11*12,N71,0)</f>
        <v>0</v>
      </c>
      <c r="U71" s="171"/>
      <c r="V71" s="179">
        <f t="array" ref="V71">NPV('Pre-Calculation'!$E$20,$E72:E$246)</f>
        <v>0</v>
      </c>
      <c r="W71" s="171">
        <f>10%*SA</f>
        <v>100000</v>
      </c>
      <c r="X71" s="179">
        <f t="array" ref="X71">NPV('Pre-Calculation'!$E$20,W72:W81)</f>
        <v>969592.8037</v>
      </c>
      <c r="Y71" s="12"/>
      <c r="Z71" s="12"/>
    </row>
    <row r="72" ht="15.75" customHeight="1">
      <c r="A72" s="171">
        <f t="shared" si="1"/>
        <v>126</v>
      </c>
      <c r="B72" s="171">
        <f t="shared" si="2"/>
        <v>11</v>
      </c>
      <c r="C72" s="176">
        <f>EDATE(RCD,A71)</f>
        <v>46356</v>
      </c>
      <c r="D72" s="171">
        <f>Age_At_Entry+'Cashflows_Bond Fund'!B72-1</f>
        <v>45</v>
      </c>
      <c r="E72" s="175">
        <f>IF(AND(C72&lt;=Last_Prem,MOD(A71,Mode)=0,C72&gt;INPUT!$C$13,A72&lt;=Revival!$C$11),Mod_Prem,0)</f>
        <v>0</v>
      </c>
      <c r="F72" s="177">
        <f>E72*VLOOKUP(B72,'Pre-Calculation'!$H$1:$I$31,2,FALSE)</f>
        <v>0</v>
      </c>
      <c r="G72" s="177">
        <f>IF(B72&lt;PT+1,VLOOKUP(B72,'Pre-Calculation'!$H$1:$L$32,3,FALSE)+VLOOKUP(B72,'Pre-Calculation'!$H$1:$L$32,4,FALSE)*'Pre-Calculation'!$D$7,0)</f>
        <v>0</v>
      </c>
      <c r="H72" s="175">
        <f>(E72-(F72+G72)*(1+Tax)+N71)</f>
        <v>1398568.242</v>
      </c>
      <c r="I72" s="175">
        <f>IF(B72&lt;PT+1,VLOOKUP(D72,'Pre-Calculation'!$N$3:$P$79,IF(INPUT!$C$4="M",2,3),FALSE)*(J72/1000)*(1/12),0)</f>
        <v>0</v>
      </c>
      <c r="J72" s="175">
        <f t="shared" si="3"/>
        <v>0</v>
      </c>
      <c r="K72" s="175">
        <f>(IF('Pre-Calculation'!$D$17="Type 4 a",MAX(SA,H72,1.05*Q72),IF('Pre-Calculation'!$D$17="Type 4 c",H72,IF('Pre-Calculation'!$D$17="Type 4 d",SA+H72,IF('Pre-Calculation'!$D$17="Type 4 e",MAX(SA,H72),IF('Pre-Calculation'!$D$17="Type 4 f",SA,IF('Pre-Calculation'!$D$17="Type 4 g",1000+H72,IF('Pre-Calculation'!$D$17="Type 4 h",SA+V72,IF('Pre-Calculation'!$D$17="Type 4 i",MAX(H72,Q72),IF('Pre-Calculation'!$D$17="Type 4 k",MAX(H72,1.01*Q72),IF('Pre-Calculation'!$D$17="Type 4 m",MAX(105%*Q72,SA+H72),IF('Pre-Calculation'!$D$17="Type 4 o",MAX(SA,105%*Q72)+V72+X72,IF('Pre-Calculation'!$D$17="Type 5",0)))))))))))))*IF(AND(A72&lt;Revival!$C$4,C72&gt;=Revival!$D$12),PUP,1)</f>
        <v>1398568.242</v>
      </c>
      <c r="L72" s="175">
        <f>H72-I72*(1+Tax)</f>
        <v>1398568.242</v>
      </c>
      <c r="M72" s="175">
        <f>L72*(1+'Pre-Calculation'!$E$28)*(1-'Pre-Calculation'!$E$29*(1+Tax))</f>
        <v>1404783.436</v>
      </c>
      <c r="N72" s="175">
        <f>M72+IF(MOD(A72,B72)=0,VLOOKUP(B72,'Pre-Calculation'!$H$1:$L$31,5,FALSE),0)*IF('Pre-Calculation'!$D$16="% OF FV",M72,IF(OR('Pre-Calculation'!$D$16="% OF AFV(24M)",'Pre-Calculation'!$D$16="% OF AFV(8Q)"),AVERAGE( $M49:$M72),IF('Pre-Calculation'!$D$16="% OF AFV(12M)",AVERAGE($M61:M72),IF('Pre-Calculation'!$D$16="% OF AFV(36M)",AVERAGE($M37:M72)))))</f>
        <v>1404783.436</v>
      </c>
      <c r="O72" s="175">
        <f t="shared" si="4"/>
        <v>1404783.436</v>
      </c>
      <c r="P72" s="175">
        <f>IF('Pre-Calculation'!$D$17="Type 4 a",MAX(SA,N72,1.05*Q72),IF('Pre-Calculation'!$D$17="Type 4 c",N72,IF('Pre-Calculation'!$D$17="Type 4 d",SA+N72,IF('Pre-Calculation'!$D$17="Type 4 e",MAX(SA,N72),IF('Pre-Calculation'!$D$17="Type 4 f",SA,IF('Pre-Calculation'!$D$17="Type 4 g",1000+N72,IF('Pre-Calculation'!$D$17="Type 4 h",SA+V72,IF('Pre-Calculation'!$D$17="Type 4 i",MAX(N72,Q72),IF('Pre-Calculation'!$D$17="Type 4 k",MAX(N72,1.01*Q72),IF('Pre-Calculation'!$D$17="Type 4 m",MAX(105%*Q72,SA+N72),IF('Pre-Calculation'!$D$17="Type 4 o",MAX(SA,105%*Q72)+V72+X72,IF('Pre-Calculation'!$D$17="Type 5",0))))))))))))</f>
        <v>1404783.436</v>
      </c>
      <c r="Q72" s="175">
        <f t="shared" si="5"/>
        <v>1000000</v>
      </c>
      <c r="R72" s="119">
        <f>L72*(1+GROWTH_RATE)*FMC</f>
        <v>1582.651367</v>
      </c>
      <c r="S72" s="112"/>
      <c r="T72" s="175">
        <f>-E72+IF(A71=INPUT!$C$11*12,N72,0)</f>
        <v>0</v>
      </c>
      <c r="U72" s="171"/>
      <c r="V72" s="179">
        <f t="array" ref="V72">NPV('Pre-Calculation'!$E$20,$E73:E$246)</f>
        <v>0</v>
      </c>
      <c r="W72" s="171">
        <f>10%*SA</f>
        <v>100000</v>
      </c>
      <c r="X72" s="179">
        <f t="array" ref="X72">NPV('Pre-Calculation'!$E$20,W73:W82)</f>
        <v>969592.8037</v>
      </c>
      <c r="Y72" s="12"/>
      <c r="Z72" s="12"/>
    </row>
    <row r="73" ht="15.75" customHeight="1">
      <c r="A73" s="171">
        <f t="shared" si="1"/>
        <v>127</v>
      </c>
      <c r="B73" s="171">
        <f t="shared" si="2"/>
        <v>11</v>
      </c>
      <c r="C73" s="176">
        <f>EDATE(RCD,A72)</f>
        <v>46386</v>
      </c>
      <c r="D73" s="171">
        <f>Age_At_Entry+'Cashflows_Bond Fund'!B73-1</f>
        <v>45</v>
      </c>
      <c r="E73" s="175">
        <f>IF(AND(C73&lt;=Last_Prem,MOD(A72,Mode)=0,C73&gt;INPUT!$C$13,A73&lt;=Revival!$C$11),Mod_Prem,0)</f>
        <v>0</v>
      </c>
      <c r="F73" s="177">
        <f>E73*VLOOKUP(B73,'Pre-Calculation'!$H$1:$I$31,2,FALSE)</f>
        <v>0</v>
      </c>
      <c r="G73" s="177">
        <f>IF(B73&lt;PT+1,VLOOKUP(B73,'Pre-Calculation'!$H$1:$L$32,3,FALSE)+VLOOKUP(B73,'Pre-Calculation'!$H$1:$L$32,4,FALSE)*'Pre-Calculation'!$D$7,0)</f>
        <v>0</v>
      </c>
      <c r="H73" s="175">
        <f>(E73-(F73+G73)*(1+Tax)+N72)</f>
        <v>1404783.436</v>
      </c>
      <c r="I73" s="175">
        <f>IF(B73&lt;PT+1,VLOOKUP(D73,'Pre-Calculation'!$N$3:$P$79,IF(INPUT!$C$4="M",2,3),FALSE)*(J73/1000)*(1/12),0)</f>
        <v>0</v>
      </c>
      <c r="J73" s="175">
        <f t="shared" si="3"/>
        <v>0</v>
      </c>
      <c r="K73" s="175">
        <f>(IF('Pre-Calculation'!$D$17="Type 4 a",MAX(SA,H73,1.05*Q73),IF('Pre-Calculation'!$D$17="Type 4 c",H73,IF('Pre-Calculation'!$D$17="Type 4 d",SA+H73,IF('Pre-Calculation'!$D$17="Type 4 e",MAX(SA,H73),IF('Pre-Calculation'!$D$17="Type 4 f",SA,IF('Pre-Calculation'!$D$17="Type 4 g",1000+H73,IF('Pre-Calculation'!$D$17="Type 4 h",SA+V73,IF('Pre-Calculation'!$D$17="Type 4 i",MAX(H73,Q73),IF('Pre-Calculation'!$D$17="Type 4 k",MAX(H73,1.01*Q73),IF('Pre-Calculation'!$D$17="Type 4 m",MAX(105%*Q73,SA+H73),IF('Pre-Calculation'!$D$17="Type 4 o",MAX(SA,105%*Q73)+V73+X73,IF('Pre-Calculation'!$D$17="Type 5",0)))))))))))))*IF(AND(A73&lt;Revival!$C$4,C73&gt;=Revival!$D$12),PUP,1)</f>
        <v>1404783.436</v>
      </c>
      <c r="L73" s="175">
        <f>H73-I73*(1+Tax)</f>
        <v>1404783.436</v>
      </c>
      <c r="M73" s="175">
        <f>L73*(1+'Pre-Calculation'!$E$28)*(1-'Pre-Calculation'!$E$29*(1+Tax))</f>
        <v>1411026.25</v>
      </c>
      <c r="N73" s="175">
        <f>M73+IF(MOD(A73,B73)=0,VLOOKUP(B73,'Pre-Calculation'!$H$1:$L$31,5,FALSE),0)*IF('Pre-Calculation'!$D$16="% OF FV",M73,IF(OR('Pre-Calculation'!$D$16="% OF AFV(24M)",'Pre-Calculation'!$D$16="% OF AFV(8Q)"),AVERAGE( $M50:$M73),IF('Pre-Calculation'!$D$16="% OF AFV(12M)",AVERAGE($M62:M73),IF('Pre-Calculation'!$D$16="% OF AFV(36M)",AVERAGE($M38:M73)))))</f>
        <v>1411026.25</v>
      </c>
      <c r="O73" s="175">
        <f t="shared" si="4"/>
        <v>1411026.25</v>
      </c>
      <c r="P73" s="175">
        <f>IF('Pre-Calculation'!$D$17="Type 4 a",MAX(SA,N73,1.05*Q73),IF('Pre-Calculation'!$D$17="Type 4 c",N73,IF('Pre-Calculation'!$D$17="Type 4 d",SA+N73,IF('Pre-Calculation'!$D$17="Type 4 e",MAX(SA,N73),IF('Pre-Calculation'!$D$17="Type 4 f",SA,IF('Pre-Calculation'!$D$17="Type 4 g",1000+N73,IF('Pre-Calculation'!$D$17="Type 4 h",SA+V73,IF('Pre-Calculation'!$D$17="Type 4 i",MAX(N73,Q73),IF('Pre-Calculation'!$D$17="Type 4 k",MAX(N73,1.01*Q73),IF('Pre-Calculation'!$D$17="Type 4 m",MAX(105%*Q73,SA+N73),IF('Pre-Calculation'!$D$17="Type 4 o",MAX(SA,105%*Q73)+V73+X73,IF('Pre-Calculation'!$D$17="Type 5",0))))))))))))</f>
        <v>1411026.25</v>
      </c>
      <c r="Q73" s="175">
        <f t="shared" si="5"/>
        <v>1000000</v>
      </c>
      <c r="R73" s="119">
        <f>L73*(1+GROWTH_RATE)*FMC</f>
        <v>1589.68462</v>
      </c>
      <c r="S73" s="112"/>
      <c r="T73" s="175">
        <f>-E73+IF(A72=INPUT!$C$11*12,N73,0)</f>
        <v>0</v>
      </c>
      <c r="U73" s="171"/>
      <c r="V73" s="179">
        <f t="array" ref="V73">NPV('Pre-Calculation'!$E$20,$E74:E$246)</f>
        <v>0</v>
      </c>
      <c r="W73" s="171">
        <f>10%*SA</f>
        <v>100000</v>
      </c>
      <c r="X73" s="179">
        <f t="array" ref="X73">NPV('Pre-Calculation'!$E$20,W74:W83)</f>
        <v>969592.8037</v>
      </c>
      <c r="Y73" s="12"/>
      <c r="Z73" s="12"/>
    </row>
    <row r="74" ht="15.75" customHeight="1">
      <c r="A74" s="171">
        <f t="shared" si="1"/>
        <v>128</v>
      </c>
      <c r="B74" s="171">
        <f t="shared" si="2"/>
        <v>11</v>
      </c>
      <c r="C74" s="176">
        <f>EDATE(RCD,A73)</f>
        <v>46417</v>
      </c>
      <c r="D74" s="171">
        <f>Age_At_Entry+'Cashflows_Bond Fund'!B74-1</f>
        <v>45</v>
      </c>
      <c r="E74" s="175">
        <f>IF(AND(C74&lt;=Last_Prem,MOD(A73,Mode)=0,C74&gt;INPUT!$C$13,A74&lt;=Revival!$C$11),Mod_Prem,0)</f>
        <v>0</v>
      </c>
      <c r="F74" s="177">
        <f>E74*VLOOKUP(B74,'Pre-Calculation'!$H$1:$I$31,2,FALSE)</f>
        <v>0</v>
      </c>
      <c r="G74" s="177">
        <f>IF(B74&lt;PT+1,VLOOKUP(B74,'Pre-Calculation'!$H$1:$L$32,3,FALSE)+VLOOKUP(B74,'Pre-Calculation'!$H$1:$L$32,4,FALSE)*'Pre-Calculation'!$D$7,0)</f>
        <v>0</v>
      </c>
      <c r="H74" s="175">
        <f>(E74-(F74+G74)*(1+Tax)+N73)</f>
        <v>1411026.25</v>
      </c>
      <c r="I74" s="175">
        <f>IF(B74&lt;PT+1,VLOOKUP(D74,'Pre-Calculation'!$N$3:$P$79,IF(INPUT!$C$4="M",2,3),FALSE)*(J74/1000)*(1/12),0)</f>
        <v>0</v>
      </c>
      <c r="J74" s="175">
        <f t="shared" si="3"/>
        <v>0</v>
      </c>
      <c r="K74" s="175">
        <f>(IF('Pre-Calculation'!$D$17="Type 4 a",MAX(SA,H74,1.05*Q74),IF('Pre-Calculation'!$D$17="Type 4 c",H74,IF('Pre-Calculation'!$D$17="Type 4 d",SA+H74,IF('Pre-Calculation'!$D$17="Type 4 e",MAX(SA,H74),IF('Pre-Calculation'!$D$17="Type 4 f",SA,IF('Pre-Calculation'!$D$17="Type 4 g",1000+H74,IF('Pre-Calculation'!$D$17="Type 4 h",SA+V74,IF('Pre-Calculation'!$D$17="Type 4 i",MAX(H74,Q74),IF('Pre-Calculation'!$D$17="Type 4 k",MAX(H74,1.01*Q74),IF('Pre-Calculation'!$D$17="Type 4 m",MAX(105%*Q74,SA+H74),IF('Pre-Calculation'!$D$17="Type 4 o",MAX(SA,105%*Q74)+V74+X74,IF('Pre-Calculation'!$D$17="Type 5",0)))))))))))))*IF(AND(A74&lt;Revival!$C$4,C74&gt;=Revival!$D$12),PUP,1)</f>
        <v>1411026.25</v>
      </c>
      <c r="L74" s="175">
        <f>H74-I74*(1+Tax)</f>
        <v>1411026.25</v>
      </c>
      <c r="M74" s="175">
        <f>L74*(1+'Pre-Calculation'!$E$28)*(1-'Pre-Calculation'!$E$29*(1+Tax))</f>
        <v>1417296.806</v>
      </c>
      <c r="N74" s="175">
        <f>M74+IF(MOD(A74,B74)=0,VLOOKUP(B74,'Pre-Calculation'!$H$1:$L$31,5,FALSE),0)*IF('Pre-Calculation'!$D$16="% OF FV",M74,IF(OR('Pre-Calculation'!$D$16="% OF AFV(24M)",'Pre-Calculation'!$D$16="% OF AFV(8Q)"),AVERAGE( $M51:$M74),IF('Pre-Calculation'!$D$16="% OF AFV(12M)",AVERAGE($M63:M74),IF('Pre-Calculation'!$D$16="% OF AFV(36M)",AVERAGE($M39:M74)))))</f>
        <v>1417296.806</v>
      </c>
      <c r="O74" s="175">
        <f t="shared" si="4"/>
        <v>1417296.806</v>
      </c>
      <c r="P74" s="175">
        <f>IF('Pre-Calculation'!$D$17="Type 4 a",MAX(SA,N74,1.05*Q74),IF('Pre-Calculation'!$D$17="Type 4 c",N74,IF('Pre-Calculation'!$D$17="Type 4 d",SA+N74,IF('Pre-Calculation'!$D$17="Type 4 e",MAX(SA,N74),IF('Pre-Calculation'!$D$17="Type 4 f",SA,IF('Pre-Calculation'!$D$17="Type 4 g",1000+N74,IF('Pre-Calculation'!$D$17="Type 4 h",SA+V74,IF('Pre-Calculation'!$D$17="Type 4 i",MAX(N74,Q74),IF('Pre-Calculation'!$D$17="Type 4 k",MAX(N74,1.01*Q74),IF('Pre-Calculation'!$D$17="Type 4 m",MAX(105%*Q74,SA+N74),IF('Pre-Calculation'!$D$17="Type 4 o",MAX(SA,105%*Q74)+V74+X74,IF('Pre-Calculation'!$D$17="Type 5",0))))))))))))</f>
        <v>1417296.806</v>
      </c>
      <c r="Q74" s="175">
        <f t="shared" si="5"/>
        <v>1000000</v>
      </c>
      <c r="R74" s="119">
        <f>L74*(1+GROWTH_RATE)*FMC</f>
        <v>1596.749129</v>
      </c>
      <c r="S74" s="112"/>
      <c r="T74" s="175">
        <f>-E74+IF(A73=INPUT!$C$11*12,N74,0)</f>
        <v>0</v>
      </c>
      <c r="U74" s="171"/>
      <c r="V74" s="179">
        <f t="array" ref="V74">NPV('Pre-Calculation'!$E$20,$E75:E$246)</f>
        <v>0</v>
      </c>
      <c r="W74" s="171">
        <f>10%*SA</f>
        <v>100000</v>
      </c>
      <c r="X74" s="179">
        <f t="array" ref="X74">NPV('Pre-Calculation'!$E$20,W75:W84)</f>
        <v>969592.8037</v>
      </c>
      <c r="Y74" s="12"/>
      <c r="Z74" s="12"/>
    </row>
    <row r="75" ht="15.75" customHeight="1">
      <c r="A75" s="171">
        <f t="shared" si="1"/>
        <v>129</v>
      </c>
      <c r="B75" s="171">
        <f t="shared" si="2"/>
        <v>11</v>
      </c>
      <c r="C75" s="176">
        <f>EDATE(RCD,A74)</f>
        <v>46446</v>
      </c>
      <c r="D75" s="171">
        <f>Age_At_Entry+'Cashflows_Bond Fund'!B75-1</f>
        <v>45</v>
      </c>
      <c r="E75" s="175">
        <f>IF(AND(C75&lt;=Last_Prem,MOD(A74,Mode)=0,C75&gt;INPUT!$C$13,A75&lt;=Revival!$C$11),Mod_Prem,0)</f>
        <v>0</v>
      </c>
      <c r="F75" s="177">
        <f>E75*VLOOKUP(B75,'Pre-Calculation'!$H$1:$I$31,2,FALSE)</f>
        <v>0</v>
      </c>
      <c r="G75" s="177">
        <f>IF(B75&lt;PT+1,VLOOKUP(B75,'Pre-Calculation'!$H$1:$L$32,3,FALSE)+VLOOKUP(B75,'Pre-Calculation'!$H$1:$L$32,4,FALSE)*'Pre-Calculation'!$D$7,0)</f>
        <v>0</v>
      </c>
      <c r="H75" s="175">
        <f>(E75-(F75+G75)*(1+Tax)+N74)</f>
        <v>1417296.806</v>
      </c>
      <c r="I75" s="175">
        <f>IF(B75&lt;PT+1,VLOOKUP(D75,'Pre-Calculation'!$N$3:$P$79,IF(INPUT!$C$4="M",2,3),FALSE)*(J75/1000)*(1/12),0)</f>
        <v>0</v>
      </c>
      <c r="J75" s="175">
        <f t="shared" si="3"/>
        <v>0</v>
      </c>
      <c r="K75" s="175">
        <f>(IF('Pre-Calculation'!$D$17="Type 4 a",MAX(SA,H75,1.05*Q75),IF('Pre-Calculation'!$D$17="Type 4 c",H75,IF('Pre-Calculation'!$D$17="Type 4 d",SA+H75,IF('Pre-Calculation'!$D$17="Type 4 e",MAX(SA,H75),IF('Pre-Calculation'!$D$17="Type 4 f",SA,IF('Pre-Calculation'!$D$17="Type 4 g",1000+H75,IF('Pre-Calculation'!$D$17="Type 4 h",SA+V75,IF('Pre-Calculation'!$D$17="Type 4 i",MAX(H75,Q75),IF('Pre-Calculation'!$D$17="Type 4 k",MAX(H75,1.01*Q75),IF('Pre-Calculation'!$D$17="Type 4 m",MAX(105%*Q75,SA+H75),IF('Pre-Calculation'!$D$17="Type 4 o",MAX(SA,105%*Q75)+V75+X75,IF('Pre-Calculation'!$D$17="Type 5",0)))))))))))))*IF(AND(A75&lt;Revival!$C$4,C75&gt;=Revival!$D$12),PUP,1)</f>
        <v>1417296.806</v>
      </c>
      <c r="L75" s="175">
        <f>H75-I75*(1+Tax)</f>
        <v>1417296.806</v>
      </c>
      <c r="M75" s="175">
        <f>L75*(1+'Pre-Calculation'!$E$28)*(1-'Pre-Calculation'!$E$29*(1+Tax))</f>
        <v>1423595.229</v>
      </c>
      <c r="N75" s="175">
        <f>M75+IF(MOD(A75,B75)=0,VLOOKUP(B75,'Pre-Calculation'!$H$1:$L$31,5,FALSE),0)*IF('Pre-Calculation'!$D$16="% OF FV",M75,IF(OR('Pre-Calculation'!$D$16="% OF AFV(24M)",'Pre-Calculation'!$D$16="% OF AFV(8Q)"),AVERAGE( $M52:$M75),IF('Pre-Calculation'!$D$16="% OF AFV(12M)",AVERAGE($M64:M75),IF('Pre-Calculation'!$D$16="% OF AFV(36M)",AVERAGE($M40:M75)))))</f>
        <v>1423595.229</v>
      </c>
      <c r="O75" s="175">
        <f t="shared" si="4"/>
        <v>1423595.229</v>
      </c>
      <c r="P75" s="175">
        <f>IF('Pre-Calculation'!$D$17="Type 4 a",MAX(SA,N75,1.05*Q75),IF('Pre-Calculation'!$D$17="Type 4 c",N75,IF('Pre-Calculation'!$D$17="Type 4 d",SA+N75,IF('Pre-Calculation'!$D$17="Type 4 e",MAX(SA,N75),IF('Pre-Calculation'!$D$17="Type 4 f",SA,IF('Pre-Calculation'!$D$17="Type 4 g",1000+N75,IF('Pre-Calculation'!$D$17="Type 4 h",SA+V75,IF('Pre-Calculation'!$D$17="Type 4 i",MAX(N75,Q75),IF('Pre-Calculation'!$D$17="Type 4 k",MAX(N75,1.01*Q75),IF('Pre-Calculation'!$D$17="Type 4 m",MAX(105%*Q75,SA+N75),IF('Pre-Calculation'!$D$17="Type 4 o",MAX(SA,105%*Q75)+V75+X75,IF('Pre-Calculation'!$D$17="Type 5",0))))))))))))</f>
        <v>1423595.229</v>
      </c>
      <c r="Q75" s="175">
        <f t="shared" si="5"/>
        <v>1000000</v>
      </c>
      <c r="R75" s="119">
        <f>L75*(1+GROWTH_RATE)*FMC</f>
        <v>1603.845032</v>
      </c>
      <c r="S75" s="112"/>
      <c r="T75" s="175">
        <f>-E75+IF(A74=INPUT!$C$11*12,N75,0)</f>
        <v>0</v>
      </c>
      <c r="U75" s="171"/>
      <c r="V75" s="179">
        <f t="array" ref="V75">NPV('Pre-Calculation'!$E$20,$E76:E$246)</f>
        <v>0</v>
      </c>
      <c r="W75" s="171">
        <f>10%*SA</f>
        <v>100000</v>
      </c>
      <c r="X75" s="179">
        <f t="array" ref="X75">NPV('Pre-Calculation'!$E$20,W76:W85)</f>
        <v>969592.8037</v>
      </c>
      <c r="Y75" s="12"/>
      <c r="Z75" s="12"/>
    </row>
    <row r="76" ht="15.75" customHeight="1">
      <c r="A76" s="171">
        <f t="shared" si="1"/>
        <v>130</v>
      </c>
      <c r="B76" s="171">
        <f t="shared" si="2"/>
        <v>11</v>
      </c>
      <c r="C76" s="176">
        <f>EDATE(RCD,A75)</f>
        <v>46476</v>
      </c>
      <c r="D76" s="171">
        <f>Age_At_Entry+'Cashflows_Bond Fund'!B76-1</f>
        <v>45</v>
      </c>
      <c r="E76" s="175">
        <f>IF(AND(C76&lt;=Last_Prem,MOD(A75,Mode)=0,C76&gt;INPUT!$C$13,A76&lt;=Revival!$C$11),Mod_Prem,0)</f>
        <v>0</v>
      </c>
      <c r="F76" s="177">
        <f>E76*VLOOKUP(B76,'Pre-Calculation'!$H$1:$I$31,2,FALSE)</f>
        <v>0</v>
      </c>
      <c r="G76" s="177">
        <f>IF(B76&lt;PT+1,VLOOKUP(B76,'Pre-Calculation'!$H$1:$L$32,3,FALSE)+VLOOKUP(B76,'Pre-Calculation'!$H$1:$L$32,4,FALSE)*'Pre-Calculation'!$D$7,0)</f>
        <v>0</v>
      </c>
      <c r="H76" s="175">
        <f>(E76-(F76+G76)*(1+Tax)+N75)</f>
        <v>1423595.229</v>
      </c>
      <c r="I76" s="175">
        <f>IF(B76&lt;PT+1,VLOOKUP(D76,'Pre-Calculation'!$N$3:$P$79,IF(INPUT!$C$4="M",2,3),FALSE)*(J76/1000)*(1/12),0)</f>
        <v>0</v>
      </c>
      <c r="J76" s="175">
        <f t="shared" si="3"/>
        <v>0</v>
      </c>
      <c r="K76" s="175">
        <f>(IF('Pre-Calculation'!$D$17="Type 4 a",MAX(SA,H76,1.05*Q76),IF('Pre-Calculation'!$D$17="Type 4 c",H76,IF('Pre-Calculation'!$D$17="Type 4 d",SA+H76,IF('Pre-Calculation'!$D$17="Type 4 e",MAX(SA,H76),IF('Pre-Calculation'!$D$17="Type 4 f",SA,IF('Pre-Calculation'!$D$17="Type 4 g",1000+H76,IF('Pre-Calculation'!$D$17="Type 4 h",SA+V76,IF('Pre-Calculation'!$D$17="Type 4 i",MAX(H76,Q76),IF('Pre-Calculation'!$D$17="Type 4 k",MAX(H76,1.01*Q76),IF('Pre-Calculation'!$D$17="Type 4 m",MAX(105%*Q76,SA+H76),IF('Pre-Calculation'!$D$17="Type 4 o",MAX(SA,105%*Q76)+V76+X76,IF('Pre-Calculation'!$D$17="Type 5",0)))))))))))))*IF(AND(A76&lt;Revival!$C$4,C76&gt;=Revival!$D$12),PUP,1)</f>
        <v>1423595.229</v>
      </c>
      <c r="L76" s="175">
        <f>H76-I76*(1+Tax)</f>
        <v>1423595.229</v>
      </c>
      <c r="M76" s="175">
        <f>L76*(1+'Pre-Calculation'!$E$28)*(1-'Pre-Calculation'!$E$29*(1+Tax))</f>
        <v>1429921.642</v>
      </c>
      <c r="N76" s="175">
        <f>M76+IF(MOD(A76,B76)=0,VLOOKUP(B76,'Pre-Calculation'!$H$1:$L$31,5,FALSE),0)*IF('Pre-Calculation'!$D$16="% OF FV",M76,IF(OR('Pre-Calculation'!$D$16="% OF AFV(24M)",'Pre-Calculation'!$D$16="% OF AFV(8Q)"),AVERAGE( $M53:$M76),IF('Pre-Calculation'!$D$16="% OF AFV(12M)",AVERAGE($M65:M76),IF('Pre-Calculation'!$D$16="% OF AFV(36M)",AVERAGE($M41:M76)))))</f>
        <v>1429921.642</v>
      </c>
      <c r="O76" s="175">
        <f t="shared" si="4"/>
        <v>1429921.642</v>
      </c>
      <c r="P76" s="175">
        <f>IF('Pre-Calculation'!$D$17="Type 4 a",MAX(SA,N76,1.05*Q76),IF('Pre-Calculation'!$D$17="Type 4 c",N76,IF('Pre-Calculation'!$D$17="Type 4 d",SA+N76,IF('Pre-Calculation'!$D$17="Type 4 e",MAX(SA,N76),IF('Pre-Calculation'!$D$17="Type 4 f",SA,IF('Pre-Calculation'!$D$17="Type 4 g",1000+N76,IF('Pre-Calculation'!$D$17="Type 4 h",SA+V76,IF('Pre-Calculation'!$D$17="Type 4 i",MAX(N76,Q76),IF('Pre-Calculation'!$D$17="Type 4 k",MAX(N76,1.01*Q76),IF('Pre-Calculation'!$D$17="Type 4 m",MAX(105%*Q76,SA+N76),IF('Pre-Calculation'!$D$17="Type 4 o",MAX(SA,105%*Q76)+V76+X76,IF('Pre-Calculation'!$D$17="Type 5",0))))))))))))</f>
        <v>1429921.642</v>
      </c>
      <c r="Q76" s="175">
        <f t="shared" si="5"/>
        <v>1000000</v>
      </c>
      <c r="R76" s="119">
        <f>L76*(1+GROWTH_RATE)*FMC</f>
        <v>1610.972469</v>
      </c>
      <c r="S76" s="112"/>
      <c r="T76" s="175">
        <f>-E76+IF(A75=INPUT!$C$11*12,N76,0)</f>
        <v>0</v>
      </c>
      <c r="U76" s="171"/>
      <c r="V76" s="179">
        <f t="array" ref="V76">NPV('Pre-Calculation'!$E$20,$E77:E$246)</f>
        <v>0</v>
      </c>
      <c r="W76" s="171">
        <f>10%*SA</f>
        <v>100000</v>
      </c>
      <c r="X76" s="179">
        <f t="array" ref="X76">NPV('Pre-Calculation'!$E$20,W77:W86)</f>
        <v>969592.8037</v>
      </c>
      <c r="Y76" s="12"/>
      <c r="Z76" s="12"/>
    </row>
    <row r="77" ht="15.75" customHeight="1">
      <c r="A77" s="171">
        <f t="shared" si="1"/>
        <v>131</v>
      </c>
      <c r="B77" s="171">
        <f t="shared" si="2"/>
        <v>11</v>
      </c>
      <c r="C77" s="176">
        <f>EDATE(RCD,A76)</f>
        <v>46507</v>
      </c>
      <c r="D77" s="171">
        <f>Age_At_Entry+'Cashflows_Bond Fund'!B77-1</f>
        <v>45</v>
      </c>
      <c r="E77" s="175">
        <f>IF(AND(C77&lt;=Last_Prem,MOD(A76,Mode)=0,C77&gt;INPUT!$C$13,A77&lt;=Revival!$C$11),Mod_Prem,0)</f>
        <v>0</v>
      </c>
      <c r="F77" s="177">
        <f>E77*VLOOKUP(B77,'Pre-Calculation'!$H$1:$I$31,2,FALSE)</f>
        <v>0</v>
      </c>
      <c r="G77" s="177">
        <f>IF(B77&lt;PT+1,VLOOKUP(B77,'Pre-Calculation'!$H$1:$L$32,3,FALSE)+VLOOKUP(B77,'Pre-Calculation'!$H$1:$L$32,4,FALSE)*'Pre-Calculation'!$D$7,0)</f>
        <v>0</v>
      </c>
      <c r="H77" s="175">
        <f>(E77-(F77+G77)*(1+Tax)+N76)</f>
        <v>1429921.642</v>
      </c>
      <c r="I77" s="175">
        <f>IF(B77&lt;PT+1,VLOOKUP(D77,'Pre-Calculation'!$N$3:$P$79,IF(INPUT!$C$4="M",2,3),FALSE)*(J77/1000)*(1/12),0)</f>
        <v>0</v>
      </c>
      <c r="J77" s="175">
        <f t="shared" si="3"/>
        <v>0</v>
      </c>
      <c r="K77" s="175">
        <f>(IF('Pre-Calculation'!$D$17="Type 4 a",MAX(SA,H77,1.05*Q77),IF('Pre-Calculation'!$D$17="Type 4 c",H77,IF('Pre-Calculation'!$D$17="Type 4 d",SA+H77,IF('Pre-Calculation'!$D$17="Type 4 e",MAX(SA,H77),IF('Pre-Calculation'!$D$17="Type 4 f",SA,IF('Pre-Calculation'!$D$17="Type 4 g",1000+H77,IF('Pre-Calculation'!$D$17="Type 4 h",SA+V77,IF('Pre-Calculation'!$D$17="Type 4 i",MAX(H77,Q77),IF('Pre-Calculation'!$D$17="Type 4 k",MAX(H77,1.01*Q77),IF('Pre-Calculation'!$D$17="Type 4 m",MAX(105%*Q77,SA+H77),IF('Pre-Calculation'!$D$17="Type 4 o",MAX(SA,105%*Q77)+V77+X77,IF('Pre-Calculation'!$D$17="Type 5",0)))))))))))))*IF(AND(A77&lt;Revival!$C$4,C77&gt;=Revival!$D$12),PUP,1)</f>
        <v>1429921.642</v>
      </c>
      <c r="L77" s="175">
        <f>H77-I77*(1+Tax)</f>
        <v>1429921.642</v>
      </c>
      <c r="M77" s="175">
        <f>L77*(1+'Pre-Calculation'!$E$28)*(1-'Pre-Calculation'!$E$29*(1+Tax))</f>
        <v>1436276.169</v>
      </c>
      <c r="N77" s="175">
        <f>M77+IF(MOD(A77,B77)=0,VLOOKUP(B77,'Pre-Calculation'!$H$1:$L$31,5,FALSE),0)*IF('Pre-Calculation'!$D$16="% OF FV",M77,IF(OR('Pre-Calculation'!$D$16="% OF AFV(24M)",'Pre-Calculation'!$D$16="% OF AFV(8Q)"),AVERAGE( $M54:$M77),IF('Pre-Calculation'!$D$16="% OF AFV(12M)",AVERAGE($M66:M77),IF('Pre-Calculation'!$D$16="% OF AFV(36M)",AVERAGE($M42:M77)))))</f>
        <v>1436276.169</v>
      </c>
      <c r="O77" s="175">
        <f t="shared" si="4"/>
        <v>1436276.169</v>
      </c>
      <c r="P77" s="175">
        <f>IF('Pre-Calculation'!$D$17="Type 4 a",MAX(SA,N77,1.05*Q77),IF('Pre-Calculation'!$D$17="Type 4 c",N77,IF('Pre-Calculation'!$D$17="Type 4 d",SA+N77,IF('Pre-Calculation'!$D$17="Type 4 e",MAX(SA,N77),IF('Pre-Calculation'!$D$17="Type 4 f",SA,IF('Pre-Calculation'!$D$17="Type 4 g",1000+N77,IF('Pre-Calculation'!$D$17="Type 4 h",SA+V77,IF('Pre-Calculation'!$D$17="Type 4 i",MAX(N77,Q77),IF('Pre-Calculation'!$D$17="Type 4 k",MAX(N77,1.01*Q77),IF('Pre-Calculation'!$D$17="Type 4 m",MAX(105%*Q77,SA+N77),IF('Pre-Calculation'!$D$17="Type 4 o",MAX(SA,105%*Q77)+V77+X77,IF('Pre-Calculation'!$D$17="Type 5",0))))))))))))</f>
        <v>1436276.169</v>
      </c>
      <c r="Q77" s="175">
        <f t="shared" si="5"/>
        <v>1000000</v>
      </c>
      <c r="R77" s="119">
        <f>L77*(1+GROWTH_RATE)*FMC</f>
        <v>1618.13158</v>
      </c>
      <c r="S77" s="112"/>
      <c r="T77" s="175">
        <f>-E77+IF(A76=INPUT!$C$11*12,N77,0)</f>
        <v>0</v>
      </c>
      <c r="U77" s="171"/>
      <c r="V77" s="179">
        <f t="array" ref="V77">NPV('Pre-Calculation'!$E$20,$E78:E$246)</f>
        <v>0</v>
      </c>
      <c r="W77" s="171">
        <f>10%*SA</f>
        <v>100000</v>
      </c>
      <c r="X77" s="179">
        <f t="array" ref="X77">NPV('Pre-Calculation'!$E$20,W78:W87)</f>
        <v>969592.8037</v>
      </c>
      <c r="Y77" s="12"/>
      <c r="Z77" s="12"/>
    </row>
    <row r="78" ht="15.75" customHeight="1">
      <c r="A78" s="171">
        <f t="shared" si="1"/>
        <v>132</v>
      </c>
      <c r="B78" s="171">
        <f t="shared" si="2"/>
        <v>11</v>
      </c>
      <c r="C78" s="176">
        <f>EDATE(RCD,A77)</f>
        <v>46537</v>
      </c>
      <c r="D78" s="171">
        <f>Age_At_Entry+'Cashflows_Bond Fund'!B78-1</f>
        <v>45</v>
      </c>
      <c r="E78" s="175">
        <f>IF(AND(C78&lt;=Last_Prem,MOD(A77,Mode)=0,C78&gt;INPUT!$C$13,A78&lt;=Revival!$C$11),Mod_Prem,0)</f>
        <v>0</v>
      </c>
      <c r="F78" s="177">
        <f>E78*VLOOKUP(B78,'Pre-Calculation'!$H$1:$I$31,2,FALSE)</f>
        <v>0</v>
      </c>
      <c r="G78" s="177">
        <f>IF(B78&lt;PT+1,VLOOKUP(B78,'Pre-Calculation'!$H$1:$L$32,3,FALSE)+VLOOKUP(B78,'Pre-Calculation'!$H$1:$L$32,4,FALSE)*'Pre-Calculation'!$D$7,0)</f>
        <v>0</v>
      </c>
      <c r="H78" s="175">
        <f>(E78-(F78+G78)*(1+Tax)+N77)</f>
        <v>1436276.169</v>
      </c>
      <c r="I78" s="175">
        <f>IF(B78&lt;PT+1,VLOOKUP(D78,'Pre-Calculation'!$N$3:$P$79,IF(INPUT!$C$4="M",2,3),FALSE)*(J78/1000)*(1/12),0)</f>
        <v>0</v>
      </c>
      <c r="J78" s="175">
        <f t="shared" si="3"/>
        <v>0</v>
      </c>
      <c r="K78" s="175">
        <f>(IF('Pre-Calculation'!$D$17="Type 4 a",MAX(SA,H78,1.05*Q78),IF('Pre-Calculation'!$D$17="Type 4 c",H78,IF('Pre-Calculation'!$D$17="Type 4 d",SA+H78,IF('Pre-Calculation'!$D$17="Type 4 e",MAX(SA,H78),IF('Pre-Calculation'!$D$17="Type 4 f",SA,IF('Pre-Calculation'!$D$17="Type 4 g",1000+H78,IF('Pre-Calculation'!$D$17="Type 4 h",SA+V78,IF('Pre-Calculation'!$D$17="Type 4 i",MAX(H78,Q78),IF('Pre-Calculation'!$D$17="Type 4 k",MAX(H78,1.01*Q78),IF('Pre-Calculation'!$D$17="Type 4 m",MAX(105%*Q78,SA+H78),IF('Pre-Calculation'!$D$17="Type 4 o",MAX(SA,105%*Q78)+V78+X78,IF('Pre-Calculation'!$D$17="Type 5",0)))))))))))))*IF(AND(A78&lt;Revival!$C$4,C78&gt;=Revival!$D$12),PUP,1)</f>
        <v>1436276.169</v>
      </c>
      <c r="L78" s="175">
        <f>H78-I78*(1+Tax)</f>
        <v>1436276.169</v>
      </c>
      <c r="M78" s="175">
        <f>L78*(1+'Pre-Calculation'!$E$28)*(1-'Pre-Calculation'!$E$29*(1+Tax))</f>
        <v>1442658.935</v>
      </c>
      <c r="N78" s="175">
        <f>M78+IF(MOD(A78,B78)=0,VLOOKUP(B78,'Pre-Calculation'!$H$1:$L$31,5,FALSE),0)*IF('Pre-Calculation'!$D$16="% OF FV",M78,IF(OR('Pre-Calculation'!$D$16="% OF AFV(24M)",'Pre-Calculation'!$D$16="% OF AFV(8Q)"),AVERAGE( $M55:$M78),IF('Pre-Calculation'!$D$16="% OF AFV(12M)",AVERAGE($M67:M78),IF('Pre-Calculation'!$D$16="% OF AFV(36M)",AVERAGE($M43:M78)))))</f>
        <v>1442658.935</v>
      </c>
      <c r="O78" s="175">
        <f t="shared" si="4"/>
        <v>1442658.935</v>
      </c>
      <c r="P78" s="175">
        <f>IF('Pre-Calculation'!$D$17="Type 4 a",MAX(SA,N78,1.05*Q78),IF('Pre-Calculation'!$D$17="Type 4 c",N78,IF('Pre-Calculation'!$D$17="Type 4 d",SA+N78,IF('Pre-Calculation'!$D$17="Type 4 e",MAX(SA,N78),IF('Pre-Calculation'!$D$17="Type 4 f",SA,IF('Pre-Calculation'!$D$17="Type 4 g",1000+N78,IF('Pre-Calculation'!$D$17="Type 4 h",SA+V78,IF('Pre-Calculation'!$D$17="Type 4 i",MAX(N78,Q78),IF('Pre-Calculation'!$D$17="Type 4 k",MAX(N78,1.01*Q78),IF('Pre-Calculation'!$D$17="Type 4 m",MAX(105%*Q78,SA+N78),IF('Pre-Calculation'!$D$17="Type 4 o",MAX(SA,105%*Q78)+V78+X78,IF('Pre-Calculation'!$D$17="Type 5",0))))))))))))</f>
        <v>1442658.935</v>
      </c>
      <c r="Q78" s="175">
        <f t="shared" si="5"/>
        <v>1000000</v>
      </c>
      <c r="R78" s="119">
        <f>L78*(1+GROWTH_RATE)*FMC</f>
        <v>1625.322507</v>
      </c>
      <c r="S78" s="112"/>
      <c r="T78" s="175">
        <f>-E78+IF(A77=INPUT!$C$11*12,N78,0)</f>
        <v>0</v>
      </c>
      <c r="U78" s="171"/>
      <c r="V78" s="179">
        <f t="array" ref="V78">NPV('Pre-Calculation'!$E$20,$E79:E$246)</f>
        <v>0</v>
      </c>
      <c r="W78" s="171">
        <f>10%*SA</f>
        <v>100000</v>
      </c>
      <c r="X78" s="179">
        <f t="array" ref="X78">NPV('Pre-Calculation'!$E$20,W79:W88)</f>
        <v>969592.8037</v>
      </c>
      <c r="Y78" s="12"/>
      <c r="Z78" s="12"/>
    </row>
    <row r="79" ht="15.75" customHeight="1">
      <c r="A79" s="171">
        <f t="shared" si="1"/>
        <v>133</v>
      </c>
      <c r="B79" s="171">
        <f t="shared" si="2"/>
        <v>12</v>
      </c>
      <c r="C79" s="176">
        <f>EDATE(RCD,A78)</f>
        <v>46568</v>
      </c>
      <c r="D79" s="171">
        <f>Age_At_Entry+'Cashflows_Bond Fund'!B79-1</f>
        <v>46</v>
      </c>
      <c r="E79" s="175">
        <f>IF(AND(C79&lt;=Last_Prem,MOD(A78,Mode)=0,C79&gt;INPUT!$C$13,A79&lt;=Revival!$C$11),Mod_Prem,0)</f>
        <v>0</v>
      </c>
      <c r="F79" s="177">
        <f>E79*VLOOKUP(B79,'Pre-Calculation'!$H$1:$I$31,2,FALSE)</f>
        <v>0</v>
      </c>
      <c r="G79" s="177">
        <f>IF(B79&lt;PT+1,VLOOKUP(B79,'Pre-Calculation'!$H$1:$L$32,3,FALSE)+VLOOKUP(B79,'Pre-Calculation'!$H$1:$L$32,4,FALSE)*'Pre-Calculation'!$D$7,0)</f>
        <v>0</v>
      </c>
      <c r="H79" s="175">
        <f>(E79-(F79+G79)*(1+Tax)+N78)</f>
        <v>1442658.935</v>
      </c>
      <c r="I79" s="175">
        <f>IF(B79&lt;PT+1,VLOOKUP(D79,'Pre-Calculation'!$N$3:$P$79,IF(INPUT!$C$4="M",2,3),FALSE)*(J79/1000)*(1/12),0)</f>
        <v>0</v>
      </c>
      <c r="J79" s="175">
        <f t="shared" si="3"/>
        <v>0</v>
      </c>
      <c r="K79" s="175">
        <f>(IF('Pre-Calculation'!$D$17="Type 4 a",MAX(SA,H79,1.05*Q79),IF('Pre-Calculation'!$D$17="Type 4 c",H79,IF('Pre-Calculation'!$D$17="Type 4 d",SA+H79,IF('Pre-Calculation'!$D$17="Type 4 e",MAX(SA,H79),IF('Pre-Calculation'!$D$17="Type 4 f",SA,IF('Pre-Calculation'!$D$17="Type 4 g",1000+H79,IF('Pre-Calculation'!$D$17="Type 4 h",SA+V79,IF('Pre-Calculation'!$D$17="Type 4 i",MAX(H79,Q79),IF('Pre-Calculation'!$D$17="Type 4 k",MAX(H79,1.01*Q79),IF('Pre-Calculation'!$D$17="Type 4 m",MAX(105%*Q79,SA+H79),IF('Pre-Calculation'!$D$17="Type 4 o",MAX(SA,105%*Q79)+V79+X79,IF('Pre-Calculation'!$D$17="Type 5",0)))))))))))))*IF(AND(A79&lt;Revival!$C$4,C79&gt;=Revival!$D$12),PUP,1)</f>
        <v>1442658.935</v>
      </c>
      <c r="L79" s="175">
        <f>H79-I79*(1+Tax)</f>
        <v>1442658.935</v>
      </c>
      <c r="M79" s="175">
        <f>L79*(1+'Pre-Calculation'!$E$28)*(1-'Pre-Calculation'!$E$29*(1+Tax))</f>
        <v>1449070.066</v>
      </c>
      <c r="N79" s="175">
        <f>M79+IF(MOD(A79,B79)=0,VLOOKUP(B79,'Pre-Calculation'!$H$1:$L$31,5,FALSE),0)*IF('Pre-Calculation'!$D$16="% OF FV",M79,IF(OR('Pre-Calculation'!$D$16="% OF AFV(24M)",'Pre-Calculation'!$D$16="% OF AFV(8Q)"),AVERAGE( $M56:$M79),IF('Pre-Calculation'!$D$16="% OF AFV(12M)",AVERAGE($M68:M79),IF('Pre-Calculation'!$D$16="% OF AFV(36M)",AVERAGE($M44:M79)))))</f>
        <v>1449070.066</v>
      </c>
      <c r="O79" s="175">
        <f t="shared" si="4"/>
        <v>1449070.066</v>
      </c>
      <c r="P79" s="175">
        <f>IF('Pre-Calculation'!$D$17="Type 4 a",MAX(SA,N79,1.05*Q79),IF('Pre-Calculation'!$D$17="Type 4 c",N79,IF('Pre-Calculation'!$D$17="Type 4 d",SA+N79,IF('Pre-Calculation'!$D$17="Type 4 e",MAX(SA,N79),IF('Pre-Calculation'!$D$17="Type 4 f",SA,IF('Pre-Calculation'!$D$17="Type 4 g",1000+N79,IF('Pre-Calculation'!$D$17="Type 4 h",SA+V79,IF('Pre-Calculation'!$D$17="Type 4 i",MAX(N79,Q79),IF('Pre-Calculation'!$D$17="Type 4 k",MAX(N79,1.01*Q79),IF('Pre-Calculation'!$D$17="Type 4 m",MAX(105%*Q79,SA+N79),IF('Pre-Calculation'!$D$17="Type 4 o",MAX(SA,105%*Q79)+V79+X79,IF('Pre-Calculation'!$D$17="Type 5",0))))))))))))</f>
        <v>1449070.066</v>
      </c>
      <c r="Q79" s="175">
        <f t="shared" si="5"/>
        <v>1000000</v>
      </c>
      <c r="R79" s="119">
        <f>L79*(1+GROWTH_RATE)*FMC</f>
        <v>1632.545389</v>
      </c>
      <c r="S79" s="112"/>
      <c r="T79" s="175">
        <f>-E79+IF(A78=INPUT!$C$11*12,N79,0)</f>
        <v>0</v>
      </c>
      <c r="U79" s="171"/>
      <c r="V79" s="179">
        <f t="array" ref="V79">NPV('Pre-Calculation'!$E$20,$E80:E$246)</f>
        <v>0</v>
      </c>
      <c r="W79" s="171">
        <f>10%*SA</f>
        <v>100000</v>
      </c>
      <c r="X79" s="179">
        <f t="array" ref="X79">NPV('Pre-Calculation'!$E$20,W80:W89)</f>
        <v>969592.8037</v>
      </c>
      <c r="Y79" s="12"/>
      <c r="Z79" s="12"/>
    </row>
    <row r="80" ht="15.75" customHeight="1">
      <c r="A80" s="171">
        <f t="shared" si="1"/>
        <v>134</v>
      </c>
      <c r="B80" s="171">
        <f t="shared" si="2"/>
        <v>12</v>
      </c>
      <c r="C80" s="176">
        <f>EDATE(RCD,A79)</f>
        <v>46598</v>
      </c>
      <c r="D80" s="171">
        <f>Age_At_Entry+'Cashflows_Bond Fund'!B80-1</f>
        <v>46</v>
      </c>
      <c r="E80" s="175">
        <f>IF(AND(C80&lt;=Last_Prem,MOD(A79,Mode)=0,C80&gt;INPUT!$C$13,A80&lt;=Revival!$C$11),Mod_Prem,0)</f>
        <v>0</v>
      </c>
      <c r="F80" s="177">
        <f>E80*VLOOKUP(B80,'Pre-Calculation'!$H$1:$I$31,2,FALSE)</f>
        <v>0</v>
      </c>
      <c r="G80" s="177">
        <f>IF(B80&lt;PT+1,VLOOKUP(B80,'Pre-Calculation'!$H$1:$L$32,3,FALSE)+VLOOKUP(B80,'Pre-Calculation'!$H$1:$L$32,4,FALSE)*'Pre-Calculation'!$D$7,0)</f>
        <v>0</v>
      </c>
      <c r="H80" s="175">
        <f>(E80-(F80+G80)*(1+Tax)+N79)</f>
        <v>1449070.066</v>
      </c>
      <c r="I80" s="175">
        <f>IF(B80&lt;PT+1,VLOOKUP(D80,'Pre-Calculation'!$N$3:$P$79,IF(INPUT!$C$4="M",2,3),FALSE)*(J80/1000)*(1/12),0)</f>
        <v>0</v>
      </c>
      <c r="J80" s="175">
        <f t="shared" si="3"/>
        <v>0</v>
      </c>
      <c r="K80" s="175">
        <f>(IF('Pre-Calculation'!$D$17="Type 4 a",MAX(SA,H80,1.05*Q80),IF('Pre-Calculation'!$D$17="Type 4 c",H80,IF('Pre-Calculation'!$D$17="Type 4 d",SA+H80,IF('Pre-Calculation'!$D$17="Type 4 e",MAX(SA,H80),IF('Pre-Calculation'!$D$17="Type 4 f",SA,IF('Pre-Calculation'!$D$17="Type 4 g",1000+H80,IF('Pre-Calculation'!$D$17="Type 4 h",SA+V80,IF('Pre-Calculation'!$D$17="Type 4 i",MAX(H80,Q80),IF('Pre-Calculation'!$D$17="Type 4 k",MAX(H80,1.01*Q80),IF('Pre-Calculation'!$D$17="Type 4 m",MAX(105%*Q80,SA+H80),IF('Pre-Calculation'!$D$17="Type 4 o",MAX(SA,105%*Q80)+V80+X80,IF('Pre-Calculation'!$D$17="Type 5",0)))))))))))))*IF(AND(A80&lt;Revival!$C$4,C80&gt;=Revival!$D$12),PUP,1)</f>
        <v>1449070.066</v>
      </c>
      <c r="L80" s="175">
        <f>H80-I80*(1+Tax)</f>
        <v>1449070.066</v>
      </c>
      <c r="M80" s="175">
        <f>L80*(1+'Pre-Calculation'!$E$28)*(1-'Pre-Calculation'!$E$29*(1+Tax))</f>
        <v>1455509.688</v>
      </c>
      <c r="N80" s="175">
        <f>M80+IF(MOD(A80,B80)=0,VLOOKUP(B80,'Pre-Calculation'!$H$1:$L$31,5,FALSE),0)*IF('Pre-Calculation'!$D$16="% OF FV",M80,IF(OR('Pre-Calculation'!$D$16="% OF AFV(24M)",'Pre-Calculation'!$D$16="% OF AFV(8Q)"),AVERAGE( $M57:$M80),IF('Pre-Calculation'!$D$16="% OF AFV(12M)",AVERAGE($M69:M80),IF('Pre-Calculation'!$D$16="% OF AFV(36M)",AVERAGE($M45:M80)))))</f>
        <v>1455509.688</v>
      </c>
      <c r="O80" s="175">
        <f t="shared" si="4"/>
        <v>1455509.688</v>
      </c>
      <c r="P80" s="175">
        <f>IF('Pre-Calculation'!$D$17="Type 4 a",MAX(SA,N80,1.05*Q80),IF('Pre-Calculation'!$D$17="Type 4 c",N80,IF('Pre-Calculation'!$D$17="Type 4 d",SA+N80,IF('Pre-Calculation'!$D$17="Type 4 e",MAX(SA,N80),IF('Pre-Calculation'!$D$17="Type 4 f",SA,IF('Pre-Calculation'!$D$17="Type 4 g",1000+N80,IF('Pre-Calculation'!$D$17="Type 4 h",SA+V80,IF('Pre-Calculation'!$D$17="Type 4 i",MAX(N80,Q80),IF('Pre-Calculation'!$D$17="Type 4 k",MAX(N80,1.01*Q80),IF('Pre-Calculation'!$D$17="Type 4 m",MAX(105%*Q80,SA+N80),IF('Pre-Calculation'!$D$17="Type 4 o",MAX(SA,105%*Q80)+V80+X80,IF('Pre-Calculation'!$D$17="Type 5",0))))))))))))</f>
        <v>1455509.688</v>
      </c>
      <c r="Q80" s="175">
        <f t="shared" si="5"/>
        <v>1000000</v>
      </c>
      <c r="R80" s="119">
        <f>L80*(1+GROWTH_RATE)*FMC</f>
        <v>1639.80037</v>
      </c>
      <c r="S80" s="112"/>
      <c r="T80" s="175">
        <f>-E80+IF(A79=INPUT!$C$11*12,N80,0)</f>
        <v>0</v>
      </c>
      <c r="U80" s="171"/>
      <c r="V80" s="179">
        <f t="array" ref="V80">NPV('Pre-Calculation'!$E$20,$E81:E$246)</f>
        <v>0</v>
      </c>
      <c r="W80" s="171">
        <f>10%*SA</f>
        <v>100000</v>
      </c>
      <c r="X80" s="179">
        <f t="array" ref="X80">NPV('Pre-Calculation'!$E$20,W81:W90)</f>
        <v>969592.8037</v>
      </c>
      <c r="Y80" s="12"/>
      <c r="Z80" s="12"/>
    </row>
    <row r="81" ht="15.75" customHeight="1">
      <c r="A81" s="171">
        <f t="shared" si="1"/>
        <v>135</v>
      </c>
      <c r="B81" s="171">
        <f t="shared" si="2"/>
        <v>12</v>
      </c>
      <c r="C81" s="176">
        <f>EDATE(RCD,A80)</f>
        <v>46629</v>
      </c>
      <c r="D81" s="171">
        <f>Age_At_Entry+'Cashflows_Bond Fund'!B81-1</f>
        <v>46</v>
      </c>
      <c r="E81" s="175">
        <f>IF(AND(C81&lt;=Last_Prem,MOD(A80,Mode)=0,C81&gt;INPUT!$C$13,A81&lt;=Revival!$C$11),Mod_Prem,0)</f>
        <v>0</v>
      </c>
      <c r="F81" s="177">
        <f>E81*VLOOKUP(B81,'Pre-Calculation'!$H$1:$I$31,2,FALSE)</f>
        <v>0</v>
      </c>
      <c r="G81" s="177">
        <f>IF(B81&lt;PT+1,VLOOKUP(B81,'Pre-Calculation'!$H$1:$L$32,3,FALSE)+VLOOKUP(B81,'Pre-Calculation'!$H$1:$L$32,4,FALSE)*'Pre-Calculation'!$D$7,0)</f>
        <v>0</v>
      </c>
      <c r="H81" s="175">
        <f>(E81-(F81+G81)*(1+Tax)+N80)</f>
        <v>1455509.688</v>
      </c>
      <c r="I81" s="175">
        <f>IF(B81&lt;PT+1,VLOOKUP(D81,'Pre-Calculation'!$N$3:$P$79,IF(INPUT!$C$4="M",2,3),FALSE)*(J81/1000)*(1/12),0)</f>
        <v>0</v>
      </c>
      <c r="J81" s="175">
        <f t="shared" si="3"/>
        <v>0</v>
      </c>
      <c r="K81" s="175">
        <f>(IF('Pre-Calculation'!$D$17="Type 4 a",MAX(SA,H81,1.05*Q81),IF('Pre-Calculation'!$D$17="Type 4 c",H81,IF('Pre-Calculation'!$D$17="Type 4 d",SA+H81,IF('Pre-Calculation'!$D$17="Type 4 e",MAX(SA,H81),IF('Pre-Calculation'!$D$17="Type 4 f",SA,IF('Pre-Calculation'!$D$17="Type 4 g",1000+H81,IF('Pre-Calculation'!$D$17="Type 4 h",SA+V81,IF('Pre-Calculation'!$D$17="Type 4 i",MAX(H81,Q81),IF('Pre-Calculation'!$D$17="Type 4 k",MAX(H81,1.01*Q81),IF('Pre-Calculation'!$D$17="Type 4 m",MAX(105%*Q81,SA+H81),IF('Pre-Calculation'!$D$17="Type 4 o",MAX(SA,105%*Q81)+V81+X81,IF('Pre-Calculation'!$D$17="Type 5",0)))))))))))))*IF(AND(A81&lt;Revival!$C$4,C81&gt;=Revival!$D$12),PUP,1)</f>
        <v>1455509.688</v>
      </c>
      <c r="L81" s="175">
        <f>H81-I81*(1+Tax)</f>
        <v>1455509.688</v>
      </c>
      <c r="M81" s="175">
        <f>L81*(1+'Pre-Calculation'!$E$28)*(1-'Pre-Calculation'!$E$29*(1+Tax))</f>
        <v>1461977.928</v>
      </c>
      <c r="N81" s="175">
        <f>M81+IF(MOD(A81,B81)=0,VLOOKUP(B81,'Pre-Calculation'!$H$1:$L$31,5,FALSE),0)*IF('Pre-Calculation'!$D$16="% OF FV",M81,IF(OR('Pre-Calculation'!$D$16="% OF AFV(24M)",'Pre-Calculation'!$D$16="% OF AFV(8Q)"),AVERAGE( $M58:$M81),IF('Pre-Calculation'!$D$16="% OF AFV(12M)",AVERAGE($M70:M81),IF('Pre-Calculation'!$D$16="% OF AFV(36M)",AVERAGE($M46:M81)))))</f>
        <v>1461977.928</v>
      </c>
      <c r="O81" s="175">
        <f t="shared" si="4"/>
        <v>1461977.928</v>
      </c>
      <c r="P81" s="175">
        <f>IF('Pre-Calculation'!$D$17="Type 4 a",MAX(SA,N81,1.05*Q81),IF('Pre-Calculation'!$D$17="Type 4 c",N81,IF('Pre-Calculation'!$D$17="Type 4 d",SA+N81,IF('Pre-Calculation'!$D$17="Type 4 e",MAX(SA,N81),IF('Pre-Calculation'!$D$17="Type 4 f",SA,IF('Pre-Calculation'!$D$17="Type 4 g",1000+N81,IF('Pre-Calculation'!$D$17="Type 4 h",SA+V81,IF('Pre-Calculation'!$D$17="Type 4 i",MAX(N81,Q81),IF('Pre-Calculation'!$D$17="Type 4 k",MAX(N81,1.01*Q81),IF('Pre-Calculation'!$D$17="Type 4 m",MAX(105%*Q81,SA+N81),IF('Pre-Calculation'!$D$17="Type 4 o",MAX(SA,105%*Q81)+V81+X81,IF('Pre-Calculation'!$D$17="Type 5",0))))))))))))</f>
        <v>1461977.928</v>
      </c>
      <c r="Q81" s="175">
        <f t="shared" si="5"/>
        <v>1000000</v>
      </c>
      <c r="R81" s="119">
        <f>L81*(1+GROWTH_RATE)*FMC</f>
        <v>1647.087591</v>
      </c>
      <c r="S81" s="112"/>
      <c r="T81" s="175">
        <f>-E81+IF(A80=INPUT!$C$11*12,N81,0)</f>
        <v>0</v>
      </c>
      <c r="U81" s="171"/>
      <c r="V81" s="179">
        <f t="array" ref="V81">NPV('Pre-Calculation'!$E$20,$E82:E$246)</f>
        <v>0</v>
      </c>
      <c r="W81" s="171">
        <f>10%*SA</f>
        <v>100000</v>
      </c>
      <c r="X81" s="179">
        <f t="array" ref="X81">NPV('Pre-Calculation'!$E$20,W82:W91)</f>
        <v>969592.8037</v>
      </c>
      <c r="Y81" s="12"/>
      <c r="Z81" s="12"/>
    </row>
    <row r="82" ht="15.75" customHeight="1">
      <c r="A82" s="171">
        <f t="shared" si="1"/>
        <v>136</v>
      </c>
      <c r="B82" s="171">
        <f t="shared" si="2"/>
        <v>12</v>
      </c>
      <c r="C82" s="176">
        <f>EDATE(RCD,A81)</f>
        <v>46660</v>
      </c>
      <c r="D82" s="171">
        <f>Age_At_Entry+'Cashflows_Bond Fund'!B82-1</f>
        <v>46</v>
      </c>
      <c r="E82" s="175">
        <f>IF(AND(C82&lt;=Last_Prem,MOD(A81,Mode)=0,C82&gt;INPUT!$C$13,A82&lt;=Revival!$C$11),Mod_Prem,0)</f>
        <v>0</v>
      </c>
      <c r="F82" s="177">
        <f>E82*VLOOKUP(B82,'Pre-Calculation'!$H$1:$I$31,2,FALSE)</f>
        <v>0</v>
      </c>
      <c r="G82" s="177">
        <f>IF(B82&lt;PT+1,VLOOKUP(B82,'Pre-Calculation'!$H$1:$L$32,3,FALSE)+VLOOKUP(B82,'Pre-Calculation'!$H$1:$L$32,4,FALSE)*'Pre-Calculation'!$D$7,0)</f>
        <v>0</v>
      </c>
      <c r="H82" s="175">
        <f>(E82-(F82+G82)*(1+Tax)+N81)</f>
        <v>1461977.928</v>
      </c>
      <c r="I82" s="175">
        <f>IF(B82&lt;PT+1,VLOOKUP(D82,'Pre-Calculation'!$N$3:$P$79,IF(INPUT!$C$4="M",2,3),FALSE)*(J82/1000)*(1/12),0)</f>
        <v>0</v>
      </c>
      <c r="J82" s="175">
        <f t="shared" si="3"/>
        <v>0</v>
      </c>
      <c r="K82" s="175">
        <f>(IF('Pre-Calculation'!$D$17="Type 4 a",MAX(SA,H82,1.05*Q82),IF('Pre-Calculation'!$D$17="Type 4 c",H82,IF('Pre-Calculation'!$D$17="Type 4 d",SA+H82,IF('Pre-Calculation'!$D$17="Type 4 e",MAX(SA,H82),IF('Pre-Calculation'!$D$17="Type 4 f",SA,IF('Pre-Calculation'!$D$17="Type 4 g",1000+H82,IF('Pre-Calculation'!$D$17="Type 4 h",SA+V82,IF('Pre-Calculation'!$D$17="Type 4 i",MAX(H82,Q82),IF('Pre-Calculation'!$D$17="Type 4 k",MAX(H82,1.01*Q82),IF('Pre-Calculation'!$D$17="Type 4 m",MAX(105%*Q82,SA+H82),IF('Pre-Calculation'!$D$17="Type 4 o",MAX(SA,105%*Q82)+V82+X82,IF('Pre-Calculation'!$D$17="Type 5",0)))))))))))))*IF(AND(A82&lt;Revival!$C$4,C82&gt;=Revival!$D$12),PUP,1)</f>
        <v>1461977.928</v>
      </c>
      <c r="L82" s="175">
        <f>H82-I82*(1+Tax)</f>
        <v>1461977.928</v>
      </c>
      <c r="M82" s="175">
        <f>L82*(1+'Pre-Calculation'!$E$28)*(1-'Pre-Calculation'!$E$29*(1+Tax))</f>
        <v>1468474.912</v>
      </c>
      <c r="N82" s="175">
        <f>M82+IF(MOD(A82,B82)=0,VLOOKUP(B82,'Pre-Calculation'!$H$1:$L$31,5,FALSE),0)*IF('Pre-Calculation'!$D$16="% OF FV",M82,IF(OR('Pre-Calculation'!$D$16="% OF AFV(24M)",'Pre-Calculation'!$D$16="% OF AFV(8Q)"),AVERAGE( $M59:$M82),IF('Pre-Calculation'!$D$16="% OF AFV(12M)",AVERAGE($M71:M82),IF('Pre-Calculation'!$D$16="% OF AFV(36M)",AVERAGE($M47:M82)))))</f>
        <v>1468474.912</v>
      </c>
      <c r="O82" s="175">
        <f t="shared" si="4"/>
        <v>1468474.912</v>
      </c>
      <c r="P82" s="175">
        <f>IF('Pre-Calculation'!$D$17="Type 4 a",MAX(SA,N82,1.05*Q82),IF('Pre-Calculation'!$D$17="Type 4 c",N82,IF('Pre-Calculation'!$D$17="Type 4 d",SA+N82,IF('Pre-Calculation'!$D$17="Type 4 e",MAX(SA,N82),IF('Pre-Calculation'!$D$17="Type 4 f",SA,IF('Pre-Calculation'!$D$17="Type 4 g",1000+N82,IF('Pre-Calculation'!$D$17="Type 4 h",SA+V82,IF('Pre-Calculation'!$D$17="Type 4 i",MAX(N82,Q82),IF('Pre-Calculation'!$D$17="Type 4 k",MAX(N82,1.01*Q82),IF('Pre-Calculation'!$D$17="Type 4 m",MAX(105%*Q82,SA+N82),IF('Pre-Calculation'!$D$17="Type 4 o",MAX(SA,105%*Q82)+V82+X82,IF('Pre-Calculation'!$D$17="Type 5",0))))))))))))</f>
        <v>1468474.912</v>
      </c>
      <c r="Q82" s="175">
        <f t="shared" si="5"/>
        <v>1000000</v>
      </c>
      <c r="R82" s="119">
        <f>L82*(1+GROWTH_RATE)*FMC</f>
        <v>1654.407197</v>
      </c>
      <c r="S82" s="112"/>
      <c r="T82" s="175">
        <f>-E82+IF(A81=INPUT!$C$11*12,N82,0)</f>
        <v>0</v>
      </c>
      <c r="U82" s="171"/>
      <c r="V82" s="179">
        <f t="array" ref="V82">NPV('Pre-Calculation'!$E$20,$E83:E$246)</f>
        <v>0</v>
      </c>
      <c r="W82" s="171">
        <f>10%*SA</f>
        <v>100000</v>
      </c>
      <c r="X82" s="179">
        <f t="array" ref="X82">NPV('Pre-Calculation'!$E$20,W83:W92)</f>
        <v>969592.8037</v>
      </c>
      <c r="Y82" s="12"/>
      <c r="Z82" s="12"/>
    </row>
    <row r="83" ht="15.75" customHeight="1">
      <c r="A83" s="171">
        <f t="shared" si="1"/>
        <v>137</v>
      </c>
      <c r="B83" s="171">
        <f t="shared" si="2"/>
        <v>12</v>
      </c>
      <c r="C83" s="176">
        <f>EDATE(RCD,A82)</f>
        <v>46690</v>
      </c>
      <c r="D83" s="171">
        <f>Age_At_Entry+'Cashflows_Bond Fund'!B83-1</f>
        <v>46</v>
      </c>
      <c r="E83" s="175">
        <f>IF(AND(C83&lt;=Last_Prem,MOD(A82,Mode)=0,C83&gt;INPUT!$C$13,A83&lt;=Revival!$C$11),Mod_Prem,0)</f>
        <v>0</v>
      </c>
      <c r="F83" s="177">
        <f>E83*VLOOKUP(B83,'Pre-Calculation'!$H$1:$I$31,2,FALSE)</f>
        <v>0</v>
      </c>
      <c r="G83" s="177">
        <f>IF(B83&lt;PT+1,VLOOKUP(B83,'Pre-Calculation'!$H$1:$L$32,3,FALSE)+VLOOKUP(B83,'Pre-Calculation'!$H$1:$L$32,4,FALSE)*'Pre-Calculation'!$D$7,0)</f>
        <v>0</v>
      </c>
      <c r="H83" s="175">
        <f>(E83-(F83+G83)*(1+Tax)+N82)</f>
        <v>1468474.912</v>
      </c>
      <c r="I83" s="175">
        <f>IF(B83&lt;PT+1,VLOOKUP(D83,'Pre-Calculation'!$N$3:$P$79,IF(INPUT!$C$4="M",2,3),FALSE)*(J83/1000)*(1/12),0)</f>
        <v>0</v>
      </c>
      <c r="J83" s="175">
        <f t="shared" si="3"/>
        <v>0</v>
      </c>
      <c r="K83" s="175">
        <f>(IF('Pre-Calculation'!$D$17="Type 4 a",MAX(SA,H83,1.05*Q83),IF('Pre-Calculation'!$D$17="Type 4 c",H83,IF('Pre-Calculation'!$D$17="Type 4 d",SA+H83,IF('Pre-Calculation'!$D$17="Type 4 e",MAX(SA,H83),IF('Pre-Calculation'!$D$17="Type 4 f",SA,IF('Pre-Calculation'!$D$17="Type 4 g",1000+H83,IF('Pre-Calculation'!$D$17="Type 4 h",SA+V83,IF('Pre-Calculation'!$D$17="Type 4 i",MAX(H83,Q83),IF('Pre-Calculation'!$D$17="Type 4 k",MAX(H83,1.01*Q83),IF('Pre-Calculation'!$D$17="Type 4 m",MAX(105%*Q83,SA+H83),IF('Pre-Calculation'!$D$17="Type 4 o",MAX(SA,105%*Q83)+V83+X83,IF('Pre-Calculation'!$D$17="Type 5",0)))))))))))))*IF(AND(A83&lt;Revival!$C$4,C83&gt;=Revival!$D$12),PUP,1)</f>
        <v>1468474.912</v>
      </c>
      <c r="L83" s="175">
        <f>H83-I83*(1+Tax)</f>
        <v>1468474.912</v>
      </c>
      <c r="M83" s="175">
        <f>L83*(1+'Pre-Calculation'!$E$28)*(1-'Pre-Calculation'!$E$29*(1+Tax))</f>
        <v>1475000.769</v>
      </c>
      <c r="N83" s="175">
        <f>M83+IF(MOD(A83,B83)=0,VLOOKUP(B83,'Pre-Calculation'!$H$1:$L$31,5,FALSE),0)*IF('Pre-Calculation'!$D$16="% OF FV",M83,IF(OR('Pre-Calculation'!$D$16="% OF AFV(24M)",'Pre-Calculation'!$D$16="% OF AFV(8Q)"),AVERAGE( $M60:$M83),IF('Pre-Calculation'!$D$16="% OF AFV(12M)",AVERAGE($M72:M83),IF('Pre-Calculation'!$D$16="% OF AFV(36M)",AVERAGE($M48:M83)))))</f>
        <v>1475000.769</v>
      </c>
      <c r="O83" s="175">
        <f t="shared" si="4"/>
        <v>1475000.769</v>
      </c>
      <c r="P83" s="175">
        <f>IF('Pre-Calculation'!$D$17="Type 4 a",MAX(SA,N83,1.05*Q83),IF('Pre-Calculation'!$D$17="Type 4 c",N83,IF('Pre-Calculation'!$D$17="Type 4 d",SA+N83,IF('Pre-Calculation'!$D$17="Type 4 e",MAX(SA,N83),IF('Pre-Calculation'!$D$17="Type 4 f",SA,IF('Pre-Calculation'!$D$17="Type 4 g",1000+N83,IF('Pre-Calculation'!$D$17="Type 4 h",SA+V83,IF('Pre-Calculation'!$D$17="Type 4 i",MAX(N83,Q83),IF('Pre-Calculation'!$D$17="Type 4 k",MAX(N83,1.01*Q83),IF('Pre-Calculation'!$D$17="Type 4 m",MAX(105%*Q83,SA+N83),IF('Pre-Calculation'!$D$17="Type 4 o",MAX(SA,105%*Q83)+V83+X83,IF('Pre-Calculation'!$D$17="Type 5",0))))))))))))</f>
        <v>1475000.769</v>
      </c>
      <c r="Q83" s="175">
        <f t="shared" si="5"/>
        <v>1000000</v>
      </c>
      <c r="R83" s="119">
        <f>L83*(1+GROWTH_RATE)*FMC</f>
        <v>1661.759331</v>
      </c>
      <c r="S83" s="112"/>
      <c r="T83" s="175">
        <f>-E83+IF(A82=INPUT!$C$11*12,N83,0)</f>
        <v>0</v>
      </c>
      <c r="U83" s="171"/>
      <c r="V83" s="179">
        <f t="array" ref="V83">NPV('Pre-Calculation'!$E$20,$E84:E$246)</f>
        <v>0</v>
      </c>
      <c r="W83" s="171">
        <f>10%*SA</f>
        <v>100000</v>
      </c>
      <c r="X83" s="179">
        <f t="array" ref="X83">NPV('Pre-Calculation'!$E$20,W84:W93)</f>
        <v>969592.8037</v>
      </c>
      <c r="Y83" s="12"/>
      <c r="Z83" s="12"/>
    </row>
    <row r="84" ht="15.75" customHeight="1">
      <c r="A84" s="171">
        <f t="shared" si="1"/>
        <v>138</v>
      </c>
      <c r="B84" s="171">
        <f t="shared" si="2"/>
        <v>12</v>
      </c>
      <c r="C84" s="176">
        <f>EDATE(RCD,A83)</f>
        <v>46721</v>
      </c>
      <c r="D84" s="171">
        <f>Age_At_Entry+'Cashflows_Bond Fund'!B84-1</f>
        <v>46</v>
      </c>
      <c r="E84" s="175">
        <f>IF(AND(C84&lt;=Last_Prem,MOD(A83,Mode)=0,C84&gt;INPUT!$C$13,A84&lt;=Revival!$C$11),Mod_Prem,0)</f>
        <v>0</v>
      </c>
      <c r="F84" s="177">
        <f>E84*VLOOKUP(B84,'Pre-Calculation'!$H$1:$I$31,2,FALSE)</f>
        <v>0</v>
      </c>
      <c r="G84" s="177">
        <f>IF(B84&lt;PT+1,VLOOKUP(B84,'Pre-Calculation'!$H$1:$L$32,3,FALSE)+VLOOKUP(B84,'Pre-Calculation'!$H$1:$L$32,4,FALSE)*'Pre-Calculation'!$D$7,0)</f>
        <v>0</v>
      </c>
      <c r="H84" s="175">
        <f>(E84-(F84+G84)*(1+Tax)+N83)</f>
        <v>1475000.769</v>
      </c>
      <c r="I84" s="175">
        <f>IF(B84&lt;PT+1,VLOOKUP(D84,'Pre-Calculation'!$N$3:$P$79,IF(INPUT!$C$4="M",2,3),FALSE)*(J84/1000)*(1/12),0)</f>
        <v>0</v>
      </c>
      <c r="J84" s="175">
        <f t="shared" si="3"/>
        <v>0</v>
      </c>
      <c r="K84" s="175">
        <f>(IF('Pre-Calculation'!$D$17="Type 4 a",MAX(SA,H84,1.05*Q84),IF('Pre-Calculation'!$D$17="Type 4 c",H84,IF('Pre-Calculation'!$D$17="Type 4 d",SA+H84,IF('Pre-Calculation'!$D$17="Type 4 e",MAX(SA,H84),IF('Pre-Calculation'!$D$17="Type 4 f",SA,IF('Pre-Calculation'!$D$17="Type 4 g",1000+H84,IF('Pre-Calculation'!$D$17="Type 4 h",SA+V84,IF('Pre-Calculation'!$D$17="Type 4 i",MAX(H84,Q84),IF('Pre-Calculation'!$D$17="Type 4 k",MAX(H84,1.01*Q84),IF('Pre-Calculation'!$D$17="Type 4 m",MAX(105%*Q84,SA+H84),IF('Pre-Calculation'!$D$17="Type 4 o",MAX(SA,105%*Q84)+V84+X84,IF('Pre-Calculation'!$D$17="Type 5",0)))))))))))))*IF(AND(A84&lt;Revival!$C$4,C84&gt;=Revival!$D$12),PUP,1)</f>
        <v>1475000.769</v>
      </c>
      <c r="L84" s="175">
        <f>H84-I84*(1+Tax)</f>
        <v>1475000.769</v>
      </c>
      <c r="M84" s="175">
        <f>L84*(1+'Pre-Calculation'!$E$28)*(1-'Pre-Calculation'!$E$29*(1+Tax))</f>
        <v>1481555.626</v>
      </c>
      <c r="N84" s="175">
        <f>M84+IF(MOD(A84,B84)=0,VLOOKUP(B84,'Pre-Calculation'!$H$1:$L$31,5,FALSE),0)*IF('Pre-Calculation'!$D$16="% OF FV",M84,IF(OR('Pre-Calculation'!$D$16="% OF AFV(24M)",'Pre-Calculation'!$D$16="% OF AFV(8Q)"),AVERAGE( $M61:$M84),IF('Pre-Calculation'!$D$16="% OF AFV(12M)",AVERAGE($M73:M84),IF('Pre-Calculation'!$D$16="% OF AFV(36M)",AVERAGE($M49:M84)))))</f>
        <v>1481555.626</v>
      </c>
      <c r="O84" s="175">
        <f t="shared" si="4"/>
        <v>1481555.626</v>
      </c>
      <c r="P84" s="175">
        <f>IF('Pre-Calculation'!$D$17="Type 4 a",MAX(SA,N84,1.05*Q84),IF('Pre-Calculation'!$D$17="Type 4 c",N84,IF('Pre-Calculation'!$D$17="Type 4 d",SA+N84,IF('Pre-Calculation'!$D$17="Type 4 e",MAX(SA,N84),IF('Pre-Calculation'!$D$17="Type 4 f",SA,IF('Pre-Calculation'!$D$17="Type 4 g",1000+N84,IF('Pre-Calculation'!$D$17="Type 4 h",SA+V84,IF('Pre-Calculation'!$D$17="Type 4 i",MAX(N84,Q84),IF('Pre-Calculation'!$D$17="Type 4 k",MAX(N84,1.01*Q84),IF('Pre-Calculation'!$D$17="Type 4 m",MAX(105%*Q84,SA+N84),IF('Pre-Calculation'!$D$17="Type 4 o",MAX(SA,105%*Q84)+V84+X84,IF('Pre-Calculation'!$D$17="Type 5",0))))))))))))</f>
        <v>1481555.626</v>
      </c>
      <c r="Q84" s="175">
        <f t="shared" si="5"/>
        <v>1000000</v>
      </c>
      <c r="R84" s="119">
        <f>L84*(1+GROWTH_RATE)*FMC</f>
        <v>1669.144137</v>
      </c>
      <c r="S84" s="112"/>
      <c r="T84" s="175">
        <f>-E84+IF(A83=INPUT!$C$11*12,N84,0)</f>
        <v>0</v>
      </c>
      <c r="U84" s="171"/>
      <c r="V84" s="179">
        <f t="array" ref="V84">NPV('Pre-Calculation'!$E$20,$E85:E$246)</f>
        <v>0</v>
      </c>
      <c r="W84" s="171">
        <f>10%*SA</f>
        <v>100000</v>
      </c>
      <c r="X84" s="179">
        <f t="array" ref="X84">NPV('Pre-Calculation'!$E$20,W85:W94)</f>
        <v>969592.8037</v>
      </c>
      <c r="Y84" s="12"/>
      <c r="Z84" s="12"/>
    </row>
    <row r="85" ht="15.75" customHeight="1">
      <c r="A85" s="171">
        <f t="shared" si="1"/>
        <v>139</v>
      </c>
      <c r="B85" s="171">
        <f t="shared" si="2"/>
        <v>12</v>
      </c>
      <c r="C85" s="176">
        <f>EDATE(RCD,A84)</f>
        <v>46751</v>
      </c>
      <c r="D85" s="171">
        <f>Age_At_Entry+'Cashflows_Bond Fund'!B85-1</f>
        <v>46</v>
      </c>
      <c r="E85" s="175">
        <f>IF(AND(C85&lt;=Last_Prem,MOD(A84,Mode)=0,C85&gt;INPUT!$C$13,A85&lt;=Revival!$C$11),Mod_Prem,0)</f>
        <v>0</v>
      </c>
      <c r="F85" s="177">
        <f>E85*VLOOKUP(B85,'Pre-Calculation'!$H$1:$I$31,2,FALSE)</f>
        <v>0</v>
      </c>
      <c r="G85" s="177">
        <f>IF(B85&lt;PT+1,VLOOKUP(B85,'Pre-Calculation'!$H$1:$L$32,3,FALSE)+VLOOKUP(B85,'Pre-Calculation'!$H$1:$L$32,4,FALSE)*'Pre-Calculation'!$D$7,0)</f>
        <v>0</v>
      </c>
      <c r="H85" s="175">
        <f>(E85-(F85+G85)*(1+Tax)+N84)</f>
        <v>1481555.626</v>
      </c>
      <c r="I85" s="175">
        <f>IF(B85&lt;PT+1,VLOOKUP(D85,'Pre-Calculation'!$N$3:$P$79,IF(INPUT!$C$4="M",2,3),FALSE)*(J85/1000)*(1/12),0)</f>
        <v>0</v>
      </c>
      <c r="J85" s="175">
        <f t="shared" si="3"/>
        <v>0</v>
      </c>
      <c r="K85" s="175">
        <f>(IF('Pre-Calculation'!$D$17="Type 4 a",MAX(SA,H85,1.05*Q85),IF('Pre-Calculation'!$D$17="Type 4 c",H85,IF('Pre-Calculation'!$D$17="Type 4 d",SA+H85,IF('Pre-Calculation'!$D$17="Type 4 e",MAX(SA,H85),IF('Pre-Calculation'!$D$17="Type 4 f",SA,IF('Pre-Calculation'!$D$17="Type 4 g",1000+H85,IF('Pre-Calculation'!$D$17="Type 4 h",SA+V85,IF('Pre-Calculation'!$D$17="Type 4 i",MAX(H85,Q85),IF('Pre-Calculation'!$D$17="Type 4 k",MAX(H85,1.01*Q85),IF('Pre-Calculation'!$D$17="Type 4 m",MAX(105%*Q85,SA+H85),IF('Pre-Calculation'!$D$17="Type 4 o",MAX(SA,105%*Q85)+V85+X85,IF('Pre-Calculation'!$D$17="Type 5",0)))))))))))))*IF(AND(A85&lt;Revival!$C$4,C85&gt;=Revival!$D$12),PUP,1)</f>
        <v>1481555.626</v>
      </c>
      <c r="L85" s="175">
        <f>H85-I85*(1+Tax)</f>
        <v>1481555.626</v>
      </c>
      <c r="M85" s="175">
        <f>L85*(1+'Pre-Calculation'!$E$28)*(1-'Pre-Calculation'!$E$29*(1+Tax))</f>
        <v>1488139.613</v>
      </c>
      <c r="N85" s="175">
        <f>M85+IF(MOD(A85,B85)=0,VLOOKUP(B85,'Pre-Calculation'!$H$1:$L$31,5,FALSE),0)*IF('Pre-Calculation'!$D$16="% OF FV",M85,IF(OR('Pre-Calculation'!$D$16="% OF AFV(24M)",'Pre-Calculation'!$D$16="% OF AFV(8Q)"),AVERAGE( $M62:$M85),IF('Pre-Calculation'!$D$16="% OF AFV(12M)",AVERAGE($M74:M85),IF('Pre-Calculation'!$D$16="% OF AFV(36M)",AVERAGE($M50:M85)))))</f>
        <v>1488139.613</v>
      </c>
      <c r="O85" s="175">
        <f t="shared" si="4"/>
        <v>1488139.613</v>
      </c>
      <c r="P85" s="175">
        <f>IF('Pre-Calculation'!$D$17="Type 4 a",MAX(SA,N85,1.05*Q85),IF('Pre-Calculation'!$D$17="Type 4 c",N85,IF('Pre-Calculation'!$D$17="Type 4 d",SA+N85,IF('Pre-Calculation'!$D$17="Type 4 e",MAX(SA,N85),IF('Pre-Calculation'!$D$17="Type 4 f",SA,IF('Pre-Calculation'!$D$17="Type 4 g",1000+N85,IF('Pre-Calculation'!$D$17="Type 4 h",SA+V85,IF('Pre-Calculation'!$D$17="Type 4 i",MAX(N85,Q85),IF('Pre-Calculation'!$D$17="Type 4 k",MAX(N85,1.01*Q85),IF('Pre-Calculation'!$D$17="Type 4 m",MAX(105%*Q85,SA+N85),IF('Pre-Calculation'!$D$17="Type 4 o",MAX(SA,105%*Q85)+V85+X85,IF('Pre-Calculation'!$D$17="Type 5",0))))))))))))</f>
        <v>1488139.613</v>
      </c>
      <c r="Q85" s="175">
        <f t="shared" si="5"/>
        <v>1000000</v>
      </c>
      <c r="R85" s="119">
        <f>L85*(1+GROWTH_RATE)*FMC</f>
        <v>1676.561762</v>
      </c>
      <c r="S85" s="112"/>
      <c r="T85" s="175">
        <f>-E85+IF(A84=INPUT!$C$11*12,N85,0)</f>
        <v>0</v>
      </c>
      <c r="U85" s="171"/>
      <c r="V85" s="179">
        <f t="array" ref="V85">NPV('Pre-Calculation'!$E$20,$E86:E$246)</f>
        <v>0</v>
      </c>
      <c r="W85" s="171">
        <f>10%*SA</f>
        <v>100000</v>
      </c>
      <c r="X85" s="179">
        <f t="array" ref="X85">NPV('Pre-Calculation'!$E$20,W86:W95)</f>
        <v>969592.8037</v>
      </c>
      <c r="Y85" s="12"/>
      <c r="Z85" s="12"/>
    </row>
    <row r="86" ht="15.75" customHeight="1">
      <c r="A86" s="171">
        <f t="shared" si="1"/>
        <v>140</v>
      </c>
      <c r="B86" s="171">
        <f t="shared" si="2"/>
        <v>12</v>
      </c>
      <c r="C86" s="176">
        <f>EDATE(RCD,A85)</f>
        <v>46782</v>
      </c>
      <c r="D86" s="171">
        <f>Age_At_Entry+'Cashflows_Bond Fund'!B86-1</f>
        <v>46</v>
      </c>
      <c r="E86" s="175">
        <f>IF(AND(C86&lt;=Last_Prem,MOD(A85,Mode)=0,C86&gt;INPUT!$C$13,A86&lt;=Revival!$C$11),Mod_Prem,0)</f>
        <v>0</v>
      </c>
      <c r="F86" s="177">
        <f>E86*VLOOKUP(B86,'Pre-Calculation'!$H$1:$I$31,2,FALSE)</f>
        <v>0</v>
      </c>
      <c r="G86" s="177">
        <f>IF(B86&lt;PT+1,VLOOKUP(B86,'Pre-Calculation'!$H$1:$L$32,3,FALSE)+VLOOKUP(B86,'Pre-Calculation'!$H$1:$L$32,4,FALSE)*'Pre-Calculation'!$D$7,0)</f>
        <v>0</v>
      </c>
      <c r="H86" s="175">
        <f>(E86-(F86+G86)*(1+Tax)+N85)</f>
        <v>1488139.613</v>
      </c>
      <c r="I86" s="175">
        <f>IF(B86&lt;PT+1,VLOOKUP(D86,'Pre-Calculation'!$N$3:$P$79,IF(INPUT!$C$4="M",2,3),FALSE)*(J86/1000)*(1/12),0)</f>
        <v>0</v>
      </c>
      <c r="J86" s="175">
        <f t="shared" si="3"/>
        <v>0</v>
      </c>
      <c r="K86" s="175">
        <f>(IF('Pre-Calculation'!$D$17="Type 4 a",MAX(SA,H86,1.05*Q86),IF('Pre-Calculation'!$D$17="Type 4 c",H86,IF('Pre-Calculation'!$D$17="Type 4 d",SA+H86,IF('Pre-Calculation'!$D$17="Type 4 e",MAX(SA,H86),IF('Pre-Calculation'!$D$17="Type 4 f",SA,IF('Pre-Calculation'!$D$17="Type 4 g",1000+H86,IF('Pre-Calculation'!$D$17="Type 4 h",SA+V86,IF('Pre-Calculation'!$D$17="Type 4 i",MAX(H86,Q86),IF('Pre-Calculation'!$D$17="Type 4 k",MAX(H86,1.01*Q86),IF('Pre-Calculation'!$D$17="Type 4 m",MAX(105%*Q86,SA+H86),IF('Pre-Calculation'!$D$17="Type 4 o",MAX(SA,105%*Q86)+V86+X86,IF('Pre-Calculation'!$D$17="Type 5",0)))))))))))))*IF(AND(A86&lt;Revival!$C$4,C86&gt;=Revival!$D$12),PUP,1)</f>
        <v>1488139.613</v>
      </c>
      <c r="L86" s="175">
        <f>H86-I86*(1+Tax)</f>
        <v>1488139.613</v>
      </c>
      <c r="M86" s="175">
        <f>L86*(1+'Pre-Calculation'!$E$28)*(1-'Pre-Calculation'!$E$29*(1+Tax))</f>
        <v>1494752.859</v>
      </c>
      <c r="N86" s="175">
        <f>M86+IF(MOD(A86,B86)=0,VLOOKUP(B86,'Pre-Calculation'!$H$1:$L$31,5,FALSE),0)*IF('Pre-Calculation'!$D$16="% OF FV",M86,IF(OR('Pre-Calculation'!$D$16="% OF AFV(24M)",'Pre-Calculation'!$D$16="% OF AFV(8Q)"),AVERAGE( $M63:$M86),IF('Pre-Calculation'!$D$16="% OF AFV(12M)",AVERAGE($M75:M86),IF('Pre-Calculation'!$D$16="% OF AFV(36M)",AVERAGE($M51:M86)))))</f>
        <v>1494752.859</v>
      </c>
      <c r="O86" s="175">
        <f t="shared" si="4"/>
        <v>1494752.859</v>
      </c>
      <c r="P86" s="175">
        <f>IF('Pre-Calculation'!$D$17="Type 4 a",MAX(SA,N86,1.05*Q86),IF('Pre-Calculation'!$D$17="Type 4 c",N86,IF('Pre-Calculation'!$D$17="Type 4 d",SA+N86,IF('Pre-Calculation'!$D$17="Type 4 e",MAX(SA,N86),IF('Pre-Calculation'!$D$17="Type 4 f",SA,IF('Pre-Calculation'!$D$17="Type 4 g",1000+N86,IF('Pre-Calculation'!$D$17="Type 4 h",SA+V86,IF('Pre-Calculation'!$D$17="Type 4 i",MAX(N86,Q86),IF('Pre-Calculation'!$D$17="Type 4 k",MAX(N86,1.01*Q86),IF('Pre-Calculation'!$D$17="Type 4 m",MAX(105%*Q86,SA+N86),IF('Pre-Calculation'!$D$17="Type 4 o",MAX(SA,105%*Q86)+V86+X86,IF('Pre-Calculation'!$D$17="Type 5",0))))))))))))</f>
        <v>1494752.859</v>
      </c>
      <c r="Q86" s="175">
        <f t="shared" si="5"/>
        <v>1000000</v>
      </c>
      <c r="R86" s="119">
        <f>L86*(1+GROWTH_RATE)*FMC</f>
        <v>1684.01235</v>
      </c>
      <c r="S86" s="112"/>
      <c r="T86" s="175">
        <f>-E86+IF(A85=INPUT!$C$11*12,N86,0)</f>
        <v>0</v>
      </c>
      <c r="U86" s="171"/>
      <c r="V86" s="179">
        <f t="array" ref="V86">NPV('Pre-Calculation'!$E$20,$E87:E$246)</f>
        <v>0</v>
      </c>
      <c r="W86" s="171">
        <f>10%*SA</f>
        <v>100000</v>
      </c>
      <c r="X86" s="179">
        <f t="array" ref="X86">NPV('Pre-Calculation'!$E$20,W87:W96)</f>
        <v>969592.8037</v>
      </c>
      <c r="Y86" s="12"/>
      <c r="Z86" s="12"/>
    </row>
    <row r="87" ht="15.75" customHeight="1">
      <c r="A87" s="171">
        <f t="shared" si="1"/>
        <v>141</v>
      </c>
      <c r="B87" s="171">
        <f t="shared" si="2"/>
        <v>12</v>
      </c>
      <c r="C87" s="176">
        <f>EDATE(RCD,A86)</f>
        <v>46812</v>
      </c>
      <c r="D87" s="171">
        <f>Age_At_Entry+'Cashflows_Bond Fund'!B87-1</f>
        <v>46</v>
      </c>
      <c r="E87" s="175">
        <f>IF(AND(C87&lt;=Last_Prem,MOD(A86,Mode)=0,C87&gt;INPUT!$C$13,A87&lt;=Revival!$C$11),Mod_Prem,0)</f>
        <v>0</v>
      </c>
      <c r="F87" s="177">
        <f>E87*VLOOKUP(B87,'Pre-Calculation'!$H$1:$I$31,2,FALSE)</f>
        <v>0</v>
      </c>
      <c r="G87" s="177">
        <f>IF(B87&lt;PT+1,VLOOKUP(B87,'Pre-Calculation'!$H$1:$L$32,3,FALSE)+VLOOKUP(B87,'Pre-Calculation'!$H$1:$L$32,4,FALSE)*'Pre-Calculation'!$D$7,0)</f>
        <v>0</v>
      </c>
      <c r="H87" s="175">
        <f>(E87-(F87+G87)*(1+Tax)+N86)</f>
        <v>1494752.859</v>
      </c>
      <c r="I87" s="175">
        <f>IF(B87&lt;PT+1,VLOOKUP(D87,'Pre-Calculation'!$N$3:$P$79,IF(INPUT!$C$4="M",2,3),FALSE)*(J87/1000)*(1/12),0)</f>
        <v>0</v>
      </c>
      <c r="J87" s="175">
        <f t="shared" si="3"/>
        <v>0</v>
      </c>
      <c r="K87" s="175">
        <f>(IF('Pre-Calculation'!$D$17="Type 4 a",MAX(SA,H87,1.05*Q87),IF('Pre-Calculation'!$D$17="Type 4 c",H87,IF('Pre-Calculation'!$D$17="Type 4 d",SA+H87,IF('Pre-Calculation'!$D$17="Type 4 e",MAX(SA,H87),IF('Pre-Calculation'!$D$17="Type 4 f",SA,IF('Pre-Calculation'!$D$17="Type 4 g",1000+H87,IF('Pre-Calculation'!$D$17="Type 4 h",SA+V87,IF('Pre-Calculation'!$D$17="Type 4 i",MAX(H87,Q87),IF('Pre-Calculation'!$D$17="Type 4 k",MAX(H87,1.01*Q87),IF('Pre-Calculation'!$D$17="Type 4 m",MAX(105%*Q87,SA+H87),IF('Pre-Calculation'!$D$17="Type 4 o",MAX(SA,105%*Q87)+V87+X87,IF('Pre-Calculation'!$D$17="Type 5",0)))))))))))))*IF(AND(A87&lt;Revival!$C$4,C87&gt;=Revival!$D$12),PUP,1)</f>
        <v>1494752.859</v>
      </c>
      <c r="L87" s="175">
        <f>H87-I87*(1+Tax)</f>
        <v>1494752.859</v>
      </c>
      <c r="M87" s="175">
        <f>L87*(1+'Pre-Calculation'!$E$28)*(1-'Pre-Calculation'!$E$29*(1+Tax))</f>
        <v>1501395.494</v>
      </c>
      <c r="N87" s="175">
        <f>M87+IF(MOD(A87,B87)=0,VLOOKUP(B87,'Pre-Calculation'!$H$1:$L$31,5,FALSE),0)*IF('Pre-Calculation'!$D$16="% OF FV",M87,IF(OR('Pre-Calculation'!$D$16="% OF AFV(24M)",'Pre-Calculation'!$D$16="% OF AFV(8Q)"),AVERAGE( $M64:$M87),IF('Pre-Calculation'!$D$16="% OF AFV(12M)",AVERAGE($M76:M87),IF('Pre-Calculation'!$D$16="% OF AFV(36M)",AVERAGE($M52:M87)))))</f>
        <v>1501395.494</v>
      </c>
      <c r="O87" s="175">
        <f t="shared" si="4"/>
        <v>1501395.494</v>
      </c>
      <c r="P87" s="175">
        <f>IF('Pre-Calculation'!$D$17="Type 4 a",MAX(SA,N87,1.05*Q87),IF('Pre-Calculation'!$D$17="Type 4 c",N87,IF('Pre-Calculation'!$D$17="Type 4 d",SA+N87,IF('Pre-Calculation'!$D$17="Type 4 e",MAX(SA,N87),IF('Pre-Calculation'!$D$17="Type 4 f",SA,IF('Pre-Calculation'!$D$17="Type 4 g",1000+N87,IF('Pre-Calculation'!$D$17="Type 4 h",SA+V87,IF('Pre-Calculation'!$D$17="Type 4 i",MAX(N87,Q87),IF('Pre-Calculation'!$D$17="Type 4 k",MAX(N87,1.01*Q87),IF('Pre-Calculation'!$D$17="Type 4 m",MAX(105%*Q87,SA+N87),IF('Pre-Calculation'!$D$17="Type 4 o",MAX(SA,105%*Q87)+V87+X87,IF('Pre-Calculation'!$D$17="Type 5",0))))))))))))</f>
        <v>1501395.494</v>
      </c>
      <c r="Q87" s="175">
        <f t="shared" si="5"/>
        <v>1000000</v>
      </c>
      <c r="R87" s="119">
        <f>L87*(1+GROWTH_RATE)*FMC</f>
        <v>1691.496048</v>
      </c>
      <c r="S87" s="112"/>
      <c r="T87" s="175">
        <f>-E87+IF(A86=INPUT!$C$11*12,N87,0)</f>
        <v>0</v>
      </c>
      <c r="U87" s="171"/>
      <c r="V87" s="179">
        <f t="array" ref="V87">NPV('Pre-Calculation'!$E$20,$E88:E$246)</f>
        <v>0</v>
      </c>
      <c r="W87" s="171">
        <f>10%*SA</f>
        <v>100000</v>
      </c>
      <c r="X87" s="179">
        <f t="array" ref="X87">NPV('Pre-Calculation'!$E$20,W88:W97)</f>
        <v>969592.8037</v>
      </c>
      <c r="Y87" s="12"/>
      <c r="Z87" s="12"/>
    </row>
    <row r="88" ht="15.75" customHeight="1">
      <c r="A88" s="171">
        <f t="shared" si="1"/>
        <v>142</v>
      </c>
      <c r="B88" s="171">
        <f t="shared" si="2"/>
        <v>12</v>
      </c>
      <c r="C88" s="176">
        <f>EDATE(RCD,A87)</f>
        <v>46842</v>
      </c>
      <c r="D88" s="171">
        <f>Age_At_Entry+'Cashflows_Bond Fund'!B88-1</f>
        <v>46</v>
      </c>
      <c r="E88" s="175">
        <f>IF(AND(C88&lt;=Last_Prem,MOD(A87,Mode)=0,C88&gt;INPUT!$C$13,A88&lt;=Revival!$C$11),Mod_Prem,0)</f>
        <v>0</v>
      </c>
      <c r="F88" s="177">
        <f>E88*VLOOKUP(B88,'Pre-Calculation'!$H$1:$I$31,2,FALSE)</f>
        <v>0</v>
      </c>
      <c r="G88" s="177">
        <f>IF(B88&lt;PT+1,VLOOKUP(B88,'Pre-Calculation'!$H$1:$L$32,3,FALSE)+VLOOKUP(B88,'Pre-Calculation'!$H$1:$L$32,4,FALSE)*'Pre-Calculation'!$D$7,0)</f>
        <v>0</v>
      </c>
      <c r="H88" s="175">
        <f>(E88-(F88+G88)*(1+Tax)+N87)</f>
        <v>1501395.494</v>
      </c>
      <c r="I88" s="175">
        <f>IF(B88&lt;PT+1,VLOOKUP(D88,'Pre-Calculation'!$N$3:$P$79,IF(INPUT!$C$4="M",2,3),FALSE)*(J88/1000)*(1/12),0)</f>
        <v>0</v>
      </c>
      <c r="J88" s="175">
        <f t="shared" si="3"/>
        <v>0</v>
      </c>
      <c r="K88" s="175">
        <f>(IF('Pre-Calculation'!$D$17="Type 4 a",MAX(SA,H88,1.05*Q88),IF('Pre-Calculation'!$D$17="Type 4 c",H88,IF('Pre-Calculation'!$D$17="Type 4 d",SA+H88,IF('Pre-Calculation'!$D$17="Type 4 e",MAX(SA,H88),IF('Pre-Calculation'!$D$17="Type 4 f",SA,IF('Pre-Calculation'!$D$17="Type 4 g",1000+H88,IF('Pre-Calculation'!$D$17="Type 4 h",SA+V88,IF('Pre-Calculation'!$D$17="Type 4 i",MAX(H88,Q88),IF('Pre-Calculation'!$D$17="Type 4 k",MAX(H88,1.01*Q88),IF('Pre-Calculation'!$D$17="Type 4 m",MAX(105%*Q88,SA+H88),IF('Pre-Calculation'!$D$17="Type 4 o",MAX(SA,105%*Q88)+V88+X88,IF('Pre-Calculation'!$D$17="Type 5",0)))))))))))))*IF(AND(A88&lt;Revival!$C$4,C88&gt;=Revival!$D$12),PUP,1)</f>
        <v>1501395.494</v>
      </c>
      <c r="L88" s="175">
        <f>H88-I88*(1+Tax)</f>
        <v>1501395.494</v>
      </c>
      <c r="M88" s="175">
        <f>L88*(1+'Pre-Calculation'!$E$28)*(1-'Pre-Calculation'!$E$29*(1+Tax))</f>
        <v>1508067.648</v>
      </c>
      <c r="N88" s="175">
        <f>M88+IF(MOD(A88,B88)=0,VLOOKUP(B88,'Pre-Calculation'!$H$1:$L$31,5,FALSE),0)*IF('Pre-Calculation'!$D$16="% OF FV",M88,IF(OR('Pre-Calculation'!$D$16="% OF AFV(24M)",'Pre-Calculation'!$D$16="% OF AFV(8Q)"),AVERAGE( $M65:$M88),IF('Pre-Calculation'!$D$16="% OF AFV(12M)",AVERAGE($M77:M88),IF('Pre-Calculation'!$D$16="% OF AFV(36M)",AVERAGE($M53:M88)))))</f>
        <v>1508067.648</v>
      </c>
      <c r="O88" s="175">
        <f t="shared" si="4"/>
        <v>1508067.648</v>
      </c>
      <c r="P88" s="175">
        <f>IF('Pre-Calculation'!$D$17="Type 4 a",MAX(SA,N88,1.05*Q88),IF('Pre-Calculation'!$D$17="Type 4 c",N88,IF('Pre-Calculation'!$D$17="Type 4 d",SA+N88,IF('Pre-Calculation'!$D$17="Type 4 e",MAX(SA,N88),IF('Pre-Calculation'!$D$17="Type 4 f",SA,IF('Pre-Calculation'!$D$17="Type 4 g",1000+N88,IF('Pre-Calculation'!$D$17="Type 4 h",SA+V88,IF('Pre-Calculation'!$D$17="Type 4 i",MAX(N88,Q88),IF('Pre-Calculation'!$D$17="Type 4 k",MAX(N88,1.01*Q88),IF('Pre-Calculation'!$D$17="Type 4 m",MAX(105%*Q88,SA+N88),IF('Pre-Calculation'!$D$17="Type 4 o",MAX(SA,105%*Q88)+V88+X88,IF('Pre-Calculation'!$D$17="Type 5",0))))))))))))</f>
        <v>1508067.648</v>
      </c>
      <c r="Q88" s="175">
        <f t="shared" si="5"/>
        <v>1000000</v>
      </c>
      <c r="R88" s="119">
        <f>L88*(1+GROWTH_RATE)*FMC</f>
        <v>1699.013004</v>
      </c>
      <c r="S88" s="112"/>
      <c r="T88" s="175">
        <f>-E88+IF(A87=INPUT!$C$11*12,N88,0)</f>
        <v>0</v>
      </c>
      <c r="U88" s="171"/>
      <c r="V88" s="179">
        <f t="array" ref="V88">NPV('Pre-Calculation'!$E$20,$E89:E$246)</f>
        <v>0</v>
      </c>
      <c r="W88" s="171">
        <f>10%*SA</f>
        <v>100000</v>
      </c>
      <c r="X88" s="179">
        <f t="array" ref="X88">NPV('Pre-Calculation'!$E$20,W89:W98)</f>
        <v>969592.8037</v>
      </c>
      <c r="Y88" s="12"/>
      <c r="Z88" s="12"/>
    </row>
    <row r="89" ht="15.75" customHeight="1">
      <c r="A89" s="171">
        <f t="shared" si="1"/>
        <v>143</v>
      </c>
      <c r="B89" s="171">
        <f t="shared" si="2"/>
        <v>12</v>
      </c>
      <c r="C89" s="176">
        <f>EDATE(RCD,A88)</f>
        <v>46873</v>
      </c>
      <c r="D89" s="171">
        <f>Age_At_Entry+'Cashflows_Bond Fund'!B89-1</f>
        <v>46</v>
      </c>
      <c r="E89" s="175">
        <f>IF(AND(C89&lt;=Last_Prem,MOD(A88,Mode)=0,C89&gt;INPUT!$C$13,A89&lt;=Revival!$C$11),Mod_Prem,0)</f>
        <v>0</v>
      </c>
      <c r="F89" s="177">
        <f>E89*VLOOKUP(B89,'Pre-Calculation'!$H$1:$I$31,2,FALSE)</f>
        <v>0</v>
      </c>
      <c r="G89" s="177">
        <f>IF(B89&lt;PT+1,VLOOKUP(B89,'Pre-Calculation'!$H$1:$L$32,3,FALSE)+VLOOKUP(B89,'Pre-Calculation'!$H$1:$L$32,4,FALSE)*'Pre-Calculation'!$D$7,0)</f>
        <v>0</v>
      </c>
      <c r="H89" s="175">
        <f>(E89-(F89+G89)*(1+Tax)+N88)</f>
        <v>1508067.648</v>
      </c>
      <c r="I89" s="175">
        <f>IF(B89&lt;PT+1,VLOOKUP(D89,'Pre-Calculation'!$N$3:$P$79,IF(INPUT!$C$4="M",2,3),FALSE)*(J89/1000)*(1/12),0)</f>
        <v>0</v>
      </c>
      <c r="J89" s="175">
        <f t="shared" si="3"/>
        <v>0</v>
      </c>
      <c r="K89" s="175">
        <f>(IF('Pre-Calculation'!$D$17="Type 4 a",MAX(SA,H89,1.05*Q89),IF('Pre-Calculation'!$D$17="Type 4 c",H89,IF('Pre-Calculation'!$D$17="Type 4 d",SA+H89,IF('Pre-Calculation'!$D$17="Type 4 e",MAX(SA,H89),IF('Pre-Calculation'!$D$17="Type 4 f",SA,IF('Pre-Calculation'!$D$17="Type 4 g",1000+H89,IF('Pre-Calculation'!$D$17="Type 4 h",SA+V89,IF('Pre-Calculation'!$D$17="Type 4 i",MAX(H89,Q89),IF('Pre-Calculation'!$D$17="Type 4 k",MAX(H89,1.01*Q89),IF('Pre-Calculation'!$D$17="Type 4 m",MAX(105%*Q89,SA+H89),IF('Pre-Calculation'!$D$17="Type 4 o",MAX(SA,105%*Q89)+V89+X89,IF('Pre-Calculation'!$D$17="Type 5",0)))))))))))))*IF(AND(A89&lt;Revival!$C$4,C89&gt;=Revival!$D$12),PUP,1)</f>
        <v>1508067.648</v>
      </c>
      <c r="L89" s="175">
        <f>H89-I89*(1+Tax)</f>
        <v>1508067.648</v>
      </c>
      <c r="M89" s="175">
        <f>L89*(1+'Pre-Calculation'!$E$28)*(1-'Pre-Calculation'!$E$29*(1+Tax))</f>
        <v>1514769.454</v>
      </c>
      <c r="N89" s="175">
        <f>M89+IF(MOD(A89,B89)=0,VLOOKUP(B89,'Pre-Calculation'!$H$1:$L$31,5,FALSE),0)*IF('Pre-Calculation'!$D$16="% OF FV",M89,IF(OR('Pre-Calculation'!$D$16="% OF AFV(24M)",'Pre-Calculation'!$D$16="% OF AFV(8Q)"),AVERAGE( $M66:$M89),IF('Pre-Calculation'!$D$16="% OF AFV(12M)",AVERAGE($M78:M89),IF('Pre-Calculation'!$D$16="% OF AFV(36M)",AVERAGE($M54:M89)))))</f>
        <v>1514769.454</v>
      </c>
      <c r="O89" s="175">
        <f t="shared" si="4"/>
        <v>1514769.454</v>
      </c>
      <c r="P89" s="175">
        <f>IF('Pre-Calculation'!$D$17="Type 4 a",MAX(SA,N89,1.05*Q89),IF('Pre-Calculation'!$D$17="Type 4 c",N89,IF('Pre-Calculation'!$D$17="Type 4 d",SA+N89,IF('Pre-Calculation'!$D$17="Type 4 e",MAX(SA,N89),IF('Pre-Calculation'!$D$17="Type 4 f",SA,IF('Pre-Calculation'!$D$17="Type 4 g",1000+N89,IF('Pre-Calculation'!$D$17="Type 4 h",SA+V89,IF('Pre-Calculation'!$D$17="Type 4 i",MAX(N89,Q89),IF('Pre-Calculation'!$D$17="Type 4 k",MAX(N89,1.01*Q89),IF('Pre-Calculation'!$D$17="Type 4 m",MAX(105%*Q89,SA+N89),IF('Pre-Calculation'!$D$17="Type 4 o",MAX(SA,105%*Q89)+V89+X89,IF('Pre-Calculation'!$D$17="Type 5",0))))))))))))</f>
        <v>1514769.454</v>
      </c>
      <c r="Q89" s="175">
        <f t="shared" si="5"/>
        <v>1000000</v>
      </c>
      <c r="R89" s="119">
        <f>L89*(1+GROWTH_RATE)*FMC</f>
        <v>1706.563364</v>
      </c>
      <c r="S89" s="112"/>
      <c r="T89" s="175">
        <f>-E89+IF(A88=INPUT!$C$11*12,N89,0)</f>
        <v>0</v>
      </c>
      <c r="U89" s="112"/>
      <c r="V89" s="179">
        <f t="array" ref="V89">NPV('Pre-Calculation'!$E$20,$E90:E$246)</f>
        <v>0</v>
      </c>
      <c r="W89" s="171">
        <f>10%*SA</f>
        <v>100000</v>
      </c>
      <c r="X89" s="179">
        <f t="array" ref="X89">NPV('Pre-Calculation'!$E$20,W90:W99)</f>
        <v>969592.8037</v>
      </c>
      <c r="Y89" s="12"/>
      <c r="Z89" s="12"/>
    </row>
    <row r="90" ht="15.75" customHeight="1">
      <c r="A90" s="171">
        <f t="shared" si="1"/>
        <v>144</v>
      </c>
      <c r="B90" s="171">
        <f t="shared" si="2"/>
        <v>12</v>
      </c>
      <c r="C90" s="176">
        <f>EDATE(RCD,A89)</f>
        <v>46903</v>
      </c>
      <c r="D90" s="171">
        <f>Age_At_Entry+'Cashflows_Bond Fund'!B90-1</f>
        <v>46</v>
      </c>
      <c r="E90" s="175">
        <f>IF(AND(C90&lt;=Last_Prem,MOD(A89,Mode)=0,C90&gt;INPUT!$C$13,A90&lt;=Revival!$C$11),Mod_Prem,0)</f>
        <v>0</v>
      </c>
      <c r="F90" s="177">
        <f>E90*VLOOKUP(B90,'Pre-Calculation'!$H$1:$I$31,2,FALSE)</f>
        <v>0</v>
      </c>
      <c r="G90" s="177">
        <f>IF(B90&lt;PT+1,VLOOKUP(B90,'Pre-Calculation'!$H$1:$L$32,3,FALSE)+VLOOKUP(B90,'Pre-Calculation'!$H$1:$L$32,4,FALSE)*'Pre-Calculation'!$D$7,0)</f>
        <v>0</v>
      </c>
      <c r="H90" s="175">
        <f>(E90-(F90+G90)*(1+Tax)+N89)</f>
        <v>1514769.454</v>
      </c>
      <c r="I90" s="175">
        <f>IF(B90&lt;PT+1,VLOOKUP(D90,'Pre-Calculation'!$N$3:$P$79,IF(INPUT!$C$4="M",2,3),FALSE)*(J90/1000)*(1/12),0)</f>
        <v>0</v>
      </c>
      <c r="J90" s="175">
        <f t="shared" si="3"/>
        <v>0</v>
      </c>
      <c r="K90" s="175">
        <f>(IF('Pre-Calculation'!$D$17="Type 4 a",MAX(SA,H90,1.05*Q90),IF('Pre-Calculation'!$D$17="Type 4 c",H90,IF('Pre-Calculation'!$D$17="Type 4 d",SA+H90,IF('Pre-Calculation'!$D$17="Type 4 e",MAX(SA,H90),IF('Pre-Calculation'!$D$17="Type 4 f",SA,IF('Pre-Calculation'!$D$17="Type 4 g",1000+H90,IF('Pre-Calculation'!$D$17="Type 4 h",SA+V90,IF('Pre-Calculation'!$D$17="Type 4 i",MAX(H90,Q90),IF('Pre-Calculation'!$D$17="Type 4 k",MAX(H90,1.01*Q90),IF('Pre-Calculation'!$D$17="Type 4 m",MAX(105%*Q90,SA+H90),IF('Pre-Calculation'!$D$17="Type 4 o",MAX(SA,105%*Q90)+V90+X90,IF('Pre-Calculation'!$D$17="Type 5",0)))))))))))))*IF(AND(A90&lt;Revival!$C$4,C90&gt;=Revival!$D$12),PUP,1)</f>
        <v>1514769.454</v>
      </c>
      <c r="L90" s="175">
        <f>H90-I90*(1+Tax)</f>
        <v>1514769.454</v>
      </c>
      <c r="M90" s="175">
        <f>L90*(1+'Pre-Calculation'!$E$28)*(1-'Pre-Calculation'!$E$29*(1+Tax))</f>
        <v>1521501.042</v>
      </c>
      <c r="N90" s="175">
        <f>M90+IF(MOD(A90,B90)=0,VLOOKUP(B90,'Pre-Calculation'!$H$1:$L$31,5,FALSE),0)*IF('Pre-Calculation'!$D$16="% OF FV",M90,IF(OR('Pre-Calculation'!$D$16="% OF AFV(24M)",'Pre-Calculation'!$D$16="% OF AFV(8Q)"),AVERAGE( $M67:$M90),IF('Pre-Calculation'!$D$16="% OF AFV(12M)",AVERAGE($M79:M90),IF('Pre-Calculation'!$D$16="% OF AFV(36M)",AVERAGE($M55:M90)))))</f>
        <v>1521501.042</v>
      </c>
      <c r="O90" s="175">
        <f t="shared" si="4"/>
        <v>1521501.042</v>
      </c>
      <c r="P90" s="175">
        <f>IF('Pre-Calculation'!$D$17="Type 4 a",MAX(SA,N90,1.05*Q90),IF('Pre-Calculation'!$D$17="Type 4 c",N90,IF('Pre-Calculation'!$D$17="Type 4 d",SA+N90,IF('Pre-Calculation'!$D$17="Type 4 e",MAX(SA,N90),IF('Pre-Calculation'!$D$17="Type 4 f",SA,IF('Pre-Calculation'!$D$17="Type 4 g",1000+N90,IF('Pre-Calculation'!$D$17="Type 4 h",SA+V90,IF('Pre-Calculation'!$D$17="Type 4 i",MAX(N90,Q90),IF('Pre-Calculation'!$D$17="Type 4 k",MAX(N90,1.01*Q90),IF('Pre-Calculation'!$D$17="Type 4 m",MAX(105%*Q90,SA+N90),IF('Pre-Calculation'!$D$17="Type 4 o",MAX(SA,105%*Q90)+V90+X90,IF('Pre-Calculation'!$D$17="Type 5",0))))))))))))</f>
        <v>1521501.042</v>
      </c>
      <c r="Q90" s="175">
        <f t="shared" si="5"/>
        <v>1000000</v>
      </c>
      <c r="R90" s="119">
        <f>L90*(1+GROWTH_RATE)*FMC</f>
        <v>1714.147278</v>
      </c>
      <c r="S90" s="112"/>
      <c r="T90" s="175">
        <f>-E90+IF(A89=INPUT!$C$11*12,N90,0)</f>
        <v>0</v>
      </c>
      <c r="U90" s="112"/>
      <c r="V90" s="179">
        <f t="array" ref="V90">NPV('Pre-Calculation'!$E$20,$E91:E$246)</f>
        <v>0</v>
      </c>
      <c r="W90" s="171">
        <f>10%*SA</f>
        <v>100000</v>
      </c>
      <c r="X90" s="179">
        <f t="array" ref="X90">NPV('Pre-Calculation'!$E$20,W91:W100)</f>
        <v>969592.8037</v>
      </c>
      <c r="Y90" s="12"/>
      <c r="Z90" s="12"/>
    </row>
    <row r="91" ht="15.75" customHeight="1">
      <c r="A91" s="171">
        <f t="shared" si="1"/>
        <v>145</v>
      </c>
      <c r="B91" s="171">
        <f t="shared" si="2"/>
        <v>13</v>
      </c>
      <c r="C91" s="176">
        <f>EDATE(RCD,A90)</f>
        <v>46934</v>
      </c>
      <c r="D91" s="171">
        <f>Age_At_Entry+'Cashflows_Bond Fund'!B91-1</f>
        <v>47</v>
      </c>
      <c r="E91" s="175">
        <f>IF(AND(C91&lt;=Last_Prem,MOD(A90,Mode)=0,C91&gt;INPUT!$C$13,A91&lt;=Revival!$C$11),Mod_Prem,0)</f>
        <v>0</v>
      </c>
      <c r="F91" s="177">
        <f>E91*VLOOKUP(B91,'Pre-Calculation'!$H$1:$I$31,2,FALSE)</f>
        <v>0</v>
      </c>
      <c r="G91" s="177">
        <f>IF(B91&lt;PT+1,VLOOKUP(B91,'Pre-Calculation'!$H$1:$L$32,3,FALSE)+VLOOKUP(B91,'Pre-Calculation'!$H$1:$L$32,4,FALSE)*'Pre-Calculation'!$D$7,0)</f>
        <v>0</v>
      </c>
      <c r="H91" s="175">
        <f>(E91-(F91+G91)*(1+Tax)+N90)</f>
        <v>1521501.042</v>
      </c>
      <c r="I91" s="175">
        <f>IF(B91&lt;PT+1,VLOOKUP(D91,'Pre-Calculation'!$N$3:$P$79,IF(INPUT!$C$4="M",2,3),FALSE)*(J91/1000)*(1/12),0)</f>
        <v>0</v>
      </c>
      <c r="J91" s="175">
        <f t="shared" si="3"/>
        <v>0</v>
      </c>
      <c r="K91" s="175">
        <f>(IF('Pre-Calculation'!$D$17="Type 4 a",MAX(SA,H91,1.05*Q91),IF('Pre-Calculation'!$D$17="Type 4 c",H91,IF('Pre-Calculation'!$D$17="Type 4 d",SA+H91,IF('Pre-Calculation'!$D$17="Type 4 e",MAX(SA,H91),IF('Pre-Calculation'!$D$17="Type 4 f",SA,IF('Pre-Calculation'!$D$17="Type 4 g",1000+H91,IF('Pre-Calculation'!$D$17="Type 4 h",SA+V91,IF('Pre-Calculation'!$D$17="Type 4 i",MAX(H91,Q91),IF('Pre-Calculation'!$D$17="Type 4 k",MAX(H91,1.01*Q91),IF('Pre-Calculation'!$D$17="Type 4 m",MAX(105%*Q91,SA+H91),IF('Pre-Calculation'!$D$17="Type 4 o",MAX(SA,105%*Q91)+V91+X91,IF('Pre-Calculation'!$D$17="Type 5",0)))))))))))))*IF(AND(A91&lt;Revival!$C$4,C91&gt;=Revival!$D$12),PUP,1)</f>
        <v>1521501.042</v>
      </c>
      <c r="L91" s="175">
        <f>H91-I91*(1+Tax)</f>
        <v>1521501.042</v>
      </c>
      <c r="M91" s="175">
        <f>L91*(1+'Pre-Calculation'!$E$28)*(1-'Pre-Calculation'!$E$29*(1+Tax))</f>
        <v>1528262.545</v>
      </c>
      <c r="N91" s="175">
        <f>M91+IF(MOD(A91,B91)=0,VLOOKUP(B91,'Pre-Calculation'!$H$1:$L$31,5,FALSE),0)*IF('Pre-Calculation'!$D$16="% OF FV",M91,IF(OR('Pre-Calculation'!$D$16="% OF AFV(24M)",'Pre-Calculation'!$D$16="% OF AFV(8Q)"),AVERAGE( $M68:$M91),IF('Pre-Calculation'!$D$16="% OF AFV(12M)",AVERAGE($M80:M91),IF('Pre-Calculation'!$D$16="% OF AFV(36M)",AVERAGE($M56:M91)))))</f>
        <v>1528262.545</v>
      </c>
      <c r="O91" s="175">
        <f t="shared" si="4"/>
        <v>1528262.545</v>
      </c>
      <c r="P91" s="175">
        <f>IF('Pre-Calculation'!$D$17="Type 4 a",MAX(SA,N91,1.05*Q91),IF('Pre-Calculation'!$D$17="Type 4 c",N91,IF('Pre-Calculation'!$D$17="Type 4 d",SA+N91,IF('Pre-Calculation'!$D$17="Type 4 e",MAX(SA,N91),IF('Pre-Calculation'!$D$17="Type 4 f",SA,IF('Pre-Calculation'!$D$17="Type 4 g",1000+N91,IF('Pre-Calculation'!$D$17="Type 4 h",SA+V91,IF('Pre-Calculation'!$D$17="Type 4 i",MAX(N91,Q91),IF('Pre-Calculation'!$D$17="Type 4 k",MAX(N91,1.01*Q91),IF('Pre-Calculation'!$D$17="Type 4 m",MAX(105%*Q91,SA+N91),IF('Pre-Calculation'!$D$17="Type 4 o",MAX(SA,105%*Q91)+V91+X91,IF('Pre-Calculation'!$D$17="Type 5",0))))))))))))</f>
        <v>1528262.545</v>
      </c>
      <c r="Q91" s="175">
        <f t="shared" si="5"/>
        <v>1000000</v>
      </c>
      <c r="R91" s="119">
        <f>L91*(1+GROWTH_RATE)*FMC</f>
        <v>1721.764895</v>
      </c>
      <c r="S91" s="112"/>
      <c r="T91" s="175">
        <f>-E91+IF(A90=INPUT!$C$11*12,N91,0)</f>
        <v>0</v>
      </c>
      <c r="U91" s="112"/>
      <c r="V91" s="179">
        <f t="array" ref="V91">NPV('Pre-Calculation'!$E$20,$E92:E$246)</f>
        <v>0</v>
      </c>
      <c r="W91" s="171">
        <f>10%*SA</f>
        <v>100000</v>
      </c>
      <c r="X91" s="179">
        <f t="array" ref="X91">NPV('Pre-Calculation'!$E$20,W92:W101)</f>
        <v>969592.8037</v>
      </c>
      <c r="Y91" s="12"/>
      <c r="Z91" s="12"/>
    </row>
    <row r="92" ht="15.75" customHeight="1">
      <c r="A92" s="171">
        <f t="shared" si="1"/>
        <v>146</v>
      </c>
      <c r="B92" s="171">
        <f t="shared" si="2"/>
        <v>13</v>
      </c>
      <c r="C92" s="176">
        <f>EDATE(RCD,A91)</f>
        <v>46964</v>
      </c>
      <c r="D92" s="171">
        <f>Age_At_Entry+'Cashflows_Bond Fund'!B92-1</f>
        <v>47</v>
      </c>
      <c r="E92" s="175">
        <f>IF(AND(C92&lt;=Last_Prem,MOD(A91,Mode)=0,C92&gt;INPUT!$C$13,A92&lt;=Revival!$C$11),Mod_Prem,0)</f>
        <v>0</v>
      </c>
      <c r="F92" s="177">
        <f>E92*VLOOKUP(B92,'Pre-Calculation'!$H$1:$I$31,2,FALSE)</f>
        <v>0</v>
      </c>
      <c r="G92" s="177">
        <f>IF(B92&lt;PT+1,VLOOKUP(B92,'Pre-Calculation'!$H$1:$L$32,3,FALSE)+VLOOKUP(B92,'Pre-Calculation'!$H$1:$L$32,4,FALSE)*'Pre-Calculation'!$D$7,0)</f>
        <v>0</v>
      </c>
      <c r="H92" s="175">
        <f>(E92-(F92+G92)*(1+Tax)+N91)</f>
        <v>1528262.545</v>
      </c>
      <c r="I92" s="175">
        <f>IF(B92&lt;PT+1,VLOOKUP(D92,'Pre-Calculation'!$N$3:$P$79,IF(INPUT!$C$4="M",2,3),FALSE)*(J92/1000)*(1/12),0)</f>
        <v>0</v>
      </c>
      <c r="J92" s="175">
        <f t="shared" si="3"/>
        <v>0</v>
      </c>
      <c r="K92" s="175">
        <f>(IF('Pre-Calculation'!$D$17="Type 4 a",MAX(SA,H92,1.05*Q92),IF('Pre-Calculation'!$D$17="Type 4 c",H92,IF('Pre-Calculation'!$D$17="Type 4 d",SA+H92,IF('Pre-Calculation'!$D$17="Type 4 e",MAX(SA,H92),IF('Pre-Calculation'!$D$17="Type 4 f",SA,IF('Pre-Calculation'!$D$17="Type 4 g",1000+H92,IF('Pre-Calculation'!$D$17="Type 4 h",SA+V92,IF('Pre-Calculation'!$D$17="Type 4 i",MAX(H92,Q92),IF('Pre-Calculation'!$D$17="Type 4 k",MAX(H92,1.01*Q92),IF('Pre-Calculation'!$D$17="Type 4 m",MAX(105%*Q92,SA+H92),IF('Pre-Calculation'!$D$17="Type 4 o",MAX(SA,105%*Q92)+V92+X92,IF('Pre-Calculation'!$D$17="Type 5",0)))))))))))))*IF(AND(A92&lt;Revival!$C$4,C92&gt;=Revival!$D$12),PUP,1)</f>
        <v>1528262.545</v>
      </c>
      <c r="L92" s="175">
        <f>H92-I92*(1+Tax)</f>
        <v>1528262.545</v>
      </c>
      <c r="M92" s="175">
        <f>L92*(1+'Pre-Calculation'!$E$28)*(1-'Pre-Calculation'!$E$29*(1+Tax))</f>
        <v>1535054.096</v>
      </c>
      <c r="N92" s="175">
        <f>M92+IF(MOD(A92,B92)=0,VLOOKUP(B92,'Pre-Calculation'!$H$1:$L$31,5,FALSE),0)*IF('Pre-Calculation'!$D$16="% OF FV",M92,IF(OR('Pre-Calculation'!$D$16="% OF AFV(24M)",'Pre-Calculation'!$D$16="% OF AFV(8Q)"),AVERAGE( $M69:$M92),IF('Pre-Calculation'!$D$16="% OF AFV(12M)",AVERAGE($M81:M92),IF('Pre-Calculation'!$D$16="% OF AFV(36M)",AVERAGE($M57:M92)))))</f>
        <v>1535054.096</v>
      </c>
      <c r="O92" s="175">
        <f t="shared" si="4"/>
        <v>1535054.096</v>
      </c>
      <c r="P92" s="175">
        <f>IF('Pre-Calculation'!$D$17="Type 4 a",MAX(SA,N92,1.05*Q92),IF('Pre-Calculation'!$D$17="Type 4 c",N92,IF('Pre-Calculation'!$D$17="Type 4 d",SA+N92,IF('Pre-Calculation'!$D$17="Type 4 e",MAX(SA,N92),IF('Pre-Calculation'!$D$17="Type 4 f",SA,IF('Pre-Calculation'!$D$17="Type 4 g",1000+N92,IF('Pre-Calculation'!$D$17="Type 4 h",SA+V92,IF('Pre-Calculation'!$D$17="Type 4 i",MAX(N92,Q92),IF('Pre-Calculation'!$D$17="Type 4 k",MAX(N92,1.01*Q92),IF('Pre-Calculation'!$D$17="Type 4 m",MAX(105%*Q92,SA+N92),IF('Pre-Calculation'!$D$17="Type 4 o",MAX(SA,105%*Q92)+V92+X92,IF('Pre-Calculation'!$D$17="Type 5",0))))))))))))</f>
        <v>1535054.096</v>
      </c>
      <c r="Q92" s="175">
        <f t="shared" si="5"/>
        <v>1000000</v>
      </c>
      <c r="R92" s="119">
        <f>L92*(1+GROWTH_RATE)*FMC</f>
        <v>1729.416365</v>
      </c>
      <c r="S92" s="112"/>
      <c r="T92" s="175">
        <f>-E92+IF(A91=INPUT!$C$11*12,N92,0)</f>
        <v>0</v>
      </c>
      <c r="U92" s="112"/>
      <c r="V92" s="179">
        <f t="array" ref="V92">NPV('Pre-Calculation'!$E$20,$E93:E$246)</f>
        <v>0</v>
      </c>
      <c r="W92" s="171">
        <f>10%*SA</f>
        <v>100000</v>
      </c>
      <c r="X92" s="179">
        <f t="array" ref="X92">NPV('Pre-Calculation'!$E$20,W93:W102)</f>
        <v>969592.8037</v>
      </c>
      <c r="Y92" s="12"/>
      <c r="Z92" s="12"/>
    </row>
    <row r="93" ht="15.75" customHeight="1">
      <c r="A93" s="171">
        <f t="shared" si="1"/>
        <v>147</v>
      </c>
      <c r="B93" s="171">
        <f t="shared" si="2"/>
        <v>13</v>
      </c>
      <c r="C93" s="176">
        <f>EDATE(RCD,A92)</f>
        <v>46995</v>
      </c>
      <c r="D93" s="171">
        <f>Age_At_Entry+'Cashflows_Bond Fund'!B93-1</f>
        <v>47</v>
      </c>
      <c r="E93" s="175">
        <f>IF(AND(C93&lt;=Last_Prem,MOD(A92,Mode)=0,C93&gt;INPUT!$C$13,A93&lt;=Revival!$C$11),Mod_Prem,0)</f>
        <v>0</v>
      </c>
      <c r="F93" s="177">
        <f>E93*VLOOKUP(B93,'Pre-Calculation'!$H$1:$I$31,2,FALSE)</f>
        <v>0</v>
      </c>
      <c r="G93" s="177">
        <f>IF(B93&lt;PT+1,VLOOKUP(B93,'Pre-Calculation'!$H$1:$L$32,3,FALSE)+VLOOKUP(B93,'Pre-Calculation'!$H$1:$L$32,4,FALSE)*'Pre-Calculation'!$D$7,0)</f>
        <v>0</v>
      </c>
      <c r="H93" s="175">
        <f>(E93-(F93+G93)*(1+Tax)+N92)</f>
        <v>1535054.096</v>
      </c>
      <c r="I93" s="175">
        <f>IF(B93&lt;PT+1,VLOOKUP(D93,'Pre-Calculation'!$N$3:$P$79,IF(INPUT!$C$4="M",2,3),FALSE)*(J93/1000)*(1/12),0)</f>
        <v>0</v>
      </c>
      <c r="J93" s="175">
        <f t="shared" si="3"/>
        <v>0</v>
      </c>
      <c r="K93" s="175">
        <f>(IF('Pre-Calculation'!$D$17="Type 4 a",MAX(SA,H93,1.05*Q93),IF('Pre-Calculation'!$D$17="Type 4 c",H93,IF('Pre-Calculation'!$D$17="Type 4 d",SA+H93,IF('Pre-Calculation'!$D$17="Type 4 e",MAX(SA,H93),IF('Pre-Calculation'!$D$17="Type 4 f",SA,IF('Pre-Calculation'!$D$17="Type 4 g",1000+H93,IF('Pre-Calculation'!$D$17="Type 4 h",SA+V93,IF('Pre-Calculation'!$D$17="Type 4 i",MAX(H93,Q93),IF('Pre-Calculation'!$D$17="Type 4 k",MAX(H93,1.01*Q93),IF('Pre-Calculation'!$D$17="Type 4 m",MAX(105%*Q93,SA+H93),IF('Pre-Calculation'!$D$17="Type 4 o",MAX(SA,105%*Q93)+V93+X93,IF('Pre-Calculation'!$D$17="Type 5",0)))))))))))))*IF(AND(A93&lt;Revival!$C$4,C93&gt;=Revival!$D$12),PUP,1)</f>
        <v>1535054.096</v>
      </c>
      <c r="L93" s="175">
        <f>H93-I93*(1+Tax)</f>
        <v>1535054.096</v>
      </c>
      <c r="M93" s="175">
        <f>L93*(1+'Pre-Calculation'!$E$28)*(1-'Pre-Calculation'!$E$29*(1+Tax))</f>
        <v>1541875.828</v>
      </c>
      <c r="N93" s="175">
        <f>M93+IF(MOD(A93,B93)=0,VLOOKUP(B93,'Pre-Calculation'!$H$1:$L$31,5,FALSE),0)*IF('Pre-Calculation'!$D$16="% OF FV",M93,IF(OR('Pre-Calculation'!$D$16="% OF AFV(24M)",'Pre-Calculation'!$D$16="% OF AFV(8Q)"),AVERAGE( $M70:$M93),IF('Pre-Calculation'!$D$16="% OF AFV(12M)",AVERAGE($M82:M93),IF('Pre-Calculation'!$D$16="% OF AFV(36M)",AVERAGE($M58:M93)))))</f>
        <v>1541875.828</v>
      </c>
      <c r="O93" s="175">
        <f t="shared" si="4"/>
        <v>1541875.828</v>
      </c>
      <c r="P93" s="175">
        <f>IF('Pre-Calculation'!$D$17="Type 4 a",MAX(SA,N93,1.05*Q93),IF('Pre-Calculation'!$D$17="Type 4 c",N93,IF('Pre-Calculation'!$D$17="Type 4 d",SA+N93,IF('Pre-Calculation'!$D$17="Type 4 e",MAX(SA,N93),IF('Pre-Calculation'!$D$17="Type 4 f",SA,IF('Pre-Calculation'!$D$17="Type 4 g",1000+N93,IF('Pre-Calculation'!$D$17="Type 4 h",SA+V93,IF('Pre-Calculation'!$D$17="Type 4 i",MAX(N93,Q93),IF('Pre-Calculation'!$D$17="Type 4 k",MAX(N93,1.01*Q93),IF('Pre-Calculation'!$D$17="Type 4 m",MAX(105%*Q93,SA+N93),IF('Pre-Calculation'!$D$17="Type 4 o",MAX(SA,105%*Q93)+V93+X93,IF('Pre-Calculation'!$D$17="Type 5",0))))))))))))</f>
        <v>1541875.828</v>
      </c>
      <c r="Q93" s="175">
        <f t="shared" si="5"/>
        <v>1000000</v>
      </c>
      <c r="R93" s="119">
        <f>L93*(1+GROWTH_RATE)*FMC</f>
        <v>1737.101837</v>
      </c>
      <c r="S93" s="112"/>
      <c r="T93" s="175">
        <f>-E93+IF(A92=INPUT!$C$11*12,N93,0)</f>
        <v>0</v>
      </c>
      <c r="U93" s="112"/>
      <c r="V93" s="179">
        <f t="array" ref="V93">NPV('Pre-Calculation'!$E$20,$E94:E$246)</f>
        <v>0</v>
      </c>
      <c r="W93" s="171">
        <f>10%*SA</f>
        <v>100000</v>
      </c>
      <c r="X93" s="179">
        <f t="array" ref="X93">NPV('Pre-Calculation'!$E$20,W94:W103)</f>
        <v>969592.8037</v>
      </c>
      <c r="Y93" s="12"/>
      <c r="Z93" s="12"/>
    </row>
    <row r="94" ht="15.75" customHeight="1">
      <c r="A94" s="171">
        <f t="shared" si="1"/>
        <v>148</v>
      </c>
      <c r="B94" s="171">
        <f t="shared" si="2"/>
        <v>13</v>
      </c>
      <c r="C94" s="176">
        <f>EDATE(RCD,A93)</f>
        <v>47026</v>
      </c>
      <c r="D94" s="171">
        <f>Age_At_Entry+'Cashflows_Bond Fund'!B94-1</f>
        <v>47</v>
      </c>
      <c r="E94" s="175">
        <f>IF(AND(C94&lt;=Last_Prem,MOD(A93,Mode)=0,C94&gt;INPUT!$C$13,A94&lt;=Revival!$C$11),Mod_Prem,0)</f>
        <v>0</v>
      </c>
      <c r="F94" s="177">
        <f>E94*VLOOKUP(B94,'Pre-Calculation'!$H$1:$I$31,2,FALSE)</f>
        <v>0</v>
      </c>
      <c r="G94" s="177">
        <f>IF(B94&lt;PT+1,VLOOKUP(B94,'Pre-Calculation'!$H$1:$L$32,3,FALSE)+VLOOKUP(B94,'Pre-Calculation'!$H$1:$L$32,4,FALSE)*'Pre-Calculation'!$D$7,0)</f>
        <v>0</v>
      </c>
      <c r="H94" s="175">
        <f>(E94-(F94+G94)*(1+Tax)+N93)</f>
        <v>1541875.828</v>
      </c>
      <c r="I94" s="175">
        <f>IF(B94&lt;PT+1,VLOOKUP(D94,'Pre-Calculation'!$N$3:$P$79,IF(INPUT!$C$4="M",2,3),FALSE)*(J94/1000)*(1/12),0)</f>
        <v>0</v>
      </c>
      <c r="J94" s="175">
        <f t="shared" si="3"/>
        <v>0</v>
      </c>
      <c r="K94" s="175">
        <f>(IF('Pre-Calculation'!$D$17="Type 4 a",MAX(SA,H94,1.05*Q94),IF('Pre-Calculation'!$D$17="Type 4 c",H94,IF('Pre-Calculation'!$D$17="Type 4 d",SA+H94,IF('Pre-Calculation'!$D$17="Type 4 e",MAX(SA,H94),IF('Pre-Calculation'!$D$17="Type 4 f",SA,IF('Pre-Calculation'!$D$17="Type 4 g",1000+H94,IF('Pre-Calculation'!$D$17="Type 4 h",SA+V94,IF('Pre-Calculation'!$D$17="Type 4 i",MAX(H94,Q94),IF('Pre-Calculation'!$D$17="Type 4 k",MAX(H94,1.01*Q94),IF('Pre-Calculation'!$D$17="Type 4 m",MAX(105%*Q94,SA+H94),IF('Pre-Calculation'!$D$17="Type 4 o",MAX(SA,105%*Q94)+V94+X94,IF('Pre-Calculation'!$D$17="Type 5",0)))))))))))))*IF(AND(A94&lt;Revival!$C$4,C94&gt;=Revival!$D$12),PUP,1)</f>
        <v>1541875.828</v>
      </c>
      <c r="L94" s="175">
        <f>H94-I94*(1+Tax)</f>
        <v>1541875.828</v>
      </c>
      <c r="M94" s="175">
        <f>L94*(1+'Pre-Calculation'!$E$28)*(1-'Pre-Calculation'!$E$29*(1+Tax))</f>
        <v>1548727.876</v>
      </c>
      <c r="N94" s="175">
        <f>M94+IF(MOD(A94,B94)=0,VLOOKUP(B94,'Pre-Calculation'!$H$1:$L$31,5,FALSE),0)*IF('Pre-Calculation'!$D$16="% OF FV",M94,IF(OR('Pre-Calculation'!$D$16="% OF AFV(24M)",'Pre-Calculation'!$D$16="% OF AFV(8Q)"),AVERAGE( $M71:$M94),IF('Pre-Calculation'!$D$16="% OF AFV(12M)",AVERAGE($M83:M94),IF('Pre-Calculation'!$D$16="% OF AFV(36M)",AVERAGE($M59:M94)))))</f>
        <v>1548727.876</v>
      </c>
      <c r="O94" s="175">
        <f t="shared" si="4"/>
        <v>1548727.876</v>
      </c>
      <c r="P94" s="175">
        <f>IF('Pre-Calculation'!$D$17="Type 4 a",MAX(SA,N94,1.05*Q94),IF('Pre-Calculation'!$D$17="Type 4 c",N94,IF('Pre-Calculation'!$D$17="Type 4 d",SA+N94,IF('Pre-Calculation'!$D$17="Type 4 e",MAX(SA,N94),IF('Pre-Calculation'!$D$17="Type 4 f",SA,IF('Pre-Calculation'!$D$17="Type 4 g",1000+N94,IF('Pre-Calculation'!$D$17="Type 4 h",SA+V94,IF('Pre-Calculation'!$D$17="Type 4 i",MAX(N94,Q94),IF('Pre-Calculation'!$D$17="Type 4 k",MAX(N94,1.01*Q94),IF('Pre-Calculation'!$D$17="Type 4 m",MAX(105%*Q94,SA+N94),IF('Pre-Calculation'!$D$17="Type 4 o",MAX(SA,105%*Q94)+V94+X94,IF('Pre-Calculation'!$D$17="Type 5",0))))))))))))</f>
        <v>1548727.876</v>
      </c>
      <c r="Q94" s="175">
        <f t="shared" si="5"/>
        <v>1000000</v>
      </c>
      <c r="R94" s="119">
        <f>L94*(1+GROWTH_RATE)*FMC</f>
        <v>1744.821463</v>
      </c>
      <c r="S94" s="112"/>
      <c r="T94" s="175">
        <f>-E94+IF(A93=INPUT!$C$11*12,N94,0)</f>
        <v>0</v>
      </c>
      <c r="U94" s="112"/>
      <c r="V94" s="179">
        <f t="array" ref="V94">NPV('Pre-Calculation'!$E$20,$E95:E$246)</f>
        <v>0</v>
      </c>
      <c r="W94" s="171">
        <f>10%*SA</f>
        <v>100000</v>
      </c>
      <c r="X94" s="179">
        <f t="array" ref="X94">NPV('Pre-Calculation'!$E$20,W95:W104)</f>
        <v>969592.8037</v>
      </c>
      <c r="Y94" s="12"/>
      <c r="Z94" s="12"/>
    </row>
    <row r="95" ht="15.75" customHeight="1">
      <c r="A95" s="171">
        <f t="shared" si="1"/>
        <v>149</v>
      </c>
      <c r="B95" s="171">
        <f t="shared" si="2"/>
        <v>13</v>
      </c>
      <c r="C95" s="176">
        <f>EDATE(RCD,A94)</f>
        <v>47056</v>
      </c>
      <c r="D95" s="171">
        <f>Age_At_Entry+'Cashflows_Bond Fund'!B95-1</f>
        <v>47</v>
      </c>
      <c r="E95" s="175">
        <f>IF(AND(C95&lt;=Last_Prem,MOD(A94,Mode)=0,C95&gt;INPUT!$C$13,A95&lt;=Revival!$C$11),Mod_Prem,0)</f>
        <v>0</v>
      </c>
      <c r="F95" s="177">
        <f>E95*VLOOKUP(B95,'Pre-Calculation'!$H$1:$I$31,2,FALSE)</f>
        <v>0</v>
      </c>
      <c r="G95" s="177">
        <f>IF(B95&lt;PT+1,VLOOKUP(B95,'Pre-Calculation'!$H$1:$L$32,3,FALSE)+VLOOKUP(B95,'Pre-Calculation'!$H$1:$L$32,4,FALSE)*'Pre-Calculation'!$D$7,0)</f>
        <v>0</v>
      </c>
      <c r="H95" s="175">
        <f>(E95-(F95+G95)*(1+Tax)+N94)</f>
        <v>1548727.876</v>
      </c>
      <c r="I95" s="175">
        <f>IF(B95&lt;PT+1,VLOOKUP(D95,'Pre-Calculation'!$N$3:$P$79,IF(INPUT!$C$4="M",2,3),FALSE)*(J95/1000)*(1/12),0)</f>
        <v>0</v>
      </c>
      <c r="J95" s="175">
        <f t="shared" si="3"/>
        <v>0</v>
      </c>
      <c r="K95" s="175">
        <f>(IF('Pre-Calculation'!$D$17="Type 4 a",MAX(SA,H95,1.05*Q95),IF('Pre-Calculation'!$D$17="Type 4 c",H95,IF('Pre-Calculation'!$D$17="Type 4 d",SA+H95,IF('Pre-Calculation'!$D$17="Type 4 e",MAX(SA,H95),IF('Pre-Calculation'!$D$17="Type 4 f",SA,IF('Pre-Calculation'!$D$17="Type 4 g",1000+H95,IF('Pre-Calculation'!$D$17="Type 4 h",SA+V95,IF('Pre-Calculation'!$D$17="Type 4 i",MAX(H95,Q95),IF('Pre-Calculation'!$D$17="Type 4 k",MAX(H95,1.01*Q95),IF('Pre-Calculation'!$D$17="Type 4 m",MAX(105%*Q95,SA+H95),IF('Pre-Calculation'!$D$17="Type 4 o",MAX(SA,105%*Q95)+V95+X95,IF('Pre-Calculation'!$D$17="Type 5",0)))))))))))))*IF(AND(A95&lt;Revival!$C$4,C95&gt;=Revival!$D$12),PUP,1)</f>
        <v>1548727.876</v>
      </c>
      <c r="L95" s="175">
        <f>H95-I95*(1+Tax)</f>
        <v>1548727.876</v>
      </c>
      <c r="M95" s="175">
        <f>L95*(1+'Pre-Calculation'!$E$28)*(1-'Pre-Calculation'!$E$29*(1+Tax))</f>
        <v>1555610.375</v>
      </c>
      <c r="N95" s="175">
        <f>M95+IF(MOD(A95,B95)=0,VLOOKUP(B95,'Pre-Calculation'!$H$1:$L$31,5,FALSE),0)*IF('Pre-Calculation'!$D$16="% OF FV",M95,IF(OR('Pre-Calculation'!$D$16="% OF AFV(24M)",'Pre-Calculation'!$D$16="% OF AFV(8Q)"),AVERAGE( $M72:$M95),IF('Pre-Calculation'!$D$16="% OF AFV(12M)",AVERAGE($M84:M95),IF('Pre-Calculation'!$D$16="% OF AFV(36M)",AVERAGE($M60:M95)))))</f>
        <v>1555610.375</v>
      </c>
      <c r="O95" s="175">
        <f t="shared" si="4"/>
        <v>1555610.375</v>
      </c>
      <c r="P95" s="175">
        <f>IF('Pre-Calculation'!$D$17="Type 4 a",MAX(SA,N95,1.05*Q95),IF('Pre-Calculation'!$D$17="Type 4 c",N95,IF('Pre-Calculation'!$D$17="Type 4 d",SA+N95,IF('Pre-Calculation'!$D$17="Type 4 e",MAX(SA,N95),IF('Pre-Calculation'!$D$17="Type 4 f",SA,IF('Pre-Calculation'!$D$17="Type 4 g",1000+N95,IF('Pre-Calculation'!$D$17="Type 4 h",SA+V95,IF('Pre-Calculation'!$D$17="Type 4 i",MAX(N95,Q95),IF('Pre-Calculation'!$D$17="Type 4 k",MAX(N95,1.01*Q95),IF('Pre-Calculation'!$D$17="Type 4 m",MAX(105%*Q95,SA+N95),IF('Pre-Calculation'!$D$17="Type 4 o",MAX(SA,105%*Q95)+V95+X95,IF('Pre-Calculation'!$D$17="Type 5",0))))))))))))</f>
        <v>1555610.375</v>
      </c>
      <c r="Q95" s="175">
        <f t="shared" si="5"/>
        <v>1000000</v>
      </c>
      <c r="R95" s="119">
        <f>L95*(1+GROWTH_RATE)*FMC</f>
        <v>1752.575395</v>
      </c>
      <c r="S95" s="112"/>
      <c r="T95" s="175">
        <f>-E95+IF(A94=INPUT!$C$11*12,N95,0)</f>
        <v>0</v>
      </c>
      <c r="U95" s="112"/>
      <c r="V95" s="179">
        <f t="array" ref="V95">NPV('Pre-Calculation'!$E$20,$E96:E$246)</f>
        <v>0</v>
      </c>
      <c r="W95" s="171">
        <f>10%*SA</f>
        <v>100000</v>
      </c>
      <c r="X95" s="179">
        <f t="array" ref="X95">NPV('Pre-Calculation'!$E$20,W96:W105)</f>
        <v>969592.8037</v>
      </c>
      <c r="Y95" s="12"/>
      <c r="Z95" s="12"/>
    </row>
    <row r="96" ht="15.75" customHeight="1">
      <c r="A96" s="171">
        <f t="shared" si="1"/>
        <v>150</v>
      </c>
      <c r="B96" s="171">
        <f t="shared" si="2"/>
        <v>13</v>
      </c>
      <c r="C96" s="176">
        <f>EDATE(RCD,A95)</f>
        <v>47087</v>
      </c>
      <c r="D96" s="171">
        <f>Age_At_Entry+'Cashflows_Bond Fund'!B96-1</f>
        <v>47</v>
      </c>
      <c r="E96" s="175">
        <f>IF(AND(C96&lt;=Last_Prem,MOD(A95,Mode)=0,C96&gt;INPUT!$C$13,A96&lt;=Revival!$C$11),Mod_Prem,0)</f>
        <v>0</v>
      </c>
      <c r="F96" s="177">
        <f>E96*VLOOKUP(B96,'Pre-Calculation'!$H$1:$I$31,2,FALSE)</f>
        <v>0</v>
      </c>
      <c r="G96" s="177">
        <f>IF(B96&lt;PT+1,VLOOKUP(B96,'Pre-Calculation'!$H$1:$L$32,3,FALSE)+VLOOKUP(B96,'Pre-Calculation'!$H$1:$L$32,4,FALSE)*'Pre-Calculation'!$D$7,0)</f>
        <v>0</v>
      </c>
      <c r="H96" s="175">
        <f>(E96-(F96+G96)*(1+Tax)+N95)</f>
        <v>1555610.375</v>
      </c>
      <c r="I96" s="175">
        <f>IF(B96&lt;PT+1,VLOOKUP(D96,'Pre-Calculation'!$N$3:$P$79,IF(INPUT!$C$4="M",2,3),FALSE)*(J96/1000)*(1/12),0)</f>
        <v>0</v>
      </c>
      <c r="J96" s="175">
        <f t="shared" si="3"/>
        <v>0</v>
      </c>
      <c r="K96" s="175">
        <f>(IF('Pre-Calculation'!$D$17="Type 4 a",MAX(SA,H96,1.05*Q96),IF('Pre-Calculation'!$D$17="Type 4 c",H96,IF('Pre-Calculation'!$D$17="Type 4 d",SA+H96,IF('Pre-Calculation'!$D$17="Type 4 e",MAX(SA,H96),IF('Pre-Calculation'!$D$17="Type 4 f",SA,IF('Pre-Calculation'!$D$17="Type 4 g",1000+H96,IF('Pre-Calculation'!$D$17="Type 4 h",SA+V96,IF('Pre-Calculation'!$D$17="Type 4 i",MAX(H96,Q96),IF('Pre-Calculation'!$D$17="Type 4 k",MAX(H96,1.01*Q96),IF('Pre-Calculation'!$D$17="Type 4 m",MAX(105%*Q96,SA+H96),IF('Pre-Calculation'!$D$17="Type 4 o",MAX(SA,105%*Q96)+V96+X96,IF('Pre-Calculation'!$D$17="Type 5",0)))))))))))))*IF(AND(A96&lt;Revival!$C$4,C96&gt;=Revival!$D$12),PUP,1)</f>
        <v>1555610.375</v>
      </c>
      <c r="L96" s="175">
        <f>H96-I96*(1+Tax)</f>
        <v>1555610.375</v>
      </c>
      <c r="M96" s="175">
        <f>L96*(1+'Pre-Calculation'!$E$28)*(1-'Pre-Calculation'!$E$29*(1+Tax))</f>
        <v>1562523.459</v>
      </c>
      <c r="N96" s="175">
        <f>M96+IF(MOD(A96,B96)=0,VLOOKUP(B96,'Pre-Calculation'!$H$1:$L$31,5,FALSE),0)*IF('Pre-Calculation'!$D$16="% OF FV",M96,IF(OR('Pre-Calculation'!$D$16="% OF AFV(24M)",'Pre-Calculation'!$D$16="% OF AFV(8Q)"),AVERAGE( $M73:$M96),IF('Pre-Calculation'!$D$16="% OF AFV(12M)",AVERAGE($M85:M96),IF('Pre-Calculation'!$D$16="% OF AFV(36M)",AVERAGE($M61:M96)))))</f>
        <v>1562523.459</v>
      </c>
      <c r="O96" s="175">
        <f t="shared" si="4"/>
        <v>1562523.459</v>
      </c>
      <c r="P96" s="175">
        <f>IF('Pre-Calculation'!$D$17="Type 4 a",MAX(SA,N96,1.05*Q96),IF('Pre-Calculation'!$D$17="Type 4 c",N96,IF('Pre-Calculation'!$D$17="Type 4 d",SA+N96,IF('Pre-Calculation'!$D$17="Type 4 e",MAX(SA,N96),IF('Pre-Calculation'!$D$17="Type 4 f",SA,IF('Pre-Calculation'!$D$17="Type 4 g",1000+N96,IF('Pre-Calculation'!$D$17="Type 4 h",SA+V96,IF('Pre-Calculation'!$D$17="Type 4 i",MAX(N96,Q96),IF('Pre-Calculation'!$D$17="Type 4 k",MAX(N96,1.01*Q96),IF('Pre-Calculation'!$D$17="Type 4 m",MAX(105%*Q96,SA+N96),IF('Pre-Calculation'!$D$17="Type 4 o",MAX(SA,105%*Q96)+V96+X96,IF('Pre-Calculation'!$D$17="Type 5",0))))))))))))</f>
        <v>1562523.459</v>
      </c>
      <c r="Q96" s="175">
        <f t="shared" si="5"/>
        <v>1000000</v>
      </c>
      <c r="R96" s="119">
        <f>L96*(1+GROWTH_RATE)*FMC</f>
        <v>1760.363786</v>
      </c>
      <c r="S96" s="112"/>
      <c r="T96" s="175">
        <f>-E96+IF(A95=INPUT!$C$11*12,N96,0)</f>
        <v>0</v>
      </c>
      <c r="U96" s="112"/>
      <c r="V96" s="179">
        <f t="array" ref="V96">NPV('Pre-Calculation'!$E$20,$E97:E$246)</f>
        <v>0</v>
      </c>
      <c r="W96" s="171">
        <f>10%*SA</f>
        <v>100000</v>
      </c>
      <c r="X96" s="179">
        <f t="array" ref="X96">NPV('Pre-Calculation'!$E$20,W97:W106)</f>
        <v>969592.8037</v>
      </c>
      <c r="Y96" s="12"/>
      <c r="Z96" s="12"/>
    </row>
    <row r="97" ht="15.75" customHeight="1">
      <c r="A97" s="171">
        <f t="shared" si="1"/>
        <v>151</v>
      </c>
      <c r="B97" s="171">
        <f t="shared" si="2"/>
        <v>13</v>
      </c>
      <c r="C97" s="176">
        <f>EDATE(RCD,A96)</f>
        <v>47117</v>
      </c>
      <c r="D97" s="171">
        <f>Age_At_Entry+'Cashflows_Bond Fund'!B97-1</f>
        <v>47</v>
      </c>
      <c r="E97" s="175">
        <f>IF(AND(C97&lt;=Last_Prem,MOD(A96,Mode)=0,C97&gt;INPUT!$C$13,A97&lt;=Revival!$C$11),Mod_Prem,0)</f>
        <v>0</v>
      </c>
      <c r="F97" s="177">
        <f>E97*VLOOKUP(B97,'Pre-Calculation'!$H$1:$I$31,2,FALSE)</f>
        <v>0</v>
      </c>
      <c r="G97" s="177">
        <f>IF(B97&lt;PT+1,VLOOKUP(B97,'Pre-Calculation'!$H$1:$L$32,3,FALSE)+VLOOKUP(B97,'Pre-Calculation'!$H$1:$L$32,4,FALSE)*'Pre-Calculation'!$D$7,0)</f>
        <v>0</v>
      </c>
      <c r="H97" s="175">
        <f>(E97-(F97+G97)*(1+Tax)+N96)</f>
        <v>1562523.459</v>
      </c>
      <c r="I97" s="175">
        <f>IF(B97&lt;PT+1,VLOOKUP(D97,'Pre-Calculation'!$N$3:$P$79,IF(INPUT!$C$4="M",2,3),FALSE)*(J97/1000)*(1/12),0)</f>
        <v>0</v>
      </c>
      <c r="J97" s="175">
        <f t="shared" si="3"/>
        <v>0</v>
      </c>
      <c r="K97" s="175">
        <f>(IF('Pre-Calculation'!$D$17="Type 4 a",MAX(SA,H97,1.05*Q97),IF('Pre-Calculation'!$D$17="Type 4 c",H97,IF('Pre-Calculation'!$D$17="Type 4 d",SA+H97,IF('Pre-Calculation'!$D$17="Type 4 e",MAX(SA,H97),IF('Pre-Calculation'!$D$17="Type 4 f",SA,IF('Pre-Calculation'!$D$17="Type 4 g",1000+H97,IF('Pre-Calculation'!$D$17="Type 4 h",SA+V97,IF('Pre-Calculation'!$D$17="Type 4 i",MAX(H97,Q97),IF('Pre-Calculation'!$D$17="Type 4 k",MAX(H97,1.01*Q97),IF('Pre-Calculation'!$D$17="Type 4 m",MAX(105%*Q97,SA+H97),IF('Pre-Calculation'!$D$17="Type 4 o",MAX(SA,105%*Q97)+V97+X97,IF('Pre-Calculation'!$D$17="Type 5",0)))))))))))))*IF(AND(A97&lt;Revival!$C$4,C97&gt;=Revival!$D$12),PUP,1)</f>
        <v>1562523.459</v>
      </c>
      <c r="L97" s="175">
        <f>H97-I97*(1+Tax)</f>
        <v>1562523.459</v>
      </c>
      <c r="M97" s="175">
        <f>L97*(1+'Pre-Calculation'!$E$28)*(1-'Pre-Calculation'!$E$29*(1+Tax))</f>
        <v>1569467.264</v>
      </c>
      <c r="N97" s="175">
        <f>M97+IF(MOD(A97,B97)=0,VLOOKUP(B97,'Pre-Calculation'!$H$1:$L$31,5,FALSE),0)*IF('Pre-Calculation'!$D$16="% OF FV",M97,IF(OR('Pre-Calculation'!$D$16="% OF AFV(24M)",'Pre-Calculation'!$D$16="% OF AFV(8Q)"),AVERAGE( $M74:$M97),IF('Pre-Calculation'!$D$16="% OF AFV(12M)",AVERAGE($M86:M97),IF('Pre-Calculation'!$D$16="% OF AFV(36M)",AVERAGE($M62:M97)))))</f>
        <v>1569467.264</v>
      </c>
      <c r="O97" s="175">
        <f t="shared" si="4"/>
        <v>1569467.264</v>
      </c>
      <c r="P97" s="175">
        <f>IF('Pre-Calculation'!$D$17="Type 4 a",MAX(SA,N97,1.05*Q97),IF('Pre-Calculation'!$D$17="Type 4 c",N97,IF('Pre-Calculation'!$D$17="Type 4 d",SA+N97,IF('Pre-Calculation'!$D$17="Type 4 e",MAX(SA,N97),IF('Pre-Calculation'!$D$17="Type 4 f",SA,IF('Pre-Calculation'!$D$17="Type 4 g",1000+N97,IF('Pre-Calculation'!$D$17="Type 4 h",SA+V97,IF('Pre-Calculation'!$D$17="Type 4 i",MAX(N97,Q97),IF('Pre-Calculation'!$D$17="Type 4 k",MAX(N97,1.01*Q97),IF('Pre-Calculation'!$D$17="Type 4 m",MAX(105%*Q97,SA+N97),IF('Pre-Calculation'!$D$17="Type 4 o",MAX(SA,105%*Q97)+V97+X97,IF('Pre-Calculation'!$D$17="Type 5",0))))))))))))</f>
        <v>1569467.264</v>
      </c>
      <c r="Q97" s="175">
        <f t="shared" si="5"/>
        <v>1000000</v>
      </c>
      <c r="R97" s="119">
        <f>L97*(1+GROWTH_RATE)*FMC</f>
        <v>1768.186787</v>
      </c>
      <c r="S97" s="112"/>
      <c r="T97" s="175">
        <f>-E97+IF(A96=INPUT!$C$11*12,N97,0)</f>
        <v>0</v>
      </c>
      <c r="U97" s="112"/>
      <c r="V97" s="179">
        <f t="array" ref="V97">NPV('Pre-Calculation'!$E$20,$E98:E$246)</f>
        <v>0</v>
      </c>
      <c r="W97" s="171">
        <f>10%*SA</f>
        <v>100000</v>
      </c>
      <c r="X97" s="179">
        <f t="array" ref="X97">NPV('Pre-Calculation'!$E$20,W98:W107)</f>
        <v>969592.8037</v>
      </c>
      <c r="Y97" s="12"/>
      <c r="Z97" s="12"/>
    </row>
    <row r="98" ht="15.75" customHeight="1">
      <c r="A98" s="171">
        <f t="shared" si="1"/>
        <v>152</v>
      </c>
      <c r="B98" s="171">
        <f t="shared" si="2"/>
        <v>13</v>
      </c>
      <c r="C98" s="176">
        <f>EDATE(RCD,A97)</f>
        <v>47148</v>
      </c>
      <c r="D98" s="171">
        <f>Age_At_Entry+'Cashflows_Bond Fund'!B98-1</f>
        <v>47</v>
      </c>
      <c r="E98" s="175">
        <f>IF(AND(C98&lt;=Last_Prem,MOD(A97,Mode)=0,C98&gt;INPUT!$C$13,A98&lt;=Revival!$C$11),Mod_Prem,0)</f>
        <v>0</v>
      </c>
      <c r="F98" s="177">
        <f>E98*VLOOKUP(B98,'Pre-Calculation'!$H$1:$I$31,2,FALSE)</f>
        <v>0</v>
      </c>
      <c r="G98" s="177">
        <f>IF(B98&lt;PT+1,VLOOKUP(B98,'Pre-Calculation'!$H$1:$L$32,3,FALSE)+VLOOKUP(B98,'Pre-Calculation'!$H$1:$L$32,4,FALSE)*'Pre-Calculation'!$D$7,0)</f>
        <v>0</v>
      </c>
      <c r="H98" s="175">
        <f>(E98-(F98+G98)*(1+Tax)+N97)</f>
        <v>1569467.264</v>
      </c>
      <c r="I98" s="175">
        <f>IF(B98&lt;PT+1,VLOOKUP(D98,'Pre-Calculation'!$N$3:$P$79,IF(INPUT!$C$4="M",2,3),FALSE)*(J98/1000)*(1/12),0)</f>
        <v>0</v>
      </c>
      <c r="J98" s="175">
        <f t="shared" si="3"/>
        <v>0</v>
      </c>
      <c r="K98" s="175">
        <f>(IF('Pre-Calculation'!$D$17="Type 4 a",MAX(SA,H98,1.05*Q98),IF('Pre-Calculation'!$D$17="Type 4 c",H98,IF('Pre-Calculation'!$D$17="Type 4 d",SA+H98,IF('Pre-Calculation'!$D$17="Type 4 e",MAX(SA,H98),IF('Pre-Calculation'!$D$17="Type 4 f",SA,IF('Pre-Calculation'!$D$17="Type 4 g",1000+H98,IF('Pre-Calculation'!$D$17="Type 4 h",SA+V98,IF('Pre-Calculation'!$D$17="Type 4 i",MAX(H98,Q98),IF('Pre-Calculation'!$D$17="Type 4 k",MAX(H98,1.01*Q98),IF('Pre-Calculation'!$D$17="Type 4 m",MAX(105%*Q98,SA+H98),IF('Pre-Calculation'!$D$17="Type 4 o",MAX(SA,105%*Q98)+V98+X98,IF('Pre-Calculation'!$D$17="Type 5",0)))))))))))))*IF(AND(A98&lt;Revival!$C$4,C98&gt;=Revival!$D$12),PUP,1)</f>
        <v>1569467.264</v>
      </c>
      <c r="L98" s="175">
        <f>H98-I98*(1+Tax)</f>
        <v>1569467.264</v>
      </c>
      <c r="M98" s="175">
        <f>L98*(1+'Pre-Calculation'!$E$28)*(1-'Pre-Calculation'!$E$29*(1+Tax))</f>
        <v>1576441.927</v>
      </c>
      <c r="N98" s="175">
        <f>M98+IF(MOD(A98,B98)=0,VLOOKUP(B98,'Pre-Calculation'!$H$1:$L$31,5,FALSE),0)*IF('Pre-Calculation'!$D$16="% OF FV",M98,IF(OR('Pre-Calculation'!$D$16="% OF AFV(24M)",'Pre-Calculation'!$D$16="% OF AFV(8Q)"),AVERAGE( $M75:$M98),IF('Pre-Calculation'!$D$16="% OF AFV(12M)",AVERAGE($M87:M98),IF('Pre-Calculation'!$D$16="% OF AFV(36M)",AVERAGE($M63:M98)))))</f>
        <v>1576441.927</v>
      </c>
      <c r="O98" s="175">
        <f t="shared" si="4"/>
        <v>1576441.927</v>
      </c>
      <c r="P98" s="175">
        <f>IF('Pre-Calculation'!$D$17="Type 4 a",MAX(SA,N98,1.05*Q98),IF('Pre-Calculation'!$D$17="Type 4 c",N98,IF('Pre-Calculation'!$D$17="Type 4 d",SA+N98,IF('Pre-Calculation'!$D$17="Type 4 e",MAX(SA,N98),IF('Pre-Calculation'!$D$17="Type 4 f",SA,IF('Pre-Calculation'!$D$17="Type 4 g",1000+N98,IF('Pre-Calculation'!$D$17="Type 4 h",SA+V98,IF('Pre-Calculation'!$D$17="Type 4 i",MAX(N98,Q98),IF('Pre-Calculation'!$D$17="Type 4 k",MAX(N98,1.01*Q98),IF('Pre-Calculation'!$D$17="Type 4 m",MAX(105%*Q98,SA+N98),IF('Pre-Calculation'!$D$17="Type 4 o",MAX(SA,105%*Q98)+V98+X98,IF('Pre-Calculation'!$D$17="Type 5",0))))))))))))</f>
        <v>1576441.927</v>
      </c>
      <c r="Q98" s="175">
        <f t="shared" si="5"/>
        <v>1000000</v>
      </c>
      <c r="R98" s="119">
        <f>L98*(1+GROWTH_RATE)*FMC</f>
        <v>1776.044554</v>
      </c>
      <c r="S98" s="112"/>
      <c r="T98" s="175">
        <f>-E98+IF(A97=INPUT!$C$11*12,N98,0)</f>
        <v>0</v>
      </c>
      <c r="U98" s="112"/>
      <c r="V98" s="179">
        <f t="array" ref="V98">NPV('Pre-Calculation'!$E$20,$E99:E$246)</f>
        <v>0</v>
      </c>
      <c r="W98" s="171">
        <f>10%*SA</f>
        <v>100000</v>
      </c>
      <c r="X98" s="179">
        <f t="array" ref="X98">NPV('Pre-Calculation'!$E$20,W99:W108)</f>
        <v>969592.8037</v>
      </c>
      <c r="Y98" s="12"/>
      <c r="Z98" s="12"/>
    </row>
    <row r="99" ht="15.75" customHeight="1">
      <c r="A99" s="171">
        <f t="shared" si="1"/>
        <v>153</v>
      </c>
      <c r="B99" s="171">
        <f t="shared" si="2"/>
        <v>13</v>
      </c>
      <c r="C99" s="176">
        <f>EDATE(RCD,A98)</f>
        <v>47177</v>
      </c>
      <c r="D99" s="171">
        <f>Age_At_Entry+'Cashflows_Bond Fund'!B99-1</f>
        <v>47</v>
      </c>
      <c r="E99" s="175">
        <f>IF(AND(C99&lt;=Last_Prem,MOD(A98,Mode)=0,C99&gt;INPUT!$C$13,A99&lt;=Revival!$C$11),Mod_Prem,0)</f>
        <v>0</v>
      </c>
      <c r="F99" s="177">
        <f>E99*VLOOKUP(B99,'Pre-Calculation'!$H$1:$I$31,2,FALSE)</f>
        <v>0</v>
      </c>
      <c r="G99" s="177">
        <f>IF(B99&lt;PT+1,VLOOKUP(B99,'Pre-Calculation'!$H$1:$L$32,3,FALSE)+VLOOKUP(B99,'Pre-Calculation'!$H$1:$L$32,4,FALSE)*'Pre-Calculation'!$D$7,0)</f>
        <v>0</v>
      </c>
      <c r="H99" s="175">
        <f>(E99-(F99+G99)*(1+Tax)+N98)</f>
        <v>1576441.927</v>
      </c>
      <c r="I99" s="175">
        <f>IF(B99&lt;PT+1,VLOOKUP(D99,'Pre-Calculation'!$N$3:$P$79,IF(INPUT!$C$4="M",2,3),FALSE)*(J99/1000)*(1/12),0)</f>
        <v>0</v>
      </c>
      <c r="J99" s="175">
        <f t="shared" si="3"/>
        <v>0</v>
      </c>
      <c r="K99" s="175">
        <f>(IF('Pre-Calculation'!$D$17="Type 4 a",MAX(SA,H99,1.05*Q99),IF('Pre-Calculation'!$D$17="Type 4 c",H99,IF('Pre-Calculation'!$D$17="Type 4 d",SA+H99,IF('Pre-Calculation'!$D$17="Type 4 e",MAX(SA,H99),IF('Pre-Calculation'!$D$17="Type 4 f",SA,IF('Pre-Calculation'!$D$17="Type 4 g",1000+H99,IF('Pre-Calculation'!$D$17="Type 4 h",SA+V99,IF('Pre-Calculation'!$D$17="Type 4 i",MAX(H99,Q99),IF('Pre-Calculation'!$D$17="Type 4 k",MAX(H99,1.01*Q99),IF('Pre-Calculation'!$D$17="Type 4 m",MAX(105%*Q99,SA+H99),IF('Pre-Calculation'!$D$17="Type 4 o",MAX(SA,105%*Q99)+V99+X99,IF('Pre-Calculation'!$D$17="Type 5",0)))))))))))))*IF(AND(A99&lt;Revival!$C$4,C99&gt;=Revival!$D$12),PUP,1)</f>
        <v>1576441.927</v>
      </c>
      <c r="L99" s="175">
        <f>H99-I99*(1+Tax)</f>
        <v>1576441.927</v>
      </c>
      <c r="M99" s="175">
        <f>L99*(1+'Pre-Calculation'!$E$28)*(1-'Pre-Calculation'!$E$29*(1+Tax))</f>
        <v>1583447.586</v>
      </c>
      <c r="N99" s="175">
        <f>M99+IF(MOD(A99,B99)=0,VLOOKUP(B99,'Pre-Calculation'!$H$1:$L$31,5,FALSE),0)*IF('Pre-Calculation'!$D$16="% OF FV",M99,IF(OR('Pre-Calculation'!$D$16="% OF AFV(24M)",'Pre-Calculation'!$D$16="% OF AFV(8Q)"),AVERAGE( $M76:$M99),IF('Pre-Calculation'!$D$16="% OF AFV(12M)",AVERAGE($M88:M99),IF('Pre-Calculation'!$D$16="% OF AFV(36M)",AVERAGE($M64:M99)))))</f>
        <v>1583447.586</v>
      </c>
      <c r="O99" s="175">
        <f t="shared" si="4"/>
        <v>1583447.586</v>
      </c>
      <c r="P99" s="175">
        <f>IF('Pre-Calculation'!$D$17="Type 4 a",MAX(SA,N99,1.05*Q99),IF('Pre-Calculation'!$D$17="Type 4 c",N99,IF('Pre-Calculation'!$D$17="Type 4 d",SA+N99,IF('Pre-Calculation'!$D$17="Type 4 e",MAX(SA,N99),IF('Pre-Calculation'!$D$17="Type 4 f",SA,IF('Pre-Calculation'!$D$17="Type 4 g",1000+N99,IF('Pre-Calculation'!$D$17="Type 4 h",SA+V99,IF('Pre-Calculation'!$D$17="Type 4 i",MAX(N99,Q99),IF('Pre-Calculation'!$D$17="Type 4 k",MAX(N99,1.01*Q99),IF('Pre-Calculation'!$D$17="Type 4 m",MAX(105%*Q99,SA+N99),IF('Pre-Calculation'!$D$17="Type 4 o",MAX(SA,105%*Q99)+V99+X99,IF('Pre-Calculation'!$D$17="Type 5",0))))))))))))</f>
        <v>1583447.586</v>
      </c>
      <c r="Q99" s="175">
        <f t="shared" si="5"/>
        <v>1000000</v>
      </c>
      <c r="R99" s="119">
        <f>L99*(1+GROWTH_RATE)*FMC</f>
        <v>1783.93724</v>
      </c>
      <c r="S99" s="112"/>
      <c r="T99" s="175">
        <f>-E99+IF(A98=INPUT!$C$11*12,N99,0)</f>
        <v>0</v>
      </c>
      <c r="U99" s="112"/>
      <c r="V99" s="179">
        <f t="array" ref="V99">NPV('Pre-Calculation'!$E$20,$E100:E$246)</f>
        <v>0</v>
      </c>
      <c r="W99" s="171">
        <f>10%*SA</f>
        <v>100000</v>
      </c>
      <c r="X99" s="179">
        <f t="array" ref="X99">NPV('Pre-Calculation'!$E$20,W100:W109)</f>
        <v>969592.8037</v>
      </c>
      <c r="Y99" s="12"/>
      <c r="Z99" s="12"/>
    </row>
    <row r="100" ht="15.75" customHeight="1">
      <c r="A100" s="171">
        <f t="shared" si="1"/>
        <v>154</v>
      </c>
      <c r="B100" s="171">
        <f t="shared" si="2"/>
        <v>13</v>
      </c>
      <c r="C100" s="176">
        <f>EDATE(RCD,A99)</f>
        <v>47207</v>
      </c>
      <c r="D100" s="171">
        <f>Age_At_Entry+'Cashflows_Bond Fund'!B100-1</f>
        <v>47</v>
      </c>
      <c r="E100" s="175">
        <f>IF(AND(C100&lt;=Last_Prem,MOD(A99,Mode)=0,C100&gt;INPUT!$C$13,A100&lt;=Revival!$C$11),Mod_Prem,0)</f>
        <v>0</v>
      </c>
      <c r="F100" s="177">
        <f>E100*VLOOKUP(B100,'Pre-Calculation'!$H$1:$I$31,2,FALSE)</f>
        <v>0</v>
      </c>
      <c r="G100" s="177">
        <f>IF(B100&lt;PT+1,VLOOKUP(B100,'Pre-Calculation'!$H$1:$L$32,3,FALSE)+VLOOKUP(B100,'Pre-Calculation'!$H$1:$L$32,4,FALSE)*'Pre-Calculation'!$D$7,0)</f>
        <v>0</v>
      </c>
      <c r="H100" s="175">
        <f>(E100-(F100+G100)*(1+Tax)+N99)</f>
        <v>1583447.586</v>
      </c>
      <c r="I100" s="175">
        <f>IF(B100&lt;PT+1,VLOOKUP(D100,'Pre-Calculation'!$N$3:$P$79,IF(INPUT!$C$4="M",2,3),FALSE)*(J100/1000)*(1/12),0)</f>
        <v>0</v>
      </c>
      <c r="J100" s="175">
        <f t="shared" si="3"/>
        <v>0</v>
      </c>
      <c r="K100" s="175">
        <f>(IF('Pre-Calculation'!$D$17="Type 4 a",MAX(SA,H100,1.05*Q100),IF('Pre-Calculation'!$D$17="Type 4 c",H100,IF('Pre-Calculation'!$D$17="Type 4 d",SA+H100,IF('Pre-Calculation'!$D$17="Type 4 e",MAX(SA,H100),IF('Pre-Calculation'!$D$17="Type 4 f",SA,IF('Pre-Calculation'!$D$17="Type 4 g",1000+H100,IF('Pre-Calculation'!$D$17="Type 4 h",SA+V100,IF('Pre-Calculation'!$D$17="Type 4 i",MAX(H100,Q100),IF('Pre-Calculation'!$D$17="Type 4 k",MAX(H100,1.01*Q100),IF('Pre-Calculation'!$D$17="Type 4 m",MAX(105%*Q100,SA+H100),IF('Pre-Calculation'!$D$17="Type 4 o",MAX(SA,105%*Q100)+V100+X100,IF('Pre-Calculation'!$D$17="Type 5",0)))))))))))))*IF(AND(A100&lt;Revival!$C$4,C100&gt;=Revival!$D$12),PUP,1)</f>
        <v>1583447.586</v>
      </c>
      <c r="L100" s="175">
        <f>H100-I100*(1+Tax)</f>
        <v>1583447.586</v>
      </c>
      <c r="M100" s="175">
        <f>L100*(1+'Pre-Calculation'!$E$28)*(1-'Pre-Calculation'!$E$29*(1+Tax))</f>
        <v>1590484.378</v>
      </c>
      <c r="N100" s="175">
        <f>M100+IF(MOD(A100,B100)=0,VLOOKUP(B100,'Pre-Calculation'!$H$1:$L$31,5,FALSE),0)*IF('Pre-Calculation'!$D$16="% OF FV",M100,IF(OR('Pre-Calculation'!$D$16="% OF AFV(24M)",'Pre-Calculation'!$D$16="% OF AFV(8Q)"),AVERAGE( $M77:$M100),IF('Pre-Calculation'!$D$16="% OF AFV(12M)",AVERAGE($M89:M100),IF('Pre-Calculation'!$D$16="% OF AFV(36M)",AVERAGE($M65:M100)))))</f>
        <v>1590484.378</v>
      </c>
      <c r="O100" s="175">
        <f t="shared" si="4"/>
        <v>1590484.378</v>
      </c>
      <c r="P100" s="175">
        <f>IF('Pre-Calculation'!$D$17="Type 4 a",MAX(SA,N100,1.05*Q100),IF('Pre-Calculation'!$D$17="Type 4 c",N100,IF('Pre-Calculation'!$D$17="Type 4 d",SA+N100,IF('Pre-Calculation'!$D$17="Type 4 e",MAX(SA,N100),IF('Pre-Calculation'!$D$17="Type 4 f",SA,IF('Pre-Calculation'!$D$17="Type 4 g",1000+N100,IF('Pre-Calculation'!$D$17="Type 4 h",SA+V100,IF('Pre-Calculation'!$D$17="Type 4 i",MAX(N100,Q100),IF('Pre-Calculation'!$D$17="Type 4 k",MAX(N100,1.01*Q100),IF('Pre-Calculation'!$D$17="Type 4 m",MAX(105%*Q100,SA+N100),IF('Pre-Calculation'!$D$17="Type 4 o",MAX(SA,105%*Q100)+V100+X100,IF('Pre-Calculation'!$D$17="Type 5",0))))))))))))</f>
        <v>1590484.378</v>
      </c>
      <c r="Q100" s="175">
        <f t="shared" si="5"/>
        <v>1000000</v>
      </c>
      <c r="R100" s="119">
        <f>L100*(1+GROWTH_RATE)*FMC</f>
        <v>1791.865002</v>
      </c>
      <c r="S100" s="112"/>
      <c r="T100" s="175">
        <f>-E100+IF(A99=INPUT!$C$11*12,N100,0)</f>
        <v>0</v>
      </c>
      <c r="U100" s="112"/>
      <c r="V100" s="179">
        <f t="array" ref="V100">NPV('Pre-Calculation'!$E$20,$E101:E$246)</f>
        <v>0</v>
      </c>
      <c r="W100" s="171">
        <f>10%*SA</f>
        <v>100000</v>
      </c>
      <c r="X100" s="179">
        <f t="array" ref="X100">NPV('Pre-Calculation'!$E$20,W101:W110)</f>
        <v>969592.8037</v>
      </c>
      <c r="Y100" s="12"/>
      <c r="Z100" s="12"/>
    </row>
    <row r="101" ht="15.75" customHeight="1">
      <c r="A101" s="171">
        <f t="shared" si="1"/>
        <v>155</v>
      </c>
      <c r="B101" s="171">
        <f t="shared" si="2"/>
        <v>13</v>
      </c>
      <c r="C101" s="176">
        <f>EDATE(RCD,A100)</f>
        <v>47238</v>
      </c>
      <c r="D101" s="171">
        <f>Age_At_Entry+'Cashflows_Bond Fund'!B101-1</f>
        <v>47</v>
      </c>
      <c r="E101" s="175">
        <f>IF(AND(C101&lt;=Last_Prem,MOD(A100,Mode)=0,C101&gt;INPUT!$C$13,A101&lt;=Revival!$C$11),Mod_Prem,0)</f>
        <v>0</v>
      </c>
      <c r="F101" s="177">
        <f>E101*VLOOKUP(B101,'Pre-Calculation'!$H$1:$I$31,2,FALSE)</f>
        <v>0</v>
      </c>
      <c r="G101" s="177">
        <f>IF(B101&lt;PT+1,VLOOKUP(B101,'Pre-Calculation'!$H$1:$L$32,3,FALSE)+VLOOKUP(B101,'Pre-Calculation'!$H$1:$L$32,4,FALSE)*'Pre-Calculation'!$D$7,0)</f>
        <v>0</v>
      </c>
      <c r="H101" s="175">
        <f>(E101-(F101+G101)*(1+Tax)+N100)</f>
        <v>1590484.378</v>
      </c>
      <c r="I101" s="175">
        <f>IF(B101&lt;PT+1,VLOOKUP(D101,'Pre-Calculation'!$N$3:$P$79,IF(INPUT!$C$4="M",2,3),FALSE)*(J101/1000)*(1/12),0)</f>
        <v>0</v>
      </c>
      <c r="J101" s="175">
        <f t="shared" si="3"/>
        <v>0</v>
      </c>
      <c r="K101" s="175">
        <f>(IF('Pre-Calculation'!$D$17="Type 4 a",MAX(SA,H101,1.05*Q101),IF('Pre-Calculation'!$D$17="Type 4 c",H101,IF('Pre-Calculation'!$D$17="Type 4 d",SA+H101,IF('Pre-Calculation'!$D$17="Type 4 e",MAX(SA,H101),IF('Pre-Calculation'!$D$17="Type 4 f",SA,IF('Pre-Calculation'!$D$17="Type 4 g",1000+H101,IF('Pre-Calculation'!$D$17="Type 4 h",SA+V101,IF('Pre-Calculation'!$D$17="Type 4 i",MAX(H101,Q101),IF('Pre-Calculation'!$D$17="Type 4 k",MAX(H101,1.01*Q101),IF('Pre-Calculation'!$D$17="Type 4 m",MAX(105%*Q101,SA+H101),IF('Pre-Calculation'!$D$17="Type 4 o",MAX(SA,105%*Q101)+V101+X101,IF('Pre-Calculation'!$D$17="Type 5",0)))))))))))))*IF(AND(A101&lt;Revival!$C$4,C101&gt;=Revival!$D$12),PUP,1)</f>
        <v>1590484.378</v>
      </c>
      <c r="L101" s="175">
        <f>H101-I101*(1+Tax)</f>
        <v>1590484.378</v>
      </c>
      <c r="M101" s="175">
        <f>L101*(1+'Pre-Calculation'!$E$28)*(1-'Pre-Calculation'!$E$29*(1+Tax))</f>
        <v>1597552.44</v>
      </c>
      <c r="N101" s="175">
        <f>M101+IF(MOD(A101,B101)=0,VLOOKUP(B101,'Pre-Calculation'!$H$1:$L$31,5,FALSE),0)*IF('Pre-Calculation'!$D$16="% OF FV",M101,IF(OR('Pre-Calculation'!$D$16="% OF AFV(24M)",'Pre-Calculation'!$D$16="% OF AFV(8Q)"),AVERAGE( $M78:$M101),IF('Pre-Calculation'!$D$16="% OF AFV(12M)",AVERAGE($M90:M101),IF('Pre-Calculation'!$D$16="% OF AFV(36M)",AVERAGE($M66:M101)))))</f>
        <v>1597552.44</v>
      </c>
      <c r="O101" s="175">
        <f t="shared" si="4"/>
        <v>1597552.44</v>
      </c>
      <c r="P101" s="175">
        <f>IF('Pre-Calculation'!$D$17="Type 4 a",MAX(SA,N101,1.05*Q101),IF('Pre-Calculation'!$D$17="Type 4 c",N101,IF('Pre-Calculation'!$D$17="Type 4 d",SA+N101,IF('Pre-Calculation'!$D$17="Type 4 e",MAX(SA,N101),IF('Pre-Calculation'!$D$17="Type 4 f",SA,IF('Pre-Calculation'!$D$17="Type 4 g",1000+N101,IF('Pre-Calculation'!$D$17="Type 4 h",SA+V101,IF('Pre-Calculation'!$D$17="Type 4 i",MAX(N101,Q101),IF('Pre-Calculation'!$D$17="Type 4 k",MAX(N101,1.01*Q101),IF('Pre-Calculation'!$D$17="Type 4 m",MAX(105%*Q101,SA+N101),IF('Pre-Calculation'!$D$17="Type 4 o",MAX(SA,105%*Q101)+V101+X101,IF('Pre-Calculation'!$D$17="Type 5",0))))))))))))</f>
        <v>1597552.44</v>
      </c>
      <c r="Q101" s="175">
        <f t="shared" si="5"/>
        <v>1000000</v>
      </c>
      <c r="R101" s="119">
        <f>L101*(1+GROWTH_RATE)*FMC</f>
        <v>1799.827994</v>
      </c>
      <c r="S101" s="112"/>
      <c r="T101" s="175">
        <f>-E101+IF(A100=INPUT!$C$11*12,N101,0)</f>
        <v>0</v>
      </c>
      <c r="U101" s="112"/>
      <c r="V101" s="179">
        <f t="array" ref="V101">NPV('Pre-Calculation'!$E$20,$E102:E$246)</f>
        <v>0</v>
      </c>
      <c r="W101" s="171">
        <f>10%*SA</f>
        <v>100000</v>
      </c>
      <c r="X101" s="179">
        <f t="array" ref="X101">NPV('Pre-Calculation'!$E$20,W102:W111)</f>
        <v>969592.8037</v>
      </c>
      <c r="Y101" s="12"/>
      <c r="Z101" s="12"/>
    </row>
    <row r="102" ht="15.75" customHeight="1">
      <c r="A102" s="171">
        <f t="shared" si="1"/>
        <v>156</v>
      </c>
      <c r="B102" s="171">
        <f t="shared" si="2"/>
        <v>13</v>
      </c>
      <c r="C102" s="176">
        <f>EDATE(RCD,A101)</f>
        <v>47268</v>
      </c>
      <c r="D102" s="171">
        <f>Age_At_Entry+'Cashflows_Bond Fund'!B102-1</f>
        <v>47</v>
      </c>
      <c r="E102" s="175">
        <f>IF(AND(C102&lt;=Last_Prem,MOD(A101,Mode)=0,C102&gt;INPUT!$C$13,A102&lt;=Revival!$C$11),Mod_Prem,0)</f>
        <v>0</v>
      </c>
      <c r="F102" s="177">
        <f>E102*VLOOKUP(B102,'Pre-Calculation'!$H$1:$I$31,2,FALSE)</f>
        <v>0</v>
      </c>
      <c r="G102" s="177">
        <f>IF(B102&lt;PT+1,VLOOKUP(B102,'Pre-Calculation'!$H$1:$L$32,3,FALSE)+VLOOKUP(B102,'Pre-Calculation'!$H$1:$L$32,4,FALSE)*'Pre-Calculation'!$D$7,0)</f>
        <v>0</v>
      </c>
      <c r="H102" s="175">
        <f>(E102-(F102+G102)*(1+Tax)+N101)</f>
        <v>1597552.44</v>
      </c>
      <c r="I102" s="175">
        <f>IF(B102&lt;PT+1,VLOOKUP(D102,'Pre-Calculation'!$N$3:$P$79,IF(INPUT!$C$4="M",2,3),FALSE)*(J102/1000)*(1/12),0)</f>
        <v>0</v>
      </c>
      <c r="J102" s="175">
        <f t="shared" si="3"/>
        <v>0</v>
      </c>
      <c r="K102" s="175">
        <f>(IF('Pre-Calculation'!$D$17="Type 4 a",MAX(SA,H102,1.05*Q102),IF('Pre-Calculation'!$D$17="Type 4 c",H102,IF('Pre-Calculation'!$D$17="Type 4 d",SA+H102,IF('Pre-Calculation'!$D$17="Type 4 e",MAX(SA,H102),IF('Pre-Calculation'!$D$17="Type 4 f",SA,IF('Pre-Calculation'!$D$17="Type 4 g",1000+H102,IF('Pre-Calculation'!$D$17="Type 4 h",SA+V102,IF('Pre-Calculation'!$D$17="Type 4 i",MAX(H102,Q102),IF('Pre-Calculation'!$D$17="Type 4 k",MAX(H102,1.01*Q102),IF('Pre-Calculation'!$D$17="Type 4 m",MAX(105%*Q102,SA+H102),IF('Pre-Calculation'!$D$17="Type 4 o",MAX(SA,105%*Q102)+V102+X102,IF('Pre-Calculation'!$D$17="Type 5",0)))))))))))))*IF(AND(A102&lt;Revival!$C$4,C102&gt;=Revival!$D$12),PUP,1)</f>
        <v>1597552.44</v>
      </c>
      <c r="L102" s="175">
        <f>H102-I102*(1+Tax)</f>
        <v>1597552.44</v>
      </c>
      <c r="M102" s="175">
        <f>L102*(1+'Pre-Calculation'!$E$28)*(1-'Pre-Calculation'!$E$29*(1+Tax))</f>
        <v>1604651.914</v>
      </c>
      <c r="N102" s="175">
        <f>M102+IF(MOD(A102,B102)=0,VLOOKUP(B102,'Pre-Calculation'!$H$1:$L$31,5,FALSE),0)*IF('Pre-Calculation'!$D$16="% OF FV",M102,IF(OR('Pre-Calculation'!$D$16="% OF AFV(24M)",'Pre-Calculation'!$D$16="% OF AFV(8Q)"),AVERAGE( $M79:$M102),IF('Pre-Calculation'!$D$16="% OF AFV(12M)",AVERAGE($M91:M102),IF('Pre-Calculation'!$D$16="% OF AFV(36M)",AVERAGE($M67:M102)))))</f>
        <v>1604651.914</v>
      </c>
      <c r="O102" s="175">
        <f t="shared" si="4"/>
        <v>1604651.914</v>
      </c>
      <c r="P102" s="175">
        <f>IF('Pre-Calculation'!$D$17="Type 4 a",MAX(SA,N102,1.05*Q102),IF('Pre-Calculation'!$D$17="Type 4 c",N102,IF('Pre-Calculation'!$D$17="Type 4 d",SA+N102,IF('Pre-Calculation'!$D$17="Type 4 e",MAX(SA,N102),IF('Pre-Calculation'!$D$17="Type 4 f",SA,IF('Pre-Calculation'!$D$17="Type 4 g",1000+N102,IF('Pre-Calculation'!$D$17="Type 4 h",SA+V102,IF('Pre-Calculation'!$D$17="Type 4 i",MAX(N102,Q102),IF('Pre-Calculation'!$D$17="Type 4 k",MAX(N102,1.01*Q102),IF('Pre-Calculation'!$D$17="Type 4 m",MAX(105%*Q102,SA+N102),IF('Pre-Calculation'!$D$17="Type 4 o",MAX(SA,105%*Q102)+V102+X102,IF('Pre-Calculation'!$D$17="Type 5",0))))))))))))</f>
        <v>1604651.914</v>
      </c>
      <c r="Q102" s="175">
        <f t="shared" si="5"/>
        <v>1000000</v>
      </c>
      <c r="R102" s="119">
        <f>L102*(1+GROWTH_RATE)*FMC</f>
        <v>1807.826373</v>
      </c>
      <c r="S102" s="112"/>
      <c r="T102" s="175">
        <f>-E102+IF(A101=INPUT!$C$11*12,N102,0)</f>
        <v>0</v>
      </c>
      <c r="U102" s="112"/>
      <c r="V102" s="179">
        <f t="array" ref="V102">NPV('Pre-Calculation'!$E$20,$E103:E$246)</f>
        <v>0</v>
      </c>
      <c r="W102" s="171">
        <f>10%*SA</f>
        <v>100000</v>
      </c>
      <c r="X102" s="179">
        <f t="array" ref="X102">NPV('Pre-Calculation'!$E$20,W103:W112)</f>
        <v>969592.8037</v>
      </c>
      <c r="Y102" s="12"/>
      <c r="Z102" s="12"/>
    </row>
    <row r="103" ht="15.75" customHeight="1">
      <c r="A103" s="171">
        <f t="shared" si="1"/>
        <v>157</v>
      </c>
      <c r="B103" s="171">
        <f t="shared" si="2"/>
        <v>14</v>
      </c>
      <c r="C103" s="176">
        <f>EDATE(RCD,A102)</f>
        <v>47299</v>
      </c>
      <c r="D103" s="171">
        <f>Age_At_Entry+'Cashflows_Bond Fund'!B103-1</f>
        <v>48</v>
      </c>
      <c r="E103" s="175">
        <f>IF(AND(C103&lt;=Last_Prem,MOD(A102,Mode)=0,C103&gt;INPUT!$C$13,A103&lt;=Revival!$C$11),Mod_Prem,0)</f>
        <v>0</v>
      </c>
      <c r="F103" s="177">
        <f>E103*VLOOKUP(B103,'Pre-Calculation'!$H$1:$I$31,2,FALSE)</f>
        <v>0</v>
      </c>
      <c r="G103" s="177">
        <f>IF(B103&lt;PT+1,VLOOKUP(B103,'Pre-Calculation'!$H$1:$L$32,3,FALSE)+VLOOKUP(B103,'Pre-Calculation'!$H$1:$L$32,4,FALSE)*'Pre-Calculation'!$D$7,0)</f>
        <v>0</v>
      </c>
      <c r="H103" s="175">
        <f>(E103-(F103+G103)*(1+Tax)+N102)</f>
        <v>1604651.914</v>
      </c>
      <c r="I103" s="175">
        <f>IF(B103&lt;PT+1,VLOOKUP(D103,'Pre-Calculation'!$N$3:$P$79,IF(INPUT!$C$4="M",2,3),FALSE)*(J103/1000)*(1/12),0)</f>
        <v>0</v>
      </c>
      <c r="J103" s="175">
        <f t="shared" si="3"/>
        <v>0</v>
      </c>
      <c r="K103" s="175">
        <f>(IF('Pre-Calculation'!$D$17="Type 4 a",MAX(SA,H103,1.05*Q103),IF('Pre-Calculation'!$D$17="Type 4 c",H103,IF('Pre-Calculation'!$D$17="Type 4 d",SA+H103,IF('Pre-Calculation'!$D$17="Type 4 e",MAX(SA,H103),IF('Pre-Calculation'!$D$17="Type 4 f",SA,IF('Pre-Calculation'!$D$17="Type 4 g",1000+H103,IF('Pre-Calculation'!$D$17="Type 4 h",SA+V103,IF('Pre-Calculation'!$D$17="Type 4 i",MAX(H103,Q103),IF('Pre-Calculation'!$D$17="Type 4 k",MAX(H103,1.01*Q103),IF('Pre-Calculation'!$D$17="Type 4 m",MAX(105%*Q103,SA+H103),IF('Pre-Calculation'!$D$17="Type 4 o",MAX(SA,105%*Q103)+V103+X103,IF('Pre-Calculation'!$D$17="Type 5",0)))))))))))))*IF(AND(A103&lt;Revival!$C$4,C103&gt;=Revival!$D$12),PUP,1)</f>
        <v>1604651.914</v>
      </c>
      <c r="L103" s="175">
        <f>H103-I103*(1+Tax)</f>
        <v>1604651.914</v>
      </c>
      <c r="M103" s="175">
        <f>L103*(1+'Pre-Calculation'!$E$28)*(1-'Pre-Calculation'!$E$29*(1+Tax))</f>
        <v>1611782.937</v>
      </c>
      <c r="N103" s="175">
        <f>M103+IF(MOD(A103,B103)=0,VLOOKUP(B103,'Pre-Calculation'!$H$1:$L$31,5,FALSE),0)*IF('Pre-Calculation'!$D$16="% OF FV",M103,IF(OR('Pre-Calculation'!$D$16="% OF AFV(24M)",'Pre-Calculation'!$D$16="% OF AFV(8Q)"),AVERAGE( $M80:$M103),IF('Pre-Calculation'!$D$16="% OF AFV(12M)",AVERAGE($M92:M103),IF('Pre-Calculation'!$D$16="% OF AFV(36M)",AVERAGE($M68:M103)))))</f>
        <v>1611782.937</v>
      </c>
      <c r="O103" s="175">
        <f t="shared" si="4"/>
        <v>1611782.937</v>
      </c>
      <c r="P103" s="175">
        <f>IF('Pre-Calculation'!$D$17="Type 4 a",MAX(SA,N103,1.05*Q103),IF('Pre-Calculation'!$D$17="Type 4 c",N103,IF('Pre-Calculation'!$D$17="Type 4 d",SA+N103,IF('Pre-Calculation'!$D$17="Type 4 e",MAX(SA,N103),IF('Pre-Calculation'!$D$17="Type 4 f",SA,IF('Pre-Calculation'!$D$17="Type 4 g",1000+N103,IF('Pre-Calculation'!$D$17="Type 4 h",SA+V103,IF('Pre-Calculation'!$D$17="Type 4 i",MAX(N103,Q103),IF('Pre-Calculation'!$D$17="Type 4 k",MAX(N103,1.01*Q103),IF('Pre-Calculation'!$D$17="Type 4 m",MAX(105%*Q103,SA+N103),IF('Pre-Calculation'!$D$17="Type 4 o",MAX(SA,105%*Q103)+V103+X103,IF('Pre-Calculation'!$D$17="Type 5",0))))))))))))</f>
        <v>1611782.937</v>
      </c>
      <c r="Q103" s="175">
        <f t="shared" si="5"/>
        <v>1000000</v>
      </c>
      <c r="R103" s="119">
        <f>L103*(1+GROWTH_RATE)*FMC</f>
        <v>1815.860297</v>
      </c>
      <c r="S103" s="112"/>
      <c r="T103" s="175">
        <f>-E103+IF(A102=INPUT!$C$11*12,N103,0)</f>
        <v>0</v>
      </c>
      <c r="U103" s="112"/>
      <c r="V103" s="179">
        <f t="array" ref="V103">NPV('Pre-Calculation'!$E$20,$E104:E$246)</f>
        <v>0</v>
      </c>
      <c r="W103" s="171">
        <f>10%*SA</f>
        <v>100000</v>
      </c>
      <c r="X103" s="179">
        <f t="array" ref="X103">NPV('Pre-Calculation'!$E$20,W104:W113)</f>
        <v>969592.8037</v>
      </c>
      <c r="Y103" s="12"/>
      <c r="Z103" s="12"/>
    </row>
    <row r="104" ht="15.75" customHeight="1">
      <c r="A104" s="171">
        <f t="shared" si="1"/>
        <v>158</v>
      </c>
      <c r="B104" s="171">
        <f t="shared" si="2"/>
        <v>14</v>
      </c>
      <c r="C104" s="176">
        <f>EDATE(RCD,A103)</f>
        <v>47329</v>
      </c>
      <c r="D104" s="171">
        <f>Age_At_Entry+'Cashflows_Bond Fund'!B104-1</f>
        <v>48</v>
      </c>
      <c r="E104" s="175">
        <f>IF(AND(C104&lt;=Last_Prem,MOD(A103,Mode)=0,C104&gt;INPUT!$C$13,A104&lt;=Revival!$C$11),Mod_Prem,0)</f>
        <v>0</v>
      </c>
      <c r="F104" s="177">
        <f>E104*VLOOKUP(B104,'Pre-Calculation'!$H$1:$I$31,2,FALSE)</f>
        <v>0</v>
      </c>
      <c r="G104" s="177">
        <f>IF(B104&lt;PT+1,VLOOKUP(B104,'Pre-Calculation'!$H$1:$L$32,3,FALSE)+VLOOKUP(B104,'Pre-Calculation'!$H$1:$L$32,4,FALSE)*'Pre-Calculation'!$D$7,0)</f>
        <v>0</v>
      </c>
      <c r="H104" s="175">
        <f>(E104-(F104+G104)*(1+Tax)+N103)</f>
        <v>1611782.937</v>
      </c>
      <c r="I104" s="175">
        <f>IF(B104&lt;PT+1,VLOOKUP(D104,'Pre-Calculation'!$N$3:$P$79,IF(INPUT!$C$4="M",2,3),FALSE)*(J104/1000)*(1/12),0)</f>
        <v>0</v>
      </c>
      <c r="J104" s="175">
        <f t="shared" si="3"/>
        <v>0</v>
      </c>
      <c r="K104" s="175">
        <f>(IF('Pre-Calculation'!$D$17="Type 4 a",MAX(SA,H104,1.05*Q104),IF('Pre-Calculation'!$D$17="Type 4 c",H104,IF('Pre-Calculation'!$D$17="Type 4 d",SA+H104,IF('Pre-Calculation'!$D$17="Type 4 e",MAX(SA,H104),IF('Pre-Calculation'!$D$17="Type 4 f",SA,IF('Pre-Calculation'!$D$17="Type 4 g",1000+H104,IF('Pre-Calculation'!$D$17="Type 4 h",SA+V104,IF('Pre-Calculation'!$D$17="Type 4 i",MAX(H104,Q104),IF('Pre-Calculation'!$D$17="Type 4 k",MAX(H104,1.01*Q104),IF('Pre-Calculation'!$D$17="Type 4 m",MAX(105%*Q104,SA+H104),IF('Pre-Calculation'!$D$17="Type 4 o",MAX(SA,105%*Q104)+V104+X104,IF('Pre-Calculation'!$D$17="Type 5",0)))))))))))))*IF(AND(A104&lt;Revival!$C$4,C104&gt;=Revival!$D$12),PUP,1)</f>
        <v>1611782.937</v>
      </c>
      <c r="L104" s="175">
        <f>H104-I104*(1+Tax)</f>
        <v>1611782.937</v>
      </c>
      <c r="M104" s="175">
        <f>L104*(1+'Pre-Calculation'!$E$28)*(1-'Pre-Calculation'!$E$29*(1+Tax))</f>
        <v>1618945.649</v>
      </c>
      <c r="N104" s="175">
        <f>M104+IF(MOD(A104,B104)=0,VLOOKUP(B104,'Pre-Calculation'!$H$1:$L$31,5,FALSE),0)*IF('Pre-Calculation'!$D$16="% OF FV",M104,IF(OR('Pre-Calculation'!$D$16="% OF AFV(24M)",'Pre-Calculation'!$D$16="% OF AFV(8Q)"),AVERAGE( $M81:$M104),IF('Pre-Calculation'!$D$16="% OF AFV(12M)",AVERAGE($M93:M104),IF('Pre-Calculation'!$D$16="% OF AFV(36M)",AVERAGE($M69:M104)))))</f>
        <v>1618945.649</v>
      </c>
      <c r="O104" s="175">
        <f t="shared" si="4"/>
        <v>1618945.649</v>
      </c>
      <c r="P104" s="175">
        <f>IF('Pre-Calculation'!$D$17="Type 4 a",MAX(SA,N104,1.05*Q104),IF('Pre-Calculation'!$D$17="Type 4 c",N104,IF('Pre-Calculation'!$D$17="Type 4 d",SA+N104,IF('Pre-Calculation'!$D$17="Type 4 e",MAX(SA,N104),IF('Pre-Calculation'!$D$17="Type 4 f",SA,IF('Pre-Calculation'!$D$17="Type 4 g",1000+N104,IF('Pre-Calculation'!$D$17="Type 4 h",SA+V104,IF('Pre-Calculation'!$D$17="Type 4 i",MAX(N104,Q104),IF('Pre-Calculation'!$D$17="Type 4 k",MAX(N104,1.01*Q104),IF('Pre-Calculation'!$D$17="Type 4 m",MAX(105%*Q104,SA+N104),IF('Pre-Calculation'!$D$17="Type 4 o",MAX(SA,105%*Q104)+V104+X104,IF('Pre-Calculation'!$D$17="Type 5",0))))))))))))</f>
        <v>1618945.649</v>
      </c>
      <c r="Q104" s="175">
        <f t="shared" si="5"/>
        <v>1000000</v>
      </c>
      <c r="R104" s="119">
        <f>L104*(1+GROWTH_RATE)*FMC</f>
        <v>1823.929923</v>
      </c>
      <c r="S104" s="112"/>
      <c r="T104" s="175">
        <f>-E104+IF(A103=INPUT!$C$11*12,N104,0)</f>
        <v>0</v>
      </c>
      <c r="U104" s="112"/>
      <c r="V104" s="179">
        <f t="array" ref="V104">NPV('Pre-Calculation'!$E$20,$E105:E$246)</f>
        <v>0</v>
      </c>
      <c r="W104" s="171">
        <f>10%*SA</f>
        <v>100000</v>
      </c>
      <c r="X104" s="179">
        <f t="array" ref="X104">NPV('Pre-Calculation'!$E$20,W105:W114)</f>
        <v>969592.8037</v>
      </c>
      <c r="Y104" s="12"/>
      <c r="Z104" s="12"/>
    </row>
    <row r="105" ht="15.75" customHeight="1">
      <c r="A105" s="171">
        <f t="shared" si="1"/>
        <v>159</v>
      </c>
      <c r="B105" s="171">
        <f t="shared" si="2"/>
        <v>14</v>
      </c>
      <c r="C105" s="176">
        <f>EDATE(RCD,A104)</f>
        <v>47360</v>
      </c>
      <c r="D105" s="171">
        <f>Age_At_Entry+'Cashflows_Bond Fund'!B105-1</f>
        <v>48</v>
      </c>
      <c r="E105" s="175">
        <f>IF(AND(C105&lt;=Last_Prem,MOD(A104,Mode)=0,C105&gt;INPUT!$C$13,A105&lt;=Revival!$C$11),Mod_Prem,0)</f>
        <v>0</v>
      </c>
      <c r="F105" s="177">
        <f>E105*VLOOKUP(B105,'Pre-Calculation'!$H$1:$I$31,2,FALSE)</f>
        <v>0</v>
      </c>
      <c r="G105" s="177">
        <f>IF(B105&lt;PT+1,VLOOKUP(B105,'Pre-Calculation'!$H$1:$L$32,3,FALSE)+VLOOKUP(B105,'Pre-Calculation'!$H$1:$L$32,4,FALSE)*'Pre-Calculation'!$D$7,0)</f>
        <v>0</v>
      </c>
      <c r="H105" s="175">
        <f>(E105-(F105+G105)*(1+Tax)+N104)</f>
        <v>1618945.649</v>
      </c>
      <c r="I105" s="175">
        <f>IF(B105&lt;PT+1,VLOOKUP(D105,'Pre-Calculation'!$N$3:$P$79,IF(INPUT!$C$4="M",2,3),FALSE)*(J105/1000)*(1/12),0)</f>
        <v>0</v>
      </c>
      <c r="J105" s="175">
        <f t="shared" si="3"/>
        <v>0</v>
      </c>
      <c r="K105" s="175">
        <f>(IF('Pre-Calculation'!$D$17="Type 4 a",MAX(SA,H105,1.05*Q105),IF('Pre-Calculation'!$D$17="Type 4 c",H105,IF('Pre-Calculation'!$D$17="Type 4 d",SA+H105,IF('Pre-Calculation'!$D$17="Type 4 e",MAX(SA,H105),IF('Pre-Calculation'!$D$17="Type 4 f",SA,IF('Pre-Calculation'!$D$17="Type 4 g",1000+H105,IF('Pre-Calculation'!$D$17="Type 4 h",SA+V105,IF('Pre-Calculation'!$D$17="Type 4 i",MAX(H105,Q105),IF('Pre-Calculation'!$D$17="Type 4 k",MAX(H105,1.01*Q105),IF('Pre-Calculation'!$D$17="Type 4 m",MAX(105%*Q105,SA+H105),IF('Pre-Calculation'!$D$17="Type 4 o",MAX(SA,105%*Q105)+V105+X105,IF('Pre-Calculation'!$D$17="Type 5",0)))))))))))))*IF(AND(A105&lt;Revival!$C$4,C105&gt;=Revival!$D$12),PUP,1)</f>
        <v>1618945.649</v>
      </c>
      <c r="L105" s="175">
        <f>H105-I105*(1+Tax)</f>
        <v>1618945.649</v>
      </c>
      <c r="M105" s="175">
        <f>L105*(1+'Pre-Calculation'!$E$28)*(1-'Pre-Calculation'!$E$29*(1+Tax))</f>
        <v>1626140.193</v>
      </c>
      <c r="N105" s="175">
        <f>M105+IF(MOD(A105,B105)=0,VLOOKUP(B105,'Pre-Calculation'!$H$1:$L$31,5,FALSE),0)*IF('Pre-Calculation'!$D$16="% OF FV",M105,IF(OR('Pre-Calculation'!$D$16="% OF AFV(24M)",'Pre-Calculation'!$D$16="% OF AFV(8Q)"),AVERAGE( $M82:$M105),IF('Pre-Calculation'!$D$16="% OF AFV(12M)",AVERAGE($M94:M105),IF('Pre-Calculation'!$D$16="% OF AFV(36M)",AVERAGE($M70:M105)))))</f>
        <v>1626140.193</v>
      </c>
      <c r="O105" s="175">
        <f t="shared" si="4"/>
        <v>1626140.193</v>
      </c>
      <c r="P105" s="175">
        <f>IF('Pre-Calculation'!$D$17="Type 4 a",MAX(SA,N105,1.05*Q105),IF('Pre-Calculation'!$D$17="Type 4 c",N105,IF('Pre-Calculation'!$D$17="Type 4 d",SA+N105,IF('Pre-Calculation'!$D$17="Type 4 e",MAX(SA,N105),IF('Pre-Calculation'!$D$17="Type 4 f",SA,IF('Pre-Calculation'!$D$17="Type 4 g",1000+N105,IF('Pre-Calculation'!$D$17="Type 4 h",SA+V105,IF('Pre-Calculation'!$D$17="Type 4 i",MAX(N105,Q105),IF('Pre-Calculation'!$D$17="Type 4 k",MAX(N105,1.01*Q105),IF('Pre-Calculation'!$D$17="Type 4 m",MAX(105%*Q105,SA+N105),IF('Pre-Calculation'!$D$17="Type 4 o",MAX(SA,105%*Q105)+V105+X105,IF('Pre-Calculation'!$D$17="Type 5",0))))))))))))</f>
        <v>1626140.193</v>
      </c>
      <c r="Q105" s="175">
        <f t="shared" si="5"/>
        <v>1000000</v>
      </c>
      <c r="R105" s="119">
        <f>L105*(1+GROWTH_RATE)*FMC</f>
        <v>1832.035411</v>
      </c>
      <c r="S105" s="112"/>
      <c r="T105" s="175">
        <f>-E105+IF(A104=INPUT!$C$11*12,N105,0)</f>
        <v>0</v>
      </c>
      <c r="U105" s="112"/>
      <c r="V105" s="179">
        <f t="array" ref="V105">NPV('Pre-Calculation'!$E$20,$E106:E$246)</f>
        <v>0</v>
      </c>
      <c r="W105" s="171">
        <f>10%*SA</f>
        <v>100000</v>
      </c>
      <c r="X105" s="179">
        <f t="array" ref="X105">NPV('Pre-Calculation'!$E$20,W106:W115)</f>
        <v>969592.8037</v>
      </c>
      <c r="Y105" s="12"/>
      <c r="Z105" s="12"/>
    </row>
    <row r="106" ht="15.75" customHeight="1">
      <c r="A106" s="171">
        <f t="shared" si="1"/>
        <v>160</v>
      </c>
      <c r="B106" s="171">
        <f t="shared" si="2"/>
        <v>14</v>
      </c>
      <c r="C106" s="176">
        <f>EDATE(RCD,A105)</f>
        <v>47391</v>
      </c>
      <c r="D106" s="171">
        <f>Age_At_Entry+'Cashflows_Bond Fund'!B106-1</f>
        <v>48</v>
      </c>
      <c r="E106" s="175">
        <f>IF(AND(C106&lt;=Last_Prem,MOD(A105,Mode)=0,C106&gt;INPUT!$C$13,A106&lt;=Revival!$C$11),Mod_Prem,0)</f>
        <v>0</v>
      </c>
      <c r="F106" s="177">
        <f>E106*VLOOKUP(B106,'Pre-Calculation'!$H$1:$I$31,2,FALSE)</f>
        <v>0</v>
      </c>
      <c r="G106" s="177">
        <f>IF(B106&lt;PT+1,VLOOKUP(B106,'Pre-Calculation'!$H$1:$L$32,3,FALSE)+VLOOKUP(B106,'Pre-Calculation'!$H$1:$L$32,4,FALSE)*'Pre-Calculation'!$D$7,0)</f>
        <v>0</v>
      </c>
      <c r="H106" s="175">
        <f>(E106-(F106+G106)*(1+Tax)+N105)</f>
        <v>1626140.193</v>
      </c>
      <c r="I106" s="175">
        <f>IF(B106&lt;PT+1,VLOOKUP(D106,'Pre-Calculation'!$N$3:$P$79,IF(INPUT!$C$4="M",2,3),FALSE)*(J106/1000)*(1/12),0)</f>
        <v>0</v>
      </c>
      <c r="J106" s="175">
        <f t="shared" si="3"/>
        <v>0</v>
      </c>
      <c r="K106" s="175">
        <f>(IF('Pre-Calculation'!$D$17="Type 4 a",MAX(SA,H106,1.05*Q106),IF('Pre-Calculation'!$D$17="Type 4 c",H106,IF('Pre-Calculation'!$D$17="Type 4 d",SA+H106,IF('Pre-Calculation'!$D$17="Type 4 e",MAX(SA,H106),IF('Pre-Calculation'!$D$17="Type 4 f",SA,IF('Pre-Calculation'!$D$17="Type 4 g",1000+H106,IF('Pre-Calculation'!$D$17="Type 4 h",SA+V106,IF('Pre-Calculation'!$D$17="Type 4 i",MAX(H106,Q106),IF('Pre-Calculation'!$D$17="Type 4 k",MAX(H106,1.01*Q106),IF('Pre-Calculation'!$D$17="Type 4 m",MAX(105%*Q106,SA+H106),IF('Pre-Calculation'!$D$17="Type 4 o",MAX(SA,105%*Q106)+V106+X106,IF('Pre-Calculation'!$D$17="Type 5",0)))))))))))))*IF(AND(A106&lt;Revival!$C$4,C106&gt;=Revival!$D$12),PUP,1)</f>
        <v>1626140.193</v>
      </c>
      <c r="L106" s="175">
        <f>H106-I106*(1+Tax)</f>
        <v>1626140.193</v>
      </c>
      <c r="M106" s="175">
        <f>L106*(1+'Pre-Calculation'!$E$28)*(1-'Pre-Calculation'!$E$29*(1+Tax))</f>
        <v>1633366.71</v>
      </c>
      <c r="N106" s="175">
        <f>M106+IF(MOD(A106,B106)=0,VLOOKUP(B106,'Pre-Calculation'!$H$1:$L$31,5,FALSE),0)*IF('Pre-Calculation'!$D$16="% OF FV",M106,IF(OR('Pre-Calculation'!$D$16="% OF AFV(24M)",'Pre-Calculation'!$D$16="% OF AFV(8Q)"),AVERAGE( $M83:$M106),IF('Pre-Calculation'!$D$16="% OF AFV(12M)",AVERAGE($M95:M106),IF('Pre-Calculation'!$D$16="% OF AFV(36M)",AVERAGE($M71:M106)))))</f>
        <v>1633366.71</v>
      </c>
      <c r="O106" s="175">
        <f t="shared" si="4"/>
        <v>1633366.71</v>
      </c>
      <c r="P106" s="175">
        <f>IF('Pre-Calculation'!$D$17="Type 4 a",MAX(SA,N106,1.05*Q106),IF('Pre-Calculation'!$D$17="Type 4 c",N106,IF('Pre-Calculation'!$D$17="Type 4 d",SA+N106,IF('Pre-Calculation'!$D$17="Type 4 e",MAX(SA,N106),IF('Pre-Calculation'!$D$17="Type 4 f",SA,IF('Pre-Calculation'!$D$17="Type 4 g",1000+N106,IF('Pre-Calculation'!$D$17="Type 4 h",SA+V106,IF('Pre-Calculation'!$D$17="Type 4 i",MAX(N106,Q106),IF('Pre-Calculation'!$D$17="Type 4 k",MAX(N106,1.01*Q106),IF('Pre-Calculation'!$D$17="Type 4 m",MAX(105%*Q106,SA+N106),IF('Pre-Calculation'!$D$17="Type 4 o",MAX(SA,105%*Q106)+V106+X106,IF('Pre-Calculation'!$D$17="Type 5",0))))))))))))</f>
        <v>1633366.71</v>
      </c>
      <c r="Q106" s="175">
        <f t="shared" si="5"/>
        <v>1000000</v>
      </c>
      <c r="R106" s="119">
        <f>L106*(1+GROWTH_RATE)*FMC</f>
        <v>1840.176919</v>
      </c>
      <c r="S106" s="112"/>
      <c r="T106" s="175">
        <f>-E106+IF(A105=INPUT!$C$11*12,N106,0)</f>
        <v>0</v>
      </c>
      <c r="U106" s="112"/>
      <c r="V106" s="179">
        <f t="array" ref="V106">NPV('Pre-Calculation'!$E$20,$E107:E$246)</f>
        <v>0</v>
      </c>
      <c r="W106" s="171">
        <f>10%*SA</f>
        <v>100000</v>
      </c>
      <c r="X106" s="179">
        <f t="array" ref="X106">NPV('Pre-Calculation'!$E$20,W107:W116)</f>
        <v>969592.8037</v>
      </c>
      <c r="Y106" s="12"/>
      <c r="Z106" s="12"/>
    </row>
    <row r="107" ht="15.75" customHeight="1">
      <c r="A107" s="171">
        <f t="shared" si="1"/>
        <v>161</v>
      </c>
      <c r="B107" s="171">
        <f t="shared" si="2"/>
        <v>14</v>
      </c>
      <c r="C107" s="176">
        <f>EDATE(RCD,A106)</f>
        <v>47421</v>
      </c>
      <c r="D107" s="171">
        <f>Age_At_Entry+'Cashflows_Bond Fund'!B107-1</f>
        <v>48</v>
      </c>
      <c r="E107" s="175">
        <f>IF(AND(C107&lt;=Last_Prem,MOD(A106,Mode)=0,C107&gt;INPUT!$C$13,A107&lt;=Revival!$C$11),Mod_Prem,0)</f>
        <v>0</v>
      </c>
      <c r="F107" s="177">
        <f>E107*VLOOKUP(B107,'Pre-Calculation'!$H$1:$I$31,2,FALSE)</f>
        <v>0</v>
      </c>
      <c r="G107" s="177">
        <f>IF(B107&lt;PT+1,VLOOKUP(B107,'Pre-Calculation'!$H$1:$L$32,3,FALSE)+VLOOKUP(B107,'Pre-Calculation'!$H$1:$L$32,4,FALSE)*'Pre-Calculation'!$D$7,0)</f>
        <v>0</v>
      </c>
      <c r="H107" s="175">
        <f>(E107-(F107+G107)*(1+Tax)+N106)</f>
        <v>1633366.71</v>
      </c>
      <c r="I107" s="175">
        <f>IF(B107&lt;PT+1,VLOOKUP(D107,'Pre-Calculation'!$N$3:$P$79,IF(INPUT!$C$4="M",2,3),FALSE)*(J107/1000)*(1/12),0)</f>
        <v>0</v>
      </c>
      <c r="J107" s="175">
        <f t="shared" si="3"/>
        <v>0</v>
      </c>
      <c r="K107" s="175">
        <f>(IF('Pre-Calculation'!$D$17="Type 4 a",MAX(SA,H107,1.05*Q107),IF('Pre-Calculation'!$D$17="Type 4 c",H107,IF('Pre-Calculation'!$D$17="Type 4 d",SA+H107,IF('Pre-Calculation'!$D$17="Type 4 e",MAX(SA,H107),IF('Pre-Calculation'!$D$17="Type 4 f",SA,IF('Pre-Calculation'!$D$17="Type 4 g",1000+H107,IF('Pre-Calculation'!$D$17="Type 4 h",SA+V107,IF('Pre-Calculation'!$D$17="Type 4 i",MAX(H107,Q107),IF('Pre-Calculation'!$D$17="Type 4 k",MAX(H107,1.01*Q107),IF('Pre-Calculation'!$D$17="Type 4 m",MAX(105%*Q107,SA+H107),IF('Pre-Calculation'!$D$17="Type 4 o",MAX(SA,105%*Q107)+V107+X107,IF('Pre-Calculation'!$D$17="Type 5",0)))))))))))))*IF(AND(A107&lt;Revival!$C$4,C107&gt;=Revival!$D$12),PUP,1)</f>
        <v>1633366.71</v>
      </c>
      <c r="L107" s="175">
        <f>H107-I107*(1+Tax)</f>
        <v>1633366.71</v>
      </c>
      <c r="M107" s="175">
        <f>L107*(1+'Pre-Calculation'!$E$28)*(1-'Pre-Calculation'!$E$29*(1+Tax))</f>
        <v>1640625.34</v>
      </c>
      <c r="N107" s="175">
        <f>M107+IF(MOD(A107,B107)=0,VLOOKUP(B107,'Pre-Calculation'!$H$1:$L$31,5,FALSE),0)*IF('Pre-Calculation'!$D$16="% OF FV",M107,IF(OR('Pre-Calculation'!$D$16="% OF AFV(24M)",'Pre-Calculation'!$D$16="% OF AFV(8Q)"),AVERAGE( $M84:$M107),IF('Pre-Calculation'!$D$16="% OF AFV(12M)",AVERAGE($M96:M107),IF('Pre-Calculation'!$D$16="% OF AFV(36M)",AVERAGE($M72:M107)))))</f>
        <v>1640625.34</v>
      </c>
      <c r="O107" s="175">
        <f t="shared" si="4"/>
        <v>1640625.34</v>
      </c>
      <c r="P107" s="175">
        <f>IF('Pre-Calculation'!$D$17="Type 4 a",MAX(SA,N107,1.05*Q107),IF('Pre-Calculation'!$D$17="Type 4 c",N107,IF('Pre-Calculation'!$D$17="Type 4 d",SA+N107,IF('Pre-Calculation'!$D$17="Type 4 e",MAX(SA,N107),IF('Pre-Calculation'!$D$17="Type 4 f",SA,IF('Pre-Calculation'!$D$17="Type 4 g",1000+N107,IF('Pre-Calculation'!$D$17="Type 4 h",SA+V107,IF('Pre-Calculation'!$D$17="Type 4 i",MAX(N107,Q107),IF('Pre-Calculation'!$D$17="Type 4 k",MAX(N107,1.01*Q107),IF('Pre-Calculation'!$D$17="Type 4 m",MAX(105%*Q107,SA+N107),IF('Pre-Calculation'!$D$17="Type 4 o",MAX(SA,105%*Q107)+V107+X107,IF('Pre-Calculation'!$D$17="Type 5",0))))))))))))</f>
        <v>1640625.34</v>
      </c>
      <c r="Q107" s="175">
        <f t="shared" si="5"/>
        <v>1000000</v>
      </c>
      <c r="R107" s="119">
        <f>L107*(1+GROWTH_RATE)*FMC</f>
        <v>1848.354608</v>
      </c>
      <c r="S107" s="112"/>
      <c r="T107" s="175">
        <f>-E107+IF(A106=INPUT!$C$11*12,N107,0)</f>
        <v>0</v>
      </c>
      <c r="U107" s="112"/>
      <c r="V107" s="179">
        <f t="array" ref="V107">NPV('Pre-Calculation'!$E$20,$E108:E$246)</f>
        <v>0</v>
      </c>
      <c r="W107" s="171">
        <f>10%*SA</f>
        <v>100000</v>
      </c>
      <c r="X107" s="179">
        <f t="array" ref="X107">NPV('Pre-Calculation'!$E$20,W108:W117)</f>
        <v>969592.8037</v>
      </c>
      <c r="Y107" s="12"/>
      <c r="Z107" s="12"/>
    </row>
    <row r="108" ht="15.75" customHeight="1">
      <c r="A108" s="171">
        <f t="shared" si="1"/>
        <v>162</v>
      </c>
      <c r="B108" s="171">
        <f t="shared" si="2"/>
        <v>14</v>
      </c>
      <c r="C108" s="176">
        <f>EDATE(RCD,A107)</f>
        <v>47452</v>
      </c>
      <c r="D108" s="171">
        <f>Age_At_Entry+'Cashflows_Bond Fund'!B108-1</f>
        <v>48</v>
      </c>
      <c r="E108" s="175">
        <f>IF(AND(C108&lt;=Last_Prem,MOD(A107,Mode)=0,C108&gt;INPUT!$C$13,A108&lt;=Revival!$C$11),Mod_Prem,0)</f>
        <v>0</v>
      </c>
      <c r="F108" s="177">
        <f>E108*VLOOKUP(B108,'Pre-Calculation'!$H$1:$I$31,2,FALSE)</f>
        <v>0</v>
      </c>
      <c r="G108" s="177">
        <f>IF(B108&lt;PT+1,VLOOKUP(B108,'Pre-Calculation'!$H$1:$L$32,3,FALSE)+VLOOKUP(B108,'Pre-Calculation'!$H$1:$L$32,4,FALSE)*'Pre-Calculation'!$D$7,0)</f>
        <v>0</v>
      </c>
      <c r="H108" s="175">
        <f>(E108-(F108+G108)*(1+Tax)+N107)</f>
        <v>1640625.34</v>
      </c>
      <c r="I108" s="175">
        <f>IF(B108&lt;PT+1,VLOOKUP(D108,'Pre-Calculation'!$N$3:$P$79,IF(INPUT!$C$4="M",2,3),FALSE)*(J108/1000)*(1/12),0)</f>
        <v>0</v>
      </c>
      <c r="J108" s="175">
        <f t="shared" si="3"/>
        <v>0</v>
      </c>
      <c r="K108" s="175">
        <f>(IF('Pre-Calculation'!$D$17="Type 4 a",MAX(SA,H108,1.05*Q108),IF('Pre-Calculation'!$D$17="Type 4 c",H108,IF('Pre-Calculation'!$D$17="Type 4 d",SA+H108,IF('Pre-Calculation'!$D$17="Type 4 e",MAX(SA,H108),IF('Pre-Calculation'!$D$17="Type 4 f",SA,IF('Pre-Calculation'!$D$17="Type 4 g",1000+H108,IF('Pre-Calculation'!$D$17="Type 4 h",SA+V108,IF('Pre-Calculation'!$D$17="Type 4 i",MAX(H108,Q108),IF('Pre-Calculation'!$D$17="Type 4 k",MAX(H108,1.01*Q108),IF('Pre-Calculation'!$D$17="Type 4 m",MAX(105%*Q108,SA+H108),IF('Pre-Calculation'!$D$17="Type 4 o",MAX(SA,105%*Q108)+V108+X108,IF('Pre-Calculation'!$D$17="Type 5",0)))))))))))))*IF(AND(A108&lt;Revival!$C$4,C108&gt;=Revival!$D$12),PUP,1)</f>
        <v>1640625.34</v>
      </c>
      <c r="L108" s="175">
        <f>H108-I108*(1+Tax)</f>
        <v>1640625.34</v>
      </c>
      <c r="M108" s="175">
        <f>L108*(1+'Pre-Calculation'!$E$28)*(1-'Pre-Calculation'!$E$29*(1+Tax))</f>
        <v>1647916.228</v>
      </c>
      <c r="N108" s="175">
        <f>M108+IF(MOD(A108,B108)=0,VLOOKUP(B108,'Pre-Calculation'!$H$1:$L$31,5,FALSE),0)*IF('Pre-Calculation'!$D$16="% OF FV",M108,IF(OR('Pre-Calculation'!$D$16="% OF AFV(24M)",'Pre-Calculation'!$D$16="% OF AFV(8Q)"),AVERAGE( $M85:$M108),IF('Pre-Calculation'!$D$16="% OF AFV(12M)",AVERAGE($M97:M108),IF('Pre-Calculation'!$D$16="% OF AFV(36M)",AVERAGE($M73:M108)))))</f>
        <v>1647916.228</v>
      </c>
      <c r="O108" s="175">
        <f t="shared" si="4"/>
        <v>1647916.228</v>
      </c>
      <c r="P108" s="175">
        <f>IF('Pre-Calculation'!$D$17="Type 4 a",MAX(SA,N108,1.05*Q108),IF('Pre-Calculation'!$D$17="Type 4 c",N108,IF('Pre-Calculation'!$D$17="Type 4 d",SA+N108,IF('Pre-Calculation'!$D$17="Type 4 e",MAX(SA,N108),IF('Pre-Calculation'!$D$17="Type 4 f",SA,IF('Pre-Calculation'!$D$17="Type 4 g",1000+N108,IF('Pre-Calculation'!$D$17="Type 4 h",SA+V108,IF('Pre-Calculation'!$D$17="Type 4 i",MAX(N108,Q108),IF('Pre-Calculation'!$D$17="Type 4 k",MAX(N108,1.01*Q108),IF('Pre-Calculation'!$D$17="Type 4 m",MAX(105%*Q108,SA+N108),IF('Pre-Calculation'!$D$17="Type 4 o",MAX(SA,105%*Q108)+V108+X108,IF('Pre-Calculation'!$D$17="Type 5",0))))))))))))</f>
        <v>1647916.228</v>
      </c>
      <c r="Q108" s="175">
        <f t="shared" si="5"/>
        <v>1000000</v>
      </c>
      <c r="R108" s="119">
        <f>L108*(1+GROWTH_RATE)*FMC</f>
        <v>1856.568638</v>
      </c>
      <c r="S108" s="112"/>
      <c r="T108" s="175">
        <f>-E108+IF(A107=INPUT!$C$11*12,N108,0)</f>
        <v>0</v>
      </c>
      <c r="U108" s="112"/>
      <c r="V108" s="179">
        <f t="array" ref="V108">NPV('Pre-Calculation'!$E$20,$E109:E$246)</f>
        <v>0</v>
      </c>
      <c r="W108" s="171">
        <f>10%*SA</f>
        <v>100000</v>
      </c>
      <c r="X108" s="179">
        <f t="array" ref="X108">NPV('Pre-Calculation'!$E$20,W109:W118)</f>
        <v>969592.8037</v>
      </c>
      <c r="Y108" s="12"/>
      <c r="Z108" s="12"/>
    </row>
    <row r="109" ht="15.75" customHeight="1">
      <c r="A109" s="171">
        <f t="shared" si="1"/>
        <v>163</v>
      </c>
      <c r="B109" s="171">
        <f t="shared" si="2"/>
        <v>14</v>
      </c>
      <c r="C109" s="176">
        <f>EDATE(RCD,A108)</f>
        <v>47482</v>
      </c>
      <c r="D109" s="171">
        <f>Age_At_Entry+'Cashflows_Bond Fund'!B109-1</f>
        <v>48</v>
      </c>
      <c r="E109" s="175">
        <f>IF(AND(C109&lt;=Last_Prem,MOD(A108,Mode)=0,C109&gt;INPUT!$C$13,A109&lt;=Revival!$C$11),Mod_Prem,0)</f>
        <v>0</v>
      </c>
      <c r="F109" s="177">
        <f>E109*VLOOKUP(B109,'Pre-Calculation'!$H$1:$I$31,2,FALSE)</f>
        <v>0</v>
      </c>
      <c r="G109" s="177">
        <f>IF(B109&lt;PT+1,VLOOKUP(B109,'Pre-Calculation'!$H$1:$L$32,3,FALSE)+VLOOKUP(B109,'Pre-Calculation'!$H$1:$L$32,4,FALSE)*'Pre-Calculation'!$D$7,0)</f>
        <v>0</v>
      </c>
      <c r="H109" s="175">
        <f>(E109-(F109+G109)*(1+Tax)+N108)</f>
        <v>1647916.228</v>
      </c>
      <c r="I109" s="175">
        <f>IF(B109&lt;PT+1,VLOOKUP(D109,'Pre-Calculation'!$N$3:$P$79,IF(INPUT!$C$4="M",2,3),FALSE)*(J109/1000)*(1/12),0)</f>
        <v>0</v>
      </c>
      <c r="J109" s="175">
        <f t="shared" si="3"/>
        <v>0</v>
      </c>
      <c r="K109" s="175">
        <f>(IF('Pre-Calculation'!$D$17="Type 4 a",MAX(SA,H109,1.05*Q109),IF('Pre-Calculation'!$D$17="Type 4 c",H109,IF('Pre-Calculation'!$D$17="Type 4 d",SA+H109,IF('Pre-Calculation'!$D$17="Type 4 e",MAX(SA,H109),IF('Pre-Calculation'!$D$17="Type 4 f",SA,IF('Pre-Calculation'!$D$17="Type 4 g",1000+H109,IF('Pre-Calculation'!$D$17="Type 4 h",SA+V109,IF('Pre-Calculation'!$D$17="Type 4 i",MAX(H109,Q109),IF('Pre-Calculation'!$D$17="Type 4 k",MAX(H109,1.01*Q109),IF('Pre-Calculation'!$D$17="Type 4 m",MAX(105%*Q109,SA+H109),IF('Pre-Calculation'!$D$17="Type 4 o",MAX(SA,105%*Q109)+V109+X109,IF('Pre-Calculation'!$D$17="Type 5",0)))))))))))))*IF(AND(A109&lt;Revival!$C$4,C109&gt;=Revival!$D$12),PUP,1)</f>
        <v>1647916.228</v>
      </c>
      <c r="L109" s="175">
        <f>H109-I109*(1+Tax)</f>
        <v>1647916.228</v>
      </c>
      <c r="M109" s="175">
        <f>L109*(1+'Pre-Calculation'!$E$28)*(1-'Pre-Calculation'!$E$29*(1+Tax))</f>
        <v>1655239.516</v>
      </c>
      <c r="N109" s="175">
        <f>M109+IF(MOD(A109,B109)=0,VLOOKUP(B109,'Pre-Calculation'!$H$1:$L$31,5,FALSE),0)*IF('Pre-Calculation'!$D$16="% OF FV",M109,IF(OR('Pre-Calculation'!$D$16="% OF AFV(24M)",'Pre-Calculation'!$D$16="% OF AFV(8Q)"),AVERAGE( $M86:$M109),IF('Pre-Calculation'!$D$16="% OF AFV(12M)",AVERAGE($M98:M109),IF('Pre-Calculation'!$D$16="% OF AFV(36M)",AVERAGE($M74:M109)))))</f>
        <v>1655239.516</v>
      </c>
      <c r="O109" s="175">
        <f t="shared" si="4"/>
        <v>1655239.516</v>
      </c>
      <c r="P109" s="175">
        <f>IF('Pre-Calculation'!$D$17="Type 4 a",MAX(SA,N109,1.05*Q109),IF('Pre-Calculation'!$D$17="Type 4 c",N109,IF('Pre-Calculation'!$D$17="Type 4 d",SA+N109,IF('Pre-Calculation'!$D$17="Type 4 e",MAX(SA,N109),IF('Pre-Calculation'!$D$17="Type 4 f",SA,IF('Pre-Calculation'!$D$17="Type 4 g",1000+N109,IF('Pre-Calculation'!$D$17="Type 4 h",SA+V109,IF('Pre-Calculation'!$D$17="Type 4 i",MAX(N109,Q109),IF('Pre-Calculation'!$D$17="Type 4 k",MAX(N109,1.01*Q109),IF('Pre-Calculation'!$D$17="Type 4 m",MAX(105%*Q109,SA+N109),IF('Pre-Calculation'!$D$17="Type 4 o",MAX(SA,105%*Q109)+V109+X109,IF('Pre-Calculation'!$D$17="Type 5",0))))))))))))</f>
        <v>1655239.516</v>
      </c>
      <c r="Q109" s="175">
        <f t="shared" si="5"/>
        <v>1000000</v>
      </c>
      <c r="R109" s="119">
        <f>L109*(1+GROWTH_RATE)*FMC</f>
        <v>1864.819171</v>
      </c>
      <c r="S109" s="112"/>
      <c r="T109" s="175">
        <f>-E109+IF(A108=INPUT!$C$11*12,N109,0)</f>
        <v>0</v>
      </c>
      <c r="U109" s="112"/>
      <c r="V109" s="179">
        <f t="array" ref="V109">NPV('Pre-Calculation'!$E$20,$E110:E$246)</f>
        <v>0</v>
      </c>
      <c r="W109" s="171">
        <f>10%*SA</f>
        <v>100000</v>
      </c>
      <c r="X109" s="179">
        <f t="array" ref="X109">NPV('Pre-Calculation'!$E$20,W110:W119)</f>
        <v>969592.8037</v>
      </c>
      <c r="Y109" s="12"/>
      <c r="Z109" s="12"/>
    </row>
    <row r="110" ht="15.75" customHeight="1">
      <c r="A110" s="171">
        <f t="shared" si="1"/>
        <v>164</v>
      </c>
      <c r="B110" s="171">
        <f t="shared" si="2"/>
        <v>14</v>
      </c>
      <c r="C110" s="176">
        <f>EDATE(RCD,A109)</f>
        <v>47513</v>
      </c>
      <c r="D110" s="171">
        <f>Age_At_Entry+'Cashflows_Bond Fund'!B110-1</f>
        <v>48</v>
      </c>
      <c r="E110" s="175">
        <f>IF(AND(C110&lt;=Last_Prem,MOD(A109,Mode)=0,C110&gt;INPUT!$C$13,A110&lt;=Revival!$C$11),Mod_Prem,0)</f>
        <v>0</v>
      </c>
      <c r="F110" s="177">
        <f>E110*VLOOKUP(B110,'Pre-Calculation'!$H$1:$I$31,2,FALSE)</f>
        <v>0</v>
      </c>
      <c r="G110" s="177">
        <f>IF(B110&lt;PT+1,VLOOKUP(B110,'Pre-Calculation'!$H$1:$L$32,3,FALSE)+VLOOKUP(B110,'Pre-Calculation'!$H$1:$L$32,4,FALSE)*'Pre-Calculation'!$D$7,0)</f>
        <v>0</v>
      </c>
      <c r="H110" s="175">
        <f>(E110-(F110+G110)*(1+Tax)+N109)</f>
        <v>1655239.516</v>
      </c>
      <c r="I110" s="175">
        <f>IF(B110&lt;PT+1,VLOOKUP(D110,'Pre-Calculation'!$N$3:$P$79,IF(INPUT!$C$4="M",2,3),FALSE)*(J110/1000)*(1/12),0)</f>
        <v>0</v>
      </c>
      <c r="J110" s="175">
        <f t="shared" si="3"/>
        <v>0</v>
      </c>
      <c r="K110" s="175">
        <f>(IF('Pre-Calculation'!$D$17="Type 4 a",MAX(SA,H110,1.05*Q110),IF('Pre-Calculation'!$D$17="Type 4 c",H110,IF('Pre-Calculation'!$D$17="Type 4 d",SA+H110,IF('Pre-Calculation'!$D$17="Type 4 e",MAX(SA,H110),IF('Pre-Calculation'!$D$17="Type 4 f",SA,IF('Pre-Calculation'!$D$17="Type 4 g",1000+H110,IF('Pre-Calculation'!$D$17="Type 4 h",SA+V110,IF('Pre-Calculation'!$D$17="Type 4 i",MAX(H110,Q110),IF('Pre-Calculation'!$D$17="Type 4 k",MAX(H110,1.01*Q110),IF('Pre-Calculation'!$D$17="Type 4 m",MAX(105%*Q110,SA+H110),IF('Pre-Calculation'!$D$17="Type 4 o",MAX(SA,105%*Q110)+V110+X110,IF('Pre-Calculation'!$D$17="Type 5",0)))))))))))))*IF(AND(A110&lt;Revival!$C$4,C110&gt;=Revival!$D$12),PUP,1)</f>
        <v>1655239.516</v>
      </c>
      <c r="L110" s="175">
        <f>H110-I110*(1+Tax)</f>
        <v>1655239.516</v>
      </c>
      <c r="M110" s="175">
        <f>L110*(1+'Pre-Calculation'!$E$28)*(1-'Pre-Calculation'!$E$29*(1+Tax))</f>
        <v>1662595.349</v>
      </c>
      <c r="N110" s="175">
        <f>M110+IF(MOD(A110,B110)=0,VLOOKUP(B110,'Pre-Calculation'!$H$1:$L$31,5,FALSE),0)*IF('Pre-Calculation'!$D$16="% OF FV",M110,IF(OR('Pre-Calculation'!$D$16="% OF AFV(24M)",'Pre-Calculation'!$D$16="% OF AFV(8Q)"),AVERAGE( $M87:$M110),IF('Pre-Calculation'!$D$16="% OF AFV(12M)",AVERAGE($M99:M110),IF('Pre-Calculation'!$D$16="% OF AFV(36M)",AVERAGE($M75:M110)))))</f>
        <v>1662595.349</v>
      </c>
      <c r="O110" s="175">
        <f t="shared" si="4"/>
        <v>1662595.349</v>
      </c>
      <c r="P110" s="175">
        <f>IF('Pre-Calculation'!$D$17="Type 4 a",MAX(SA,N110,1.05*Q110),IF('Pre-Calculation'!$D$17="Type 4 c",N110,IF('Pre-Calculation'!$D$17="Type 4 d",SA+N110,IF('Pre-Calculation'!$D$17="Type 4 e",MAX(SA,N110),IF('Pre-Calculation'!$D$17="Type 4 f",SA,IF('Pre-Calculation'!$D$17="Type 4 g",1000+N110,IF('Pre-Calculation'!$D$17="Type 4 h",SA+V110,IF('Pre-Calculation'!$D$17="Type 4 i",MAX(N110,Q110),IF('Pre-Calculation'!$D$17="Type 4 k",MAX(N110,1.01*Q110),IF('Pre-Calculation'!$D$17="Type 4 m",MAX(105%*Q110,SA+N110),IF('Pre-Calculation'!$D$17="Type 4 o",MAX(SA,105%*Q110)+V110+X110,IF('Pre-Calculation'!$D$17="Type 5",0))))))))))))</f>
        <v>1662595.349</v>
      </c>
      <c r="Q110" s="175">
        <f t="shared" si="5"/>
        <v>1000000</v>
      </c>
      <c r="R110" s="119">
        <f>L110*(1+GROWTH_RATE)*FMC</f>
        <v>1873.106369</v>
      </c>
      <c r="S110" s="112"/>
      <c r="T110" s="175">
        <f>-E110+IF(A109=INPUT!$C$11*12,N110,0)</f>
        <v>0</v>
      </c>
      <c r="U110" s="112"/>
      <c r="V110" s="179">
        <f t="array" ref="V110">NPV('Pre-Calculation'!$E$20,$E111:E$246)</f>
        <v>0</v>
      </c>
      <c r="W110" s="171">
        <f>10%*SA</f>
        <v>100000</v>
      </c>
      <c r="X110" s="179">
        <f t="array" ref="X110">NPV('Pre-Calculation'!$E$20,W111:W120)</f>
        <v>969592.8037</v>
      </c>
      <c r="Y110" s="12"/>
      <c r="Z110" s="12"/>
    </row>
    <row r="111" ht="15.75" customHeight="1">
      <c r="A111" s="171">
        <f t="shared" si="1"/>
        <v>165</v>
      </c>
      <c r="B111" s="171">
        <f t="shared" si="2"/>
        <v>14</v>
      </c>
      <c r="C111" s="176">
        <f>EDATE(RCD,A110)</f>
        <v>47542</v>
      </c>
      <c r="D111" s="171">
        <f>Age_At_Entry+'Cashflows_Bond Fund'!B111-1</f>
        <v>48</v>
      </c>
      <c r="E111" s="175">
        <f>IF(AND(C111&lt;=Last_Prem,MOD(A110,Mode)=0,C111&gt;INPUT!$C$13,A111&lt;=Revival!$C$11),Mod_Prem,0)</f>
        <v>0</v>
      </c>
      <c r="F111" s="177">
        <f>E111*VLOOKUP(B111,'Pre-Calculation'!$H$1:$I$31,2,FALSE)</f>
        <v>0</v>
      </c>
      <c r="G111" s="177">
        <f>IF(B111&lt;PT+1,VLOOKUP(B111,'Pre-Calculation'!$H$1:$L$32,3,FALSE)+VLOOKUP(B111,'Pre-Calculation'!$H$1:$L$32,4,FALSE)*'Pre-Calculation'!$D$7,0)</f>
        <v>0</v>
      </c>
      <c r="H111" s="175">
        <f>(E111-(F111+G111)*(1+Tax)+N110)</f>
        <v>1662595.349</v>
      </c>
      <c r="I111" s="175">
        <f>IF(B111&lt;PT+1,VLOOKUP(D111,'Pre-Calculation'!$N$3:$P$79,IF(INPUT!$C$4="M",2,3),FALSE)*(J111/1000)*(1/12),0)</f>
        <v>0</v>
      </c>
      <c r="J111" s="175">
        <f t="shared" si="3"/>
        <v>0</v>
      </c>
      <c r="K111" s="175">
        <f>(IF('Pre-Calculation'!$D$17="Type 4 a",MAX(SA,H111,1.05*Q111),IF('Pre-Calculation'!$D$17="Type 4 c",H111,IF('Pre-Calculation'!$D$17="Type 4 d",SA+H111,IF('Pre-Calculation'!$D$17="Type 4 e",MAX(SA,H111),IF('Pre-Calculation'!$D$17="Type 4 f",SA,IF('Pre-Calculation'!$D$17="Type 4 g",1000+H111,IF('Pre-Calculation'!$D$17="Type 4 h",SA+V111,IF('Pre-Calculation'!$D$17="Type 4 i",MAX(H111,Q111),IF('Pre-Calculation'!$D$17="Type 4 k",MAX(H111,1.01*Q111),IF('Pre-Calculation'!$D$17="Type 4 m",MAX(105%*Q111,SA+H111),IF('Pre-Calculation'!$D$17="Type 4 o",MAX(SA,105%*Q111)+V111+X111,IF('Pre-Calculation'!$D$17="Type 5",0)))))))))))))*IF(AND(A111&lt;Revival!$C$4,C111&gt;=Revival!$D$12),PUP,1)</f>
        <v>1662595.349</v>
      </c>
      <c r="L111" s="175">
        <f>H111-I111*(1+Tax)</f>
        <v>1662595.349</v>
      </c>
      <c r="M111" s="175">
        <f>L111*(1+'Pre-Calculation'!$E$28)*(1-'Pre-Calculation'!$E$29*(1+Tax))</f>
        <v>1669983.87</v>
      </c>
      <c r="N111" s="175">
        <f>M111+IF(MOD(A111,B111)=0,VLOOKUP(B111,'Pre-Calculation'!$H$1:$L$31,5,FALSE),0)*IF('Pre-Calculation'!$D$16="% OF FV",M111,IF(OR('Pre-Calculation'!$D$16="% OF AFV(24M)",'Pre-Calculation'!$D$16="% OF AFV(8Q)"),AVERAGE( $M88:$M111),IF('Pre-Calculation'!$D$16="% OF AFV(12M)",AVERAGE($M100:M111),IF('Pre-Calculation'!$D$16="% OF AFV(36M)",AVERAGE($M76:M111)))))</f>
        <v>1669983.87</v>
      </c>
      <c r="O111" s="175">
        <f t="shared" si="4"/>
        <v>1669983.87</v>
      </c>
      <c r="P111" s="175">
        <f>IF('Pre-Calculation'!$D$17="Type 4 a",MAX(SA,N111,1.05*Q111),IF('Pre-Calculation'!$D$17="Type 4 c",N111,IF('Pre-Calculation'!$D$17="Type 4 d",SA+N111,IF('Pre-Calculation'!$D$17="Type 4 e",MAX(SA,N111),IF('Pre-Calculation'!$D$17="Type 4 f",SA,IF('Pre-Calculation'!$D$17="Type 4 g",1000+N111,IF('Pre-Calculation'!$D$17="Type 4 h",SA+V111,IF('Pre-Calculation'!$D$17="Type 4 i",MAX(N111,Q111),IF('Pre-Calculation'!$D$17="Type 4 k",MAX(N111,1.01*Q111),IF('Pre-Calculation'!$D$17="Type 4 m",MAX(105%*Q111,SA+N111),IF('Pre-Calculation'!$D$17="Type 4 o",MAX(SA,105%*Q111)+V111+X111,IF('Pre-Calculation'!$D$17="Type 5",0))))))))))))</f>
        <v>1669983.87</v>
      </c>
      <c r="Q111" s="175">
        <f t="shared" si="5"/>
        <v>1000000</v>
      </c>
      <c r="R111" s="119">
        <f>L111*(1+GROWTH_RATE)*FMC</f>
        <v>1881.430395</v>
      </c>
      <c r="S111" s="112"/>
      <c r="T111" s="175">
        <f>-E111+IF(A110=INPUT!$C$11*12,N111,0)</f>
        <v>0</v>
      </c>
      <c r="U111" s="112"/>
      <c r="V111" s="179">
        <f t="array" ref="V111">NPV('Pre-Calculation'!$E$20,$E112:E$246)</f>
        <v>0</v>
      </c>
      <c r="W111" s="171">
        <f>10%*SA</f>
        <v>100000</v>
      </c>
      <c r="X111" s="179">
        <f t="array" ref="X111">NPV('Pre-Calculation'!$E$20,W112:W121)</f>
        <v>969592.8037</v>
      </c>
      <c r="Y111" s="12"/>
      <c r="Z111" s="12"/>
    </row>
    <row r="112" ht="15.75" customHeight="1">
      <c r="A112" s="171">
        <f t="shared" si="1"/>
        <v>166</v>
      </c>
      <c r="B112" s="171">
        <f t="shared" si="2"/>
        <v>14</v>
      </c>
      <c r="C112" s="176">
        <f>EDATE(RCD,A111)</f>
        <v>47572</v>
      </c>
      <c r="D112" s="171">
        <f>Age_At_Entry+'Cashflows_Bond Fund'!B112-1</f>
        <v>48</v>
      </c>
      <c r="E112" s="175">
        <f>IF(AND(C112&lt;=Last_Prem,MOD(A111,Mode)=0,C112&gt;INPUT!$C$13,A112&lt;=Revival!$C$11),Mod_Prem,0)</f>
        <v>0</v>
      </c>
      <c r="F112" s="177">
        <f>E112*VLOOKUP(B112,'Pre-Calculation'!$H$1:$I$31,2,FALSE)</f>
        <v>0</v>
      </c>
      <c r="G112" s="177">
        <f>IF(B112&lt;PT+1,VLOOKUP(B112,'Pre-Calculation'!$H$1:$L$32,3,FALSE)+VLOOKUP(B112,'Pre-Calculation'!$H$1:$L$32,4,FALSE)*'Pre-Calculation'!$D$7,0)</f>
        <v>0</v>
      </c>
      <c r="H112" s="175">
        <f>(E112-(F112+G112)*(1+Tax)+N111)</f>
        <v>1669983.87</v>
      </c>
      <c r="I112" s="175">
        <f>IF(B112&lt;PT+1,VLOOKUP(D112,'Pre-Calculation'!$N$3:$P$79,IF(INPUT!$C$4="M",2,3),FALSE)*(J112/1000)*(1/12),0)</f>
        <v>0</v>
      </c>
      <c r="J112" s="175">
        <f t="shared" si="3"/>
        <v>0</v>
      </c>
      <c r="K112" s="175">
        <f>(IF('Pre-Calculation'!$D$17="Type 4 a",MAX(SA,H112,1.05*Q112),IF('Pre-Calculation'!$D$17="Type 4 c",H112,IF('Pre-Calculation'!$D$17="Type 4 d",SA+H112,IF('Pre-Calculation'!$D$17="Type 4 e",MAX(SA,H112),IF('Pre-Calculation'!$D$17="Type 4 f",SA,IF('Pre-Calculation'!$D$17="Type 4 g",1000+H112,IF('Pre-Calculation'!$D$17="Type 4 h",SA+V112,IF('Pre-Calculation'!$D$17="Type 4 i",MAX(H112,Q112),IF('Pre-Calculation'!$D$17="Type 4 k",MAX(H112,1.01*Q112),IF('Pre-Calculation'!$D$17="Type 4 m",MAX(105%*Q112,SA+H112),IF('Pre-Calculation'!$D$17="Type 4 o",MAX(SA,105%*Q112)+V112+X112,IF('Pre-Calculation'!$D$17="Type 5",0)))))))))))))*IF(AND(A112&lt;Revival!$C$4,C112&gt;=Revival!$D$12),PUP,1)</f>
        <v>1669983.87</v>
      </c>
      <c r="L112" s="175">
        <f>H112-I112*(1+Tax)</f>
        <v>1669983.87</v>
      </c>
      <c r="M112" s="175">
        <f>L112*(1+'Pre-Calculation'!$E$28)*(1-'Pre-Calculation'!$E$29*(1+Tax))</f>
        <v>1677405.227</v>
      </c>
      <c r="N112" s="175">
        <f>M112+IF(MOD(A112,B112)=0,VLOOKUP(B112,'Pre-Calculation'!$H$1:$L$31,5,FALSE),0)*IF('Pre-Calculation'!$D$16="% OF FV",M112,IF(OR('Pre-Calculation'!$D$16="% OF AFV(24M)",'Pre-Calculation'!$D$16="% OF AFV(8Q)"),AVERAGE( $M89:$M112),IF('Pre-Calculation'!$D$16="% OF AFV(12M)",AVERAGE($M101:M112),IF('Pre-Calculation'!$D$16="% OF AFV(36M)",AVERAGE($M77:M112)))))</f>
        <v>1677405.227</v>
      </c>
      <c r="O112" s="175">
        <f t="shared" si="4"/>
        <v>1677405.227</v>
      </c>
      <c r="P112" s="175">
        <f>IF('Pre-Calculation'!$D$17="Type 4 a",MAX(SA,N112,1.05*Q112),IF('Pre-Calculation'!$D$17="Type 4 c",N112,IF('Pre-Calculation'!$D$17="Type 4 d",SA+N112,IF('Pre-Calculation'!$D$17="Type 4 e",MAX(SA,N112),IF('Pre-Calculation'!$D$17="Type 4 f",SA,IF('Pre-Calculation'!$D$17="Type 4 g",1000+N112,IF('Pre-Calculation'!$D$17="Type 4 h",SA+V112,IF('Pre-Calculation'!$D$17="Type 4 i",MAX(N112,Q112),IF('Pre-Calculation'!$D$17="Type 4 k",MAX(N112,1.01*Q112),IF('Pre-Calculation'!$D$17="Type 4 m",MAX(105%*Q112,SA+N112),IF('Pre-Calculation'!$D$17="Type 4 o",MAX(SA,105%*Q112)+V112+X112,IF('Pre-Calculation'!$D$17="Type 5",0))))))))))))</f>
        <v>1677405.227</v>
      </c>
      <c r="Q112" s="175">
        <f t="shared" si="5"/>
        <v>1000000</v>
      </c>
      <c r="R112" s="119">
        <f>L112*(1+GROWTH_RATE)*FMC</f>
        <v>1889.791413</v>
      </c>
      <c r="S112" s="112"/>
      <c r="T112" s="175">
        <f>-E112+IF(A111=INPUT!$C$11*12,N112,0)</f>
        <v>0</v>
      </c>
      <c r="U112" s="112"/>
      <c r="V112" s="179">
        <f t="array" ref="V112">NPV('Pre-Calculation'!$E$20,$E113:E$246)</f>
        <v>0</v>
      </c>
      <c r="W112" s="171">
        <f>10%*SA</f>
        <v>100000</v>
      </c>
      <c r="X112" s="179">
        <f t="array" ref="X112">NPV('Pre-Calculation'!$E$20,W113:W122)</f>
        <v>969592.8037</v>
      </c>
      <c r="Y112" s="12"/>
      <c r="Z112" s="12"/>
    </row>
    <row r="113" ht="15.75" customHeight="1">
      <c r="A113" s="171">
        <f t="shared" si="1"/>
        <v>167</v>
      </c>
      <c r="B113" s="171">
        <f t="shared" si="2"/>
        <v>14</v>
      </c>
      <c r="C113" s="176">
        <f>EDATE(RCD,A112)</f>
        <v>47603</v>
      </c>
      <c r="D113" s="171">
        <f>Age_At_Entry+'Cashflows_Bond Fund'!B113-1</f>
        <v>48</v>
      </c>
      <c r="E113" s="175">
        <f>IF(AND(C113&lt;=Last_Prem,MOD(A112,Mode)=0,C113&gt;INPUT!$C$13,A113&lt;=Revival!$C$11),Mod_Prem,0)</f>
        <v>0</v>
      </c>
      <c r="F113" s="177">
        <f>E113*VLOOKUP(B113,'Pre-Calculation'!$H$1:$I$31,2,FALSE)</f>
        <v>0</v>
      </c>
      <c r="G113" s="177">
        <f>IF(B113&lt;PT+1,VLOOKUP(B113,'Pre-Calculation'!$H$1:$L$32,3,FALSE)+VLOOKUP(B113,'Pre-Calculation'!$H$1:$L$32,4,FALSE)*'Pre-Calculation'!$D$7,0)</f>
        <v>0</v>
      </c>
      <c r="H113" s="175">
        <f>(E113-(F113+G113)*(1+Tax)+N112)</f>
        <v>1677405.227</v>
      </c>
      <c r="I113" s="175">
        <f>IF(B113&lt;PT+1,VLOOKUP(D113,'Pre-Calculation'!$N$3:$P$79,IF(INPUT!$C$4="M",2,3),FALSE)*(J113/1000)*(1/12),0)</f>
        <v>0</v>
      </c>
      <c r="J113" s="175">
        <f t="shared" si="3"/>
        <v>0</v>
      </c>
      <c r="K113" s="175">
        <f>(IF('Pre-Calculation'!$D$17="Type 4 a",MAX(SA,H113,1.05*Q113),IF('Pre-Calculation'!$D$17="Type 4 c",H113,IF('Pre-Calculation'!$D$17="Type 4 d",SA+H113,IF('Pre-Calculation'!$D$17="Type 4 e",MAX(SA,H113),IF('Pre-Calculation'!$D$17="Type 4 f",SA,IF('Pre-Calculation'!$D$17="Type 4 g",1000+H113,IF('Pre-Calculation'!$D$17="Type 4 h",SA+V113,IF('Pre-Calculation'!$D$17="Type 4 i",MAX(H113,Q113),IF('Pre-Calculation'!$D$17="Type 4 k",MAX(H113,1.01*Q113),IF('Pre-Calculation'!$D$17="Type 4 m",MAX(105%*Q113,SA+H113),IF('Pre-Calculation'!$D$17="Type 4 o",MAX(SA,105%*Q113)+V113+X113,IF('Pre-Calculation'!$D$17="Type 5",0)))))))))))))*IF(AND(A113&lt;Revival!$C$4,C113&gt;=Revival!$D$12),PUP,1)</f>
        <v>1677405.227</v>
      </c>
      <c r="L113" s="175">
        <f>H113-I113*(1+Tax)</f>
        <v>1677405.227</v>
      </c>
      <c r="M113" s="175">
        <f>L113*(1+'Pre-Calculation'!$E$28)*(1-'Pre-Calculation'!$E$29*(1+Tax))</f>
        <v>1684859.563</v>
      </c>
      <c r="N113" s="175">
        <f>M113+IF(MOD(A113,B113)=0,VLOOKUP(B113,'Pre-Calculation'!$H$1:$L$31,5,FALSE),0)*IF('Pre-Calculation'!$D$16="% OF FV",M113,IF(OR('Pre-Calculation'!$D$16="% OF AFV(24M)",'Pre-Calculation'!$D$16="% OF AFV(8Q)"),AVERAGE( $M90:$M113),IF('Pre-Calculation'!$D$16="% OF AFV(12M)",AVERAGE($M102:M113),IF('Pre-Calculation'!$D$16="% OF AFV(36M)",AVERAGE($M78:M113)))))</f>
        <v>1684859.563</v>
      </c>
      <c r="O113" s="175">
        <f t="shared" si="4"/>
        <v>1684859.563</v>
      </c>
      <c r="P113" s="175">
        <f>IF('Pre-Calculation'!$D$17="Type 4 a",MAX(SA,N113,1.05*Q113),IF('Pre-Calculation'!$D$17="Type 4 c",N113,IF('Pre-Calculation'!$D$17="Type 4 d",SA+N113,IF('Pre-Calculation'!$D$17="Type 4 e",MAX(SA,N113),IF('Pre-Calculation'!$D$17="Type 4 f",SA,IF('Pre-Calculation'!$D$17="Type 4 g",1000+N113,IF('Pre-Calculation'!$D$17="Type 4 h",SA+V113,IF('Pre-Calculation'!$D$17="Type 4 i",MAX(N113,Q113),IF('Pre-Calculation'!$D$17="Type 4 k",MAX(N113,1.01*Q113),IF('Pre-Calculation'!$D$17="Type 4 m",MAX(105%*Q113,SA+N113),IF('Pre-Calculation'!$D$17="Type 4 o",MAX(SA,105%*Q113)+V113+X113,IF('Pre-Calculation'!$D$17="Type 5",0))))))))))))</f>
        <v>1684859.563</v>
      </c>
      <c r="Q113" s="175">
        <f t="shared" si="5"/>
        <v>1000000</v>
      </c>
      <c r="R113" s="119">
        <f>L113*(1+GROWTH_RATE)*FMC</f>
        <v>1898.189587</v>
      </c>
      <c r="S113" s="112"/>
      <c r="T113" s="175">
        <f>-E113+IF(A112=INPUT!$C$11*12,N113,0)</f>
        <v>0</v>
      </c>
      <c r="U113" s="112"/>
      <c r="V113" s="179">
        <f t="array" ref="V113">NPV('Pre-Calculation'!$E$20,$E114:E$246)</f>
        <v>0</v>
      </c>
      <c r="W113" s="171">
        <f>10%*SA</f>
        <v>100000</v>
      </c>
      <c r="X113" s="179">
        <f t="array" ref="X113">NPV('Pre-Calculation'!$E$20,W114:W123)</f>
        <v>969592.8037</v>
      </c>
      <c r="Y113" s="12"/>
      <c r="Z113" s="12"/>
    </row>
    <row r="114" ht="15.75" customHeight="1">
      <c r="A114" s="171">
        <f t="shared" si="1"/>
        <v>168</v>
      </c>
      <c r="B114" s="171">
        <f t="shared" si="2"/>
        <v>14</v>
      </c>
      <c r="C114" s="176">
        <f>EDATE(RCD,A113)</f>
        <v>47633</v>
      </c>
      <c r="D114" s="171">
        <f>Age_At_Entry+'Cashflows_Bond Fund'!B114-1</f>
        <v>48</v>
      </c>
      <c r="E114" s="175">
        <f>IF(AND(C114&lt;=Last_Prem,MOD(A113,Mode)=0,C114&gt;INPUT!$C$13,A114&lt;=Revival!$C$11),Mod_Prem,0)</f>
        <v>0</v>
      </c>
      <c r="F114" s="177">
        <f>E114*VLOOKUP(B114,'Pre-Calculation'!$H$1:$I$31,2,FALSE)</f>
        <v>0</v>
      </c>
      <c r="G114" s="177">
        <f>IF(B114&lt;PT+1,VLOOKUP(B114,'Pre-Calculation'!$H$1:$L$32,3,FALSE)+VLOOKUP(B114,'Pre-Calculation'!$H$1:$L$32,4,FALSE)*'Pre-Calculation'!$D$7,0)</f>
        <v>0</v>
      </c>
      <c r="H114" s="175">
        <f>(E114-(F114+G114)*(1+Tax)+N113)</f>
        <v>1684859.563</v>
      </c>
      <c r="I114" s="175">
        <f>IF(B114&lt;PT+1,VLOOKUP(D114,'Pre-Calculation'!$N$3:$P$79,IF(INPUT!$C$4="M",2,3),FALSE)*(J114/1000)*(1/12),0)</f>
        <v>0</v>
      </c>
      <c r="J114" s="175">
        <f t="shared" si="3"/>
        <v>0</v>
      </c>
      <c r="K114" s="175">
        <f>(IF('Pre-Calculation'!$D$17="Type 4 a",MAX(SA,H114,1.05*Q114),IF('Pre-Calculation'!$D$17="Type 4 c",H114,IF('Pre-Calculation'!$D$17="Type 4 d",SA+H114,IF('Pre-Calculation'!$D$17="Type 4 e",MAX(SA,H114),IF('Pre-Calculation'!$D$17="Type 4 f",SA,IF('Pre-Calculation'!$D$17="Type 4 g",1000+H114,IF('Pre-Calculation'!$D$17="Type 4 h",SA+V114,IF('Pre-Calculation'!$D$17="Type 4 i",MAX(H114,Q114),IF('Pre-Calculation'!$D$17="Type 4 k",MAX(H114,1.01*Q114),IF('Pre-Calculation'!$D$17="Type 4 m",MAX(105%*Q114,SA+H114),IF('Pre-Calculation'!$D$17="Type 4 o",MAX(SA,105%*Q114)+V114+X114,IF('Pre-Calculation'!$D$17="Type 5",0)))))))))))))*IF(AND(A114&lt;Revival!$C$4,C114&gt;=Revival!$D$12),PUP,1)</f>
        <v>1684859.563</v>
      </c>
      <c r="L114" s="175">
        <f>H114-I114*(1+Tax)</f>
        <v>1684859.563</v>
      </c>
      <c r="M114" s="175">
        <f>L114*(1+'Pre-Calculation'!$E$28)*(1-'Pre-Calculation'!$E$29*(1+Tax))</f>
        <v>1692347.026</v>
      </c>
      <c r="N114" s="175">
        <f>M114+IF(MOD(A114,B114)=0,VLOOKUP(B114,'Pre-Calculation'!$H$1:$L$31,5,FALSE),0)*IF('Pre-Calculation'!$D$16="% OF FV",M114,IF(OR('Pre-Calculation'!$D$16="% OF AFV(24M)",'Pre-Calculation'!$D$16="% OF AFV(8Q)"),AVERAGE( $M91:$M114),IF('Pre-Calculation'!$D$16="% OF AFV(12M)",AVERAGE($M103:M114),IF('Pre-Calculation'!$D$16="% OF AFV(36M)",AVERAGE($M79:M114)))))</f>
        <v>1692347.026</v>
      </c>
      <c r="O114" s="175">
        <f t="shared" si="4"/>
        <v>1692347.026</v>
      </c>
      <c r="P114" s="175">
        <f>IF('Pre-Calculation'!$D$17="Type 4 a",MAX(SA,N114,1.05*Q114),IF('Pre-Calculation'!$D$17="Type 4 c",N114,IF('Pre-Calculation'!$D$17="Type 4 d",SA+N114,IF('Pre-Calculation'!$D$17="Type 4 e",MAX(SA,N114),IF('Pre-Calculation'!$D$17="Type 4 f",SA,IF('Pre-Calculation'!$D$17="Type 4 g",1000+N114,IF('Pre-Calculation'!$D$17="Type 4 h",SA+V114,IF('Pre-Calculation'!$D$17="Type 4 i",MAX(N114,Q114),IF('Pre-Calculation'!$D$17="Type 4 k",MAX(N114,1.01*Q114),IF('Pre-Calculation'!$D$17="Type 4 m",MAX(105%*Q114,SA+N114),IF('Pre-Calculation'!$D$17="Type 4 o",MAX(SA,105%*Q114)+V114+X114,IF('Pre-Calculation'!$D$17="Type 5",0))))))))))))</f>
        <v>1692347.026</v>
      </c>
      <c r="Q114" s="175">
        <f t="shared" si="5"/>
        <v>1000000</v>
      </c>
      <c r="R114" s="119">
        <f>L114*(1+GROWTH_RATE)*FMC</f>
        <v>1906.625082</v>
      </c>
      <c r="S114" s="112"/>
      <c r="T114" s="175">
        <f>-E114+IF(A113=INPUT!$C$11*12,N114,0)</f>
        <v>0</v>
      </c>
      <c r="U114" s="112"/>
      <c r="V114" s="179">
        <f t="array" ref="V114">NPV('Pre-Calculation'!$E$20,$E115:E$246)</f>
        <v>0</v>
      </c>
      <c r="W114" s="171">
        <f>10%*SA</f>
        <v>100000</v>
      </c>
      <c r="X114" s="179">
        <f t="array" ref="X114">NPV('Pre-Calculation'!$E$20,W115:W124)</f>
        <v>969592.8037</v>
      </c>
      <c r="Y114" s="12"/>
      <c r="Z114" s="12"/>
    </row>
    <row r="115" ht="15.75" customHeight="1">
      <c r="A115" s="171">
        <f t="shared" si="1"/>
        <v>169</v>
      </c>
      <c r="B115" s="171">
        <f t="shared" si="2"/>
        <v>15</v>
      </c>
      <c r="C115" s="176">
        <f>EDATE(RCD,A114)</f>
        <v>47664</v>
      </c>
      <c r="D115" s="171">
        <f>Age_At_Entry+'Cashflows_Bond Fund'!B115-1</f>
        <v>49</v>
      </c>
      <c r="E115" s="175">
        <f>IF(AND(C115&lt;=Last_Prem,MOD(A114,Mode)=0,C115&gt;INPUT!$C$13,A115&lt;=Revival!$C$11),Mod_Prem,0)</f>
        <v>0</v>
      </c>
      <c r="F115" s="177">
        <f>E115*VLOOKUP(B115,'Pre-Calculation'!$H$1:$I$31,2,FALSE)</f>
        <v>0</v>
      </c>
      <c r="G115" s="177">
        <f>IF(B115&lt;PT+1,VLOOKUP(B115,'Pre-Calculation'!$H$1:$L$32,3,FALSE)+VLOOKUP(B115,'Pre-Calculation'!$H$1:$L$32,4,FALSE)*'Pre-Calculation'!$D$7,0)</f>
        <v>0</v>
      </c>
      <c r="H115" s="175">
        <f>(E115-(F115+G115)*(1+Tax)+N114)</f>
        <v>1692347.026</v>
      </c>
      <c r="I115" s="175">
        <f>IF(B115&lt;PT+1,VLOOKUP(D115,'Pre-Calculation'!$N$3:$P$79,IF(INPUT!$C$4="M",2,3),FALSE)*(J115/1000)*(1/12),0)</f>
        <v>0</v>
      </c>
      <c r="J115" s="175">
        <f t="shared" si="3"/>
        <v>0</v>
      </c>
      <c r="K115" s="175">
        <f>(IF('Pre-Calculation'!$D$17="Type 4 a",MAX(SA,H115,1.05*Q115),IF('Pre-Calculation'!$D$17="Type 4 c",H115,IF('Pre-Calculation'!$D$17="Type 4 d",SA+H115,IF('Pre-Calculation'!$D$17="Type 4 e",MAX(SA,H115),IF('Pre-Calculation'!$D$17="Type 4 f",SA,IF('Pre-Calculation'!$D$17="Type 4 g",1000+H115,IF('Pre-Calculation'!$D$17="Type 4 h",SA+V115,IF('Pre-Calculation'!$D$17="Type 4 i",MAX(H115,Q115),IF('Pre-Calculation'!$D$17="Type 4 k",MAX(H115,1.01*Q115),IF('Pre-Calculation'!$D$17="Type 4 m",MAX(105%*Q115,SA+H115),IF('Pre-Calculation'!$D$17="Type 4 o",MAX(SA,105%*Q115)+V115+X115,IF('Pre-Calculation'!$D$17="Type 5",0)))))))))))))*IF(AND(A115&lt;Revival!$C$4,C115&gt;=Revival!$D$12),PUP,1)</f>
        <v>1692347.026</v>
      </c>
      <c r="L115" s="175">
        <f>H115-I115*(1+Tax)</f>
        <v>1692347.026</v>
      </c>
      <c r="M115" s="175">
        <f>L115*(1+'Pre-Calculation'!$E$28)*(1-'Pre-Calculation'!$E$29*(1+Tax))</f>
        <v>1699867.763</v>
      </c>
      <c r="N115" s="175">
        <f>M115+IF(MOD(A115,B115)=0,VLOOKUP(B115,'Pre-Calculation'!$H$1:$L$31,5,FALSE),0)*IF('Pre-Calculation'!$D$16="% OF FV",M115,IF(OR('Pre-Calculation'!$D$16="% OF AFV(24M)",'Pre-Calculation'!$D$16="% OF AFV(8Q)"),AVERAGE( $M92:$M115),IF('Pre-Calculation'!$D$16="% OF AFV(12M)",AVERAGE($M104:M115),IF('Pre-Calculation'!$D$16="% OF AFV(36M)",AVERAGE($M80:M115)))))</f>
        <v>1699867.763</v>
      </c>
      <c r="O115" s="175">
        <f t="shared" si="4"/>
        <v>1699867.763</v>
      </c>
      <c r="P115" s="175">
        <f>IF('Pre-Calculation'!$D$17="Type 4 a",MAX(SA,N115,1.05*Q115),IF('Pre-Calculation'!$D$17="Type 4 c",N115,IF('Pre-Calculation'!$D$17="Type 4 d",SA+N115,IF('Pre-Calculation'!$D$17="Type 4 e",MAX(SA,N115),IF('Pre-Calculation'!$D$17="Type 4 f",SA,IF('Pre-Calculation'!$D$17="Type 4 g",1000+N115,IF('Pre-Calculation'!$D$17="Type 4 h",SA+V115,IF('Pre-Calculation'!$D$17="Type 4 i",MAX(N115,Q115),IF('Pre-Calculation'!$D$17="Type 4 k",MAX(N115,1.01*Q115),IF('Pre-Calculation'!$D$17="Type 4 m",MAX(105%*Q115,SA+N115),IF('Pre-Calculation'!$D$17="Type 4 o",MAX(SA,105%*Q115)+V115+X115,IF('Pre-Calculation'!$D$17="Type 5",0))))))))))))</f>
        <v>1699867.763</v>
      </c>
      <c r="Q115" s="175">
        <f t="shared" si="5"/>
        <v>1000000</v>
      </c>
      <c r="R115" s="119">
        <f>L115*(1+GROWTH_RATE)*FMC</f>
        <v>1915.098064</v>
      </c>
      <c r="S115" s="112"/>
      <c r="T115" s="175">
        <f>-E115+IF(A114=INPUT!$C$11*12,N115,0)</f>
        <v>0</v>
      </c>
      <c r="U115" s="112"/>
      <c r="V115" s="179">
        <f t="array" ref="V115">NPV('Pre-Calculation'!$E$20,$E116:E$246)</f>
        <v>0</v>
      </c>
      <c r="W115" s="171">
        <f>10%*SA</f>
        <v>100000</v>
      </c>
      <c r="X115" s="179">
        <f t="array" ref="X115">NPV('Pre-Calculation'!$E$20,W116:W125)</f>
        <v>969592.8037</v>
      </c>
      <c r="Y115" s="12"/>
      <c r="Z115" s="12"/>
    </row>
    <row r="116" ht="15.75" customHeight="1">
      <c r="A116" s="171">
        <f t="shared" si="1"/>
        <v>170</v>
      </c>
      <c r="B116" s="171">
        <f t="shared" si="2"/>
        <v>15</v>
      </c>
      <c r="C116" s="176">
        <f>EDATE(RCD,A115)</f>
        <v>47694</v>
      </c>
      <c r="D116" s="171">
        <f>Age_At_Entry+'Cashflows_Bond Fund'!B116-1</f>
        <v>49</v>
      </c>
      <c r="E116" s="175">
        <f>IF(AND(C116&lt;=Last_Prem,MOD(A115,Mode)=0,C116&gt;INPUT!$C$13,A116&lt;=Revival!$C$11),Mod_Prem,0)</f>
        <v>0</v>
      </c>
      <c r="F116" s="177">
        <f>E116*VLOOKUP(B116,'Pre-Calculation'!$H$1:$I$31,2,FALSE)</f>
        <v>0</v>
      </c>
      <c r="G116" s="177">
        <f>IF(B116&lt;PT+1,VLOOKUP(B116,'Pre-Calculation'!$H$1:$L$32,3,FALSE)+VLOOKUP(B116,'Pre-Calculation'!$H$1:$L$32,4,FALSE)*'Pre-Calculation'!$D$7,0)</f>
        <v>0</v>
      </c>
      <c r="H116" s="175">
        <f>(E116-(F116+G116)*(1+Tax)+N115)</f>
        <v>1699867.763</v>
      </c>
      <c r="I116" s="175">
        <f>IF(B116&lt;PT+1,VLOOKUP(D116,'Pre-Calculation'!$N$3:$P$79,IF(INPUT!$C$4="M",2,3),FALSE)*(J116/1000)*(1/12),0)</f>
        <v>0</v>
      </c>
      <c r="J116" s="175">
        <f t="shared" si="3"/>
        <v>0</v>
      </c>
      <c r="K116" s="175">
        <f>(IF('Pre-Calculation'!$D$17="Type 4 a",MAX(SA,H116,1.05*Q116),IF('Pre-Calculation'!$D$17="Type 4 c",H116,IF('Pre-Calculation'!$D$17="Type 4 d",SA+H116,IF('Pre-Calculation'!$D$17="Type 4 e",MAX(SA,H116),IF('Pre-Calculation'!$D$17="Type 4 f",SA,IF('Pre-Calculation'!$D$17="Type 4 g",1000+H116,IF('Pre-Calculation'!$D$17="Type 4 h",SA+V116,IF('Pre-Calculation'!$D$17="Type 4 i",MAX(H116,Q116),IF('Pre-Calculation'!$D$17="Type 4 k",MAX(H116,1.01*Q116),IF('Pre-Calculation'!$D$17="Type 4 m",MAX(105%*Q116,SA+H116),IF('Pre-Calculation'!$D$17="Type 4 o",MAX(SA,105%*Q116)+V116+X116,IF('Pre-Calculation'!$D$17="Type 5",0)))))))))))))*IF(AND(A116&lt;Revival!$C$4,C116&gt;=Revival!$D$12),PUP,1)</f>
        <v>1699867.763</v>
      </c>
      <c r="L116" s="175">
        <f>H116-I116*(1+Tax)</f>
        <v>1699867.763</v>
      </c>
      <c r="M116" s="175">
        <f>L116*(1+'Pre-Calculation'!$E$28)*(1-'Pre-Calculation'!$E$29*(1+Tax))</f>
        <v>1707421.923</v>
      </c>
      <c r="N116" s="175">
        <f>M116+IF(MOD(A116,B116)=0,VLOOKUP(B116,'Pre-Calculation'!$H$1:$L$31,5,FALSE),0)*IF('Pre-Calculation'!$D$16="% OF FV",M116,IF(OR('Pre-Calculation'!$D$16="% OF AFV(24M)",'Pre-Calculation'!$D$16="% OF AFV(8Q)"),AVERAGE( $M93:$M116),IF('Pre-Calculation'!$D$16="% OF AFV(12M)",AVERAGE($M105:M116),IF('Pre-Calculation'!$D$16="% OF AFV(36M)",AVERAGE($M81:M116)))))</f>
        <v>1707421.923</v>
      </c>
      <c r="O116" s="175">
        <f t="shared" si="4"/>
        <v>1707421.923</v>
      </c>
      <c r="P116" s="175">
        <f>IF('Pre-Calculation'!$D$17="Type 4 a",MAX(SA,N116,1.05*Q116),IF('Pre-Calculation'!$D$17="Type 4 c",N116,IF('Pre-Calculation'!$D$17="Type 4 d",SA+N116,IF('Pre-Calculation'!$D$17="Type 4 e",MAX(SA,N116),IF('Pre-Calculation'!$D$17="Type 4 f",SA,IF('Pre-Calculation'!$D$17="Type 4 g",1000+N116,IF('Pre-Calculation'!$D$17="Type 4 h",SA+V116,IF('Pre-Calculation'!$D$17="Type 4 i",MAX(N116,Q116),IF('Pre-Calculation'!$D$17="Type 4 k",MAX(N116,1.01*Q116),IF('Pre-Calculation'!$D$17="Type 4 m",MAX(105%*Q116,SA+N116),IF('Pre-Calculation'!$D$17="Type 4 o",MAX(SA,105%*Q116)+V116+X116,IF('Pre-Calculation'!$D$17="Type 5",0))))))))))))</f>
        <v>1707421.923</v>
      </c>
      <c r="Q116" s="175">
        <f t="shared" si="5"/>
        <v>1000000</v>
      </c>
      <c r="R116" s="119">
        <f>L116*(1+GROWTH_RATE)*FMC</f>
        <v>1923.6087</v>
      </c>
      <c r="S116" s="112"/>
      <c r="T116" s="175">
        <f>-E116+IF(A115=INPUT!$C$11*12,N116,0)</f>
        <v>0</v>
      </c>
      <c r="U116" s="112"/>
      <c r="V116" s="179">
        <f t="array" ref="V116">NPV('Pre-Calculation'!$E$20,$E117:E$246)</f>
        <v>0</v>
      </c>
      <c r="W116" s="171">
        <f>10%*SA</f>
        <v>100000</v>
      </c>
      <c r="X116" s="179">
        <f t="array" ref="X116">NPV('Pre-Calculation'!$E$20,W117:W126)</f>
        <v>969592.8037</v>
      </c>
      <c r="Y116" s="12"/>
      <c r="Z116" s="12"/>
    </row>
    <row r="117" ht="15.75" customHeight="1">
      <c r="A117" s="171">
        <f t="shared" si="1"/>
        <v>171</v>
      </c>
      <c r="B117" s="171">
        <f t="shared" si="2"/>
        <v>15</v>
      </c>
      <c r="C117" s="176">
        <f>EDATE(RCD,A116)</f>
        <v>47725</v>
      </c>
      <c r="D117" s="171">
        <f>Age_At_Entry+'Cashflows_Bond Fund'!B117-1</f>
        <v>49</v>
      </c>
      <c r="E117" s="175">
        <f>IF(AND(C117&lt;=Last_Prem,MOD(A116,Mode)=0,C117&gt;INPUT!$C$13,A117&lt;=Revival!$C$11),Mod_Prem,0)</f>
        <v>0</v>
      </c>
      <c r="F117" s="177">
        <f>E117*VLOOKUP(B117,'Pre-Calculation'!$H$1:$I$31,2,FALSE)</f>
        <v>0</v>
      </c>
      <c r="G117" s="177">
        <f>IF(B117&lt;PT+1,VLOOKUP(B117,'Pre-Calculation'!$H$1:$L$32,3,FALSE)+VLOOKUP(B117,'Pre-Calculation'!$H$1:$L$32,4,FALSE)*'Pre-Calculation'!$D$7,0)</f>
        <v>0</v>
      </c>
      <c r="H117" s="175">
        <f>(E117-(F117+G117)*(1+Tax)+N116)</f>
        <v>1707421.923</v>
      </c>
      <c r="I117" s="175">
        <f>IF(B117&lt;PT+1,VLOOKUP(D117,'Pre-Calculation'!$N$3:$P$79,IF(INPUT!$C$4="M",2,3),FALSE)*(J117/1000)*(1/12),0)</f>
        <v>0</v>
      </c>
      <c r="J117" s="175">
        <f t="shared" si="3"/>
        <v>0</v>
      </c>
      <c r="K117" s="175">
        <f>(IF('Pre-Calculation'!$D$17="Type 4 a",MAX(SA,H117,1.05*Q117),IF('Pre-Calculation'!$D$17="Type 4 c",H117,IF('Pre-Calculation'!$D$17="Type 4 d",SA+H117,IF('Pre-Calculation'!$D$17="Type 4 e",MAX(SA,H117),IF('Pre-Calculation'!$D$17="Type 4 f",SA,IF('Pre-Calculation'!$D$17="Type 4 g",1000+H117,IF('Pre-Calculation'!$D$17="Type 4 h",SA+V117,IF('Pre-Calculation'!$D$17="Type 4 i",MAX(H117,Q117),IF('Pre-Calculation'!$D$17="Type 4 k",MAX(H117,1.01*Q117),IF('Pre-Calculation'!$D$17="Type 4 m",MAX(105%*Q117,SA+H117),IF('Pre-Calculation'!$D$17="Type 4 o",MAX(SA,105%*Q117)+V117+X117,IF('Pre-Calculation'!$D$17="Type 5",0)))))))))))))*IF(AND(A117&lt;Revival!$C$4,C117&gt;=Revival!$D$12),PUP,1)</f>
        <v>1707421.923</v>
      </c>
      <c r="L117" s="175">
        <f>H117-I117*(1+Tax)</f>
        <v>1707421.923</v>
      </c>
      <c r="M117" s="175">
        <f>L117*(1+'Pre-Calculation'!$E$28)*(1-'Pre-Calculation'!$E$29*(1+Tax))</f>
        <v>1715009.652</v>
      </c>
      <c r="N117" s="175">
        <f>M117+IF(MOD(A117,B117)=0,VLOOKUP(B117,'Pre-Calculation'!$H$1:$L$31,5,FALSE),0)*IF('Pre-Calculation'!$D$16="% OF FV",M117,IF(OR('Pre-Calculation'!$D$16="% OF AFV(24M)",'Pre-Calculation'!$D$16="% OF AFV(8Q)"),AVERAGE( $M94:$M117),IF('Pre-Calculation'!$D$16="% OF AFV(12M)",AVERAGE($M106:M117),IF('Pre-Calculation'!$D$16="% OF AFV(36M)",AVERAGE($M82:M117)))))</f>
        <v>1715009.652</v>
      </c>
      <c r="O117" s="175">
        <f t="shared" si="4"/>
        <v>1715009.652</v>
      </c>
      <c r="P117" s="175">
        <f>IF('Pre-Calculation'!$D$17="Type 4 a",MAX(SA,N117,1.05*Q117),IF('Pre-Calculation'!$D$17="Type 4 c",N117,IF('Pre-Calculation'!$D$17="Type 4 d",SA+N117,IF('Pre-Calculation'!$D$17="Type 4 e",MAX(SA,N117),IF('Pre-Calculation'!$D$17="Type 4 f",SA,IF('Pre-Calculation'!$D$17="Type 4 g",1000+N117,IF('Pre-Calculation'!$D$17="Type 4 h",SA+V117,IF('Pre-Calculation'!$D$17="Type 4 i",MAX(N117,Q117),IF('Pre-Calculation'!$D$17="Type 4 k",MAX(N117,1.01*Q117),IF('Pre-Calculation'!$D$17="Type 4 m",MAX(105%*Q117,SA+N117),IF('Pre-Calculation'!$D$17="Type 4 o",MAX(SA,105%*Q117)+V117+X117,IF('Pre-Calculation'!$D$17="Type 5",0))))))))))))</f>
        <v>1715009.652</v>
      </c>
      <c r="Q117" s="175">
        <f t="shared" si="5"/>
        <v>1000000</v>
      </c>
      <c r="R117" s="119">
        <f>L117*(1+GROWTH_RATE)*FMC</f>
        <v>1932.157157</v>
      </c>
      <c r="S117" s="112"/>
      <c r="T117" s="175">
        <f>-E117+IF(A116=INPUT!$C$11*12,N117,0)</f>
        <v>0</v>
      </c>
      <c r="U117" s="112"/>
      <c r="V117" s="179">
        <f t="array" ref="V117">NPV('Pre-Calculation'!$E$20,$E118:E$246)</f>
        <v>0</v>
      </c>
      <c r="W117" s="171">
        <f>10%*SA</f>
        <v>100000</v>
      </c>
      <c r="X117" s="179">
        <f t="array" ref="X117">NPV('Pre-Calculation'!$E$20,W118:W127)</f>
        <v>969592.8037</v>
      </c>
      <c r="Y117" s="12"/>
      <c r="Z117" s="12"/>
    </row>
    <row r="118" ht="15.75" customHeight="1">
      <c r="A118" s="171">
        <f t="shared" si="1"/>
        <v>172</v>
      </c>
      <c r="B118" s="171">
        <f t="shared" si="2"/>
        <v>15</v>
      </c>
      <c r="C118" s="176">
        <f>EDATE(RCD,A117)</f>
        <v>47756</v>
      </c>
      <c r="D118" s="171">
        <f>Age_At_Entry+'Cashflows_Bond Fund'!B118-1</f>
        <v>49</v>
      </c>
      <c r="E118" s="175">
        <f>IF(AND(C118&lt;=Last_Prem,MOD(A117,Mode)=0,C118&gt;INPUT!$C$13,A118&lt;=Revival!$C$11),Mod_Prem,0)</f>
        <v>0</v>
      </c>
      <c r="F118" s="177">
        <f>E118*VLOOKUP(B118,'Pre-Calculation'!$H$1:$I$31,2,FALSE)</f>
        <v>0</v>
      </c>
      <c r="G118" s="177">
        <f>IF(B118&lt;PT+1,VLOOKUP(B118,'Pre-Calculation'!$H$1:$L$32,3,FALSE)+VLOOKUP(B118,'Pre-Calculation'!$H$1:$L$32,4,FALSE)*'Pre-Calculation'!$D$7,0)</f>
        <v>0</v>
      </c>
      <c r="H118" s="175">
        <f>(E118-(F118+G118)*(1+Tax)+N117)</f>
        <v>1715009.652</v>
      </c>
      <c r="I118" s="175">
        <f>IF(B118&lt;PT+1,VLOOKUP(D118,'Pre-Calculation'!$N$3:$P$79,IF(INPUT!$C$4="M",2,3),FALSE)*(J118/1000)*(1/12),0)</f>
        <v>0</v>
      </c>
      <c r="J118" s="175">
        <f t="shared" si="3"/>
        <v>0</v>
      </c>
      <c r="K118" s="175">
        <f>(IF('Pre-Calculation'!$D$17="Type 4 a",MAX(SA,H118,1.05*Q118),IF('Pre-Calculation'!$D$17="Type 4 c",H118,IF('Pre-Calculation'!$D$17="Type 4 d",SA+H118,IF('Pre-Calculation'!$D$17="Type 4 e",MAX(SA,H118),IF('Pre-Calculation'!$D$17="Type 4 f",SA,IF('Pre-Calculation'!$D$17="Type 4 g",1000+H118,IF('Pre-Calculation'!$D$17="Type 4 h",SA+V118,IF('Pre-Calculation'!$D$17="Type 4 i",MAX(H118,Q118),IF('Pre-Calculation'!$D$17="Type 4 k",MAX(H118,1.01*Q118),IF('Pre-Calculation'!$D$17="Type 4 m",MAX(105%*Q118,SA+H118),IF('Pre-Calculation'!$D$17="Type 4 o",MAX(SA,105%*Q118)+V118+X118,IF('Pre-Calculation'!$D$17="Type 5",0)))))))))))))*IF(AND(A118&lt;Revival!$C$4,C118&gt;=Revival!$D$12),PUP,1)</f>
        <v>1715009.652</v>
      </c>
      <c r="L118" s="175">
        <f>H118-I118*(1+Tax)</f>
        <v>1715009.652</v>
      </c>
      <c r="M118" s="175">
        <f>L118*(1+'Pre-Calculation'!$E$28)*(1-'Pre-Calculation'!$E$29*(1+Tax))</f>
        <v>1722631.102</v>
      </c>
      <c r="N118" s="175">
        <f>M118+IF(MOD(A118,B118)=0,VLOOKUP(B118,'Pre-Calculation'!$H$1:$L$31,5,FALSE),0)*IF('Pre-Calculation'!$D$16="% OF FV",M118,IF(OR('Pre-Calculation'!$D$16="% OF AFV(24M)",'Pre-Calculation'!$D$16="% OF AFV(8Q)"),AVERAGE( $M95:$M118),IF('Pre-Calculation'!$D$16="% OF AFV(12M)",AVERAGE($M107:M118),IF('Pre-Calculation'!$D$16="% OF AFV(36M)",AVERAGE($M83:M118)))))</f>
        <v>1722631.102</v>
      </c>
      <c r="O118" s="175">
        <f t="shared" si="4"/>
        <v>1722631.102</v>
      </c>
      <c r="P118" s="175">
        <f>IF('Pre-Calculation'!$D$17="Type 4 a",MAX(SA,N118,1.05*Q118),IF('Pre-Calculation'!$D$17="Type 4 c",N118,IF('Pre-Calculation'!$D$17="Type 4 d",SA+N118,IF('Pre-Calculation'!$D$17="Type 4 e",MAX(SA,N118),IF('Pre-Calculation'!$D$17="Type 4 f",SA,IF('Pre-Calculation'!$D$17="Type 4 g",1000+N118,IF('Pre-Calculation'!$D$17="Type 4 h",SA+V118,IF('Pre-Calculation'!$D$17="Type 4 i",MAX(N118,Q118),IF('Pre-Calculation'!$D$17="Type 4 k",MAX(N118,1.01*Q118),IF('Pre-Calculation'!$D$17="Type 4 m",MAX(105%*Q118,SA+N118),IF('Pre-Calculation'!$D$17="Type 4 o",MAX(SA,105%*Q118)+V118+X118,IF('Pre-Calculation'!$D$17="Type 5",0))))))))))))</f>
        <v>1722631.102</v>
      </c>
      <c r="Q118" s="175">
        <f t="shared" si="5"/>
        <v>1000000</v>
      </c>
      <c r="R118" s="119">
        <f>L118*(1+GROWTH_RATE)*FMC</f>
        <v>1940.743603</v>
      </c>
      <c r="S118" s="112"/>
      <c r="T118" s="175">
        <f>-E118+IF(A117=INPUT!$C$11*12,N118,0)</f>
        <v>0</v>
      </c>
      <c r="U118" s="112"/>
      <c r="V118" s="179">
        <f t="array" ref="V118">NPV('Pre-Calculation'!$E$20,$E119:E$246)</f>
        <v>0</v>
      </c>
      <c r="W118" s="171">
        <f>10%*SA</f>
        <v>100000</v>
      </c>
      <c r="X118" s="179">
        <f t="array" ref="X118">NPV('Pre-Calculation'!$E$20,W119:W128)</f>
        <v>969592.8037</v>
      </c>
      <c r="Y118" s="12"/>
      <c r="Z118" s="12"/>
    </row>
    <row r="119" ht="15.75" customHeight="1">
      <c r="A119" s="171">
        <f t="shared" si="1"/>
        <v>173</v>
      </c>
      <c r="B119" s="171">
        <f t="shared" si="2"/>
        <v>15</v>
      </c>
      <c r="C119" s="176">
        <f>EDATE(RCD,A118)</f>
        <v>47786</v>
      </c>
      <c r="D119" s="171">
        <f>Age_At_Entry+'Cashflows_Bond Fund'!B119-1</f>
        <v>49</v>
      </c>
      <c r="E119" s="175">
        <f>IF(AND(C119&lt;=Last_Prem,MOD(A118,Mode)=0,C119&gt;INPUT!$C$13,A119&lt;=Revival!$C$11),Mod_Prem,0)</f>
        <v>0</v>
      </c>
      <c r="F119" s="177">
        <f>E119*VLOOKUP(B119,'Pre-Calculation'!$H$1:$I$31,2,FALSE)</f>
        <v>0</v>
      </c>
      <c r="G119" s="177">
        <f>IF(B119&lt;PT+1,VLOOKUP(B119,'Pre-Calculation'!$H$1:$L$32,3,FALSE)+VLOOKUP(B119,'Pre-Calculation'!$H$1:$L$32,4,FALSE)*'Pre-Calculation'!$D$7,0)</f>
        <v>0</v>
      </c>
      <c r="H119" s="175">
        <f>(E119-(F119+G119)*(1+Tax)+N118)</f>
        <v>1722631.102</v>
      </c>
      <c r="I119" s="175">
        <f>IF(B119&lt;PT+1,VLOOKUP(D119,'Pre-Calculation'!$N$3:$P$79,IF(INPUT!$C$4="M",2,3),FALSE)*(J119/1000)*(1/12),0)</f>
        <v>0</v>
      </c>
      <c r="J119" s="175">
        <f t="shared" si="3"/>
        <v>0</v>
      </c>
      <c r="K119" s="175">
        <f>(IF('Pre-Calculation'!$D$17="Type 4 a",MAX(SA,H119,1.05*Q119),IF('Pre-Calculation'!$D$17="Type 4 c",H119,IF('Pre-Calculation'!$D$17="Type 4 d",SA+H119,IF('Pre-Calculation'!$D$17="Type 4 e",MAX(SA,H119),IF('Pre-Calculation'!$D$17="Type 4 f",SA,IF('Pre-Calculation'!$D$17="Type 4 g",1000+H119,IF('Pre-Calculation'!$D$17="Type 4 h",SA+V119,IF('Pre-Calculation'!$D$17="Type 4 i",MAX(H119,Q119),IF('Pre-Calculation'!$D$17="Type 4 k",MAX(H119,1.01*Q119),IF('Pre-Calculation'!$D$17="Type 4 m",MAX(105%*Q119,SA+H119),IF('Pre-Calculation'!$D$17="Type 4 o",MAX(SA,105%*Q119)+V119+X119,IF('Pre-Calculation'!$D$17="Type 5",0)))))))))))))*IF(AND(A119&lt;Revival!$C$4,C119&gt;=Revival!$D$12),PUP,1)</f>
        <v>1722631.102</v>
      </c>
      <c r="L119" s="175">
        <f>H119-I119*(1+Tax)</f>
        <v>1722631.102</v>
      </c>
      <c r="M119" s="175">
        <f>L119*(1+'Pre-Calculation'!$E$28)*(1-'Pre-Calculation'!$E$29*(1+Tax))</f>
        <v>1730286.42</v>
      </c>
      <c r="N119" s="175">
        <f>M119+IF(MOD(A119,B119)=0,VLOOKUP(B119,'Pre-Calculation'!$H$1:$L$31,5,FALSE),0)*IF('Pre-Calculation'!$D$16="% OF FV",M119,IF(OR('Pre-Calculation'!$D$16="% OF AFV(24M)",'Pre-Calculation'!$D$16="% OF AFV(8Q)"),AVERAGE( $M96:$M119),IF('Pre-Calculation'!$D$16="% OF AFV(12M)",AVERAGE($M108:M119),IF('Pre-Calculation'!$D$16="% OF AFV(36M)",AVERAGE($M84:M119)))))</f>
        <v>1730286.42</v>
      </c>
      <c r="O119" s="175">
        <f t="shared" si="4"/>
        <v>1730286.42</v>
      </c>
      <c r="P119" s="175">
        <f>IF('Pre-Calculation'!$D$17="Type 4 a",MAX(SA,N119,1.05*Q119),IF('Pre-Calculation'!$D$17="Type 4 c",N119,IF('Pre-Calculation'!$D$17="Type 4 d",SA+N119,IF('Pre-Calculation'!$D$17="Type 4 e",MAX(SA,N119),IF('Pre-Calculation'!$D$17="Type 4 f",SA,IF('Pre-Calculation'!$D$17="Type 4 g",1000+N119,IF('Pre-Calculation'!$D$17="Type 4 h",SA+V119,IF('Pre-Calculation'!$D$17="Type 4 i",MAX(N119,Q119),IF('Pre-Calculation'!$D$17="Type 4 k",MAX(N119,1.01*Q119),IF('Pre-Calculation'!$D$17="Type 4 m",MAX(105%*Q119,SA+N119),IF('Pre-Calculation'!$D$17="Type 4 o",MAX(SA,105%*Q119)+V119+X119,IF('Pre-Calculation'!$D$17="Type 5",0))))))))))))</f>
        <v>1730286.42</v>
      </c>
      <c r="Q119" s="175">
        <f t="shared" si="5"/>
        <v>1000000</v>
      </c>
      <c r="R119" s="119">
        <f>L119*(1+GROWTH_RATE)*FMC</f>
        <v>1949.368207</v>
      </c>
      <c r="S119" s="112"/>
      <c r="T119" s="175">
        <f>-E119+IF(A118=INPUT!$C$11*12,N119,0)</f>
        <v>0</v>
      </c>
      <c r="U119" s="112"/>
      <c r="V119" s="179">
        <f t="array" ref="V119">NPV('Pre-Calculation'!$E$20,$E120:E$246)</f>
        <v>0</v>
      </c>
      <c r="W119" s="171">
        <f>10%*SA</f>
        <v>100000</v>
      </c>
      <c r="X119" s="179">
        <f t="array" ref="X119">NPV('Pre-Calculation'!$E$20,W120:W129)</f>
        <v>969592.8037</v>
      </c>
      <c r="Y119" s="12"/>
      <c r="Z119" s="12"/>
    </row>
    <row r="120" ht="15.75" customHeight="1">
      <c r="A120" s="171">
        <f t="shared" si="1"/>
        <v>174</v>
      </c>
      <c r="B120" s="171">
        <f t="shared" si="2"/>
        <v>15</v>
      </c>
      <c r="C120" s="176">
        <f>EDATE(RCD,A119)</f>
        <v>47817</v>
      </c>
      <c r="D120" s="171">
        <f>Age_At_Entry+'Cashflows_Bond Fund'!B120-1</f>
        <v>49</v>
      </c>
      <c r="E120" s="175">
        <f>IF(AND(C120&lt;=Last_Prem,MOD(A119,Mode)=0,C120&gt;INPUT!$C$13,A120&lt;=Revival!$C$11),Mod_Prem,0)</f>
        <v>0</v>
      </c>
      <c r="F120" s="177">
        <f>E120*VLOOKUP(B120,'Pre-Calculation'!$H$1:$I$31,2,FALSE)</f>
        <v>0</v>
      </c>
      <c r="G120" s="177">
        <f>IF(B120&lt;PT+1,VLOOKUP(B120,'Pre-Calculation'!$H$1:$L$32,3,FALSE)+VLOOKUP(B120,'Pre-Calculation'!$H$1:$L$32,4,FALSE)*'Pre-Calculation'!$D$7,0)</f>
        <v>0</v>
      </c>
      <c r="H120" s="175">
        <f>(E120-(F120+G120)*(1+Tax)+N119)</f>
        <v>1730286.42</v>
      </c>
      <c r="I120" s="175">
        <f>IF(B120&lt;PT+1,VLOOKUP(D120,'Pre-Calculation'!$N$3:$P$79,IF(INPUT!$C$4="M",2,3),FALSE)*(J120/1000)*(1/12),0)</f>
        <v>0</v>
      </c>
      <c r="J120" s="175">
        <f t="shared" si="3"/>
        <v>0</v>
      </c>
      <c r="K120" s="175">
        <f>(IF('Pre-Calculation'!$D$17="Type 4 a",MAX(SA,H120,1.05*Q120),IF('Pre-Calculation'!$D$17="Type 4 c",H120,IF('Pre-Calculation'!$D$17="Type 4 d",SA+H120,IF('Pre-Calculation'!$D$17="Type 4 e",MAX(SA,H120),IF('Pre-Calculation'!$D$17="Type 4 f",SA,IF('Pre-Calculation'!$D$17="Type 4 g",1000+H120,IF('Pre-Calculation'!$D$17="Type 4 h",SA+V120,IF('Pre-Calculation'!$D$17="Type 4 i",MAX(H120,Q120),IF('Pre-Calculation'!$D$17="Type 4 k",MAX(H120,1.01*Q120),IF('Pre-Calculation'!$D$17="Type 4 m",MAX(105%*Q120,SA+H120),IF('Pre-Calculation'!$D$17="Type 4 o",MAX(SA,105%*Q120)+V120+X120,IF('Pre-Calculation'!$D$17="Type 5",0)))))))))))))*IF(AND(A120&lt;Revival!$C$4,C120&gt;=Revival!$D$12),PUP,1)</f>
        <v>1730286.42</v>
      </c>
      <c r="L120" s="175">
        <f>H120-I120*(1+Tax)</f>
        <v>1730286.42</v>
      </c>
      <c r="M120" s="175">
        <f>L120*(1+'Pre-Calculation'!$E$28)*(1-'Pre-Calculation'!$E$29*(1+Tax))</f>
        <v>1737975.759</v>
      </c>
      <c r="N120" s="175">
        <f>M120+IF(MOD(A120,B120)=0,VLOOKUP(B120,'Pre-Calculation'!$H$1:$L$31,5,FALSE),0)*IF('Pre-Calculation'!$D$16="% OF FV",M120,IF(OR('Pre-Calculation'!$D$16="% OF AFV(24M)",'Pre-Calculation'!$D$16="% OF AFV(8Q)"),AVERAGE( $M97:$M120),IF('Pre-Calculation'!$D$16="% OF AFV(12M)",AVERAGE($M109:M120),IF('Pre-Calculation'!$D$16="% OF AFV(36M)",AVERAGE($M85:M120)))))</f>
        <v>1737975.759</v>
      </c>
      <c r="O120" s="175">
        <f t="shared" si="4"/>
        <v>1737975.759</v>
      </c>
      <c r="P120" s="175">
        <f>IF('Pre-Calculation'!$D$17="Type 4 a",MAX(SA,N120,1.05*Q120),IF('Pre-Calculation'!$D$17="Type 4 c",N120,IF('Pre-Calculation'!$D$17="Type 4 d",SA+N120,IF('Pre-Calculation'!$D$17="Type 4 e",MAX(SA,N120),IF('Pre-Calculation'!$D$17="Type 4 f",SA,IF('Pre-Calculation'!$D$17="Type 4 g",1000+N120,IF('Pre-Calculation'!$D$17="Type 4 h",SA+V120,IF('Pre-Calculation'!$D$17="Type 4 i",MAX(N120,Q120),IF('Pre-Calculation'!$D$17="Type 4 k",MAX(N120,1.01*Q120),IF('Pre-Calculation'!$D$17="Type 4 m",MAX(105%*Q120,SA+N120),IF('Pre-Calculation'!$D$17="Type 4 o",MAX(SA,105%*Q120)+V120+X120,IF('Pre-Calculation'!$D$17="Type 5",0))))))))))))</f>
        <v>1737975.759</v>
      </c>
      <c r="Q120" s="175">
        <f t="shared" si="5"/>
        <v>1000000</v>
      </c>
      <c r="R120" s="119">
        <f>L120*(1+GROWTH_RATE)*FMC</f>
        <v>1958.031139</v>
      </c>
      <c r="S120" s="112"/>
      <c r="T120" s="175">
        <f>-E120+IF(A119=INPUT!$C$11*12,N120,0)</f>
        <v>0</v>
      </c>
      <c r="U120" s="112"/>
      <c r="V120" s="179">
        <f t="array" ref="V120">NPV('Pre-Calculation'!$E$20,$E121:E$246)</f>
        <v>0</v>
      </c>
      <c r="W120" s="171">
        <f>10%*SA</f>
        <v>100000</v>
      </c>
      <c r="X120" s="179">
        <f t="array" ref="X120">NPV('Pre-Calculation'!$E$20,W121:W130)</f>
        <v>969592.8037</v>
      </c>
      <c r="Y120" s="12"/>
      <c r="Z120" s="12"/>
    </row>
    <row r="121" ht="15.75" customHeight="1">
      <c r="A121" s="171">
        <f t="shared" si="1"/>
        <v>175</v>
      </c>
      <c r="B121" s="171">
        <f t="shared" si="2"/>
        <v>15</v>
      </c>
      <c r="C121" s="176">
        <f>EDATE(RCD,A120)</f>
        <v>47847</v>
      </c>
      <c r="D121" s="171">
        <f>Age_At_Entry+'Cashflows_Bond Fund'!B121-1</f>
        <v>49</v>
      </c>
      <c r="E121" s="175">
        <f>IF(AND(C121&lt;=Last_Prem,MOD(A120,Mode)=0,C121&gt;INPUT!$C$13,A121&lt;=Revival!$C$11),Mod_Prem,0)</f>
        <v>0</v>
      </c>
      <c r="F121" s="177">
        <f>E121*VLOOKUP(B121,'Pre-Calculation'!$H$1:$I$31,2,FALSE)</f>
        <v>0</v>
      </c>
      <c r="G121" s="177">
        <f>IF(B121&lt;PT+1,VLOOKUP(B121,'Pre-Calculation'!$H$1:$L$32,3,FALSE)+VLOOKUP(B121,'Pre-Calculation'!$H$1:$L$32,4,FALSE)*'Pre-Calculation'!$D$7,0)</f>
        <v>0</v>
      </c>
      <c r="H121" s="175">
        <f>(E121-(F121+G121)*(1+Tax)+N120)</f>
        <v>1737975.759</v>
      </c>
      <c r="I121" s="175">
        <f>IF(B121&lt;PT+1,VLOOKUP(D121,'Pre-Calculation'!$N$3:$P$79,IF(INPUT!$C$4="M",2,3),FALSE)*(J121/1000)*(1/12),0)</f>
        <v>0</v>
      </c>
      <c r="J121" s="175">
        <f t="shared" si="3"/>
        <v>0</v>
      </c>
      <c r="K121" s="175">
        <f>(IF('Pre-Calculation'!$D$17="Type 4 a",MAX(SA,H121,1.05*Q121),IF('Pre-Calculation'!$D$17="Type 4 c",H121,IF('Pre-Calculation'!$D$17="Type 4 d",SA+H121,IF('Pre-Calculation'!$D$17="Type 4 e",MAX(SA,H121),IF('Pre-Calculation'!$D$17="Type 4 f",SA,IF('Pre-Calculation'!$D$17="Type 4 g",1000+H121,IF('Pre-Calculation'!$D$17="Type 4 h",SA+V121,IF('Pre-Calculation'!$D$17="Type 4 i",MAX(H121,Q121),IF('Pre-Calculation'!$D$17="Type 4 k",MAX(H121,1.01*Q121),IF('Pre-Calculation'!$D$17="Type 4 m",MAX(105%*Q121,SA+H121),IF('Pre-Calculation'!$D$17="Type 4 o",MAX(SA,105%*Q121)+V121+X121,IF('Pre-Calculation'!$D$17="Type 5",0)))))))))))))*IF(AND(A121&lt;Revival!$C$4,C121&gt;=Revival!$D$12),PUP,1)</f>
        <v>1737975.759</v>
      </c>
      <c r="L121" s="175">
        <f>H121-I121*(1+Tax)</f>
        <v>1737975.759</v>
      </c>
      <c r="M121" s="175">
        <f>L121*(1+'Pre-Calculation'!$E$28)*(1-'Pre-Calculation'!$E$29*(1+Tax))</f>
        <v>1745699.269</v>
      </c>
      <c r="N121" s="175">
        <f>M121+IF(MOD(A121,B121)=0,VLOOKUP(B121,'Pre-Calculation'!$H$1:$L$31,5,FALSE),0)*IF('Pre-Calculation'!$D$16="% OF FV",M121,IF(OR('Pre-Calculation'!$D$16="% OF AFV(24M)",'Pre-Calculation'!$D$16="% OF AFV(8Q)"),AVERAGE( $M98:$M121),IF('Pre-Calculation'!$D$16="% OF AFV(12M)",AVERAGE($M110:M121),IF('Pre-Calculation'!$D$16="% OF AFV(36M)",AVERAGE($M86:M121)))))</f>
        <v>1745699.269</v>
      </c>
      <c r="O121" s="175">
        <f t="shared" si="4"/>
        <v>1745699.269</v>
      </c>
      <c r="P121" s="175">
        <f>IF('Pre-Calculation'!$D$17="Type 4 a",MAX(SA,N121,1.05*Q121),IF('Pre-Calculation'!$D$17="Type 4 c",N121,IF('Pre-Calculation'!$D$17="Type 4 d",SA+N121,IF('Pre-Calculation'!$D$17="Type 4 e",MAX(SA,N121),IF('Pre-Calculation'!$D$17="Type 4 f",SA,IF('Pre-Calculation'!$D$17="Type 4 g",1000+N121,IF('Pre-Calculation'!$D$17="Type 4 h",SA+V121,IF('Pre-Calculation'!$D$17="Type 4 i",MAX(N121,Q121),IF('Pre-Calculation'!$D$17="Type 4 k",MAX(N121,1.01*Q121),IF('Pre-Calculation'!$D$17="Type 4 m",MAX(105%*Q121,SA+N121),IF('Pre-Calculation'!$D$17="Type 4 o",MAX(SA,105%*Q121)+V121+X121,IF('Pre-Calculation'!$D$17="Type 5",0))))))))))))</f>
        <v>1745699.269</v>
      </c>
      <c r="Q121" s="175">
        <f t="shared" si="5"/>
        <v>1000000</v>
      </c>
      <c r="R121" s="119">
        <f>L121*(1+GROWTH_RATE)*FMC</f>
        <v>1966.732568</v>
      </c>
      <c r="S121" s="112"/>
      <c r="T121" s="175">
        <f>-E121+IF(A120=INPUT!$C$11*12,N121,0)</f>
        <v>0</v>
      </c>
      <c r="U121" s="112"/>
      <c r="V121" s="179">
        <f t="array" ref="V121">NPV('Pre-Calculation'!$E$20,$E122:E$246)</f>
        <v>0</v>
      </c>
      <c r="W121" s="171">
        <f>10%*SA</f>
        <v>100000</v>
      </c>
      <c r="X121" s="179">
        <f t="array" ref="X121">NPV('Pre-Calculation'!$E$20,W122:W131)</f>
        <v>969592.8037</v>
      </c>
      <c r="Y121" s="12"/>
      <c r="Z121" s="12"/>
    </row>
    <row r="122" ht="15.75" customHeight="1">
      <c r="A122" s="171">
        <f t="shared" si="1"/>
        <v>176</v>
      </c>
      <c r="B122" s="171">
        <f t="shared" si="2"/>
        <v>15</v>
      </c>
      <c r="C122" s="176">
        <f>EDATE(RCD,A121)</f>
        <v>47878</v>
      </c>
      <c r="D122" s="171">
        <f>Age_At_Entry+'Cashflows_Bond Fund'!B122-1</f>
        <v>49</v>
      </c>
      <c r="E122" s="175">
        <f>IF(AND(C122&lt;=Last_Prem,MOD(A121,Mode)=0,C122&gt;INPUT!$C$13,A122&lt;=Revival!$C$11),Mod_Prem,0)</f>
        <v>0</v>
      </c>
      <c r="F122" s="177">
        <f>E122*VLOOKUP(B122,'Pre-Calculation'!$H$1:$I$31,2,FALSE)</f>
        <v>0</v>
      </c>
      <c r="G122" s="177">
        <f>IF(B122&lt;PT+1,VLOOKUP(B122,'Pre-Calculation'!$H$1:$L$32,3,FALSE)+VLOOKUP(B122,'Pre-Calculation'!$H$1:$L$32,4,FALSE)*'Pre-Calculation'!$D$7,0)</f>
        <v>0</v>
      </c>
      <c r="H122" s="175">
        <f>(E122-(F122+G122)*(1+Tax)+N121)</f>
        <v>1745699.269</v>
      </c>
      <c r="I122" s="175">
        <f>IF(B122&lt;PT+1,VLOOKUP(D122,'Pre-Calculation'!$N$3:$P$79,IF(INPUT!$C$4="M",2,3),FALSE)*(J122/1000)*(1/12),0)</f>
        <v>0</v>
      </c>
      <c r="J122" s="175">
        <f t="shared" si="3"/>
        <v>0</v>
      </c>
      <c r="K122" s="175">
        <f>(IF('Pre-Calculation'!$D$17="Type 4 a",MAX(SA,H122,1.05*Q122),IF('Pre-Calculation'!$D$17="Type 4 c",H122,IF('Pre-Calculation'!$D$17="Type 4 d",SA+H122,IF('Pre-Calculation'!$D$17="Type 4 e",MAX(SA,H122),IF('Pre-Calculation'!$D$17="Type 4 f",SA,IF('Pre-Calculation'!$D$17="Type 4 g",1000+H122,IF('Pre-Calculation'!$D$17="Type 4 h",SA+V122,IF('Pre-Calculation'!$D$17="Type 4 i",MAX(H122,Q122),IF('Pre-Calculation'!$D$17="Type 4 k",MAX(H122,1.01*Q122),IF('Pre-Calculation'!$D$17="Type 4 m",MAX(105%*Q122,SA+H122),IF('Pre-Calculation'!$D$17="Type 4 o",MAX(SA,105%*Q122)+V122+X122,IF('Pre-Calculation'!$D$17="Type 5",0)))))))))))))*IF(AND(A122&lt;Revival!$C$4,C122&gt;=Revival!$D$12),PUP,1)</f>
        <v>1745699.269</v>
      </c>
      <c r="L122" s="175">
        <f>H122-I122*(1+Tax)</f>
        <v>1745699.269</v>
      </c>
      <c r="M122" s="175">
        <f>L122*(1+'Pre-Calculation'!$E$28)*(1-'Pre-Calculation'!$E$29*(1+Tax))</f>
        <v>1753457.102</v>
      </c>
      <c r="N122" s="175">
        <f>M122+IF(MOD(A122,B122)=0,VLOOKUP(B122,'Pre-Calculation'!$H$1:$L$31,5,FALSE),0)*IF('Pre-Calculation'!$D$16="% OF FV",M122,IF(OR('Pre-Calculation'!$D$16="% OF AFV(24M)",'Pre-Calculation'!$D$16="% OF AFV(8Q)"),AVERAGE( $M99:$M122),IF('Pre-Calculation'!$D$16="% OF AFV(12M)",AVERAGE($M111:M122),IF('Pre-Calculation'!$D$16="% OF AFV(36M)",AVERAGE($M87:M122)))))</f>
        <v>1753457.102</v>
      </c>
      <c r="O122" s="175">
        <f t="shared" si="4"/>
        <v>1753457.102</v>
      </c>
      <c r="P122" s="175">
        <f>IF('Pre-Calculation'!$D$17="Type 4 a",MAX(SA,N122,1.05*Q122),IF('Pre-Calculation'!$D$17="Type 4 c",N122,IF('Pre-Calculation'!$D$17="Type 4 d",SA+N122,IF('Pre-Calculation'!$D$17="Type 4 e",MAX(SA,N122),IF('Pre-Calculation'!$D$17="Type 4 f",SA,IF('Pre-Calculation'!$D$17="Type 4 g",1000+N122,IF('Pre-Calculation'!$D$17="Type 4 h",SA+V122,IF('Pre-Calculation'!$D$17="Type 4 i",MAX(N122,Q122),IF('Pre-Calculation'!$D$17="Type 4 k",MAX(N122,1.01*Q122),IF('Pre-Calculation'!$D$17="Type 4 m",MAX(105%*Q122,SA+N122),IF('Pre-Calculation'!$D$17="Type 4 o",MAX(SA,105%*Q122)+V122+X122,IF('Pre-Calculation'!$D$17="Type 5",0))))))))))))</f>
        <v>1753457.102</v>
      </c>
      <c r="Q122" s="175">
        <f t="shared" si="5"/>
        <v>1000000</v>
      </c>
      <c r="R122" s="119">
        <f>L122*(1+GROWTH_RATE)*FMC</f>
        <v>1975.472666</v>
      </c>
      <c r="S122" s="112"/>
      <c r="T122" s="175">
        <f>-E122+IF(A121=INPUT!$C$11*12,N122,0)</f>
        <v>0</v>
      </c>
      <c r="U122" s="112"/>
      <c r="V122" s="179">
        <f t="array" ref="V122">NPV('Pre-Calculation'!$E$20,$E123:E$246)</f>
        <v>0</v>
      </c>
      <c r="W122" s="171">
        <f>10%*SA</f>
        <v>100000</v>
      </c>
      <c r="X122" s="179">
        <f t="array" ref="X122">NPV('Pre-Calculation'!$E$20,W123:W132)</f>
        <v>969592.8037</v>
      </c>
      <c r="Y122" s="12"/>
      <c r="Z122" s="12"/>
    </row>
    <row r="123" ht="15.75" customHeight="1">
      <c r="A123" s="171">
        <f t="shared" si="1"/>
        <v>177</v>
      </c>
      <c r="B123" s="171">
        <f t="shared" si="2"/>
        <v>15</v>
      </c>
      <c r="C123" s="176">
        <f>EDATE(RCD,A122)</f>
        <v>47907</v>
      </c>
      <c r="D123" s="171">
        <f>Age_At_Entry+'Cashflows_Bond Fund'!B123-1</f>
        <v>49</v>
      </c>
      <c r="E123" s="175">
        <f>IF(AND(C123&lt;=Last_Prem,MOD(A122,Mode)=0,C123&gt;INPUT!$C$13,A123&lt;=Revival!$C$11),Mod_Prem,0)</f>
        <v>0</v>
      </c>
      <c r="F123" s="177">
        <f>E123*VLOOKUP(B123,'Pre-Calculation'!$H$1:$I$31,2,FALSE)</f>
        <v>0</v>
      </c>
      <c r="G123" s="177">
        <f>IF(B123&lt;PT+1,VLOOKUP(B123,'Pre-Calculation'!$H$1:$L$32,3,FALSE)+VLOOKUP(B123,'Pre-Calculation'!$H$1:$L$32,4,FALSE)*'Pre-Calculation'!$D$7,0)</f>
        <v>0</v>
      </c>
      <c r="H123" s="175">
        <f>(E123-(F123+G123)*(1+Tax)+N122)</f>
        <v>1753457.102</v>
      </c>
      <c r="I123" s="175">
        <f>IF(B123&lt;PT+1,VLOOKUP(D123,'Pre-Calculation'!$N$3:$P$79,IF(INPUT!$C$4="M",2,3),FALSE)*(J123/1000)*(1/12),0)</f>
        <v>0</v>
      </c>
      <c r="J123" s="175">
        <f t="shared" si="3"/>
        <v>0</v>
      </c>
      <c r="K123" s="175">
        <f>(IF('Pre-Calculation'!$D$17="Type 4 a",MAX(SA,H123,1.05*Q123),IF('Pre-Calculation'!$D$17="Type 4 c",H123,IF('Pre-Calculation'!$D$17="Type 4 d",SA+H123,IF('Pre-Calculation'!$D$17="Type 4 e",MAX(SA,H123),IF('Pre-Calculation'!$D$17="Type 4 f",SA,IF('Pre-Calculation'!$D$17="Type 4 g",1000+H123,IF('Pre-Calculation'!$D$17="Type 4 h",SA+V123,IF('Pre-Calculation'!$D$17="Type 4 i",MAX(H123,Q123),IF('Pre-Calculation'!$D$17="Type 4 k",MAX(H123,1.01*Q123),IF('Pre-Calculation'!$D$17="Type 4 m",MAX(105%*Q123,SA+H123),IF('Pre-Calculation'!$D$17="Type 4 o",MAX(SA,105%*Q123)+V123+X123,IF('Pre-Calculation'!$D$17="Type 5",0)))))))))))))*IF(AND(A123&lt;Revival!$C$4,C123&gt;=Revival!$D$12),PUP,1)</f>
        <v>1753457.102</v>
      </c>
      <c r="L123" s="175">
        <f>H123-I123*(1+Tax)</f>
        <v>1753457.102</v>
      </c>
      <c r="M123" s="175">
        <f>L123*(1+'Pre-Calculation'!$E$28)*(1-'Pre-Calculation'!$E$29*(1+Tax))</f>
        <v>1761249.411</v>
      </c>
      <c r="N123" s="175">
        <f>M123+IF(MOD(A123,B123)=0,VLOOKUP(B123,'Pre-Calculation'!$H$1:$L$31,5,FALSE),0)*IF('Pre-Calculation'!$D$16="% OF FV",M123,IF(OR('Pre-Calculation'!$D$16="% OF AFV(24M)",'Pre-Calculation'!$D$16="% OF AFV(8Q)"),AVERAGE( $M100:$M123),IF('Pre-Calculation'!$D$16="% OF AFV(12M)",AVERAGE($M112:M123),IF('Pre-Calculation'!$D$16="% OF AFV(36M)",AVERAGE($M88:M123)))))</f>
        <v>1761249.411</v>
      </c>
      <c r="O123" s="175">
        <f t="shared" si="4"/>
        <v>1761249.411</v>
      </c>
      <c r="P123" s="175">
        <f>IF('Pre-Calculation'!$D$17="Type 4 a",MAX(SA,N123,1.05*Q123),IF('Pre-Calculation'!$D$17="Type 4 c",N123,IF('Pre-Calculation'!$D$17="Type 4 d",SA+N123,IF('Pre-Calculation'!$D$17="Type 4 e",MAX(SA,N123),IF('Pre-Calculation'!$D$17="Type 4 f",SA,IF('Pre-Calculation'!$D$17="Type 4 g",1000+N123,IF('Pre-Calculation'!$D$17="Type 4 h",SA+V123,IF('Pre-Calculation'!$D$17="Type 4 i",MAX(N123,Q123),IF('Pre-Calculation'!$D$17="Type 4 k",MAX(N123,1.01*Q123),IF('Pre-Calculation'!$D$17="Type 4 m",MAX(105%*Q123,SA+N123),IF('Pre-Calculation'!$D$17="Type 4 o",MAX(SA,105%*Q123)+V123+X123,IF('Pre-Calculation'!$D$17="Type 5",0))))))))))))</f>
        <v>1761249.411</v>
      </c>
      <c r="Q123" s="175">
        <f t="shared" si="5"/>
        <v>1000000</v>
      </c>
      <c r="R123" s="119">
        <f>L123*(1+GROWTH_RATE)*FMC</f>
        <v>1984.251605</v>
      </c>
      <c r="S123" s="112"/>
      <c r="T123" s="175">
        <f>-E123+IF(A122=INPUT!$C$11*12,N123,0)</f>
        <v>0</v>
      </c>
      <c r="U123" s="112"/>
      <c r="V123" s="179">
        <f t="array" ref="V123">NPV('Pre-Calculation'!$E$20,$E124:E$246)</f>
        <v>0</v>
      </c>
      <c r="W123" s="171">
        <f>10%*SA</f>
        <v>100000</v>
      </c>
      <c r="X123" s="179">
        <f t="array" ref="X123">NPV('Pre-Calculation'!$E$20,W124:W133)</f>
        <v>969592.8037</v>
      </c>
      <c r="Y123" s="12"/>
      <c r="Z123" s="12"/>
    </row>
    <row r="124" ht="15.75" customHeight="1">
      <c r="A124" s="171">
        <f t="shared" si="1"/>
        <v>178</v>
      </c>
      <c r="B124" s="171">
        <f t="shared" si="2"/>
        <v>15</v>
      </c>
      <c r="C124" s="176">
        <f>EDATE(RCD,A123)</f>
        <v>47937</v>
      </c>
      <c r="D124" s="171">
        <f>Age_At_Entry+'Cashflows_Bond Fund'!B124-1</f>
        <v>49</v>
      </c>
      <c r="E124" s="175">
        <f>IF(AND(C124&lt;=Last_Prem,MOD(A123,Mode)=0,C124&gt;INPUT!$C$13,A124&lt;=Revival!$C$11),Mod_Prem,0)</f>
        <v>0</v>
      </c>
      <c r="F124" s="177">
        <f>E124*VLOOKUP(B124,'Pre-Calculation'!$H$1:$I$31,2,FALSE)</f>
        <v>0</v>
      </c>
      <c r="G124" s="177">
        <f>IF(B124&lt;PT+1,VLOOKUP(B124,'Pre-Calculation'!$H$1:$L$32,3,FALSE)+VLOOKUP(B124,'Pre-Calculation'!$H$1:$L$32,4,FALSE)*'Pre-Calculation'!$D$7,0)</f>
        <v>0</v>
      </c>
      <c r="H124" s="175">
        <f>(E124-(F124+G124)*(1+Tax)+N123)</f>
        <v>1761249.411</v>
      </c>
      <c r="I124" s="175">
        <f>IF(B124&lt;PT+1,VLOOKUP(D124,'Pre-Calculation'!$N$3:$P$79,IF(INPUT!$C$4="M",2,3),FALSE)*(J124/1000)*(1/12),0)</f>
        <v>0</v>
      </c>
      <c r="J124" s="175">
        <f t="shared" si="3"/>
        <v>0</v>
      </c>
      <c r="K124" s="175">
        <f>(IF('Pre-Calculation'!$D$17="Type 4 a",MAX(SA,H124,1.05*Q124),IF('Pre-Calculation'!$D$17="Type 4 c",H124,IF('Pre-Calculation'!$D$17="Type 4 d",SA+H124,IF('Pre-Calculation'!$D$17="Type 4 e",MAX(SA,H124),IF('Pre-Calculation'!$D$17="Type 4 f",SA,IF('Pre-Calculation'!$D$17="Type 4 g",1000+H124,IF('Pre-Calculation'!$D$17="Type 4 h",SA+V124,IF('Pre-Calculation'!$D$17="Type 4 i",MAX(H124,Q124),IF('Pre-Calculation'!$D$17="Type 4 k",MAX(H124,1.01*Q124),IF('Pre-Calculation'!$D$17="Type 4 m",MAX(105%*Q124,SA+H124),IF('Pre-Calculation'!$D$17="Type 4 o",MAX(SA,105%*Q124)+V124+X124,IF('Pre-Calculation'!$D$17="Type 5",0)))))))))))))*IF(AND(A124&lt;Revival!$C$4,C124&gt;=Revival!$D$12),PUP,1)</f>
        <v>1761249.411</v>
      </c>
      <c r="L124" s="175">
        <f>H124-I124*(1+Tax)</f>
        <v>1761249.411</v>
      </c>
      <c r="M124" s="175">
        <f>L124*(1+'Pre-Calculation'!$E$28)*(1-'Pre-Calculation'!$E$29*(1+Tax))</f>
        <v>1769076.348</v>
      </c>
      <c r="N124" s="175">
        <f>M124+IF(MOD(A124,B124)=0,VLOOKUP(B124,'Pre-Calculation'!$H$1:$L$31,5,FALSE),0)*IF('Pre-Calculation'!$D$16="% OF FV",M124,IF(OR('Pre-Calculation'!$D$16="% OF AFV(24M)",'Pre-Calculation'!$D$16="% OF AFV(8Q)"),AVERAGE( $M101:$M124),IF('Pre-Calculation'!$D$16="% OF AFV(12M)",AVERAGE($M113:M124),IF('Pre-Calculation'!$D$16="% OF AFV(36M)",AVERAGE($M89:M124)))))</f>
        <v>1769076.348</v>
      </c>
      <c r="O124" s="175">
        <f t="shared" si="4"/>
        <v>1769076.348</v>
      </c>
      <c r="P124" s="175">
        <f>IF('Pre-Calculation'!$D$17="Type 4 a",MAX(SA,N124,1.05*Q124),IF('Pre-Calculation'!$D$17="Type 4 c",N124,IF('Pre-Calculation'!$D$17="Type 4 d",SA+N124,IF('Pre-Calculation'!$D$17="Type 4 e",MAX(SA,N124),IF('Pre-Calculation'!$D$17="Type 4 f",SA,IF('Pre-Calculation'!$D$17="Type 4 g",1000+N124,IF('Pre-Calculation'!$D$17="Type 4 h",SA+V124,IF('Pre-Calculation'!$D$17="Type 4 i",MAX(N124,Q124),IF('Pre-Calculation'!$D$17="Type 4 k",MAX(N124,1.01*Q124),IF('Pre-Calculation'!$D$17="Type 4 m",MAX(105%*Q124,SA+N124),IF('Pre-Calculation'!$D$17="Type 4 o",MAX(SA,105%*Q124)+V124+X124,IF('Pre-Calculation'!$D$17="Type 5",0))))))))))))</f>
        <v>1769076.348</v>
      </c>
      <c r="Q124" s="175">
        <f t="shared" si="5"/>
        <v>1000000</v>
      </c>
      <c r="R124" s="119">
        <f>L124*(1+GROWTH_RATE)*FMC</f>
        <v>1993.069557</v>
      </c>
      <c r="S124" s="112"/>
      <c r="T124" s="175">
        <f>-E124+IF(A123=INPUT!$C$11*12,N124,0)</f>
        <v>0</v>
      </c>
      <c r="U124" s="112"/>
      <c r="V124" s="179">
        <f t="array" ref="V124">NPV('Pre-Calculation'!$E$20,$E125:E$246)</f>
        <v>0</v>
      </c>
      <c r="W124" s="171">
        <f>10%*SA</f>
        <v>100000</v>
      </c>
      <c r="X124" s="179">
        <f t="array" ref="X124">NPV('Pre-Calculation'!$E$20,W125:W134)</f>
        <v>969592.8037</v>
      </c>
      <c r="Y124" s="12"/>
      <c r="Z124" s="12"/>
    </row>
    <row r="125" ht="15.75" customHeight="1">
      <c r="A125" s="171">
        <f t="shared" si="1"/>
        <v>179</v>
      </c>
      <c r="B125" s="171">
        <f t="shared" si="2"/>
        <v>15</v>
      </c>
      <c r="C125" s="176">
        <f>EDATE(RCD,A124)</f>
        <v>47968</v>
      </c>
      <c r="D125" s="171">
        <f>Age_At_Entry+'Cashflows_Bond Fund'!B125-1</f>
        <v>49</v>
      </c>
      <c r="E125" s="175">
        <f>IF(AND(C125&lt;=Last_Prem,MOD(A124,Mode)=0,C125&gt;INPUT!$C$13,A125&lt;=Revival!$C$11),Mod_Prem,0)</f>
        <v>0</v>
      </c>
      <c r="F125" s="177">
        <f>E125*VLOOKUP(B125,'Pre-Calculation'!$H$1:$I$31,2,FALSE)</f>
        <v>0</v>
      </c>
      <c r="G125" s="177">
        <f>IF(B125&lt;PT+1,VLOOKUP(B125,'Pre-Calculation'!$H$1:$L$32,3,FALSE)+VLOOKUP(B125,'Pre-Calculation'!$H$1:$L$32,4,FALSE)*'Pre-Calculation'!$D$7,0)</f>
        <v>0</v>
      </c>
      <c r="H125" s="175">
        <f>(E125-(F125+G125)*(1+Tax)+N124)</f>
        <v>1769076.348</v>
      </c>
      <c r="I125" s="175">
        <f>IF(B125&lt;PT+1,VLOOKUP(D125,'Pre-Calculation'!$N$3:$P$79,IF(INPUT!$C$4="M",2,3),FALSE)*(J125/1000)*(1/12),0)</f>
        <v>0</v>
      </c>
      <c r="J125" s="175">
        <f t="shared" si="3"/>
        <v>0</v>
      </c>
      <c r="K125" s="175">
        <f>(IF('Pre-Calculation'!$D$17="Type 4 a",MAX(SA,H125,1.05*Q125),IF('Pre-Calculation'!$D$17="Type 4 c",H125,IF('Pre-Calculation'!$D$17="Type 4 d",SA+H125,IF('Pre-Calculation'!$D$17="Type 4 e",MAX(SA,H125),IF('Pre-Calculation'!$D$17="Type 4 f",SA,IF('Pre-Calculation'!$D$17="Type 4 g",1000+H125,IF('Pre-Calculation'!$D$17="Type 4 h",SA+V125,IF('Pre-Calculation'!$D$17="Type 4 i",MAX(H125,Q125),IF('Pre-Calculation'!$D$17="Type 4 k",MAX(H125,1.01*Q125),IF('Pre-Calculation'!$D$17="Type 4 m",MAX(105%*Q125,SA+H125),IF('Pre-Calculation'!$D$17="Type 4 o",MAX(SA,105%*Q125)+V125+X125,IF('Pre-Calculation'!$D$17="Type 5",0)))))))))))))*IF(AND(A125&lt;Revival!$C$4,C125&gt;=Revival!$D$12),PUP,1)</f>
        <v>1769076.348</v>
      </c>
      <c r="L125" s="175">
        <f>H125-I125*(1+Tax)</f>
        <v>1769076.348</v>
      </c>
      <c r="M125" s="175">
        <f>L125*(1+'Pre-Calculation'!$E$28)*(1-'Pre-Calculation'!$E$29*(1+Tax))</f>
        <v>1776938.068</v>
      </c>
      <c r="N125" s="175">
        <f>M125+IF(MOD(A125,B125)=0,VLOOKUP(B125,'Pre-Calculation'!$H$1:$L$31,5,FALSE),0)*IF('Pre-Calculation'!$D$16="% OF FV",M125,IF(OR('Pre-Calculation'!$D$16="% OF AFV(24M)",'Pre-Calculation'!$D$16="% OF AFV(8Q)"),AVERAGE( $M102:$M125),IF('Pre-Calculation'!$D$16="% OF AFV(12M)",AVERAGE($M114:M125),IF('Pre-Calculation'!$D$16="% OF AFV(36M)",AVERAGE($M90:M125)))))</f>
        <v>1776938.068</v>
      </c>
      <c r="O125" s="175">
        <f t="shared" si="4"/>
        <v>1776938.068</v>
      </c>
      <c r="P125" s="175">
        <f>IF('Pre-Calculation'!$D$17="Type 4 a",MAX(SA,N125,1.05*Q125),IF('Pre-Calculation'!$D$17="Type 4 c",N125,IF('Pre-Calculation'!$D$17="Type 4 d",SA+N125,IF('Pre-Calculation'!$D$17="Type 4 e",MAX(SA,N125),IF('Pre-Calculation'!$D$17="Type 4 f",SA,IF('Pre-Calculation'!$D$17="Type 4 g",1000+N125,IF('Pre-Calculation'!$D$17="Type 4 h",SA+V125,IF('Pre-Calculation'!$D$17="Type 4 i",MAX(N125,Q125),IF('Pre-Calculation'!$D$17="Type 4 k",MAX(N125,1.01*Q125),IF('Pre-Calculation'!$D$17="Type 4 m",MAX(105%*Q125,SA+N125),IF('Pre-Calculation'!$D$17="Type 4 o",MAX(SA,105%*Q125)+V125+X125,IF('Pre-Calculation'!$D$17="Type 5",0))))))))))))</f>
        <v>1776938.068</v>
      </c>
      <c r="Q125" s="175">
        <f t="shared" si="5"/>
        <v>1000000</v>
      </c>
      <c r="R125" s="119">
        <f>L125*(1+GROWTH_RATE)*FMC</f>
        <v>2001.926695</v>
      </c>
      <c r="S125" s="112"/>
      <c r="T125" s="175">
        <f>-E125+IF(A124=INPUT!$C$11*12,N125,0)</f>
        <v>0</v>
      </c>
      <c r="U125" s="112"/>
      <c r="V125" s="179">
        <f t="array" ref="V125">NPV('Pre-Calculation'!$E$20,$E126:E$246)</f>
        <v>0</v>
      </c>
      <c r="W125" s="171">
        <f>10%*SA</f>
        <v>100000</v>
      </c>
      <c r="X125" s="179">
        <f t="array" ref="X125">NPV('Pre-Calculation'!$E$20,W126:W135)</f>
        <v>969592.8037</v>
      </c>
      <c r="Y125" s="12"/>
      <c r="Z125" s="12"/>
    </row>
    <row r="126" ht="15.75" customHeight="1">
      <c r="A126" s="171">
        <f t="shared" si="1"/>
        <v>180</v>
      </c>
      <c r="B126" s="171">
        <f t="shared" si="2"/>
        <v>15</v>
      </c>
      <c r="C126" s="176">
        <f>EDATE(RCD,A125)</f>
        <v>47998</v>
      </c>
      <c r="D126" s="171">
        <f>Age_At_Entry+'Cashflows_Bond Fund'!B126-1</f>
        <v>49</v>
      </c>
      <c r="E126" s="175">
        <f>IF(AND(C126&lt;=Last_Prem,MOD(A125,Mode)=0,C126&gt;INPUT!$C$13,A126&lt;=Revival!$C$11),Mod_Prem,0)</f>
        <v>0</v>
      </c>
      <c r="F126" s="177">
        <f>E126*VLOOKUP(B126,'Pre-Calculation'!$H$1:$I$31,2,FALSE)</f>
        <v>0</v>
      </c>
      <c r="G126" s="177">
        <f>IF(B126&lt;PT+1,VLOOKUP(B126,'Pre-Calculation'!$H$1:$L$32,3,FALSE)+VLOOKUP(B126,'Pre-Calculation'!$H$1:$L$32,4,FALSE)*'Pre-Calculation'!$D$7,0)</f>
        <v>0</v>
      </c>
      <c r="H126" s="175">
        <f>(E126-(F126+G126)*(1+Tax)+N125)</f>
        <v>1776938.068</v>
      </c>
      <c r="I126" s="175">
        <f>IF(B126&lt;PT+1,VLOOKUP(D126,'Pre-Calculation'!$N$3:$P$79,IF(INPUT!$C$4="M",2,3),FALSE)*(J126/1000)*(1/12),0)</f>
        <v>0</v>
      </c>
      <c r="J126" s="175">
        <f t="shared" si="3"/>
        <v>0</v>
      </c>
      <c r="K126" s="175">
        <f>(IF('Pre-Calculation'!$D$17="Type 4 a",MAX(SA,H126,1.05*Q126),IF('Pre-Calculation'!$D$17="Type 4 c",H126,IF('Pre-Calculation'!$D$17="Type 4 d",SA+H126,IF('Pre-Calculation'!$D$17="Type 4 e",MAX(SA,H126),IF('Pre-Calculation'!$D$17="Type 4 f",SA,IF('Pre-Calculation'!$D$17="Type 4 g",1000+H126,IF('Pre-Calculation'!$D$17="Type 4 h",SA+V126,IF('Pre-Calculation'!$D$17="Type 4 i",MAX(H126,Q126),IF('Pre-Calculation'!$D$17="Type 4 k",MAX(H126,1.01*Q126),IF('Pre-Calculation'!$D$17="Type 4 m",MAX(105%*Q126,SA+H126),IF('Pre-Calculation'!$D$17="Type 4 o",MAX(SA,105%*Q126)+V126+X126,IF('Pre-Calculation'!$D$17="Type 5",0)))))))))))))*IF(AND(A126&lt;Revival!$C$4,C126&gt;=Revival!$D$12),PUP,1)</f>
        <v>1776938.068</v>
      </c>
      <c r="L126" s="175">
        <f>H126-I126*(1+Tax)</f>
        <v>1776938.068</v>
      </c>
      <c r="M126" s="175">
        <f>L126*(1+'Pre-Calculation'!$E$28)*(1-'Pre-Calculation'!$E$29*(1+Tax))</f>
        <v>1784834.725</v>
      </c>
      <c r="N126" s="175">
        <f>M126+IF(MOD(A126,B126)=0,VLOOKUP(B126,'Pre-Calculation'!$H$1:$L$31,5,FALSE),0)*IF('Pre-Calculation'!$D$16="% OF FV",M126,IF(OR('Pre-Calculation'!$D$16="% OF AFV(24M)",'Pre-Calculation'!$D$16="% OF AFV(8Q)"),AVERAGE( $M103:$M126),IF('Pre-Calculation'!$D$16="% OF AFV(12M)",AVERAGE($M115:M126),IF('Pre-Calculation'!$D$16="% OF AFV(36M)",AVERAGE($M91:M126)))))</f>
        <v>1784834.725</v>
      </c>
      <c r="O126" s="175">
        <f t="shared" si="4"/>
        <v>1784834.725</v>
      </c>
      <c r="P126" s="175">
        <f>IF('Pre-Calculation'!$D$17="Type 4 a",MAX(SA,N126,1.05*Q126),IF('Pre-Calculation'!$D$17="Type 4 c",N126,IF('Pre-Calculation'!$D$17="Type 4 d",SA+N126,IF('Pre-Calculation'!$D$17="Type 4 e",MAX(SA,N126),IF('Pre-Calculation'!$D$17="Type 4 f",SA,IF('Pre-Calculation'!$D$17="Type 4 g",1000+N126,IF('Pre-Calculation'!$D$17="Type 4 h",SA+V126,IF('Pre-Calculation'!$D$17="Type 4 i",MAX(N126,Q126),IF('Pre-Calculation'!$D$17="Type 4 k",MAX(N126,1.01*Q126),IF('Pre-Calculation'!$D$17="Type 4 m",MAX(105%*Q126,SA+N126),IF('Pre-Calculation'!$D$17="Type 4 o",MAX(SA,105%*Q126)+V126+X126,IF('Pre-Calculation'!$D$17="Type 5",0))))))))))))</f>
        <v>1784834.725</v>
      </c>
      <c r="Q126" s="175">
        <f t="shared" si="5"/>
        <v>1000000</v>
      </c>
      <c r="R126" s="119">
        <f>L126*(1+GROWTH_RATE)*FMC</f>
        <v>2010.823195</v>
      </c>
      <c r="S126" s="112"/>
      <c r="T126" s="175">
        <f>-E126+IF(A125=INPUT!$C$11*12,N126,0)</f>
        <v>0</v>
      </c>
      <c r="U126" s="112"/>
      <c r="V126" s="179">
        <f t="array" ref="V126">NPV('Pre-Calculation'!$E$20,$E127:E$246)</f>
        <v>0</v>
      </c>
      <c r="W126" s="171">
        <f>10%*SA</f>
        <v>100000</v>
      </c>
      <c r="X126" s="179">
        <f t="array" ref="X126">NPV('Pre-Calculation'!$E$20,W127:W136)</f>
        <v>969592.8037</v>
      </c>
      <c r="Y126" s="12"/>
      <c r="Z126" s="12"/>
    </row>
    <row r="127" ht="15.75" customHeight="1">
      <c r="A127" s="171">
        <f t="shared" si="1"/>
        <v>181</v>
      </c>
      <c r="B127" s="171">
        <f t="shared" si="2"/>
        <v>16</v>
      </c>
      <c r="C127" s="176">
        <f>EDATE(RCD,A126)</f>
        <v>48029</v>
      </c>
      <c r="D127" s="171">
        <f>Age_At_Entry+'Cashflows_Bond Fund'!B127-1</f>
        <v>50</v>
      </c>
      <c r="E127" s="175">
        <f>IF(AND(C127&lt;=Last_Prem,MOD(A126,Mode)=0,C127&gt;INPUT!$C$13,A127&lt;=Revival!$C$11),Mod_Prem,0)</f>
        <v>0</v>
      </c>
      <c r="F127" s="177">
        <f>E127*VLOOKUP(B127,'Pre-Calculation'!$H$1:$I$31,2,FALSE)</f>
        <v>0</v>
      </c>
      <c r="G127" s="177">
        <f>IF(B127&lt;PT+1,VLOOKUP(B127,'Pre-Calculation'!$H$1:$L$32,3,FALSE)+VLOOKUP(B127,'Pre-Calculation'!$H$1:$L$32,4,FALSE)*'Pre-Calculation'!$D$7,0)</f>
        <v>0</v>
      </c>
      <c r="H127" s="175">
        <f>(E127-(F127+G127)*(1+Tax)+N126)</f>
        <v>1784834.725</v>
      </c>
      <c r="I127" s="175">
        <f>IF(B127&lt;PT+1,VLOOKUP(D127,'Pre-Calculation'!$N$3:$P$79,IF(INPUT!$C$4="M",2,3),FALSE)*(J127/1000)*(1/12),0)</f>
        <v>0</v>
      </c>
      <c r="J127" s="175">
        <f t="shared" si="3"/>
        <v>0</v>
      </c>
      <c r="K127" s="175">
        <f>(IF('Pre-Calculation'!$D$17="Type 4 a",MAX(SA,H127,1.05*Q127),IF('Pre-Calculation'!$D$17="Type 4 c",H127,IF('Pre-Calculation'!$D$17="Type 4 d",SA+H127,IF('Pre-Calculation'!$D$17="Type 4 e",MAX(SA,H127),IF('Pre-Calculation'!$D$17="Type 4 f",SA,IF('Pre-Calculation'!$D$17="Type 4 g",1000+H127,IF('Pre-Calculation'!$D$17="Type 4 h",SA+V127,IF('Pre-Calculation'!$D$17="Type 4 i",MAX(H127,Q127),IF('Pre-Calculation'!$D$17="Type 4 k",MAX(H127,1.01*Q127),IF('Pre-Calculation'!$D$17="Type 4 m",MAX(105%*Q127,SA+H127),IF('Pre-Calculation'!$D$17="Type 4 o",MAX(SA,105%*Q127)+V127+X127,IF('Pre-Calculation'!$D$17="Type 5",0)))))))))))))*IF(AND(A127&lt;Revival!$C$4,C127&gt;=Revival!$D$12),PUP,1)</f>
        <v>1784834.725</v>
      </c>
      <c r="L127" s="175">
        <f>H127-I127*(1+Tax)</f>
        <v>1784834.725</v>
      </c>
      <c r="M127" s="175">
        <f>L127*(1+'Pre-Calculation'!$E$28)*(1-'Pre-Calculation'!$E$29*(1+Tax))</f>
        <v>1792766.475</v>
      </c>
      <c r="N127" s="175">
        <f>M127+IF(MOD(A127,B127)=0,VLOOKUP(B127,'Pre-Calculation'!$H$1:$L$31,5,FALSE),0)*IF('Pre-Calculation'!$D$16="% OF FV",M127,IF(OR('Pre-Calculation'!$D$16="% OF AFV(24M)",'Pre-Calculation'!$D$16="% OF AFV(8Q)"),AVERAGE( $M104:$M127),IF('Pre-Calculation'!$D$16="% OF AFV(12M)",AVERAGE($M116:M127),IF('Pre-Calculation'!$D$16="% OF AFV(36M)",AVERAGE($M92:M127)))))</f>
        <v>1792766.475</v>
      </c>
      <c r="O127" s="175">
        <f t="shared" si="4"/>
        <v>1792766.475</v>
      </c>
      <c r="P127" s="175">
        <f>IF('Pre-Calculation'!$D$17="Type 4 a",MAX(SA,N127,1.05*Q127),IF('Pre-Calculation'!$D$17="Type 4 c",N127,IF('Pre-Calculation'!$D$17="Type 4 d",SA+N127,IF('Pre-Calculation'!$D$17="Type 4 e",MAX(SA,N127),IF('Pre-Calculation'!$D$17="Type 4 f",SA,IF('Pre-Calculation'!$D$17="Type 4 g",1000+N127,IF('Pre-Calculation'!$D$17="Type 4 h",SA+V127,IF('Pre-Calculation'!$D$17="Type 4 i",MAX(N127,Q127),IF('Pre-Calculation'!$D$17="Type 4 k",MAX(N127,1.01*Q127),IF('Pre-Calculation'!$D$17="Type 4 m",MAX(105%*Q127,SA+N127),IF('Pre-Calculation'!$D$17="Type 4 o",MAX(SA,105%*Q127)+V127+X127,IF('Pre-Calculation'!$D$17="Type 5",0))))))))))))</f>
        <v>1792766.475</v>
      </c>
      <c r="Q127" s="175">
        <f t="shared" si="5"/>
        <v>1000000</v>
      </c>
      <c r="R127" s="119">
        <f>L127*(1+GROWTH_RATE)*FMC</f>
        <v>2019.75923</v>
      </c>
      <c r="S127" s="112"/>
      <c r="T127" s="175">
        <f>-E127+IF(A126=INPUT!$C$11*12,N127,0)</f>
        <v>0</v>
      </c>
      <c r="U127" s="112"/>
      <c r="V127" s="179">
        <f t="array" ref="V127">NPV('Pre-Calculation'!$E$20,$E128:E$246)</f>
        <v>0</v>
      </c>
      <c r="W127" s="171">
        <f>10%*SA</f>
        <v>100000</v>
      </c>
      <c r="X127" s="179">
        <f t="array" ref="X127">NPV('Pre-Calculation'!$E$20,W128:W137)</f>
        <v>969592.8037</v>
      </c>
      <c r="Y127" s="12"/>
      <c r="Z127" s="12"/>
    </row>
    <row r="128" ht="15.75" customHeight="1">
      <c r="A128" s="171">
        <f t="shared" si="1"/>
        <v>182</v>
      </c>
      <c r="B128" s="171">
        <f t="shared" si="2"/>
        <v>16</v>
      </c>
      <c r="C128" s="176">
        <f>EDATE(RCD,A127)</f>
        <v>48059</v>
      </c>
      <c r="D128" s="171">
        <f>Age_At_Entry+'Cashflows_Bond Fund'!B128-1</f>
        <v>50</v>
      </c>
      <c r="E128" s="175">
        <f>IF(AND(C128&lt;=Last_Prem,MOD(A127,Mode)=0,C128&gt;INPUT!$C$13,A128&lt;=Revival!$C$11),Mod_Prem,0)</f>
        <v>0</v>
      </c>
      <c r="F128" s="177">
        <f>E128*VLOOKUP(B128,'Pre-Calculation'!$H$1:$I$31,2,FALSE)</f>
        <v>0</v>
      </c>
      <c r="G128" s="177">
        <f>IF(B128&lt;PT+1,VLOOKUP(B128,'Pre-Calculation'!$H$1:$L$32,3,FALSE)+VLOOKUP(B128,'Pre-Calculation'!$H$1:$L$32,4,FALSE)*'Pre-Calculation'!$D$7,0)</f>
        <v>0</v>
      </c>
      <c r="H128" s="175">
        <f>(E128-(F128+G128)*(1+Tax)+N127)</f>
        <v>1792766.475</v>
      </c>
      <c r="I128" s="175">
        <f>IF(B128&lt;PT+1,VLOOKUP(D128,'Pre-Calculation'!$N$3:$P$79,IF(INPUT!$C$4="M",2,3),FALSE)*(J128/1000)*(1/12),0)</f>
        <v>0</v>
      </c>
      <c r="J128" s="175">
        <f t="shared" si="3"/>
        <v>0</v>
      </c>
      <c r="K128" s="175">
        <f>(IF('Pre-Calculation'!$D$17="Type 4 a",MAX(SA,H128,1.05*Q128),IF('Pre-Calculation'!$D$17="Type 4 c",H128,IF('Pre-Calculation'!$D$17="Type 4 d",SA+H128,IF('Pre-Calculation'!$D$17="Type 4 e",MAX(SA,H128),IF('Pre-Calculation'!$D$17="Type 4 f",SA,IF('Pre-Calculation'!$D$17="Type 4 g",1000+H128,IF('Pre-Calculation'!$D$17="Type 4 h",SA+V128,IF('Pre-Calculation'!$D$17="Type 4 i",MAX(H128,Q128),IF('Pre-Calculation'!$D$17="Type 4 k",MAX(H128,1.01*Q128),IF('Pre-Calculation'!$D$17="Type 4 m",MAX(105%*Q128,SA+H128),IF('Pre-Calculation'!$D$17="Type 4 o",MAX(SA,105%*Q128)+V128+X128,IF('Pre-Calculation'!$D$17="Type 5",0)))))))))))))*IF(AND(A128&lt;Revival!$C$4,C128&gt;=Revival!$D$12),PUP,1)</f>
        <v>1792766.475</v>
      </c>
      <c r="L128" s="175">
        <f>H128-I128*(1+Tax)</f>
        <v>1792766.475</v>
      </c>
      <c r="M128" s="175">
        <f>L128*(1+'Pre-Calculation'!$E$28)*(1-'Pre-Calculation'!$E$29*(1+Tax))</f>
        <v>1800733.473</v>
      </c>
      <c r="N128" s="175">
        <f>M128+IF(MOD(A128,B128)=0,VLOOKUP(B128,'Pre-Calculation'!$H$1:$L$31,5,FALSE),0)*IF('Pre-Calculation'!$D$16="% OF FV",M128,IF(OR('Pre-Calculation'!$D$16="% OF AFV(24M)",'Pre-Calculation'!$D$16="% OF AFV(8Q)"),AVERAGE( $M105:$M128),IF('Pre-Calculation'!$D$16="% OF AFV(12M)",AVERAGE($M117:M128),IF('Pre-Calculation'!$D$16="% OF AFV(36M)",AVERAGE($M93:M128)))))</f>
        <v>1800733.473</v>
      </c>
      <c r="O128" s="175">
        <f t="shared" si="4"/>
        <v>1800733.473</v>
      </c>
      <c r="P128" s="175">
        <f>IF('Pre-Calculation'!$D$17="Type 4 a",MAX(SA,N128,1.05*Q128),IF('Pre-Calculation'!$D$17="Type 4 c",N128,IF('Pre-Calculation'!$D$17="Type 4 d",SA+N128,IF('Pre-Calculation'!$D$17="Type 4 e",MAX(SA,N128),IF('Pre-Calculation'!$D$17="Type 4 f",SA,IF('Pre-Calculation'!$D$17="Type 4 g",1000+N128,IF('Pre-Calculation'!$D$17="Type 4 h",SA+V128,IF('Pre-Calculation'!$D$17="Type 4 i",MAX(N128,Q128),IF('Pre-Calculation'!$D$17="Type 4 k",MAX(N128,1.01*Q128),IF('Pre-Calculation'!$D$17="Type 4 m",MAX(105%*Q128,SA+N128),IF('Pre-Calculation'!$D$17="Type 4 o",MAX(SA,105%*Q128)+V128+X128,IF('Pre-Calculation'!$D$17="Type 5",0))))))))))))</f>
        <v>1800733.473</v>
      </c>
      <c r="Q128" s="175">
        <f t="shared" si="5"/>
        <v>1000000</v>
      </c>
      <c r="R128" s="119">
        <f>L128*(1+GROWTH_RATE)*FMC</f>
        <v>2028.734977</v>
      </c>
      <c r="S128" s="112"/>
      <c r="T128" s="175">
        <f>-E128+IF(A127=INPUT!$C$11*12,N128,0)</f>
        <v>0</v>
      </c>
      <c r="U128" s="112"/>
      <c r="V128" s="179">
        <f t="array" ref="V128">NPV('Pre-Calculation'!$E$20,$E129:E$246)</f>
        <v>0</v>
      </c>
      <c r="W128" s="171">
        <f>10%*SA</f>
        <v>100000</v>
      </c>
      <c r="X128" s="179">
        <f t="array" ref="X128">NPV('Pre-Calculation'!$E$20,W129:W138)</f>
        <v>969592.8037</v>
      </c>
      <c r="Y128" s="12"/>
      <c r="Z128" s="12"/>
    </row>
    <row r="129" ht="15.75" customHeight="1">
      <c r="A129" s="171">
        <f t="shared" si="1"/>
        <v>183</v>
      </c>
      <c r="B129" s="171">
        <f t="shared" si="2"/>
        <v>16</v>
      </c>
      <c r="C129" s="176">
        <f>EDATE(RCD,A128)</f>
        <v>48090</v>
      </c>
      <c r="D129" s="171">
        <f>Age_At_Entry+'Cashflows_Bond Fund'!B129-1</f>
        <v>50</v>
      </c>
      <c r="E129" s="175">
        <f>IF(AND(C129&lt;=Last_Prem,MOD(A128,Mode)=0,C129&gt;INPUT!$C$13,A129&lt;=Revival!$C$11),Mod_Prem,0)</f>
        <v>0</v>
      </c>
      <c r="F129" s="177">
        <f>E129*VLOOKUP(B129,'Pre-Calculation'!$H$1:$I$31,2,FALSE)</f>
        <v>0</v>
      </c>
      <c r="G129" s="177">
        <f>IF(B129&lt;PT+1,VLOOKUP(B129,'Pre-Calculation'!$H$1:$L$32,3,FALSE)+VLOOKUP(B129,'Pre-Calculation'!$H$1:$L$32,4,FALSE)*'Pre-Calculation'!$D$7,0)</f>
        <v>0</v>
      </c>
      <c r="H129" s="175">
        <f>(E129-(F129+G129)*(1+Tax)+N128)</f>
        <v>1800733.473</v>
      </c>
      <c r="I129" s="175">
        <f>IF(B129&lt;PT+1,VLOOKUP(D129,'Pre-Calculation'!$N$3:$P$79,IF(INPUT!$C$4="M",2,3),FALSE)*(J129/1000)*(1/12),0)</f>
        <v>0</v>
      </c>
      <c r="J129" s="175">
        <f t="shared" si="3"/>
        <v>0</v>
      </c>
      <c r="K129" s="175">
        <f>(IF('Pre-Calculation'!$D$17="Type 4 a",MAX(SA,H129,1.05*Q129),IF('Pre-Calculation'!$D$17="Type 4 c",H129,IF('Pre-Calculation'!$D$17="Type 4 d",SA+H129,IF('Pre-Calculation'!$D$17="Type 4 e",MAX(SA,H129),IF('Pre-Calculation'!$D$17="Type 4 f",SA,IF('Pre-Calculation'!$D$17="Type 4 g",1000+H129,IF('Pre-Calculation'!$D$17="Type 4 h",SA+V129,IF('Pre-Calculation'!$D$17="Type 4 i",MAX(H129,Q129),IF('Pre-Calculation'!$D$17="Type 4 k",MAX(H129,1.01*Q129),IF('Pre-Calculation'!$D$17="Type 4 m",MAX(105%*Q129,SA+H129),IF('Pre-Calculation'!$D$17="Type 4 o",MAX(SA,105%*Q129)+V129+X129,IF('Pre-Calculation'!$D$17="Type 5",0)))))))))))))*IF(AND(A129&lt;Revival!$C$4,C129&gt;=Revival!$D$12),PUP,1)</f>
        <v>1800733.473</v>
      </c>
      <c r="L129" s="175">
        <f>H129-I129*(1+Tax)</f>
        <v>1800733.473</v>
      </c>
      <c r="M129" s="175">
        <f>L129*(1+'Pre-Calculation'!$E$28)*(1-'Pre-Calculation'!$E$29*(1+Tax))</f>
        <v>1808735.876</v>
      </c>
      <c r="N129" s="175">
        <f>M129+IF(MOD(A129,B129)=0,VLOOKUP(B129,'Pre-Calculation'!$H$1:$L$31,5,FALSE),0)*IF('Pre-Calculation'!$D$16="% OF FV",M129,IF(OR('Pre-Calculation'!$D$16="% OF AFV(24M)",'Pre-Calculation'!$D$16="% OF AFV(8Q)"),AVERAGE( $M106:$M129),IF('Pre-Calculation'!$D$16="% OF AFV(12M)",AVERAGE($M118:M129),IF('Pre-Calculation'!$D$16="% OF AFV(36M)",AVERAGE($M94:M129)))))</f>
        <v>1808735.876</v>
      </c>
      <c r="O129" s="175">
        <f t="shared" si="4"/>
        <v>1808735.876</v>
      </c>
      <c r="P129" s="175">
        <f>IF('Pre-Calculation'!$D$17="Type 4 a",MAX(SA,N129,1.05*Q129),IF('Pre-Calculation'!$D$17="Type 4 c",N129,IF('Pre-Calculation'!$D$17="Type 4 d",SA+N129,IF('Pre-Calculation'!$D$17="Type 4 e",MAX(SA,N129),IF('Pre-Calculation'!$D$17="Type 4 f",SA,IF('Pre-Calculation'!$D$17="Type 4 g",1000+N129,IF('Pre-Calculation'!$D$17="Type 4 h",SA+V129,IF('Pre-Calculation'!$D$17="Type 4 i",MAX(N129,Q129),IF('Pre-Calculation'!$D$17="Type 4 k",MAX(N129,1.01*Q129),IF('Pre-Calculation'!$D$17="Type 4 m",MAX(105%*Q129,SA+N129),IF('Pre-Calculation'!$D$17="Type 4 o",MAX(SA,105%*Q129)+V129+X129,IF('Pre-Calculation'!$D$17="Type 5",0))))))))))))</f>
        <v>1808735.876</v>
      </c>
      <c r="Q129" s="175">
        <f t="shared" si="5"/>
        <v>1000000</v>
      </c>
      <c r="R129" s="119">
        <f>L129*(1+GROWTH_RATE)*FMC</f>
        <v>2037.750612</v>
      </c>
      <c r="S129" s="112"/>
      <c r="T129" s="175">
        <f>-E129+IF(A128=INPUT!$C$11*12,N129,0)</f>
        <v>0</v>
      </c>
      <c r="U129" s="112"/>
      <c r="V129" s="179">
        <f t="array" ref="V129">NPV('Pre-Calculation'!$E$20,$E130:E$246)</f>
        <v>0</v>
      </c>
      <c r="W129" s="171">
        <f>10%*SA</f>
        <v>100000</v>
      </c>
      <c r="X129" s="179">
        <f t="array" ref="X129">NPV('Pre-Calculation'!$E$20,W130:W139)</f>
        <v>969592.8037</v>
      </c>
      <c r="Y129" s="12"/>
      <c r="Z129" s="12"/>
    </row>
    <row r="130" ht="15.75" customHeight="1">
      <c r="A130" s="171">
        <f t="shared" si="1"/>
        <v>184</v>
      </c>
      <c r="B130" s="171">
        <f t="shared" si="2"/>
        <v>16</v>
      </c>
      <c r="C130" s="176">
        <f>EDATE(RCD,A129)</f>
        <v>48121</v>
      </c>
      <c r="D130" s="171">
        <f>Age_At_Entry+'Cashflows_Bond Fund'!B130-1</f>
        <v>50</v>
      </c>
      <c r="E130" s="175">
        <f>IF(AND(C130&lt;=Last_Prem,MOD(A129,Mode)=0,C130&gt;INPUT!$C$13,A130&lt;=Revival!$C$11),Mod_Prem,0)</f>
        <v>0</v>
      </c>
      <c r="F130" s="177">
        <f>E130*VLOOKUP(B130,'Pre-Calculation'!$H$1:$I$31,2,FALSE)</f>
        <v>0</v>
      </c>
      <c r="G130" s="177">
        <f>IF(B130&lt;PT+1,VLOOKUP(B130,'Pre-Calculation'!$H$1:$L$32,3,FALSE)+VLOOKUP(B130,'Pre-Calculation'!$H$1:$L$32,4,FALSE)*'Pre-Calculation'!$D$7,0)</f>
        <v>0</v>
      </c>
      <c r="H130" s="175">
        <f>(E130-(F130+G130)*(1+Tax)+N129)</f>
        <v>1808735.876</v>
      </c>
      <c r="I130" s="175">
        <f>IF(B130&lt;PT+1,VLOOKUP(D130,'Pre-Calculation'!$N$3:$P$79,IF(INPUT!$C$4="M",2,3),FALSE)*(J130/1000)*(1/12),0)</f>
        <v>0</v>
      </c>
      <c r="J130" s="175">
        <f t="shared" si="3"/>
        <v>0</v>
      </c>
      <c r="K130" s="175">
        <f>(IF('Pre-Calculation'!$D$17="Type 4 a",MAX(SA,H130,1.05*Q130),IF('Pre-Calculation'!$D$17="Type 4 c",H130,IF('Pre-Calculation'!$D$17="Type 4 d",SA+H130,IF('Pre-Calculation'!$D$17="Type 4 e",MAX(SA,H130),IF('Pre-Calculation'!$D$17="Type 4 f",SA,IF('Pre-Calculation'!$D$17="Type 4 g",1000+H130,IF('Pre-Calculation'!$D$17="Type 4 h",SA+V130,IF('Pre-Calculation'!$D$17="Type 4 i",MAX(H130,Q130),IF('Pre-Calculation'!$D$17="Type 4 k",MAX(H130,1.01*Q130),IF('Pre-Calculation'!$D$17="Type 4 m",MAX(105%*Q130,SA+H130),IF('Pre-Calculation'!$D$17="Type 4 o",MAX(SA,105%*Q130)+V130+X130,IF('Pre-Calculation'!$D$17="Type 5",0)))))))))))))*IF(AND(A130&lt;Revival!$C$4,C130&gt;=Revival!$D$12),PUP,1)</f>
        <v>1808735.876</v>
      </c>
      <c r="L130" s="175">
        <f>H130-I130*(1+Tax)</f>
        <v>1808735.876</v>
      </c>
      <c r="M130" s="175">
        <f>L130*(1+'Pre-Calculation'!$E$28)*(1-'Pre-Calculation'!$E$29*(1+Tax))</f>
        <v>1816773.842</v>
      </c>
      <c r="N130" s="175">
        <f>M130+IF(MOD(A130,B130)=0,VLOOKUP(B130,'Pre-Calculation'!$H$1:$L$31,5,FALSE),0)*IF('Pre-Calculation'!$D$16="% OF FV",M130,IF(OR('Pre-Calculation'!$D$16="% OF AFV(24M)",'Pre-Calculation'!$D$16="% OF AFV(8Q)"),AVERAGE( $M107:$M130),IF('Pre-Calculation'!$D$16="% OF AFV(12M)",AVERAGE($M119:M130),IF('Pre-Calculation'!$D$16="% OF AFV(36M)",AVERAGE($M95:M130)))))</f>
        <v>1816773.842</v>
      </c>
      <c r="O130" s="175">
        <f t="shared" si="4"/>
        <v>1816773.842</v>
      </c>
      <c r="P130" s="175">
        <f>IF('Pre-Calculation'!$D$17="Type 4 a",MAX(SA,N130,1.05*Q130),IF('Pre-Calculation'!$D$17="Type 4 c",N130,IF('Pre-Calculation'!$D$17="Type 4 d",SA+N130,IF('Pre-Calculation'!$D$17="Type 4 e",MAX(SA,N130),IF('Pre-Calculation'!$D$17="Type 4 f",SA,IF('Pre-Calculation'!$D$17="Type 4 g",1000+N130,IF('Pre-Calculation'!$D$17="Type 4 h",SA+V130,IF('Pre-Calculation'!$D$17="Type 4 i",MAX(N130,Q130),IF('Pre-Calculation'!$D$17="Type 4 k",MAX(N130,1.01*Q130),IF('Pre-Calculation'!$D$17="Type 4 m",MAX(105%*Q130,SA+N130),IF('Pre-Calculation'!$D$17="Type 4 o",MAX(SA,105%*Q130)+V130+X130,IF('Pre-Calculation'!$D$17="Type 5",0))))))))))))</f>
        <v>1816773.842</v>
      </c>
      <c r="Q130" s="175">
        <f t="shared" si="5"/>
        <v>1000000</v>
      </c>
      <c r="R130" s="119">
        <f>L130*(1+GROWTH_RATE)*FMC</f>
        <v>2046.806312</v>
      </c>
      <c r="S130" s="112"/>
      <c r="T130" s="175">
        <f>-E130+IF(A129=INPUT!$C$11*12,N130,0)</f>
        <v>0</v>
      </c>
      <c r="U130" s="112"/>
      <c r="V130" s="179">
        <f t="array" ref="V130">NPV('Pre-Calculation'!$E$20,$E131:E$246)</f>
        <v>0</v>
      </c>
      <c r="W130" s="171">
        <f>10%*SA</f>
        <v>100000</v>
      </c>
      <c r="X130" s="179">
        <f t="array" ref="X130">NPV('Pre-Calculation'!$E$20,W131:W140)</f>
        <v>969592.8037</v>
      </c>
      <c r="Y130" s="12"/>
      <c r="Z130" s="12"/>
    </row>
    <row r="131" ht="15.75" customHeight="1">
      <c r="A131" s="171">
        <f t="shared" si="1"/>
        <v>185</v>
      </c>
      <c r="B131" s="171">
        <f t="shared" si="2"/>
        <v>16</v>
      </c>
      <c r="C131" s="176">
        <f>EDATE(RCD,A130)</f>
        <v>48151</v>
      </c>
      <c r="D131" s="171">
        <f>Age_At_Entry+'Cashflows_Bond Fund'!B131-1</f>
        <v>50</v>
      </c>
      <c r="E131" s="175">
        <f>IF(AND(C131&lt;=Last_Prem,MOD(A130,Mode)=0,C131&gt;INPUT!$C$13,A131&lt;=Revival!$C$11),Mod_Prem,0)</f>
        <v>0</v>
      </c>
      <c r="F131" s="177">
        <f>E131*VLOOKUP(B131,'Pre-Calculation'!$H$1:$I$31,2,FALSE)</f>
        <v>0</v>
      </c>
      <c r="G131" s="177">
        <f>IF(B131&lt;PT+1,VLOOKUP(B131,'Pre-Calculation'!$H$1:$L$32,3,FALSE)+VLOOKUP(B131,'Pre-Calculation'!$H$1:$L$32,4,FALSE)*'Pre-Calculation'!$D$7,0)</f>
        <v>0</v>
      </c>
      <c r="H131" s="175">
        <f>(E131-(F131+G131)*(1+Tax)+N130)</f>
        <v>1816773.842</v>
      </c>
      <c r="I131" s="175">
        <f>IF(B131&lt;PT+1,VLOOKUP(D131,'Pre-Calculation'!$N$3:$P$79,IF(INPUT!$C$4="M",2,3),FALSE)*(J131/1000)*(1/12),0)</f>
        <v>0</v>
      </c>
      <c r="J131" s="175">
        <f t="shared" si="3"/>
        <v>0</v>
      </c>
      <c r="K131" s="175">
        <f>(IF('Pre-Calculation'!$D$17="Type 4 a",MAX(SA,H131,1.05*Q131),IF('Pre-Calculation'!$D$17="Type 4 c",H131,IF('Pre-Calculation'!$D$17="Type 4 d",SA+H131,IF('Pre-Calculation'!$D$17="Type 4 e",MAX(SA,H131),IF('Pre-Calculation'!$D$17="Type 4 f",SA,IF('Pre-Calculation'!$D$17="Type 4 g",1000+H131,IF('Pre-Calculation'!$D$17="Type 4 h",SA+V131,IF('Pre-Calculation'!$D$17="Type 4 i",MAX(H131,Q131),IF('Pre-Calculation'!$D$17="Type 4 k",MAX(H131,1.01*Q131),IF('Pre-Calculation'!$D$17="Type 4 m",MAX(105%*Q131,SA+H131),IF('Pre-Calculation'!$D$17="Type 4 o",MAX(SA,105%*Q131)+V131+X131,IF('Pre-Calculation'!$D$17="Type 5",0)))))))))))))*IF(AND(A131&lt;Revival!$C$4,C131&gt;=Revival!$D$12),PUP,1)</f>
        <v>1816773.842</v>
      </c>
      <c r="L131" s="175">
        <f>H131-I131*(1+Tax)</f>
        <v>1816773.842</v>
      </c>
      <c r="M131" s="175">
        <f>L131*(1+'Pre-Calculation'!$E$28)*(1-'Pre-Calculation'!$E$29*(1+Tax))</f>
        <v>1824847.528</v>
      </c>
      <c r="N131" s="175">
        <f>M131+IF(MOD(A131,B131)=0,VLOOKUP(B131,'Pre-Calculation'!$H$1:$L$31,5,FALSE),0)*IF('Pre-Calculation'!$D$16="% OF FV",M131,IF(OR('Pre-Calculation'!$D$16="% OF AFV(24M)",'Pre-Calculation'!$D$16="% OF AFV(8Q)"),AVERAGE( $M108:$M131),IF('Pre-Calculation'!$D$16="% OF AFV(12M)",AVERAGE($M120:M131),IF('Pre-Calculation'!$D$16="% OF AFV(36M)",AVERAGE($M96:M131)))))</f>
        <v>1824847.528</v>
      </c>
      <c r="O131" s="175">
        <f t="shared" si="4"/>
        <v>1824847.528</v>
      </c>
      <c r="P131" s="175">
        <f>IF('Pre-Calculation'!$D$17="Type 4 a",MAX(SA,N131,1.05*Q131),IF('Pre-Calculation'!$D$17="Type 4 c",N131,IF('Pre-Calculation'!$D$17="Type 4 d",SA+N131,IF('Pre-Calculation'!$D$17="Type 4 e",MAX(SA,N131),IF('Pre-Calculation'!$D$17="Type 4 f",SA,IF('Pre-Calculation'!$D$17="Type 4 g",1000+N131,IF('Pre-Calculation'!$D$17="Type 4 h",SA+V131,IF('Pre-Calculation'!$D$17="Type 4 i",MAX(N131,Q131),IF('Pre-Calculation'!$D$17="Type 4 k",MAX(N131,1.01*Q131),IF('Pre-Calculation'!$D$17="Type 4 m",MAX(105%*Q131,SA+N131),IF('Pre-Calculation'!$D$17="Type 4 o",MAX(SA,105%*Q131)+V131+X131,IF('Pre-Calculation'!$D$17="Type 5",0))))))))))))</f>
        <v>1824847.528</v>
      </c>
      <c r="Q131" s="175">
        <f t="shared" si="5"/>
        <v>1000000</v>
      </c>
      <c r="R131" s="119">
        <f>L131*(1+GROWTH_RATE)*FMC</f>
        <v>2055.902255</v>
      </c>
      <c r="S131" s="112"/>
      <c r="T131" s="175">
        <f>-E131+IF(A130=INPUT!$C$11*12,N131,0)</f>
        <v>0</v>
      </c>
      <c r="U131" s="112"/>
      <c r="V131" s="179">
        <f t="array" ref="V131">NPV('Pre-Calculation'!$E$20,$E132:E$246)</f>
        <v>0</v>
      </c>
      <c r="W131" s="171">
        <f>10%*SA</f>
        <v>100000</v>
      </c>
      <c r="X131" s="179">
        <f t="array" ref="X131">NPV('Pre-Calculation'!$E$20,W132:W141)</f>
        <v>969592.8037</v>
      </c>
      <c r="Y131" s="12"/>
      <c r="Z131" s="12"/>
    </row>
    <row r="132" ht="15.75" customHeight="1">
      <c r="A132" s="171">
        <f t="shared" si="1"/>
        <v>186</v>
      </c>
      <c r="B132" s="171">
        <f t="shared" si="2"/>
        <v>16</v>
      </c>
      <c r="C132" s="176">
        <f>EDATE(RCD,A131)</f>
        <v>48182</v>
      </c>
      <c r="D132" s="171">
        <f>Age_At_Entry+'Cashflows_Bond Fund'!B132-1</f>
        <v>50</v>
      </c>
      <c r="E132" s="175">
        <f>IF(AND(C132&lt;=Last_Prem,MOD(A131,Mode)=0,C132&gt;INPUT!$C$13,A132&lt;=Revival!$C$11),Mod_Prem,0)</f>
        <v>0</v>
      </c>
      <c r="F132" s="177">
        <f>E132*VLOOKUP(B132,'Pre-Calculation'!$H$1:$I$31,2,FALSE)</f>
        <v>0</v>
      </c>
      <c r="G132" s="177">
        <f>IF(B132&lt;PT+1,VLOOKUP(B132,'Pre-Calculation'!$H$1:$L$32,3,FALSE)+VLOOKUP(B132,'Pre-Calculation'!$H$1:$L$32,4,FALSE)*'Pre-Calculation'!$D$7,0)</f>
        <v>0</v>
      </c>
      <c r="H132" s="175">
        <f>(E132-(F132+G132)*(1+Tax)+N131)</f>
        <v>1824847.528</v>
      </c>
      <c r="I132" s="175">
        <f>IF(B132&lt;PT+1,VLOOKUP(D132,'Pre-Calculation'!$N$3:$P$79,IF(INPUT!$C$4="M",2,3),FALSE)*(J132/1000)*(1/12),0)</f>
        <v>0</v>
      </c>
      <c r="J132" s="175">
        <f t="shared" si="3"/>
        <v>0</v>
      </c>
      <c r="K132" s="175">
        <f>(IF('Pre-Calculation'!$D$17="Type 4 a",MAX(SA,H132,1.05*Q132),IF('Pre-Calculation'!$D$17="Type 4 c",H132,IF('Pre-Calculation'!$D$17="Type 4 d",SA+H132,IF('Pre-Calculation'!$D$17="Type 4 e",MAX(SA,H132),IF('Pre-Calculation'!$D$17="Type 4 f",SA,IF('Pre-Calculation'!$D$17="Type 4 g",1000+H132,IF('Pre-Calculation'!$D$17="Type 4 h",SA+V132,IF('Pre-Calculation'!$D$17="Type 4 i",MAX(H132,Q132),IF('Pre-Calculation'!$D$17="Type 4 k",MAX(H132,1.01*Q132),IF('Pre-Calculation'!$D$17="Type 4 m",MAX(105%*Q132,SA+H132),IF('Pre-Calculation'!$D$17="Type 4 o",MAX(SA,105%*Q132)+V132+X132,IF('Pre-Calculation'!$D$17="Type 5",0)))))))))))))*IF(AND(A132&lt;Revival!$C$4,C132&gt;=Revival!$D$12),PUP,1)</f>
        <v>1824847.528</v>
      </c>
      <c r="L132" s="175">
        <f>H132-I132*(1+Tax)</f>
        <v>1824847.528</v>
      </c>
      <c r="M132" s="175">
        <f>L132*(1+'Pre-Calculation'!$E$28)*(1-'Pre-Calculation'!$E$29*(1+Tax))</f>
        <v>1832957.093</v>
      </c>
      <c r="N132" s="175">
        <f>M132+IF(MOD(A132,B132)=0,VLOOKUP(B132,'Pre-Calculation'!$H$1:$L$31,5,FALSE),0)*IF('Pre-Calculation'!$D$16="% OF FV",M132,IF(OR('Pre-Calculation'!$D$16="% OF AFV(24M)",'Pre-Calculation'!$D$16="% OF AFV(8Q)"),AVERAGE( $M109:$M132),IF('Pre-Calculation'!$D$16="% OF AFV(12M)",AVERAGE($M121:M132),IF('Pre-Calculation'!$D$16="% OF AFV(36M)",AVERAGE($M97:M132)))))</f>
        <v>1832957.093</v>
      </c>
      <c r="O132" s="175">
        <f t="shared" si="4"/>
        <v>1832957.093</v>
      </c>
      <c r="P132" s="175">
        <f>IF('Pre-Calculation'!$D$17="Type 4 a",MAX(SA,N132,1.05*Q132),IF('Pre-Calculation'!$D$17="Type 4 c",N132,IF('Pre-Calculation'!$D$17="Type 4 d",SA+N132,IF('Pre-Calculation'!$D$17="Type 4 e",MAX(SA,N132),IF('Pre-Calculation'!$D$17="Type 4 f",SA,IF('Pre-Calculation'!$D$17="Type 4 g",1000+N132,IF('Pre-Calculation'!$D$17="Type 4 h",SA+V132,IF('Pre-Calculation'!$D$17="Type 4 i",MAX(N132,Q132),IF('Pre-Calculation'!$D$17="Type 4 k",MAX(N132,1.01*Q132),IF('Pre-Calculation'!$D$17="Type 4 m",MAX(105%*Q132,SA+N132),IF('Pre-Calculation'!$D$17="Type 4 o",MAX(SA,105%*Q132)+V132+X132,IF('Pre-Calculation'!$D$17="Type 5",0))))))))))))</f>
        <v>1832957.093</v>
      </c>
      <c r="Q132" s="175">
        <f t="shared" si="5"/>
        <v>1000000</v>
      </c>
      <c r="R132" s="119">
        <f>L132*(1+GROWTH_RATE)*FMC</f>
        <v>2065.038621</v>
      </c>
      <c r="S132" s="112"/>
      <c r="T132" s="175">
        <f>-E132+IF(A131=INPUT!$C$11*12,N132,0)</f>
        <v>0</v>
      </c>
      <c r="U132" s="112"/>
      <c r="V132" s="179">
        <f t="array" ref="V132">NPV('Pre-Calculation'!$E$20,$E133:E$246)</f>
        <v>0</v>
      </c>
      <c r="W132" s="171">
        <f>10%*SA</f>
        <v>100000</v>
      </c>
      <c r="X132" s="179">
        <f t="array" ref="X132">NPV('Pre-Calculation'!$E$20,W133:W142)</f>
        <v>969592.8037</v>
      </c>
      <c r="Y132" s="12"/>
      <c r="Z132" s="12"/>
    </row>
    <row r="133" ht="15.75" customHeight="1">
      <c r="A133" s="171">
        <f t="shared" si="1"/>
        <v>187</v>
      </c>
      <c r="B133" s="171">
        <f t="shared" si="2"/>
        <v>16</v>
      </c>
      <c r="C133" s="176">
        <f>EDATE(RCD,A132)</f>
        <v>48212</v>
      </c>
      <c r="D133" s="171">
        <f>Age_At_Entry+'Cashflows_Bond Fund'!B133-1</f>
        <v>50</v>
      </c>
      <c r="E133" s="175">
        <f>IF(AND(C133&lt;=Last_Prem,MOD(A132,Mode)=0,C133&gt;INPUT!$C$13,A133&lt;=Revival!$C$11),Mod_Prem,0)</f>
        <v>0</v>
      </c>
      <c r="F133" s="177">
        <f>E133*VLOOKUP(B133,'Pre-Calculation'!$H$1:$I$31,2,FALSE)</f>
        <v>0</v>
      </c>
      <c r="G133" s="177">
        <f>IF(B133&lt;PT+1,VLOOKUP(B133,'Pre-Calculation'!$H$1:$L$32,3,FALSE)+VLOOKUP(B133,'Pre-Calculation'!$H$1:$L$32,4,FALSE)*'Pre-Calculation'!$D$7,0)</f>
        <v>0</v>
      </c>
      <c r="H133" s="175">
        <f>(E133-(F133+G133)*(1+Tax)+N132)</f>
        <v>1832957.093</v>
      </c>
      <c r="I133" s="175">
        <f>IF(B133&lt;PT+1,VLOOKUP(D133,'Pre-Calculation'!$N$3:$P$79,IF(INPUT!$C$4="M",2,3),FALSE)*(J133/1000)*(1/12),0)</f>
        <v>0</v>
      </c>
      <c r="J133" s="175">
        <f t="shared" si="3"/>
        <v>0</v>
      </c>
      <c r="K133" s="175">
        <f>(IF('Pre-Calculation'!$D$17="Type 4 a",MAX(SA,H133,1.05*Q133),IF('Pre-Calculation'!$D$17="Type 4 c",H133,IF('Pre-Calculation'!$D$17="Type 4 d",SA+H133,IF('Pre-Calculation'!$D$17="Type 4 e",MAX(SA,H133),IF('Pre-Calculation'!$D$17="Type 4 f",SA,IF('Pre-Calculation'!$D$17="Type 4 g",1000+H133,IF('Pre-Calculation'!$D$17="Type 4 h",SA+V133,IF('Pre-Calculation'!$D$17="Type 4 i",MAX(H133,Q133),IF('Pre-Calculation'!$D$17="Type 4 k",MAX(H133,1.01*Q133),IF('Pre-Calculation'!$D$17="Type 4 m",MAX(105%*Q133,SA+H133),IF('Pre-Calculation'!$D$17="Type 4 o",MAX(SA,105%*Q133)+V133+X133,IF('Pre-Calculation'!$D$17="Type 5",0)))))))))))))*IF(AND(A133&lt;Revival!$C$4,C133&gt;=Revival!$D$12),PUP,1)</f>
        <v>1832957.093</v>
      </c>
      <c r="L133" s="175">
        <f>H133-I133*(1+Tax)</f>
        <v>1832957.093</v>
      </c>
      <c r="M133" s="175">
        <f>L133*(1+'Pre-Calculation'!$E$28)*(1-'Pre-Calculation'!$E$29*(1+Tax))</f>
        <v>1841102.697</v>
      </c>
      <c r="N133" s="175">
        <f>M133+IF(MOD(A133,B133)=0,VLOOKUP(B133,'Pre-Calculation'!$H$1:$L$31,5,FALSE),0)*IF('Pre-Calculation'!$D$16="% OF FV",M133,IF(OR('Pre-Calculation'!$D$16="% OF AFV(24M)",'Pre-Calculation'!$D$16="% OF AFV(8Q)"),AVERAGE( $M110:$M133),IF('Pre-Calculation'!$D$16="% OF AFV(12M)",AVERAGE($M122:M133),IF('Pre-Calculation'!$D$16="% OF AFV(36M)",AVERAGE($M98:M133)))))</f>
        <v>1841102.697</v>
      </c>
      <c r="O133" s="175">
        <f t="shared" si="4"/>
        <v>1841102.697</v>
      </c>
      <c r="P133" s="175">
        <f>IF('Pre-Calculation'!$D$17="Type 4 a",MAX(SA,N133,1.05*Q133),IF('Pre-Calculation'!$D$17="Type 4 c",N133,IF('Pre-Calculation'!$D$17="Type 4 d",SA+N133,IF('Pre-Calculation'!$D$17="Type 4 e",MAX(SA,N133),IF('Pre-Calculation'!$D$17="Type 4 f",SA,IF('Pre-Calculation'!$D$17="Type 4 g",1000+N133,IF('Pre-Calculation'!$D$17="Type 4 h",SA+V133,IF('Pre-Calculation'!$D$17="Type 4 i",MAX(N133,Q133),IF('Pre-Calculation'!$D$17="Type 4 k",MAX(N133,1.01*Q133),IF('Pre-Calculation'!$D$17="Type 4 m",MAX(105%*Q133,SA+N133),IF('Pre-Calculation'!$D$17="Type 4 o",MAX(SA,105%*Q133)+V133+X133,IF('Pre-Calculation'!$D$17="Type 5",0))))))))))))</f>
        <v>1841102.697</v>
      </c>
      <c r="Q133" s="175">
        <f t="shared" si="5"/>
        <v>1000000</v>
      </c>
      <c r="R133" s="119">
        <f>L133*(1+GROWTH_RATE)*FMC</f>
        <v>2074.215588</v>
      </c>
      <c r="S133" s="112"/>
      <c r="T133" s="175">
        <f>-E133+IF(A132=INPUT!$C$11*12,N133,0)</f>
        <v>0</v>
      </c>
      <c r="U133" s="112"/>
      <c r="V133" s="179">
        <f t="array" ref="V133">NPV('Pre-Calculation'!$E$20,$E134:E$246)</f>
        <v>0</v>
      </c>
      <c r="W133" s="171">
        <f>10%*SA</f>
        <v>100000</v>
      </c>
      <c r="X133" s="179">
        <f t="array" ref="X133">NPV('Pre-Calculation'!$E$20,W134:W143)</f>
        <v>969592.8037</v>
      </c>
      <c r="Y133" s="12"/>
      <c r="Z133" s="12"/>
    </row>
    <row r="134" ht="15.75" customHeight="1">
      <c r="A134" s="171">
        <f t="shared" si="1"/>
        <v>188</v>
      </c>
      <c r="B134" s="171">
        <f t="shared" si="2"/>
        <v>16</v>
      </c>
      <c r="C134" s="176">
        <f>EDATE(RCD,A133)</f>
        <v>48243</v>
      </c>
      <c r="D134" s="171">
        <f>Age_At_Entry+'Cashflows_Bond Fund'!B134-1</f>
        <v>50</v>
      </c>
      <c r="E134" s="175">
        <f>IF(AND(C134&lt;=Last_Prem,MOD(A133,Mode)=0,C134&gt;INPUT!$C$13,A134&lt;=Revival!$C$11),Mod_Prem,0)</f>
        <v>0</v>
      </c>
      <c r="F134" s="177">
        <f>E134*VLOOKUP(B134,'Pre-Calculation'!$H$1:$I$31,2,FALSE)</f>
        <v>0</v>
      </c>
      <c r="G134" s="177">
        <f>IF(B134&lt;PT+1,VLOOKUP(B134,'Pre-Calculation'!$H$1:$L$32,3,FALSE)+VLOOKUP(B134,'Pre-Calculation'!$H$1:$L$32,4,FALSE)*'Pre-Calculation'!$D$7,0)</f>
        <v>0</v>
      </c>
      <c r="H134" s="175">
        <f>(E134-(F134+G134)*(1+Tax)+N133)</f>
        <v>1841102.697</v>
      </c>
      <c r="I134" s="175">
        <f>IF(B134&lt;PT+1,VLOOKUP(D134,'Pre-Calculation'!$N$3:$P$79,IF(INPUT!$C$4="M",2,3),FALSE)*(J134/1000)*(1/12),0)</f>
        <v>0</v>
      </c>
      <c r="J134" s="175">
        <f t="shared" si="3"/>
        <v>0</v>
      </c>
      <c r="K134" s="175">
        <f>(IF('Pre-Calculation'!$D$17="Type 4 a",MAX(SA,H134,1.05*Q134),IF('Pre-Calculation'!$D$17="Type 4 c",H134,IF('Pre-Calculation'!$D$17="Type 4 d",SA+H134,IF('Pre-Calculation'!$D$17="Type 4 e",MAX(SA,H134),IF('Pre-Calculation'!$D$17="Type 4 f",SA,IF('Pre-Calculation'!$D$17="Type 4 g",1000+H134,IF('Pre-Calculation'!$D$17="Type 4 h",SA+V134,IF('Pre-Calculation'!$D$17="Type 4 i",MAX(H134,Q134),IF('Pre-Calculation'!$D$17="Type 4 k",MAX(H134,1.01*Q134),IF('Pre-Calculation'!$D$17="Type 4 m",MAX(105%*Q134,SA+H134),IF('Pre-Calculation'!$D$17="Type 4 o",MAX(SA,105%*Q134)+V134+X134,IF('Pre-Calculation'!$D$17="Type 5",0)))))))))))))*IF(AND(A134&lt;Revival!$C$4,C134&gt;=Revival!$D$12),PUP,1)</f>
        <v>1841102.697</v>
      </c>
      <c r="L134" s="175">
        <f>H134-I134*(1+Tax)</f>
        <v>1841102.697</v>
      </c>
      <c r="M134" s="175">
        <f>L134*(1+'Pre-Calculation'!$E$28)*(1-'Pre-Calculation'!$E$29*(1+Tax))</f>
        <v>1849284.5</v>
      </c>
      <c r="N134" s="175">
        <f>M134+IF(MOD(A134,B134)=0,VLOOKUP(B134,'Pre-Calculation'!$H$1:$L$31,5,FALSE),0)*IF('Pre-Calculation'!$D$16="% OF FV",M134,IF(OR('Pre-Calculation'!$D$16="% OF AFV(24M)",'Pre-Calculation'!$D$16="% OF AFV(8Q)"),AVERAGE( $M111:$M134),IF('Pre-Calculation'!$D$16="% OF AFV(12M)",AVERAGE($M123:M134),IF('Pre-Calculation'!$D$16="% OF AFV(36M)",AVERAGE($M99:M134)))))</f>
        <v>1849284.5</v>
      </c>
      <c r="O134" s="175">
        <f t="shared" si="4"/>
        <v>1849284.5</v>
      </c>
      <c r="P134" s="175">
        <f>IF('Pre-Calculation'!$D$17="Type 4 a",MAX(SA,N134,1.05*Q134),IF('Pre-Calculation'!$D$17="Type 4 c",N134,IF('Pre-Calculation'!$D$17="Type 4 d",SA+N134,IF('Pre-Calculation'!$D$17="Type 4 e",MAX(SA,N134),IF('Pre-Calculation'!$D$17="Type 4 f",SA,IF('Pre-Calculation'!$D$17="Type 4 g",1000+N134,IF('Pre-Calculation'!$D$17="Type 4 h",SA+V134,IF('Pre-Calculation'!$D$17="Type 4 i",MAX(N134,Q134),IF('Pre-Calculation'!$D$17="Type 4 k",MAX(N134,1.01*Q134),IF('Pre-Calculation'!$D$17="Type 4 m",MAX(105%*Q134,SA+N134),IF('Pre-Calculation'!$D$17="Type 4 o",MAX(SA,105%*Q134)+V134+X134,IF('Pre-Calculation'!$D$17="Type 5",0))))))))))))</f>
        <v>1849284.5</v>
      </c>
      <c r="Q134" s="175">
        <f t="shared" si="5"/>
        <v>1000000</v>
      </c>
      <c r="R134" s="119">
        <f>L134*(1+GROWTH_RATE)*FMC</f>
        <v>2083.433337</v>
      </c>
      <c r="S134" s="112"/>
      <c r="T134" s="175">
        <f>-E134+IF(A133=INPUT!$C$11*12,N134,0)</f>
        <v>0</v>
      </c>
      <c r="U134" s="112"/>
      <c r="V134" s="179">
        <f t="array" ref="V134">NPV('Pre-Calculation'!$E$20,$E135:E$246)</f>
        <v>0</v>
      </c>
      <c r="W134" s="171">
        <f>10%*SA</f>
        <v>100000</v>
      </c>
      <c r="X134" s="179">
        <f t="array" ref="X134">NPV('Pre-Calculation'!$E$20,W135:W144)</f>
        <v>969592.8037</v>
      </c>
      <c r="Y134" s="12"/>
      <c r="Z134" s="12"/>
    </row>
    <row r="135" ht="15.75" customHeight="1">
      <c r="A135" s="171">
        <f t="shared" si="1"/>
        <v>189</v>
      </c>
      <c r="B135" s="171">
        <f t="shared" si="2"/>
        <v>16</v>
      </c>
      <c r="C135" s="176">
        <f>EDATE(RCD,A134)</f>
        <v>48273</v>
      </c>
      <c r="D135" s="171">
        <f>Age_At_Entry+'Cashflows_Bond Fund'!B135-1</f>
        <v>50</v>
      </c>
      <c r="E135" s="175">
        <f>IF(AND(C135&lt;=Last_Prem,MOD(A134,Mode)=0,C135&gt;INPUT!$C$13,A135&lt;=Revival!$C$11),Mod_Prem,0)</f>
        <v>0</v>
      </c>
      <c r="F135" s="177">
        <f>E135*VLOOKUP(B135,'Pre-Calculation'!$H$1:$I$31,2,FALSE)</f>
        <v>0</v>
      </c>
      <c r="G135" s="177">
        <f>IF(B135&lt;PT+1,VLOOKUP(B135,'Pre-Calculation'!$H$1:$L$32,3,FALSE)+VLOOKUP(B135,'Pre-Calculation'!$H$1:$L$32,4,FALSE)*'Pre-Calculation'!$D$7,0)</f>
        <v>0</v>
      </c>
      <c r="H135" s="175">
        <f>(E135-(F135+G135)*(1+Tax)+N134)</f>
        <v>1849284.5</v>
      </c>
      <c r="I135" s="175">
        <f>IF(B135&lt;PT+1,VLOOKUP(D135,'Pre-Calculation'!$N$3:$P$79,IF(INPUT!$C$4="M",2,3),FALSE)*(J135/1000)*(1/12),0)</f>
        <v>0</v>
      </c>
      <c r="J135" s="175">
        <f t="shared" si="3"/>
        <v>0</v>
      </c>
      <c r="K135" s="175">
        <f>(IF('Pre-Calculation'!$D$17="Type 4 a",MAX(SA,H135,1.05*Q135),IF('Pre-Calculation'!$D$17="Type 4 c",H135,IF('Pre-Calculation'!$D$17="Type 4 d",SA+H135,IF('Pre-Calculation'!$D$17="Type 4 e",MAX(SA,H135),IF('Pre-Calculation'!$D$17="Type 4 f",SA,IF('Pre-Calculation'!$D$17="Type 4 g",1000+H135,IF('Pre-Calculation'!$D$17="Type 4 h",SA+V135,IF('Pre-Calculation'!$D$17="Type 4 i",MAX(H135,Q135),IF('Pre-Calculation'!$D$17="Type 4 k",MAX(H135,1.01*Q135),IF('Pre-Calculation'!$D$17="Type 4 m",MAX(105%*Q135,SA+H135),IF('Pre-Calculation'!$D$17="Type 4 o",MAX(SA,105%*Q135)+V135+X135,IF('Pre-Calculation'!$D$17="Type 5",0)))))))))))))*IF(AND(A135&lt;Revival!$C$4,C135&gt;=Revival!$D$12),PUP,1)</f>
        <v>1849284.5</v>
      </c>
      <c r="L135" s="175">
        <f>H135-I135*(1+Tax)</f>
        <v>1849284.5</v>
      </c>
      <c r="M135" s="175">
        <f>L135*(1+'Pre-Calculation'!$E$28)*(1-'Pre-Calculation'!$E$29*(1+Tax))</f>
        <v>1857502.663</v>
      </c>
      <c r="N135" s="175">
        <f>M135+IF(MOD(A135,B135)=0,VLOOKUP(B135,'Pre-Calculation'!$H$1:$L$31,5,FALSE),0)*IF('Pre-Calculation'!$D$16="% OF FV",M135,IF(OR('Pre-Calculation'!$D$16="% OF AFV(24M)",'Pre-Calculation'!$D$16="% OF AFV(8Q)"),AVERAGE( $M112:$M135),IF('Pre-Calculation'!$D$16="% OF AFV(12M)",AVERAGE($M124:M135),IF('Pre-Calculation'!$D$16="% OF AFV(36M)",AVERAGE($M100:M135)))))</f>
        <v>1857502.663</v>
      </c>
      <c r="O135" s="175">
        <f t="shared" si="4"/>
        <v>1857502.663</v>
      </c>
      <c r="P135" s="175">
        <f>IF('Pre-Calculation'!$D$17="Type 4 a",MAX(SA,N135,1.05*Q135),IF('Pre-Calculation'!$D$17="Type 4 c",N135,IF('Pre-Calculation'!$D$17="Type 4 d",SA+N135,IF('Pre-Calculation'!$D$17="Type 4 e",MAX(SA,N135),IF('Pre-Calculation'!$D$17="Type 4 f",SA,IF('Pre-Calculation'!$D$17="Type 4 g",1000+N135,IF('Pre-Calculation'!$D$17="Type 4 h",SA+V135,IF('Pre-Calculation'!$D$17="Type 4 i",MAX(N135,Q135),IF('Pre-Calculation'!$D$17="Type 4 k",MAX(N135,1.01*Q135),IF('Pre-Calculation'!$D$17="Type 4 m",MAX(105%*Q135,SA+N135),IF('Pre-Calculation'!$D$17="Type 4 o",MAX(SA,105%*Q135)+V135+X135,IF('Pre-Calculation'!$D$17="Type 5",0))))))))))))</f>
        <v>1857502.663</v>
      </c>
      <c r="Q135" s="175">
        <f t="shared" si="5"/>
        <v>1000000</v>
      </c>
      <c r="R135" s="119">
        <f>L135*(1+GROWTH_RATE)*FMC</f>
        <v>2092.69205</v>
      </c>
      <c r="S135" s="112"/>
      <c r="T135" s="175">
        <f>-E135+IF(A134=INPUT!$C$11*12,N135,0)</f>
        <v>0</v>
      </c>
      <c r="U135" s="112"/>
      <c r="V135" s="179">
        <f t="array" ref="V135">NPV('Pre-Calculation'!$E$20,$E136:E$246)</f>
        <v>0</v>
      </c>
      <c r="W135" s="171">
        <f>10%*SA</f>
        <v>100000</v>
      </c>
      <c r="X135" s="179">
        <f t="array" ref="X135">NPV('Pre-Calculation'!$E$20,W136:W145)</f>
        <v>969592.8037</v>
      </c>
      <c r="Y135" s="12"/>
      <c r="Z135" s="12"/>
    </row>
    <row r="136" ht="15.75" customHeight="1">
      <c r="A136" s="171">
        <f t="shared" si="1"/>
        <v>190</v>
      </c>
      <c r="B136" s="171">
        <f t="shared" si="2"/>
        <v>16</v>
      </c>
      <c r="C136" s="176">
        <f>EDATE(RCD,A135)</f>
        <v>48303</v>
      </c>
      <c r="D136" s="171">
        <f>Age_At_Entry+'Cashflows_Bond Fund'!B136-1</f>
        <v>50</v>
      </c>
      <c r="E136" s="175">
        <f>IF(AND(C136&lt;=Last_Prem,MOD(A135,Mode)=0,C136&gt;INPUT!$C$13,A136&lt;=Revival!$C$11),Mod_Prem,0)</f>
        <v>0</v>
      </c>
      <c r="F136" s="177">
        <f>E136*VLOOKUP(B136,'Pre-Calculation'!$H$1:$I$31,2,FALSE)</f>
        <v>0</v>
      </c>
      <c r="G136" s="177">
        <f>IF(B136&lt;PT+1,VLOOKUP(B136,'Pre-Calculation'!$H$1:$L$32,3,FALSE)+VLOOKUP(B136,'Pre-Calculation'!$H$1:$L$32,4,FALSE)*'Pre-Calculation'!$D$7,0)</f>
        <v>0</v>
      </c>
      <c r="H136" s="175">
        <f>(E136-(F136+G136)*(1+Tax)+N135)</f>
        <v>1857502.663</v>
      </c>
      <c r="I136" s="175">
        <f>IF(B136&lt;PT+1,VLOOKUP(D136,'Pre-Calculation'!$N$3:$P$79,IF(INPUT!$C$4="M",2,3),FALSE)*(J136/1000)*(1/12),0)</f>
        <v>0</v>
      </c>
      <c r="J136" s="175">
        <f t="shared" si="3"/>
        <v>0</v>
      </c>
      <c r="K136" s="175">
        <f>(IF('Pre-Calculation'!$D$17="Type 4 a",MAX(SA,H136,1.05*Q136),IF('Pre-Calculation'!$D$17="Type 4 c",H136,IF('Pre-Calculation'!$D$17="Type 4 d",SA+H136,IF('Pre-Calculation'!$D$17="Type 4 e",MAX(SA,H136),IF('Pre-Calculation'!$D$17="Type 4 f",SA,IF('Pre-Calculation'!$D$17="Type 4 g",1000+H136,IF('Pre-Calculation'!$D$17="Type 4 h",SA+V136,IF('Pre-Calculation'!$D$17="Type 4 i",MAX(H136,Q136),IF('Pre-Calculation'!$D$17="Type 4 k",MAX(H136,1.01*Q136),IF('Pre-Calculation'!$D$17="Type 4 m",MAX(105%*Q136,SA+H136),IF('Pre-Calculation'!$D$17="Type 4 o",MAX(SA,105%*Q136)+V136+X136,IF('Pre-Calculation'!$D$17="Type 5",0)))))))))))))*IF(AND(A136&lt;Revival!$C$4,C136&gt;=Revival!$D$12),PUP,1)</f>
        <v>1857502.663</v>
      </c>
      <c r="L136" s="175">
        <f>H136-I136*(1+Tax)</f>
        <v>1857502.663</v>
      </c>
      <c r="M136" s="175">
        <f>L136*(1+'Pre-Calculation'!$E$28)*(1-'Pre-Calculation'!$E$29*(1+Tax))</f>
        <v>1865757.347</v>
      </c>
      <c r="N136" s="175">
        <f>M136+IF(MOD(A136,B136)=0,VLOOKUP(B136,'Pre-Calculation'!$H$1:$L$31,5,FALSE),0)*IF('Pre-Calculation'!$D$16="% OF FV",M136,IF(OR('Pre-Calculation'!$D$16="% OF AFV(24M)",'Pre-Calculation'!$D$16="% OF AFV(8Q)"),AVERAGE( $M113:$M136),IF('Pre-Calculation'!$D$16="% OF AFV(12M)",AVERAGE($M125:M136),IF('Pre-Calculation'!$D$16="% OF AFV(36M)",AVERAGE($M101:M136)))))</f>
        <v>1865757.347</v>
      </c>
      <c r="O136" s="175">
        <f t="shared" si="4"/>
        <v>1865757.347</v>
      </c>
      <c r="P136" s="175">
        <f>IF('Pre-Calculation'!$D$17="Type 4 a",MAX(SA,N136,1.05*Q136),IF('Pre-Calculation'!$D$17="Type 4 c",N136,IF('Pre-Calculation'!$D$17="Type 4 d",SA+N136,IF('Pre-Calculation'!$D$17="Type 4 e",MAX(SA,N136),IF('Pre-Calculation'!$D$17="Type 4 f",SA,IF('Pre-Calculation'!$D$17="Type 4 g",1000+N136,IF('Pre-Calculation'!$D$17="Type 4 h",SA+V136,IF('Pre-Calculation'!$D$17="Type 4 i",MAX(N136,Q136),IF('Pre-Calculation'!$D$17="Type 4 k",MAX(N136,1.01*Q136),IF('Pre-Calculation'!$D$17="Type 4 m",MAX(105%*Q136,SA+N136),IF('Pre-Calculation'!$D$17="Type 4 o",MAX(SA,105%*Q136)+V136+X136,IF('Pre-Calculation'!$D$17="Type 5",0))))))))))))</f>
        <v>1865757.347</v>
      </c>
      <c r="Q136" s="175">
        <f t="shared" si="5"/>
        <v>1000000</v>
      </c>
      <c r="R136" s="119">
        <f>L136*(1+GROWTH_RATE)*FMC</f>
        <v>2101.991908</v>
      </c>
      <c r="S136" s="112"/>
      <c r="T136" s="175">
        <f>-E136+IF(A135=INPUT!$C$11*12,N136,0)</f>
        <v>0</v>
      </c>
      <c r="U136" s="112"/>
      <c r="V136" s="179">
        <f t="array" ref="V136">NPV('Pre-Calculation'!$E$20,$E137:E$246)</f>
        <v>0</v>
      </c>
      <c r="W136" s="171">
        <f>10%*SA</f>
        <v>100000</v>
      </c>
      <c r="X136" s="179">
        <f t="array" ref="X136">NPV('Pre-Calculation'!$E$20,W137:W146)</f>
        <v>969592.8037</v>
      </c>
      <c r="Y136" s="12"/>
      <c r="Z136" s="12"/>
    </row>
    <row r="137" ht="15.75" customHeight="1">
      <c r="A137" s="171">
        <f t="shared" si="1"/>
        <v>191</v>
      </c>
      <c r="B137" s="171">
        <f t="shared" si="2"/>
        <v>16</v>
      </c>
      <c r="C137" s="176">
        <f>EDATE(RCD,A136)</f>
        <v>48334</v>
      </c>
      <c r="D137" s="171">
        <f>Age_At_Entry+'Cashflows_Bond Fund'!B137-1</f>
        <v>50</v>
      </c>
      <c r="E137" s="175">
        <f>IF(AND(C137&lt;=Last_Prem,MOD(A136,Mode)=0,C137&gt;INPUT!$C$13,A137&lt;=Revival!$C$11),Mod_Prem,0)</f>
        <v>0</v>
      </c>
      <c r="F137" s="177">
        <f>E137*VLOOKUP(B137,'Pre-Calculation'!$H$1:$I$31,2,FALSE)</f>
        <v>0</v>
      </c>
      <c r="G137" s="177">
        <f>IF(B137&lt;PT+1,VLOOKUP(B137,'Pre-Calculation'!$H$1:$L$32,3,FALSE)+VLOOKUP(B137,'Pre-Calculation'!$H$1:$L$32,4,FALSE)*'Pre-Calculation'!$D$7,0)</f>
        <v>0</v>
      </c>
      <c r="H137" s="175">
        <f>(E137-(F137+G137)*(1+Tax)+N136)</f>
        <v>1865757.347</v>
      </c>
      <c r="I137" s="175">
        <f>IF(B137&lt;PT+1,VLOOKUP(D137,'Pre-Calculation'!$N$3:$P$79,IF(INPUT!$C$4="M",2,3),FALSE)*(J137/1000)*(1/12),0)</f>
        <v>0</v>
      </c>
      <c r="J137" s="175">
        <f t="shared" si="3"/>
        <v>0</v>
      </c>
      <c r="K137" s="175">
        <f>(IF('Pre-Calculation'!$D$17="Type 4 a",MAX(SA,H137,1.05*Q137),IF('Pre-Calculation'!$D$17="Type 4 c",H137,IF('Pre-Calculation'!$D$17="Type 4 d",SA+H137,IF('Pre-Calculation'!$D$17="Type 4 e",MAX(SA,H137),IF('Pre-Calculation'!$D$17="Type 4 f",SA,IF('Pre-Calculation'!$D$17="Type 4 g",1000+H137,IF('Pre-Calculation'!$D$17="Type 4 h",SA+V137,IF('Pre-Calculation'!$D$17="Type 4 i",MAX(H137,Q137),IF('Pre-Calculation'!$D$17="Type 4 k",MAX(H137,1.01*Q137),IF('Pre-Calculation'!$D$17="Type 4 m",MAX(105%*Q137,SA+H137),IF('Pre-Calculation'!$D$17="Type 4 o",MAX(SA,105%*Q137)+V137+X137,IF('Pre-Calculation'!$D$17="Type 5",0)))))))))))))*IF(AND(A137&lt;Revival!$C$4,C137&gt;=Revival!$D$12),PUP,1)</f>
        <v>1865757.347</v>
      </c>
      <c r="L137" s="175">
        <f>H137-I137*(1+Tax)</f>
        <v>1865757.347</v>
      </c>
      <c r="M137" s="175">
        <f>L137*(1+'Pre-Calculation'!$E$28)*(1-'Pre-Calculation'!$E$29*(1+Tax))</f>
        <v>1874048.714</v>
      </c>
      <c r="N137" s="175">
        <f>M137+IF(MOD(A137,B137)=0,VLOOKUP(B137,'Pre-Calculation'!$H$1:$L$31,5,FALSE),0)*IF('Pre-Calculation'!$D$16="% OF FV",M137,IF(OR('Pre-Calculation'!$D$16="% OF AFV(24M)",'Pre-Calculation'!$D$16="% OF AFV(8Q)"),AVERAGE( $M114:$M137),IF('Pre-Calculation'!$D$16="% OF AFV(12M)",AVERAGE($M126:M137),IF('Pre-Calculation'!$D$16="% OF AFV(36M)",AVERAGE($M102:M137)))))</f>
        <v>1874048.714</v>
      </c>
      <c r="O137" s="175">
        <f t="shared" si="4"/>
        <v>1874048.714</v>
      </c>
      <c r="P137" s="175">
        <f>IF('Pre-Calculation'!$D$17="Type 4 a",MAX(SA,N137,1.05*Q137),IF('Pre-Calculation'!$D$17="Type 4 c",N137,IF('Pre-Calculation'!$D$17="Type 4 d",SA+N137,IF('Pre-Calculation'!$D$17="Type 4 e",MAX(SA,N137),IF('Pre-Calculation'!$D$17="Type 4 f",SA,IF('Pre-Calculation'!$D$17="Type 4 g",1000+N137,IF('Pre-Calculation'!$D$17="Type 4 h",SA+V137,IF('Pre-Calculation'!$D$17="Type 4 i",MAX(N137,Q137),IF('Pre-Calculation'!$D$17="Type 4 k",MAX(N137,1.01*Q137),IF('Pre-Calculation'!$D$17="Type 4 m",MAX(105%*Q137,SA+N137),IF('Pre-Calculation'!$D$17="Type 4 o",MAX(SA,105%*Q137)+V137+X137,IF('Pre-Calculation'!$D$17="Type 5",0))))))))))))</f>
        <v>1874048.714</v>
      </c>
      <c r="Q137" s="175">
        <f t="shared" si="5"/>
        <v>1000000</v>
      </c>
      <c r="R137" s="119">
        <f>L137*(1+GROWTH_RATE)*FMC</f>
        <v>2111.333094</v>
      </c>
      <c r="S137" s="112"/>
      <c r="T137" s="175">
        <f>-E137+IF(A136=INPUT!$C$11*12,N137,0)</f>
        <v>0</v>
      </c>
      <c r="U137" s="112"/>
      <c r="V137" s="179">
        <f t="array" ref="V137">NPV('Pre-Calculation'!$E$20,$E138:E$246)</f>
        <v>0</v>
      </c>
      <c r="W137" s="171">
        <f>10%*SA</f>
        <v>100000</v>
      </c>
      <c r="X137" s="179">
        <f t="array" ref="X137">NPV('Pre-Calculation'!$E$20,W138:W147)</f>
        <v>969592.8037</v>
      </c>
      <c r="Y137" s="12"/>
      <c r="Z137" s="12"/>
    </row>
    <row r="138" ht="15.75" customHeight="1">
      <c r="A138" s="171">
        <f t="shared" si="1"/>
        <v>192</v>
      </c>
      <c r="B138" s="171">
        <f t="shared" si="2"/>
        <v>16</v>
      </c>
      <c r="C138" s="176">
        <f>EDATE(RCD,A137)</f>
        <v>48364</v>
      </c>
      <c r="D138" s="171">
        <f>Age_At_Entry+'Cashflows_Bond Fund'!B138-1</f>
        <v>50</v>
      </c>
      <c r="E138" s="175">
        <f>IF(AND(C138&lt;=Last_Prem,MOD(A137,Mode)=0,C138&gt;INPUT!$C$13,A138&lt;=Revival!$C$11),Mod_Prem,0)</f>
        <v>0</v>
      </c>
      <c r="F138" s="177">
        <f>E138*VLOOKUP(B138,'Pre-Calculation'!$H$1:$I$31,2,FALSE)</f>
        <v>0</v>
      </c>
      <c r="G138" s="177">
        <f>IF(B138&lt;PT+1,VLOOKUP(B138,'Pre-Calculation'!$H$1:$L$32,3,FALSE)+VLOOKUP(B138,'Pre-Calculation'!$H$1:$L$32,4,FALSE)*'Pre-Calculation'!$D$7,0)</f>
        <v>0</v>
      </c>
      <c r="H138" s="175">
        <f>(E138-(F138+G138)*(1+Tax)+N137)</f>
        <v>1874048.714</v>
      </c>
      <c r="I138" s="175">
        <f>IF(B138&lt;PT+1,VLOOKUP(D138,'Pre-Calculation'!$N$3:$P$79,IF(INPUT!$C$4="M",2,3),FALSE)*(J138/1000)*(1/12),0)</f>
        <v>0</v>
      </c>
      <c r="J138" s="175">
        <f t="shared" si="3"/>
        <v>0</v>
      </c>
      <c r="K138" s="175">
        <f>(IF('Pre-Calculation'!$D$17="Type 4 a",MAX(SA,H138,1.05*Q138),IF('Pre-Calculation'!$D$17="Type 4 c",H138,IF('Pre-Calculation'!$D$17="Type 4 d",SA+H138,IF('Pre-Calculation'!$D$17="Type 4 e",MAX(SA,H138),IF('Pre-Calculation'!$D$17="Type 4 f",SA,IF('Pre-Calculation'!$D$17="Type 4 g",1000+H138,IF('Pre-Calculation'!$D$17="Type 4 h",SA+V138,IF('Pre-Calculation'!$D$17="Type 4 i",MAX(H138,Q138),IF('Pre-Calculation'!$D$17="Type 4 k",MAX(H138,1.01*Q138),IF('Pre-Calculation'!$D$17="Type 4 m",MAX(105%*Q138,SA+H138),IF('Pre-Calculation'!$D$17="Type 4 o",MAX(SA,105%*Q138)+V138+X138,IF('Pre-Calculation'!$D$17="Type 5",0)))))))))))))*IF(AND(A138&lt;Revival!$C$4,C138&gt;=Revival!$D$12),PUP,1)</f>
        <v>1874048.714</v>
      </c>
      <c r="L138" s="175">
        <f>H138-I138*(1+Tax)</f>
        <v>1874048.714</v>
      </c>
      <c r="M138" s="175">
        <f>L138*(1+'Pre-Calculation'!$E$28)*(1-'Pre-Calculation'!$E$29*(1+Tax))</f>
        <v>1882376.928</v>
      </c>
      <c r="N138" s="175">
        <f>M138+IF(MOD(A138,B138)=0,VLOOKUP(B138,'Pre-Calculation'!$H$1:$L$31,5,FALSE),0)*IF('Pre-Calculation'!$D$16="% OF FV",M138,IF(OR('Pre-Calculation'!$D$16="% OF AFV(24M)",'Pre-Calculation'!$D$16="% OF AFV(8Q)"),AVERAGE( $M115:$M138),IF('Pre-Calculation'!$D$16="% OF AFV(12M)",AVERAGE($M127:M138),IF('Pre-Calculation'!$D$16="% OF AFV(36M)",AVERAGE($M103:M138)))))</f>
        <v>1882376.928</v>
      </c>
      <c r="O138" s="175">
        <f t="shared" si="4"/>
        <v>1882376.928</v>
      </c>
      <c r="P138" s="175">
        <f>IF('Pre-Calculation'!$D$17="Type 4 a",MAX(SA,N138,1.05*Q138),IF('Pre-Calculation'!$D$17="Type 4 c",N138,IF('Pre-Calculation'!$D$17="Type 4 d",SA+N138,IF('Pre-Calculation'!$D$17="Type 4 e",MAX(SA,N138),IF('Pre-Calculation'!$D$17="Type 4 f",SA,IF('Pre-Calculation'!$D$17="Type 4 g",1000+N138,IF('Pre-Calculation'!$D$17="Type 4 h",SA+V138,IF('Pre-Calculation'!$D$17="Type 4 i",MAX(N138,Q138),IF('Pre-Calculation'!$D$17="Type 4 k",MAX(N138,1.01*Q138),IF('Pre-Calculation'!$D$17="Type 4 m",MAX(105%*Q138,SA+N138),IF('Pre-Calculation'!$D$17="Type 4 o",MAX(SA,105%*Q138)+V138+X138,IF('Pre-Calculation'!$D$17="Type 5",0))))))))))))</f>
        <v>1882376.928</v>
      </c>
      <c r="Q138" s="175">
        <f t="shared" si="5"/>
        <v>1000000</v>
      </c>
      <c r="R138" s="119">
        <f>L138*(1+GROWTH_RATE)*FMC</f>
        <v>2120.715792</v>
      </c>
      <c r="S138" s="112"/>
      <c r="T138" s="175">
        <f>-E138+IF(A137=INPUT!$C$11*12,N138,0)</f>
        <v>0</v>
      </c>
      <c r="U138" s="112"/>
      <c r="V138" s="179">
        <f t="array" ref="V138">NPV('Pre-Calculation'!$E$20,$E139:E$246)</f>
        <v>0</v>
      </c>
      <c r="W138" s="171">
        <f>10%*SA</f>
        <v>100000</v>
      </c>
      <c r="X138" s="179">
        <f t="array" ref="X138">NPV('Pre-Calculation'!$E$20,W139:W148)</f>
        <v>969592.8037</v>
      </c>
      <c r="Y138" s="12"/>
      <c r="Z138" s="12"/>
    </row>
    <row r="139" ht="15.75" customHeight="1">
      <c r="A139" s="171">
        <f t="shared" si="1"/>
        <v>193</v>
      </c>
      <c r="B139" s="171">
        <f t="shared" si="2"/>
        <v>17</v>
      </c>
      <c r="C139" s="176">
        <f>EDATE(RCD,A138)</f>
        <v>48395</v>
      </c>
      <c r="D139" s="171">
        <f>Age_At_Entry+'Cashflows_Bond Fund'!B139-1</f>
        <v>51</v>
      </c>
      <c r="E139" s="175">
        <f>IF(AND(C139&lt;=Last_Prem,MOD(A138,Mode)=0,C139&gt;INPUT!$C$13,A139&lt;=Revival!$C$11),Mod_Prem,0)</f>
        <v>0</v>
      </c>
      <c r="F139" s="177">
        <f>E139*VLOOKUP(B139,'Pre-Calculation'!$H$1:$I$31,2,FALSE)</f>
        <v>0</v>
      </c>
      <c r="G139" s="177">
        <f>IF(B139&lt;PT+1,VLOOKUP(B139,'Pre-Calculation'!$H$1:$L$32,3,FALSE)+VLOOKUP(B139,'Pre-Calculation'!$H$1:$L$32,4,FALSE)*'Pre-Calculation'!$D$7,0)</f>
        <v>0</v>
      </c>
      <c r="H139" s="175">
        <f>(E139-(F139+G139)*(1+Tax)+N138)</f>
        <v>1882376.928</v>
      </c>
      <c r="I139" s="175">
        <f>IF(B139&lt;PT+1,VLOOKUP(D139,'Pre-Calculation'!$N$3:$P$79,IF(INPUT!$C$4="M",2,3),FALSE)*(J139/1000)*(1/12),0)</f>
        <v>0</v>
      </c>
      <c r="J139" s="175">
        <f t="shared" si="3"/>
        <v>0</v>
      </c>
      <c r="K139" s="175">
        <f>(IF('Pre-Calculation'!$D$17="Type 4 a",MAX(SA,H139,1.05*Q139),IF('Pre-Calculation'!$D$17="Type 4 c",H139,IF('Pre-Calculation'!$D$17="Type 4 d",SA+H139,IF('Pre-Calculation'!$D$17="Type 4 e",MAX(SA,H139),IF('Pre-Calculation'!$D$17="Type 4 f",SA,IF('Pre-Calculation'!$D$17="Type 4 g",1000+H139,IF('Pre-Calculation'!$D$17="Type 4 h",SA+V139,IF('Pre-Calculation'!$D$17="Type 4 i",MAX(H139,Q139),IF('Pre-Calculation'!$D$17="Type 4 k",MAX(H139,1.01*Q139),IF('Pre-Calculation'!$D$17="Type 4 m",MAX(105%*Q139,SA+H139),IF('Pre-Calculation'!$D$17="Type 4 o",MAX(SA,105%*Q139)+V139+X139,IF('Pre-Calculation'!$D$17="Type 5",0)))))))))))))*IF(AND(A139&lt;Revival!$C$4,C139&gt;=Revival!$D$12),PUP,1)</f>
        <v>1882376.928</v>
      </c>
      <c r="L139" s="175">
        <f>H139-I139*(1+Tax)</f>
        <v>1882376.928</v>
      </c>
      <c r="M139" s="175">
        <f>L139*(1+'Pre-Calculation'!$E$28)*(1-'Pre-Calculation'!$E$29*(1+Tax))</f>
        <v>1890742.152</v>
      </c>
      <c r="N139" s="175">
        <f>M139+IF(MOD(A139,B139)=0,VLOOKUP(B139,'Pre-Calculation'!$H$1:$L$31,5,FALSE),0)*IF('Pre-Calculation'!$D$16="% OF FV",M139,IF(OR('Pre-Calculation'!$D$16="% OF AFV(24M)",'Pre-Calculation'!$D$16="% OF AFV(8Q)"),AVERAGE( $M116:$M139),IF('Pre-Calculation'!$D$16="% OF AFV(12M)",AVERAGE($M128:M139),IF('Pre-Calculation'!$D$16="% OF AFV(36M)",AVERAGE($M104:M139)))))</f>
        <v>1890742.152</v>
      </c>
      <c r="O139" s="175">
        <f t="shared" si="4"/>
        <v>1890742.152</v>
      </c>
      <c r="P139" s="175">
        <f>IF('Pre-Calculation'!$D$17="Type 4 a",MAX(SA,N139,1.05*Q139),IF('Pre-Calculation'!$D$17="Type 4 c",N139,IF('Pre-Calculation'!$D$17="Type 4 d",SA+N139,IF('Pre-Calculation'!$D$17="Type 4 e",MAX(SA,N139),IF('Pre-Calculation'!$D$17="Type 4 f",SA,IF('Pre-Calculation'!$D$17="Type 4 g",1000+N139,IF('Pre-Calculation'!$D$17="Type 4 h",SA+V139,IF('Pre-Calculation'!$D$17="Type 4 i",MAX(N139,Q139),IF('Pre-Calculation'!$D$17="Type 4 k",MAX(N139,1.01*Q139),IF('Pre-Calculation'!$D$17="Type 4 m",MAX(105%*Q139,SA+N139),IF('Pre-Calculation'!$D$17="Type 4 o",MAX(SA,105%*Q139)+V139+X139,IF('Pre-Calculation'!$D$17="Type 5",0))))))))))))</f>
        <v>1890742.152</v>
      </c>
      <c r="Q139" s="175">
        <f t="shared" si="5"/>
        <v>1000000</v>
      </c>
      <c r="R139" s="119">
        <f>L139*(1+GROWTH_RATE)*FMC</f>
        <v>2130.140187</v>
      </c>
      <c r="S139" s="112"/>
      <c r="T139" s="175">
        <f>-E139+IF(A138=INPUT!$C$11*12,N139,0)</f>
        <v>0</v>
      </c>
      <c r="U139" s="112"/>
      <c r="V139" s="179">
        <f t="array" ref="V139">NPV('Pre-Calculation'!$E$20,$E140:E$246)</f>
        <v>0</v>
      </c>
      <c r="W139" s="171">
        <f>10%*SA</f>
        <v>100000</v>
      </c>
      <c r="X139" s="179">
        <f t="array" ref="X139">NPV('Pre-Calculation'!$E$20,W140:W149)</f>
        <v>969592.8037</v>
      </c>
      <c r="Y139" s="12"/>
      <c r="Z139" s="12"/>
    </row>
    <row r="140" ht="15.75" customHeight="1">
      <c r="A140" s="171">
        <f t="shared" si="1"/>
        <v>194</v>
      </c>
      <c r="B140" s="171">
        <f t="shared" si="2"/>
        <v>17</v>
      </c>
      <c r="C140" s="176">
        <f>EDATE(RCD,A139)</f>
        <v>48425</v>
      </c>
      <c r="D140" s="171">
        <f>Age_At_Entry+'Cashflows_Bond Fund'!B140-1</f>
        <v>51</v>
      </c>
      <c r="E140" s="175">
        <f>IF(AND(C140&lt;=Last_Prem,MOD(A139,Mode)=0,C140&gt;INPUT!$C$13,A140&lt;=Revival!$C$11),Mod_Prem,0)</f>
        <v>0</v>
      </c>
      <c r="F140" s="177">
        <f>E140*VLOOKUP(B140,'Pre-Calculation'!$H$1:$I$31,2,FALSE)</f>
        <v>0</v>
      </c>
      <c r="G140" s="177">
        <f>IF(B140&lt;PT+1,VLOOKUP(B140,'Pre-Calculation'!$H$1:$L$32,3,FALSE)+VLOOKUP(B140,'Pre-Calculation'!$H$1:$L$32,4,FALSE)*'Pre-Calculation'!$D$7,0)</f>
        <v>0</v>
      </c>
      <c r="H140" s="175">
        <f>(E140-(F140+G140)*(1+Tax)+N139)</f>
        <v>1890742.152</v>
      </c>
      <c r="I140" s="175">
        <f>IF(B140&lt;PT+1,VLOOKUP(D140,'Pre-Calculation'!$N$3:$P$79,IF(INPUT!$C$4="M",2,3),FALSE)*(J140/1000)*(1/12),0)</f>
        <v>0</v>
      </c>
      <c r="J140" s="175">
        <f t="shared" si="3"/>
        <v>0</v>
      </c>
      <c r="K140" s="175">
        <f>(IF('Pre-Calculation'!$D$17="Type 4 a",MAX(SA,H140,1.05*Q140),IF('Pre-Calculation'!$D$17="Type 4 c",H140,IF('Pre-Calculation'!$D$17="Type 4 d",SA+H140,IF('Pre-Calculation'!$D$17="Type 4 e",MAX(SA,H140),IF('Pre-Calculation'!$D$17="Type 4 f",SA,IF('Pre-Calculation'!$D$17="Type 4 g",1000+H140,IF('Pre-Calculation'!$D$17="Type 4 h",SA+V140,IF('Pre-Calculation'!$D$17="Type 4 i",MAX(H140,Q140),IF('Pre-Calculation'!$D$17="Type 4 k",MAX(H140,1.01*Q140),IF('Pre-Calculation'!$D$17="Type 4 m",MAX(105%*Q140,SA+H140),IF('Pre-Calculation'!$D$17="Type 4 o",MAX(SA,105%*Q140)+V140+X140,IF('Pre-Calculation'!$D$17="Type 5",0)))))))))))))*IF(AND(A140&lt;Revival!$C$4,C140&gt;=Revival!$D$12),PUP,1)</f>
        <v>1890742.152</v>
      </c>
      <c r="L140" s="175">
        <f>H140-I140*(1+Tax)</f>
        <v>1890742.152</v>
      </c>
      <c r="M140" s="175">
        <f>L140*(1+'Pre-Calculation'!$E$28)*(1-'Pre-Calculation'!$E$29*(1+Tax))</f>
        <v>1899144.551</v>
      </c>
      <c r="N140" s="175">
        <f>M140+IF(MOD(A140,B140)=0,VLOOKUP(B140,'Pre-Calculation'!$H$1:$L$31,5,FALSE),0)*IF('Pre-Calculation'!$D$16="% OF FV",M140,IF(OR('Pre-Calculation'!$D$16="% OF AFV(24M)",'Pre-Calculation'!$D$16="% OF AFV(8Q)"),AVERAGE( $M117:$M140),IF('Pre-Calculation'!$D$16="% OF AFV(12M)",AVERAGE($M129:M140),IF('Pre-Calculation'!$D$16="% OF AFV(36M)",AVERAGE($M105:M140)))))</f>
        <v>1899144.551</v>
      </c>
      <c r="O140" s="175">
        <f t="shared" si="4"/>
        <v>1899144.551</v>
      </c>
      <c r="P140" s="175">
        <f>IF('Pre-Calculation'!$D$17="Type 4 a",MAX(SA,N140,1.05*Q140),IF('Pre-Calculation'!$D$17="Type 4 c",N140,IF('Pre-Calculation'!$D$17="Type 4 d",SA+N140,IF('Pre-Calculation'!$D$17="Type 4 e",MAX(SA,N140),IF('Pre-Calculation'!$D$17="Type 4 f",SA,IF('Pre-Calculation'!$D$17="Type 4 g",1000+N140,IF('Pre-Calculation'!$D$17="Type 4 h",SA+V140,IF('Pre-Calculation'!$D$17="Type 4 i",MAX(N140,Q140),IF('Pre-Calculation'!$D$17="Type 4 k",MAX(N140,1.01*Q140),IF('Pre-Calculation'!$D$17="Type 4 m",MAX(105%*Q140,SA+N140),IF('Pre-Calculation'!$D$17="Type 4 o",MAX(SA,105%*Q140)+V140+X140,IF('Pre-Calculation'!$D$17="Type 5",0))))))))))))</f>
        <v>1899144.551</v>
      </c>
      <c r="Q140" s="175">
        <f t="shared" si="5"/>
        <v>1000000</v>
      </c>
      <c r="R140" s="119">
        <f>L140*(1+GROWTH_RATE)*FMC</f>
        <v>2139.606463</v>
      </c>
      <c r="S140" s="112"/>
      <c r="T140" s="175">
        <f>-E140+IF(A139=INPUT!$C$11*12,N140,0)</f>
        <v>0</v>
      </c>
      <c r="U140" s="112"/>
      <c r="V140" s="179">
        <f t="array" ref="V140">NPV('Pre-Calculation'!$E$20,$E141:E$246)</f>
        <v>0</v>
      </c>
      <c r="W140" s="171">
        <f>10%*SA</f>
        <v>100000</v>
      </c>
      <c r="X140" s="179">
        <f t="array" ref="X140">NPV('Pre-Calculation'!$E$20,W141:W150)</f>
        <v>969592.8037</v>
      </c>
      <c r="Y140" s="12"/>
      <c r="Z140" s="12"/>
    </row>
    <row r="141" ht="15.75" customHeight="1">
      <c r="A141" s="171">
        <f t="shared" si="1"/>
        <v>195</v>
      </c>
      <c r="B141" s="171">
        <f t="shared" si="2"/>
        <v>17</v>
      </c>
      <c r="C141" s="176">
        <f>EDATE(RCD,A140)</f>
        <v>48456</v>
      </c>
      <c r="D141" s="171">
        <f>Age_At_Entry+'Cashflows_Bond Fund'!B141-1</f>
        <v>51</v>
      </c>
      <c r="E141" s="175">
        <f>IF(AND(C141&lt;=Last_Prem,MOD(A140,Mode)=0,C141&gt;INPUT!$C$13,A141&lt;=Revival!$C$11),Mod_Prem,0)</f>
        <v>0</v>
      </c>
      <c r="F141" s="177">
        <f>E141*VLOOKUP(B141,'Pre-Calculation'!$H$1:$I$31,2,FALSE)</f>
        <v>0</v>
      </c>
      <c r="G141" s="177">
        <f>IF(B141&lt;PT+1,VLOOKUP(B141,'Pre-Calculation'!$H$1:$L$32,3,FALSE)+VLOOKUP(B141,'Pre-Calculation'!$H$1:$L$32,4,FALSE)*'Pre-Calculation'!$D$7,0)</f>
        <v>0</v>
      </c>
      <c r="H141" s="175">
        <f>(E141-(F141+G141)*(1+Tax)+N140)</f>
        <v>1899144.551</v>
      </c>
      <c r="I141" s="175">
        <f>IF(B141&lt;PT+1,VLOOKUP(D141,'Pre-Calculation'!$N$3:$P$79,IF(INPUT!$C$4="M",2,3),FALSE)*(J141/1000)*(1/12),0)</f>
        <v>0</v>
      </c>
      <c r="J141" s="175">
        <f t="shared" si="3"/>
        <v>0</v>
      </c>
      <c r="K141" s="175">
        <f>(IF('Pre-Calculation'!$D$17="Type 4 a",MAX(SA,H141,1.05*Q141),IF('Pre-Calculation'!$D$17="Type 4 c",H141,IF('Pre-Calculation'!$D$17="Type 4 d",SA+H141,IF('Pre-Calculation'!$D$17="Type 4 e",MAX(SA,H141),IF('Pre-Calculation'!$D$17="Type 4 f",SA,IF('Pre-Calculation'!$D$17="Type 4 g",1000+H141,IF('Pre-Calculation'!$D$17="Type 4 h",SA+V141,IF('Pre-Calculation'!$D$17="Type 4 i",MAX(H141,Q141),IF('Pre-Calculation'!$D$17="Type 4 k",MAX(H141,1.01*Q141),IF('Pre-Calculation'!$D$17="Type 4 m",MAX(105%*Q141,SA+H141),IF('Pre-Calculation'!$D$17="Type 4 o",MAX(SA,105%*Q141)+V141+X141,IF('Pre-Calculation'!$D$17="Type 5",0)))))))))))))*IF(AND(A141&lt;Revival!$C$4,C141&gt;=Revival!$D$12),PUP,1)</f>
        <v>1899144.551</v>
      </c>
      <c r="L141" s="175">
        <f>H141-I141*(1+Tax)</f>
        <v>1899144.551</v>
      </c>
      <c r="M141" s="175">
        <f>L141*(1+'Pre-Calculation'!$E$28)*(1-'Pre-Calculation'!$E$29*(1+Tax))</f>
        <v>1907584.29</v>
      </c>
      <c r="N141" s="175">
        <f>M141+IF(MOD(A141,B141)=0,VLOOKUP(B141,'Pre-Calculation'!$H$1:$L$31,5,FALSE),0)*IF('Pre-Calculation'!$D$16="% OF FV",M141,IF(OR('Pre-Calculation'!$D$16="% OF AFV(24M)",'Pre-Calculation'!$D$16="% OF AFV(8Q)"),AVERAGE( $M118:$M141),IF('Pre-Calculation'!$D$16="% OF AFV(12M)",AVERAGE($M130:M141),IF('Pre-Calculation'!$D$16="% OF AFV(36M)",AVERAGE($M106:M141)))))</f>
        <v>1907584.29</v>
      </c>
      <c r="O141" s="175">
        <f t="shared" si="4"/>
        <v>1907584.29</v>
      </c>
      <c r="P141" s="175">
        <f>IF('Pre-Calculation'!$D$17="Type 4 a",MAX(SA,N141,1.05*Q141),IF('Pre-Calculation'!$D$17="Type 4 c",N141,IF('Pre-Calculation'!$D$17="Type 4 d",SA+N141,IF('Pre-Calculation'!$D$17="Type 4 e",MAX(SA,N141),IF('Pre-Calculation'!$D$17="Type 4 f",SA,IF('Pre-Calculation'!$D$17="Type 4 g",1000+N141,IF('Pre-Calculation'!$D$17="Type 4 h",SA+V141,IF('Pre-Calculation'!$D$17="Type 4 i",MAX(N141,Q141),IF('Pre-Calculation'!$D$17="Type 4 k",MAX(N141,1.01*Q141),IF('Pre-Calculation'!$D$17="Type 4 m",MAX(105%*Q141,SA+N141),IF('Pre-Calculation'!$D$17="Type 4 o",MAX(SA,105%*Q141)+V141+X141,IF('Pre-Calculation'!$D$17="Type 5",0))))))))))))</f>
        <v>1907584.29</v>
      </c>
      <c r="Q141" s="175">
        <f t="shared" si="5"/>
        <v>1000000</v>
      </c>
      <c r="R141" s="119">
        <f>L141*(1+GROWTH_RATE)*FMC</f>
        <v>2149.114808</v>
      </c>
      <c r="S141" s="112"/>
      <c r="T141" s="175">
        <f>-E141+IF(A140=INPUT!$C$11*12,N141,0)</f>
        <v>0</v>
      </c>
      <c r="U141" s="112"/>
      <c r="V141" s="179">
        <f t="array" ref="V141">NPV('Pre-Calculation'!$E$20,$E142:E$246)</f>
        <v>0</v>
      </c>
      <c r="W141" s="171">
        <f>10%*SA</f>
        <v>100000</v>
      </c>
      <c r="X141" s="179">
        <f t="array" ref="X141">NPV('Pre-Calculation'!$E$20,W142:W151)</f>
        <v>969592.8037</v>
      </c>
      <c r="Y141" s="12"/>
      <c r="Z141" s="12"/>
    </row>
    <row r="142" ht="15.75" customHeight="1">
      <c r="A142" s="171">
        <f t="shared" si="1"/>
        <v>196</v>
      </c>
      <c r="B142" s="171">
        <f t="shared" si="2"/>
        <v>17</v>
      </c>
      <c r="C142" s="176">
        <f>EDATE(RCD,A141)</f>
        <v>48487</v>
      </c>
      <c r="D142" s="171">
        <f>Age_At_Entry+'Cashflows_Bond Fund'!B142-1</f>
        <v>51</v>
      </c>
      <c r="E142" s="175">
        <f>IF(AND(C142&lt;=Last_Prem,MOD(A141,Mode)=0,C142&gt;INPUT!$C$13,A142&lt;=Revival!$C$11),Mod_Prem,0)</f>
        <v>0</v>
      </c>
      <c r="F142" s="177">
        <f>E142*VLOOKUP(B142,'Pre-Calculation'!$H$1:$I$31,2,FALSE)</f>
        <v>0</v>
      </c>
      <c r="G142" s="177">
        <f>IF(B142&lt;PT+1,VLOOKUP(B142,'Pre-Calculation'!$H$1:$L$32,3,FALSE)+VLOOKUP(B142,'Pre-Calculation'!$H$1:$L$32,4,FALSE)*'Pre-Calculation'!$D$7,0)</f>
        <v>0</v>
      </c>
      <c r="H142" s="175">
        <f>(E142-(F142+G142)*(1+Tax)+N141)</f>
        <v>1907584.29</v>
      </c>
      <c r="I142" s="175">
        <f>IF(B142&lt;PT+1,VLOOKUP(D142,'Pre-Calculation'!$N$3:$P$79,IF(INPUT!$C$4="M",2,3),FALSE)*(J142/1000)*(1/12),0)</f>
        <v>0</v>
      </c>
      <c r="J142" s="175">
        <f t="shared" si="3"/>
        <v>0</v>
      </c>
      <c r="K142" s="175">
        <f>(IF('Pre-Calculation'!$D$17="Type 4 a",MAX(SA,H142,1.05*Q142),IF('Pre-Calculation'!$D$17="Type 4 c",H142,IF('Pre-Calculation'!$D$17="Type 4 d",SA+H142,IF('Pre-Calculation'!$D$17="Type 4 e",MAX(SA,H142),IF('Pre-Calculation'!$D$17="Type 4 f",SA,IF('Pre-Calculation'!$D$17="Type 4 g",1000+H142,IF('Pre-Calculation'!$D$17="Type 4 h",SA+V142,IF('Pre-Calculation'!$D$17="Type 4 i",MAX(H142,Q142),IF('Pre-Calculation'!$D$17="Type 4 k",MAX(H142,1.01*Q142),IF('Pre-Calculation'!$D$17="Type 4 m",MAX(105%*Q142,SA+H142),IF('Pre-Calculation'!$D$17="Type 4 o",MAX(SA,105%*Q142)+V142+X142,IF('Pre-Calculation'!$D$17="Type 5",0)))))))))))))*IF(AND(A142&lt;Revival!$C$4,C142&gt;=Revival!$D$12),PUP,1)</f>
        <v>1907584.29</v>
      </c>
      <c r="L142" s="175">
        <f>H142-I142*(1+Tax)</f>
        <v>1907584.29</v>
      </c>
      <c r="M142" s="175">
        <f>L142*(1+'Pre-Calculation'!$E$28)*(1-'Pre-Calculation'!$E$29*(1+Tax))</f>
        <v>1916061.535</v>
      </c>
      <c r="N142" s="175">
        <f>M142+IF(MOD(A142,B142)=0,VLOOKUP(B142,'Pre-Calculation'!$H$1:$L$31,5,FALSE),0)*IF('Pre-Calculation'!$D$16="% OF FV",M142,IF(OR('Pre-Calculation'!$D$16="% OF AFV(24M)",'Pre-Calculation'!$D$16="% OF AFV(8Q)"),AVERAGE( $M119:$M142),IF('Pre-Calculation'!$D$16="% OF AFV(12M)",AVERAGE($M131:M142),IF('Pre-Calculation'!$D$16="% OF AFV(36M)",AVERAGE($M107:M142)))))</f>
        <v>1916061.535</v>
      </c>
      <c r="O142" s="175">
        <f t="shared" si="4"/>
        <v>1916061.535</v>
      </c>
      <c r="P142" s="175">
        <f>IF('Pre-Calculation'!$D$17="Type 4 a",MAX(SA,N142,1.05*Q142),IF('Pre-Calculation'!$D$17="Type 4 c",N142,IF('Pre-Calculation'!$D$17="Type 4 d",SA+N142,IF('Pre-Calculation'!$D$17="Type 4 e",MAX(SA,N142),IF('Pre-Calculation'!$D$17="Type 4 f",SA,IF('Pre-Calculation'!$D$17="Type 4 g",1000+N142,IF('Pre-Calculation'!$D$17="Type 4 h",SA+V142,IF('Pre-Calculation'!$D$17="Type 4 i",MAX(N142,Q142),IF('Pre-Calculation'!$D$17="Type 4 k",MAX(N142,1.01*Q142),IF('Pre-Calculation'!$D$17="Type 4 m",MAX(105%*Q142,SA+N142),IF('Pre-Calculation'!$D$17="Type 4 o",MAX(SA,105%*Q142)+V142+X142,IF('Pre-Calculation'!$D$17="Type 5",0))))))))))))</f>
        <v>1916061.535</v>
      </c>
      <c r="Q142" s="175">
        <f t="shared" si="5"/>
        <v>1000000</v>
      </c>
      <c r="R142" s="119">
        <f>L142*(1+GROWTH_RATE)*FMC</f>
        <v>2158.665407</v>
      </c>
      <c r="S142" s="112"/>
      <c r="T142" s="175">
        <f>-E142+IF(A141=INPUT!$C$11*12,N142,0)</f>
        <v>0</v>
      </c>
      <c r="U142" s="112"/>
      <c r="V142" s="179">
        <f t="array" ref="V142">NPV('Pre-Calculation'!$E$20,$E143:E$246)</f>
        <v>0</v>
      </c>
      <c r="W142" s="171">
        <f>10%*SA</f>
        <v>100000</v>
      </c>
      <c r="X142" s="179">
        <f t="array" ref="X142">NPV('Pre-Calculation'!$E$20,W143:W152)</f>
        <v>969592.8037</v>
      </c>
      <c r="Y142" s="12"/>
      <c r="Z142" s="12"/>
    </row>
    <row r="143" ht="15.75" customHeight="1">
      <c r="A143" s="171">
        <f t="shared" si="1"/>
        <v>197</v>
      </c>
      <c r="B143" s="171">
        <f t="shared" si="2"/>
        <v>17</v>
      </c>
      <c r="C143" s="176">
        <f>EDATE(RCD,A142)</f>
        <v>48517</v>
      </c>
      <c r="D143" s="171">
        <f>Age_At_Entry+'Cashflows_Bond Fund'!B143-1</f>
        <v>51</v>
      </c>
      <c r="E143" s="175">
        <f>IF(AND(C143&lt;=Last_Prem,MOD(A142,Mode)=0,C143&gt;INPUT!$C$13,A143&lt;=Revival!$C$11),Mod_Prem,0)</f>
        <v>0</v>
      </c>
      <c r="F143" s="177">
        <f>E143*VLOOKUP(B143,'Pre-Calculation'!$H$1:$I$31,2,FALSE)</f>
        <v>0</v>
      </c>
      <c r="G143" s="177">
        <f>IF(B143&lt;PT+1,VLOOKUP(B143,'Pre-Calculation'!$H$1:$L$32,3,FALSE)+VLOOKUP(B143,'Pre-Calculation'!$H$1:$L$32,4,FALSE)*'Pre-Calculation'!$D$7,0)</f>
        <v>0</v>
      </c>
      <c r="H143" s="175">
        <f>(E143-(F143+G143)*(1+Tax)+N142)</f>
        <v>1916061.535</v>
      </c>
      <c r="I143" s="175">
        <f>IF(B143&lt;PT+1,VLOOKUP(D143,'Pre-Calculation'!$N$3:$P$79,IF(INPUT!$C$4="M",2,3),FALSE)*(J143/1000)*(1/12),0)</f>
        <v>0</v>
      </c>
      <c r="J143" s="175">
        <f t="shared" si="3"/>
        <v>0</v>
      </c>
      <c r="K143" s="175">
        <f>(IF('Pre-Calculation'!$D$17="Type 4 a",MAX(SA,H143,1.05*Q143),IF('Pre-Calculation'!$D$17="Type 4 c",H143,IF('Pre-Calculation'!$D$17="Type 4 d",SA+H143,IF('Pre-Calculation'!$D$17="Type 4 e",MAX(SA,H143),IF('Pre-Calculation'!$D$17="Type 4 f",SA,IF('Pre-Calculation'!$D$17="Type 4 g",1000+H143,IF('Pre-Calculation'!$D$17="Type 4 h",SA+V143,IF('Pre-Calculation'!$D$17="Type 4 i",MAX(H143,Q143),IF('Pre-Calculation'!$D$17="Type 4 k",MAX(H143,1.01*Q143),IF('Pre-Calculation'!$D$17="Type 4 m",MAX(105%*Q143,SA+H143),IF('Pre-Calculation'!$D$17="Type 4 o",MAX(SA,105%*Q143)+V143+X143,IF('Pre-Calculation'!$D$17="Type 5",0)))))))))))))*IF(AND(A143&lt;Revival!$C$4,C143&gt;=Revival!$D$12),PUP,1)</f>
        <v>1916061.535</v>
      </c>
      <c r="L143" s="175">
        <f>H143-I143*(1+Tax)</f>
        <v>1916061.535</v>
      </c>
      <c r="M143" s="175">
        <f>L143*(1+'Pre-Calculation'!$E$28)*(1-'Pre-Calculation'!$E$29*(1+Tax))</f>
        <v>1924576.453</v>
      </c>
      <c r="N143" s="175">
        <f>M143+IF(MOD(A143,B143)=0,VLOOKUP(B143,'Pre-Calculation'!$H$1:$L$31,5,FALSE),0)*IF('Pre-Calculation'!$D$16="% OF FV",M143,IF(OR('Pre-Calculation'!$D$16="% OF AFV(24M)",'Pre-Calculation'!$D$16="% OF AFV(8Q)"),AVERAGE( $M120:$M143),IF('Pre-Calculation'!$D$16="% OF AFV(12M)",AVERAGE($M132:M143),IF('Pre-Calculation'!$D$16="% OF AFV(36M)",AVERAGE($M108:M143)))))</f>
        <v>1924576.453</v>
      </c>
      <c r="O143" s="175">
        <f t="shared" si="4"/>
        <v>1924576.453</v>
      </c>
      <c r="P143" s="175">
        <f>IF('Pre-Calculation'!$D$17="Type 4 a",MAX(SA,N143,1.05*Q143),IF('Pre-Calculation'!$D$17="Type 4 c",N143,IF('Pre-Calculation'!$D$17="Type 4 d",SA+N143,IF('Pre-Calculation'!$D$17="Type 4 e",MAX(SA,N143),IF('Pre-Calculation'!$D$17="Type 4 f",SA,IF('Pre-Calculation'!$D$17="Type 4 g",1000+N143,IF('Pre-Calculation'!$D$17="Type 4 h",SA+V143,IF('Pre-Calculation'!$D$17="Type 4 i",MAX(N143,Q143),IF('Pre-Calculation'!$D$17="Type 4 k",MAX(N143,1.01*Q143),IF('Pre-Calculation'!$D$17="Type 4 m",MAX(105%*Q143,SA+N143),IF('Pre-Calculation'!$D$17="Type 4 o",MAX(SA,105%*Q143)+V143+X143,IF('Pre-Calculation'!$D$17="Type 5",0))))))))))))</f>
        <v>1924576.453</v>
      </c>
      <c r="Q143" s="175">
        <f t="shared" si="5"/>
        <v>1000000</v>
      </c>
      <c r="R143" s="119">
        <f>L143*(1+GROWTH_RATE)*FMC</f>
        <v>2168.258448</v>
      </c>
      <c r="S143" s="112"/>
      <c r="T143" s="175">
        <f>-E143+IF(A142=INPUT!$C$11*12,N143,0)</f>
        <v>0</v>
      </c>
      <c r="U143" s="112"/>
      <c r="V143" s="179">
        <f t="array" ref="V143">NPV('Pre-Calculation'!$E$20,$E144:E$246)</f>
        <v>0</v>
      </c>
      <c r="W143" s="171">
        <f>10%*SA</f>
        <v>100000</v>
      </c>
      <c r="X143" s="179">
        <f t="array" ref="X143">NPV('Pre-Calculation'!$E$20,W144:W153)</f>
        <v>969592.8037</v>
      </c>
      <c r="Y143" s="12"/>
      <c r="Z143" s="12"/>
    </row>
    <row r="144" ht="15.75" customHeight="1">
      <c r="A144" s="171">
        <f t="shared" si="1"/>
        <v>198</v>
      </c>
      <c r="B144" s="171">
        <f t="shared" si="2"/>
        <v>17</v>
      </c>
      <c r="C144" s="176">
        <f>EDATE(RCD,A143)</f>
        <v>48548</v>
      </c>
      <c r="D144" s="171">
        <f>Age_At_Entry+'Cashflows_Bond Fund'!B144-1</f>
        <v>51</v>
      </c>
      <c r="E144" s="175">
        <f>IF(AND(C144&lt;=Last_Prem,MOD(A143,Mode)=0,C144&gt;INPUT!$C$13,A144&lt;=Revival!$C$11),Mod_Prem,0)</f>
        <v>0</v>
      </c>
      <c r="F144" s="177">
        <f>E144*VLOOKUP(B144,'Pre-Calculation'!$H$1:$I$31,2,FALSE)</f>
        <v>0</v>
      </c>
      <c r="G144" s="177">
        <f>IF(B144&lt;PT+1,VLOOKUP(B144,'Pre-Calculation'!$H$1:$L$32,3,FALSE)+VLOOKUP(B144,'Pre-Calculation'!$H$1:$L$32,4,FALSE)*'Pre-Calculation'!$D$7,0)</f>
        <v>0</v>
      </c>
      <c r="H144" s="175">
        <f>(E144-(F144+G144)*(1+Tax)+N143)</f>
        <v>1924576.453</v>
      </c>
      <c r="I144" s="175">
        <f>IF(B144&lt;PT+1,VLOOKUP(D144,'Pre-Calculation'!$N$3:$P$79,IF(INPUT!$C$4="M",2,3),FALSE)*(J144/1000)*(1/12),0)</f>
        <v>0</v>
      </c>
      <c r="J144" s="175">
        <f t="shared" si="3"/>
        <v>0</v>
      </c>
      <c r="K144" s="175">
        <f>(IF('Pre-Calculation'!$D$17="Type 4 a",MAX(SA,H144,1.05*Q144),IF('Pre-Calculation'!$D$17="Type 4 c",H144,IF('Pre-Calculation'!$D$17="Type 4 d",SA+H144,IF('Pre-Calculation'!$D$17="Type 4 e",MAX(SA,H144),IF('Pre-Calculation'!$D$17="Type 4 f",SA,IF('Pre-Calculation'!$D$17="Type 4 g",1000+H144,IF('Pre-Calculation'!$D$17="Type 4 h",SA+V144,IF('Pre-Calculation'!$D$17="Type 4 i",MAX(H144,Q144),IF('Pre-Calculation'!$D$17="Type 4 k",MAX(H144,1.01*Q144),IF('Pre-Calculation'!$D$17="Type 4 m",MAX(105%*Q144,SA+H144),IF('Pre-Calculation'!$D$17="Type 4 o",MAX(SA,105%*Q144)+V144+X144,IF('Pre-Calculation'!$D$17="Type 5",0)))))))))))))*IF(AND(A144&lt;Revival!$C$4,C144&gt;=Revival!$D$12),PUP,1)</f>
        <v>1924576.453</v>
      </c>
      <c r="L144" s="175">
        <f>H144-I144*(1+Tax)</f>
        <v>1924576.453</v>
      </c>
      <c r="M144" s="175">
        <f>L144*(1+'Pre-Calculation'!$E$28)*(1-'Pre-Calculation'!$E$29*(1+Tax))</f>
        <v>1933129.21</v>
      </c>
      <c r="N144" s="175">
        <f>M144+IF(MOD(A144,B144)=0,VLOOKUP(B144,'Pre-Calculation'!$H$1:$L$31,5,FALSE),0)*IF('Pre-Calculation'!$D$16="% OF FV",M144,IF(OR('Pre-Calculation'!$D$16="% OF AFV(24M)",'Pre-Calculation'!$D$16="% OF AFV(8Q)"),AVERAGE( $M121:$M144),IF('Pre-Calculation'!$D$16="% OF AFV(12M)",AVERAGE($M133:M144),IF('Pre-Calculation'!$D$16="% OF AFV(36M)",AVERAGE($M109:M144)))))</f>
        <v>1933129.21</v>
      </c>
      <c r="O144" s="175">
        <f t="shared" si="4"/>
        <v>1933129.21</v>
      </c>
      <c r="P144" s="175">
        <f>IF('Pre-Calculation'!$D$17="Type 4 a",MAX(SA,N144,1.05*Q144),IF('Pre-Calculation'!$D$17="Type 4 c",N144,IF('Pre-Calculation'!$D$17="Type 4 d",SA+N144,IF('Pre-Calculation'!$D$17="Type 4 e",MAX(SA,N144),IF('Pre-Calculation'!$D$17="Type 4 f",SA,IF('Pre-Calculation'!$D$17="Type 4 g",1000+N144,IF('Pre-Calculation'!$D$17="Type 4 h",SA+V144,IF('Pre-Calculation'!$D$17="Type 4 i",MAX(N144,Q144),IF('Pre-Calculation'!$D$17="Type 4 k",MAX(N144,1.01*Q144),IF('Pre-Calculation'!$D$17="Type 4 m",MAX(105%*Q144,SA+N144),IF('Pre-Calculation'!$D$17="Type 4 o",MAX(SA,105%*Q144)+V144+X144,IF('Pre-Calculation'!$D$17="Type 5",0))))))))))))</f>
        <v>1933129.21</v>
      </c>
      <c r="Q144" s="175">
        <f t="shared" si="5"/>
        <v>1000000</v>
      </c>
      <c r="R144" s="119">
        <f>L144*(1+GROWTH_RATE)*FMC</f>
        <v>2177.894121</v>
      </c>
      <c r="S144" s="112"/>
      <c r="T144" s="175">
        <f>-E144+IF(A143=INPUT!$C$11*12,N144,0)</f>
        <v>0</v>
      </c>
      <c r="U144" s="112"/>
      <c r="V144" s="179">
        <f t="array" ref="V144">NPV('Pre-Calculation'!$E$20,$E145:E$246)</f>
        <v>0</v>
      </c>
      <c r="W144" s="171">
        <f>10%*SA</f>
        <v>100000</v>
      </c>
      <c r="X144" s="179">
        <f t="array" ref="X144">NPV('Pre-Calculation'!$E$20,W145:W154)</f>
        <v>969592.8037</v>
      </c>
      <c r="Y144" s="12"/>
      <c r="Z144" s="12"/>
    </row>
    <row r="145" ht="15.75" customHeight="1">
      <c r="A145" s="171">
        <f t="shared" si="1"/>
        <v>199</v>
      </c>
      <c r="B145" s="171">
        <f t="shared" si="2"/>
        <v>17</v>
      </c>
      <c r="C145" s="176">
        <f>EDATE(RCD,A144)</f>
        <v>48578</v>
      </c>
      <c r="D145" s="171">
        <f>Age_At_Entry+'Cashflows_Bond Fund'!B145-1</f>
        <v>51</v>
      </c>
      <c r="E145" s="175">
        <f>IF(AND(C145&lt;=Last_Prem,MOD(A144,Mode)=0,C145&gt;INPUT!$C$13,A145&lt;=Revival!$C$11),Mod_Prem,0)</f>
        <v>0</v>
      </c>
      <c r="F145" s="177">
        <f>E145*VLOOKUP(B145,'Pre-Calculation'!$H$1:$I$31,2,FALSE)</f>
        <v>0</v>
      </c>
      <c r="G145" s="177">
        <f>IF(B145&lt;PT+1,VLOOKUP(B145,'Pre-Calculation'!$H$1:$L$32,3,FALSE)+VLOOKUP(B145,'Pre-Calculation'!$H$1:$L$32,4,FALSE)*'Pre-Calculation'!$D$7,0)</f>
        <v>0</v>
      </c>
      <c r="H145" s="175">
        <f>(E145-(F145+G145)*(1+Tax)+N144)</f>
        <v>1933129.21</v>
      </c>
      <c r="I145" s="175">
        <f>IF(B145&lt;PT+1,VLOOKUP(D145,'Pre-Calculation'!$N$3:$P$79,IF(INPUT!$C$4="M",2,3),FALSE)*(J145/1000)*(1/12),0)</f>
        <v>0</v>
      </c>
      <c r="J145" s="175">
        <f t="shared" si="3"/>
        <v>0</v>
      </c>
      <c r="K145" s="175">
        <f>(IF('Pre-Calculation'!$D$17="Type 4 a",MAX(SA,H145,1.05*Q145),IF('Pre-Calculation'!$D$17="Type 4 c",H145,IF('Pre-Calculation'!$D$17="Type 4 d",SA+H145,IF('Pre-Calculation'!$D$17="Type 4 e",MAX(SA,H145),IF('Pre-Calculation'!$D$17="Type 4 f",SA,IF('Pre-Calculation'!$D$17="Type 4 g",1000+H145,IF('Pre-Calculation'!$D$17="Type 4 h",SA+V145,IF('Pre-Calculation'!$D$17="Type 4 i",MAX(H145,Q145),IF('Pre-Calculation'!$D$17="Type 4 k",MAX(H145,1.01*Q145),IF('Pre-Calculation'!$D$17="Type 4 m",MAX(105%*Q145,SA+H145),IF('Pre-Calculation'!$D$17="Type 4 o",MAX(SA,105%*Q145)+V145+X145,IF('Pre-Calculation'!$D$17="Type 5",0)))))))))))))*IF(AND(A145&lt;Revival!$C$4,C145&gt;=Revival!$D$12),PUP,1)</f>
        <v>1933129.21</v>
      </c>
      <c r="L145" s="175">
        <f>H145-I145*(1+Tax)</f>
        <v>1933129.21</v>
      </c>
      <c r="M145" s="175">
        <f>L145*(1+'Pre-Calculation'!$E$28)*(1-'Pre-Calculation'!$E$29*(1+Tax))</f>
        <v>1941719.976</v>
      </c>
      <c r="N145" s="175">
        <f>M145+IF(MOD(A145,B145)=0,VLOOKUP(B145,'Pre-Calculation'!$H$1:$L$31,5,FALSE),0)*IF('Pre-Calculation'!$D$16="% OF FV",M145,IF(OR('Pre-Calculation'!$D$16="% OF AFV(24M)",'Pre-Calculation'!$D$16="% OF AFV(8Q)"),AVERAGE( $M122:$M145),IF('Pre-Calculation'!$D$16="% OF AFV(12M)",AVERAGE($M134:M145),IF('Pre-Calculation'!$D$16="% OF AFV(36M)",AVERAGE($M110:M145)))))</f>
        <v>1941719.976</v>
      </c>
      <c r="O145" s="175">
        <f t="shared" si="4"/>
        <v>1941719.976</v>
      </c>
      <c r="P145" s="175">
        <f>IF('Pre-Calculation'!$D$17="Type 4 a",MAX(SA,N145,1.05*Q145),IF('Pre-Calculation'!$D$17="Type 4 c",N145,IF('Pre-Calculation'!$D$17="Type 4 d",SA+N145,IF('Pre-Calculation'!$D$17="Type 4 e",MAX(SA,N145),IF('Pre-Calculation'!$D$17="Type 4 f",SA,IF('Pre-Calculation'!$D$17="Type 4 g",1000+N145,IF('Pre-Calculation'!$D$17="Type 4 h",SA+V145,IF('Pre-Calculation'!$D$17="Type 4 i",MAX(N145,Q145),IF('Pre-Calculation'!$D$17="Type 4 k",MAX(N145,1.01*Q145),IF('Pre-Calculation'!$D$17="Type 4 m",MAX(105%*Q145,SA+N145),IF('Pre-Calculation'!$D$17="Type 4 o",MAX(SA,105%*Q145)+V145+X145,IF('Pre-Calculation'!$D$17="Type 5",0))))))))))))</f>
        <v>1941719.976</v>
      </c>
      <c r="Q145" s="175">
        <f t="shared" si="5"/>
        <v>1000000</v>
      </c>
      <c r="R145" s="119">
        <f>L145*(1+GROWTH_RATE)*FMC</f>
        <v>2187.572614</v>
      </c>
      <c r="S145" s="112"/>
      <c r="T145" s="175">
        <f>-E145+IF(A144=INPUT!$C$11*12,N145,0)</f>
        <v>0</v>
      </c>
      <c r="U145" s="112"/>
      <c r="V145" s="179">
        <f t="array" ref="V145">NPV('Pre-Calculation'!$E$20,$E146:E$246)</f>
        <v>0</v>
      </c>
      <c r="W145" s="171">
        <f>10%*SA</f>
        <v>100000</v>
      </c>
      <c r="X145" s="179">
        <f t="array" ref="X145">NPV('Pre-Calculation'!$E$20,W146:W155)</f>
        <v>969592.8037</v>
      </c>
      <c r="Y145" s="12"/>
      <c r="Z145" s="12"/>
    </row>
    <row r="146" ht="15.75" customHeight="1">
      <c r="A146" s="171">
        <f t="shared" si="1"/>
        <v>200</v>
      </c>
      <c r="B146" s="171">
        <f t="shared" si="2"/>
        <v>17</v>
      </c>
      <c r="C146" s="176">
        <f>EDATE(RCD,A145)</f>
        <v>48609</v>
      </c>
      <c r="D146" s="171">
        <f>Age_At_Entry+'Cashflows_Bond Fund'!B146-1</f>
        <v>51</v>
      </c>
      <c r="E146" s="175">
        <f>IF(AND(C146&lt;=Last_Prem,MOD(A145,Mode)=0,C146&gt;INPUT!$C$13,A146&lt;=Revival!$C$11),Mod_Prem,0)</f>
        <v>0</v>
      </c>
      <c r="F146" s="177">
        <f>E146*VLOOKUP(B146,'Pre-Calculation'!$H$1:$I$31,2,FALSE)</f>
        <v>0</v>
      </c>
      <c r="G146" s="177">
        <f>IF(B146&lt;PT+1,VLOOKUP(B146,'Pre-Calculation'!$H$1:$L$32,3,FALSE)+VLOOKUP(B146,'Pre-Calculation'!$H$1:$L$32,4,FALSE)*'Pre-Calculation'!$D$7,0)</f>
        <v>0</v>
      </c>
      <c r="H146" s="175">
        <f>(E146-(F146+G146)*(1+Tax)+N145)</f>
        <v>1941719.976</v>
      </c>
      <c r="I146" s="175">
        <f>IF(B146&lt;PT+1,VLOOKUP(D146,'Pre-Calculation'!$N$3:$P$79,IF(INPUT!$C$4="M",2,3),FALSE)*(J146/1000)*(1/12),0)</f>
        <v>0</v>
      </c>
      <c r="J146" s="175">
        <f t="shared" si="3"/>
        <v>0</v>
      </c>
      <c r="K146" s="175">
        <f>(IF('Pre-Calculation'!$D$17="Type 4 a",MAX(SA,H146,1.05*Q146),IF('Pre-Calculation'!$D$17="Type 4 c",H146,IF('Pre-Calculation'!$D$17="Type 4 d",SA+H146,IF('Pre-Calculation'!$D$17="Type 4 e",MAX(SA,H146),IF('Pre-Calculation'!$D$17="Type 4 f",SA,IF('Pre-Calculation'!$D$17="Type 4 g",1000+H146,IF('Pre-Calculation'!$D$17="Type 4 h",SA+V146,IF('Pre-Calculation'!$D$17="Type 4 i",MAX(H146,Q146),IF('Pre-Calculation'!$D$17="Type 4 k",MAX(H146,1.01*Q146),IF('Pre-Calculation'!$D$17="Type 4 m",MAX(105%*Q146,SA+H146),IF('Pre-Calculation'!$D$17="Type 4 o",MAX(SA,105%*Q146)+V146+X146,IF('Pre-Calculation'!$D$17="Type 5",0)))))))))))))*IF(AND(A146&lt;Revival!$C$4,C146&gt;=Revival!$D$12),PUP,1)</f>
        <v>1941719.976</v>
      </c>
      <c r="L146" s="175">
        <f>H146-I146*(1+Tax)</f>
        <v>1941719.976</v>
      </c>
      <c r="M146" s="175">
        <f>L146*(1+'Pre-Calculation'!$E$28)*(1-'Pre-Calculation'!$E$29*(1+Tax))</f>
        <v>1950348.919</v>
      </c>
      <c r="N146" s="175">
        <f>M146+IF(MOD(A146,B146)=0,VLOOKUP(B146,'Pre-Calculation'!$H$1:$L$31,5,FALSE),0)*IF('Pre-Calculation'!$D$16="% OF FV",M146,IF(OR('Pre-Calculation'!$D$16="% OF AFV(24M)",'Pre-Calculation'!$D$16="% OF AFV(8Q)"),AVERAGE( $M123:$M146),IF('Pre-Calculation'!$D$16="% OF AFV(12M)",AVERAGE($M135:M146),IF('Pre-Calculation'!$D$16="% OF AFV(36M)",AVERAGE($M111:M146)))))</f>
        <v>1950348.919</v>
      </c>
      <c r="O146" s="175">
        <f t="shared" si="4"/>
        <v>1950348.919</v>
      </c>
      <c r="P146" s="175">
        <f>IF('Pre-Calculation'!$D$17="Type 4 a",MAX(SA,N146,1.05*Q146),IF('Pre-Calculation'!$D$17="Type 4 c",N146,IF('Pre-Calculation'!$D$17="Type 4 d",SA+N146,IF('Pre-Calculation'!$D$17="Type 4 e",MAX(SA,N146),IF('Pre-Calculation'!$D$17="Type 4 f",SA,IF('Pre-Calculation'!$D$17="Type 4 g",1000+N146,IF('Pre-Calculation'!$D$17="Type 4 h",SA+V146,IF('Pre-Calculation'!$D$17="Type 4 i",MAX(N146,Q146),IF('Pre-Calculation'!$D$17="Type 4 k",MAX(N146,1.01*Q146),IF('Pre-Calculation'!$D$17="Type 4 m",MAX(105%*Q146,SA+N146),IF('Pre-Calculation'!$D$17="Type 4 o",MAX(SA,105%*Q146)+V146+X146,IF('Pre-Calculation'!$D$17="Type 5",0))))))))))))</f>
        <v>1950348.919</v>
      </c>
      <c r="Q146" s="175">
        <f t="shared" si="5"/>
        <v>1000000</v>
      </c>
      <c r="R146" s="119">
        <f>L146*(1+GROWTH_RATE)*FMC</f>
        <v>2197.294119</v>
      </c>
      <c r="S146" s="112"/>
      <c r="T146" s="175">
        <f>-E146+IF(A145=INPUT!$C$11*12,N146,0)</f>
        <v>0</v>
      </c>
      <c r="U146" s="112"/>
      <c r="V146" s="179">
        <f t="array" ref="V146">NPV('Pre-Calculation'!$E$20,$E147:E$246)</f>
        <v>0</v>
      </c>
      <c r="W146" s="171">
        <f>10%*SA</f>
        <v>100000</v>
      </c>
      <c r="X146" s="179">
        <f t="array" ref="X146">NPV('Pre-Calculation'!$E$20,W147:W156)</f>
        <v>969592.8037</v>
      </c>
      <c r="Y146" s="12"/>
      <c r="Z146" s="12"/>
    </row>
    <row r="147" ht="15.75" customHeight="1">
      <c r="A147" s="171">
        <f t="shared" si="1"/>
        <v>201</v>
      </c>
      <c r="B147" s="171">
        <f t="shared" si="2"/>
        <v>17</v>
      </c>
      <c r="C147" s="176">
        <f>EDATE(RCD,A146)</f>
        <v>48638</v>
      </c>
      <c r="D147" s="171">
        <f>Age_At_Entry+'Cashflows_Bond Fund'!B147-1</f>
        <v>51</v>
      </c>
      <c r="E147" s="175">
        <f>IF(AND(C147&lt;=Last_Prem,MOD(A146,Mode)=0,C147&gt;INPUT!$C$13,A147&lt;=Revival!$C$11),Mod_Prem,0)</f>
        <v>0</v>
      </c>
      <c r="F147" s="177">
        <f>E147*VLOOKUP(B147,'Pre-Calculation'!$H$1:$I$31,2,FALSE)</f>
        <v>0</v>
      </c>
      <c r="G147" s="177">
        <f>IF(B147&lt;PT+1,VLOOKUP(B147,'Pre-Calculation'!$H$1:$L$32,3,FALSE)+VLOOKUP(B147,'Pre-Calculation'!$H$1:$L$32,4,FALSE)*'Pre-Calculation'!$D$7,0)</f>
        <v>0</v>
      </c>
      <c r="H147" s="175">
        <f>(E147-(F147+G147)*(1+Tax)+N146)</f>
        <v>1950348.919</v>
      </c>
      <c r="I147" s="175">
        <f>IF(B147&lt;PT+1,VLOOKUP(D147,'Pre-Calculation'!$N$3:$P$79,IF(INPUT!$C$4="M",2,3),FALSE)*(J147/1000)*(1/12),0)</f>
        <v>0</v>
      </c>
      <c r="J147" s="175">
        <f t="shared" si="3"/>
        <v>0</v>
      </c>
      <c r="K147" s="175">
        <f>(IF('Pre-Calculation'!$D$17="Type 4 a",MAX(SA,H147,1.05*Q147),IF('Pre-Calculation'!$D$17="Type 4 c",H147,IF('Pre-Calculation'!$D$17="Type 4 d",SA+H147,IF('Pre-Calculation'!$D$17="Type 4 e",MAX(SA,H147),IF('Pre-Calculation'!$D$17="Type 4 f",SA,IF('Pre-Calculation'!$D$17="Type 4 g",1000+H147,IF('Pre-Calculation'!$D$17="Type 4 h",SA+V147,IF('Pre-Calculation'!$D$17="Type 4 i",MAX(H147,Q147),IF('Pre-Calculation'!$D$17="Type 4 k",MAX(H147,1.01*Q147),IF('Pre-Calculation'!$D$17="Type 4 m",MAX(105%*Q147,SA+H147),IF('Pre-Calculation'!$D$17="Type 4 o",MAX(SA,105%*Q147)+V147+X147,IF('Pre-Calculation'!$D$17="Type 5",0)))))))))))))*IF(AND(A147&lt;Revival!$C$4,C147&gt;=Revival!$D$12),PUP,1)</f>
        <v>1950348.919</v>
      </c>
      <c r="L147" s="175">
        <f>H147-I147*(1+Tax)</f>
        <v>1950348.919</v>
      </c>
      <c r="M147" s="175">
        <f>L147*(1+'Pre-Calculation'!$E$28)*(1-'Pre-Calculation'!$E$29*(1+Tax))</f>
        <v>1959016.208</v>
      </c>
      <c r="N147" s="175">
        <f>M147+IF(MOD(A147,B147)=0,VLOOKUP(B147,'Pre-Calculation'!$H$1:$L$31,5,FALSE),0)*IF('Pre-Calculation'!$D$16="% OF FV",M147,IF(OR('Pre-Calculation'!$D$16="% OF AFV(24M)",'Pre-Calculation'!$D$16="% OF AFV(8Q)"),AVERAGE( $M124:$M147),IF('Pre-Calculation'!$D$16="% OF AFV(12M)",AVERAGE($M136:M147),IF('Pre-Calculation'!$D$16="% OF AFV(36M)",AVERAGE($M112:M147)))))</f>
        <v>1959016.208</v>
      </c>
      <c r="O147" s="175">
        <f t="shared" si="4"/>
        <v>1959016.208</v>
      </c>
      <c r="P147" s="175">
        <f>IF('Pre-Calculation'!$D$17="Type 4 a",MAX(SA,N147,1.05*Q147),IF('Pre-Calculation'!$D$17="Type 4 c",N147,IF('Pre-Calculation'!$D$17="Type 4 d",SA+N147,IF('Pre-Calculation'!$D$17="Type 4 e",MAX(SA,N147),IF('Pre-Calculation'!$D$17="Type 4 f",SA,IF('Pre-Calculation'!$D$17="Type 4 g",1000+N147,IF('Pre-Calculation'!$D$17="Type 4 h",SA+V147,IF('Pre-Calculation'!$D$17="Type 4 i",MAX(N147,Q147),IF('Pre-Calculation'!$D$17="Type 4 k",MAX(N147,1.01*Q147),IF('Pre-Calculation'!$D$17="Type 4 m",MAX(105%*Q147,SA+N147),IF('Pre-Calculation'!$D$17="Type 4 o",MAX(SA,105%*Q147)+V147+X147,IF('Pre-Calculation'!$D$17="Type 5",0))))))))))))</f>
        <v>1959016.208</v>
      </c>
      <c r="Q147" s="175">
        <f t="shared" si="5"/>
        <v>1000000</v>
      </c>
      <c r="R147" s="119">
        <f>L147*(1+GROWTH_RATE)*FMC</f>
        <v>2207.058825</v>
      </c>
      <c r="S147" s="112"/>
      <c r="T147" s="175">
        <f>-E147+IF(A146=INPUT!$C$11*12,N147,0)</f>
        <v>0</v>
      </c>
      <c r="U147" s="112"/>
      <c r="V147" s="179">
        <f t="array" ref="V147">NPV('Pre-Calculation'!$E$20,$E148:E$246)</f>
        <v>0</v>
      </c>
      <c r="W147" s="171">
        <f>10%*SA</f>
        <v>100000</v>
      </c>
      <c r="X147" s="179">
        <f t="array" ref="X147">NPV('Pre-Calculation'!$E$20,W148:W157)</f>
        <v>969592.8037</v>
      </c>
      <c r="Y147" s="12"/>
      <c r="Z147" s="12"/>
    </row>
    <row r="148" ht="15.75" customHeight="1">
      <c r="A148" s="171">
        <f t="shared" si="1"/>
        <v>202</v>
      </c>
      <c r="B148" s="171">
        <f t="shared" si="2"/>
        <v>17</v>
      </c>
      <c r="C148" s="176">
        <f>EDATE(RCD,A147)</f>
        <v>48668</v>
      </c>
      <c r="D148" s="171">
        <f>Age_At_Entry+'Cashflows_Bond Fund'!B148-1</f>
        <v>51</v>
      </c>
      <c r="E148" s="175">
        <f>IF(AND(C148&lt;=Last_Prem,MOD(A147,Mode)=0,C148&gt;INPUT!$C$13,A148&lt;=Revival!$C$11),Mod_Prem,0)</f>
        <v>0</v>
      </c>
      <c r="F148" s="177">
        <f>E148*VLOOKUP(B148,'Pre-Calculation'!$H$1:$I$31,2,FALSE)</f>
        <v>0</v>
      </c>
      <c r="G148" s="177">
        <f>IF(B148&lt;PT+1,VLOOKUP(B148,'Pre-Calculation'!$H$1:$L$32,3,FALSE)+VLOOKUP(B148,'Pre-Calculation'!$H$1:$L$32,4,FALSE)*'Pre-Calculation'!$D$7,0)</f>
        <v>0</v>
      </c>
      <c r="H148" s="175">
        <f>(E148-(F148+G148)*(1+Tax)+N147)</f>
        <v>1959016.208</v>
      </c>
      <c r="I148" s="175">
        <f>IF(B148&lt;PT+1,VLOOKUP(D148,'Pre-Calculation'!$N$3:$P$79,IF(INPUT!$C$4="M",2,3),FALSE)*(J148/1000)*(1/12),0)</f>
        <v>0</v>
      </c>
      <c r="J148" s="175">
        <f t="shared" si="3"/>
        <v>0</v>
      </c>
      <c r="K148" s="175">
        <f>(IF('Pre-Calculation'!$D$17="Type 4 a",MAX(SA,H148,1.05*Q148),IF('Pre-Calculation'!$D$17="Type 4 c",H148,IF('Pre-Calculation'!$D$17="Type 4 d",SA+H148,IF('Pre-Calculation'!$D$17="Type 4 e",MAX(SA,H148),IF('Pre-Calculation'!$D$17="Type 4 f",SA,IF('Pre-Calculation'!$D$17="Type 4 g",1000+H148,IF('Pre-Calculation'!$D$17="Type 4 h",SA+V148,IF('Pre-Calculation'!$D$17="Type 4 i",MAX(H148,Q148),IF('Pre-Calculation'!$D$17="Type 4 k",MAX(H148,1.01*Q148),IF('Pre-Calculation'!$D$17="Type 4 m",MAX(105%*Q148,SA+H148),IF('Pre-Calculation'!$D$17="Type 4 o",MAX(SA,105%*Q148)+V148+X148,IF('Pre-Calculation'!$D$17="Type 5",0)))))))))))))*IF(AND(A148&lt;Revival!$C$4,C148&gt;=Revival!$D$12),PUP,1)</f>
        <v>1959016.208</v>
      </c>
      <c r="L148" s="175">
        <f>H148-I148*(1+Tax)</f>
        <v>1959016.208</v>
      </c>
      <c r="M148" s="175">
        <f>L148*(1+'Pre-Calculation'!$E$28)*(1-'Pre-Calculation'!$E$29*(1+Tax))</f>
        <v>1967722.015</v>
      </c>
      <c r="N148" s="175">
        <f>M148+IF(MOD(A148,B148)=0,VLOOKUP(B148,'Pre-Calculation'!$H$1:$L$31,5,FALSE),0)*IF('Pre-Calculation'!$D$16="% OF FV",M148,IF(OR('Pre-Calculation'!$D$16="% OF AFV(24M)",'Pre-Calculation'!$D$16="% OF AFV(8Q)"),AVERAGE( $M125:$M148),IF('Pre-Calculation'!$D$16="% OF AFV(12M)",AVERAGE($M137:M148),IF('Pre-Calculation'!$D$16="% OF AFV(36M)",AVERAGE($M113:M148)))))</f>
        <v>1967722.015</v>
      </c>
      <c r="O148" s="175">
        <f t="shared" si="4"/>
        <v>1967722.015</v>
      </c>
      <c r="P148" s="175">
        <f>IF('Pre-Calculation'!$D$17="Type 4 a",MAX(SA,N148,1.05*Q148),IF('Pre-Calculation'!$D$17="Type 4 c",N148,IF('Pre-Calculation'!$D$17="Type 4 d",SA+N148,IF('Pre-Calculation'!$D$17="Type 4 e",MAX(SA,N148),IF('Pre-Calculation'!$D$17="Type 4 f",SA,IF('Pre-Calculation'!$D$17="Type 4 g",1000+N148,IF('Pre-Calculation'!$D$17="Type 4 h",SA+V148,IF('Pre-Calculation'!$D$17="Type 4 i",MAX(N148,Q148),IF('Pre-Calculation'!$D$17="Type 4 k",MAX(N148,1.01*Q148),IF('Pre-Calculation'!$D$17="Type 4 m",MAX(105%*Q148,SA+N148),IF('Pre-Calculation'!$D$17="Type 4 o",MAX(SA,105%*Q148)+V148+X148,IF('Pre-Calculation'!$D$17="Type 5",0))))))))))))</f>
        <v>1967722.015</v>
      </c>
      <c r="Q148" s="175">
        <f t="shared" si="5"/>
        <v>1000000</v>
      </c>
      <c r="R148" s="119">
        <f>L148*(1+GROWTH_RATE)*FMC</f>
        <v>2216.866925</v>
      </c>
      <c r="S148" s="112"/>
      <c r="T148" s="175">
        <f>-E148+IF(A147=INPUT!$C$11*12,N148,0)</f>
        <v>0</v>
      </c>
      <c r="U148" s="112"/>
      <c r="V148" s="179">
        <f t="array" ref="V148">NPV('Pre-Calculation'!$E$20,$E149:E$246)</f>
        <v>0</v>
      </c>
      <c r="W148" s="171">
        <f>10%*SA</f>
        <v>100000</v>
      </c>
      <c r="X148" s="179">
        <f t="array" ref="X148">NPV('Pre-Calculation'!$E$20,W149:W158)</f>
        <v>969592.8037</v>
      </c>
      <c r="Y148" s="12"/>
      <c r="Z148" s="12"/>
    </row>
    <row r="149" ht="15.75" customHeight="1">
      <c r="A149" s="171">
        <f t="shared" si="1"/>
        <v>203</v>
      </c>
      <c r="B149" s="171">
        <f t="shared" si="2"/>
        <v>17</v>
      </c>
      <c r="C149" s="176">
        <f>EDATE(RCD,A148)</f>
        <v>48699</v>
      </c>
      <c r="D149" s="171">
        <f>Age_At_Entry+'Cashflows_Bond Fund'!B149-1</f>
        <v>51</v>
      </c>
      <c r="E149" s="175">
        <f>IF(AND(C149&lt;=Last_Prem,MOD(A148,Mode)=0,C149&gt;INPUT!$C$13,A149&lt;=Revival!$C$11),Mod_Prem,0)</f>
        <v>0</v>
      </c>
      <c r="F149" s="177">
        <f>E149*VLOOKUP(B149,'Pre-Calculation'!$H$1:$I$31,2,FALSE)</f>
        <v>0</v>
      </c>
      <c r="G149" s="177">
        <f>IF(B149&lt;PT+1,VLOOKUP(B149,'Pre-Calculation'!$H$1:$L$32,3,FALSE)+VLOOKUP(B149,'Pre-Calculation'!$H$1:$L$32,4,FALSE)*'Pre-Calculation'!$D$7,0)</f>
        <v>0</v>
      </c>
      <c r="H149" s="175">
        <f>(E149-(F149+G149)*(1+Tax)+N148)</f>
        <v>1967722.015</v>
      </c>
      <c r="I149" s="175">
        <f>IF(B149&lt;PT+1,VLOOKUP(D149,'Pre-Calculation'!$N$3:$P$79,IF(INPUT!$C$4="M",2,3),FALSE)*(J149/1000)*(1/12),0)</f>
        <v>0</v>
      </c>
      <c r="J149" s="175">
        <f t="shared" si="3"/>
        <v>0</v>
      </c>
      <c r="K149" s="175">
        <f>(IF('Pre-Calculation'!$D$17="Type 4 a",MAX(SA,H149,1.05*Q149),IF('Pre-Calculation'!$D$17="Type 4 c",H149,IF('Pre-Calculation'!$D$17="Type 4 d",SA+H149,IF('Pre-Calculation'!$D$17="Type 4 e",MAX(SA,H149),IF('Pre-Calculation'!$D$17="Type 4 f",SA,IF('Pre-Calculation'!$D$17="Type 4 g",1000+H149,IF('Pre-Calculation'!$D$17="Type 4 h",SA+V149,IF('Pre-Calculation'!$D$17="Type 4 i",MAX(H149,Q149),IF('Pre-Calculation'!$D$17="Type 4 k",MAX(H149,1.01*Q149),IF('Pre-Calculation'!$D$17="Type 4 m",MAX(105%*Q149,SA+H149),IF('Pre-Calculation'!$D$17="Type 4 o",MAX(SA,105%*Q149)+V149+X149,IF('Pre-Calculation'!$D$17="Type 5",0)))))))))))))*IF(AND(A149&lt;Revival!$C$4,C149&gt;=Revival!$D$12),PUP,1)</f>
        <v>1967722.015</v>
      </c>
      <c r="L149" s="175">
        <f>H149-I149*(1+Tax)</f>
        <v>1967722.015</v>
      </c>
      <c r="M149" s="175">
        <f>L149*(1+'Pre-Calculation'!$E$28)*(1-'Pre-Calculation'!$E$29*(1+Tax))</f>
        <v>1976466.51</v>
      </c>
      <c r="N149" s="175">
        <f>M149+IF(MOD(A149,B149)=0,VLOOKUP(B149,'Pre-Calculation'!$H$1:$L$31,5,FALSE),0)*IF('Pre-Calculation'!$D$16="% OF FV",M149,IF(OR('Pre-Calculation'!$D$16="% OF AFV(24M)",'Pre-Calculation'!$D$16="% OF AFV(8Q)"),AVERAGE( $M126:$M149),IF('Pre-Calculation'!$D$16="% OF AFV(12M)",AVERAGE($M138:M149),IF('Pre-Calculation'!$D$16="% OF AFV(36M)",AVERAGE($M114:M149)))))</f>
        <v>1976466.51</v>
      </c>
      <c r="O149" s="175">
        <f t="shared" si="4"/>
        <v>1976466.51</v>
      </c>
      <c r="P149" s="175">
        <f>IF('Pre-Calculation'!$D$17="Type 4 a",MAX(SA,N149,1.05*Q149),IF('Pre-Calculation'!$D$17="Type 4 c",N149,IF('Pre-Calculation'!$D$17="Type 4 d",SA+N149,IF('Pre-Calculation'!$D$17="Type 4 e",MAX(SA,N149),IF('Pre-Calculation'!$D$17="Type 4 f",SA,IF('Pre-Calculation'!$D$17="Type 4 g",1000+N149,IF('Pre-Calculation'!$D$17="Type 4 h",SA+V149,IF('Pre-Calculation'!$D$17="Type 4 i",MAX(N149,Q149),IF('Pre-Calculation'!$D$17="Type 4 k",MAX(N149,1.01*Q149),IF('Pre-Calculation'!$D$17="Type 4 m",MAX(105%*Q149,SA+N149),IF('Pre-Calculation'!$D$17="Type 4 o",MAX(SA,105%*Q149)+V149+X149,IF('Pre-Calculation'!$D$17="Type 5",0))))))))))))</f>
        <v>1976466.51</v>
      </c>
      <c r="Q149" s="175">
        <f t="shared" si="5"/>
        <v>1000000</v>
      </c>
      <c r="R149" s="119">
        <f>L149*(1+GROWTH_RATE)*FMC</f>
        <v>2226.718613</v>
      </c>
      <c r="S149" s="112"/>
      <c r="T149" s="175">
        <f>-E149+IF(A148=INPUT!$C$11*12,N149,0)</f>
        <v>0</v>
      </c>
      <c r="U149" s="112"/>
      <c r="V149" s="179">
        <f t="array" ref="V149">NPV('Pre-Calculation'!$E$20,$E150:E$246)</f>
        <v>0</v>
      </c>
      <c r="W149" s="171">
        <f>10%*SA</f>
        <v>100000</v>
      </c>
      <c r="X149" s="179">
        <f t="array" ref="X149">NPV('Pre-Calculation'!$E$20,W150:W159)</f>
        <v>969592.8037</v>
      </c>
      <c r="Y149" s="12"/>
      <c r="Z149" s="12"/>
    </row>
    <row r="150" ht="15.75" customHeight="1">
      <c r="A150" s="171">
        <f t="shared" si="1"/>
        <v>204</v>
      </c>
      <c r="B150" s="171">
        <f t="shared" si="2"/>
        <v>17</v>
      </c>
      <c r="C150" s="176">
        <f>EDATE(RCD,A149)</f>
        <v>48729</v>
      </c>
      <c r="D150" s="171">
        <f>Age_At_Entry+'Cashflows_Bond Fund'!B150-1</f>
        <v>51</v>
      </c>
      <c r="E150" s="175">
        <f>IF(AND(C150&lt;=Last_Prem,MOD(A149,Mode)=0,C150&gt;INPUT!$C$13,A150&lt;=Revival!$C$11),Mod_Prem,0)</f>
        <v>0</v>
      </c>
      <c r="F150" s="177">
        <f>E150*VLOOKUP(B150,'Pre-Calculation'!$H$1:$I$31,2,FALSE)</f>
        <v>0</v>
      </c>
      <c r="G150" s="177">
        <f>IF(B150&lt;PT+1,VLOOKUP(B150,'Pre-Calculation'!$H$1:$L$32,3,FALSE)+VLOOKUP(B150,'Pre-Calculation'!$H$1:$L$32,4,FALSE)*'Pre-Calculation'!$D$7,0)</f>
        <v>0</v>
      </c>
      <c r="H150" s="175">
        <f>(E150-(F150+G150)*(1+Tax)+N149)</f>
        <v>1976466.51</v>
      </c>
      <c r="I150" s="175">
        <f>IF(B150&lt;PT+1,VLOOKUP(D150,'Pre-Calculation'!$N$3:$P$79,IF(INPUT!$C$4="M",2,3),FALSE)*(J150/1000)*(1/12),0)</f>
        <v>0</v>
      </c>
      <c r="J150" s="175">
        <f t="shared" si="3"/>
        <v>0</v>
      </c>
      <c r="K150" s="175">
        <f>(IF('Pre-Calculation'!$D$17="Type 4 a",MAX(SA,H150,1.05*Q150),IF('Pre-Calculation'!$D$17="Type 4 c",H150,IF('Pre-Calculation'!$D$17="Type 4 d",SA+H150,IF('Pre-Calculation'!$D$17="Type 4 e",MAX(SA,H150),IF('Pre-Calculation'!$D$17="Type 4 f",SA,IF('Pre-Calculation'!$D$17="Type 4 g",1000+H150,IF('Pre-Calculation'!$D$17="Type 4 h",SA+V150,IF('Pre-Calculation'!$D$17="Type 4 i",MAX(H150,Q150),IF('Pre-Calculation'!$D$17="Type 4 k",MAX(H150,1.01*Q150),IF('Pre-Calculation'!$D$17="Type 4 m",MAX(105%*Q150,SA+H150),IF('Pre-Calculation'!$D$17="Type 4 o",MAX(SA,105%*Q150)+V150+X150,IF('Pre-Calculation'!$D$17="Type 5",0)))))))))))))*IF(AND(A150&lt;Revival!$C$4,C150&gt;=Revival!$D$12),PUP,1)</f>
        <v>1976466.51</v>
      </c>
      <c r="L150" s="175">
        <f>H150-I150*(1+Tax)</f>
        <v>1976466.51</v>
      </c>
      <c r="M150" s="175">
        <f>L150*(1+'Pre-Calculation'!$E$28)*(1-'Pre-Calculation'!$E$29*(1+Tax))</f>
        <v>1985249.866</v>
      </c>
      <c r="N150" s="175">
        <f>M150+IF(MOD(A150,B150)=0,VLOOKUP(B150,'Pre-Calculation'!$H$1:$L$31,5,FALSE),0)*IF('Pre-Calculation'!$D$16="% OF FV",M150,IF(OR('Pre-Calculation'!$D$16="% OF AFV(24M)",'Pre-Calculation'!$D$16="% OF AFV(8Q)"),AVERAGE( $M127:$M150),IF('Pre-Calculation'!$D$16="% OF AFV(12M)",AVERAGE($M139:M150),IF('Pre-Calculation'!$D$16="% OF AFV(36M)",AVERAGE($M115:M150)))))</f>
        <v>1985249.866</v>
      </c>
      <c r="O150" s="175">
        <f t="shared" si="4"/>
        <v>1985249.866</v>
      </c>
      <c r="P150" s="175">
        <f>IF('Pre-Calculation'!$D$17="Type 4 a",MAX(SA,N150,1.05*Q150),IF('Pre-Calculation'!$D$17="Type 4 c",N150,IF('Pre-Calculation'!$D$17="Type 4 d",SA+N150,IF('Pre-Calculation'!$D$17="Type 4 e",MAX(SA,N150),IF('Pre-Calculation'!$D$17="Type 4 f",SA,IF('Pre-Calculation'!$D$17="Type 4 g",1000+N150,IF('Pre-Calculation'!$D$17="Type 4 h",SA+V150,IF('Pre-Calculation'!$D$17="Type 4 i",MAX(N150,Q150),IF('Pre-Calculation'!$D$17="Type 4 k",MAX(N150,1.01*Q150),IF('Pre-Calculation'!$D$17="Type 4 m",MAX(105%*Q150,SA+N150),IF('Pre-Calculation'!$D$17="Type 4 o",MAX(SA,105%*Q150)+V150+X150,IF('Pre-Calculation'!$D$17="Type 5",0))))))))))))</f>
        <v>1985249.866</v>
      </c>
      <c r="Q150" s="175">
        <f t="shared" si="5"/>
        <v>1000000</v>
      </c>
      <c r="R150" s="119">
        <f>L150*(1+GROWTH_RATE)*FMC</f>
        <v>2236.614081</v>
      </c>
      <c r="S150" s="112"/>
      <c r="T150" s="175">
        <f>-E150+IF(A149=INPUT!$C$11*12,N150,0)</f>
        <v>0</v>
      </c>
      <c r="U150" s="112"/>
      <c r="V150" s="179">
        <f t="array" ref="V150">NPV('Pre-Calculation'!$E$20,$E151:E$246)</f>
        <v>0</v>
      </c>
      <c r="W150" s="171">
        <f>10%*SA</f>
        <v>100000</v>
      </c>
      <c r="X150" s="179">
        <f t="array" ref="X150">NPV('Pre-Calculation'!$E$20,W151:W160)</f>
        <v>969592.8037</v>
      </c>
      <c r="Y150" s="12"/>
      <c r="Z150" s="12"/>
    </row>
    <row r="151" ht="15.75" customHeight="1">
      <c r="A151" s="171">
        <f t="shared" si="1"/>
        <v>205</v>
      </c>
      <c r="B151" s="171">
        <f t="shared" si="2"/>
        <v>18</v>
      </c>
      <c r="C151" s="176">
        <f>EDATE(RCD,A150)</f>
        <v>48760</v>
      </c>
      <c r="D151" s="171">
        <f>Age_At_Entry+'Cashflows_Bond Fund'!B151-1</f>
        <v>52</v>
      </c>
      <c r="E151" s="175">
        <f>IF(AND(C151&lt;=Last_Prem,MOD(A150,Mode)=0,C151&gt;INPUT!$C$13,A151&lt;=Revival!$C$11),Mod_Prem,0)</f>
        <v>0</v>
      </c>
      <c r="F151" s="177">
        <f>E151*VLOOKUP(B151,'Pre-Calculation'!$H$1:$I$31,2,FALSE)</f>
        <v>0</v>
      </c>
      <c r="G151" s="177">
        <f>IF(B151&lt;PT+1,VLOOKUP(B151,'Pre-Calculation'!$H$1:$L$32,3,FALSE)+VLOOKUP(B151,'Pre-Calculation'!$H$1:$L$32,4,FALSE)*'Pre-Calculation'!$D$7,0)</f>
        <v>0</v>
      </c>
      <c r="H151" s="175">
        <f>(E151-(F151+G151)*(1+Tax)+N150)</f>
        <v>1985249.866</v>
      </c>
      <c r="I151" s="175">
        <f>IF(B151&lt;PT+1,VLOOKUP(D151,'Pre-Calculation'!$N$3:$P$79,IF(INPUT!$C$4="M",2,3),FALSE)*(J151/1000)*(1/12),0)</f>
        <v>0</v>
      </c>
      <c r="J151" s="175">
        <f t="shared" si="3"/>
        <v>0</v>
      </c>
      <c r="K151" s="175">
        <f>(IF('Pre-Calculation'!$D$17="Type 4 a",MAX(SA,H151,1.05*Q151),IF('Pre-Calculation'!$D$17="Type 4 c",H151,IF('Pre-Calculation'!$D$17="Type 4 d",SA+H151,IF('Pre-Calculation'!$D$17="Type 4 e",MAX(SA,H151),IF('Pre-Calculation'!$D$17="Type 4 f",SA,IF('Pre-Calculation'!$D$17="Type 4 g",1000+H151,IF('Pre-Calculation'!$D$17="Type 4 h",SA+V151,IF('Pre-Calculation'!$D$17="Type 4 i",MAX(H151,Q151),IF('Pre-Calculation'!$D$17="Type 4 k",MAX(H151,1.01*Q151),IF('Pre-Calculation'!$D$17="Type 4 m",MAX(105%*Q151,SA+H151),IF('Pre-Calculation'!$D$17="Type 4 o",MAX(SA,105%*Q151)+V151+X151,IF('Pre-Calculation'!$D$17="Type 5",0)))))))))))))*IF(AND(A151&lt;Revival!$C$4,C151&gt;=Revival!$D$12),PUP,1)</f>
        <v>1985249.866</v>
      </c>
      <c r="L151" s="175">
        <f>H151-I151*(1+Tax)</f>
        <v>1985249.866</v>
      </c>
      <c r="M151" s="175">
        <f>L151*(1+'Pre-Calculation'!$E$28)*(1-'Pre-Calculation'!$E$29*(1+Tax))</f>
        <v>1994072.254</v>
      </c>
      <c r="N151" s="175">
        <f>M151+IF(MOD(A151,B151)=0,VLOOKUP(B151,'Pre-Calculation'!$H$1:$L$31,5,FALSE),0)*IF('Pre-Calculation'!$D$16="% OF FV",M151,IF(OR('Pre-Calculation'!$D$16="% OF AFV(24M)",'Pre-Calculation'!$D$16="% OF AFV(8Q)"),AVERAGE( $M128:$M151),IF('Pre-Calculation'!$D$16="% OF AFV(12M)",AVERAGE($M140:M151),IF('Pre-Calculation'!$D$16="% OF AFV(36M)",AVERAGE($M116:M151)))))</f>
        <v>1994072.254</v>
      </c>
      <c r="O151" s="175">
        <f t="shared" si="4"/>
        <v>1994072.254</v>
      </c>
      <c r="P151" s="175">
        <f>IF('Pre-Calculation'!$D$17="Type 4 a",MAX(SA,N151,1.05*Q151),IF('Pre-Calculation'!$D$17="Type 4 c",N151,IF('Pre-Calculation'!$D$17="Type 4 d",SA+N151,IF('Pre-Calculation'!$D$17="Type 4 e",MAX(SA,N151),IF('Pre-Calculation'!$D$17="Type 4 f",SA,IF('Pre-Calculation'!$D$17="Type 4 g",1000+N151,IF('Pre-Calculation'!$D$17="Type 4 h",SA+V151,IF('Pre-Calculation'!$D$17="Type 4 i",MAX(N151,Q151),IF('Pre-Calculation'!$D$17="Type 4 k",MAX(N151,1.01*Q151),IF('Pre-Calculation'!$D$17="Type 4 m",MAX(105%*Q151,SA+N151),IF('Pre-Calculation'!$D$17="Type 4 o",MAX(SA,105%*Q151)+V151+X151,IF('Pre-Calculation'!$D$17="Type 5",0))))))))))))</f>
        <v>1994072.254</v>
      </c>
      <c r="Q151" s="175">
        <f t="shared" si="5"/>
        <v>1000000</v>
      </c>
      <c r="R151" s="119">
        <f>L151*(1+GROWTH_RATE)*FMC</f>
        <v>2246.553524</v>
      </c>
      <c r="S151" s="112"/>
      <c r="T151" s="175">
        <f>-E151+IF(A150=INPUT!$C$11*12,N151,0)</f>
        <v>0</v>
      </c>
      <c r="U151" s="112"/>
      <c r="V151" s="179">
        <f t="array" ref="V151">NPV('Pre-Calculation'!$E$20,$E152:E$246)</f>
        <v>0</v>
      </c>
      <c r="W151" s="171">
        <f>10%*SA</f>
        <v>100000</v>
      </c>
      <c r="X151" s="179">
        <f t="array" ref="X151">NPV('Pre-Calculation'!$E$20,W152:W161)</f>
        <v>969592.8037</v>
      </c>
      <c r="Y151" s="12"/>
      <c r="Z151" s="12"/>
    </row>
    <row r="152" ht="15.75" customHeight="1">
      <c r="A152" s="171">
        <f t="shared" si="1"/>
        <v>206</v>
      </c>
      <c r="B152" s="171">
        <f t="shared" si="2"/>
        <v>18</v>
      </c>
      <c r="C152" s="176">
        <f>EDATE(RCD,A151)</f>
        <v>48790</v>
      </c>
      <c r="D152" s="171">
        <f>Age_At_Entry+'Cashflows_Bond Fund'!B152-1</f>
        <v>52</v>
      </c>
      <c r="E152" s="175">
        <f>IF(AND(C152&lt;=Last_Prem,MOD(A151,Mode)=0,C152&gt;INPUT!$C$13,A152&lt;=Revival!$C$11),Mod_Prem,0)</f>
        <v>0</v>
      </c>
      <c r="F152" s="177">
        <f>E152*VLOOKUP(B152,'Pre-Calculation'!$H$1:$I$31,2,FALSE)</f>
        <v>0</v>
      </c>
      <c r="G152" s="177">
        <f>IF(B152&lt;PT+1,VLOOKUP(B152,'Pre-Calculation'!$H$1:$L$32,3,FALSE)+VLOOKUP(B152,'Pre-Calculation'!$H$1:$L$32,4,FALSE)*'Pre-Calculation'!$D$7,0)</f>
        <v>0</v>
      </c>
      <c r="H152" s="175">
        <f>(E152-(F152+G152)*(1+Tax)+N151)</f>
        <v>1994072.254</v>
      </c>
      <c r="I152" s="175">
        <f>IF(B152&lt;PT+1,VLOOKUP(D152,'Pre-Calculation'!$N$3:$P$79,IF(INPUT!$C$4="M",2,3),FALSE)*(J152/1000)*(1/12),0)</f>
        <v>0</v>
      </c>
      <c r="J152" s="175">
        <f t="shared" si="3"/>
        <v>0</v>
      </c>
      <c r="K152" s="175">
        <f>(IF('Pre-Calculation'!$D$17="Type 4 a",MAX(SA,H152,1.05*Q152),IF('Pre-Calculation'!$D$17="Type 4 c",H152,IF('Pre-Calculation'!$D$17="Type 4 d",SA+H152,IF('Pre-Calculation'!$D$17="Type 4 e",MAX(SA,H152),IF('Pre-Calculation'!$D$17="Type 4 f",SA,IF('Pre-Calculation'!$D$17="Type 4 g",1000+H152,IF('Pre-Calculation'!$D$17="Type 4 h",SA+V152,IF('Pre-Calculation'!$D$17="Type 4 i",MAX(H152,Q152),IF('Pre-Calculation'!$D$17="Type 4 k",MAX(H152,1.01*Q152),IF('Pre-Calculation'!$D$17="Type 4 m",MAX(105%*Q152,SA+H152),IF('Pre-Calculation'!$D$17="Type 4 o",MAX(SA,105%*Q152)+V152+X152,IF('Pre-Calculation'!$D$17="Type 5",0)))))))))))))*IF(AND(A152&lt;Revival!$C$4,C152&gt;=Revival!$D$12),PUP,1)</f>
        <v>1994072.254</v>
      </c>
      <c r="L152" s="175">
        <f>H152-I152*(1+Tax)</f>
        <v>1994072.254</v>
      </c>
      <c r="M152" s="175">
        <f>L152*(1+'Pre-Calculation'!$E$28)*(1-'Pre-Calculation'!$E$29*(1+Tax))</f>
        <v>2002933.849</v>
      </c>
      <c r="N152" s="175">
        <f>M152+IF(MOD(A152,B152)=0,VLOOKUP(B152,'Pre-Calculation'!$H$1:$L$31,5,FALSE),0)*IF('Pre-Calculation'!$D$16="% OF FV",M152,IF(OR('Pre-Calculation'!$D$16="% OF AFV(24M)",'Pre-Calculation'!$D$16="% OF AFV(8Q)"),AVERAGE( $M129:$M152),IF('Pre-Calculation'!$D$16="% OF AFV(12M)",AVERAGE($M141:M152),IF('Pre-Calculation'!$D$16="% OF AFV(36M)",AVERAGE($M117:M152)))))</f>
        <v>2002933.849</v>
      </c>
      <c r="O152" s="175">
        <f t="shared" si="4"/>
        <v>2002933.849</v>
      </c>
      <c r="P152" s="175">
        <f>IF('Pre-Calculation'!$D$17="Type 4 a",MAX(SA,N152,1.05*Q152),IF('Pre-Calculation'!$D$17="Type 4 c",N152,IF('Pre-Calculation'!$D$17="Type 4 d",SA+N152,IF('Pre-Calculation'!$D$17="Type 4 e",MAX(SA,N152),IF('Pre-Calculation'!$D$17="Type 4 f",SA,IF('Pre-Calculation'!$D$17="Type 4 g",1000+N152,IF('Pre-Calculation'!$D$17="Type 4 h",SA+V152,IF('Pre-Calculation'!$D$17="Type 4 i",MAX(N152,Q152),IF('Pre-Calculation'!$D$17="Type 4 k",MAX(N152,1.01*Q152),IF('Pre-Calculation'!$D$17="Type 4 m",MAX(105%*Q152,SA+N152),IF('Pre-Calculation'!$D$17="Type 4 o",MAX(SA,105%*Q152)+V152+X152,IF('Pre-Calculation'!$D$17="Type 5",0))))))))))))</f>
        <v>2002933.849</v>
      </c>
      <c r="Q152" s="175">
        <f t="shared" si="5"/>
        <v>1000000</v>
      </c>
      <c r="R152" s="119">
        <f>L152*(1+GROWTH_RATE)*FMC</f>
        <v>2256.537137</v>
      </c>
      <c r="S152" s="112"/>
      <c r="T152" s="175">
        <f>-E152+IF(A151=INPUT!$C$11*12,N152,0)</f>
        <v>0</v>
      </c>
      <c r="U152" s="112"/>
      <c r="V152" s="179">
        <f t="array" ref="V152">NPV('Pre-Calculation'!$E$20,$E153:E$246)</f>
        <v>0</v>
      </c>
      <c r="W152" s="171">
        <f>10%*SA</f>
        <v>100000</v>
      </c>
      <c r="X152" s="179">
        <f t="array" ref="X152">NPV('Pre-Calculation'!$E$20,W153:W162)</f>
        <v>969592.8037</v>
      </c>
      <c r="Y152" s="12"/>
      <c r="Z152" s="12"/>
    </row>
    <row r="153" ht="15.75" customHeight="1">
      <c r="A153" s="171">
        <f t="shared" si="1"/>
        <v>207</v>
      </c>
      <c r="B153" s="171">
        <f t="shared" si="2"/>
        <v>18</v>
      </c>
      <c r="C153" s="176">
        <f>EDATE(RCD,A152)</f>
        <v>48821</v>
      </c>
      <c r="D153" s="171">
        <f>Age_At_Entry+'Cashflows_Bond Fund'!B153-1</f>
        <v>52</v>
      </c>
      <c r="E153" s="175">
        <f>IF(AND(C153&lt;=Last_Prem,MOD(A152,Mode)=0,C153&gt;INPUT!$C$13,A153&lt;=Revival!$C$11),Mod_Prem,0)</f>
        <v>0</v>
      </c>
      <c r="F153" s="177">
        <f>E153*VLOOKUP(B153,'Pre-Calculation'!$H$1:$I$31,2,FALSE)</f>
        <v>0</v>
      </c>
      <c r="G153" s="177">
        <f>IF(B153&lt;PT+1,VLOOKUP(B153,'Pre-Calculation'!$H$1:$L$32,3,FALSE)+VLOOKUP(B153,'Pre-Calculation'!$H$1:$L$32,4,FALSE)*'Pre-Calculation'!$D$7,0)</f>
        <v>0</v>
      </c>
      <c r="H153" s="175">
        <f>(E153-(F153+G153)*(1+Tax)+N152)</f>
        <v>2002933.849</v>
      </c>
      <c r="I153" s="175">
        <f>IF(B153&lt;PT+1,VLOOKUP(D153,'Pre-Calculation'!$N$3:$P$79,IF(INPUT!$C$4="M",2,3),FALSE)*(J153/1000)*(1/12),0)</f>
        <v>0</v>
      </c>
      <c r="J153" s="175">
        <f t="shared" si="3"/>
        <v>0</v>
      </c>
      <c r="K153" s="175">
        <f>(IF('Pre-Calculation'!$D$17="Type 4 a",MAX(SA,H153,1.05*Q153),IF('Pre-Calculation'!$D$17="Type 4 c",H153,IF('Pre-Calculation'!$D$17="Type 4 d",SA+H153,IF('Pre-Calculation'!$D$17="Type 4 e",MAX(SA,H153),IF('Pre-Calculation'!$D$17="Type 4 f",SA,IF('Pre-Calculation'!$D$17="Type 4 g",1000+H153,IF('Pre-Calculation'!$D$17="Type 4 h",SA+V153,IF('Pre-Calculation'!$D$17="Type 4 i",MAX(H153,Q153),IF('Pre-Calculation'!$D$17="Type 4 k",MAX(H153,1.01*Q153),IF('Pre-Calculation'!$D$17="Type 4 m",MAX(105%*Q153,SA+H153),IF('Pre-Calculation'!$D$17="Type 4 o",MAX(SA,105%*Q153)+V153+X153,IF('Pre-Calculation'!$D$17="Type 5",0)))))))))))))*IF(AND(A153&lt;Revival!$C$4,C153&gt;=Revival!$D$12),PUP,1)</f>
        <v>2002933.849</v>
      </c>
      <c r="L153" s="175">
        <f>H153-I153*(1+Tax)</f>
        <v>2002933.849</v>
      </c>
      <c r="M153" s="175">
        <f>L153*(1+'Pre-Calculation'!$E$28)*(1-'Pre-Calculation'!$E$29*(1+Tax))</f>
        <v>2011834.824</v>
      </c>
      <c r="N153" s="175">
        <f>M153+IF(MOD(A153,B153)=0,VLOOKUP(B153,'Pre-Calculation'!$H$1:$L$31,5,FALSE),0)*IF('Pre-Calculation'!$D$16="% OF FV",M153,IF(OR('Pre-Calculation'!$D$16="% OF AFV(24M)",'Pre-Calculation'!$D$16="% OF AFV(8Q)"),AVERAGE( $M130:$M153),IF('Pre-Calculation'!$D$16="% OF AFV(12M)",AVERAGE($M142:M153),IF('Pre-Calculation'!$D$16="% OF AFV(36M)",AVERAGE($M118:M153)))))</f>
        <v>2011834.824</v>
      </c>
      <c r="O153" s="175">
        <f t="shared" si="4"/>
        <v>2011834.824</v>
      </c>
      <c r="P153" s="175">
        <f>IF('Pre-Calculation'!$D$17="Type 4 a",MAX(SA,N153,1.05*Q153),IF('Pre-Calculation'!$D$17="Type 4 c",N153,IF('Pre-Calculation'!$D$17="Type 4 d",SA+N153,IF('Pre-Calculation'!$D$17="Type 4 e",MAX(SA,N153),IF('Pre-Calculation'!$D$17="Type 4 f",SA,IF('Pre-Calculation'!$D$17="Type 4 g",1000+N153,IF('Pre-Calculation'!$D$17="Type 4 h",SA+V153,IF('Pre-Calculation'!$D$17="Type 4 i",MAX(N153,Q153),IF('Pre-Calculation'!$D$17="Type 4 k",MAX(N153,1.01*Q153),IF('Pre-Calculation'!$D$17="Type 4 m",MAX(105%*Q153,SA+N153),IF('Pre-Calculation'!$D$17="Type 4 o",MAX(SA,105%*Q153)+V153+X153,IF('Pre-Calculation'!$D$17="Type 5",0))))))))))))</f>
        <v>2011834.824</v>
      </c>
      <c r="Q153" s="175">
        <f t="shared" si="5"/>
        <v>1000000</v>
      </c>
      <c r="R153" s="119">
        <f>L153*(1+GROWTH_RATE)*FMC</f>
        <v>2266.565118</v>
      </c>
      <c r="S153" s="112"/>
      <c r="T153" s="175">
        <f>-E153+IF(A152=INPUT!$C$11*12,N153,0)</f>
        <v>0</v>
      </c>
      <c r="U153" s="112"/>
      <c r="V153" s="179">
        <f t="array" ref="V153">NPV('Pre-Calculation'!$E$20,$E154:E$246)</f>
        <v>0</v>
      </c>
      <c r="W153" s="171">
        <f>10%*SA</f>
        <v>100000</v>
      </c>
      <c r="X153" s="179">
        <f t="array" ref="X153">NPV('Pre-Calculation'!$E$20,W154:W163)</f>
        <v>969592.8037</v>
      </c>
      <c r="Y153" s="12"/>
      <c r="Z153" s="12"/>
    </row>
    <row r="154" ht="15.75" customHeight="1">
      <c r="A154" s="171">
        <f t="shared" si="1"/>
        <v>208</v>
      </c>
      <c r="B154" s="171">
        <f t="shared" si="2"/>
        <v>18</v>
      </c>
      <c r="C154" s="176">
        <f>EDATE(RCD,A153)</f>
        <v>48852</v>
      </c>
      <c r="D154" s="171">
        <f>Age_At_Entry+'Cashflows_Bond Fund'!B154-1</f>
        <v>52</v>
      </c>
      <c r="E154" s="175">
        <f>IF(AND(C154&lt;=Last_Prem,MOD(A153,Mode)=0,C154&gt;INPUT!$C$13,A154&lt;=Revival!$C$11),Mod_Prem,0)</f>
        <v>0</v>
      </c>
      <c r="F154" s="177">
        <f>E154*VLOOKUP(B154,'Pre-Calculation'!$H$1:$I$31,2,FALSE)</f>
        <v>0</v>
      </c>
      <c r="G154" s="177">
        <f>IF(B154&lt;PT+1,VLOOKUP(B154,'Pre-Calculation'!$H$1:$L$32,3,FALSE)+VLOOKUP(B154,'Pre-Calculation'!$H$1:$L$32,4,FALSE)*'Pre-Calculation'!$D$7,0)</f>
        <v>0</v>
      </c>
      <c r="H154" s="175">
        <f>(E154-(F154+G154)*(1+Tax)+N153)</f>
        <v>2011834.824</v>
      </c>
      <c r="I154" s="175">
        <f>IF(B154&lt;PT+1,VLOOKUP(D154,'Pre-Calculation'!$N$3:$P$79,IF(INPUT!$C$4="M",2,3),FALSE)*(J154/1000)*(1/12),0)</f>
        <v>0</v>
      </c>
      <c r="J154" s="175">
        <f t="shared" si="3"/>
        <v>0</v>
      </c>
      <c r="K154" s="175">
        <f>(IF('Pre-Calculation'!$D$17="Type 4 a",MAX(SA,H154,1.05*Q154),IF('Pre-Calculation'!$D$17="Type 4 c",H154,IF('Pre-Calculation'!$D$17="Type 4 d",SA+H154,IF('Pre-Calculation'!$D$17="Type 4 e",MAX(SA,H154),IF('Pre-Calculation'!$D$17="Type 4 f",SA,IF('Pre-Calculation'!$D$17="Type 4 g",1000+H154,IF('Pre-Calculation'!$D$17="Type 4 h",SA+V154,IF('Pre-Calculation'!$D$17="Type 4 i",MAX(H154,Q154),IF('Pre-Calculation'!$D$17="Type 4 k",MAX(H154,1.01*Q154),IF('Pre-Calculation'!$D$17="Type 4 m",MAX(105%*Q154,SA+H154),IF('Pre-Calculation'!$D$17="Type 4 o",MAX(SA,105%*Q154)+V154+X154,IF('Pre-Calculation'!$D$17="Type 5",0)))))))))))))*IF(AND(A154&lt;Revival!$C$4,C154&gt;=Revival!$D$12),PUP,1)</f>
        <v>2011834.824</v>
      </c>
      <c r="L154" s="175">
        <f>H154-I154*(1+Tax)</f>
        <v>2011834.824</v>
      </c>
      <c r="M154" s="175">
        <f>L154*(1+'Pre-Calculation'!$E$28)*(1-'Pre-Calculation'!$E$29*(1+Tax))</f>
        <v>2020775.355</v>
      </c>
      <c r="N154" s="175">
        <f>M154+IF(MOD(A154,B154)=0,VLOOKUP(B154,'Pre-Calculation'!$H$1:$L$31,5,FALSE),0)*IF('Pre-Calculation'!$D$16="% OF FV",M154,IF(OR('Pre-Calculation'!$D$16="% OF AFV(24M)",'Pre-Calculation'!$D$16="% OF AFV(8Q)"),AVERAGE( $M131:$M154),IF('Pre-Calculation'!$D$16="% OF AFV(12M)",AVERAGE($M143:M154),IF('Pre-Calculation'!$D$16="% OF AFV(36M)",AVERAGE($M119:M154)))))</f>
        <v>2020775.355</v>
      </c>
      <c r="O154" s="175">
        <f t="shared" si="4"/>
        <v>2020775.355</v>
      </c>
      <c r="P154" s="175">
        <f>IF('Pre-Calculation'!$D$17="Type 4 a",MAX(SA,N154,1.05*Q154),IF('Pre-Calculation'!$D$17="Type 4 c",N154,IF('Pre-Calculation'!$D$17="Type 4 d",SA+N154,IF('Pre-Calculation'!$D$17="Type 4 e",MAX(SA,N154),IF('Pre-Calculation'!$D$17="Type 4 f",SA,IF('Pre-Calculation'!$D$17="Type 4 g",1000+N154,IF('Pre-Calculation'!$D$17="Type 4 h",SA+V154,IF('Pre-Calculation'!$D$17="Type 4 i",MAX(N154,Q154),IF('Pre-Calculation'!$D$17="Type 4 k",MAX(N154,1.01*Q154),IF('Pre-Calculation'!$D$17="Type 4 m",MAX(105%*Q154,SA+N154),IF('Pre-Calculation'!$D$17="Type 4 o",MAX(SA,105%*Q154)+V154+X154,IF('Pre-Calculation'!$D$17="Type 5",0))))))))))))</f>
        <v>2020775.355</v>
      </c>
      <c r="Q154" s="175">
        <f t="shared" si="5"/>
        <v>1000000</v>
      </c>
      <c r="R154" s="119">
        <f>L154*(1+GROWTH_RATE)*FMC</f>
        <v>2276.637662</v>
      </c>
      <c r="S154" s="112"/>
      <c r="T154" s="175">
        <f>-E154+IF(A153=INPUT!$C$11*12,N154,0)</f>
        <v>0</v>
      </c>
      <c r="U154" s="112"/>
      <c r="V154" s="179">
        <f t="array" ref="V154">NPV('Pre-Calculation'!$E$20,$E155:E$246)</f>
        <v>0</v>
      </c>
      <c r="W154" s="171">
        <f>10%*SA</f>
        <v>100000</v>
      </c>
      <c r="X154" s="179">
        <f t="array" ref="X154">NPV('Pre-Calculation'!$E$20,W155:W164)</f>
        <v>969592.8037</v>
      </c>
      <c r="Y154" s="12"/>
      <c r="Z154" s="12"/>
    </row>
    <row r="155" ht="15.75" customHeight="1">
      <c r="A155" s="171">
        <f t="shared" si="1"/>
        <v>209</v>
      </c>
      <c r="B155" s="171">
        <f t="shared" si="2"/>
        <v>18</v>
      </c>
      <c r="C155" s="176">
        <f>EDATE(RCD,A154)</f>
        <v>48882</v>
      </c>
      <c r="D155" s="171">
        <f>Age_At_Entry+'Cashflows_Bond Fund'!B155-1</f>
        <v>52</v>
      </c>
      <c r="E155" s="175">
        <f>IF(AND(C155&lt;=Last_Prem,MOD(A154,Mode)=0,C155&gt;INPUT!$C$13,A155&lt;=Revival!$C$11),Mod_Prem,0)</f>
        <v>0</v>
      </c>
      <c r="F155" s="177">
        <f>E155*VLOOKUP(B155,'Pre-Calculation'!$H$1:$I$31,2,FALSE)</f>
        <v>0</v>
      </c>
      <c r="G155" s="177">
        <f>IF(B155&lt;PT+1,VLOOKUP(B155,'Pre-Calculation'!$H$1:$L$32,3,FALSE)+VLOOKUP(B155,'Pre-Calculation'!$H$1:$L$32,4,FALSE)*'Pre-Calculation'!$D$7,0)</f>
        <v>0</v>
      </c>
      <c r="H155" s="175">
        <f>(E155-(F155+G155)*(1+Tax)+N154)</f>
        <v>2020775.355</v>
      </c>
      <c r="I155" s="175">
        <f>IF(B155&lt;PT+1,VLOOKUP(D155,'Pre-Calculation'!$N$3:$P$79,IF(INPUT!$C$4="M",2,3),FALSE)*(J155/1000)*(1/12),0)</f>
        <v>0</v>
      </c>
      <c r="J155" s="175">
        <f t="shared" si="3"/>
        <v>0</v>
      </c>
      <c r="K155" s="175">
        <f>(IF('Pre-Calculation'!$D$17="Type 4 a",MAX(SA,H155,1.05*Q155),IF('Pre-Calculation'!$D$17="Type 4 c",H155,IF('Pre-Calculation'!$D$17="Type 4 d",SA+H155,IF('Pre-Calculation'!$D$17="Type 4 e",MAX(SA,H155),IF('Pre-Calculation'!$D$17="Type 4 f",SA,IF('Pre-Calculation'!$D$17="Type 4 g",1000+H155,IF('Pre-Calculation'!$D$17="Type 4 h",SA+V155,IF('Pre-Calculation'!$D$17="Type 4 i",MAX(H155,Q155),IF('Pre-Calculation'!$D$17="Type 4 k",MAX(H155,1.01*Q155),IF('Pre-Calculation'!$D$17="Type 4 m",MAX(105%*Q155,SA+H155),IF('Pre-Calculation'!$D$17="Type 4 o",MAX(SA,105%*Q155)+V155+X155,IF('Pre-Calculation'!$D$17="Type 5",0)))))))))))))*IF(AND(A155&lt;Revival!$C$4,C155&gt;=Revival!$D$12),PUP,1)</f>
        <v>2020775.355</v>
      </c>
      <c r="L155" s="175">
        <f>H155-I155*(1+Tax)</f>
        <v>2020775.355</v>
      </c>
      <c r="M155" s="175">
        <f>L155*(1+'Pre-Calculation'!$E$28)*(1-'Pre-Calculation'!$E$29*(1+Tax))</f>
        <v>2029755.618</v>
      </c>
      <c r="N155" s="175">
        <f>M155+IF(MOD(A155,B155)=0,VLOOKUP(B155,'Pre-Calculation'!$H$1:$L$31,5,FALSE),0)*IF('Pre-Calculation'!$D$16="% OF FV",M155,IF(OR('Pre-Calculation'!$D$16="% OF AFV(24M)",'Pre-Calculation'!$D$16="% OF AFV(8Q)"),AVERAGE( $M132:$M155),IF('Pre-Calculation'!$D$16="% OF AFV(12M)",AVERAGE($M144:M155),IF('Pre-Calculation'!$D$16="% OF AFV(36M)",AVERAGE($M120:M155)))))</f>
        <v>2029755.618</v>
      </c>
      <c r="O155" s="175">
        <f t="shared" si="4"/>
        <v>2029755.618</v>
      </c>
      <c r="P155" s="175">
        <f>IF('Pre-Calculation'!$D$17="Type 4 a",MAX(SA,N155,1.05*Q155),IF('Pre-Calculation'!$D$17="Type 4 c",N155,IF('Pre-Calculation'!$D$17="Type 4 d",SA+N155,IF('Pre-Calculation'!$D$17="Type 4 e",MAX(SA,N155),IF('Pre-Calculation'!$D$17="Type 4 f",SA,IF('Pre-Calculation'!$D$17="Type 4 g",1000+N155,IF('Pre-Calculation'!$D$17="Type 4 h",SA+V155,IF('Pre-Calculation'!$D$17="Type 4 i",MAX(N155,Q155),IF('Pre-Calculation'!$D$17="Type 4 k",MAX(N155,1.01*Q155),IF('Pre-Calculation'!$D$17="Type 4 m",MAX(105%*Q155,SA+N155),IF('Pre-Calculation'!$D$17="Type 4 o",MAX(SA,105%*Q155)+V155+X155,IF('Pre-Calculation'!$D$17="Type 5",0))))))))))))</f>
        <v>2029755.618</v>
      </c>
      <c r="Q155" s="175">
        <f t="shared" si="5"/>
        <v>1000000</v>
      </c>
      <c r="R155" s="119">
        <f>L155*(1+GROWTH_RATE)*FMC</f>
        <v>2286.754969</v>
      </c>
      <c r="S155" s="112"/>
      <c r="T155" s="175">
        <f>-E155+IF(A154=INPUT!$C$11*12,N155,0)</f>
        <v>0</v>
      </c>
      <c r="U155" s="112"/>
      <c r="V155" s="179">
        <f t="array" ref="V155">NPV('Pre-Calculation'!$E$20,$E156:E$246)</f>
        <v>0</v>
      </c>
      <c r="W155" s="171">
        <f>10%*SA</f>
        <v>100000</v>
      </c>
      <c r="X155" s="179">
        <f t="array" ref="X155">NPV('Pre-Calculation'!$E$20,W156:W165)</f>
        <v>969592.8037</v>
      </c>
      <c r="Y155" s="12"/>
      <c r="Z155" s="12"/>
    </row>
    <row r="156" ht="15.75" customHeight="1">
      <c r="A156" s="171">
        <f t="shared" si="1"/>
        <v>210</v>
      </c>
      <c r="B156" s="171">
        <f t="shared" si="2"/>
        <v>18</v>
      </c>
      <c r="C156" s="176">
        <f>EDATE(RCD,A155)</f>
        <v>48913</v>
      </c>
      <c r="D156" s="171">
        <f>Age_At_Entry+'Cashflows_Bond Fund'!B156-1</f>
        <v>52</v>
      </c>
      <c r="E156" s="175">
        <f>IF(AND(C156&lt;=Last_Prem,MOD(A155,Mode)=0,C156&gt;INPUT!$C$13,A156&lt;=Revival!$C$11),Mod_Prem,0)</f>
        <v>0</v>
      </c>
      <c r="F156" s="177">
        <f>E156*VLOOKUP(B156,'Pre-Calculation'!$H$1:$I$31,2,FALSE)</f>
        <v>0</v>
      </c>
      <c r="G156" s="177">
        <f>IF(B156&lt;PT+1,VLOOKUP(B156,'Pre-Calculation'!$H$1:$L$32,3,FALSE)+VLOOKUP(B156,'Pre-Calculation'!$H$1:$L$32,4,FALSE)*'Pre-Calculation'!$D$7,0)</f>
        <v>0</v>
      </c>
      <c r="H156" s="175">
        <f>(E156-(F156+G156)*(1+Tax)+N155)</f>
        <v>2029755.618</v>
      </c>
      <c r="I156" s="175">
        <f>IF(B156&lt;PT+1,VLOOKUP(D156,'Pre-Calculation'!$N$3:$P$79,IF(INPUT!$C$4="M",2,3),FALSE)*(J156/1000)*(1/12),0)</f>
        <v>0</v>
      </c>
      <c r="J156" s="175">
        <f t="shared" si="3"/>
        <v>0</v>
      </c>
      <c r="K156" s="175">
        <f>(IF('Pre-Calculation'!$D$17="Type 4 a",MAX(SA,H156,1.05*Q156),IF('Pre-Calculation'!$D$17="Type 4 c",H156,IF('Pre-Calculation'!$D$17="Type 4 d",SA+H156,IF('Pre-Calculation'!$D$17="Type 4 e",MAX(SA,H156),IF('Pre-Calculation'!$D$17="Type 4 f",SA,IF('Pre-Calculation'!$D$17="Type 4 g",1000+H156,IF('Pre-Calculation'!$D$17="Type 4 h",SA+V156,IF('Pre-Calculation'!$D$17="Type 4 i",MAX(H156,Q156),IF('Pre-Calculation'!$D$17="Type 4 k",MAX(H156,1.01*Q156),IF('Pre-Calculation'!$D$17="Type 4 m",MAX(105%*Q156,SA+H156),IF('Pre-Calculation'!$D$17="Type 4 o",MAX(SA,105%*Q156)+V156+X156,IF('Pre-Calculation'!$D$17="Type 5",0)))))))))))))*IF(AND(A156&lt;Revival!$C$4,C156&gt;=Revival!$D$12),PUP,1)</f>
        <v>2029755.618</v>
      </c>
      <c r="L156" s="175">
        <f>H156-I156*(1+Tax)</f>
        <v>2029755.618</v>
      </c>
      <c r="M156" s="175">
        <f>L156*(1+'Pre-Calculation'!$E$28)*(1-'Pre-Calculation'!$E$29*(1+Tax))</f>
        <v>2038775.788</v>
      </c>
      <c r="N156" s="175">
        <f>M156+IF(MOD(A156,B156)=0,VLOOKUP(B156,'Pre-Calculation'!$H$1:$L$31,5,FALSE),0)*IF('Pre-Calculation'!$D$16="% OF FV",M156,IF(OR('Pre-Calculation'!$D$16="% OF AFV(24M)",'Pre-Calculation'!$D$16="% OF AFV(8Q)"),AVERAGE( $M133:$M156),IF('Pre-Calculation'!$D$16="% OF AFV(12M)",AVERAGE($M145:M156),IF('Pre-Calculation'!$D$16="% OF AFV(36M)",AVERAGE($M121:M156)))))</f>
        <v>2038775.788</v>
      </c>
      <c r="O156" s="175">
        <f t="shared" si="4"/>
        <v>2038775.788</v>
      </c>
      <c r="P156" s="175">
        <f>IF('Pre-Calculation'!$D$17="Type 4 a",MAX(SA,N156,1.05*Q156),IF('Pre-Calculation'!$D$17="Type 4 c",N156,IF('Pre-Calculation'!$D$17="Type 4 d",SA+N156,IF('Pre-Calculation'!$D$17="Type 4 e",MAX(SA,N156),IF('Pre-Calculation'!$D$17="Type 4 f",SA,IF('Pre-Calculation'!$D$17="Type 4 g",1000+N156,IF('Pre-Calculation'!$D$17="Type 4 h",SA+V156,IF('Pre-Calculation'!$D$17="Type 4 i",MAX(N156,Q156),IF('Pre-Calculation'!$D$17="Type 4 k",MAX(N156,1.01*Q156),IF('Pre-Calculation'!$D$17="Type 4 m",MAX(105%*Q156,SA+N156),IF('Pre-Calculation'!$D$17="Type 4 o",MAX(SA,105%*Q156)+V156+X156,IF('Pre-Calculation'!$D$17="Type 5",0))))))))))))</f>
        <v>2038775.788</v>
      </c>
      <c r="Q156" s="175">
        <f t="shared" si="5"/>
        <v>1000000</v>
      </c>
      <c r="R156" s="119">
        <f>L156*(1+GROWTH_RATE)*FMC</f>
        <v>2296.917237</v>
      </c>
      <c r="S156" s="112"/>
      <c r="T156" s="175">
        <f>-E156+IF(A155=INPUT!$C$11*12,N156,0)</f>
        <v>0</v>
      </c>
      <c r="U156" s="112"/>
      <c r="V156" s="179">
        <f t="array" ref="V156">NPV('Pre-Calculation'!$E$20,$E157:E$246)</f>
        <v>0</v>
      </c>
      <c r="W156" s="171">
        <f>10%*SA</f>
        <v>100000</v>
      </c>
      <c r="X156" s="179">
        <f t="array" ref="X156">NPV('Pre-Calculation'!$E$20,W157:W166)</f>
        <v>969592.8037</v>
      </c>
      <c r="Y156" s="12"/>
      <c r="Z156" s="12"/>
    </row>
    <row r="157" ht="15.75" customHeight="1">
      <c r="A157" s="171">
        <f t="shared" si="1"/>
        <v>211</v>
      </c>
      <c r="B157" s="171">
        <f t="shared" si="2"/>
        <v>18</v>
      </c>
      <c r="C157" s="176">
        <f>EDATE(RCD,A156)</f>
        <v>48943</v>
      </c>
      <c r="D157" s="171">
        <f>Age_At_Entry+'Cashflows_Bond Fund'!B157-1</f>
        <v>52</v>
      </c>
      <c r="E157" s="175">
        <f>IF(AND(C157&lt;=Last_Prem,MOD(A156,Mode)=0,C157&gt;INPUT!$C$13,A157&lt;=Revival!$C$11),Mod_Prem,0)</f>
        <v>0</v>
      </c>
      <c r="F157" s="177">
        <f>E157*VLOOKUP(B157,'Pre-Calculation'!$H$1:$I$31,2,FALSE)</f>
        <v>0</v>
      </c>
      <c r="G157" s="177">
        <f>IF(B157&lt;PT+1,VLOOKUP(B157,'Pre-Calculation'!$H$1:$L$32,3,FALSE)+VLOOKUP(B157,'Pre-Calculation'!$H$1:$L$32,4,FALSE)*'Pre-Calculation'!$D$7,0)</f>
        <v>0</v>
      </c>
      <c r="H157" s="175">
        <f>(E157-(F157+G157)*(1+Tax)+N156)</f>
        <v>2038775.788</v>
      </c>
      <c r="I157" s="175">
        <f>IF(B157&lt;PT+1,VLOOKUP(D157,'Pre-Calculation'!$N$3:$P$79,IF(INPUT!$C$4="M",2,3),FALSE)*(J157/1000)*(1/12),0)</f>
        <v>0</v>
      </c>
      <c r="J157" s="175">
        <f t="shared" si="3"/>
        <v>0</v>
      </c>
      <c r="K157" s="175">
        <f>(IF('Pre-Calculation'!$D$17="Type 4 a",MAX(SA,H157,1.05*Q157),IF('Pre-Calculation'!$D$17="Type 4 c",H157,IF('Pre-Calculation'!$D$17="Type 4 d",SA+H157,IF('Pre-Calculation'!$D$17="Type 4 e",MAX(SA,H157),IF('Pre-Calculation'!$D$17="Type 4 f",SA,IF('Pre-Calculation'!$D$17="Type 4 g",1000+H157,IF('Pre-Calculation'!$D$17="Type 4 h",SA+V157,IF('Pre-Calculation'!$D$17="Type 4 i",MAX(H157,Q157),IF('Pre-Calculation'!$D$17="Type 4 k",MAX(H157,1.01*Q157),IF('Pre-Calculation'!$D$17="Type 4 m",MAX(105%*Q157,SA+H157),IF('Pre-Calculation'!$D$17="Type 4 o",MAX(SA,105%*Q157)+V157+X157,IF('Pre-Calculation'!$D$17="Type 5",0)))))))))))))*IF(AND(A157&lt;Revival!$C$4,C157&gt;=Revival!$D$12),PUP,1)</f>
        <v>2038775.788</v>
      </c>
      <c r="L157" s="175">
        <f>H157-I157*(1+Tax)</f>
        <v>2038775.788</v>
      </c>
      <c r="M157" s="175">
        <f>L157*(1+'Pre-Calculation'!$E$28)*(1-'Pre-Calculation'!$E$29*(1+Tax))</f>
        <v>2047836.044</v>
      </c>
      <c r="N157" s="175">
        <f>M157+IF(MOD(A157,B157)=0,VLOOKUP(B157,'Pre-Calculation'!$H$1:$L$31,5,FALSE),0)*IF('Pre-Calculation'!$D$16="% OF FV",M157,IF(OR('Pre-Calculation'!$D$16="% OF AFV(24M)",'Pre-Calculation'!$D$16="% OF AFV(8Q)"),AVERAGE( $M134:$M157),IF('Pre-Calculation'!$D$16="% OF AFV(12M)",AVERAGE($M146:M157),IF('Pre-Calculation'!$D$16="% OF AFV(36M)",AVERAGE($M122:M157)))))</f>
        <v>2047836.044</v>
      </c>
      <c r="O157" s="175">
        <f t="shared" si="4"/>
        <v>2047836.044</v>
      </c>
      <c r="P157" s="175">
        <f>IF('Pre-Calculation'!$D$17="Type 4 a",MAX(SA,N157,1.05*Q157),IF('Pre-Calculation'!$D$17="Type 4 c",N157,IF('Pre-Calculation'!$D$17="Type 4 d",SA+N157,IF('Pre-Calculation'!$D$17="Type 4 e",MAX(SA,N157),IF('Pre-Calculation'!$D$17="Type 4 f",SA,IF('Pre-Calculation'!$D$17="Type 4 g",1000+N157,IF('Pre-Calculation'!$D$17="Type 4 h",SA+V157,IF('Pre-Calculation'!$D$17="Type 4 i",MAX(N157,Q157),IF('Pre-Calculation'!$D$17="Type 4 k",MAX(N157,1.01*Q157),IF('Pre-Calculation'!$D$17="Type 4 m",MAX(105%*Q157,SA+N157),IF('Pre-Calculation'!$D$17="Type 4 o",MAX(SA,105%*Q157)+V157+X157,IF('Pre-Calculation'!$D$17="Type 5",0))))))))))))</f>
        <v>2047836.044</v>
      </c>
      <c r="Q157" s="175">
        <f t="shared" si="5"/>
        <v>1000000</v>
      </c>
      <c r="R157" s="119">
        <f>L157*(1+GROWTH_RATE)*FMC</f>
        <v>2307.124665</v>
      </c>
      <c r="S157" s="112"/>
      <c r="T157" s="175">
        <f>-E157+IF(A156=INPUT!$C$11*12,N157,0)</f>
        <v>0</v>
      </c>
      <c r="U157" s="112"/>
      <c r="V157" s="179">
        <f t="array" ref="V157">NPV('Pre-Calculation'!$E$20,$E158:E$246)</f>
        <v>0</v>
      </c>
      <c r="W157" s="171">
        <f>10%*SA</f>
        <v>100000</v>
      </c>
      <c r="X157" s="179">
        <f t="array" ref="X157">NPV('Pre-Calculation'!$E$20,W158:W167)</f>
        <v>969592.8037</v>
      </c>
      <c r="Y157" s="12"/>
      <c r="Z157" s="12"/>
    </row>
    <row r="158" ht="15.75" customHeight="1">
      <c r="A158" s="171">
        <f t="shared" si="1"/>
        <v>212</v>
      </c>
      <c r="B158" s="171">
        <f t="shared" si="2"/>
        <v>18</v>
      </c>
      <c r="C158" s="176">
        <f>EDATE(RCD,A157)</f>
        <v>48974</v>
      </c>
      <c r="D158" s="171">
        <f>Age_At_Entry+'Cashflows_Bond Fund'!B158-1</f>
        <v>52</v>
      </c>
      <c r="E158" s="175">
        <f>IF(AND(C158&lt;=Last_Prem,MOD(A157,Mode)=0,C158&gt;INPUT!$C$13,A158&lt;=Revival!$C$11),Mod_Prem,0)</f>
        <v>0</v>
      </c>
      <c r="F158" s="177">
        <f>E158*VLOOKUP(B158,'Pre-Calculation'!$H$1:$I$31,2,FALSE)</f>
        <v>0</v>
      </c>
      <c r="G158" s="177">
        <f>IF(B158&lt;PT+1,VLOOKUP(B158,'Pre-Calculation'!$H$1:$L$32,3,FALSE)+VLOOKUP(B158,'Pre-Calculation'!$H$1:$L$32,4,FALSE)*'Pre-Calculation'!$D$7,0)</f>
        <v>0</v>
      </c>
      <c r="H158" s="175">
        <f>(E158-(F158+G158)*(1+Tax)+N157)</f>
        <v>2047836.044</v>
      </c>
      <c r="I158" s="175">
        <f>IF(B158&lt;PT+1,VLOOKUP(D158,'Pre-Calculation'!$N$3:$P$79,IF(INPUT!$C$4="M",2,3),FALSE)*(J158/1000)*(1/12),0)</f>
        <v>0</v>
      </c>
      <c r="J158" s="175">
        <f t="shared" si="3"/>
        <v>0</v>
      </c>
      <c r="K158" s="175">
        <f>(IF('Pre-Calculation'!$D$17="Type 4 a",MAX(SA,H158,1.05*Q158),IF('Pre-Calculation'!$D$17="Type 4 c",H158,IF('Pre-Calculation'!$D$17="Type 4 d",SA+H158,IF('Pre-Calculation'!$D$17="Type 4 e",MAX(SA,H158),IF('Pre-Calculation'!$D$17="Type 4 f",SA,IF('Pre-Calculation'!$D$17="Type 4 g",1000+H158,IF('Pre-Calculation'!$D$17="Type 4 h",SA+V158,IF('Pre-Calculation'!$D$17="Type 4 i",MAX(H158,Q158),IF('Pre-Calculation'!$D$17="Type 4 k",MAX(H158,1.01*Q158),IF('Pre-Calculation'!$D$17="Type 4 m",MAX(105%*Q158,SA+H158),IF('Pre-Calculation'!$D$17="Type 4 o",MAX(SA,105%*Q158)+V158+X158,IF('Pre-Calculation'!$D$17="Type 5",0)))))))))))))*IF(AND(A158&lt;Revival!$C$4,C158&gt;=Revival!$D$12),PUP,1)</f>
        <v>2047836.044</v>
      </c>
      <c r="L158" s="175">
        <f>H158-I158*(1+Tax)</f>
        <v>2047836.044</v>
      </c>
      <c r="M158" s="175">
        <f>L158*(1+'Pre-Calculation'!$E$28)*(1-'Pre-Calculation'!$E$29*(1+Tax))</f>
        <v>2056936.563</v>
      </c>
      <c r="N158" s="175">
        <f>M158+IF(MOD(A158,B158)=0,VLOOKUP(B158,'Pre-Calculation'!$H$1:$L$31,5,FALSE),0)*IF('Pre-Calculation'!$D$16="% OF FV",M158,IF(OR('Pre-Calculation'!$D$16="% OF AFV(24M)",'Pre-Calculation'!$D$16="% OF AFV(8Q)"),AVERAGE( $M135:$M158),IF('Pre-Calculation'!$D$16="% OF AFV(12M)",AVERAGE($M147:M158),IF('Pre-Calculation'!$D$16="% OF AFV(36M)",AVERAGE($M123:M158)))))</f>
        <v>2056936.563</v>
      </c>
      <c r="O158" s="175">
        <f t="shared" si="4"/>
        <v>2056936.563</v>
      </c>
      <c r="P158" s="175">
        <f>IF('Pre-Calculation'!$D$17="Type 4 a",MAX(SA,N158,1.05*Q158),IF('Pre-Calculation'!$D$17="Type 4 c",N158,IF('Pre-Calculation'!$D$17="Type 4 d",SA+N158,IF('Pre-Calculation'!$D$17="Type 4 e",MAX(SA,N158),IF('Pre-Calculation'!$D$17="Type 4 f",SA,IF('Pre-Calculation'!$D$17="Type 4 g",1000+N158,IF('Pre-Calculation'!$D$17="Type 4 h",SA+V158,IF('Pre-Calculation'!$D$17="Type 4 i",MAX(N158,Q158),IF('Pre-Calculation'!$D$17="Type 4 k",MAX(N158,1.01*Q158),IF('Pre-Calculation'!$D$17="Type 4 m",MAX(105%*Q158,SA+N158),IF('Pre-Calculation'!$D$17="Type 4 o",MAX(SA,105%*Q158)+V158+X158,IF('Pre-Calculation'!$D$17="Type 5",0))))))))))))</f>
        <v>2056936.563</v>
      </c>
      <c r="Q158" s="175">
        <f t="shared" si="5"/>
        <v>1000000</v>
      </c>
      <c r="R158" s="119">
        <f>L158*(1+GROWTH_RATE)*FMC</f>
        <v>2317.377455</v>
      </c>
      <c r="S158" s="112"/>
      <c r="T158" s="175">
        <f>-E158+IF(A157=INPUT!$C$11*12,N158,0)</f>
        <v>0</v>
      </c>
      <c r="U158" s="112"/>
      <c r="V158" s="179">
        <f t="array" ref="V158">NPV('Pre-Calculation'!$E$20,$E159:E$246)</f>
        <v>0</v>
      </c>
      <c r="W158" s="171">
        <f>10%*SA</f>
        <v>100000</v>
      </c>
      <c r="X158" s="179">
        <f t="array" ref="X158">NPV('Pre-Calculation'!$E$20,W159:W168)</f>
        <v>969592.8037</v>
      </c>
      <c r="Y158" s="12"/>
      <c r="Z158" s="12"/>
    </row>
    <row r="159" ht="15.75" customHeight="1">
      <c r="A159" s="171">
        <f t="shared" si="1"/>
        <v>213</v>
      </c>
      <c r="B159" s="171">
        <f t="shared" si="2"/>
        <v>18</v>
      </c>
      <c r="C159" s="176">
        <f>EDATE(RCD,A158)</f>
        <v>49003</v>
      </c>
      <c r="D159" s="171">
        <f>Age_At_Entry+'Cashflows_Bond Fund'!B159-1</f>
        <v>52</v>
      </c>
      <c r="E159" s="175">
        <f>IF(AND(C159&lt;=Last_Prem,MOD(A158,Mode)=0,C159&gt;INPUT!$C$13,A159&lt;=Revival!$C$11),Mod_Prem,0)</f>
        <v>0</v>
      </c>
      <c r="F159" s="177">
        <f>E159*VLOOKUP(B159,'Pre-Calculation'!$H$1:$I$31,2,FALSE)</f>
        <v>0</v>
      </c>
      <c r="G159" s="177">
        <f>IF(B159&lt;PT+1,VLOOKUP(B159,'Pre-Calculation'!$H$1:$L$32,3,FALSE)+VLOOKUP(B159,'Pre-Calculation'!$H$1:$L$32,4,FALSE)*'Pre-Calculation'!$D$7,0)</f>
        <v>0</v>
      </c>
      <c r="H159" s="175">
        <f>(E159-(F159+G159)*(1+Tax)+N158)</f>
        <v>2056936.563</v>
      </c>
      <c r="I159" s="175">
        <f>IF(B159&lt;PT+1,VLOOKUP(D159,'Pre-Calculation'!$N$3:$P$79,IF(INPUT!$C$4="M",2,3),FALSE)*(J159/1000)*(1/12),0)</f>
        <v>0</v>
      </c>
      <c r="J159" s="175">
        <f t="shared" si="3"/>
        <v>0</v>
      </c>
      <c r="K159" s="175">
        <f>(IF('Pre-Calculation'!$D$17="Type 4 a",MAX(SA,H159,1.05*Q159),IF('Pre-Calculation'!$D$17="Type 4 c",H159,IF('Pre-Calculation'!$D$17="Type 4 d",SA+H159,IF('Pre-Calculation'!$D$17="Type 4 e",MAX(SA,H159),IF('Pre-Calculation'!$D$17="Type 4 f",SA,IF('Pre-Calculation'!$D$17="Type 4 g",1000+H159,IF('Pre-Calculation'!$D$17="Type 4 h",SA+V159,IF('Pre-Calculation'!$D$17="Type 4 i",MAX(H159,Q159),IF('Pre-Calculation'!$D$17="Type 4 k",MAX(H159,1.01*Q159),IF('Pre-Calculation'!$D$17="Type 4 m",MAX(105%*Q159,SA+H159),IF('Pre-Calculation'!$D$17="Type 4 o",MAX(SA,105%*Q159)+V159+X159,IF('Pre-Calculation'!$D$17="Type 5",0)))))))))))))*IF(AND(A159&lt;Revival!$C$4,C159&gt;=Revival!$D$12),PUP,1)</f>
        <v>2056936.563</v>
      </c>
      <c r="L159" s="175">
        <f>H159-I159*(1+Tax)</f>
        <v>2056936.563</v>
      </c>
      <c r="M159" s="175">
        <f>L159*(1+'Pre-Calculation'!$E$28)*(1-'Pre-Calculation'!$E$29*(1+Tax))</f>
        <v>2066077.525</v>
      </c>
      <c r="N159" s="175">
        <f>M159+IF(MOD(A159,B159)=0,VLOOKUP(B159,'Pre-Calculation'!$H$1:$L$31,5,FALSE),0)*IF('Pre-Calculation'!$D$16="% OF FV",M159,IF(OR('Pre-Calculation'!$D$16="% OF AFV(24M)",'Pre-Calculation'!$D$16="% OF AFV(8Q)"),AVERAGE( $M136:$M159),IF('Pre-Calculation'!$D$16="% OF AFV(12M)",AVERAGE($M148:M159),IF('Pre-Calculation'!$D$16="% OF AFV(36M)",AVERAGE($M124:M159)))))</f>
        <v>2066077.525</v>
      </c>
      <c r="O159" s="175">
        <f t="shared" si="4"/>
        <v>2066077.525</v>
      </c>
      <c r="P159" s="175">
        <f>IF('Pre-Calculation'!$D$17="Type 4 a",MAX(SA,N159,1.05*Q159),IF('Pre-Calculation'!$D$17="Type 4 c",N159,IF('Pre-Calculation'!$D$17="Type 4 d",SA+N159,IF('Pre-Calculation'!$D$17="Type 4 e",MAX(SA,N159),IF('Pre-Calculation'!$D$17="Type 4 f",SA,IF('Pre-Calculation'!$D$17="Type 4 g",1000+N159,IF('Pre-Calculation'!$D$17="Type 4 h",SA+V159,IF('Pre-Calculation'!$D$17="Type 4 i",MAX(N159,Q159),IF('Pre-Calculation'!$D$17="Type 4 k",MAX(N159,1.01*Q159),IF('Pre-Calculation'!$D$17="Type 4 m",MAX(105%*Q159,SA+N159),IF('Pre-Calculation'!$D$17="Type 4 o",MAX(SA,105%*Q159)+V159+X159,IF('Pre-Calculation'!$D$17="Type 5",0))))))))))))</f>
        <v>2066077.525</v>
      </c>
      <c r="Q159" s="175">
        <f t="shared" si="5"/>
        <v>1000000</v>
      </c>
      <c r="R159" s="119">
        <f>L159*(1+GROWTH_RATE)*FMC</f>
        <v>2327.675808</v>
      </c>
      <c r="S159" s="112"/>
      <c r="T159" s="175">
        <f>-E159+IF(A158=INPUT!$C$11*12,N159,0)</f>
        <v>0</v>
      </c>
      <c r="U159" s="112"/>
      <c r="V159" s="179">
        <f t="array" ref="V159">NPV('Pre-Calculation'!$E$20,$E160:E$246)</f>
        <v>0</v>
      </c>
      <c r="W159" s="171">
        <f>10%*SA</f>
        <v>100000</v>
      </c>
      <c r="X159" s="179">
        <f t="array" ref="X159">NPV('Pre-Calculation'!$E$20,W160:W169)</f>
        <v>969592.8037</v>
      </c>
      <c r="Y159" s="12"/>
      <c r="Z159" s="12"/>
    </row>
    <row r="160" ht="15.75" customHeight="1">
      <c r="A160" s="171">
        <f t="shared" si="1"/>
        <v>214</v>
      </c>
      <c r="B160" s="171">
        <f t="shared" si="2"/>
        <v>18</v>
      </c>
      <c r="C160" s="176">
        <f>EDATE(RCD,A159)</f>
        <v>49033</v>
      </c>
      <c r="D160" s="171">
        <f>Age_At_Entry+'Cashflows_Bond Fund'!B160-1</f>
        <v>52</v>
      </c>
      <c r="E160" s="175">
        <f>IF(AND(C160&lt;=Last_Prem,MOD(A159,Mode)=0,C160&gt;INPUT!$C$13,A160&lt;=Revival!$C$11),Mod_Prem,0)</f>
        <v>0</v>
      </c>
      <c r="F160" s="177">
        <f>E160*VLOOKUP(B160,'Pre-Calculation'!$H$1:$I$31,2,FALSE)</f>
        <v>0</v>
      </c>
      <c r="G160" s="177">
        <f>IF(B160&lt;PT+1,VLOOKUP(B160,'Pre-Calculation'!$H$1:$L$32,3,FALSE)+VLOOKUP(B160,'Pre-Calculation'!$H$1:$L$32,4,FALSE)*'Pre-Calculation'!$D$7,0)</f>
        <v>0</v>
      </c>
      <c r="H160" s="175">
        <f>(E160-(F160+G160)*(1+Tax)+N159)</f>
        <v>2066077.525</v>
      </c>
      <c r="I160" s="175">
        <f>IF(B160&lt;PT+1,VLOOKUP(D160,'Pre-Calculation'!$N$3:$P$79,IF(INPUT!$C$4="M",2,3),FALSE)*(J160/1000)*(1/12),0)</f>
        <v>0</v>
      </c>
      <c r="J160" s="175">
        <f t="shared" si="3"/>
        <v>0</v>
      </c>
      <c r="K160" s="175">
        <f>(IF('Pre-Calculation'!$D$17="Type 4 a",MAX(SA,H160,1.05*Q160),IF('Pre-Calculation'!$D$17="Type 4 c",H160,IF('Pre-Calculation'!$D$17="Type 4 d",SA+H160,IF('Pre-Calculation'!$D$17="Type 4 e",MAX(SA,H160),IF('Pre-Calculation'!$D$17="Type 4 f",SA,IF('Pre-Calculation'!$D$17="Type 4 g",1000+H160,IF('Pre-Calculation'!$D$17="Type 4 h",SA+V160,IF('Pre-Calculation'!$D$17="Type 4 i",MAX(H160,Q160),IF('Pre-Calculation'!$D$17="Type 4 k",MAX(H160,1.01*Q160),IF('Pre-Calculation'!$D$17="Type 4 m",MAX(105%*Q160,SA+H160),IF('Pre-Calculation'!$D$17="Type 4 o",MAX(SA,105%*Q160)+V160+X160,IF('Pre-Calculation'!$D$17="Type 5",0)))))))))))))*IF(AND(A160&lt;Revival!$C$4,C160&gt;=Revival!$D$12),PUP,1)</f>
        <v>2066077.525</v>
      </c>
      <c r="L160" s="175">
        <f>H160-I160*(1+Tax)</f>
        <v>2066077.525</v>
      </c>
      <c r="M160" s="175">
        <f>L160*(1+'Pre-Calculation'!$E$28)*(1-'Pre-Calculation'!$E$29*(1+Tax))</f>
        <v>2075259.109</v>
      </c>
      <c r="N160" s="175">
        <f>M160+IF(MOD(A160,B160)=0,VLOOKUP(B160,'Pre-Calculation'!$H$1:$L$31,5,FALSE),0)*IF('Pre-Calculation'!$D$16="% OF FV",M160,IF(OR('Pre-Calculation'!$D$16="% OF AFV(24M)",'Pre-Calculation'!$D$16="% OF AFV(8Q)"),AVERAGE( $M137:$M160),IF('Pre-Calculation'!$D$16="% OF AFV(12M)",AVERAGE($M149:M160),IF('Pre-Calculation'!$D$16="% OF AFV(36M)",AVERAGE($M125:M160)))))</f>
        <v>2075259.109</v>
      </c>
      <c r="O160" s="175">
        <f t="shared" si="4"/>
        <v>2075259.109</v>
      </c>
      <c r="P160" s="175">
        <f>IF('Pre-Calculation'!$D$17="Type 4 a",MAX(SA,N160,1.05*Q160),IF('Pre-Calculation'!$D$17="Type 4 c",N160,IF('Pre-Calculation'!$D$17="Type 4 d",SA+N160,IF('Pre-Calculation'!$D$17="Type 4 e",MAX(SA,N160),IF('Pre-Calculation'!$D$17="Type 4 f",SA,IF('Pre-Calculation'!$D$17="Type 4 g",1000+N160,IF('Pre-Calculation'!$D$17="Type 4 h",SA+V160,IF('Pre-Calculation'!$D$17="Type 4 i",MAX(N160,Q160),IF('Pre-Calculation'!$D$17="Type 4 k",MAX(N160,1.01*Q160),IF('Pre-Calculation'!$D$17="Type 4 m",MAX(105%*Q160,SA+N160),IF('Pre-Calculation'!$D$17="Type 4 o",MAX(SA,105%*Q160)+V160+X160,IF('Pre-Calculation'!$D$17="Type 5",0))))))))))))</f>
        <v>2075259.109</v>
      </c>
      <c r="Q160" s="175">
        <f t="shared" si="5"/>
        <v>1000000</v>
      </c>
      <c r="R160" s="119">
        <f>L160*(1+GROWTH_RATE)*FMC</f>
        <v>2338.019926</v>
      </c>
      <c r="S160" s="112"/>
      <c r="T160" s="175">
        <f>-E160+IF(A159=INPUT!$C$11*12,N160,0)</f>
        <v>0</v>
      </c>
      <c r="U160" s="112"/>
      <c r="V160" s="179">
        <f t="array" ref="V160">NPV('Pre-Calculation'!$E$20,$E161:E$246)</f>
        <v>0</v>
      </c>
      <c r="W160" s="171">
        <f>10%*SA</f>
        <v>100000</v>
      </c>
      <c r="X160" s="179">
        <f t="array" ref="X160">NPV('Pre-Calculation'!$E$20,W161:W170)</f>
        <v>969592.8037</v>
      </c>
      <c r="Y160" s="12"/>
      <c r="Z160" s="12"/>
    </row>
    <row r="161" ht="15.75" customHeight="1">
      <c r="A161" s="171">
        <f t="shared" si="1"/>
        <v>215</v>
      </c>
      <c r="B161" s="171">
        <f t="shared" si="2"/>
        <v>18</v>
      </c>
      <c r="C161" s="176">
        <f>EDATE(RCD,A160)</f>
        <v>49064</v>
      </c>
      <c r="D161" s="171">
        <f>Age_At_Entry+'Cashflows_Bond Fund'!B161-1</f>
        <v>52</v>
      </c>
      <c r="E161" s="175">
        <f>IF(AND(C161&lt;=Last_Prem,MOD(A160,Mode)=0,C161&gt;INPUT!$C$13,A161&lt;=Revival!$C$11),Mod_Prem,0)</f>
        <v>0</v>
      </c>
      <c r="F161" s="177">
        <f>E161*VLOOKUP(B161,'Pre-Calculation'!$H$1:$I$31,2,FALSE)</f>
        <v>0</v>
      </c>
      <c r="G161" s="177">
        <f>IF(B161&lt;PT+1,VLOOKUP(B161,'Pre-Calculation'!$H$1:$L$32,3,FALSE)+VLOOKUP(B161,'Pre-Calculation'!$H$1:$L$32,4,FALSE)*'Pre-Calculation'!$D$7,0)</f>
        <v>0</v>
      </c>
      <c r="H161" s="175">
        <f>(E161-(F161+G161)*(1+Tax)+N160)</f>
        <v>2075259.109</v>
      </c>
      <c r="I161" s="175">
        <f>IF(B161&lt;PT+1,VLOOKUP(D161,'Pre-Calculation'!$N$3:$P$79,IF(INPUT!$C$4="M",2,3),FALSE)*(J161/1000)*(1/12),0)</f>
        <v>0</v>
      </c>
      <c r="J161" s="175">
        <f t="shared" si="3"/>
        <v>0</v>
      </c>
      <c r="K161" s="175">
        <f>(IF('Pre-Calculation'!$D$17="Type 4 a",MAX(SA,H161,1.05*Q161),IF('Pre-Calculation'!$D$17="Type 4 c",H161,IF('Pre-Calculation'!$D$17="Type 4 d",SA+H161,IF('Pre-Calculation'!$D$17="Type 4 e",MAX(SA,H161),IF('Pre-Calculation'!$D$17="Type 4 f",SA,IF('Pre-Calculation'!$D$17="Type 4 g",1000+H161,IF('Pre-Calculation'!$D$17="Type 4 h",SA+V161,IF('Pre-Calculation'!$D$17="Type 4 i",MAX(H161,Q161),IF('Pre-Calculation'!$D$17="Type 4 k",MAX(H161,1.01*Q161),IF('Pre-Calculation'!$D$17="Type 4 m",MAX(105%*Q161,SA+H161),IF('Pre-Calculation'!$D$17="Type 4 o",MAX(SA,105%*Q161)+V161+X161,IF('Pre-Calculation'!$D$17="Type 5",0)))))))))))))*IF(AND(A161&lt;Revival!$C$4,C161&gt;=Revival!$D$12),PUP,1)</f>
        <v>2075259.109</v>
      </c>
      <c r="L161" s="175">
        <f>H161-I161*(1+Tax)</f>
        <v>2075259.109</v>
      </c>
      <c r="M161" s="175">
        <f>L161*(1+'Pre-Calculation'!$E$28)*(1-'Pre-Calculation'!$E$29*(1+Tax))</f>
        <v>2084481.496</v>
      </c>
      <c r="N161" s="175">
        <f>M161+IF(MOD(A161,B161)=0,VLOOKUP(B161,'Pre-Calculation'!$H$1:$L$31,5,FALSE),0)*IF('Pre-Calculation'!$D$16="% OF FV",M161,IF(OR('Pre-Calculation'!$D$16="% OF AFV(24M)",'Pre-Calculation'!$D$16="% OF AFV(8Q)"),AVERAGE( $M138:$M161),IF('Pre-Calculation'!$D$16="% OF AFV(12M)",AVERAGE($M150:M161),IF('Pre-Calculation'!$D$16="% OF AFV(36M)",AVERAGE($M126:M161)))))</f>
        <v>2084481.496</v>
      </c>
      <c r="O161" s="175">
        <f t="shared" si="4"/>
        <v>2084481.496</v>
      </c>
      <c r="P161" s="175">
        <f>IF('Pre-Calculation'!$D$17="Type 4 a",MAX(SA,N161,1.05*Q161),IF('Pre-Calculation'!$D$17="Type 4 c",N161,IF('Pre-Calculation'!$D$17="Type 4 d",SA+N161,IF('Pre-Calculation'!$D$17="Type 4 e",MAX(SA,N161),IF('Pre-Calculation'!$D$17="Type 4 f",SA,IF('Pre-Calculation'!$D$17="Type 4 g",1000+N161,IF('Pre-Calculation'!$D$17="Type 4 h",SA+V161,IF('Pre-Calculation'!$D$17="Type 4 i",MAX(N161,Q161),IF('Pre-Calculation'!$D$17="Type 4 k",MAX(N161,1.01*Q161),IF('Pre-Calculation'!$D$17="Type 4 m",MAX(105%*Q161,SA+N161),IF('Pre-Calculation'!$D$17="Type 4 o",MAX(SA,105%*Q161)+V161+X161,IF('Pre-Calculation'!$D$17="Type 5",0))))))))))))</f>
        <v>2084481.496</v>
      </c>
      <c r="Q161" s="175">
        <f t="shared" si="5"/>
        <v>1000000</v>
      </c>
      <c r="R161" s="119">
        <f>L161*(1+GROWTH_RATE)*FMC</f>
        <v>2348.410014</v>
      </c>
      <c r="S161" s="112"/>
      <c r="T161" s="175">
        <f>-E161+IF(A160=INPUT!$C$11*12,N161,0)</f>
        <v>0</v>
      </c>
      <c r="U161" s="112"/>
      <c r="V161" s="179">
        <f t="array" ref="V161">NPV('Pre-Calculation'!$E$20,$E162:E$246)</f>
        <v>0</v>
      </c>
      <c r="W161" s="171">
        <f>10%*SA</f>
        <v>100000</v>
      </c>
      <c r="X161" s="179">
        <f t="array" ref="X161">NPV('Pre-Calculation'!$E$20,W162:W171)</f>
        <v>969592.8037</v>
      </c>
      <c r="Y161" s="12"/>
      <c r="Z161" s="12"/>
    </row>
    <row r="162" ht="15.75" customHeight="1">
      <c r="A162" s="171">
        <f t="shared" si="1"/>
        <v>216</v>
      </c>
      <c r="B162" s="171">
        <f t="shared" si="2"/>
        <v>18</v>
      </c>
      <c r="C162" s="176">
        <f>EDATE(RCD,A161)</f>
        <v>49094</v>
      </c>
      <c r="D162" s="171">
        <f>Age_At_Entry+'Cashflows_Bond Fund'!B162-1</f>
        <v>52</v>
      </c>
      <c r="E162" s="175">
        <f>IF(AND(C162&lt;=Last_Prem,MOD(A161,Mode)=0,C162&gt;INPUT!$C$13,A162&lt;=Revival!$C$11),Mod_Prem,0)</f>
        <v>0</v>
      </c>
      <c r="F162" s="177">
        <f>E162*VLOOKUP(B162,'Pre-Calculation'!$H$1:$I$31,2,FALSE)</f>
        <v>0</v>
      </c>
      <c r="G162" s="177">
        <f>IF(B162&lt;PT+1,VLOOKUP(B162,'Pre-Calculation'!$H$1:$L$32,3,FALSE)+VLOOKUP(B162,'Pre-Calculation'!$H$1:$L$32,4,FALSE)*'Pre-Calculation'!$D$7,0)</f>
        <v>0</v>
      </c>
      <c r="H162" s="175">
        <f>(E162-(F162+G162)*(1+Tax)+N161)</f>
        <v>2084481.496</v>
      </c>
      <c r="I162" s="175">
        <f>IF(B162&lt;PT+1,VLOOKUP(D162,'Pre-Calculation'!$N$3:$P$79,IF(INPUT!$C$4="M",2,3),FALSE)*(J162/1000)*(1/12),0)</f>
        <v>0</v>
      </c>
      <c r="J162" s="175">
        <f t="shared" si="3"/>
        <v>0</v>
      </c>
      <c r="K162" s="175">
        <f>(IF('Pre-Calculation'!$D$17="Type 4 a",MAX(SA,H162,1.05*Q162),IF('Pre-Calculation'!$D$17="Type 4 c",H162,IF('Pre-Calculation'!$D$17="Type 4 d",SA+H162,IF('Pre-Calculation'!$D$17="Type 4 e",MAX(SA,H162),IF('Pre-Calculation'!$D$17="Type 4 f",SA,IF('Pre-Calculation'!$D$17="Type 4 g",1000+H162,IF('Pre-Calculation'!$D$17="Type 4 h",SA+V162,IF('Pre-Calculation'!$D$17="Type 4 i",MAX(H162,Q162),IF('Pre-Calculation'!$D$17="Type 4 k",MAX(H162,1.01*Q162),IF('Pre-Calculation'!$D$17="Type 4 m",MAX(105%*Q162,SA+H162),IF('Pre-Calculation'!$D$17="Type 4 o",MAX(SA,105%*Q162)+V162+X162,IF('Pre-Calculation'!$D$17="Type 5",0)))))))))))))*IF(AND(A162&lt;Revival!$C$4,C162&gt;=Revival!$D$12),PUP,1)</f>
        <v>2084481.496</v>
      </c>
      <c r="L162" s="175">
        <f>H162-I162*(1+Tax)</f>
        <v>2084481.496</v>
      </c>
      <c r="M162" s="175">
        <f>L162*(1+'Pre-Calculation'!$E$28)*(1-'Pre-Calculation'!$E$29*(1+Tax))</f>
        <v>2093744.866</v>
      </c>
      <c r="N162" s="175">
        <f>M162+IF(MOD(A162,B162)=0,VLOOKUP(B162,'Pre-Calculation'!$H$1:$L$31,5,FALSE),0)*IF('Pre-Calculation'!$D$16="% OF FV",M162,IF(OR('Pre-Calculation'!$D$16="% OF AFV(24M)",'Pre-Calculation'!$D$16="% OF AFV(8Q)"),AVERAGE( $M139:$M162),IF('Pre-Calculation'!$D$16="% OF AFV(12M)",AVERAGE($M151:M162),IF('Pre-Calculation'!$D$16="% OF AFV(36M)",AVERAGE($M127:M162)))))</f>
        <v>2093744.866</v>
      </c>
      <c r="O162" s="175">
        <f t="shared" si="4"/>
        <v>2093744.866</v>
      </c>
      <c r="P162" s="175">
        <f>IF('Pre-Calculation'!$D$17="Type 4 a",MAX(SA,N162,1.05*Q162),IF('Pre-Calculation'!$D$17="Type 4 c",N162,IF('Pre-Calculation'!$D$17="Type 4 d",SA+N162,IF('Pre-Calculation'!$D$17="Type 4 e",MAX(SA,N162),IF('Pre-Calculation'!$D$17="Type 4 f",SA,IF('Pre-Calculation'!$D$17="Type 4 g",1000+N162,IF('Pre-Calculation'!$D$17="Type 4 h",SA+V162,IF('Pre-Calculation'!$D$17="Type 4 i",MAX(N162,Q162),IF('Pre-Calculation'!$D$17="Type 4 k",MAX(N162,1.01*Q162),IF('Pre-Calculation'!$D$17="Type 4 m",MAX(105%*Q162,SA+N162),IF('Pre-Calculation'!$D$17="Type 4 o",MAX(SA,105%*Q162)+V162+X162,IF('Pre-Calculation'!$D$17="Type 5",0))))))))))))</f>
        <v>2093744.866</v>
      </c>
      <c r="Q162" s="175">
        <f t="shared" si="5"/>
        <v>1000000</v>
      </c>
      <c r="R162" s="119">
        <f>L162*(1+GROWTH_RATE)*FMC</f>
        <v>2358.846274</v>
      </c>
      <c r="S162" s="112"/>
      <c r="T162" s="175">
        <f>-E162+IF(A161=INPUT!$C$11*12,N162,0)</f>
        <v>0</v>
      </c>
      <c r="U162" s="112"/>
      <c r="V162" s="179">
        <f t="array" ref="V162">NPV('Pre-Calculation'!$E$20,$E163:E$246)</f>
        <v>0</v>
      </c>
      <c r="W162" s="171">
        <f>10%*SA</f>
        <v>100000</v>
      </c>
      <c r="X162" s="179">
        <f t="array" ref="X162">NPV('Pre-Calculation'!$E$20,W163:W172)</f>
        <v>969592.8037</v>
      </c>
      <c r="Y162" s="12"/>
      <c r="Z162" s="12"/>
    </row>
    <row r="163" ht="15.75" customHeight="1">
      <c r="A163" s="171">
        <f t="shared" si="1"/>
        <v>217</v>
      </c>
      <c r="B163" s="171">
        <f t="shared" si="2"/>
        <v>19</v>
      </c>
      <c r="C163" s="176">
        <f>EDATE(RCD,A162)</f>
        <v>49125</v>
      </c>
      <c r="D163" s="171">
        <f>Age_At_Entry+'Cashflows_Bond Fund'!B163-1</f>
        <v>53</v>
      </c>
      <c r="E163" s="175">
        <f>IF(AND(C163&lt;=Last_Prem,MOD(A162,Mode)=0,C163&gt;INPUT!$C$13,A163&lt;=Revival!$C$11),Mod_Prem,0)</f>
        <v>0</v>
      </c>
      <c r="F163" s="177">
        <f>E163*VLOOKUP(B163,'Pre-Calculation'!$H$1:$I$31,2,FALSE)</f>
        <v>0</v>
      </c>
      <c r="G163" s="177">
        <f>IF(B163&lt;PT+1,VLOOKUP(B163,'Pre-Calculation'!$H$1:$L$32,3,FALSE)+VLOOKUP(B163,'Pre-Calculation'!$H$1:$L$32,4,FALSE)*'Pre-Calculation'!$D$7,0)</f>
        <v>0</v>
      </c>
      <c r="H163" s="175">
        <f>(E163-(F163+G163)*(1+Tax)+N162)</f>
        <v>2093744.866</v>
      </c>
      <c r="I163" s="175">
        <f>IF(B163&lt;PT+1,VLOOKUP(D163,'Pre-Calculation'!$N$3:$P$79,IF(INPUT!$C$4="M",2,3),FALSE)*(J163/1000)*(1/12),0)</f>
        <v>0</v>
      </c>
      <c r="J163" s="175">
        <f t="shared" si="3"/>
        <v>0</v>
      </c>
      <c r="K163" s="175">
        <f>(IF('Pre-Calculation'!$D$17="Type 4 a",MAX(SA,H163,1.05*Q163),IF('Pre-Calculation'!$D$17="Type 4 c",H163,IF('Pre-Calculation'!$D$17="Type 4 d",SA+H163,IF('Pre-Calculation'!$D$17="Type 4 e",MAX(SA,H163),IF('Pre-Calculation'!$D$17="Type 4 f",SA,IF('Pre-Calculation'!$D$17="Type 4 g",1000+H163,IF('Pre-Calculation'!$D$17="Type 4 h",SA+V163,IF('Pre-Calculation'!$D$17="Type 4 i",MAX(H163,Q163),IF('Pre-Calculation'!$D$17="Type 4 k",MAX(H163,1.01*Q163),IF('Pre-Calculation'!$D$17="Type 4 m",MAX(105%*Q163,SA+H163),IF('Pre-Calculation'!$D$17="Type 4 o",MAX(SA,105%*Q163)+V163+X163,IF('Pre-Calculation'!$D$17="Type 5",0)))))))))))))*IF(AND(A163&lt;Revival!$C$4,C163&gt;=Revival!$D$12),PUP,1)</f>
        <v>2093744.866</v>
      </c>
      <c r="L163" s="175">
        <f>H163-I163*(1+Tax)</f>
        <v>2093744.866</v>
      </c>
      <c r="M163" s="175">
        <f>L163*(1+'Pre-Calculation'!$E$28)*(1-'Pre-Calculation'!$E$29*(1+Tax))</f>
        <v>2103049.403</v>
      </c>
      <c r="N163" s="175">
        <f>M163+IF(MOD(A163,B163)=0,VLOOKUP(B163,'Pre-Calculation'!$H$1:$L$31,5,FALSE),0)*IF('Pre-Calculation'!$D$16="% OF FV",M163,IF(OR('Pre-Calculation'!$D$16="% OF AFV(24M)",'Pre-Calculation'!$D$16="% OF AFV(8Q)"),AVERAGE( $M140:$M163),IF('Pre-Calculation'!$D$16="% OF AFV(12M)",AVERAGE($M152:M163),IF('Pre-Calculation'!$D$16="% OF AFV(36M)",AVERAGE($M128:M163)))))</f>
        <v>2103049.403</v>
      </c>
      <c r="O163" s="175">
        <f t="shared" si="4"/>
        <v>2103049.403</v>
      </c>
      <c r="P163" s="175">
        <f>IF('Pre-Calculation'!$D$17="Type 4 a",MAX(SA,N163,1.05*Q163),IF('Pre-Calculation'!$D$17="Type 4 c",N163,IF('Pre-Calculation'!$D$17="Type 4 d",SA+N163,IF('Pre-Calculation'!$D$17="Type 4 e",MAX(SA,N163),IF('Pre-Calculation'!$D$17="Type 4 f",SA,IF('Pre-Calculation'!$D$17="Type 4 g",1000+N163,IF('Pre-Calculation'!$D$17="Type 4 h",SA+V163,IF('Pre-Calculation'!$D$17="Type 4 i",MAX(N163,Q163),IF('Pre-Calculation'!$D$17="Type 4 k",MAX(N163,1.01*Q163),IF('Pre-Calculation'!$D$17="Type 4 m",MAX(105%*Q163,SA+N163),IF('Pre-Calculation'!$D$17="Type 4 o",MAX(SA,105%*Q163)+V163+X163,IF('Pre-Calculation'!$D$17="Type 5",0))))))))))))</f>
        <v>2103049.403</v>
      </c>
      <c r="Q163" s="175">
        <f t="shared" si="5"/>
        <v>1000000</v>
      </c>
      <c r="R163" s="119">
        <f>L163*(1+GROWTH_RATE)*FMC</f>
        <v>2369.328914</v>
      </c>
      <c r="S163" s="112"/>
      <c r="T163" s="175">
        <f>-E163+IF(A162=INPUT!$C$11*12,N163,0)</f>
        <v>0</v>
      </c>
      <c r="U163" s="112"/>
      <c r="V163" s="179">
        <f t="array" ref="V163">NPV('Pre-Calculation'!$E$20,$E164:E$246)</f>
        <v>0</v>
      </c>
      <c r="W163" s="171">
        <f>10%*SA</f>
        <v>100000</v>
      </c>
      <c r="X163" s="179">
        <f t="array" ref="X163">NPV('Pre-Calculation'!$E$20,W164:W173)</f>
        <v>969592.8037</v>
      </c>
      <c r="Y163" s="12"/>
      <c r="Z163" s="12"/>
    </row>
    <row r="164" ht="15.75" customHeight="1">
      <c r="A164" s="171">
        <f t="shared" si="1"/>
        <v>218</v>
      </c>
      <c r="B164" s="171">
        <f t="shared" si="2"/>
        <v>19</v>
      </c>
      <c r="C164" s="176">
        <f>EDATE(RCD,A163)</f>
        <v>49155</v>
      </c>
      <c r="D164" s="171">
        <f>Age_At_Entry+'Cashflows_Bond Fund'!B164-1</f>
        <v>53</v>
      </c>
      <c r="E164" s="175">
        <f>IF(AND(C164&lt;=Last_Prem,MOD(A163,Mode)=0,C164&gt;INPUT!$C$13,A164&lt;=Revival!$C$11),Mod_Prem,0)</f>
        <v>0</v>
      </c>
      <c r="F164" s="177">
        <f>E164*VLOOKUP(B164,'Pre-Calculation'!$H$1:$I$31,2,FALSE)</f>
        <v>0</v>
      </c>
      <c r="G164" s="177">
        <f>IF(B164&lt;PT+1,VLOOKUP(B164,'Pre-Calculation'!$H$1:$L$32,3,FALSE)+VLOOKUP(B164,'Pre-Calculation'!$H$1:$L$32,4,FALSE)*'Pre-Calculation'!$D$7,0)</f>
        <v>0</v>
      </c>
      <c r="H164" s="175">
        <f>(E164-(F164+G164)*(1+Tax)+N163)</f>
        <v>2103049.403</v>
      </c>
      <c r="I164" s="175">
        <f>IF(B164&lt;PT+1,VLOOKUP(D164,'Pre-Calculation'!$N$3:$P$79,IF(INPUT!$C$4="M",2,3),FALSE)*(J164/1000)*(1/12),0)</f>
        <v>0</v>
      </c>
      <c r="J164" s="175">
        <f t="shared" si="3"/>
        <v>0</v>
      </c>
      <c r="K164" s="175">
        <f>(IF('Pre-Calculation'!$D$17="Type 4 a",MAX(SA,H164,1.05*Q164),IF('Pre-Calculation'!$D$17="Type 4 c",H164,IF('Pre-Calculation'!$D$17="Type 4 d",SA+H164,IF('Pre-Calculation'!$D$17="Type 4 e",MAX(SA,H164),IF('Pre-Calculation'!$D$17="Type 4 f",SA,IF('Pre-Calculation'!$D$17="Type 4 g",1000+H164,IF('Pre-Calculation'!$D$17="Type 4 h",SA+V164,IF('Pre-Calculation'!$D$17="Type 4 i",MAX(H164,Q164),IF('Pre-Calculation'!$D$17="Type 4 k",MAX(H164,1.01*Q164),IF('Pre-Calculation'!$D$17="Type 4 m",MAX(105%*Q164,SA+H164),IF('Pre-Calculation'!$D$17="Type 4 o",MAX(SA,105%*Q164)+V164+X164,IF('Pre-Calculation'!$D$17="Type 5",0)))))))))))))*IF(AND(A164&lt;Revival!$C$4,C164&gt;=Revival!$D$12),PUP,1)</f>
        <v>2103049.403</v>
      </c>
      <c r="L164" s="175">
        <f>H164-I164*(1+Tax)</f>
        <v>2103049.403</v>
      </c>
      <c r="M164" s="175">
        <f>L164*(1+'Pre-Calculation'!$E$28)*(1-'Pre-Calculation'!$E$29*(1+Tax))</f>
        <v>2112395.289</v>
      </c>
      <c r="N164" s="175">
        <f>M164+IF(MOD(A164,B164)=0,VLOOKUP(B164,'Pre-Calculation'!$H$1:$L$31,5,FALSE),0)*IF('Pre-Calculation'!$D$16="% OF FV",M164,IF(OR('Pre-Calculation'!$D$16="% OF AFV(24M)",'Pre-Calculation'!$D$16="% OF AFV(8Q)"),AVERAGE( $M141:$M164),IF('Pre-Calculation'!$D$16="% OF AFV(12M)",AVERAGE($M153:M164),IF('Pre-Calculation'!$D$16="% OF AFV(36M)",AVERAGE($M129:M164)))))</f>
        <v>2112395.289</v>
      </c>
      <c r="O164" s="175">
        <f t="shared" si="4"/>
        <v>2112395.289</v>
      </c>
      <c r="P164" s="175">
        <f>IF('Pre-Calculation'!$D$17="Type 4 a",MAX(SA,N164,1.05*Q164),IF('Pre-Calculation'!$D$17="Type 4 c",N164,IF('Pre-Calculation'!$D$17="Type 4 d",SA+N164,IF('Pre-Calculation'!$D$17="Type 4 e",MAX(SA,N164),IF('Pre-Calculation'!$D$17="Type 4 f",SA,IF('Pre-Calculation'!$D$17="Type 4 g",1000+N164,IF('Pre-Calculation'!$D$17="Type 4 h",SA+V164,IF('Pre-Calculation'!$D$17="Type 4 i",MAX(N164,Q164),IF('Pre-Calculation'!$D$17="Type 4 k",MAX(N164,1.01*Q164),IF('Pre-Calculation'!$D$17="Type 4 m",MAX(105%*Q164,SA+N164),IF('Pre-Calculation'!$D$17="Type 4 o",MAX(SA,105%*Q164)+V164+X164,IF('Pre-Calculation'!$D$17="Type 5",0))))))))))))</f>
        <v>2112395.289</v>
      </c>
      <c r="Q164" s="175">
        <f t="shared" si="5"/>
        <v>1000000</v>
      </c>
      <c r="R164" s="119">
        <f>L164*(1+GROWTH_RATE)*FMC</f>
        <v>2379.858137</v>
      </c>
      <c r="S164" s="112"/>
      <c r="T164" s="175">
        <f>-E164+IF(A163=INPUT!$C$11*12,N164,0)</f>
        <v>0</v>
      </c>
      <c r="U164" s="112"/>
      <c r="V164" s="179">
        <f t="array" ref="V164">NPV('Pre-Calculation'!$E$20,$E165:E$246)</f>
        <v>0</v>
      </c>
      <c r="W164" s="171">
        <f>10%*SA</f>
        <v>100000</v>
      </c>
      <c r="X164" s="179">
        <f t="array" ref="X164">NPV('Pre-Calculation'!$E$20,W165:W174)</f>
        <v>969592.8037</v>
      </c>
      <c r="Y164" s="12"/>
      <c r="Z164" s="12"/>
    </row>
    <row r="165" ht="15.75" customHeight="1">
      <c r="A165" s="171">
        <f t="shared" si="1"/>
        <v>219</v>
      </c>
      <c r="B165" s="171">
        <f t="shared" si="2"/>
        <v>19</v>
      </c>
      <c r="C165" s="176">
        <f>EDATE(RCD,A164)</f>
        <v>49186</v>
      </c>
      <c r="D165" s="171">
        <f>Age_At_Entry+'Cashflows_Bond Fund'!B165-1</f>
        <v>53</v>
      </c>
      <c r="E165" s="175">
        <f>IF(AND(C165&lt;=Last_Prem,MOD(A164,Mode)=0,C165&gt;INPUT!$C$13,A165&lt;=Revival!$C$11),Mod_Prem,0)</f>
        <v>0</v>
      </c>
      <c r="F165" s="177">
        <f>E165*VLOOKUP(B165,'Pre-Calculation'!$H$1:$I$31,2,FALSE)</f>
        <v>0</v>
      </c>
      <c r="G165" s="177">
        <f>IF(B165&lt;PT+1,VLOOKUP(B165,'Pre-Calculation'!$H$1:$L$32,3,FALSE)+VLOOKUP(B165,'Pre-Calculation'!$H$1:$L$32,4,FALSE)*'Pre-Calculation'!$D$7,0)</f>
        <v>0</v>
      </c>
      <c r="H165" s="175">
        <f>(E165-(F165+G165)*(1+Tax)+N164)</f>
        <v>2112395.289</v>
      </c>
      <c r="I165" s="175">
        <f>IF(B165&lt;PT+1,VLOOKUP(D165,'Pre-Calculation'!$N$3:$P$79,IF(INPUT!$C$4="M",2,3),FALSE)*(J165/1000)*(1/12),0)</f>
        <v>0</v>
      </c>
      <c r="J165" s="175">
        <f t="shared" si="3"/>
        <v>0</v>
      </c>
      <c r="K165" s="175">
        <f>(IF('Pre-Calculation'!$D$17="Type 4 a",MAX(SA,H165,1.05*Q165),IF('Pre-Calculation'!$D$17="Type 4 c",H165,IF('Pre-Calculation'!$D$17="Type 4 d",SA+H165,IF('Pre-Calculation'!$D$17="Type 4 e",MAX(SA,H165),IF('Pre-Calculation'!$D$17="Type 4 f",SA,IF('Pre-Calculation'!$D$17="Type 4 g",1000+H165,IF('Pre-Calculation'!$D$17="Type 4 h",SA+V165,IF('Pre-Calculation'!$D$17="Type 4 i",MAX(H165,Q165),IF('Pre-Calculation'!$D$17="Type 4 k",MAX(H165,1.01*Q165),IF('Pre-Calculation'!$D$17="Type 4 m",MAX(105%*Q165,SA+H165),IF('Pre-Calculation'!$D$17="Type 4 o",MAX(SA,105%*Q165)+V165+X165,IF('Pre-Calculation'!$D$17="Type 5",0)))))))))))))*IF(AND(A165&lt;Revival!$C$4,C165&gt;=Revival!$D$12),PUP,1)</f>
        <v>2112395.289</v>
      </c>
      <c r="L165" s="175">
        <f>H165-I165*(1+Tax)</f>
        <v>2112395.289</v>
      </c>
      <c r="M165" s="175">
        <f>L165*(1+'Pre-Calculation'!$E$28)*(1-'Pre-Calculation'!$E$29*(1+Tax))</f>
        <v>2121782.708</v>
      </c>
      <c r="N165" s="175">
        <f>M165+IF(MOD(A165,B165)=0,VLOOKUP(B165,'Pre-Calculation'!$H$1:$L$31,5,FALSE),0)*IF('Pre-Calculation'!$D$16="% OF FV",M165,IF(OR('Pre-Calculation'!$D$16="% OF AFV(24M)",'Pre-Calculation'!$D$16="% OF AFV(8Q)"),AVERAGE( $M142:$M165),IF('Pre-Calculation'!$D$16="% OF AFV(12M)",AVERAGE($M154:M165),IF('Pre-Calculation'!$D$16="% OF AFV(36M)",AVERAGE($M130:M165)))))</f>
        <v>2121782.708</v>
      </c>
      <c r="O165" s="175">
        <f t="shared" si="4"/>
        <v>2121782.708</v>
      </c>
      <c r="P165" s="175">
        <f>IF('Pre-Calculation'!$D$17="Type 4 a",MAX(SA,N165,1.05*Q165),IF('Pre-Calculation'!$D$17="Type 4 c",N165,IF('Pre-Calculation'!$D$17="Type 4 d",SA+N165,IF('Pre-Calculation'!$D$17="Type 4 e",MAX(SA,N165),IF('Pre-Calculation'!$D$17="Type 4 f",SA,IF('Pre-Calculation'!$D$17="Type 4 g",1000+N165,IF('Pre-Calculation'!$D$17="Type 4 h",SA+V165,IF('Pre-Calculation'!$D$17="Type 4 i",MAX(N165,Q165),IF('Pre-Calculation'!$D$17="Type 4 k",MAX(N165,1.01*Q165),IF('Pre-Calculation'!$D$17="Type 4 m",MAX(105%*Q165,SA+N165),IF('Pre-Calculation'!$D$17="Type 4 o",MAX(SA,105%*Q165)+V165+X165,IF('Pre-Calculation'!$D$17="Type 5",0))))))))))))</f>
        <v>2121782.708</v>
      </c>
      <c r="Q165" s="175">
        <f t="shared" si="5"/>
        <v>1000000</v>
      </c>
      <c r="R165" s="119">
        <f>L165*(1+GROWTH_RATE)*FMC</f>
        <v>2390.434152</v>
      </c>
      <c r="S165" s="112"/>
      <c r="T165" s="175">
        <f>-E165+IF(A164=INPUT!$C$11*12,N165,0)</f>
        <v>0</v>
      </c>
      <c r="U165" s="112"/>
      <c r="V165" s="179">
        <f t="array" ref="V165">NPV('Pre-Calculation'!$E$20,$E166:E$246)</f>
        <v>0</v>
      </c>
      <c r="W165" s="171">
        <f>10%*SA</f>
        <v>100000</v>
      </c>
      <c r="X165" s="179">
        <f t="array" ref="X165">NPV('Pre-Calculation'!$E$20,W166:W175)</f>
        <v>969592.8037</v>
      </c>
      <c r="Y165" s="12"/>
      <c r="Z165" s="12"/>
    </row>
    <row r="166" ht="15.75" customHeight="1">
      <c r="A166" s="171">
        <f t="shared" si="1"/>
        <v>220</v>
      </c>
      <c r="B166" s="171">
        <f t="shared" si="2"/>
        <v>19</v>
      </c>
      <c r="C166" s="176">
        <f>EDATE(RCD,A165)</f>
        <v>49217</v>
      </c>
      <c r="D166" s="171">
        <f>Age_At_Entry+'Cashflows_Bond Fund'!B166-1</f>
        <v>53</v>
      </c>
      <c r="E166" s="175">
        <f>IF(AND(C166&lt;=Last_Prem,MOD(A165,Mode)=0,C166&gt;INPUT!$C$13,A166&lt;=Revival!$C$11),Mod_Prem,0)</f>
        <v>0</v>
      </c>
      <c r="F166" s="177">
        <f>E166*VLOOKUP(B166,'Pre-Calculation'!$H$1:$I$31,2,FALSE)</f>
        <v>0</v>
      </c>
      <c r="G166" s="177">
        <f>IF(B166&lt;PT+1,VLOOKUP(B166,'Pre-Calculation'!$H$1:$L$32,3,FALSE)+VLOOKUP(B166,'Pre-Calculation'!$H$1:$L$32,4,FALSE)*'Pre-Calculation'!$D$7,0)</f>
        <v>0</v>
      </c>
      <c r="H166" s="175">
        <f>(E166-(F166+G166)*(1+Tax)+N165)</f>
        <v>2121782.708</v>
      </c>
      <c r="I166" s="175">
        <f>IF(B166&lt;PT+1,VLOOKUP(D166,'Pre-Calculation'!$N$3:$P$79,IF(INPUT!$C$4="M",2,3),FALSE)*(J166/1000)*(1/12),0)</f>
        <v>0</v>
      </c>
      <c r="J166" s="175">
        <f t="shared" si="3"/>
        <v>0</v>
      </c>
      <c r="K166" s="175">
        <f>(IF('Pre-Calculation'!$D$17="Type 4 a",MAX(SA,H166,1.05*Q166),IF('Pre-Calculation'!$D$17="Type 4 c",H166,IF('Pre-Calculation'!$D$17="Type 4 d",SA+H166,IF('Pre-Calculation'!$D$17="Type 4 e",MAX(SA,H166),IF('Pre-Calculation'!$D$17="Type 4 f",SA,IF('Pre-Calculation'!$D$17="Type 4 g",1000+H166,IF('Pre-Calculation'!$D$17="Type 4 h",SA+V166,IF('Pre-Calculation'!$D$17="Type 4 i",MAX(H166,Q166),IF('Pre-Calculation'!$D$17="Type 4 k",MAX(H166,1.01*Q166),IF('Pre-Calculation'!$D$17="Type 4 m",MAX(105%*Q166,SA+H166),IF('Pre-Calculation'!$D$17="Type 4 o",MAX(SA,105%*Q166)+V166+X166,IF('Pre-Calculation'!$D$17="Type 5",0)))))))))))))*IF(AND(A166&lt;Revival!$C$4,C166&gt;=Revival!$D$12),PUP,1)</f>
        <v>2121782.708</v>
      </c>
      <c r="L166" s="175">
        <f>H166-I166*(1+Tax)</f>
        <v>2121782.708</v>
      </c>
      <c r="M166" s="175">
        <f>L166*(1+'Pre-Calculation'!$E$28)*(1-'Pre-Calculation'!$E$29*(1+Tax))</f>
        <v>2131211.844</v>
      </c>
      <c r="N166" s="175">
        <f>M166+IF(MOD(A166,B166)=0,VLOOKUP(B166,'Pre-Calculation'!$H$1:$L$31,5,FALSE),0)*IF('Pre-Calculation'!$D$16="% OF FV",M166,IF(OR('Pre-Calculation'!$D$16="% OF AFV(24M)",'Pre-Calculation'!$D$16="% OF AFV(8Q)"),AVERAGE( $M143:$M166),IF('Pre-Calculation'!$D$16="% OF AFV(12M)",AVERAGE($M155:M166),IF('Pre-Calculation'!$D$16="% OF AFV(36M)",AVERAGE($M131:M166)))))</f>
        <v>2131211.844</v>
      </c>
      <c r="O166" s="175">
        <f t="shared" si="4"/>
        <v>2131211.844</v>
      </c>
      <c r="P166" s="175">
        <f>IF('Pre-Calculation'!$D$17="Type 4 a",MAX(SA,N166,1.05*Q166),IF('Pre-Calculation'!$D$17="Type 4 c",N166,IF('Pre-Calculation'!$D$17="Type 4 d",SA+N166,IF('Pre-Calculation'!$D$17="Type 4 e",MAX(SA,N166),IF('Pre-Calculation'!$D$17="Type 4 f",SA,IF('Pre-Calculation'!$D$17="Type 4 g",1000+N166,IF('Pre-Calculation'!$D$17="Type 4 h",SA+V166,IF('Pre-Calculation'!$D$17="Type 4 i",MAX(N166,Q166),IF('Pre-Calculation'!$D$17="Type 4 k",MAX(N166,1.01*Q166),IF('Pre-Calculation'!$D$17="Type 4 m",MAX(105%*Q166,SA+N166),IF('Pre-Calculation'!$D$17="Type 4 o",MAX(SA,105%*Q166)+V166+X166,IF('Pre-Calculation'!$D$17="Type 5",0))))))))))))</f>
        <v>2131211.844</v>
      </c>
      <c r="Q166" s="175">
        <f t="shared" si="5"/>
        <v>1000000</v>
      </c>
      <c r="R166" s="119">
        <f>L166*(1+GROWTH_RATE)*FMC</f>
        <v>2401.057167</v>
      </c>
      <c r="S166" s="112"/>
      <c r="T166" s="175">
        <f>-E166+IF(A165=INPUT!$C$11*12,N166,0)</f>
        <v>0</v>
      </c>
      <c r="U166" s="112"/>
      <c r="V166" s="179">
        <f t="array" ref="V166">NPV('Pre-Calculation'!$E$20,$E167:E$246)</f>
        <v>0</v>
      </c>
      <c r="W166" s="171">
        <f>10%*SA</f>
        <v>100000</v>
      </c>
      <c r="X166" s="179">
        <f t="array" ref="X166">NPV('Pre-Calculation'!$E$20,W167:W176)</f>
        <v>969592.8037</v>
      </c>
      <c r="Y166" s="12"/>
      <c r="Z166" s="12"/>
    </row>
    <row r="167" ht="15.75" customHeight="1">
      <c r="A167" s="171">
        <f t="shared" si="1"/>
        <v>221</v>
      </c>
      <c r="B167" s="171">
        <f t="shared" si="2"/>
        <v>19</v>
      </c>
      <c r="C167" s="176">
        <f>EDATE(RCD,A166)</f>
        <v>49247</v>
      </c>
      <c r="D167" s="171">
        <f>Age_At_Entry+'Cashflows_Bond Fund'!B167-1</f>
        <v>53</v>
      </c>
      <c r="E167" s="175">
        <f>IF(AND(C167&lt;=Last_Prem,MOD(A166,Mode)=0,C167&gt;INPUT!$C$13,A167&lt;=Revival!$C$11),Mod_Prem,0)</f>
        <v>0</v>
      </c>
      <c r="F167" s="177">
        <f>E167*VLOOKUP(B167,'Pre-Calculation'!$H$1:$I$31,2,FALSE)</f>
        <v>0</v>
      </c>
      <c r="G167" s="177">
        <f>IF(B167&lt;PT+1,VLOOKUP(B167,'Pre-Calculation'!$H$1:$L$32,3,FALSE)+VLOOKUP(B167,'Pre-Calculation'!$H$1:$L$32,4,FALSE)*'Pre-Calculation'!$D$7,0)</f>
        <v>0</v>
      </c>
      <c r="H167" s="175">
        <f>(E167-(F167+G167)*(1+Tax)+N166)</f>
        <v>2131211.844</v>
      </c>
      <c r="I167" s="175">
        <f>IF(B167&lt;PT+1,VLOOKUP(D167,'Pre-Calculation'!$N$3:$P$79,IF(INPUT!$C$4="M",2,3),FALSE)*(J167/1000)*(1/12),0)</f>
        <v>0</v>
      </c>
      <c r="J167" s="175">
        <f t="shared" si="3"/>
        <v>0</v>
      </c>
      <c r="K167" s="175">
        <f>(IF('Pre-Calculation'!$D$17="Type 4 a",MAX(SA,H167,1.05*Q167),IF('Pre-Calculation'!$D$17="Type 4 c",H167,IF('Pre-Calculation'!$D$17="Type 4 d",SA+H167,IF('Pre-Calculation'!$D$17="Type 4 e",MAX(SA,H167),IF('Pre-Calculation'!$D$17="Type 4 f",SA,IF('Pre-Calculation'!$D$17="Type 4 g",1000+H167,IF('Pre-Calculation'!$D$17="Type 4 h",SA+V167,IF('Pre-Calculation'!$D$17="Type 4 i",MAX(H167,Q167),IF('Pre-Calculation'!$D$17="Type 4 k",MAX(H167,1.01*Q167),IF('Pre-Calculation'!$D$17="Type 4 m",MAX(105%*Q167,SA+H167),IF('Pre-Calculation'!$D$17="Type 4 o",MAX(SA,105%*Q167)+V167+X167,IF('Pre-Calculation'!$D$17="Type 5",0)))))))))))))*IF(AND(A167&lt;Revival!$C$4,C167&gt;=Revival!$D$12),PUP,1)</f>
        <v>2131211.844</v>
      </c>
      <c r="L167" s="175">
        <f>H167-I167*(1+Tax)</f>
        <v>2131211.844</v>
      </c>
      <c r="M167" s="175">
        <f>L167*(1+'Pre-Calculation'!$E$28)*(1-'Pre-Calculation'!$E$29*(1+Tax))</f>
        <v>2140682.882</v>
      </c>
      <c r="N167" s="175">
        <f>M167+IF(MOD(A167,B167)=0,VLOOKUP(B167,'Pre-Calculation'!$H$1:$L$31,5,FALSE),0)*IF('Pre-Calculation'!$D$16="% OF FV",M167,IF(OR('Pre-Calculation'!$D$16="% OF AFV(24M)",'Pre-Calculation'!$D$16="% OF AFV(8Q)"),AVERAGE( $M144:$M167),IF('Pre-Calculation'!$D$16="% OF AFV(12M)",AVERAGE($M156:M167),IF('Pre-Calculation'!$D$16="% OF AFV(36M)",AVERAGE($M132:M167)))))</f>
        <v>2140682.882</v>
      </c>
      <c r="O167" s="175">
        <f t="shared" si="4"/>
        <v>2140682.882</v>
      </c>
      <c r="P167" s="175">
        <f>IF('Pre-Calculation'!$D$17="Type 4 a",MAX(SA,N167,1.05*Q167),IF('Pre-Calculation'!$D$17="Type 4 c",N167,IF('Pre-Calculation'!$D$17="Type 4 d",SA+N167,IF('Pre-Calculation'!$D$17="Type 4 e",MAX(SA,N167),IF('Pre-Calculation'!$D$17="Type 4 f",SA,IF('Pre-Calculation'!$D$17="Type 4 g",1000+N167,IF('Pre-Calculation'!$D$17="Type 4 h",SA+V167,IF('Pre-Calculation'!$D$17="Type 4 i",MAX(N167,Q167),IF('Pre-Calculation'!$D$17="Type 4 k",MAX(N167,1.01*Q167),IF('Pre-Calculation'!$D$17="Type 4 m",MAX(105%*Q167,SA+N167),IF('Pre-Calculation'!$D$17="Type 4 o",MAX(SA,105%*Q167)+V167+X167,IF('Pre-Calculation'!$D$17="Type 5",0))))))))))))</f>
        <v>2140682.882</v>
      </c>
      <c r="Q167" s="175">
        <f t="shared" si="5"/>
        <v>1000000</v>
      </c>
      <c r="R167" s="119">
        <f>L167*(1+GROWTH_RATE)*FMC</f>
        <v>2411.72739</v>
      </c>
      <c r="S167" s="112"/>
      <c r="T167" s="175">
        <f>-E167+IF(A166=INPUT!$C$11*12,N167,0)</f>
        <v>0</v>
      </c>
      <c r="U167" s="112"/>
      <c r="V167" s="179">
        <f t="array" ref="V167">NPV('Pre-Calculation'!$E$20,$E168:E$246)</f>
        <v>0</v>
      </c>
      <c r="W167" s="171">
        <f>10%*SA</f>
        <v>100000</v>
      </c>
      <c r="X167" s="179">
        <f t="array" ref="X167">NPV('Pre-Calculation'!$E$20,W168:W177)</f>
        <v>969592.8037</v>
      </c>
      <c r="Y167" s="12"/>
      <c r="Z167" s="12"/>
    </row>
    <row r="168" ht="15.75" customHeight="1">
      <c r="A168" s="171">
        <f t="shared" si="1"/>
        <v>222</v>
      </c>
      <c r="B168" s="171">
        <f t="shared" si="2"/>
        <v>19</v>
      </c>
      <c r="C168" s="176">
        <f>EDATE(RCD,A167)</f>
        <v>49278</v>
      </c>
      <c r="D168" s="171">
        <f>Age_At_Entry+'Cashflows_Bond Fund'!B168-1</f>
        <v>53</v>
      </c>
      <c r="E168" s="175">
        <f>IF(AND(C168&lt;=Last_Prem,MOD(A167,Mode)=0,C168&gt;INPUT!$C$13,A168&lt;=Revival!$C$11),Mod_Prem,0)</f>
        <v>0</v>
      </c>
      <c r="F168" s="177">
        <f>E168*VLOOKUP(B168,'Pre-Calculation'!$H$1:$I$31,2,FALSE)</f>
        <v>0</v>
      </c>
      <c r="G168" s="177">
        <f>IF(B168&lt;PT+1,VLOOKUP(B168,'Pre-Calculation'!$H$1:$L$32,3,FALSE)+VLOOKUP(B168,'Pre-Calculation'!$H$1:$L$32,4,FALSE)*'Pre-Calculation'!$D$7,0)</f>
        <v>0</v>
      </c>
      <c r="H168" s="175">
        <f>(E168-(F168+G168)*(1+Tax)+N167)</f>
        <v>2140682.882</v>
      </c>
      <c r="I168" s="175">
        <f>IF(B168&lt;PT+1,VLOOKUP(D168,'Pre-Calculation'!$N$3:$P$79,IF(INPUT!$C$4="M",2,3),FALSE)*(J168/1000)*(1/12),0)</f>
        <v>0</v>
      </c>
      <c r="J168" s="175">
        <f t="shared" si="3"/>
        <v>0</v>
      </c>
      <c r="K168" s="175">
        <f>(IF('Pre-Calculation'!$D$17="Type 4 a",MAX(SA,H168,1.05*Q168),IF('Pre-Calculation'!$D$17="Type 4 c",H168,IF('Pre-Calculation'!$D$17="Type 4 d",SA+H168,IF('Pre-Calculation'!$D$17="Type 4 e",MAX(SA,H168),IF('Pre-Calculation'!$D$17="Type 4 f",SA,IF('Pre-Calculation'!$D$17="Type 4 g",1000+H168,IF('Pre-Calculation'!$D$17="Type 4 h",SA+V168,IF('Pre-Calculation'!$D$17="Type 4 i",MAX(H168,Q168),IF('Pre-Calculation'!$D$17="Type 4 k",MAX(H168,1.01*Q168),IF('Pre-Calculation'!$D$17="Type 4 m",MAX(105%*Q168,SA+H168),IF('Pre-Calculation'!$D$17="Type 4 o",MAX(SA,105%*Q168)+V168+X168,IF('Pre-Calculation'!$D$17="Type 5",0)))))))))))))*IF(AND(A168&lt;Revival!$C$4,C168&gt;=Revival!$D$12),PUP,1)</f>
        <v>2140682.882</v>
      </c>
      <c r="L168" s="175">
        <f>H168-I168*(1+Tax)</f>
        <v>2140682.882</v>
      </c>
      <c r="M168" s="175">
        <f>L168*(1+'Pre-Calculation'!$E$28)*(1-'Pre-Calculation'!$E$29*(1+Tax))</f>
        <v>2150196.01</v>
      </c>
      <c r="N168" s="175">
        <f>M168+IF(MOD(A168,B168)=0,VLOOKUP(B168,'Pre-Calculation'!$H$1:$L$31,5,FALSE),0)*IF('Pre-Calculation'!$D$16="% OF FV",M168,IF(OR('Pre-Calculation'!$D$16="% OF AFV(24M)",'Pre-Calculation'!$D$16="% OF AFV(8Q)"),AVERAGE( $M145:$M168),IF('Pre-Calculation'!$D$16="% OF AFV(12M)",AVERAGE($M157:M168),IF('Pre-Calculation'!$D$16="% OF AFV(36M)",AVERAGE($M133:M168)))))</f>
        <v>2150196.01</v>
      </c>
      <c r="O168" s="175">
        <f t="shared" si="4"/>
        <v>2150196.01</v>
      </c>
      <c r="P168" s="175">
        <f>IF('Pre-Calculation'!$D$17="Type 4 a",MAX(SA,N168,1.05*Q168),IF('Pre-Calculation'!$D$17="Type 4 c",N168,IF('Pre-Calculation'!$D$17="Type 4 d",SA+N168,IF('Pre-Calculation'!$D$17="Type 4 e",MAX(SA,N168),IF('Pre-Calculation'!$D$17="Type 4 f",SA,IF('Pre-Calculation'!$D$17="Type 4 g",1000+N168,IF('Pre-Calculation'!$D$17="Type 4 h",SA+V168,IF('Pre-Calculation'!$D$17="Type 4 i",MAX(N168,Q168),IF('Pre-Calculation'!$D$17="Type 4 k",MAX(N168,1.01*Q168),IF('Pre-Calculation'!$D$17="Type 4 m",MAX(105%*Q168,SA+N168),IF('Pre-Calculation'!$D$17="Type 4 o",MAX(SA,105%*Q168)+V168+X168,IF('Pre-Calculation'!$D$17="Type 5",0))))))))))))</f>
        <v>2150196.01</v>
      </c>
      <c r="Q168" s="175">
        <f t="shared" si="5"/>
        <v>1000000</v>
      </c>
      <c r="R168" s="119">
        <f>L168*(1+GROWTH_RATE)*FMC</f>
        <v>2422.445031</v>
      </c>
      <c r="S168" s="112"/>
      <c r="T168" s="175">
        <f>-E168+IF(A167=INPUT!$C$11*12,N168,0)</f>
        <v>0</v>
      </c>
      <c r="U168" s="112"/>
      <c r="V168" s="179">
        <f t="array" ref="V168">NPV('Pre-Calculation'!$E$20,$E169:E$246)</f>
        <v>0</v>
      </c>
      <c r="W168" s="171">
        <f>10%*SA</f>
        <v>100000</v>
      </c>
      <c r="X168" s="179">
        <f t="array" ref="X168">NPV('Pre-Calculation'!$E$20,W169:W178)</f>
        <v>969592.8037</v>
      </c>
      <c r="Y168" s="12"/>
      <c r="Z168" s="12"/>
    </row>
    <row r="169" ht="15.75" customHeight="1">
      <c r="A169" s="171">
        <f t="shared" si="1"/>
        <v>223</v>
      </c>
      <c r="B169" s="171">
        <f t="shared" si="2"/>
        <v>19</v>
      </c>
      <c r="C169" s="176">
        <f>EDATE(RCD,A168)</f>
        <v>49308</v>
      </c>
      <c r="D169" s="171">
        <f>Age_At_Entry+'Cashflows_Bond Fund'!B169-1</f>
        <v>53</v>
      </c>
      <c r="E169" s="175">
        <f>IF(AND(C169&lt;=Last_Prem,MOD(A168,Mode)=0,C169&gt;INPUT!$C$13,A169&lt;=Revival!$C$11),Mod_Prem,0)</f>
        <v>0</v>
      </c>
      <c r="F169" s="177">
        <f>E169*VLOOKUP(B169,'Pre-Calculation'!$H$1:$I$31,2,FALSE)</f>
        <v>0</v>
      </c>
      <c r="G169" s="177">
        <f>IF(B169&lt;PT+1,VLOOKUP(B169,'Pre-Calculation'!$H$1:$L$32,3,FALSE)+VLOOKUP(B169,'Pre-Calculation'!$H$1:$L$32,4,FALSE)*'Pre-Calculation'!$D$7,0)</f>
        <v>0</v>
      </c>
      <c r="H169" s="175">
        <f>(E169-(F169+G169)*(1+Tax)+N168)</f>
        <v>2150196.01</v>
      </c>
      <c r="I169" s="175">
        <f>IF(B169&lt;PT+1,VLOOKUP(D169,'Pre-Calculation'!$N$3:$P$79,IF(INPUT!$C$4="M",2,3),FALSE)*(J169/1000)*(1/12),0)</f>
        <v>0</v>
      </c>
      <c r="J169" s="175">
        <f t="shared" si="3"/>
        <v>0</v>
      </c>
      <c r="K169" s="175">
        <f>(IF('Pre-Calculation'!$D$17="Type 4 a",MAX(SA,H169,1.05*Q169),IF('Pre-Calculation'!$D$17="Type 4 c",H169,IF('Pre-Calculation'!$D$17="Type 4 d",SA+H169,IF('Pre-Calculation'!$D$17="Type 4 e",MAX(SA,H169),IF('Pre-Calculation'!$D$17="Type 4 f",SA,IF('Pre-Calculation'!$D$17="Type 4 g",1000+H169,IF('Pre-Calculation'!$D$17="Type 4 h",SA+V169,IF('Pre-Calculation'!$D$17="Type 4 i",MAX(H169,Q169),IF('Pre-Calculation'!$D$17="Type 4 k",MAX(H169,1.01*Q169),IF('Pre-Calculation'!$D$17="Type 4 m",MAX(105%*Q169,SA+H169),IF('Pre-Calculation'!$D$17="Type 4 o",MAX(SA,105%*Q169)+V169+X169,IF('Pre-Calculation'!$D$17="Type 5",0)))))))))))))*IF(AND(A169&lt;Revival!$C$4,C169&gt;=Revival!$D$12),PUP,1)</f>
        <v>2150196.01</v>
      </c>
      <c r="L169" s="175">
        <f>H169-I169*(1+Tax)</f>
        <v>2150196.01</v>
      </c>
      <c r="M169" s="175">
        <f>L169*(1+'Pre-Calculation'!$E$28)*(1-'Pre-Calculation'!$E$29*(1+Tax))</f>
        <v>2159751.414</v>
      </c>
      <c r="N169" s="175">
        <f>M169+IF(MOD(A169,B169)=0,VLOOKUP(B169,'Pre-Calculation'!$H$1:$L$31,5,FALSE),0)*IF('Pre-Calculation'!$D$16="% OF FV",M169,IF(OR('Pre-Calculation'!$D$16="% OF AFV(24M)",'Pre-Calculation'!$D$16="% OF AFV(8Q)"),AVERAGE( $M146:$M169),IF('Pre-Calculation'!$D$16="% OF AFV(12M)",AVERAGE($M158:M169),IF('Pre-Calculation'!$D$16="% OF AFV(36M)",AVERAGE($M134:M169)))))</f>
        <v>2159751.414</v>
      </c>
      <c r="O169" s="175">
        <f t="shared" si="4"/>
        <v>2159751.414</v>
      </c>
      <c r="P169" s="175">
        <f>IF('Pre-Calculation'!$D$17="Type 4 a",MAX(SA,N169,1.05*Q169),IF('Pre-Calculation'!$D$17="Type 4 c",N169,IF('Pre-Calculation'!$D$17="Type 4 d",SA+N169,IF('Pre-Calculation'!$D$17="Type 4 e",MAX(SA,N169),IF('Pre-Calculation'!$D$17="Type 4 f",SA,IF('Pre-Calculation'!$D$17="Type 4 g",1000+N169,IF('Pre-Calculation'!$D$17="Type 4 h",SA+V169,IF('Pre-Calculation'!$D$17="Type 4 i",MAX(N169,Q169),IF('Pre-Calculation'!$D$17="Type 4 k",MAX(N169,1.01*Q169),IF('Pre-Calculation'!$D$17="Type 4 m",MAX(105%*Q169,SA+N169),IF('Pre-Calculation'!$D$17="Type 4 o",MAX(SA,105%*Q169)+V169+X169,IF('Pre-Calculation'!$D$17="Type 5",0))))))))))))</f>
        <v>2159751.414</v>
      </c>
      <c r="Q169" s="175">
        <f t="shared" si="5"/>
        <v>1000000</v>
      </c>
      <c r="R169" s="119">
        <f>L169*(1+GROWTH_RATE)*FMC</f>
        <v>2433.210301</v>
      </c>
      <c r="S169" s="112"/>
      <c r="T169" s="175">
        <f>-E169+IF(A168=INPUT!$C$11*12,N169,0)</f>
        <v>0</v>
      </c>
      <c r="U169" s="112"/>
      <c r="V169" s="179">
        <f t="array" ref="V169">NPV('Pre-Calculation'!$E$20,$E170:E$246)</f>
        <v>0</v>
      </c>
      <c r="W169" s="171">
        <f>10%*SA</f>
        <v>100000</v>
      </c>
      <c r="X169" s="179">
        <f t="array" ref="X169">NPV('Pre-Calculation'!$E$20,W170:W179)</f>
        <v>969592.8037</v>
      </c>
      <c r="Y169" s="12"/>
      <c r="Z169" s="12"/>
    </row>
    <row r="170" ht="15.75" customHeight="1">
      <c r="A170" s="171">
        <f t="shared" si="1"/>
        <v>224</v>
      </c>
      <c r="B170" s="171">
        <f t="shared" si="2"/>
        <v>19</v>
      </c>
      <c r="C170" s="176">
        <f>EDATE(RCD,A169)</f>
        <v>49339</v>
      </c>
      <c r="D170" s="171">
        <f>Age_At_Entry+'Cashflows_Bond Fund'!B170-1</f>
        <v>53</v>
      </c>
      <c r="E170" s="175">
        <f>IF(AND(C170&lt;=Last_Prem,MOD(A169,Mode)=0,C170&gt;INPUT!$C$13,A170&lt;=Revival!$C$11),Mod_Prem,0)</f>
        <v>0</v>
      </c>
      <c r="F170" s="177">
        <f>E170*VLOOKUP(B170,'Pre-Calculation'!$H$1:$I$31,2,FALSE)</f>
        <v>0</v>
      </c>
      <c r="G170" s="177">
        <f>IF(B170&lt;PT+1,VLOOKUP(B170,'Pre-Calculation'!$H$1:$L$32,3,FALSE)+VLOOKUP(B170,'Pre-Calculation'!$H$1:$L$32,4,FALSE)*'Pre-Calculation'!$D$7,0)</f>
        <v>0</v>
      </c>
      <c r="H170" s="175">
        <f>(E170-(F170+G170)*(1+Tax)+N169)</f>
        <v>2159751.414</v>
      </c>
      <c r="I170" s="175">
        <f>IF(B170&lt;PT+1,VLOOKUP(D170,'Pre-Calculation'!$N$3:$P$79,IF(INPUT!$C$4="M",2,3),FALSE)*(J170/1000)*(1/12),0)</f>
        <v>0</v>
      </c>
      <c r="J170" s="175">
        <f t="shared" si="3"/>
        <v>0</v>
      </c>
      <c r="K170" s="175">
        <f>(IF('Pre-Calculation'!$D$17="Type 4 a",MAX(SA,H170,1.05*Q170),IF('Pre-Calculation'!$D$17="Type 4 c",H170,IF('Pre-Calculation'!$D$17="Type 4 d",SA+H170,IF('Pre-Calculation'!$D$17="Type 4 e",MAX(SA,H170),IF('Pre-Calculation'!$D$17="Type 4 f",SA,IF('Pre-Calculation'!$D$17="Type 4 g",1000+H170,IF('Pre-Calculation'!$D$17="Type 4 h",SA+V170,IF('Pre-Calculation'!$D$17="Type 4 i",MAX(H170,Q170),IF('Pre-Calculation'!$D$17="Type 4 k",MAX(H170,1.01*Q170),IF('Pre-Calculation'!$D$17="Type 4 m",MAX(105%*Q170,SA+H170),IF('Pre-Calculation'!$D$17="Type 4 o",MAX(SA,105%*Q170)+V170+X170,IF('Pre-Calculation'!$D$17="Type 5",0)))))))))))))*IF(AND(A170&lt;Revival!$C$4,C170&gt;=Revival!$D$12),PUP,1)</f>
        <v>2159751.414</v>
      </c>
      <c r="L170" s="175">
        <f>H170-I170*(1+Tax)</f>
        <v>2159751.414</v>
      </c>
      <c r="M170" s="175">
        <f>L170*(1+'Pre-Calculation'!$E$28)*(1-'Pre-Calculation'!$E$29*(1+Tax))</f>
        <v>2169349.282</v>
      </c>
      <c r="N170" s="175">
        <f>M170+IF(MOD(A170,B170)=0,VLOOKUP(B170,'Pre-Calculation'!$H$1:$L$31,5,FALSE),0)*IF('Pre-Calculation'!$D$16="% OF FV",M170,IF(OR('Pre-Calculation'!$D$16="% OF AFV(24M)",'Pre-Calculation'!$D$16="% OF AFV(8Q)"),AVERAGE( $M147:$M170),IF('Pre-Calculation'!$D$16="% OF AFV(12M)",AVERAGE($M159:M170),IF('Pre-Calculation'!$D$16="% OF AFV(36M)",AVERAGE($M135:M170)))))</f>
        <v>2169349.282</v>
      </c>
      <c r="O170" s="175">
        <f t="shared" si="4"/>
        <v>2169349.282</v>
      </c>
      <c r="P170" s="175">
        <f>IF('Pre-Calculation'!$D$17="Type 4 a",MAX(SA,N170,1.05*Q170),IF('Pre-Calculation'!$D$17="Type 4 c",N170,IF('Pre-Calculation'!$D$17="Type 4 d",SA+N170,IF('Pre-Calculation'!$D$17="Type 4 e",MAX(SA,N170),IF('Pre-Calculation'!$D$17="Type 4 f",SA,IF('Pre-Calculation'!$D$17="Type 4 g",1000+N170,IF('Pre-Calculation'!$D$17="Type 4 h",SA+V170,IF('Pre-Calculation'!$D$17="Type 4 i",MAX(N170,Q170),IF('Pre-Calculation'!$D$17="Type 4 k",MAX(N170,1.01*Q170),IF('Pre-Calculation'!$D$17="Type 4 m",MAX(105%*Q170,SA+N170),IF('Pre-Calculation'!$D$17="Type 4 o",MAX(SA,105%*Q170)+V170+X170,IF('Pre-Calculation'!$D$17="Type 5",0))))))))))))</f>
        <v>2169349.282</v>
      </c>
      <c r="Q170" s="175">
        <f t="shared" si="5"/>
        <v>1000000</v>
      </c>
      <c r="R170" s="119">
        <f>L170*(1+GROWTH_RATE)*FMC</f>
        <v>2444.023412</v>
      </c>
      <c r="S170" s="112"/>
      <c r="T170" s="175">
        <f>-E170+IF(A169=INPUT!$C$11*12,N170,0)</f>
        <v>0</v>
      </c>
      <c r="U170" s="112"/>
      <c r="V170" s="179">
        <f t="array" ref="V170">NPV('Pre-Calculation'!$E$20,$E171:E$246)</f>
        <v>0</v>
      </c>
      <c r="W170" s="171">
        <f>10%*SA</f>
        <v>100000</v>
      </c>
      <c r="X170" s="179">
        <f t="array" ref="X170">NPV('Pre-Calculation'!$E$20,W171:W180)</f>
        <v>969592.8037</v>
      </c>
      <c r="Y170" s="12"/>
      <c r="Z170" s="12"/>
    </row>
    <row r="171" ht="15.75" customHeight="1">
      <c r="A171" s="171">
        <f t="shared" si="1"/>
        <v>225</v>
      </c>
      <c r="B171" s="171">
        <f t="shared" si="2"/>
        <v>19</v>
      </c>
      <c r="C171" s="176">
        <f>EDATE(RCD,A170)</f>
        <v>49368</v>
      </c>
      <c r="D171" s="171">
        <f>Age_At_Entry+'Cashflows_Bond Fund'!B171-1</f>
        <v>53</v>
      </c>
      <c r="E171" s="175">
        <f>IF(AND(C171&lt;=Last_Prem,MOD(A170,Mode)=0,C171&gt;INPUT!$C$13,A171&lt;=Revival!$C$11),Mod_Prem,0)</f>
        <v>0</v>
      </c>
      <c r="F171" s="177">
        <f>E171*VLOOKUP(B171,'Pre-Calculation'!$H$1:$I$31,2,FALSE)</f>
        <v>0</v>
      </c>
      <c r="G171" s="177">
        <f>IF(B171&lt;PT+1,VLOOKUP(B171,'Pre-Calculation'!$H$1:$L$32,3,FALSE)+VLOOKUP(B171,'Pre-Calculation'!$H$1:$L$32,4,FALSE)*'Pre-Calculation'!$D$7,0)</f>
        <v>0</v>
      </c>
      <c r="H171" s="175">
        <f>(E171-(F171+G171)*(1+Tax)+N170)</f>
        <v>2169349.282</v>
      </c>
      <c r="I171" s="175">
        <f>IF(B171&lt;PT+1,VLOOKUP(D171,'Pre-Calculation'!$N$3:$P$79,IF(INPUT!$C$4="M",2,3),FALSE)*(J171/1000)*(1/12),0)</f>
        <v>0</v>
      </c>
      <c r="J171" s="175">
        <f t="shared" si="3"/>
        <v>0</v>
      </c>
      <c r="K171" s="175">
        <f>(IF('Pre-Calculation'!$D$17="Type 4 a",MAX(SA,H171,1.05*Q171),IF('Pre-Calculation'!$D$17="Type 4 c",H171,IF('Pre-Calculation'!$D$17="Type 4 d",SA+H171,IF('Pre-Calculation'!$D$17="Type 4 e",MAX(SA,H171),IF('Pre-Calculation'!$D$17="Type 4 f",SA,IF('Pre-Calculation'!$D$17="Type 4 g",1000+H171,IF('Pre-Calculation'!$D$17="Type 4 h",SA+V171,IF('Pre-Calculation'!$D$17="Type 4 i",MAX(H171,Q171),IF('Pre-Calculation'!$D$17="Type 4 k",MAX(H171,1.01*Q171),IF('Pre-Calculation'!$D$17="Type 4 m",MAX(105%*Q171,SA+H171),IF('Pre-Calculation'!$D$17="Type 4 o",MAX(SA,105%*Q171)+V171+X171,IF('Pre-Calculation'!$D$17="Type 5",0)))))))))))))*IF(AND(A171&lt;Revival!$C$4,C171&gt;=Revival!$D$12),PUP,1)</f>
        <v>2169349.282</v>
      </c>
      <c r="L171" s="175">
        <f>H171-I171*(1+Tax)</f>
        <v>2169349.282</v>
      </c>
      <c r="M171" s="175">
        <f>L171*(1+'Pre-Calculation'!$E$28)*(1-'Pre-Calculation'!$E$29*(1+Tax))</f>
        <v>2178989.802</v>
      </c>
      <c r="N171" s="175">
        <f>M171+IF(MOD(A171,B171)=0,VLOOKUP(B171,'Pre-Calculation'!$H$1:$L$31,5,FALSE),0)*IF('Pre-Calculation'!$D$16="% OF FV",M171,IF(OR('Pre-Calculation'!$D$16="% OF AFV(24M)",'Pre-Calculation'!$D$16="% OF AFV(8Q)"),AVERAGE( $M148:$M171),IF('Pre-Calculation'!$D$16="% OF AFV(12M)",AVERAGE($M160:M171),IF('Pre-Calculation'!$D$16="% OF AFV(36M)",AVERAGE($M136:M171)))))</f>
        <v>2178989.802</v>
      </c>
      <c r="O171" s="175">
        <f t="shared" si="4"/>
        <v>2178989.802</v>
      </c>
      <c r="P171" s="175">
        <f>IF('Pre-Calculation'!$D$17="Type 4 a",MAX(SA,N171,1.05*Q171),IF('Pre-Calculation'!$D$17="Type 4 c",N171,IF('Pre-Calculation'!$D$17="Type 4 d",SA+N171,IF('Pre-Calculation'!$D$17="Type 4 e",MAX(SA,N171),IF('Pre-Calculation'!$D$17="Type 4 f",SA,IF('Pre-Calculation'!$D$17="Type 4 g",1000+N171,IF('Pre-Calculation'!$D$17="Type 4 h",SA+V171,IF('Pre-Calculation'!$D$17="Type 4 i",MAX(N171,Q171),IF('Pre-Calculation'!$D$17="Type 4 k",MAX(N171,1.01*Q171),IF('Pre-Calculation'!$D$17="Type 4 m",MAX(105%*Q171,SA+N171),IF('Pre-Calculation'!$D$17="Type 4 o",MAX(SA,105%*Q171)+V171+X171,IF('Pre-Calculation'!$D$17="Type 5",0))))))))))))</f>
        <v>2178989.802</v>
      </c>
      <c r="Q171" s="175">
        <f t="shared" si="5"/>
        <v>1000000</v>
      </c>
      <c r="R171" s="119">
        <f>L171*(1+GROWTH_RATE)*FMC</f>
        <v>2454.884575</v>
      </c>
      <c r="S171" s="112"/>
      <c r="T171" s="175">
        <f>-E171+IF(A170=INPUT!$C$11*12,N171,0)</f>
        <v>0</v>
      </c>
      <c r="U171" s="112"/>
      <c r="V171" s="179">
        <f t="array" ref="V171">NPV('Pre-Calculation'!$E$20,$E172:E$246)</f>
        <v>0</v>
      </c>
      <c r="W171" s="171">
        <f>10%*SA</f>
        <v>100000</v>
      </c>
      <c r="X171" s="179">
        <f t="array" ref="X171">NPV('Pre-Calculation'!$E$20,W172:W181)</f>
        <v>969592.8037</v>
      </c>
      <c r="Y171" s="12"/>
      <c r="Z171" s="12"/>
    </row>
    <row r="172" ht="15.75" customHeight="1">
      <c r="A172" s="171">
        <f t="shared" si="1"/>
        <v>226</v>
      </c>
      <c r="B172" s="171">
        <f t="shared" si="2"/>
        <v>19</v>
      </c>
      <c r="C172" s="176">
        <f>EDATE(RCD,A171)</f>
        <v>49398</v>
      </c>
      <c r="D172" s="171">
        <f>Age_At_Entry+'Cashflows_Bond Fund'!B172-1</f>
        <v>53</v>
      </c>
      <c r="E172" s="175">
        <f>IF(AND(C172&lt;=Last_Prem,MOD(A171,Mode)=0,C172&gt;INPUT!$C$13,A172&lt;=Revival!$C$11),Mod_Prem,0)</f>
        <v>0</v>
      </c>
      <c r="F172" s="177">
        <f>E172*VLOOKUP(B172,'Pre-Calculation'!$H$1:$I$31,2,FALSE)</f>
        <v>0</v>
      </c>
      <c r="G172" s="177">
        <f>IF(B172&lt;PT+1,VLOOKUP(B172,'Pre-Calculation'!$H$1:$L$32,3,FALSE)+VLOOKUP(B172,'Pre-Calculation'!$H$1:$L$32,4,FALSE)*'Pre-Calculation'!$D$7,0)</f>
        <v>0</v>
      </c>
      <c r="H172" s="175">
        <f>(E172-(F172+G172)*(1+Tax)+N171)</f>
        <v>2178989.802</v>
      </c>
      <c r="I172" s="175">
        <f>IF(B172&lt;PT+1,VLOOKUP(D172,'Pre-Calculation'!$N$3:$P$79,IF(INPUT!$C$4="M",2,3),FALSE)*(J172/1000)*(1/12),0)</f>
        <v>0</v>
      </c>
      <c r="J172" s="175">
        <f t="shared" si="3"/>
        <v>0</v>
      </c>
      <c r="K172" s="175">
        <f>(IF('Pre-Calculation'!$D$17="Type 4 a",MAX(SA,H172,1.05*Q172),IF('Pre-Calculation'!$D$17="Type 4 c",H172,IF('Pre-Calculation'!$D$17="Type 4 d",SA+H172,IF('Pre-Calculation'!$D$17="Type 4 e",MAX(SA,H172),IF('Pre-Calculation'!$D$17="Type 4 f",SA,IF('Pre-Calculation'!$D$17="Type 4 g",1000+H172,IF('Pre-Calculation'!$D$17="Type 4 h",SA+V172,IF('Pre-Calculation'!$D$17="Type 4 i",MAX(H172,Q172),IF('Pre-Calculation'!$D$17="Type 4 k",MAX(H172,1.01*Q172),IF('Pre-Calculation'!$D$17="Type 4 m",MAX(105%*Q172,SA+H172),IF('Pre-Calculation'!$D$17="Type 4 o",MAX(SA,105%*Q172)+V172+X172,IF('Pre-Calculation'!$D$17="Type 5",0)))))))))))))*IF(AND(A172&lt;Revival!$C$4,C172&gt;=Revival!$D$12),PUP,1)</f>
        <v>2178989.802</v>
      </c>
      <c r="L172" s="175">
        <f>H172-I172*(1+Tax)</f>
        <v>2178989.802</v>
      </c>
      <c r="M172" s="175">
        <f>L172*(1+'Pre-Calculation'!$E$28)*(1-'Pre-Calculation'!$E$29*(1+Tax))</f>
        <v>2188673.165</v>
      </c>
      <c r="N172" s="175">
        <f>M172+IF(MOD(A172,B172)=0,VLOOKUP(B172,'Pre-Calculation'!$H$1:$L$31,5,FALSE),0)*IF('Pre-Calculation'!$D$16="% OF FV",M172,IF(OR('Pre-Calculation'!$D$16="% OF AFV(24M)",'Pre-Calculation'!$D$16="% OF AFV(8Q)"),AVERAGE( $M149:$M172),IF('Pre-Calculation'!$D$16="% OF AFV(12M)",AVERAGE($M161:M172),IF('Pre-Calculation'!$D$16="% OF AFV(36M)",AVERAGE($M137:M172)))))</f>
        <v>2188673.165</v>
      </c>
      <c r="O172" s="175">
        <f t="shared" si="4"/>
        <v>2188673.165</v>
      </c>
      <c r="P172" s="175">
        <f>IF('Pre-Calculation'!$D$17="Type 4 a",MAX(SA,N172,1.05*Q172),IF('Pre-Calculation'!$D$17="Type 4 c",N172,IF('Pre-Calculation'!$D$17="Type 4 d",SA+N172,IF('Pre-Calculation'!$D$17="Type 4 e",MAX(SA,N172),IF('Pre-Calculation'!$D$17="Type 4 f",SA,IF('Pre-Calculation'!$D$17="Type 4 g",1000+N172,IF('Pre-Calculation'!$D$17="Type 4 h",SA+V172,IF('Pre-Calculation'!$D$17="Type 4 i",MAX(N172,Q172),IF('Pre-Calculation'!$D$17="Type 4 k",MAX(N172,1.01*Q172),IF('Pre-Calculation'!$D$17="Type 4 m",MAX(105%*Q172,SA+N172),IF('Pre-Calculation'!$D$17="Type 4 o",MAX(SA,105%*Q172)+V172+X172,IF('Pre-Calculation'!$D$17="Type 5",0))))))))))))</f>
        <v>2188673.165</v>
      </c>
      <c r="Q172" s="175">
        <f t="shared" si="5"/>
        <v>1000000</v>
      </c>
      <c r="R172" s="119">
        <f>L172*(1+GROWTH_RATE)*FMC</f>
        <v>2465.794006</v>
      </c>
      <c r="S172" s="112"/>
      <c r="T172" s="175">
        <f>-E172+IF(A171=INPUT!$C$11*12,N172,0)</f>
        <v>0</v>
      </c>
      <c r="U172" s="112"/>
      <c r="V172" s="179">
        <f t="array" ref="V172">NPV('Pre-Calculation'!$E$20,$E173:E$246)</f>
        <v>0</v>
      </c>
      <c r="W172" s="171">
        <f>10%*SA</f>
        <v>100000</v>
      </c>
      <c r="X172" s="179">
        <f t="array" ref="X172">NPV('Pre-Calculation'!$E$20,W173:W182)</f>
        <v>969592.8037</v>
      </c>
      <c r="Y172" s="12"/>
      <c r="Z172" s="12"/>
    </row>
    <row r="173" ht="15.75" customHeight="1">
      <c r="A173" s="171">
        <f t="shared" si="1"/>
        <v>227</v>
      </c>
      <c r="B173" s="171">
        <f t="shared" si="2"/>
        <v>19</v>
      </c>
      <c r="C173" s="176">
        <f>EDATE(RCD,A172)</f>
        <v>49429</v>
      </c>
      <c r="D173" s="171">
        <f>Age_At_Entry+'Cashflows_Bond Fund'!B173-1</f>
        <v>53</v>
      </c>
      <c r="E173" s="175">
        <f>IF(AND(C173&lt;=Last_Prem,MOD(A172,Mode)=0,C173&gt;INPUT!$C$13,A173&lt;=Revival!$C$11),Mod_Prem,0)</f>
        <v>0</v>
      </c>
      <c r="F173" s="177">
        <f>E173*VLOOKUP(B173,'Pre-Calculation'!$H$1:$I$31,2,FALSE)</f>
        <v>0</v>
      </c>
      <c r="G173" s="177">
        <f>IF(B173&lt;PT+1,VLOOKUP(B173,'Pre-Calculation'!$H$1:$L$32,3,FALSE)+VLOOKUP(B173,'Pre-Calculation'!$H$1:$L$32,4,FALSE)*'Pre-Calculation'!$D$7,0)</f>
        <v>0</v>
      </c>
      <c r="H173" s="175">
        <f>(E173-(F173+G173)*(1+Tax)+N172)</f>
        <v>2188673.165</v>
      </c>
      <c r="I173" s="175">
        <f>IF(B173&lt;PT+1,VLOOKUP(D173,'Pre-Calculation'!$N$3:$P$79,IF(INPUT!$C$4="M",2,3),FALSE)*(J173/1000)*(1/12),0)</f>
        <v>0</v>
      </c>
      <c r="J173" s="175">
        <f t="shared" si="3"/>
        <v>0</v>
      </c>
      <c r="K173" s="175">
        <f>(IF('Pre-Calculation'!$D$17="Type 4 a",MAX(SA,H173,1.05*Q173),IF('Pre-Calculation'!$D$17="Type 4 c",H173,IF('Pre-Calculation'!$D$17="Type 4 d",SA+H173,IF('Pre-Calculation'!$D$17="Type 4 e",MAX(SA,H173),IF('Pre-Calculation'!$D$17="Type 4 f",SA,IF('Pre-Calculation'!$D$17="Type 4 g",1000+H173,IF('Pre-Calculation'!$D$17="Type 4 h",SA+V173,IF('Pre-Calculation'!$D$17="Type 4 i",MAX(H173,Q173),IF('Pre-Calculation'!$D$17="Type 4 k",MAX(H173,1.01*Q173),IF('Pre-Calculation'!$D$17="Type 4 m",MAX(105%*Q173,SA+H173),IF('Pre-Calculation'!$D$17="Type 4 o",MAX(SA,105%*Q173)+V173+X173,IF('Pre-Calculation'!$D$17="Type 5",0)))))))))))))*IF(AND(A173&lt;Revival!$C$4,C173&gt;=Revival!$D$12),PUP,1)</f>
        <v>2188673.165</v>
      </c>
      <c r="L173" s="175">
        <f>H173-I173*(1+Tax)</f>
        <v>2188673.165</v>
      </c>
      <c r="M173" s="175">
        <f>L173*(1+'Pre-Calculation'!$E$28)*(1-'Pre-Calculation'!$E$29*(1+Tax))</f>
        <v>2198399.56</v>
      </c>
      <c r="N173" s="175">
        <f>M173+IF(MOD(A173,B173)=0,VLOOKUP(B173,'Pre-Calculation'!$H$1:$L$31,5,FALSE),0)*IF('Pre-Calculation'!$D$16="% OF FV",M173,IF(OR('Pre-Calculation'!$D$16="% OF AFV(24M)",'Pre-Calculation'!$D$16="% OF AFV(8Q)"),AVERAGE( $M150:$M173),IF('Pre-Calculation'!$D$16="% OF AFV(12M)",AVERAGE($M162:M173),IF('Pre-Calculation'!$D$16="% OF AFV(36M)",AVERAGE($M138:M173)))))</f>
        <v>2198399.56</v>
      </c>
      <c r="O173" s="175">
        <f t="shared" si="4"/>
        <v>2198399.56</v>
      </c>
      <c r="P173" s="175">
        <f>IF('Pre-Calculation'!$D$17="Type 4 a",MAX(SA,N173,1.05*Q173),IF('Pre-Calculation'!$D$17="Type 4 c",N173,IF('Pre-Calculation'!$D$17="Type 4 d",SA+N173,IF('Pre-Calculation'!$D$17="Type 4 e",MAX(SA,N173),IF('Pre-Calculation'!$D$17="Type 4 f",SA,IF('Pre-Calculation'!$D$17="Type 4 g",1000+N173,IF('Pre-Calculation'!$D$17="Type 4 h",SA+V173,IF('Pre-Calculation'!$D$17="Type 4 i",MAX(N173,Q173),IF('Pre-Calculation'!$D$17="Type 4 k",MAX(N173,1.01*Q173),IF('Pre-Calculation'!$D$17="Type 4 m",MAX(105%*Q173,SA+N173),IF('Pre-Calculation'!$D$17="Type 4 o",MAX(SA,105%*Q173)+V173+X173,IF('Pre-Calculation'!$D$17="Type 5",0))))))))))))</f>
        <v>2198399.56</v>
      </c>
      <c r="Q173" s="175">
        <f t="shared" si="5"/>
        <v>1000000</v>
      </c>
      <c r="R173" s="119">
        <f>L173*(1+GROWTH_RATE)*FMC</f>
        <v>2476.751917</v>
      </c>
      <c r="S173" s="112"/>
      <c r="T173" s="175">
        <f>-E173+IF(A172=INPUT!$C$11*12,N173,0)</f>
        <v>0</v>
      </c>
      <c r="U173" s="112"/>
      <c r="V173" s="179">
        <f t="array" ref="V173">NPV('Pre-Calculation'!$E$20,$E174:E$246)</f>
        <v>0</v>
      </c>
      <c r="W173" s="171">
        <f>10%*SA</f>
        <v>100000</v>
      </c>
      <c r="X173" s="179">
        <f t="array" ref="X173">NPV('Pre-Calculation'!$E$20,W174:W183)</f>
        <v>969592.8037</v>
      </c>
      <c r="Y173" s="12"/>
      <c r="Z173" s="12"/>
    </row>
    <row r="174" ht="15.75" customHeight="1">
      <c r="A174" s="171">
        <f t="shared" si="1"/>
        <v>228</v>
      </c>
      <c r="B174" s="171">
        <f t="shared" si="2"/>
        <v>19</v>
      </c>
      <c r="C174" s="176">
        <f>EDATE(RCD,A173)</f>
        <v>49459</v>
      </c>
      <c r="D174" s="171">
        <f>Age_At_Entry+'Cashflows_Bond Fund'!B174-1</f>
        <v>53</v>
      </c>
      <c r="E174" s="175">
        <f>IF(AND(C174&lt;=Last_Prem,MOD(A173,Mode)=0,C174&gt;INPUT!$C$13,A174&lt;=Revival!$C$11),Mod_Prem,0)</f>
        <v>0</v>
      </c>
      <c r="F174" s="177">
        <f>E174*VLOOKUP(B174,'Pre-Calculation'!$H$1:$I$31,2,FALSE)</f>
        <v>0</v>
      </c>
      <c r="G174" s="177">
        <f>IF(B174&lt;PT+1,VLOOKUP(B174,'Pre-Calculation'!$H$1:$L$32,3,FALSE)+VLOOKUP(B174,'Pre-Calculation'!$H$1:$L$32,4,FALSE)*'Pre-Calculation'!$D$7,0)</f>
        <v>0</v>
      </c>
      <c r="H174" s="175">
        <f>(E174-(F174+G174)*(1+Tax)+N173)</f>
        <v>2198399.56</v>
      </c>
      <c r="I174" s="175">
        <f>IF(B174&lt;PT+1,VLOOKUP(D174,'Pre-Calculation'!$N$3:$P$79,IF(INPUT!$C$4="M",2,3),FALSE)*(J174/1000)*(1/12),0)</f>
        <v>0</v>
      </c>
      <c r="J174" s="175">
        <f t="shared" si="3"/>
        <v>0</v>
      </c>
      <c r="K174" s="175">
        <f>(IF('Pre-Calculation'!$D$17="Type 4 a",MAX(SA,H174,1.05*Q174),IF('Pre-Calculation'!$D$17="Type 4 c",H174,IF('Pre-Calculation'!$D$17="Type 4 d",SA+H174,IF('Pre-Calculation'!$D$17="Type 4 e",MAX(SA,H174),IF('Pre-Calculation'!$D$17="Type 4 f",SA,IF('Pre-Calculation'!$D$17="Type 4 g",1000+H174,IF('Pre-Calculation'!$D$17="Type 4 h",SA+V174,IF('Pre-Calculation'!$D$17="Type 4 i",MAX(H174,Q174),IF('Pre-Calculation'!$D$17="Type 4 k",MAX(H174,1.01*Q174),IF('Pre-Calculation'!$D$17="Type 4 m",MAX(105%*Q174,SA+H174),IF('Pre-Calculation'!$D$17="Type 4 o",MAX(SA,105%*Q174)+V174+X174,IF('Pre-Calculation'!$D$17="Type 5",0)))))))))))))*IF(AND(A174&lt;Revival!$C$4,C174&gt;=Revival!$D$12),PUP,1)</f>
        <v>2198399.56</v>
      </c>
      <c r="L174" s="175">
        <f>H174-I174*(1+Tax)</f>
        <v>2198399.56</v>
      </c>
      <c r="M174" s="175">
        <f>L174*(1+'Pre-Calculation'!$E$28)*(1-'Pre-Calculation'!$E$29*(1+Tax))</f>
        <v>2208169.179</v>
      </c>
      <c r="N174" s="175">
        <f>M174+IF(MOD(A174,B174)=0,VLOOKUP(B174,'Pre-Calculation'!$H$1:$L$31,5,FALSE),0)*IF('Pre-Calculation'!$D$16="% OF FV",M174,IF(OR('Pre-Calculation'!$D$16="% OF AFV(24M)",'Pre-Calculation'!$D$16="% OF AFV(8Q)"),AVERAGE( $M151:$M174),IF('Pre-Calculation'!$D$16="% OF AFV(12M)",AVERAGE($M163:M174),IF('Pre-Calculation'!$D$16="% OF AFV(36M)",AVERAGE($M139:M174)))))</f>
        <v>2208169.179</v>
      </c>
      <c r="O174" s="175">
        <f t="shared" si="4"/>
        <v>2208169.179</v>
      </c>
      <c r="P174" s="175">
        <f>IF('Pre-Calculation'!$D$17="Type 4 a",MAX(SA,N174,1.05*Q174),IF('Pre-Calculation'!$D$17="Type 4 c",N174,IF('Pre-Calculation'!$D$17="Type 4 d",SA+N174,IF('Pre-Calculation'!$D$17="Type 4 e",MAX(SA,N174),IF('Pre-Calculation'!$D$17="Type 4 f",SA,IF('Pre-Calculation'!$D$17="Type 4 g",1000+N174,IF('Pre-Calculation'!$D$17="Type 4 h",SA+V174,IF('Pre-Calculation'!$D$17="Type 4 i",MAX(N174,Q174),IF('Pre-Calculation'!$D$17="Type 4 k",MAX(N174,1.01*Q174),IF('Pre-Calculation'!$D$17="Type 4 m",MAX(105%*Q174,SA+N174),IF('Pre-Calculation'!$D$17="Type 4 o",MAX(SA,105%*Q174)+V174+X174,IF('Pre-Calculation'!$D$17="Type 5",0))))))))))))</f>
        <v>2208169.179</v>
      </c>
      <c r="Q174" s="175">
        <f t="shared" si="5"/>
        <v>1000000</v>
      </c>
      <c r="R174" s="119">
        <f>L174*(1+GROWTH_RATE)*FMC</f>
        <v>2487.758525</v>
      </c>
      <c r="S174" s="112"/>
      <c r="T174" s="175">
        <f>-E174+IF(A173=INPUT!$C$11*12,N174,0)</f>
        <v>0</v>
      </c>
      <c r="U174" s="112"/>
      <c r="V174" s="179">
        <f t="array" ref="V174">NPV('Pre-Calculation'!$E$20,$E175:E$246)</f>
        <v>0</v>
      </c>
      <c r="W174" s="171">
        <f>10%*SA</f>
        <v>100000</v>
      </c>
      <c r="X174" s="179">
        <f t="array" ref="X174">NPV('Pre-Calculation'!$E$20,W175:W184)</f>
        <v>969592.8037</v>
      </c>
      <c r="Y174" s="12"/>
      <c r="Z174" s="12"/>
    </row>
    <row r="175" ht="15.75" customHeight="1">
      <c r="A175" s="171">
        <f t="shared" si="1"/>
        <v>229</v>
      </c>
      <c r="B175" s="171">
        <f t="shared" si="2"/>
        <v>20</v>
      </c>
      <c r="C175" s="176">
        <f>EDATE(RCD,A174)</f>
        <v>49490</v>
      </c>
      <c r="D175" s="171">
        <f>Age_At_Entry+'Cashflows_Bond Fund'!B175-1</f>
        <v>54</v>
      </c>
      <c r="E175" s="175">
        <f>IF(AND(C175&lt;=Last_Prem,MOD(A174,Mode)=0,C175&gt;INPUT!$C$13,A175&lt;=Revival!$C$11),Mod_Prem,0)</f>
        <v>0</v>
      </c>
      <c r="F175" s="177">
        <f>E175*VLOOKUP(B175,'Pre-Calculation'!$H$1:$I$31,2,FALSE)</f>
        <v>0</v>
      </c>
      <c r="G175" s="177">
        <f>IF(B175&lt;PT+1,VLOOKUP(B175,'Pre-Calculation'!$H$1:$L$32,3,FALSE)+VLOOKUP(B175,'Pre-Calculation'!$H$1:$L$32,4,FALSE)*'Pre-Calculation'!$D$7,0)</f>
        <v>0</v>
      </c>
      <c r="H175" s="175">
        <f>(E175-(F175+G175)*(1+Tax)+N174)</f>
        <v>2208169.179</v>
      </c>
      <c r="I175" s="175">
        <f>IF(B175&lt;PT+1,VLOOKUP(D175,'Pre-Calculation'!$N$3:$P$79,IF(INPUT!$C$4="M",2,3),FALSE)*(J175/1000)*(1/12),0)</f>
        <v>0</v>
      </c>
      <c r="J175" s="175">
        <f t="shared" si="3"/>
        <v>0</v>
      </c>
      <c r="K175" s="175">
        <f>(IF('Pre-Calculation'!$D$17="Type 4 a",MAX(SA,H175,1.05*Q175),IF('Pre-Calculation'!$D$17="Type 4 c",H175,IF('Pre-Calculation'!$D$17="Type 4 d",SA+H175,IF('Pre-Calculation'!$D$17="Type 4 e",MAX(SA,H175),IF('Pre-Calculation'!$D$17="Type 4 f",SA,IF('Pre-Calculation'!$D$17="Type 4 g",1000+H175,IF('Pre-Calculation'!$D$17="Type 4 h",SA+V175,IF('Pre-Calculation'!$D$17="Type 4 i",MAX(H175,Q175),IF('Pre-Calculation'!$D$17="Type 4 k",MAX(H175,1.01*Q175),IF('Pre-Calculation'!$D$17="Type 4 m",MAX(105%*Q175,SA+H175),IF('Pre-Calculation'!$D$17="Type 4 o",MAX(SA,105%*Q175)+V175+X175,IF('Pre-Calculation'!$D$17="Type 5",0)))))))))))))*IF(AND(A175&lt;Revival!$C$4,C175&gt;=Revival!$D$12),PUP,1)</f>
        <v>2208169.179</v>
      </c>
      <c r="L175" s="175">
        <f>H175-I175*(1+Tax)</f>
        <v>2208169.179</v>
      </c>
      <c r="M175" s="175">
        <f>L175*(1+'Pre-Calculation'!$E$28)*(1-'Pre-Calculation'!$E$29*(1+Tax))</f>
        <v>2217982.214</v>
      </c>
      <c r="N175" s="175">
        <f>M175+IF(MOD(A175,B175)=0,VLOOKUP(B175,'Pre-Calculation'!$H$1:$L$31,5,FALSE),0)*IF('Pre-Calculation'!$D$16="% OF FV",M175,IF(OR('Pre-Calculation'!$D$16="% OF AFV(24M)",'Pre-Calculation'!$D$16="% OF AFV(8Q)"),AVERAGE( $M152:$M175),IF('Pre-Calculation'!$D$16="% OF AFV(12M)",AVERAGE($M164:M175),IF('Pre-Calculation'!$D$16="% OF AFV(36M)",AVERAGE($M140:M175)))))</f>
        <v>2217982.214</v>
      </c>
      <c r="O175" s="175">
        <f t="shared" si="4"/>
        <v>2217982.214</v>
      </c>
      <c r="P175" s="175">
        <f>IF('Pre-Calculation'!$D$17="Type 4 a",MAX(SA,N175,1.05*Q175),IF('Pre-Calculation'!$D$17="Type 4 c",N175,IF('Pre-Calculation'!$D$17="Type 4 d",SA+N175,IF('Pre-Calculation'!$D$17="Type 4 e",MAX(SA,N175),IF('Pre-Calculation'!$D$17="Type 4 f",SA,IF('Pre-Calculation'!$D$17="Type 4 g",1000+N175,IF('Pre-Calculation'!$D$17="Type 4 h",SA+V175,IF('Pre-Calculation'!$D$17="Type 4 i",MAX(N175,Q175),IF('Pre-Calculation'!$D$17="Type 4 k",MAX(N175,1.01*Q175),IF('Pre-Calculation'!$D$17="Type 4 m",MAX(105%*Q175,SA+N175),IF('Pre-Calculation'!$D$17="Type 4 o",MAX(SA,105%*Q175)+V175+X175,IF('Pre-Calculation'!$D$17="Type 5",0))))))))))))</f>
        <v>2217982.214</v>
      </c>
      <c r="Q175" s="175">
        <f t="shared" si="5"/>
        <v>1000000</v>
      </c>
      <c r="R175" s="119">
        <f>L175*(1+GROWTH_RATE)*FMC</f>
        <v>2498.814046</v>
      </c>
      <c r="S175" s="112"/>
      <c r="T175" s="175">
        <f>-E175+IF(A174=INPUT!$C$11*12,N175,0)</f>
        <v>0</v>
      </c>
      <c r="U175" s="112"/>
      <c r="V175" s="179">
        <f t="array" ref="V175">NPV('Pre-Calculation'!$E$20,$E176:E$246)</f>
        <v>0</v>
      </c>
      <c r="W175" s="171">
        <f>10%*SA</f>
        <v>100000</v>
      </c>
      <c r="X175" s="179">
        <f t="array" ref="X175">NPV('Pre-Calculation'!$E$20,W176:W185)</f>
        <v>969592.8037</v>
      </c>
      <c r="Y175" s="12"/>
      <c r="Z175" s="12"/>
    </row>
    <row r="176" ht="15.75" customHeight="1">
      <c r="A176" s="171">
        <f t="shared" si="1"/>
        <v>230</v>
      </c>
      <c r="B176" s="171">
        <f t="shared" si="2"/>
        <v>20</v>
      </c>
      <c r="C176" s="176">
        <f>EDATE(RCD,A175)</f>
        <v>49520</v>
      </c>
      <c r="D176" s="171">
        <f>Age_At_Entry+'Cashflows_Bond Fund'!B176-1</f>
        <v>54</v>
      </c>
      <c r="E176" s="175">
        <f>IF(AND(C176&lt;=Last_Prem,MOD(A175,Mode)=0,C176&gt;INPUT!$C$13,A176&lt;=Revival!$C$11),Mod_Prem,0)</f>
        <v>0</v>
      </c>
      <c r="F176" s="177">
        <f>E176*VLOOKUP(B176,'Pre-Calculation'!$H$1:$I$31,2,FALSE)</f>
        <v>0</v>
      </c>
      <c r="G176" s="177">
        <f>IF(B176&lt;PT+1,VLOOKUP(B176,'Pre-Calculation'!$H$1:$L$32,3,FALSE)+VLOOKUP(B176,'Pre-Calculation'!$H$1:$L$32,4,FALSE)*'Pre-Calculation'!$D$7,0)</f>
        <v>0</v>
      </c>
      <c r="H176" s="175">
        <f>(E176-(F176+G176)*(1+Tax)+N175)</f>
        <v>2217982.214</v>
      </c>
      <c r="I176" s="175">
        <f>IF(B176&lt;PT+1,VLOOKUP(D176,'Pre-Calculation'!$N$3:$P$79,IF(INPUT!$C$4="M",2,3),FALSE)*(J176/1000)*(1/12),0)</f>
        <v>0</v>
      </c>
      <c r="J176" s="175">
        <f t="shared" si="3"/>
        <v>0</v>
      </c>
      <c r="K176" s="175">
        <f>(IF('Pre-Calculation'!$D$17="Type 4 a",MAX(SA,H176,1.05*Q176),IF('Pre-Calculation'!$D$17="Type 4 c",H176,IF('Pre-Calculation'!$D$17="Type 4 d",SA+H176,IF('Pre-Calculation'!$D$17="Type 4 e",MAX(SA,H176),IF('Pre-Calculation'!$D$17="Type 4 f",SA,IF('Pre-Calculation'!$D$17="Type 4 g",1000+H176,IF('Pre-Calculation'!$D$17="Type 4 h",SA+V176,IF('Pre-Calculation'!$D$17="Type 4 i",MAX(H176,Q176),IF('Pre-Calculation'!$D$17="Type 4 k",MAX(H176,1.01*Q176),IF('Pre-Calculation'!$D$17="Type 4 m",MAX(105%*Q176,SA+H176),IF('Pre-Calculation'!$D$17="Type 4 o",MAX(SA,105%*Q176)+V176+X176,IF('Pre-Calculation'!$D$17="Type 5",0)))))))))))))*IF(AND(A176&lt;Revival!$C$4,C176&gt;=Revival!$D$12),PUP,1)</f>
        <v>2217982.214</v>
      </c>
      <c r="L176" s="175">
        <f>H176-I176*(1+Tax)</f>
        <v>2217982.214</v>
      </c>
      <c r="M176" s="175">
        <f>L176*(1+'Pre-Calculation'!$E$28)*(1-'Pre-Calculation'!$E$29*(1+Tax))</f>
        <v>2227838.857</v>
      </c>
      <c r="N176" s="175">
        <f>M176+IF(MOD(A176,B176)=0,VLOOKUP(B176,'Pre-Calculation'!$H$1:$L$31,5,FALSE),0)*IF('Pre-Calculation'!$D$16="% OF FV",M176,IF(OR('Pre-Calculation'!$D$16="% OF AFV(24M)",'Pre-Calculation'!$D$16="% OF AFV(8Q)"),AVERAGE( $M153:$M176),IF('Pre-Calculation'!$D$16="% OF AFV(12M)",AVERAGE($M165:M176),IF('Pre-Calculation'!$D$16="% OF AFV(36M)",AVERAGE($M141:M176)))))</f>
        <v>2227838.857</v>
      </c>
      <c r="O176" s="175">
        <f t="shared" si="4"/>
        <v>2227838.857</v>
      </c>
      <c r="P176" s="175">
        <f>IF('Pre-Calculation'!$D$17="Type 4 a",MAX(SA,N176,1.05*Q176),IF('Pre-Calculation'!$D$17="Type 4 c",N176,IF('Pre-Calculation'!$D$17="Type 4 d",SA+N176,IF('Pre-Calculation'!$D$17="Type 4 e",MAX(SA,N176),IF('Pre-Calculation'!$D$17="Type 4 f",SA,IF('Pre-Calculation'!$D$17="Type 4 g",1000+N176,IF('Pre-Calculation'!$D$17="Type 4 h",SA+V176,IF('Pre-Calculation'!$D$17="Type 4 i",MAX(N176,Q176),IF('Pre-Calculation'!$D$17="Type 4 k",MAX(N176,1.01*Q176),IF('Pre-Calculation'!$D$17="Type 4 m",MAX(105%*Q176,SA+N176),IF('Pre-Calculation'!$D$17="Type 4 o",MAX(SA,105%*Q176)+V176+X176,IF('Pre-Calculation'!$D$17="Type 5",0))))))))))))</f>
        <v>2227838.857</v>
      </c>
      <c r="Q176" s="175">
        <f t="shared" si="5"/>
        <v>1000000</v>
      </c>
      <c r="R176" s="119">
        <f>L176*(1+GROWTH_RATE)*FMC</f>
        <v>2509.918698</v>
      </c>
      <c r="S176" s="112"/>
      <c r="T176" s="175">
        <f>-E176+IF(A175=INPUT!$C$11*12,N176,0)</f>
        <v>0</v>
      </c>
      <c r="U176" s="112"/>
      <c r="V176" s="179">
        <f t="array" ref="V176">NPV('Pre-Calculation'!$E$20,$E177:E$246)</f>
        <v>0</v>
      </c>
      <c r="W176" s="171">
        <f>10%*SA</f>
        <v>100000</v>
      </c>
      <c r="X176" s="179">
        <f t="array" ref="X176">NPV('Pre-Calculation'!$E$20,W177:W186)</f>
        <v>969592.8037</v>
      </c>
      <c r="Y176" s="12"/>
      <c r="Z176" s="12"/>
    </row>
    <row r="177" ht="15.75" customHeight="1">
      <c r="A177" s="171">
        <f t="shared" si="1"/>
        <v>231</v>
      </c>
      <c r="B177" s="171">
        <f t="shared" si="2"/>
        <v>20</v>
      </c>
      <c r="C177" s="176">
        <f>EDATE(RCD,A176)</f>
        <v>49551</v>
      </c>
      <c r="D177" s="171">
        <f>Age_At_Entry+'Cashflows_Bond Fund'!B177-1</f>
        <v>54</v>
      </c>
      <c r="E177" s="175">
        <f>IF(AND(C177&lt;=Last_Prem,MOD(A176,Mode)=0,C177&gt;INPUT!$C$13,A177&lt;=Revival!$C$11),Mod_Prem,0)</f>
        <v>0</v>
      </c>
      <c r="F177" s="177">
        <f>E177*VLOOKUP(B177,'Pre-Calculation'!$H$1:$I$31,2,FALSE)</f>
        <v>0</v>
      </c>
      <c r="G177" s="177">
        <f>IF(B177&lt;PT+1,VLOOKUP(B177,'Pre-Calculation'!$H$1:$L$32,3,FALSE)+VLOOKUP(B177,'Pre-Calculation'!$H$1:$L$32,4,FALSE)*'Pre-Calculation'!$D$7,0)</f>
        <v>0</v>
      </c>
      <c r="H177" s="175">
        <f>(E177-(F177+G177)*(1+Tax)+N176)</f>
        <v>2227838.857</v>
      </c>
      <c r="I177" s="175">
        <f>IF(B177&lt;PT+1,VLOOKUP(D177,'Pre-Calculation'!$N$3:$P$79,IF(INPUT!$C$4="M",2,3),FALSE)*(J177/1000)*(1/12),0)</f>
        <v>0</v>
      </c>
      <c r="J177" s="175">
        <f t="shared" si="3"/>
        <v>0</v>
      </c>
      <c r="K177" s="175">
        <f>(IF('Pre-Calculation'!$D$17="Type 4 a",MAX(SA,H177,1.05*Q177),IF('Pre-Calculation'!$D$17="Type 4 c",H177,IF('Pre-Calculation'!$D$17="Type 4 d",SA+H177,IF('Pre-Calculation'!$D$17="Type 4 e",MAX(SA,H177),IF('Pre-Calculation'!$D$17="Type 4 f",SA,IF('Pre-Calculation'!$D$17="Type 4 g",1000+H177,IF('Pre-Calculation'!$D$17="Type 4 h",SA+V177,IF('Pre-Calculation'!$D$17="Type 4 i",MAX(H177,Q177),IF('Pre-Calculation'!$D$17="Type 4 k",MAX(H177,1.01*Q177),IF('Pre-Calculation'!$D$17="Type 4 m",MAX(105%*Q177,SA+H177),IF('Pre-Calculation'!$D$17="Type 4 o",MAX(SA,105%*Q177)+V177+X177,IF('Pre-Calculation'!$D$17="Type 5",0)))))))))))))*IF(AND(A177&lt;Revival!$C$4,C177&gt;=Revival!$D$12),PUP,1)</f>
        <v>2227838.857</v>
      </c>
      <c r="L177" s="175">
        <f>H177-I177*(1+Tax)</f>
        <v>2227838.857</v>
      </c>
      <c r="M177" s="175">
        <f>L177*(1+'Pre-Calculation'!$E$28)*(1-'Pre-Calculation'!$E$29*(1+Tax))</f>
        <v>2237739.303</v>
      </c>
      <c r="N177" s="175">
        <f>M177+IF(MOD(A177,B177)=0,VLOOKUP(B177,'Pre-Calculation'!$H$1:$L$31,5,FALSE),0)*IF('Pre-Calculation'!$D$16="% OF FV",M177,IF(OR('Pre-Calculation'!$D$16="% OF AFV(24M)",'Pre-Calculation'!$D$16="% OF AFV(8Q)"),AVERAGE( $M154:$M177),IF('Pre-Calculation'!$D$16="% OF AFV(12M)",AVERAGE($M166:M177),IF('Pre-Calculation'!$D$16="% OF AFV(36M)",AVERAGE($M142:M177)))))</f>
        <v>2237739.303</v>
      </c>
      <c r="O177" s="175">
        <f t="shared" si="4"/>
        <v>2237739.303</v>
      </c>
      <c r="P177" s="175">
        <f>IF('Pre-Calculation'!$D$17="Type 4 a",MAX(SA,N177,1.05*Q177),IF('Pre-Calculation'!$D$17="Type 4 c",N177,IF('Pre-Calculation'!$D$17="Type 4 d",SA+N177,IF('Pre-Calculation'!$D$17="Type 4 e",MAX(SA,N177),IF('Pre-Calculation'!$D$17="Type 4 f",SA,IF('Pre-Calculation'!$D$17="Type 4 g",1000+N177,IF('Pre-Calculation'!$D$17="Type 4 h",SA+V177,IF('Pre-Calculation'!$D$17="Type 4 i",MAX(N177,Q177),IF('Pre-Calculation'!$D$17="Type 4 k",MAX(N177,1.01*Q177),IF('Pre-Calculation'!$D$17="Type 4 m",MAX(105%*Q177,SA+N177),IF('Pre-Calculation'!$D$17="Type 4 o",MAX(SA,105%*Q177)+V177+X177,IF('Pre-Calculation'!$D$17="Type 5",0))))))))))))</f>
        <v>2237739.303</v>
      </c>
      <c r="Q177" s="175">
        <f t="shared" si="5"/>
        <v>1000000</v>
      </c>
      <c r="R177" s="119">
        <f>L177*(1+GROWTH_RATE)*FMC</f>
        <v>2521.072698</v>
      </c>
      <c r="S177" s="112"/>
      <c r="T177" s="175">
        <f>-E177+IF(A176=INPUT!$C$11*12,N177,0)</f>
        <v>0</v>
      </c>
      <c r="U177" s="112"/>
      <c r="V177" s="179">
        <f t="array" ref="V177">NPV('Pre-Calculation'!$E$20,$E178:E$246)</f>
        <v>0</v>
      </c>
      <c r="W177" s="171">
        <f>10%*SA</f>
        <v>100000</v>
      </c>
      <c r="X177" s="179">
        <f t="array" ref="X177">NPV('Pre-Calculation'!$E$20,W178:W187)</f>
        <v>969592.8037</v>
      </c>
      <c r="Y177" s="12"/>
      <c r="Z177" s="12"/>
    </row>
    <row r="178" ht="15.75" customHeight="1">
      <c r="A178" s="171">
        <f t="shared" si="1"/>
        <v>232</v>
      </c>
      <c r="B178" s="171">
        <f t="shared" si="2"/>
        <v>20</v>
      </c>
      <c r="C178" s="176">
        <f>EDATE(RCD,A177)</f>
        <v>49582</v>
      </c>
      <c r="D178" s="171">
        <f>Age_At_Entry+'Cashflows_Bond Fund'!B178-1</f>
        <v>54</v>
      </c>
      <c r="E178" s="175">
        <f>IF(AND(C178&lt;=Last_Prem,MOD(A177,Mode)=0,C178&gt;INPUT!$C$13,A178&lt;=Revival!$C$11),Mod_Prem,0)</f>
        <v>0</v>
      </c>
      <c r="F178" s="177">
        <f>E178*VLOOKUP(B178,'Pre-Calculation'!$H$1:$I$31,2,FALSE)</f>
        <v>0</v>
      </c>
      <c r="G178" s="177">
        <f>IF(B178&lt;PT+1,VLOOKUP(B178,'Pre-Calculation'!$H$1:$L$32,3,FALSE)+VLOOKUP(B178,'Pre-Calculation'!$H$1:$L$32,4,FALSE)*'Pre-Calculation'!$D$7,0)</f>
        <v>0</v>
      </c>
      <c r="H178" s="175">
        <f>(E178-(F178+G178)*(1+Tax)+N177)</f>
        <v>2237739.303</v>
      </c>
      <c r="I178" s="175">
        <f>IF(B178&lt;PT+1,VLOOKUP(D178,'Pre-Calculation'!$N$3:$P$79,IF(INPUT!$C$4="M",2,3),FALSE)*(J178/1000)*(1/12),0)</f>
        <v>0</v>
      </c>
      <c r="J178" s="175">
        <f t="shared" si="3"/>
        <v>0</v>
      </c>
      <c r="K178" s="175">
        <f>(IF('Pre-Calculation'!$D$17="Type 4 a",MAX(SA,H178,1.05*Q178),IF('Pre-Calculation'!$D$17="Type 4 c",H178,IF('Pre-Calculation'!$D$17="Type 4 d",SA+H178,IF('Pre-Calculation'!$D$17="Type 4 e",MAX(SA,H178),IF('Pre-Calculation'!$D$17="Type 4 f",SA,IF('Pre-Calculation'!$D$17="Type 4 g",1000+H178,IF('Pre-Calculation'!$D$17="Type 4 h",SA+V178,IF('Pre-Calculation'!$D$17="Type 4 i",MAX(H178,Q178),IF('Pre-Calculation'!$D$17="Type 4 k",MAX(H178,1.01*Q178),IF('Pre-Calculation'!$D$17="Type 4 m",MAX(105%*Q178,SA+H178),IF('Pre-Calculation'!$D$17="Type 4 o",MAX(SA,105%*Q178)+V178+X178,IF('Pre-Calculation'!$D$17="Type 5",0)))))))))))))*IF(AND(A178&lt;Revival!$C$4,C178&gt;=Revival!$D$12),PUP,1)</f>
        <v>2237739.303</v>
      </c>
      <c r="L178" s="175">
        <f>H178-I178*(1+Tax)</f>
        <v>2237739.303</v>
      </c>
      <c r="M178" s="175">
        <f>L178*(1+'Pre-Calculation'!$E$28)*(1-'Pre-Calculation'!$E$29*(1+Tax))</f>
        <v>2247683.747</v>
      </c>
      <c r="N178" s="175">
        <f>M178+IF(MOD(A178,B178)=0,VLOOKUP(B178,'Pre-Calculation'!$H$1:$L$31,5,FALSE),0)*IF('Pre-Calculation'!$D$16="% OF FV",M178,IF(OR('Pre-Calculation'!$D$16="% OF AFV(24M)",'Pre-Calculation'!$D$16="% OF AFV(8Q)"),AVERAGE( $M155:$M178),IF('Pre-Calculation'!$D$16="% OF AFV(12M)",AVERAGE($M167:M178),IF('Pre-Calculation'!$D$16="% OF AFV(36M)",AVERAGE($M143:M178)))))</f>
        <v>2247683.747</v>
      </c>
      <c r="O178" s="175">
        <f t="shared" si="4"/>
        <v>2247683.747</v>
      </c>
      <c r="P178" s="175">
        <f>IF('Pre-Calculation'!$D$17="Type 4 a",MAX(SA,N178,1.05*Q178),IF('Pre-Calculation'!$D$17="Type 4 c",N178,IF('Pre-Calculation'!$D$17="Type 4 d",SA+N178,IF('Pre-Calculation'!$D$17="Type 4 e",MAX(SA,N178),IF('Pre-Calculation'!$D$17="Type 4 f",SA,IF('Pre-Calculation'!$D$17="Type 4 g",1000+N178,IF('Pre-Calculation'!$D$17="Type 4 h",SA+V178,IF('Pre-Calculation'!$D$17="Type 4 i",MAX(N178,Q178),IF('Pre-Calculation'!$D$17="Type 4 k",MAX(N178,1.01*Q178),IF('Pre-Calculation'!$D$17="Type 4 m",MAX(105%*Q178,SA+N178),IF('Pre-Calculation'!$D$17="Type 4 o",MAX(SA,105%*Q178)+V178+X178,IF('Pre-Calculation'!$D$17="Type 5",0))))))))))))</f>
        <v>2247683.747</v>
      </c>
      <c r="Q178" s="175">
        <f t="shared" si="5"/>
        <v>1000000</v>
      </c>
      <c r="R178" s="119">
        <f>L178*(1+GROWTH_RATE)*FMC</f>
        <v>2532.276266</v>
      </c>
      <c r="S178" s="112"/>
      <c r="T178" s="175">
        <f>-E178+IF(A177=INPUT!$C$11*12,N178,0)</f>
        <v>0</v>
      </c>
      <c r="U178" s="112"/>
      <c r="V178" s="179">
        <f t="array" ref="V178">NPV('Pre-Calculation'!$E$20,$E179:E$246)</f>
        <v>0</v>
      </c>
      <c r="W178" s="171">
        <f>10%*SA</f>
        <v>100000</v>
      </c>
      <c r="X178" s="179">
        <f t="array" ref="X178">NPV('Pre-Calculation'!$E$20,W179:W188)</f>
        <v>969592.8037</v>
      </c>
      <c r="Y178" s="12"/>
      <c r="Z178" s="12"/>
    </row>
    <row r="179" ht="15.75" customHeight="1">
      <c r="A179" s="171">
        <f t="shared" si="1"/>
        <v>233</v>
      </c>
      <c r="B179" s="171">
        <f t="shared" si="2"/>
        <v>20</v>
      </c>
      <c r="C179" s="176">
        <f>EDATE(RCD,A178)</f>
        <v>49612</v>
      </c>
      <c r="D179" s="171">
        <f>Age_At_Entry+'Cashflows_Bond Fund'!B179-1</f>
        <v>54</v>
      </c>
      <c r="E179" s="175">
        <f>IF(AND(C179&lt;=Last_Prem,MOD(A178,Mode)=0,C179&gt;INPUT!$C$13,A179&lt;=Revival!$C$11),Mod_Prem,0)</f>
        <v>0</v>
      </c>
      <c r="F179" s="177">
        <f>E179*VLOOKUP(B179,'Pre-Calculation'!$H$1:$I$31,2,FALSE)</f>
        <v>0</v>
      </c>
      <c r="G179" s="177">
        <f>IF(B179&lt;PT+1,VLOOKUP(B179,'Pre-Calculation'!$H$1:$L$32,3,FALSE)+VLOOKUP(B179,'Pre-Calculation'!$H$1:$L$32,4,FALSE)*'Pre-Calculation'!$D$7,0)</f>
        <v>0</v>
      </c>
      <c r="H179" s="175">
        <f>(E179-(F179+G179)*(1+Tax)+N178)</f>
        <v>2247683.747</v>
      </c>
      <c r="I179" s="175">
        <f>IF(B179&lt;PT+1,VLOOKUP(D179,'Pre-Calculation'!$N$3:$P$79,IF(INPUT!$C$4="M",2,3),FALSE)*(J179/1000)*(1/12),0)</f>
        <v>0</v>
      </c>
      <c r="J179" s="175">
        <f t="shared" si="3"/>
        <v>0</v>
      </c>
      <c r="K179" s="175">
        <f>(IF('Pre-Calculation'!$D$17="Type 4 a",MAX(SA,H179,1.05*Q179),IF('Pre-Calculation'!$D$17="Type 4 c",H179,IF('Pre-Calculation'!$D$17="Type 4 d",SA+H179,IF('Pre-Calculation'!$D$17="Type 4 e",MAX(SA,H179),IF('Pre-Calculation'!$D$17="Type 4 f",SA,IF('Pre-Calculation'!$D$17="Type 4 g",1000+H179,IF('Pre-Calculation'!$D$17="Type 4 h",SA+V179,IF('Pre-Calculation'!$D$17="Type 4 i",MAX(H179,Q179),IF('Pre-Calculation'!$D$17="Type 4 k",MAX(H179,1.01*Q179),IF('Pre-Calculation'!$D$17="Type 4 m",MAX(105%*Q179,SA+H179),IF('Pre-Calculation'!$D$17="Type 4 o",MAX(SA,105%*Q179)+V179+X179,IF('Pre-Calculation'!$D$17="Type 5",0)))))))))))))*IF(AND(A179&lt;Revival!$C$4,C179&gt;=Revival!$D$12),PUP,1)</f>
        <v>2247683.747</v>
      </c>
      <c r="L179" s="175">
        <f>H179-I179*(1+Tax)</f>
        <v>2247683.747</v>
      </c>
      <c r="M179" s="175">
        <f>L179*(1+'Pre-Calculation'!$E$28)*(1-'Pre-Calculation'!$E$29*(1+Tax))</f>
        <v>2257672.383</v>
      </c>
      <c r="N179" s="175">
        <f>M179+IF(MOD(A179,B179)=0,VLOOKUP(B179,'Pre-Calculation'!$H$1:$L$31,5,FALSE),0)*IF('Pre-Calculation'!$D$16="% OF FV",M179,IF(OR('Pre-Calculation'!$D$16="% OF AFV(24M)",'Pre-Calculation'!$D$16="% OF AFV(8Q)"),AVERAGE( $M156:$M179),IF('Pre-Calculation'!$D$16="% OF AFV(12M)",AVERAGE($M168:M179),IF('Pre-Calculation'!$D$16="% OF AFV(36M)",AVERAGE($M144:M179)))))</f>
        <v>2257672.383</v>
      </c>
      <c r="O179" s="175">
        <f t="shared" si="4"/>
        <v>2257672.383</v>
      </c>
      <c r="P179" s="175">
        <f>IF('Pre-Calculation'!$D$17="Type 4 a",MAX(SA,N179,1.05*Q179),IF('Pre-Calculation'!$D$17="Type 4 c",N179,IF('Pre-Calculation'!$D$17="Type 4 d",SA+N179,IF('Pre-Calculation'!$D$17="Type 4 e",MAX(SA,N179),IF('Pre-Calculation'!$D$17="Type 4 f",SA,IF('Pre-Calculation'!$D$17="Type 4 g",1000+N179,IF('Pre-Calculation'!$D$17="Type 4 h",SA+V179,IF('Pre-Calculation'!$D$17="Type 4 i",MAX(N179,Q179),IF('Pre-Calculation'!$D$17="Type 4 k",MAX(N179,1.01*Q179),IF('Pre-Calculation'!$D$17="Type 4 m",MAX(105%*Q179,SA+N179),IF('Pre-Calculation'!$D$17="Type 4 o",MAX(SA,105%*Q179)+V179+X179,IF('Pre-Calculation'!$D$17="Type 5",0))))))))))))</f>
        <v>2257672.383</v>
      </c>
      <c r="Q179" s="175">
        <f t="shared" si="5"/>
        <v>1000000</v>
      </c>
      <c r="R179" s="119">
        <f>L179*(1+GROWTH_RATE)*FMC</f>
        <v>2543.529623</v>
      </c>
      <c r="S179" s="112"/>
      <c r="T179" s="175">
        <f>-E179+IF(A178=INPUT!$C$11*12,N179,0)</f>
        <v>0</v>
      </c>
      <c r="U179" s="112"/>
      <c r="V179" s="179">
        <f t="array" ref="V179">NPV('Pre-Calculation'!$E$20,$E180:E$246)</f>
        <v>0</v>
      </c>
      <c r="W179" s="171">
        <f>10%*SA</f>
        <v>100000</v>
      </c>
      <c r="X179" s="179">
        <f t="array" ref="X179">NPV('Pre-Calculation'!$E$20,W180:W189)</f>
        <v>969592.8037</v>
      </c>
      <c r="Y179" s="12"/>
      <c r="Z179" s="12"/>
    </row>
    <row r="180" ht="15.75" customHeight="1">
      <c r="A180" s="171">
        <f t="shared" si="1"/>
        <v>234</v>
      </c>
      <c r="B180" s="171">
        <f t="shared" si="2"/>
        <v>20</v>
      </c>
      <c r="C180" s="176">
        <f>EDATE(RCD,A179)</f>
        <v>49643</v>
      </c>
      <c r="D180" s="171">
        <f>Age_At_Entry+'Cashflows_Bond Fund'!B180-1</f>
        <v>54</v>
      </c>
      <c r="E180" s="175">
        <f>IF(AND(C180&lt;=Last_Prem,MOD(A179,Mode)=0,C180&gt;INPUT!$C$13,A180&lt;=Revival!$C$11),Mod_Prem,0)</f>
        <v>0</v>
      </c>
      <c r="F180" s="177">
        <f>E180*VLOOKUP(B180,'Pre-Calculation'!$H$1:$I$31,2,FALSE)</f>
        <v>0</v>
      </c>
      <c r="G180" s="177">
        <f>IF(B180&lt;PT+1,VLOOKUP(B180,'Pre-Calculation'!$H$1:$L$32,3,FALSE)+VLOOKUP(B180,'Pre-Calculation'!$H$1:$L$32,4,FALSE)*'Pre-Calculation'!$D$7,0)</f>
        <v>0</v>
      </c>
      <c r="H180" s="175">
        <f>(E180-(F180+G180)*(1+Tax)+N179)</f>
        <v>2257672.383</v>
      </c>
      <c r="I180" s="175">
        <f>IF(B180&lt;PT+1,VLOOKUP(D180,'Pre-Calculation'!$N$3:$P$79,IF(INPUT!$C$4="M",2,3),FALSE)*(J180/1000)*(1/12),0)</f>
        <v>0</v>
      </c>
      <c r="J180" s="175">
        <f t="shared" si="3"/>
        <v>0</v>
      </c>
      <c r="K180" s="175">
        <f>(IF('Pre-Calculation'!$D$17="Type 4 a",MAX(SA,H180,1.05*Q180),IF('Pre-Calculation'!$D$17="Type 4 c",H180,IF('Pre-Calculation'!$D$17="Type 4 d",SA+H180,IF('Pre-Calculation'!$D$17="Type 4 e",MAX(SA,H180),IF('Pre-Calculation'!$D$17="Type 4 f",SA,IF('Pre-Calculation'!$D$17="Type 4 g",1000+H180,IF('Pre-Calculation'!$D$17="Type 4 h",SA+V180,IF('Pre-Calculation'!$D$17="Type 4 i",MAX(H180,Q180),IF('Pre-Calculation'!$D$17="Type 4 k",MAX(H180,1.01*Q180),IF('Pre-Calculation'!$D$17="Type 4 m",MAX(105%*Q180,SA+H180),IF('Pre-Calculation'!$D$17="Type 4 o",MAX(SA,105%*Q180)+V180+X180,IF('Pre-Calculation'!$D$17="Type 5",0)))))))))))))*IF(AND(A180&lt;Revival!$C$4,C180&gt;=Revival!$D$12),PUP,1)</f>
        <v>2257672.383</v>
      </c>
      <c r="L180" s="175">
        <f>H180-I180*(1+Tax)</f>
        <v>2257672.383</v>
      </c>
      <c r="M180" s="175">
        <f>L180*(1+'Pre-Calculation'!$E$28)*(1-'Pre-Calculation'!$E$29*(1+Tax))</f>
        <v>2267705.409</v>
      </c>
      <c r="N180" s="175">
        <f>M180+IF(MOD(A180,B180)=0,VLOOKUP(B180,'Pre-Calculation'!$H$1:$L$31,5,FALSE),0)*IF('Pre-Calculation'!$D$16="% OF FV",M180,IF(OR('Pre-Calculation'!$D$16="% OF AFV(24M)",'Pre-Calculation'!$D$16="% OF AFV(8Q)"),AVERAGE( $M157:$M180),IF('Pre-Calculation'!$D$16="% OF AFV(12M)",AVERAGE($M169:M180),IF('Pre-Calculation'!$D$16="% OF AFV(36M)",AVERAGE($M145:M180)))))</f>
        <v>2267705.409</v>
      </c>
      <c r="O180" s="175">
        <f t="shared" si="4"/>
        <v>2267705.409</v>
      </c>
      <c r="P180" s="175">
        <f>IF('Pre-Calculation'!$D$17="Type 4 a",MAX(SA,N180,1.05*Q180),IF('Pre-Calculation'!$D$17="Type 4 c",N180,IF('Pre-Calculation'!$D$17="Type 4 d",SA+N180,IF('Pre-Calculation'!$D$17="Type 4 e",MAX(SA,N180),IF('Pre-Calculation'!$D$17="Type 4 f",SA,IF('Pre-Calculation'!$D$17="Type 4 g",1000+N180,IF('Pre-Calculation'!$D$17="Type 4 h",SA+V180,IF('Pre-Calculation'!$D$17="Type 4 i",MAX(N180,Q180),IF('Pre-Calculation'!$D$17="Type 4 k",MAX(N180,1.01*Q180),IF('Pre-Calculation'!$D$17="Type 4 m",MAX(105%*Q180,SA+N180),IF('Pre-Calculation'!$D$17="Type 4 o",MAX(SA,105%*Q180)+V180+X180,IF('Pre-Calculation'!$D$17="Type 5",0))))))))))))</f>
        <v>2267705.409</v>
      </c>
      <c r="Q180" s="175">
        <f t="shared" si="5"/>
        <v>1000000</v>
      </c>
      <c r="R180" s="119">
        <f>L180*(1+GROWTH_RATE)*FMC</f>
        <v>2554.832989</v>
      </c>
      <c r="S180" s="112"/>
      <c r="T180" s="175">
        <f>-E180+IF(A179=INPUT!$C$11*12,N180,0)</f>
        <v>0</v>
      </c>
      <c r="U180" s="112"/>
      <c r="V180" s="179">
        <f t="array" ref="V180">NPV('Pre-Calculation'!$E$20,$E181:E$246)</f>
        <v>0</v>
      </c>
      <c r="W180" s="171">
        <f>10%*SA</f>
        <v>100000</v>
      </c>
      <c r="X180" s="179">
        <f t="array" ref="X180">NPV('Pre-Calculation'!$E$20,W181:W190)</f>
        <v>969592.8037</v>
      </c>
      <c r="Y180" s="12"/>
      <c r="Z180" s="12"/>
    </row>
    <row r="181" ht="15.75" customHeight="1">
      <c r="A181" s="171">
        <f t="shared" si="1"/>
        <v>235</v>
      </c>
      <c r="B181" s="171">
        <f t="shared" si="2"/>
        <v>20</v>
      </c>
      <c r="C181" s="176">
        <f>EDATE(RCD,A180)</f>
        <v>49673</v>
      </c>
      <c r="D181" s="171">
        <f>Age_At_Entry+'Cashflows_Bond Fund'!B181-1</f>
        <v>54</v>
      </c>
      <c r="E181" s="175">
        <f>IF(AND(C181&lt;=Last_Prem,MOD(A180,Mode)=0,C181&gt;INPUT!$C$13,A181&lt;=Revival!$C$11),Mod_Prem,0)</f>
        <v>0</v>
      </c>
      <c r="F181" s="177">
        <f>E181*VLOOKUP(B181,'Pre-Calculation'!$H$1:$I$31,2,FALSE)</f>
        <v>0</v>
      </c>
      <c r="G181" s="177">
        <f>IF(B181&lt;PT+1,VLOOKUP(B181,'Pre-Calculation'!$H$1:$L$32,3,FALSE)+VLOOKUP(B181,'Pre-Calculation'!$H$1:$L$32,4,FALSE)*'Pre-Calculation'!$D$7,0)</f>
        <v>0</v>
      </c>
      <c r="H181" s="175">
        <f>(E181-(F181+G181)*(1+Tax)+N180)</f>
        <v>2267705.409</v>
      </c>
      <c r="I181" s="175">
        <f>IF(B181&lt;PT+1,VLOOKUP(D181,'Pre-Calculation'!$N$3:$P$79,IF(INPUT!$C$4="M",2,3),FALSE)*(J181/1000)*(1/12),0)</f>
        <v>0</v>
      </c>
      <c r="J181" s="175">
        <f t="shared" si="3"/>
        <v>0</v>
      </c>
      <c r="K181" s="175">
        <f>(IF('Pre-Calculation'!$D$17="Type 4 a",MAX(SA,H181,1.05*Q181),IF('Pre-Calculation'!$D$17="Type 4 c",H181,IF('Pre-Calculation'!$D$17="Type 4 d",SA+H181,IF('Pre-Calculation'!$D$17="Type 4 e",MAX(SA,H181),IF('Pre-Calculation'!$D$17="Type 4 f",SA,IF('Pre-Calculation'!$D$17="Type 4 g",1000+H181,IF('Pre-Calculation'!$D$17="Type 4 h",SA+V181,IF('Pre-Calculation'!$D$17="Type 4 i",MAX(H181,Q181),IF('Pre-Calculation'!$D$17="Type 4 k",MAX(H181,1.01*Q181),IF('Pre-Calculation'!$D$17="Type 4 m",MAX(105%*Q181,SA+H181),IF('Pre-Calculation'!$D$17="Type 4 o",MAX(SA,105%*Q181)+V181+X181,IF('Pre-Calculation'!$D$17="Type 5",0)))))))))))))*IF(AND(A181&lt;Revival!$C$4,C181&gt;=Revival!$D$12),PUP,1)</f>
        <v>2267705.409</v>
      </c>
      <c r="L181" s="175">
        <f>H181-I181*(1+Tax)</f>
        <v>2267705.409</v>
      </c>
      <c r="M181" s="175">
        <f>L181*(1+'Pre-Calculation'!$E$28)*(1-'Pre-Calculation'!$E$29*(1+Tax))</f>
        <v>2277783.021</v>
      </c>
      <c r="N181" s="175">
        <f>M181+IF(MOD(A181,B181)=0,VLOOKUP(B181,'Pre-Calculation'!$H$1:$L$31,5,FALSE),0)*IF('Pre-Calculation'!$D$16="% OF FV",M181,IF(OR('Pre-Calculation'!$D$16="% OF AFV(24M)",'Pre-Calculation'!$D$16="% OF AFV(8Q)"),AVERAGE( $M158:$M181),IF('Pre-Calculation'!$D$16="% OF AFV(12M)",AVERAGE($M170:M181),IF('Pre-Calculation'!$D$16="% OF AFV(36M)",AVERAGE($M146:M181)))))</f>
        <v>2277783.021</v>
      </c>
      <c r="O181" s="175">
        <f t="shared" si="4"/>
        <v>2277783.021</v>
      </c>
      <c r="P181" s="175">
        <f>IF('Pre-Calculation'!$D$17="Type 4 a",MAX(SA,N181,1.05*Q181),IF('Pre-Calculation'!$D$17="Type 4 c",N181,IF('Pre-Calculation'!$D$17="Type 4 d",SA+N181,IF('Pre-Calculation'!$D$17="Type 4 e",MAX(SA,N181),IF('Pre-Calculation'!$D$17="Type 4 f",SA,IF('Pre-Calculation'!$D$17="Type 4 g",1000+N181,IF('Pre-Calculation'!$D$17="Type 4 h",SA+V181,IF('Pre-Calculation'!$D$17="Type 4 i",MAX(N181,Q181),IF('Pre-Calculation'!$D$17="Type 4 k",MAX(N181,1.01*Q181),IF('Pre-Calculation'!$D$17="Type 4 m",MAX(105%*Q181,SA+N181),IF('Pre-Calculation'!$D$17="Type 4 o",MAX(SA,105%*Q181)+V181+X181,IF('Pre-Calculation'!$D$17="Type 5",0))))))))))))</f>
        <v>2277783.021</v>
      </c>
      <c r="Q181" s="175">
        <f t="shared" si="5"/>
        <v>1000000</v>
      </c>
      <c r="R181" s="119">
        <f>L181*(1+GROWTH_RATE)*FMC</f>
        <v>2566.186587</v>
      </c>
      <c r="S181" s="112"/>
      <c r="T181" s="175">
        <f>-E181+IF(A180=INPUT!$C$11*12,N181,0)</f>
        <v>0</v>
      </c>
      <c r="U181" s="112"/>
      <c r="V181" s="179">
        <f t="array" ref="V181">NPV('Pre-Calculation'!$E$20,$E182:E$246)</f>
        <v>0</v>
      </c>
      <c r="W181" s="171">
        <f>10%*SA</f>
        <v>100000</v>
      </c>
      <c r="X181" s="179">
        <f t="array" ref="X181">NPV('Pre-Calculation'!$E$20,W182:W191)</f>
        <v>969592.8037</v>
      </c>
      <c r="Y181" s="12"/>
      <c r="Z181" s="12"/>
    </row>
    <row r="182" ht="15.75" customHeight="1">
      <c r="A182" s="171">
        <f t="shared" si="1"/>
        <v>236</v>
      </c>
      <c r="B182" s="171">
        <f t="shared" si="2"/>
        <v>20</v>
      </c>
      <c r="C182" s="176">
        <f>EDATE(RCD,A181)</f>
        <v>49704</v>
      </c>
      <c r="D182" s="171">
        <f>Age_At_Entry+'Cashflows_Bond Fund'!B182-1</f>
        <v>54</v>
      </c>
      <c r="E182" s="175">
        <f>IF(AND(C182&lt;=Last_Prem,MOD(A181,Mode)=0,C182&gt;INPUT!$C$13,A182&lt;=Revival!$C$11),Mod_Prem,0)</f>
        <v>0</v>
      </c>
      <c r="F182" s="177">
        <f>E182*VLOOKUP(B182,'Pre-Calculation'!$H$1:$I$31,2,FALSE)</f>
        <v>0</v>
      </c>
      <c r="G182" s="177">
        <f>IF(B182&lt;PT+1,VLOOKUP(B182,'Pre-Calculation'!$H$1:$L$32,3,FALSE)+VLOOKUP(B182,'Pre-Calculation'!$H$1:$L$32,4,FALSE)*'Pre-Calculation'!$D$7,0)</f>
        <v>0</v>
      </c>
      <c r="H182" s="175">
        <f>(E182-(F182+G182)*(1+Tax)+N181)</f>
        <v>2277783.021</v>
      </c>
      <c r="I182" s="175">
        <f>IF(B182&lt;PT+1,VLOOKUP(D182,'Pre-Calculation'!$N$3:$P$79,IF(INPUT!$C$4="M",2,3),FALSE)*(J182/1000)*(1/12),0)</f>
        <v>0</v>
      </c>
      <c r="J182" s="175">
        <f t="shared" si="3"/>
        <v>0</v>
      </c>
      <c r="K182" s="175">
        <f>(IF('Pre-Calculation'!$D$17="Type 4 a",MAX(SA,H182,1.05*Q182),IF('Pre-Calculation'!$D$17="Type 4 c",H182,IF('Pre-Calculation'!$D$17="Type 4 d",SA+H182,IF('Pre-Calculation'!$D$17="Type 4 e",MAX(SA,H182),IF('Pre-Calculation'!$D$17="Type 4 f",SA,IF('Pre-Calculation'!$D$17="Type 4 g",1000+H182,IF('Pre-Calculation'!$D$17="Type 4 h",SA+V182,IF('Pre-Calculation'!$D$17="Type 4 i",MAX(H182,Q182),IF('Pre-Calculation'!$D$17="Type 4 k",MAX(H182,1.01*Q182),IF('Pre-Calculation'!$D$17="Type 4 m",MAX(105%*Q182,SA+H182),IF('Pre-Calculation'!$D$17="Type 4 o",MAX(SA,105%*Q182)+V182+X182,IF('Pre-Calculation'!$D$17="Type 5",0)))))))))))))*IF(AND(A182&lt;Revival!$C$4,C182&gt;=Revival!$D$12),PUP,1)</f>
        <v>2277783.021</v>
      </c>
      <c r="L182" s="175">
        <f>H182-I182*(1+Tax)</f>
        <v>2277783.021</v>
      </c>
      <c r="M182" s="175">
        <f>L182*(1+'Pre-Calculation'!$E$28)*(1-'Pre-Calculation'!$E$29*(1+Tax))</f>
        <v>2287905.417</v>
      </c>
      <c r="N182" s="175">
        <f>M182+IF(MOD(A182,B182)=0,VLOOKUP(B182,'Pre-Calculation'!$H$1:$L$31,5,FALSE),0)*IF('Pre-Calculation'!$D$16="% OF FV",M182,IF(OR('Pre-Calculation'!$D$16="% OF AFV(24M)",'Pre-Calculation'!$D$16="% OF AFV(8Q)"),AVERAGE( $M159:$M182),IF('Pre-Calculation'!$D$16="% OF AFV(12M)",AVERAGE($M171:M182),IF('Pre-Calculation'!$D$16="% OF AFV(36M)",AVERAGE($M147:M182)))))</f>
        <v>2287905.417</v>
      </c>
      <c r="O182" s="175">
        <f t="shared" si="4"/>
        <v>2287905.417</v>
      </c>
      <c r="P182" s="175">
        <f>IF('Pre-Calculation'!$D$17="Type 4 a",MAX(SA,N182,1.05*Q182),IF('Pre-Calculation'!$D$17="Type 4 c",N182,IF('Pre-Calculation'!$D$17="Type 4 d",SA+N182,IF('Pre-Calculation'!$D$17="Type 4 e",MAX(SA,N182),IF('Pre-Calculation'!$D$17="Type 4 f",SA,IF('Pre-Calculation'!$D$17="Type 4 g",1000+N182,IF('Pre-Calculation'!$D$17="Type 4 h",SA+V182,IF('Pre-Calculation'!$D$17="Type 4 i",MAX(N182,Q182),IF('Pre-Calculation'!$D$17="Type 4 k",MAX(N182,1.01*Q182),IF('Pre-Calculation'!$D$17="Type 4 m",MAX(105%*Q182,SA+N182),IF('Pre-Calculation'!$D$17="Type 4 o",MAX(SA,105%*Q182)+V182+X182,IF('Pre-Calculation'!$D$17="Type 5",0))))))))))))</f>
        <v>2287905.417</v>
      </c>
      <c r="Q182" s="175">
        <f t="shared" si="5"/>
        <v>1000000</v>
      </c>
      <c r="R182" s="119">
        <f>L182*(1+GROWTH_RATE)*FMC</f>
        <v>2577.59064</v>
      </c>
      <c r="S182" s="112"/>
      <c r="T182" s="175">
        <f>-E182+IF(A181=INPUT!$C$11*12,N182,0)</f>
        <v>0</v>
      </c>
      <c r="U182" s="112"/>
      <c r="V182" s="179">
        <f t="array" ref="V182">NPV('Pre-Calculation'!$E$20,$E183:E$246)</f>
        <v>0</v>
      </c>
      <c r="W182" s="171">
        <f>10%*SA</f>
        <v>100000</v>
      </c>
      <c r="X182" s="179">
        <f t="array" ref="X182">NPV('Pre-Calculation'!$E$20,W183:W192)</f>
        <v>969592.8037</v>
      </c>
      <c r="Y182" s="12"/>
      <c r="Z182" s="12"/>
    </row>
    <row r="183" ht="15.75" customHeight="1">
      <c r="A183" s="171">
        <f t="shared" si="1"/>
        <v>237</v>
      </c>
      <c r="B183" s="171">
        <f t="shared" si="2"/>
        <v>20</v>
      </c>
      <c r="C183" s="176">
        <f>EDATE(RCD,A182)</f>
        <v>49734</v>
      </c>
      <c r="D183" s="171">
        <f>Age_At_Entry+'Cashflows_Bond Fund'!B183-1</f>
        <v>54</v>
      </c>
      <c r="E183" s="175">
        <f>IF(AND(C183&lt;=Last_Prem,MOD(A182,Mode)=0,C183&gt;INPUT!$C$13,A183&lt;=Revival!$C$11),Mod_Prem,0)</f>
        <v>0</v>
      </c>
      <c r="F183" s="177">
        <f>E183*VLOOKUP(B183,'Pre-Calculation'!$H$1:$I$31,2,FALSE)</f>
        <v>0</v>
      </c>
      <c r="G183" s="177">
        <f>IF(B183&lt;PT+1,VLOOKUP(B183,'Pre-Calculation'!$H$1:$L$32,3,FALSE)+VLOOKUP(B183,'Pre-Calculation'!$H$1:$L$32,4,FALSE)*'Pre-Calculation'!$D$7,0)</f>
        <v>0</v>
      </c>
      <c r="H183" s="175">
        <f>(E183-(F183+G183)*(1+Tax)+N182)</f>
        <v>2287905.417</v>
      </c>
      <c r="I183" s="175">
        <f>IF(B183&lt;PT+1,VLOOKUP(D183,'Pre-Calculation'!$N$3:$P$79,IF(INPUT!$C$4="M",2,3),FALSE)*(J183/1000)*(1/12),0)</f>
        <v>0</v>
      </c>
      <c r="J183" s="175">
        <f t="shared" si="3"/>
        <v>0</v>
      </c>
      <c r="K183" s="175">
        <f>(IF('Pre-Calculation'!$D$17="Type 4 a",MAX(SA,H183,1.05*Q183),IF('Pre-Calculation'!$D$17="Type 4 c",H183,IF('Pre-Calculation'!$D$17="Type 4 d",SA+H183,IF('Pre-Calculation'!$D$17="Type 4 e",MAX(SA,H183),IF('Pre-Calculation'!$D$17="Type 4 f",SA,IF('Pre-Calculation'!$D$17="Type 4 g",1000+H183,IF('Pre-Calculation'!$D$17="Type 4 h",SA+V183,IF('Pre-Calculation'!$D$17="Type 4 i",MAX(H183,Q183),IF('Pre-Calculation'!$D$17="Type 4 k",MAX(H183,1.01*Q183),IF('Pre-Calculation'!$D$17="Type 4 m",MAX(105%*Q183,SA+H183),IF('Pre-Calculation'!$D$17="Type 4 o",MAX(SA,105%*Q183)+V183+X183,IF('Pre-Calculation'!$D$17="Type 5",0)))))))))))))*IF(AND(A183&lt;Revival!$C$4,C183&gt;=Revival!$D$12),PUP,1)</f>
        <v>2287905.417</v>
      </c>
      <c r="L183" s="175">
        <f>H183-I183*(1+Tax)</f>
        <v>2287905.417</v>
      </c>
      <c r="M183" s="175">
        <f>L183*(1+'Pre-Calculation'!$E$28)*(1-'Pre-Calculation'!$E$29*(1+Tax))</f>
        <v>2298072.797</v>
      </c>
      <c r="N183" s="175">
        <f>M183+IF(MOD(A183,B183)=0,VLOOKUP(B183,'Pre-Calculation'!$H$1:$L$31,5,FALSE),0)*IF('Pre-Calculation'!$D$16="% OF FV",M183,IF(OR('Pre-Calculation'!$D$16="% OF AFV(24M)",'Pre-Calculation'!$D$16="% OF AFV(8Q)"),AVERAGE( $M160:$M183),IF('Pre-Calculation'!$D$16="% OF AFV(12M)",AVERAGE($M172:M183),IF('Pre-Calculation'!$D$16="% OF AFV(36M)",AVERAGE($M148:M183)))))</f>
        <v>2298072.797</v>
      </c>
      <c r="O183" s="175">
        <f t="shared" si="4"/>
        <v>2298072.797</v>
      </c>
      <c r="P183" s="175">
        <f>IF('Pre-Calculation'!$D$17="Type 4 a",MAX(SA,N183,1.05*Q183),IF('Pre-Calculation'!$D$17="Type 4 c",N183,IF('Pre-Calculation'!$D$17="Type 4 d",SA+N183,IF('Pre-Calculation'!$D$17="Type 4 e",MAX(SA,N183),IF('Pre-Calculation'!$D$17="Type 4 f",SA,IF('Pre-Calculation'!$D$17="Type 4 g",1000+N183,IF('Pre-Calculation'!$D$17="Type 4 h",SA+V183,IF('Pre-Calculation'!$D$17="Type 4 i",MAX(N183,Q183),IF('Pre-Calculation'!$D$17="Type 4 k",MAX(N183,1.01*Q183),IF('Pre-Calculation'!$D$17="Type 4 m",MAX(105%*Q183,SA+N183),IF('Pre-Calculation'!$D$17="Type 4 o",MAX(SA,105%*Q183)+V183+X183,IF('Pre-Calculation'!$D$17="Type 5",0))))))))))))</f>
        <v>2298072.797</v>
      </c>
      <c r="Q183" s="175">
        <f t="shared" si="5"/>
        <v>1000000</v>
      </c>
      <c r="R183" s="119">
        <f>L183*(1+GROWTH_RATE)*FMC</f>
        <v>2589.045372</v>
      </c>
      <c r="S183" s="112"/>
      <c r="T183" s="175">
        <f>-E183+IF(A182=INPUT!$C$11*12,N183,0)</f>
        <v>0</v>
      </c>
      <c r="U183" s="112"/>
      <c r="V183" s="179">
        <f t="array" ref="V183">NPV('Pre-Calculation'!$E$20,$E184:E$246)</f>
        <v>0</v>
      </c>
      <c r="W183" s="171">
        <f>10%*SA</f>
        <v>100000</v>
      </c>
      <c r="X183" s="179">
        <f t="array" ref="X183">NPV('Pre-Calculation'!$E$20,W184:W193)</f>
        <v>969592.8037</v>
      </c>
      <c r="Y183" s="12"/>
      <c r="Z183" s="12"/>
    </row>
    <row r="184" ht="15.75" customHeight="1">
      <c r="A184" s="171">
        <f t="shared" si="1"/>
        <v>238</v>
      </c>
      <c r="B184" s="171">
        <f t="shared" si="2"/>
        <v>20</v>
      </c>
      <c r="C184" s="176">
        <f>EDATE(RCD,A183)</f>
        <v>49764</v>
      </c>
      <c r="D184" s="171">
        <f>Age_At_Entry+'Cashflows_Bond Fund'!B184-1</f>
        <v>54</v>
      </c>
      <c r="E184" s="175">
        <f>IF(AND(C184&lt;=Last_Prem,MOD(A183,Mode)=0,C184&gt;INPUT!$C$13,A184&lt;=Revival!$C$11),Mod_Prem,0)</f>
        <v>0</v>
      </c>
      <c r="F184" s="177">
        <f>E184*VLOOKUP(B184,'Pre-Calculation'!$H$1:$I$31,2,FALSE)</f>
        <v>0</v>
      </c>
      <c r="G184" s="177">
        <f>IF(B184&lt;PT+1,VLOOKUP(B184,'Pre-Calculation'!$H$1:$L$32,3,FALSE)+VLOOKUP(B184,'Pre-Calculation'!$H$1:$L$32,4,FALSE)*'Pre-Calculation'!$D$7,0)</f>
        <v>0</v>
      </c>
      <c r="H184" s="175">
        <f>(E184-(F184+G184)*(1+Tax)+N183)</f>
        <v>2298072.797</v>
      </c>
      <c r="I184" s="175">
        <f>IF(B184&lt;PT+1,VLOOKUP(D184,'Pre-Calculation'!$N$3:$P$79,IF(INPUT!$C$4="M",2,3),FALSE)*(J184/1000)*(1/12),0)</f>
        <v>0</v>
      </c>
      <c r="J184" s="175">
        <f t="shared" si="3"/>
        <v>0</v>
      </c>
      <c r="K184" s="175">
        <f>(IF('Pre-Calculation'!$D$17="Type 4 a",MAX(SA,H184,1.05*Q184),IF('Pre-Calculation'!$D$17="Type 4 c",H184,IF('Pre-Calculation'!$D$17="Type 4 d",SA+H184,IF('Pre-Calculation'!$D$17="Type 4 e",MAX(SA,H184),IF('Pre-Calculation'!$D$17="Type 4 f",SA,IF('Pre-Calculation'!$D$17="Type 4 g",1000+H184,IF('Pre-Calculation'!$D$17="Type 4 h",SA+V184,IF('Pre-Calculation'!$D$17="Type 4 i",MAX(H184,Q184),IF('Pre-Calculation'!$D$17="Type 4 k",MAX(H184,1.01*Q184),IF('Pre-Calculation'!$D$17="Type 4 m",MAX(105%*Q184,SA+H184),IF('Pre-Calculation'!$D$17="Type 4 o",MAX(SA,105%*Q184)+V184+X184,IF('Pre-Calculation'!$D$17="Type 5",0)))))))))))))*IF(AND(A184&lt;Revival!$C$4,C184&gt;=Revival!$D$12),PUP,1)</f>
        <v>2298072.797</v>
      </c>
      <c r="L184" s="175">
        <f>H184-I184*(1+Tax)</f>
        <v>2298072.797</v>
      </c>
      <c r="M184" s="175">
        <f>L184*(1+'Pre-Calculation'!$E$28)*(1-'Pre-Calculation'!$E$29*(1+Tax))</f>
        <v>2308285.361</v>
      </c>
      <c r="N184" s="175">
        <f>M184+IF(MOD(A184,B184)=0,VLOOKUP(B184,'Pre-Calculation'!$H$1:$L$31,5,FALSE),0)*IF('Pre-Calculation'!$D$16="% OF FV",M184,IF(OR('Pre-Calculation'!$D$16="% OF AFV(24M)",'Pre-Calculation'!$D$16="% OF AFV(8Q)"),AVERAGE( $M161:$M184),IF('Pre-Calculation'!$D$16="% OF AFV(12M)",AVERAGE($M173:M184),IF('Pre-Calculation'!$D$16="% OF AFV(36M)",AVERAGE($M149:M184)))))</f>
        <v>2308285.361</v>
      </c>
      <c r="O184" s="175">
        <f t="shared" si="4"/>
        <v>2308285.361</v>
      </c>
      <c r="P184" s="175">
        <f>IF('Pre-Calculation'!$D$17="Type 4 a",MAX(SA,N184,1.05*Q184),IF('Pre-Calculation'!$D$17="Type 4 c",N184,IF('Pre-Calculation'!$D$17="Type 4 d",SA+N184,IF('Pre-Calculation'!$D$17="Type 4 e",MAX(SA,N184),IF('Pre-Calculation'!$D$17="Type 4 f",SA,IF('Pre-Calculation'!$D$17="Type 4 g",1000+N184,IF('Pre-Calculation'!$D$17="Type 4 h",SA+V184,IF('Pre-Calculation'!$D$17="Type 4 i",MAX(N184,Q184),IF('Pre-Calculation'!$D$17="Type 4 k",MAX(N184,1.01*Q184),IF('Pre-Calculation'!$D$17="Type 4 m",MAX(105%*Q184,SA+N184),IF('Pre-Calculation'!$D$17="Type 4 o",MAX(SA,105%*Q184)+V184+X184,IF('Pre-Calculation'!$D$17="Type 5",0))))))))))))</f>
        <v>2308285.361</v>
      </c>
      <c r="Q184" s="175">
        <f t="shared" si="5"/>
        <v>1000000</v>
      </c>
      <c r="R184" s="119">
        <f>L184*(1+GROWTH_RATE)*FMC</f>
        <v>2600.551009</v>
      </c>
      <c r="S184" s="112"/>
      <c r="T184" s="175">
        <f>-E184+IF(A183=INPUT!$C$11*12,N184,0)</f>
        <v>0</v>
      </c>
      <c r="U184" s="112"/>
      <c r="V184" s="179">
        <f t="array" ref="V184">NPV('Pre-Calculation'!$E$20,$E185:E$246)</f>
        <v>0</v>
      </c>
      <c r="W184" s="171">
        <f>10%*SA</f>
        <v>100000</v>
      </c>
      <c r="X184" s="179">
        <f t="array" ref="X184">NPV('Pre-Calculation'!$E$20,W185:W194)</f>
        <v>969592.8037</v>
      </c>
      <c r="Y184" s="12"/>
      <c r="Z184" s="12"/>
    </row>
    <row r="185" ht="15.75" customHeight="1">
      <c r="A185" s="171">
        <f t="shared" si="1"/>
        <v>239</v>
      </c>
      <c r="B185" s="171">
        <f t="shared" si="2"/>
        <v>20</v>
      </c>
      <c r="C185" s="176">
        <f>EDATE(RCD,A184)</f>
        <v>49795</v>
      </c>
      <c r="D185" s="171">
        <f>Age_At_Entry+'Cashflows_Bond Fund'!B185-1</f>
        <v>54</v>
      </c>
      <c r="E185" s="175">
        <f>IF(AND(C185&lt;=Last_Prem,MOD(A184,Mode)=0,C185&gt;INPUT!$C$13,A185&lt;=Revival!$C$11),Mod_Prem,0)</f>
        <v>0</v>
      </c>
      <c r="F185" s="177">
        <f>E185*VLOOKUP(B185,'Pre-Calculation'!$H$1:$I$31,2,FALSE)</f>
        <v>0</v>
      </c>
      <c r="G185" s="177">
        <f>IF(B185&lt;PT+1,VLOOKUP(B185,'Pre-Calculation'!$H$1:$L$32,3,FALSE)+VLOOKUP(B185,'Pre-Calculation'!$H$1:$L$32,4,FALSE)*'Pre-Calculation'!$D$7,0)</f>
        <v>0</v>
      </c>
      <c r="H185" s="175">
        <f>(E185-(F185+G185)*(1+Tax)+N184)</f>
        <v>2308285.361</v>
      </c>
      <c r="I185" s="175">
        <f>IF(B185&lt;PT+1,VLOOKUP(D185,'Pre-Calculation'!$N$3:$P$79,IF(INPUT!$C$4="M",2,3),FALSE)*(J185/1000)*(1/12),0)</f>
        <v>0</v>
      </c>
      <c r="J185" s="175">
        <f t="shared" si="3"/>
        <v>0</v>
      </c>
      <c r="K185" s="175">
        <f>(IF('Pre-Calculation'!$D$17="Type 4 a",MAX(SA,H185,1.05*Q185),IF('Pre-Calculation'!$D$17="Type 4 c",H185,IF('Pre-Calculation'!$D$17="Type 4 d",SA+H185,IF('Pre-Calculation'!$D$17="Type 4 e",MAX(SA,H185),IF('Pre-Calculation'!$D$17="Type 4 f",SA,IF('Pre-Calculation'!$D$17="Type 4 g",1000+H185,IF('Pre-Calculation'!$D$17="Type 4 h",SA+V185,IF('Pre-Calculation'!$D$17="Type 4 i",MAX(H185,Q185),IF('Pre-Calculation'!$D$17="Type 4 k",MAX(H185,1.01*Q185),IF('Pre-Calculation'!$D$17="Type 4 m",MAX(105%*Q185,SA+H185),IF('Pre-Calculation'!$D$17="Type 4 o",MAX(SA,105%*Q185)+V185+X185,IF('Pre-Calculation'!$D$17="Type 5",0)))))))))))))*IF(AND(A185&lt;Revival!$C$4,C185&gt;=Revival!$D$12),PUP,1)</f>
        <v>2308285.361</v>
      </c>
      <c r="L185" s="175">
        <f>H185-I185*(1+Tax)</f>
        <v>2308285.361</v>
      </c>
      <c r="M185" s="175">
        <f>L185*(1+'Pre-Calculation'!$E$28)*(1-'Pre-Calculation'!$E$29*(1+Tax))</f>
        <v>2318543.309</v>
      </c>
      <c r="N185" s="175">
        <f>M185+IF(MOD(A185,B185)=0,VLOOKUP(B185,'Pre-Calculation'!$H$1:$L$31,5,FALSE),0)*IF('Pre-Calculation'!$D$16="% OF FV",M185,IF(OR('Pre-Calculation'!$D$16="% OF AFV(24M)",'Pre-Calculation'!$D$16="% OF AFV(8Q)"),AVERAGE( $M162:$M185),IF('Pre-Calculation'!$D$16="% OF AFV(12M)",AVERAGE($M174:M185),IF('Pre-Calculation'!$D$16="% OF AFV(36M)",AVERAGE($M150:M185)))))</f>
        <v>2318543.309</v>
      </c>
      <c r="O185" s="175">
        <f t="shared" si="4"/>
        <v>2318543.309</v>
      </c>
      <c r="P185" s="175">
        <f>IF('Pre-Calculation'!$D$17="Type 4 a",MAX(SA,N185,1.05*Q185),IF('Pre-Calculation'!$D$17="Type 4 c",N185,IF('Pre-Calculation'!$D$17="Type 4 d",SA+N185,IF('Pre-Calculation'!$D$17="Type 4 e",MAX(SA,N185),IF('Pre-Calculation'!$D$17="Type 4 f",SA,IF('Pre-Calculation'!$D$17="Type 4 g",1000+N185,IF('Pre-Calculation'!$D$17="Type 4 h",SA+V185,IF('Pre-Calculation'!$D$17="Type 4 i",MAX(N185,Q185),IF('Pre-Calculation'!$D$17="Type 4 k",MAX(N185,1.01*Q185),IF('Pre-Calculation'!$D$17="Type 4 m",MAX(105%*Q185,SA+N185),IF('Pre-Calculation'!$D$17="Type 4 o",MAX(SA,105%*Q185)+V185+X185,IF('Pre-Calculation'!$D$17="Type 5",0))))))))))))</f>
        <v>2318543.309</v>
      </c>
      <c r="Q185" s="175">
        <f t="shared" si="5"/>
        <v>1000000</v>
      </c>
      <c r="R185" s="119">
        <f>L185*(1+GROWTH_RATE)*FMC</f>
        <v>2612.107776</v>
      </c>
      <c r="S185" s="112"/>
      <c r="T185" s="175">
        <f>-E185+IF(A184=INPUT!$C$11*12,N185,0)</f>
        <v>0</v>
      </c>
      <c r="U185" s="112"/>
      <c r="V185" s="179">
        <f t="array" ref="V185">NPV('Pre-Calculation'!$E$20,$E186:E$246)</f>
        <v>0</v>
      </c>
      <c r="W185" s="171">
        <f>10%*SA</f>
        <v>100000</v>
      </c>
      <c r="X185" s="179">
        <f t="array" ref="X185">NPV('Pre-Calculation'!$E$20,W186:W195)</f>
        <v>969592.8037</v>
      </c>
      <c r="Y185" s="12"/>
      <c r="Z185" s="12"/>
    </row>
    <row r="186" ht="15.75" customHeight="1">
      <c r="A186" s="171">
        <f t="shared" si="1"/>
        <v>240</v>
      </c>
      <c r="B186" s="171">
        <f t="shared" si="2"/>
        <v>20</v>
      </c>
      <c r="C186" s="176">
        <f>EDATE(RCD,A185)</f>
        <v>49825</v>
      </c>
      <c r="D186" s="171">
        <f>Age_At_Entry+'Cashflows_Bond Fund'!B186-1</f>
        <v>54</v>
      </c>
      <c r="E186" s="175">
        <f>IF(AND(C186&lt;=Last_Prem,MOD(A185,Mode)=0,C186&gt;INPUT!$C$13,A186&lt;=Revival!$C$11),Mod_Prem,0)</f>
        <v>0</v>
      </c>
      <c r="F186" s="177">
        <f>E186*VLOOKUP(B186,'Pre-Calculation'!$H$1:$I$31,2,FALSE)</f>
        <v>0</v>
      </c>
      <c r="G186" s="177">
        <f>IF(B186&lt;PT+1,VLOOKUP(B186,'Pre-Calculation'!$H$1:$L$32,3,FALSE)+VLOOKUP(B186,'Pre-Calculation'!$H$1:$L$32,4,FALSE)*'Pre-Calculation'!$D$7,0)</f>
        <v>0</v>
      </c>
      <c r="H186" s="175">
        <f>(E186-(F186+G186)*(1+Tax)+N185)</f>
        <v>2318543.309</v>
      </c>
      <c r="I186" s="175">
        <f>IF(B186&lt;PT+1,VLOOKUP(D186,'Pre-Calculation'!$N$3:$P$79,IF(INPUT!$C$4="M",2,3),FALSE)*(J186/1000)*(1/12),0)</f>
        <v>0</v>
      </c>
      <c r="J186" s="175">
        <f t="shared" si="3"/>
        <v>0</v>
      </c>
      <c r="K186" s="175">
        <f>(IF('Pre-Calculation'!$D$17="Type 4 a",MAX(SA,H186,1.05*Q186),IF('Pre-Calculation'!$D$17="Type 4 c",H186,IF('Pre-Calculation'!$D$17="Type 4 d",SA+H186,IF('Pre-Calculation'!$D$17="Type 4 e",MAX(SA,H186),IF('Pre-Calculation'!$D$17="Type 4 f",SA,IF('Pre-Calculation'!$D$17="Type 4 g",1000+H186,IF('Pre-Calculation'!$D$17="Type 4 h",SA+V186,IF('Pre-Calculation'!$D$17="Type 4 i",MAX(H186,Q186),IF('Pre-Calculation'!$D$17="Type 4 k",MAX(H186,1.01*Q186),IF('Pre-Calculation'!$D$17="Type 4 m",MAX(105%*Q186,SA+H186),IF('Pre-Calculation'!$D$17="Type 4 o",MAX(SA,105%*Q186)+V186+X186,IF('Pre-Calculation'!$D$17="Type 5",0)))))))))))))*IF(AND(A186&lt;Revival!$C$4,C186&gt;=Revival!$D$12),PUP,1)</f>
        <v>2318543.309</v>
      </c>
      <c r="L186" s="175">
        <f>H186-I186*(1+Tax)</f>
        <v>2318543.309</v>
      </c>
      <c r="M186" s="175">
        <f>L186*(1+'Pre-Calculation'!$E$28)*(1-'Pre-Calculation'!$E$29*(1+Tax))</f>
        <v>2328846.843</v>
      </c>
      <c r="N186" s="175">
        <f>M186+IF(MOD(A186,B186)=0,VLOOKUP(B186,'Pre-Calculation'!$H$1:$L$31,5,FALSE),0)*IF('Pre-Calculation'!$D$16="% OF FV",M186,IF(OR('Pre-Calculation'!$D$16="% OF AFV(24M)",'Pre-Calculation'!$D$16="% OF AFV(8Q)"),AVERAGE( $M163:$M186),IF('Pre-Calculation'!$D$16="% OF AFV(12M)",AVERAGE($M175:M186),IF('Pre-Calculation'!$D$16="% OF AFV(36M)",AVERAGE($M151:M186)))))</f>
        <v>2328846.843</v>
      </c>
      <c r="O186" s="175">
        <f t="shared" si="4"/>
        <v>2328846.843</v>
      </c>
      <c r="P186" s="175">
        <f>IF('Pre-Calculation'!$D$17="Type 4 a",MAX(SA,N186,1.05*Q186),IF('Pre-Calculation'!$D$17="Type 4 c",N186,IF('Pre-Calculation'!$D$17="Type 4 d",SA+N186,IF('Pre-Calculation'!$D$17="Type 4 e",MAX(SA,N186),IF('Pre-Calculation'!$D$17="Type 4 f",SA,IF('Pre-Calculation'!$D$17="Type 4 g",1000+N186,IF('Pre-Calculation'!$D$17="Type 4 h",SA+V186,IF('Pre-Calculation'!$D$17="Type 4 i",MAX(N186,Q186),IF('Pre-Calculation'!$D$17="Type 4 k",MAX(N186,1.01*Q186),IF('Pre-Calculation'!$D$17="Type 4 m",MAX(105%*Q186,SA+N186),IF('Pre-Calculation'!$D$17="Type 4 o",MAX(SA,105%*Q186)+V186+X186,IF('Pre-Calculation'!$D$17="Type 5",0))))))))))))</f>
        <v>2328846.843</v>
      </c>
      <c r="Q186" s="175">
        <f t="shared" si="5"/>
        <v>1000000</v>
      </c>
      <c r="R186" s="119">
        <f>L186*(1+GROWTH_RATE)*FMC</f>
        <v>2623.715901</v>
      </c>
      <c r="S186" s="112"/>
      <c r="T186" s="175">
        <f>-E186+IF(A185=INPUT!$C$11*12,N186,0)</f>
        <v>0</v>
      </c>
      <c r="U186" s="112"/>
      <c r="V186" s="179">
        <f t="array" ref="V186">NPV('Pre-Calculation'!$E$20,$E187:E$246)</f>
        <v>0</v>
      </c>
      <c r="W186" s="171">
        <f>10%*SA</f>
        <v>100000</v>
      </c>
      <c r="X186" s="179">
        <f t="array" ref="X186">NPV('Pre-Calculation'!$E$20,W187:W196)</f>
        <v>969592.8037</v>
      </c>
      <c r="Y186" s="12"/>
      <c r="Z186" s="12"/>
    </row>
    <row r="187" ht="15.75" customHeight="1">
      <c r="A187" s="171">
        <f t="shared" si="1"/>
        <v>241</v>
      </c>
      <c r="B187" s="171">
        <f t="shared" si="2"/>
        <v>21</v>
      </c>
      <c r="C187" s="176">
        <f>EDATE(RCD,A186)</f>
        <v>49856</v>
      </c>
      <c r="D187" s="171">
        <f>Age_At_Entry+'Cashflows_Bond Fund'!B187-1</f>
        <v>55</v>
      </c>
      <c r="E187" s="175">
        <f>IF(AND(C187&lt;=Last_Prem,MOD(A186,Mode)=0,C187&gt;INPUT!$C$13,A187&lt;=Revival!$C$11),Mod_Prem,0)</f>
        <v>0</v>
      </c>
      <c r="F187" s="177">
        <f>E187*VLOOKUP(B187,'Pre-Calculation'!$H$1:$I$31,2,FALSE)</f>
        <v>0</v>
      </c>
      <c r="G187" s="177">
        <f>IF(B187&lt;PT+1,VLOOKUP(B187,'Pre-Calculation'!$H$1:$L$32,3,FALSE)+VLOOKUP(B187,'Pre-Calculation'!$H$1:$L$32,4,FALSE)*'Pre-Calculation'!$D$7,0)</f>
        <v>0</v>
      </c>
      <c r="H187" s="175">
        <f>(E187-(F187+G187)*(1+Tax)+N186)</f>
        <v>2328846.843</v>
      </c>
      <c r="I187" s="175">
        <f>IF(B187&lt;PT+1,VLOOKUP(D187,'Pre-Calculation'!$N$3:$P$79,IF(INPUT!$C$4="M",2,3),FALSE)*(J187/1000)*(1/12),0)</f>
        <v>0</v>
      </c>
      <c r="J187" s="175">
        <f t="shared" si="3"/>
        <v>0</v>
      </c>
      <c r="K187" s="175">
        <f>(IF('Pre-Calculation'!$D$17="Type 4 a",MAX(SA,H187,1.05*Q187),IF('Pre-Calculation'!$D$17="Type 4 c",H187,IF('Pre-Calculation'!$D$17="Type 4 d",SA+H187,IF('Pre-Calculation'!$D$17="Type 4 e",MAX(SA,H187),IF('Pre-Calculation'!$D$17="Type 4 f",SA,IF('Pre-Calculation'!$D$17="Type 4 g",1000+H187,IF('Pre-Calculation'!$D$17="Type 4 h",SA+V187,IF('Pre-Calculation'!$D$17="Type 4 i",MAX(H187,Q187),IF('Pre-Calculation'!$D$17="Type 4 k",MAX(H187,1.01*Q187),IF('Pre-Calculation'!$D$17="Type 4 m",MAX(105%*Q187,SA+H187),IF('Pre-Calculation'!$D$17="Type 4 o",MAX(SA,105%*Q187)+V187+X187,IF('Pre-Calculation'!$D$17="Type 5",0)))))))))))))*IF(AND(A187&lt;Revival!$C$4,C187&gt;=Revival!$D$12),PUP,1)</f>
        <v>2328846.843</v>
      </c>
      <c r="L187" s="175">
        <f>H187-I187*(1+Tax)</f>
        <v>2328846.843</v>
      </c>
      <c r="M187" s="175">
        <f>L187*(1+'Pre-Calculation'!$E$28)*(1-'Pre-Calculation'!$E$29*(1+Tax))</f>
        <v>2339196.165</v>
      </c>
      <c r="N187" s="175">
        <f>M187+IF(MOD(A187,B187)=0,VLOOKUP(B187,'Pre-Calculation'!$H$1:$L$31,5,FALSE),0)*IF('Pre-Calculation'!$D$16="% OF FV",M187,IF(OR('Pre-Calculation'!$D$16="% OF AFV(24M)",'Pre-Calculation'!$D$16="% OF AFV(8Q)"),AVERAGE( $M164:$M187),IF('Pre-Calculation'!$D$16="% OF AFV(12M)",AVERAGE($M176:M187),IF('Pre-Calculation'!$D$16="% OF AFV(36M)",AVERAGE($M152:M187)))))</f>
        <v>2339196.165</v>
      </c>
      <c r="O187" s="175">
        <f t="shared" si="4"/>
        <v>2339196.165</v>
      </c>
      <c r="P187" s="175">
        <f>IF('Pre-Calculation'!$D$17="Type 4 a",MAX(SA,N187,1.05*Q187),IF('Pre-Calculation'!$D$17="Type 4 c",N187,IF('Pre-Calculation'!$D$17="Type 4 d",SA+N187,IF('Pre-Calculation'!$D$17="Type 4 e",MAX(SA,N187),IF('Pre-Calculation'!$D$17="Type 4 f",SA,IF('Pre-Calculation'!$D$17="Type 4 g",1000+N187,IF('Pre-Calculation'!$D$17="Type 4 h",SA+V187,IF('Pre-Calculation'!$D$17="Type 4 i",MAX(N187,Q187),IF('Pre-Calculation'!$D$17="Type 4 k",MAX(N187,1.01*Q187),IF('Pre-Calculation'!$D$17="Type 4 m",MAX(105%*Q187,SA+N187),IF('Pre-Calculation'!$D$17="Type 4 o",MAX(SA,105%*Q187)+V187+X187,IF('Pre-Calculation'!$D$17="Type 5",0))))))))))))</f>
        <v>2339196.165</v>
      </c>
      <c r="Q187" s="175">
        <f t="shared" si="5"/>
        <v>1000000</v>
      </c>
      <c r="R187" s="119">
        <f>L187*(1+GROWTH_RATE)*FMC</f>
        <v>2635.375613</v>
      </c>
      <c r="S187" s="112"/>
      <c r="T187" s="175">
        <f>-E187+IF(A186=INPUT!$C$11*12,N187,0)</f>
        <v>0</v>
      </c>
      <c r="U187" s="112"/>
      <c r="V187" s="179">
        <f t="array" ref="V187">NPV('Pre-Calculation'!$E$20,$E188:E$246)</f>
        <v>0</v>
      </c>
      <c r="W187" s="171">
        <f>10%*SA</f>
        <v>100000</v>
      </c>
      <c r="X187" s="179">
        <f t="array" ref="X187">NPV('Pre-Calculation'!$E$20,W188:W197)</f>
        <v>969592.8037</v>
      </c>
      <c r="Y187" s="12"/>
      <c r="Z187" s="12"/>
    </row>
    <row r="188" ht="15.75" customHeight="1">
      <c r="A188" s="171">
        <f t="shared" si="1"/>
        <v>242</v>
      </c>
      <c r="B188" s="171">
        <f t="shared" si="2"/>
        <v>21</v>
      </c>
      <c r="C188" s="176">
        <f>EDATE(RCD,A187)</f>
        <v>49886</v>
      </c>
      <c r="D188" s="171">
        <f>Age_At_Entry+'Cashflows_Bond Fund'!B188-1</f>
        <v>55</v>
      </c>
      <c r="E188" s="175">
        <f>IF(AND(C188&lt;=Last_Prem,MOD(A187,Mode)=0,C188&gt;INPUT!$C$13,A188&lt;=Revival!$C$11),Mod_Prem,0)</f>
        <v>0</v>
      </c>
      <c r="F188" s="177">
        <f>E188*VLOOKUP(B188,'Pre-Calculation'!$H$1:$I$31,2,FALSE)</f>
        <v>0</v>
      </c>
      <c r="G188" s="177">
        <f>IF(B188&lt;PT+1,VLOOKUP(B188,'Pre-Calculation'!$H$1:$L$32,3,FALSE)+VLOOKUP(B188,'Pre-Calculation'!$H$1:$L$32,4,FALSE)*'Pre-Calculation'!$D$7,0)</f>
        <v>0</v>
      </c>
      <c r="H188" s="175">
        <f>(E188-(F188+G188)*(1+Tax)+N187)</f>
        <v>2339196.165</v>
      </c>
      <c r="I188" s="175">
        <f>IF(B188&lt;PT+1,VLOOKUP(D188,'Pre-Calculation'!$N$3:$P$79,IF(INPUT!$C$4="M",2,3),FALSE)*(J188/1000)*(1/12),0)</f>
        <v>0</v>
      </c>
      <c r="J188" s="175">
        <f t="shared" si="3"/>
        <v>0</v>
      </c>
      <c r="K188" s="175">
        <f>(IF('Pre-Calculation'!$D$17="Type 4 a",MAX(SA,H188,1.05*Q188),IF('Pre-Calculation'!$D$17="Type 4 c",H188,IF('Pre-Calculation'!$D$17="Type 4 d",SA+H188,IF('Pre-Calculation'!$D$17="Type 4 e",MAX(SA,H188),IF('Pre-Calculation'!$D$17="Type 4 f",SA,IF('Pre-Calculation'!$D$17="Type 4 g",1000+H188,IF('Pre-Calculation'!$D$17="Type 4 h",SA+V188,IF('Pre-Calculation'!$D$17="Type 4 i",MAX(H188,Q188),IF('Pre-Calculation'!$D$17="Type 4 k",MAX(H188,1.01*Q188),IF('Pre-Calculation'!$D$17="Type 4 m",MAX(105%*Q188,SA+H188),IF('Pre-Calculation'!$D$17="Type 4 o",MAX(SA,105%*Q188)+V188+X188,IF('Pre-Calculation'!$D$17="Type 5",0)))))))))))))*IF(AND(A188&lt;Revival!$C$4,C188&gt;=Revival!$D$12),PUP,1)</f>
        <v>2339196.165</v>
      </c>
      <c r="L188" s="175">
        <f>H188-I188*(1+Tax)</f>
        <v>2339196.165</v>
      </c>
      <c r="M188" s="175">
        <f>L188*(1+'Pre-Calculation'!$E$28)*(1-'Pre-Calculation'!$E$29*(1+Tax))</f>
        <v>2349591.48</v>
      </c>
      <c r="N188" s="175">
        <f>M188+IF(MOD(A188,B188)=0,VLOOKUP(B188,'Pre-Calculation'!$H$1:$L$31,5,FALSE),0)*IF('Pre-Calculation'!$D$16="% OF FV",M188,IF(OR('Pre-Calculation'!$D$16="% OF AFV(24M)",'Pre-Calculation'!$D$16="% OF AFV(8Q)"),AVERAGE( $M165:$M188),IF('Pre-Calculation'!$D$16="% OF AFV(12M)",AVERAGE($M177:M188),IF('Pre-Calculation'!$D$16="% OF AFV(36M)",AVERAGE($M153:M188)))))</f>
        <v>2349591.48</v>
      </c>
      <c r="O188" s="175">
        <f t="shared" si="4"/>
        <v>2349591.48</v>
      </c>
      <c r="P188" s="175">
        <f>IF('Pre-Calculation'!$D$17="Type 4 a",MAX(SA,N188,1.05*Q188),IF('Pre-Calculation'!$D$17="Type 4 c",N188,IF('Pre-Calculation'!$D$17="Type 4 d",SA+N188,IF('Pre-Calculation'!$D$17="Type 4 e",MAX(SA,N188),IF('Pre-Calculation'!$D$17="Type 4 f",SA,IF('Pre-Calculation'!$D$17="Type 4 g",1000+N188,IF('Pre-Calculation'!$D$17="Type 4 h",SA+V188,IF('Pre-Calculation'!$D$17="Type 4 i",MAX(N188,Q188),IF('Pre-Calculation'!$D$17="Type 4 k",MAX(N188,1.01*Q188),IF('Pre-Calculation'!$D$17="Type 4 m",MAX(105%*Q188,SA+N188),IF('Pre-Calculation'!$D$17="Type 4 o",MAX(SA,105%*Q188)+V188+X188,IF('Pre-Calculation'!$D$17="Type 5",0))))))))))))</f>
        <v>2349591.48</v>
      </c>
      <c r="Q188" s="175">
        <f t="shared" si="5"/>
        <v>1000000</v>
      </c>
      <c r="R188" s="119">
        <f>L188*(1+GROWTH_RATE)*FMC</f>
        <v>2647.08714</v>
      </c>
      <c r="S188" s="112"/>
      <c r="T188" s="175">
        <f>-E188+IF(A187=INPUT!$C$11*12,N188,0)</f>
        <v>0</v>
      </c>
      <c r="U188" s="112"/>
      <c r="V188" s="179">
        <f t="array" ref="V188">NPV('Pre-Calculation'!$E$20,$E189:E$246)</f>
        <v>0</v>
      </c>
      <c r="W188" s="171">
        <f>10%*SA</f>
        <v>100000</v>
      </c>
      <c r="X188" s="179">
        <f t="array" ref="X188">NPV('Pre-Calculation'!$E$20,W189:W198)</f>
        <v>969592.8037</v>
      </c>
      <c r="Y188" s="12"/>
      <c r="Z188" s="12"/>
    </row>
    <row r="189" ht="15.75" customHeight="1">
      <c r="A189" s="171">
        <f t="shared" si="1"/>
        <v>243</v>
      </c>
      <c r="B189" s="171">
        <f t="shared" si="2"/>
        <v>21</v>
      </c>
      <c r="C189" s="176">
        <f>EDATE(RCD,A188)</f>
        <v>49917</v>
      </c>
      <c r="D189" s="171">
        <f>Age_At_Entry+'Cashflows_Bond Fund'!B189-1</f>
        <v>55</v>
      </c>
      <c r="E189" s="175">
        <f>IF(AND(C189&lt;=Last_Prem,MOD(A188,Mode)=0,C189&gt;INPUT!$C$13,A189&lt;=Revival!$C$11),Mod_Prem,0)</f>
        <v>0</v>
      </c>
      <c r="F189" s="177">
        <f>E189*VLOOKUP(B189,'Pre-Calculation'!$H$1:$I$31,2,FALSE)</f>
        <v>0</v>
      </c>
      <c r="G189" s="177">
        <f>IF(B189&lt;PT+1,VLOOKUP(B189,'Pre-Calculation'!$H$1:$L$32,3,FALSE)+VLOOKUP(B189,'Pre-Calculation'!$H$1:$L$32,4,FALSE)*'Pre-Calculation'!$D$7,0)</f>
        <v>0</v>
      </c>
      <c r="H189" s="175">
        <f>(E189-(F189+G189)*(1+Tax)+N188)</f>
        <v>2349591.48</v>
      </c>
      <c r="I189" s="175">
        <f>IF(B189&lt;PT+1,VLOOKUP(D189,'Pre-Calculation'!$N$3:$P$79,IF(INPUT!$C$4="M",2,3),FALSE)*(J189/1000)*(1/12),0)</f>
        <v>0</v>
      </c>
      <c r="J189" s="175">
        <f t="shared" si="3"/>
        <v>0</v>
      </c>
      <c r="K189" s="175">
        <f>(IF('Pre-Calculation'!$D$17="Type 4 a",MAX(SA,H189,1.05*Q189),IF('Pre-Calculation'!$D$17="Type 4 c",H189,IF('Pre-Calculation'!$D$17="Type 4 d",SA+H189,IF('Pre-Calculation'!$D$17="Type 4 e",MAX(SA,H189),IF('Pre-Calculation'!$D$17="Type 4 f",SA,IF('Pre-Calculation'!$D$17="Type 4 g",1000+H189,IF('Pre-Calculation'!$D$17="Type 4 h",SA+V189,IF('Pre-Calculation'!$D$17="Type 4 i",MAX(H189,Q189),IF('Pre-Calculation'!$D$17="Type 4 k",MAX(H189,1.01*Q189),IF('Pre-Calculation'!$D$17="Type 4 m",MAX(105%*Q189,SA+H189),IF('Pre-Calculation'!$D$17="Type 4 o",MAX(SA,105%*Q189)+V189+X189,IF('Pre-Calculation'!$D$17="Type 5",0)))))))))))))*IF(AND(A189&lt;Revival!$C$4,C189&gt;=Revival!$D$12),PUP,1)</f>
        <v>2349591.48</v>
      </c>
      <c r="L189" s="175">
        <f>H189-I189*(1+Tax)</f>
        <v>2349591.48</v>
      </c>
      <c r="M189" s="175">
        <f>L189*(1+'Pre-Calculation'!$E$28)*(1-'Pre-Calculation'!$E$29*(1+Tax))</f>
        <v>2360032.991</v>
      </c>
      <c r="N189" s="175">
        <f>M189+IF(MOD(A189,B189)=0,VLOOKUP(B189,'Pre-Calculation'!$H$1:$L$31,5,FALSE),0)*IF('Pre-Calculation'!$D$16="% OF FV",M189,IF(OR('Pre-Calculation'!$D$16="% OF AFV(24M)",'Pre-Calculation'!$D$16="% OF AFV(8Q)"),AVERAGE( $M166:$M189),IF('Pre-Calculation'!$D$16="% OF AFV(12M)",AVERAGE($M178:M189),IF('Pre-Calculation'!$D$16="% OF AFV(36M)",AVERAGE($M154:M189)))))</f>
        <v>2360032.991</v>
      </c>
      <c r="O189" s="175">
        <f t="shared" si="4"/>
        <v>2360032.991</v>
      </c>
      <c r="P189" s="175">
        <f>IF('Pre-Calculation'!$D$17="Type 4 a",MAX(SA,N189,1.05*Q189),IF('Pre-Calculation'!$D$17="Type 4 c",N189,IF('Pre-Calculation'!$D$17="Type 4 d",SA+N189,IF('Pre-Calculation'!$D$17="Type 4 e",MAX(SA,N189),IF('Pre-Calculation'!$D$17="Type 4 f",SA,IF('Pre-Calculation'!$D$17="Type 4 g",1000+N189,IF('Pre-Calculation'!$D$17="Type 4 h",SA+V189,IF('Pre-Calculation'!$D$17="Type 4 i",MAX(N189,Q189),IF('Pre-Calculation'!$D$17="Type 4 k",MAX(N189,1.01*Q189),IF('Pre-Calculation'!$D$17="Type 4 m",MAX(105%*Q189,SA+N189),IF('Pre-Calculation'!$D$17="Type 4 o",MAX(SA,105%*Q189)+V189+X189,IF('Pre-Calculation'!$D$17="Type 5",0))))))))))))</f>
        <v>2360032.991</v>
      </c>
      <c r="Q189" s="175">
        <f t="shared" si="5"/>
        <v>1000000</v>
      </c>
      <c r="R189" s="119">
        <f>L189*(1+GROWTH_RATE)*FMC</f>
        <v>2658.850712</v>
      </c>
      <c r="S189" s="112"/>
      <c r="T189" s="175">
        <f>-E189+IF(A188=INPUT!$C$11*12,N189,0)</f>
        <v>0</v>
      </c>
      <c r="U189" s="112"/>
      <c r="V189" s="179">
        <f t="array" ref="V189">NPV('Pre-Calculation'!$E$20,$E190:E$246)</f>
        <v>0</v>
      </c>
      <c r="W189" s="171">
        <f>10%*SA</f>
        <v>100000</v>
      </c>
      <c r="X189" s="179">
        <f t="array" ref="X189">NPV('Pre-Calculation'!$E$20,W190:W199)</f>
        <v>969592.8037</v>
      </c>
      <c r="Y189" s="12"/>
      <c r="Z189" s="12"/>
    </row>
    <row r="190" ht="15.75" customHeight="1">
      <c r="A190" s="171">
        <f t="shared" si="1"/>
        <v>244</v>
      </c>
      <c r="B190" s="171">
        <f t="shared" si="2"/>
        <v>21</v>
      </c>
      <c r="C190" s="176">
        <f>EDATE(RCD,A189)</f>
        <v>49948</v>
      </c>
      <c r="D190" s="171">
        <f>Age_At_Entry+'Cashflows_Bond Fund'!B190-1</f>
        <v>55</v>
      </c>
      <c r="E190" s="175">
        <f>IF(AND(C190&lt;=Last_Prem,MOD(A189,Mode)=0,C190&gt;INPUT!$C$13,A190&lt;=Revival!$C$11),Mod_Prem,0)</f>
        <v>0</v>
      </c>
      <c r="F190" s="177">
        <f>E190*VLOOKUP(B190,'Pre-Calculation'!$H$1:$I$31,2,FALSE)</f>
        <v>0</v>
      </c>
      <c r="G190" s="177">
        <f>IF(B190&lt;PT+1,VLOOKUP(B190,'Pre-Calculation'!$H$1:$L$32,3,FALSE)+VLOOKUP(B190,'Pre-Calculation'!$H$1:$L$32,4,FALSE)*'Pre-Calculation'!$D$7,0)</f>
        <v>0</v>
      </c>
      <c r="H190" s="175">
        <f>(E190-(F190+G190)*(1+Tax)+N189)</f>
        <v>2360032.991</v>
      </c>
      <c r="I190" s="175">
        <f>IF(B190&lt;PT+1,VLOOKUP(D190,'Pre-Calculation'!$N$3:$P$79,IF(INPUT!$C$4="M",2,3),FALSE)*(J190/1000)*(1/12),0)</f>
        <v>0</v>
      </c>
      <c r="J190" s="175">
        <f t="shared" si="3"/>
        <v>0</v>
      </c>
      <c r="K190" s="175">
        <f>(IF('Pre-Calculation'!$D$17="Type 4 a",MAX(SA,H190,1.05*Q190),IF('Pre-Calculation'!$D$17="Type 4 c",H190,IF('Pre-Calculation'!$D$17="Type 4 d",SA+H190,IF('Pre-Calculation'!$D$17="Type 4 e",MAX(SA,H190),IF('Pre-Calculation'!$D$17="Type 4 f",SA,IF('Pre-Calculation'!$D$17="Type 4 g",1000+H190,IF('Pre-Calculation'!$D$17="Type 4 h",SA+V190,IF('Pre-Calculation'!$D$17="Type 4 i",MAX(H190,Q190),IF('Pre-Calculation'!$D$17="Type 4 k",MAX(H190,1.01*Q190),IF('Pre-Calculation'!$D$17="Type 4 m",MAX(105%*Q190,SA+H190),IF('Pre-Calculation'!$D$17="Type 4 o",MAX(SA,105%*Q190)+V190+X190,IF('Pre-Calculation'!$D$17="Type 5",0)))))))))))))*IF(AND(A190&lt;Revival!$C$4,C190&gt;=Revival!$D$12),PUP,1)</f>
        <v>2360032.991</v>
      </c>
      <c r="L190" s="175">
        <f>H190-I190*(1+Tax)</f>
        <v>2360032.991</v>
      </c>
      <c r="M190" s="175">
        <f>L190*(1+'Pre-Calculation'!$E$28)*(1-'Pre-Calculation'!$E$29*(1+Tax))</f>
        <v>2370520.904</v>
      </c>
      <c r="N190" s="175">
        <f>M190+IF(MOD(A190,B190)=0,VLOOKUP(B190,'Pre-Calculation'!$H$1:$L$31,5,FALSE),0)*IF('Pre-Calculation'!$D$16="% OF FV",M190,IF(OR('Pre-Calculation'!$D$16="% OF AFV(24M)",'Pre-Calculation'!$D$16="% OF AFV(8Q)"),AVERAGE( $M167:$M190),IF('Pre-Calculation'!$D$16="% OF AFV(12M)",AVERAGE($M179:M190),IF('Pre-Calculation'!$D$16="% OF AFV(36M)",AVERAGE($M155:M190)))))</f>
        <v>2370520.904</v>
      </c>
      <c r="O190" s="175">
        <f t="shared" si="4"/>
        <v>2370520.904</v>
      </c>
      <c r="P190" s="175">
        <f>IF('Pre-Calculation'!$D$17="Type 4 a",MAX(SA,N190,1.05*Q190),IF('Pre-Calculation'!$D$17="Type 4 c",N190,IF('Pre-Calculation'!$D$17="Type 4 d",SA+N190,IF('Pre-Calculation'!$D$17="Type 4 e",MAX(SA,N190),IF('Pre-Calculation'!$D$17="Type 4 f",SA,IF('Pre-Calculation'!$D$17="Type 4 g",1000+N190,IF('Pre-Calculation'!$D$17="Type 4 h",SA+V190,IF('Pre-Calculation'!$D$17="Type 4 i",MAX(N190,Q190),IF('Pre-Calculation'!$D$17="Type 4 k",MAX(N190,1.01*Q190),IF('Pre-Calculation'!$D$17="Type 4 m",MAX(105%*Q190,SA+N190),IF('Pre-Calculation'!$D$17="Type 4 o",MAX(SA,105%*Q190)+V190+X190,IF('Pre-Calculation'!$D$17="Type 5",0))))))))))))</f>
        <v>2370520.904</v>
      </c>
      <c r="Q190" s="175">
        <f t="shared" si="5"/>
        <v>1000000</v>
      </c>
      <c r="R190" s="119">
        <f>L190*(1+GROWTH_RATE)*FMC</f>
        <v>2670.666562</v>
      </c>
      <c r="S190" s="112"/>
      <c r="T190" s="175">
        <f>-E190+IF(A189=INPUT!$C$11*12,N190,0)</f>
        <v>0</v>
      </c>
      <c r="U190" s="112"/>
      <c r="V190" s="179">
        <f t="array" ref="V190">NPV('Pre-Calculation'!$E$20,$E191:E$246)</f>
        <v>0</v>
      </c>
      <c r="W190" s="171">
        <f>10%*SA</f>
        <v>100000</v>
      </c>
      <c r="X190" s="179">
        <f t="array" ref="X190">NPV('Pre-Calculation'!$E$20,W191:W200)</f>
        <v>969592.8037</v>
      </c>
      <c r="Y190" s="12"/>
      <c r="Z190" s="12"/>
    </row>
    <row r="191" ht="15.75" customHeight="1">
      <c r="A191" s="171">
        <f t="shared" si="1"/>
        <v>245</v>
      </c>
      <c r="B191" s="171">
        <f t="shared" si="2"/>
        <v>21</v>
      </c>
      <c r="C191" s="176">
        <f>EDATE(RCD,A190)</f>
        <v>49978</v>
      </c>
      <c r="D191" s="171">
        <f>Age_At_Entry+'Cashflows_Bond Fund'!B191-1</f>
        <v>55</v>
      </c>
      <c r="E191" s="175">
        <f>IF(AND(C191&lt;=Last_Prem,MOD(A190,Mode)=0,C191&gt;INPUT!$C$13,A191&lt;=Revival!$C$11),Mod_Prem,0)</f>
        <v>0</v>
      </c>
      <c r="F191" s="177">
        <f>E191*VLOOKUP(B191,'Pre-Calculation'!$H$1:$I$31,2,FALSE)</f>
        <v>0</v>
      </c>
      <c r="G191" s="177">
        <f>IF(B191&lt;PT+1,VLOOKUP(B191,'Pre-Calculation'!$H$1:$L$32,3,FALSE)+VLOOKUP(B191,'Pre-Calculation'!$H$1:$L$32,4,FALSE)*'Pre-Calculation'!$D$7,0)</f>
        <v>0</v>
      </c>
      <c r="H191" s="175">
        <f>(E191-(F191+G191)*(1+Tax)+N190)</f>
        <v>2370520.904</v>
      </c>
      <c r="I191" s="175">
        <f>IF(B191&lt;PT+1,VLOOKUP(D191,'Pre-Calculation'!$N$3:$P$79,IF(INPUT!$C$4="M",2,3),FALSE)*(J191/1000)*(1/12),0)</f>
        <v>0</v>
      </c>
      <c r="J191" s="175">
        <f t="shared" si="3"/>
        <v>0</v>
      </c>
      <c r="K191" s="175">
        <f>(IF('Pre-Calculation'!$D$17="Type 4 a",MAX(SA,H191,1.05*Q191),IF('Pre-Calculation'!$D$17="Type 4 c",H191,IF('Pre-Calculation'!$D$17="Type 4 d",SA+H191,IF('Pre-Calculation'!$D$17="Type 4 e",MAX(SA,H191),IF('Pre-Calculation'!$D$17="Type 4 f",SA,IF('Pre-Calculation'!$D$17="Type 4 g",1000+H191,IF('Pre-Calculation'!$D$17="Type 4 h",SA+V191,IF('Pre-Calculation'!$D$17="Type 4 i",MAX(H191,Q191),IF('Pre-Calculation'!$D$17="Type 4 k",MAX(H191,1.01*Q191),IF('Pre-Calculation'!$D$17="Type 4 m",MAX(105%*Q191,SA+H191),IF('Pre-Calculation'!$D$17="Type 4 o",MAX(SA,105%*Q191)+V191+X191,IF('Pre-Calculation'!$D$17="Type 5",0)))))))))))))*IF(AND(A191&lt;Revival!$C$4,C191&gt;=Revival!$D$12),PUP,1)</f>
        <v>2370520.904</v>
      </c>
      <c r="L191" s="175">
        <f>H191-I191*(1+Tax)</f>
        <v>2370520.904</v>
      </c>
      <c r="M191" s="175">
        <f>L191*(1+'Pre-Calculation'!$E$28)*(1-'Pre-Calculation'!$E$29*(1+Tax))</f>
        <v>2381055.425</v>
      </c>
      <c r="N191" s="175">
        <f>M191+IF(MOD(A191,B191)=0,VLOOKUP(B191,'Pre-Calculation'!$H$1:$L$31,5,FALSE),0)*IF('Pre-Calculation'!$D$16="% OF FV",M191,IF(OR('Pre-Calculation'!$D$16="% OF AFV(24M)",'Pre-Calculation'!$D$16="% OF AFV(8Q)"),AVERAGE( $M168:$M191),IF('Pre-Calculation'!$D$16="% OF AFV(12M)",AVERAGE($M180:M191),IF('Pre-Calculation'!$D$16="% OF AFV(36M)",AVERAGE($M156:M191)))))</f>
        <v>2381055.425</v>
      </c>
      <c r="O191" s="175">
        <f t="shared" si="4"/>
        <v>2381055.425</v>
      </c>
      <c r="P191" s="175">
        <f>IF('Pre-Calculation'!$D$17="Type 4 a",MAX(SA,N191,1.05*Q191),IF('Pre-Calculation'!$D$17="Type 4 c",N191,IF('Pre-Calculation'!$D$17="Type 4 d",SA+N191,IF('Pre-Calculation'!$D$17="Type 4 e",MAX(SA,N191),IF('Pre-Calculation'!$D$17="Type 4 f",SA,IF('Pre-Calculation'!$D$17="Type 4 g",1000+N191,IF('Pre-Calculation'!$D$17="Type 4 h",SA+V191,IF('Pre-Calculation'!$D$17="Type 4 i",MAX(N191,Q191),IF('Pre-Calculation'!$D$17="Type 4 k",MAX(N191,1.01*Q191),IF('Pre-Calculation'!$D$17="Type 4 m",MAX(105%*Q191,SA+N191),IF('Pre-Calculation'!$D$17="Type 4 o",MAX(SA,105%*Q191)+V191+X191,IF('Pre-Calculation'!$D$17="Type 5",0))))))))))))</f>
        <v>2381055.425</v>
      </c>
      <c r="Q191" s="175">
        <f t="shared" si="5"/>
        <v>1000000</v>
      </c>
      <c r="R191" s="119">
        <f>L191*(1+GROWTH_RATE)*FMC</f>
        <v>2682.53492</v>
      </c>
      <c r="S191" s="112"/>
      <c r="T191" s="175">
        <f>-E191+IF(A190=INPUT!$C$11*12,N191,0)</f>
        <v>0</v>
      </c>
      <c r="U191" s="112"/>
      <c r="V191" s="179">
        <f t="array" ref="V191">NPV('Pre-Calculation'!$E$20,$E192:E$246)</f>
        <v>0</v>
      </c>
      <c r="W191" s="171">
        <f>10%*SA</f>
        <v>100000</v>
      </c>
      <c r="X191" s="179">
        <f t="array" ref="X191">NPV('Pre-Calculation'!$E$20,W192:W201)</f>
        <v>969592.8037</v>
      </c>
      <c r="Y191" s="12"/>
      <c r="Z191" s="12"/>
    </row>
    <row r="192" ht="15.75" customHeight="1">
      <c r="A192" s="171">
        <f t="shared" si="1"/>
        <v>246</v>
      </c>
      <c r="B192" s="171">
        <f t="shared" si="2"/>
        <v>21</v>
      </c>
      <c r="C192" s="176">
        <f>EDATE(RCD,A191)</f>
        <v>50009</v>
      </c>
      <c r="D192" s="171">
        <f>Age_At_Entry+'Cashflows_Bond Fund'!B192-1</f>
        <v>55</v>
      </c>
      <c r="E192" s="175">
        <f>IF(AND(C192&lt;=Last_Prem,MOD(A191,Mode)=0,C192&gt;INPUT!$C$13,A192&lt;=Revival!$C$11),Mod_Prem,0)</f>
        <v>0</v>
      </c>
      <c r="F192" s="177">
        <f>E192*VLOOKUP(B192,'Pre-Calculation'!$H$1:$I$31,2,FALSE)</f>
        <v>0</v>
      </c>
      <c r="G192" s="177">
        <f>IF(B192&lt;PT+1,VLOOKUP(B192,'Pre-Calculation'!$H$1:$L$32,3,FALSE)+VLOOKUP(B192,'Pre-Calculation'!$H$1:$L$32,4,FALSE)*'Pre-Calculation'!$D$7,0)</f>
        <v>0</v>
      </c>
      <c r="H192" s="175">
        <f>(E192-(F192+G192)*(1+Tax)+N191)</f>
        <v>2381055.425</v>
      </c>
      <c r="I192" s="175">
        <f>IF(B192&lt;PT+1,VLOOKUP(D192,'Pre-Calculation'!$N$3:$P$79,IF(INPUT!$C$4="M",2,3),FALSE)*(J192/1000)*(1/12),0)</f>
        <v>0</v>
      </c>
      <c r="J192" s="175">
        <f t="shared" si="3"/>
        <v>0</v>
      </c>
      <c r="K192" s="175">
        <f>(IF('Pre-Calculation'!$D$17="Type 4 a",MAX(SA,H192,1.05*Q192),IF('Pre-Calculation'!$D$17="Type 4 c",H192,IF('Pre-Calculation'!$D$17="Type 4 d",SA+H192,IF('Pre-Calculation'!$D$17="Type 4 e",MAX(SA,H192),IF('Pre-Calculation'!$D$17="Type 4 f",SA,IF('Pre-Calculation'!$D$17="Type 4 g",1000+H192,IF('Pre-Calculation'!$D$17="Type 4 h",SA+V192,IF('Pre-Calculation'!$D$17="Type 4 i",MAX(H192,Q192),IF('Pre-Calculation'!$D$17="Type 4 k",MAX(H192,1.01*Q192),IF('Pre-Calculation'!$D$17="Type 4 m",MAX(105%*Q192,SA+H192),IF('Pre-Calculation'!$D$17="Type 4 o",MAX(SA,105%*Q192)+V192+X192,IF('Pre-Calculation'!$D$17="Type 5",0)))))))))))))*IF(AND(A192&lt;Revival!$C$4,C192&gt;=Revival!$D$12),PUP,1)</f>
        <v>2381055.425</v>
      </c>
      <c r="L192" s="175">
        <f>H192-I192*(1+Tax)</f>
        <v>2381055.425</v>
      </c>
      <c r="M192" s="175">
        <f>L192*(1+'Pre-Calculation'!$E$28)*(1-'Pre-Calculation'!$E$29*(1+Tax))</f>
        <v>2391636.761</v>
      </c>
      <c r="N192" s="175">
        <f>M192+IF(MOD(A192,B192)=0,VLOOKUP(B192,'Pre-Calculation'!$H$1:$L$31,5,FALSE),0)*IF('Pre-Calculation'!$D$16="% OF FV",M192,IF(OR('Pre-Calculation'!$D$16="% OF AFV(24M)",'Pre-Calculation'!$D$16="% OF AFV(8Q)"),AVERAGE( $M169:$M192),IF('Pre-Calculation'!$D$16="% OF AFV(12M)",AVERAGE($M181:M192),IF('Pre-Calculation'!$D$16="% OF AFV(36M)",AVERAGE($M157:M192)))))</f>
        <v>2391636.761</v>
      </c>
      <c r="O192" s="175">
        <f t="shared" si="4"/>
        <v>2391636.761</v>
      </c>
      <c r="P192" s="175">
        <f>IF('Pre-Calculation'!$D$17="Type 4 a",MAX(SA,N192,1.05*Q192),IF('Pre-Calculation'!$D$17="Type 4 c",N192,IF('Pre-Calculation'!$D$17="Type 4 d",SA+N192,IF('Pre-Calculation'!$D$17="Type 4 e",MAX(SA,N192),IF('Pre-Calculation'!$D$17="Type 4 f",SA,IF('Pre-Calculation'!$D$17="Type 4 g",1000+N192,IF('Pre-Calculation'!$D$17="Type 4 h",SA+V192,IF('Pre-Calculation'!$D$17="Type 4 i",MAX(N192,Q192),IF('Pre-Calculation'!$D$17="Type 4 k",MAX(N192,1.01*Q192),IF('Pre-Calculation'!$D$17="Type 4 m",MAX(105%*Q192,SA+N192),IF('Pre-Calculation'!$D$17="Type 4 o",MAX(SA,105%*Q192)+V192+X192,IF('Pre-Calculation'!$D$17="Type 5",0))))))))))))</f>
        <v>2391636.761</v>
      </c>
      <c r="Q192" s="175">
        <f t="shared" si="5"/>
        <v>1000000</v>
      </c>
      <c r="R192" s="119">
        <f>L192*(1+GROWTH_RATE)*FMC</f>
        <v>2694.456022</v>
      </c>
      <c r="S192" s="112"/>
      <c r="T192" s="175">
        <f>-E192+IF(A191=INPUT!$C$11*12,N192,0)</f>
        <v>0</v>
      </c>
      <c r="U192" s="112"/>
      <c r="V192" s="179">
        <f t="array" ref="V192">NPV('Pre-Calculation'!$E$20,$E193:E$246)</f>
        <v>0</v>
      </c>
      <c r="W192" s="171">
        <f>10%*SA</f>
        <v>100000</v>
      </c>
      <c r="X192" s="179">
        <f t="array" ref="X192">NPV('Pre-Calculation'!$E$20,W193:W202)</f>
        <v>969592.8037</v>
      </c>
      <c r="Y192" s="12"/>
      <c r="Z192" s="12"/>
    </row>
    <row r="193" ht="15.75" customHeight="1">
      <c r="A193" s="171">
        <f t="shared" si="1"/>
        <v>247</v>
      </c>
      <c r="B193" s="171">
        <f t="shared" si="2"/>
        <v>21</v>
      </c>
      <c r="C193" s="176">
        <f>EDATE(RCD,A192)</f>
        <v>50039</v>
      </c>
      <c r="D193" s="171">
        <f>Age_At_Entry+'Cashflows_Bond Fund'!B193-1</f>
        <v>55</v>
      </c>
      <c r="E193" s="175">
        <f>IF(AND(C193&lt;=Last_Prem,MOD(A192,Mode)=0,C193&gt;INPUT!$C$13,A193&lt;=Revival!$C$11),Mod_Prem,0)</f>
        <v>0</v>
      </c>
      <c r="F193" s="177">
        <f>E193*VLOOKUP(B193,'Pre-Calculation'!$H$1:$I$31,2,FALSE)</f>
        <v>0</v>
      </c>
      <c r="G193" s="177">
        <f>IF(B193&lt;PT+1,VLOOKUP(B193,'Pre-Calculation'!$H$1:$L$32,3,FALSE)+VLOOKUP(B193,'Pre-Calculation'!$H$1:$L$32,4,FALSE)*'Pre-Calculation'!$D$7,0)</f>
        <v>0</v>
      </c>
      <c r="H193" s="175">
        <f>(E193-(F193+G193)*(1+Tax)+N192)</f>
        <v>2391636.761</v>
      </c>
      <c r="I193" s="175">
        <f>IF(B193&lt;PT+1,VLOOKUP(D193,'Pre-Calculation'!$N$3:$P$79,IF(INPUT!$C$4="M",2,3),FALSE)*(J193/1000)*(1/12),0)</f>
        <v>0</v>
      </c>
      <c r="J193" s="175">
        <f t="shared" si="3"/>
        <v>0</v>
      </c>
      <c r="K193" s="175">
        <f>(IF('Pre-Calculation'!$D$17="Type 4 a",MAX(SA,H193,1.05*Q193),IF('Pre-Calculation'!$D$17="Type 4 c",H193,IF('Pre-Calculation'!$D$17="Type 4 d",SA+H193,IF('Pre-Calculation'!$D$17="Type 4 e",MAX(SA,H193),IF('Pre-Calculation'!$D$17="Type 4 f",SA,IF('Pre-Calculation'!$D$17="Type 4 g",1000+H193,IF('Pre-Calculation'!$D$17="Type 4 h",SA+V193,IF('Pre-Calculation'!$D$17="Type 4 i",MAX(H193,Q193),IF('Pre-Calculation'!$D$17="Type 4 k",MAX(H193,1.01*Q193),IF('Pre-Calculation'!$D$17="Type 4 m",MAX(105%*Q193,SA+H193),IF('Pre-Calculation'!$D$17="Type 4 o",MAX(SA,105%*Q193)+V193+X193,IF('Pre-Calculation'!$D$17="Type 5",0)))))))))))))*IF(AND(A193&lt;Revival!$C$4,C193&gt;=Revival!$D$12),PUP,1)</f>
        <v>2391636.761</v>
      </c>
      <c r="L193" s="175">
        <f>H193-I193*(1+Tax)</f>
        <v>2391636.761</v>
      </c>
      <c r="M193" s="175">
        <f>L193*(1+'Pre-Calculation'!$E$28)*(1-'Pre-Calculation'!$E$29*(1+Tax))</f>
        <v>2402265.12</v>
      </c>
      <c r="N193" s="175">
        <f>M193+IF(MOD(A193,B193)=0,VLOOKUP(B193,'Pre-Calculation'!$H$1:$L$31,5,FALSE),0)*IF('Pre-Calculation'!$D$16="% OF FV",M193,IF(OR('Pre-Calculation'!$D$16="% OF AFV(24M)",'Pre-Calculation'!$D$16="% OF AFV(8Q)"),AVERAGE( $M170:$M193),IF('Pre-Calculation'!$D$16="% OF AFV(12M)",AVERAGE($M182:M193),IF('Pre-Calculation'!$D$16="% OF AFV(36M)",AVERAGE($M158:M193)))))</f>
        <v>2402265.12</v>
      </c>
      <c r="O193" s="175">
        <f t="shared" si="4"/>
        <v>2402265.12</v>
      </c>
      <c r="P193" s="175">
        <f>IF('Pre-Calculation'!$D$17="Type 4 a",MAX(SA,N193,1.05*Q193),IF('Pre-Calculation'!$D$17="Type 4 c",N193,IF('Pre-Calculation'!$D$17="Type 4 d",SA+N193,IF('Pre-Calculation'!$D$17="Type 4 e",MAX(SA,N193),IF('Pre-Calculation'!$D$17="Type 4 f",SA,IF('Pre-Calculation'!$D$17="Type 4 g",1000+N193,IF('Pre-Calculation'!$D$17="Type 4 h",SA+V193,IF('Pre-Calculation'!$D$17="Type 4 i",MAX(N193,Q193),IF('Pre-Calculation'!$D$17="Type 4 k",MAX(N193,1.01*Q193),IF('Pre-Calculation'!$D$17="Type 4 m",MAX(105%*Q193,SA+N193),IF('Pre-Calculation'!$D$17="Type 4 o",MAX(SA,105%*Q193)+V193+X193,IF('Pre-Calculation'!$D$17="Type 5",0))))))))))))</f>
        <v>2402265.12</v>
      </c>
      <c r="Q193" s="175">
        <f t="shared" si="5"/>
        <v>1000000</v>
      </c>
      <c r="R193" s="119">
        <f>L193*(1+GROWTH_RATE)*FMC</f>
        <v>2706.4301</v>
      </c>
      <c r="S193" s="112"/>
      <c r="T193" s="175">
        <f>-E193+IF(A192=INPUT!$C$11*12,N193,0)</f>
        <v>0</v>
      </c>
      <c r="U193" s="112"/>
      <c r="V193" s="179">
        <f t="array" ref="V193">NPV('Pre-Calculation'!$E$20,$E194:E$246)</f>
        <v>0</v>
      </c>
      <c r="W193" s="171">
        <f>10%*SA</f>
        <v>100000</v>
      </c>
      <c r="X193" s="179">
        <f t="array" ref="X193">NPV('Pre-Calculation'!$E$20,W194:W203)</f>
        <v>969592.8037</v>
      </c>
      <c r="Y193" s="12"/>
      <c r="Z193" s="12"/>
    </row>
    <row r="194" ht="15.75" customHeight="1">
      <c r="A194" s="171">
        <f t="shared" si="1"/>
        <v>248</v>
      </c>
      <c r="B194" s="171">
        <f t="shared" si="2"/>
        <v>21</v>
      </c>
      <c r="C194" s="176">
        <f>EDATE(RCD,A193)</f>
        <v>50070</v>
      </c>
      <c r="D194" s="171">
        <f>Age_At_Entry+'Cashflows_Bond Fund'!B194-1</f>
        <v>55</v>
      </c>
      <c r="E194" s="175">
        <f>IF(AND(C194&lt;=Last_Prem,MOD(A193,Mode)=0,C194&gt;INPUT!$C$13,A194&lt;=Revival!$C$11),Mod_Prem,0)</f>
        <v>0</v>
      </c>
      <c r="F194" s="177">
        <f>E194*VLOOKUP(B194,'Pre-Calculation'!$H$1:$I$31,2,FALSE)</f>
        <v>0</v>
      </c>
      <c r="G194" s="177">
        <f>IF(B194&lt;PT+1,VLOOKUP(B194,'Pre-Calculation'!$H$1:$L$32,3,FALSE)+VLOOKUP(B194,'Pre-Calculation'!$H$1:$L$32,4,FALSE)*'Pre-Calculation'!$D$7,0)</f>
        <v>0</v>
      </c>
      <c r="H194" s="175">
        <f>(E194-(F194+G194)*(1+Tax)+N193)</f>
        <v>2402265.12</v>
      </c>
      <c r="I194" s="175">
        <f>IF(B194&lt;PT+1,VLOOKUP(D194,'Pre-Calculation'!$N$3:$P$79,IF(INPUT!$C$4="M",2,3),FALSE)*(J194/1000)*(1/12),0)</f>
        <v>0</v>
      </c>
      <c r="J194" s="175">
        <f t="shared" si="3"/>
        <v>0</v>
      </c>
      <c r="K194" s="175">
        <f>(IF('Pre-Calculation'!$D$17="Type 4 a",MAX(SA,H194,1.05*Q194),IF('Pre-Calculation'!$D$17="Type 4 c",H194,IF('Pre-Calculation'!$D$17="Type 4 d",SA+H194,IF('Pre-Calculation'!$D$17="Type 4 e",MAX(SA,H194),IF('Pre-Calculation'!$D$17="Type 4 f",SA,IF('Pre-Calculation'!$D$17="Type 4 g",1000+H194,IF('Pre-Calculation'!$D$17="Type 4 h",SA+V194,IF('Pre-Calculation'!$D$17="Type 4 i",MAX(H194,Q194),IF('Pre-Calculation'!$D$17="Type 4 k",MAX(H194,1.01*Q194),IF('Pre-Calculation'!$D$17="Type 4 m",MAX(105%*Q194,SA+H194),IF('Pre-Calculation'!$D$17="Type 4 o",MAX(SA,105%*Q194)+V194+X194,IF('Pre-Calculation'!$D$17="Type 5",0)))))))))))))*IF(AND(A194&lt;Revival!$C$4,C194&gt;=Revival!$D$12),PUP,1)</f>
        <v>2402265.12</v>
      </c>
      <c r="L194" s="175">
        <f>H194-I194*(1+Tax)</f>
        <v>2402265.12</v>
      </c>
      <c r="M194" s="175">
        <f>L194*(1+'Pre-Calculation'!$E$28)*(1-'Pre-Calculation'!$E$29*(1+Tax))</f>
        <v>2412940.711</v>
      </c>
      <c r="N194" s="175">
        <f>M194+IF(MOD(A194,B194)=0,VLOOKUP(B194,'Pre-Calculation'!$H$1:$L$31,5,FALSE),0)*IF('Pre-Calculation'!$D$16="% OF FV",M194,IF(OR('Pre-Calculation'!$D$16="% OF AFV(24M)",'Pre-Calculation'!$D$16="% OF AFV(8Q)"),AVERAGE( $M171:$M194),IF('Pre-Calculation'!$D$16="% OF AFV(12M)",AVERAGE($M183:M194),IF('Pre-Calculation'!$D$16="% OF AFV(36M)",AVERAGE($M159:M194)))))</f>
        <v>2412940.711</v>
      </c>
      <c r="O194" s="175">
        <f t="shared" si="4"/>
        <v>2412940.711</v>
      </c>
      <c r="P194" s="175">
        <f>IF('Pre-Calculation'!$D$17="Type 4 a",MAX(SA,N194,1.05*Q194),IF('Pre-Calculation'!$D$17="Type 4 c",N194,IF('Pre-Calculation'!$D$17="Type 4 d",SA+N194,IF('Pre-Calculation'!$D$17="Type 4 e",MAX(SA,N194),IF('Pre-Calculation'!$D$17="Type 4 f",SA,IF('Pre-Calculation'!$D$17="Type 4 g",1000+N194,IF('Pre-Calculation'!$D$17="Type 4 h",SA+V194,IF('Pre-Calculation'!$D$17="Type 4 i",MAX(N194,Q194),IF('Pre-Calculation'!$D$17="Type 4 k",MAX(N194,1.01*Q194),IF('Pre-Calculation'!$D$17="Type 4 m",MAX(105%*Q194,SA+N194),IF('Pre-Calculation'!$D$17="Type 4 o",MAX(SA,105%*Q194)+V194+X194,IF('Pre-Calculation'!$D$17="Type 5",0))))))))))))</f>
        <v>2412940.711</v>
      </c>
      <c r="Q194" s="175">
        <f t="shared" si="5"/>
        <v>1000000</v>
      </c>
      <c r="R194" s="119">
        <f>L194*(1+GROWTH_RATE)*FMC</f>
        <v>2718.457391</v>
      </c>
      <c r="S194" s="112"/>
      <c r="T194" s="175">
        <f>-E194+IF(A193=INPUT!$C$11*12,N194,0)</f>
        <v>0</v>
      </c>
      <c r="U194" s="112"/>
      <c r="V194" s="179">
        <f t="array" ref="V194">NPV('Pre-Calculation'!$E$20,$E195:E$246)</f>
        <v>0</v>
      </c>
      <c r="W194" s="171">
        <f>10%*SA</f>
        <v>100000</v>
      </c>
      <c r="X194" s="179">
        <f t="array" ref="X194">NPV('Pre-Calculation'!$E$20,W195:W204)</f>
        <v>969592.8037</v>
      </c>
      <c r="Y194" s="12"/>
      <c r="Z194" s="12"/>
    </row>
    <row r="195" ht="15.75" customHeight="1">
      <c r="A195" s="171">
        <f t="shared" si="1"/>
        <v>249</v>
      </c>
      <c r="B195" s="171">
        <f t="shared" si="2"/>
        <v>21</v>
      </c>
      <c r="C195" s="176">
        <f>EDATE(RCD,A194)</f>
        <v>50099</v>
      </c>
      <c r="D195" s="171">
        <f>Age_At_Entry+'Cashflows_Bond Fund'!B195-1</f>
        <v>55</v>
      </c>
      <c r="E195" s="175">
        <f>IF(AND(C195&lt;=Last_Prem,MOD(A194,Mode)=0,C195&gt;INPUT!$C$13,A195&lt;=Revival!$C$11),Mod_Prem,0)</f>
        <v>0</v>
      </c>
      <c r="F195" s="177">
        <f>E195*VLOOKUP(B195,'Pre-Calculation'!$H$1:$I$31,2,FALSE)</f>
        <v>0</v>
      </c>
      <c r="G195" s="177">
        <f>IF(B195&lt;PT+1,VLOOKUP(B195,'Pre-Calculation'!$H$1:$L$32,3,FALSE)+VLOOKUP(B195,'Pre-Calculation'!$H$1:$L$32,4,FALSE)*'Pre-Calculation'!$D$7,0)</f>
        <v>0</v>
      </c>
      <c r="H195" s="175">
        <f>(E195-(F195+G195)*(1+Tax)+N194)</f>
        <v>2412940.711</v>
      </c>
      <c r="I195" s="175">
        <f>IF(B195&lt;PT+1,VLOOKUP(D195,'Pre-Calculation'!$N$3:$P$79,IF(INPUT!$C$4="M",2,3),FALSE)*(J195/1000)*(1/12),0)</f>
        <v>0</v>
      </c>
      <c r="J195" s="175">
        <f t="shared" si="3"/>
        <v>0</v>
      </c>
      <c r="K195" s="175">
        <f>(IF('Pre-Calculation'!$D$17="Type 4 a",MAX(SA,H195,1.05*Q195),IF('Pre-Calculation'!$D$17="Type 4 c",H195,IF('Pre-Calculation'!$D$17="Type 4 d",SA+H195,IF('Pre-Calculation'!$D$17="Type 4 e",MAX(SA,H195),IF('Pre-Calculation'!$D$17="Type 4 f",SA,IF('Pre-Calculation'!$D$17="Type 4 g",1000+H195,IF('Pre-Calculation'!$D$17="Type 4 h",SA+V195,IF('Pre-Calculation'!$D$17="Type 4 i",MAX(H195,Q195),IF('Pre-Calculation'!$D$17="Type 4 k",MAX(H195,1.01*Q195),IF('Pre-Calculation'!$D$17="Type 4 m",MAX(105%*Q195,SA+H195),IF('Pre-Calculation'!$D$17="Type 4 o",MAX(SA,105%*Q195)+V195+X195,IF('Pre-Calculation'!$D$17="Type 5",0)))))))))))))*IF(AND(A195&lt;Revival!$C$4,C195&gt;=Revival!$D$12),PUP,1)</f>
        <v>2412940.711</v>
      </c>
      <c r="L195" s="175">
        <f>H195-I195*(1+Tax)</f>
        <v>2412940.711</v>
      </c>
      <c r="M195" s="175">
        <f>L195*(1+'Pre-Calculation'!$E$28)*(1-'Pre-Calculation'!$E$29*(1+Tax))</f>
        <v>2423663.744</v>
      </c>
      <c r="N195" s="175">
        <f>M195+IF(MOD(A195,B195)=0,VLOOKUP(B195,'Pre-Calculation'!$H$1:$L$31,5,FALSE),0)*IF('Pre-Calculation'!$D$16="% OF FV",M195,IF(OR('Pre-Calculation'!$D$16="% OF AFV(24M)",'Pre-Calculation'!$D$16="% OF AFV(8Q)"),AVERAGE( $M172:$M195),IF('Pre-Calculation'!$D$16="% OF AFV(12M)",AVERAGE($M184:M195),IF('Pre-Calculation'!$D$16="% OF AFV(36M)",AVERAGE($M160:M195)))))</f>
        <v>2423663.744</v>
      </c>
      <c r="O195" s="175">
        <f t="shared" si="4"/>
        <v>2423663.744</v>
      </c>
      <c r="P195" s="175">
        <f>IF('Pre-Calculation'!$D$17="Type 4 a",MAX(SA,N195,1.05*Q195),IF('Pre-Calculation'!$D$17="Type 4 c",N195,IF('Pre-Calculation'!$D$17="Type 4 d",SA+N195,IF('Pre-Calculation'!$D$17="Type 4 e",MAX(SA,N195),IF('Pre-Calculation'!$D$17="Type 4 f",SA,IF('Pre-Calculation'!$D$17="Type 4 g",1000+N195,IF('Pre-Calculation'!$D$17="Type 4 h",SA+V195,IF('Pre-Calculation'!$D$17="Type 4 i",MAX(N195,Q195),IF('Pre-Calculation'!$D$17="Type 4 k",MAX(N195,1.01*Q195),IF('Pre-Calculation'!$D$17="Type 4 m",MAX(105%*Q195,SA+N195),IF('Pre-Calculation'!$D$17="Type 4 o",MAX(SA,105%*Q195)+V195+X195,IF('Pre-Calculation'!$D$17="Type 5",0))))))))))))</f>
        <v>2423663.744</v>
      </c>
      <c r="Q195" s="175">
        <f t="shared" si="5"/>
        <v>1000000</v>
      </c>
      <c r="R195" s="119">
        <f>L195*(1+GROWTH_RATE)*FMC</f>
        <v>2730.53813</v>
      </c>
      <c r="S195" s="112"/>
      <c r="T195" s="175">
        <f>-E195+IF(A194=INPUT!$C$11*12,N195,0)</f>
        <v>0</v>
      </c>
      <c r="U195" s="112"/>
      <c r="V195" s="179">
        <f t="array" ref="V195">NPV('Pre-Calculation'!$E$20,$E196:E$246)</f>
        <v>0</v>
      </c>
      <c r="W195" s="171">
        <f>10%*SA</f>
        <v>100000</v>
      </c>
      <c r="X195" s="179">
        <f t="array" ref="X195">NPV('Pre-Calculation'!$E$20,W196:W205)</f>
        <v>969592.8037</v>
      </c>
      <c r="Y195" s="12"/>
      <c r="Z195" s="12"/>
    </row>
    <row r="196" ht="15.75" customHeight="1">
      <c r="A196" s="171">
        <f t="shared" si="1"/>
        <v>250</v>
      </c>
      <c r="B196" s="171">
        <f t="shared" si="2"/>
        <v>21</v>
      </c>
      <c r="C196" s="176">
        <f>EDATE(RCD,A195)</f>
        <v>50129</v>
      </c>
      <c r="D196" s="171">
        <f>Age_At_Entry+'Cashflows_Bond Fund'!B196-1</f>
        <v>55</v>
      </c>
      <c r="E196" s="175">
        <f>IF(AND(C196&lt;=Last_Prem,MOD(A195,Mode)=0,C196&gt;INPUT!$C$13,A196&lt;=Revival!$C$11),Mod_Prem,0)</f>
        <v>0</v>
      </c>
      <c r="F196" s="177">
        <f>E196*VLOOKUP(B196,'Pre-Calculation'!$H$1:$I$31,2,FALSE)</f>
        <v>0</v>
      </c>
      <c r="G196" s="177">
        <f>IF(B196&lt;PT+1,VLOOKUP(B196,'Pre-Calculation'!$H$1:$L$32,3,FALSE)+VLOOKUP(B196,'Pre-Calculation'!$H$1:$L$32,4,FALSE)*'Pre-Calculation'!$D$7,0)</f>
        <v>0</v>
      </c>
      <c r="H196" s="175">
        <f>(E196-(F196+G196)*(1+Tax)+N195)</f>
        <v>2423663.744</v>
      </c>
      <c r="I196" s="175">
        <f>IF(B196&lt;PT+1,VLOOKUP(D196,'Pre-Calculation'!$N$3:$P$79,IF(INPUT!$C$4="M",2,3),FALSE)*(J196/1000)*(1/12),0)</f>
        <v>0</v>
      </c>
      <c r="J196" s="175">
        <f t="shared" si="3"/>
        <v>0</v>
      </c>
      <c r="K196" s="175">
        <f>(IF('Pre-Calculation'!$D$17="Type 4 a",MAX(SA,H196,1.05*Q196),IF('Pre-Calculation'!$D$17="Type 4 c",H196,IF('Pre-Calculation'!$D$17="Type 4 d",SA+H196,IF('Pre-Calculation'!$D$17="Type 4 e",MAX(SA,H196),IF('Pre-Calculation'!$D$17="Type 4 f",SA,IF('Pre-Calculation'!$D$17="Type 4 g",1000+H196,IF('Pre-Calculation'!$D$17="Type 4 h",SA+V196,IF('Pre-Calculation'!$D$17="Type 4 i",MAX(H196,Q196),IF('Pre-Calculation'!$D$17="Type 4 k",MAX(H196,1.01*Q196),IF('Pre-Calculation'!$D$17="Type 4 m",MAX(105%*Q196,SA+H196),IF('Pre-Calculation'!$D$17="Type 4 o",MAX(SA,105%*Q196)+V196+X196,IF('Pre-Calculation'!$D$17="Type 5",0)))))))))))))*IF(AND(A196&lt;Revival!$C$4,C196&gt;=Revival!$D$12),PUP,1)</f>
        <v>2423663.744</v>
      </c>
      <c r="L196" s="175">
        <f>H196-I196*(1+Tax)</f>
        <v>2423663.744</v>
      </c>
      <c r="M196" s="175">
        <f>L196*(1+'Pre-Calculation'!$E$28)*(1-'Pre-Calculation'!$E$29*(1+Tax))</f>
        <v>2434434.43</v>
      </c>
      <c r="N196" s="175">
        <f>M196+IF(MOD(A196,B196)=0,VLOOKUP(B196,'Pre-Calculation'!$H$1:$L$31,5,FALSE),0)*IF('Pre-Calculation'!$D$16="% OF FV",M196,IF(OR('Pre-Calculation'!$D$16="% OF AFV(24M)",'Pre-Calculation'!$D$16="% OF AFV(8Q)"),AVERAGE( $M173:$M196),IF('Pre-Calculation'!$D$16="% OF AFV(12M)",AVERAGE($M185:M196),IF('Pre-Calculation'!$D$16="% OF AFV(36M)",AVERAGE($M161:M196)))))</f>
        <v>2434434.43</v>
      </c>
      <c r="O196" s="175">
        <f t="shared" si="4"/>
        <v>2434434.43</v>
      </c>
      <c r="P196" s="175">
        <f>IF('Pre-Calculation'!$D$17="Type 4 a",MAX(SA,N196,1.05*Q196),IF('Pre-Calculation'!$D$17="Type 4 c",N196,IF('Pre-Calculation'!$D$17="Type 4 d",SA+N196,IF('Pre-Calculation'!$D$17="Type 4 e",MAX(SA,N196),IF('Pre-Calculation'!$D$17="Type 4 f",SA,IF('Pre-Calculation'!$D$17="Type 4 g",1000+N196,IF('Pre-Calculation'!$D$17="Type 4 h",SA+V196,IF('Pre-Calculation'!$D$17="Type 4 i",MAX(N196,Q196),IF('Pre-Calculation'!$D$17="Type 4 k",MAX(N196,1.01*Q196),IF('Pre-Calculation'!$D$17="Type 4 m",MAX(105%*Q196,SA+N196),IF('Pre-Calculation'!$D$17="Type 4 o",MAX(SA,105%*Q196)+V196+X196,IF('Pre-Calculation'!$D$17="Type 5",0))))))))))))</f>
        <v>2434434.43</v>
      </c>
      <c r="Q196" s="175">
        <f t="shared" si="5"/>
        <v>1000000</v>
      </c>
      <c r="R196" s="119">
        <f>L196*(1+GROWTH_RATE)*FMC</f>
        <v>2742.672556</v>
      </c>
      <c r="S196" s="112"/>
      <c r="T196" s="175">
        <f>-E196+IF(A195=INPUT!$C$11*12,N196,0)</f>
        <v>0</v>
      </c>
      <c r="U196" s="112"/>
      <c r="V196" s="179">
        <f t="array" ref="V196">NPV('Pre-Calculation'!$E$20,$E197:E$246)</f>
        <v>0</v>
      </c>
      <c r="W196" s="171">
        <f>10%*SA</f>
        <v>100000</v>
      </c>
      <c r="X196" s="179">
        <f t="array" ref="X196">NPV('Pre-Calculation'!$E$20,W197:W206)</f>
        <v>969592.8037</v>
      </c>
      <c r="Y196" s="12"/>
      <c r="Z196" s="12"/>
    </row>
    <row r="197" ht="15.75" customHeight="1">
      <c r="A197" s="171">
        <f t="shared" si="1"/>
        <v>251</v>
      </c>
      <c r="B197" s="171">
        <f t="shared" si="2"/>
        <v>21</v>
      </c>
      <c r="C197" s="176">
        <f>EDATE(RCD,A196)</f>
        <v>50160</v>
      </c>
      <c r="D197" s="171">
        <f>Age_At_Entry+'Cashflows_Bond Fund'!B197-1</f>
        <v>55</v>
      </c>
      <c r="E197" s="175">
        <f>IF(AND(C197&lt;=Last_Prem,MOD(A196,Mode)=0,C197&gt;INPUT!$C$13,A197&lt;=Revival!$C$11),Mod_Prem,0)</f>
        <v>0</v>
      </c>
      <c r="F197" s="177">
        <f>E197*VLOOKUP(B197,'Pre-Calculation'!$H$1:$I$31,2,FALSE)</f>
        <v>0</v>
      </c>
      <c r="G197" s="177">
        <f>IF(B197&lt;PT+1,VLOOKUP(B197,'Pre-Calculation'!$H$1:$L$32,3,FALSE)+VLOOKUP(B197,'Pre-Calculation'!$H$1:$L$32,4,FALSE)*'Pre-Calculation'!$D$7,0)</f>
        <v>0</v>
      </c>
      <c r="H197" s="175">
        <f>(E197-(F197+G197)*(1+Tax)+N196)</f>
        <v>2434434.43</v>
      </c>
      <c r="I197" s="175">
        <f>IF(B197&lt;PT+1,VLOOKUP(D197,'Pre-Calculation'!$N$3:$P$79,IF(INPUT!$C$4="M",2,3),FALSE)*(J197/1000)*(1/12),0)</f>
        <v>0</v>
      </c>
      <c r="J197" s="175">
        <f t="shared" si="3"/>
        <v>0</v>
      </c>
      <c r="K197" s="175">
        <f>(IF('Pre-Calculation'!$D$17="Type 4 a",MAX(SA,H197,1.05*Q197),IF('Pre-Calculation'!$D$17="Type 4 c",H197,IF('Pre-Calculation'!$D$17="Type 4 d",SA+H197,IF('Pre-Calculation'!$D$17="Type 4 e",MAX(SA,H197),IF('Pre-Calculation'!$D$17="Type 4 f",SA,IF('Pre-Calculation'!$D$17="Type 4 g",1000+H197,IF('Pre-Calculation'!$D$17="Type 4 h",SA+V197,IF('Pre-Calculation'!$D$17="Type 4 i",MAX(H197,Q197),IF('Pre-Calculation'!$D$17="Type 4 k",MAX(H197,1.01*Q197),IF('Pre-Calculation'!$D$17="Type 4 m",MAX(105%*Q197,SA+H197),IF('Pre-Calculation'!$D$17="Type 4 o",MAX(SA,105%*Q197)+V197+X197,IF('Pre-Calculation'!$D$17="Type 5",0)))))))))))))*IF(AND(A197&lt;Revival!$C$4,C197&gt;=Revival!$D$12),PUP,1)</f>
        <v>2434434.43</v>
      </c>
      <c r="L197" s="175">
        <f>H197-I197*(1+Tax)</f>
        <v>2434434.43</v>
      </c>
      <c r="M197" s="175">
        <f>L197*(1+'Pre-Calculation'!$E$28)*(1-'Pre-Calculation'!$E$29*(1+Tax))</f>
        <v>2445252.98</v>
      </c>
      <c r="N197" s="175">
        <f>M197+IF(MOD(A197,B197)=0,VLOOKUP(B197,'Pre-Calculation'!$H$1:$L$31,5,FALSE),0)*IF('Pre-Calculation'!$D$16="% OF FV",M197,IF(OR('Pre-Calculation'!$D$16="% OF AFV(24M)",'Pre-Calculation'!$D$16="% OF AFV(8Q)"),AVERAGE( $M174:$M197),IF('Pre-Calculation'!$D$16="% OF AFV(12M)",AVERAGE($M186:M197),IF('Pre-Calculation'!$D$16="% OF AFV(36M)",AVERAGE($M162:M197)))))</f>
        <v>2445252.98</v>
      </c>
      <c r="O197" s="175">
        <f t="shared" si="4"/>
        <v>2445252.98</v>
      </c>
      <c r="P197" s="175">
        <f>IF('Pre-Calculation'!$D$17="Type 4 a",MAX(SA,N197,1.05*Q197),IF('Pre-Calculation'!$D$17="Type 4 c",N197,IF('Pre-Calculation'!$D$17="Type 4 d",SA+N197,IF('Pre-Calculation'!$D$17="Type 4 e",MAX(SA,N197),IF('Pre-Calculation'!$D$17="Type 4 f",SA,IF('Pre-Calculation'!$D$17="Type 4 g",1000+N197,IF('Pre-Calculation'!$D$17="Type 4 h",SA+V197,IF('Pre-Calculation'!$D$17="Type 4 i",MAX(N197,Q197),IF('Pre-Calculation'!$D$17="Type 4 k",MAX(N197,1.01*Q197),IF('Pre-Calculation'!$D$17="Type 4 m",MAX(105%*Q197,SA+N197),IF('Pre-Calculation'!$D$17="Type 4 o",MAX(SA,105%*Q197)+V197+X197,IF('Pre-Calculation'!$D$17="Type 5",0))))))))))))</f>
        <v>2445252.98</v>
      </c>
      <c r="Q197" s="175">
        <f t="shared" si="5"/>
        <v>1000000</v>
      </c>
      <c r="R197" s="119">
        <f>L197*(1+GROWTH_RATE)*FMC</f>
        <v>2754.860907</v>
      </c>
      <c r="S197" s="112"/>
      <c r="T197" s="175">
        <f>-E197+IF(A196=INPUT!$C$11*12,N197,0)</f>
        <v>0</v>
      </c>
      <c r="U197" s="112"/>
      <c r="V197" s="179">
        <f t="array" ref="V197">NPV('Pre-Calculation'!$E$20,$E198:E$246)</f>
        <v>0</v>
      </c>
      <c r="W197" s="171">
        <f>10%*SA</f>
        <v>100000</v>
      </c>
      <c r="X197" s="179">
        <f t="array" ref="X197">NPV('Pre-Calculation'!$E$20,W198:W207)</f>
        <v>969592.8037</v>
      </c>
      <c r="Y197" s="12"/>
      <c r="Z197" s="12"/>
    </row>
    <row r="198" ht="15.75" customHeight="1">
      <c r="A198" s="171">
        <f t="shared" si="1"/>
        <v>252</v>
      </c>
      <c r="B198" s="171">
        <f t="shared" si="2"/>
        <v>21</v>
      </c>
      <c r="C198" s="176">
        <f>EDATE(RCD,A197)</f>
        <v>50190</v>
      </c>
      <c r="D198" s="171">
        <f>Age_At_Entry+'Cashflows_Bond Fund'!B198-1</f>
        <v>55</v>
      </c>
      <c r="E198" s="175">
        <f>IF(AND(C198&lt;=Last_Prem,MOD(A197,Mode)=0,C198&gt;INPUT!$C$13,A198&lt;=Revival!$C$11),Mod_Prem,0)</f>
        <v>0</v>
      </c>
      <c r="F198" s="177">
        <f>E198*VLOOKUP(B198,'Pre-Calculation'!$H$1:$I$31,2,FALSE)</f>
        <v>0</v>
      </c>
      <c r="G198" s="177">
        <f>IF(B198&lt;PT+1,VLOOKUP(B198,'Pre-Calculation'!$H$1:$L$32,3,FALSE)+VLOOKUP(B198,'Pre-Calculation'!$H$1:$L$32,4,FALSE)*'Pre-Calculation'!$D$7,0)</f>
        <v>0</v>
      </c>
      <c r="H198" s="175">
        <f>(E198-(F198+G198)*(1+Tax)+N197)</f>
        <v>2445252.98</v>
      </c>
      <c r="I198" s="175">
        <f>IF(B198&lt;PT+1,VLOOKUP(D198,'Pre-Calculation'!$N$3:$P$79,IF(INPUT!$C$4="M",2,3),FALSE)*(J198/1000)*(1/12),0)</f>
        <v>0</v>
      </c>
      <c r="J198" s="175">
        <f t="shared" si="3"/>
        <v>0</v>
      </c>
      <c r="K198" s="175">
        <f>(IF('Pre-Calculation'!$D$17="Type 4 a",MAX(SA,H198,1.05*Q198),IF('Pre-Calculation'!$D$17="Type 4 c",H198,IF('Pre-Calculation'!$D$17="Type 4 d",SA+H198,IF('Pre-Calculation'!$D$17="Type 4 e",MAX(SA,H198),IF('Pre-Calculation'!$D$17="Type 4 f",SA,IF('Pre-Calculation'!$D$17="Type 4 g",1000+H198,IF('Pre-Calculation'!$D$17="Type 4 h",SA+V198,IF('Pre-Calculation'!$D$17="Type 4 i",MAX(H198,Q198),IF('Pre-Calculation'!$D$17="Type 4 k",MAX(H198,1.01*Q198),IF('Pre-Calculation'!$D$17="Type 4 m",MAX(105%*Q198,SA+H198),IF('Pre-Calculation'!$D$17="Type 4 o",MAX(SA,105%*Q198)+V198+X198,IF('Pre-Calculation'!$D$17="Type 5",0)))))))))))))*IF(AND(A198&lt;Revival!$C$4,C198&gt;=Revival!$D$12),PUP,1)</f>
        <v>2445252.98</v>
      </c>
      <c r="L198" s="175">
        <f>H198-I198*(1+Tax)</f>
        <v>2445252.98</v>
      </c>
      <c r="M198" s="175">
        <f>L198*(1+'Pre-Calculation'!$E$28)*(1-'Pre-Calculation'!$E$29*(1+Tax))</f>
        <v>2456119.608</v>
      </c>
      <c r="N198" s="175">
        <f>M198+IF(MOD(A198,B198)=0,VLOOKUP(B198,'Pre-Calculation'!$H$1:$L$31,5,FALSE),0)*IF('Pre-Calculation'!$D$16="% OF FV",M198,IF(OR('Pre-Calculation'!$D$16="% OF AFV(24M)",'Pre-Calculation'!$D$16="% OF AFV(8Q)"),AVERAGE( $M175:$M198),IF('Pre-Calculation'!$D$16="% OF AFV(12M)",AVERAGE($M187:M198),IF('Pre-Calculation'!$D$16="% OF AFV(36M)",AVERAGE($M163:M198)))))</f>
        <v>2456119.608</v>
      </c>
      <c r="O198" s="175">
        <f t="shared" si="4"/>
        <v>2456119.608</v>
      </c>
      <c r="P198" s="175">
        <f>IF('Pre-Calculation'!$D$17="Type 4 a",MAX(SA,N198,1.05*Q198),IF('Pre-Calculation'!$D$17="Type 4 c",N198,IF('Pre-Calculation'!$D$17="Type 4 d",SA+N198,IF('Pre-Calculation'!$D$17="Type 4 e",MAX(SA,N198),IF('Pre-Calculation'!$D$17="Type 4 f",SA,IF('Pre-Calculation'!$D$17="Type 4 g",1000+N198,IF('Pre-Calculation'!$D$17="Type 4 h",SA+V198,IF('Pre-Calculation'!$D$17="Type 4 i",MAX(N198,Q198),IF('Pre-Calculation'!$D$17="Type 4 k",MAX(N198,1.01*Q198),IF('Pre-Calculation'!$D$17="Type 4 m",MAX(105%*Q198,SA+N198),IF('Pre-Calculation'!$D$17="Type 4 o",MAX(SA,105%*Q198)+V198+X198,IF('Pre-Calculation'!$D$17="Type 5",0))))))))))))</f>
        <v>2456119.608</v>
      </c>
      <c r="Q198" s="175">
        <f t="shared" si="5"/>
        <v>1000000</v>
      </c>
      <c r="R198" s="119">
        <f>L198*(1+GROWTH_RATE)*FMC</f>
        <v>2767.103423</v>
      </c>
      <c r="S198" s="112"/>
      <c r="T198" s="175">
        <f>-E198+IF(A197=INPUT!$C$11*12,N198,0)</f>
        <v>0</v>
      </c>
      <c r="U198" s="112"/>
      <c r="V198" s="179">
        <f t="array" ref="V198">NPV('Pre-Calculation'!$E$20,$E199:E$246)</f>
        <v>0</v>
      </c>
      <c r="W198" s="171">
        <f>10%*SA</f>
        <v>100000</v>
      </c>
      <c r="X198" s="179">
        <f t="array" ref="X198">NPV('Pre-Calculation'!$E$20,W199:W208)</f>
        <v>969592.8037</v>
      </c>
      <c r="Y198" s="12"/>
      <c r="Z198" s="12"/>
    </row>
    <row r="199" ht="15.75" customHeight="1">
      <c r="A199" s="171">
        <f t="shared" si="1"/>
        <v>253</v>
      </c>
      <c r="B199" s="171">
        <f t="shared" si="2"/>
        <v>22</v>
      </c>
      <c r="C199" s="176">
        <f>EDATE(RCD,A198)</f>
        <v>50221</v>
      </c>
      <c r="D199" s="171">
        <f>Age_At_Entry+'Cashflows_Bond Fund'!B199-1</f>
        <v>56</v>
      </c>
      <c r="E199" s="175">
        <f>IF(AND(C199&lt;=Last_Prem,MOD(A198,Mode)=0,C199&gt;INPUT!$C$13,A199&lt;=Revival!$C$11),Mod_Prem,0)</f>
        <v>0</v>
      </c>
      <c r="F199" s="177">
        <f>E199*VLOOKUP(B199,'Pre-Calculation'!$H$1:$I$31,2,FALSE)</f>
        <v>0</v>
      </c>
      <c r="G199" s="177">
        <f>IF(B199&lt;PT+1,VLOOKUP(B199,'Pre-Calculation'!$H$1:$L$32,3,FALSE)+VLOOKUP(B199,'Pre-Calculation'!$H$1:$L$32,4,FALSE)*'Pre-Calculation'!$D$7,0)</f>
        <v>0</v>
      </c>
      <c r="H199" s="175">
        <f>(E199-(F199+G199)*(1+Tax)+N198)</f>
        <v>2456119.608</v>
      </c>
      <c r="I199" s="175">
        <f>IF(B199&lt;PT+1,VLOOKUP(D199,'Pre-Calculation'!$N$3:$P$79,IF(INPUT!$C$4="M",2,3),FALSE)*(J199/1000)*(1/12),0)</f>
        <v>0</v>
      </c>
      <c r="J199" s="175">
        <f t="shared" si="3"/>
        <v>0</v>
      </c>
      <c r="K199" s="175">
        <f>(IF('Pre-Calculation'!$D$17="Type 4 a",MAX(SA,H199,1.05*Q199),IF('Pre-Calculation'!$D$17="Type 4 c",H199,IF('Pre-Calculation'!$D$17="Type 4 d",SA+H199,IF('Pre-Calculation'!$D$17="Type 4 e",MAX(SA,H199),IF('Pre-Calculation'!$D$17="Type 4 f",SA,IF('Pre-Calculation'!$D$17="Type 4 g",1000+H199,IF('Pre-Calculation'!$D$17="Type 4 h",SA+V199,IF('Pre-Calculation'!$D$17="Type 4 i",MAX(H199,Q199),IF('Pre-Calculation'!$D$17="Type 4 k",MAX(H199,1.01*Q199),IF('Pre-Calculation'!$D$17="Type 4 m",MAX(105%*Q199,SA+H199),IF('Pre-Calculation'!$D$17="Type 4 o",MAX(SA,105%*Q199)+V199+X199,IF('Pre-Calculation'!$D$17="Type 5",0)))))))))))))*IF(AND(A199&lt;Revival!$C$4,C199&gt;=Revival!$D$12),PUP,1)</f>
        <v>2456119.608</v>
      </c>
      <c r="L199" s="175">
        <f>H199-I199*(1+Tax)</f>
        <v>2456119.608</v>
      </c>
      <c r="M199" s="175">
        <f>L199*(1+'Pre-Calculation'!$E$28)*(1-'Pre-Calculation'!$E$29*(1+Tax))</f>
        <v>2467034.527</v>
      </c>
      <c r="N199" s="175">
        <f>M199+IF(MOD(A199,B199)=0,VLOOKUP(B199,'Pre-Calculation'!$H$1:$L$31,5,FALSE),0)*IF('Pre-Calculation'!$D$16="% OF FV",M199,IF(OR('Pre-Calculation'!$D$16="% OF AFV(24M)",'Pre-Calculation'!$D$16="% OF AFV(8Q)"),AVERAGE( $M176:$M199),IF('Pre-Calculation'!$D$16="% OF AFV(12M)",AVERAGE($M188:M199),IF('Pre-Calculation'!$D$16="% OF AFV(36M)",AVERAGE($M164:M199)))))</f>
        <v>2467034.527</v>
      </c>
      <c r="O199" s="175">
        <f t="shared" si="4"/>
        <v>2467034.527</v>
      </c>
      <c r="P199" s="175">
        <f>IF('Pre-Calculation'!$D$17="Type 4 a",MAX(SA,N199,1.05*Q199),IF('Pre-Calculation'!$D$17="Type 4 c",N199,IF('Pre-Calculation'!$D$17="Type 4 d",SA+N199,IF('Pre-Calculation'!$D$17="Type 4 e",MAX(SA,N199),IF('Pre-Calculation'!$D$17="Type 4 f",SA,IF('Pre-Calculation'!$D$17="Type 4 g",1000+N199,IF('Pre-Calculation'!$D$17="Type 4 h",SA+V199,IF('Pre-Calculation'!$D$17="Type 4 i",MAX(N199,Q199),IF('Pre-Calculation'!$D$17="Type 4 k",MAX(N199,1.01*Q199),IF('Pre-Calculation'!$D$17="Type 4 m",MAX(105%*Q199,SA+N199),IF('Pre-Calculation'!$D$17="Type 4 o",MAX(SA,105%*Q199)+V199+X199,IF('Pre-Calculation'!$D$17="Type 5",0))))))))))))</f>
        <v>2467034.527</v>
      </c>
      <c r="Q199" s="175">
        <f t="shared" si="5"/>
        <v>1000000</v>
      </c>
      <c r="R199" s="119">
        <f>L199*(1+GROWTH_RATE)*FMC</f>
        <v>2779.400344</v>
      </c>
      <c r="S199" s="112"/>
      <c r="T199" s="175">
        <f>-E199+IF(A198=INPUT!$C$11*12,N199,0)</f>
        <v>0</v>
      </c>
      <c r="U199" s="112"/>
      <c r="V199" s="179">
        <f t="array" ref="V199">NPV('Pre-Calculation'!$E$20,$E200:E$246)</f>
        <v>0</v>
      </c>
      <c r="W199" s="171">
        <f>10%*SA</f>
        <v>100000</v>
      </c>
      <c r="X199" s="179">
        <f t="array" ref="X199">NPV('Pre-Calculation'!$E$20,W200:W209)</f>
        <v>969592.8037</v>
      </c>
      <c r="Y199" s="12"/>
      <c r="Z199" s="12"/>
    </row>
    <row r="200" ht="15.75" customHeight="1">
      <c r="A200" s="171">
        <f t="shared" si="1"/>
        <v>254</v>
      </c>
      <c r="B200" s="171">
        <f t="shared" si="2"/>
        <v>22</v>
      </c>
      <c r="C200" s="176">
        <f>EDATE(RCD,A199)</f>
        <v>50251</v>
      </c>
      <c r="D200" s="171">
        <f>Age_At_Entry+'Cashflows_Bond Fund'!B200-1</f>
        <v>56</v>
      </c>
      <c r="E200" s="175">
        <f>IF(AND(C200&lt;=Last_Prem,MOD(A199,Mode)=0,C200&gt;INPUT!$C$13,A200&lt;=Revival!$C$11),Mod_Prem,0)</f>
        <v>0</v>
      </c>
      <c r="F200" s="177">
        <f>E200*VLOOKUP(B200,'Pre-Calculation'!$H$1:$I$31,2,FALSE)</f>
        <v>0</v>
      </c>
      <c r="G200" s="177">
        <f>IF(B200&lt;PT+1,VLOOKUP(B200,'Pre-Calculation'!$H$1:$L$32,3,FALSE)+VLOOKUP(B200,'Pre-Calculation'!$H$1:$L$32,4,FALSE)*'Pre-Calculation'!$D$7,0)</f>
        <v>0</v>
      </c>
      <c r="H200" s="175">
        <f>(E200-(F200+G200)*(1+Tax)+N199)</f>
        <v>2467034.527</v>
      </c>
      <c r="I200" s="175">
        <f>IF(B200&lt;PT+1,VLOOKUP(D200,'Pre-Calculation'!$N$3:$P$79,IF(INPUT!$C$4="M",2,3),FALSE)*(J200/1000)*(1/12),0)</f>
        <v>0</v>
      </c>
      <c r="J200" s="175">
        <f t="shared" si="3"/>
        <v>0</v>
      </c>
      <c r="K200" s="175">
        <f>(IF('Pre-Calculation'!$D$17="Type 4 a",MAX(SA,H200,1.05*Q200),IF('Pre-Calculation'!$D$17="Type 4 c",H200,IF('Pre-Calculation'!$D$17="Type 4 d",SA+H200,IF('Pre-Calculation'!$D$17="Type 4 e",MAX(SA,H200),IF('Pre-Calculation'!$D$17="Type 4 f",SA,IF('Pre-Calculation'!$D$17="Type 4 g",1000+H200,IF('Pre-Calculation'!$D$17="Type 4 h",SA+V200,IF('Pre-Calculation'!$D$17="Type 4 i",MAX(H200,Q200),IF('Pre-Calculation'!$D$17="Type 4 k",MAX(H200,1.01*Q200),IF('Pre-Calculation'!$D$17="Type 4 m",MAX(105%*Q200,SA+H200),IF('Pre-Calculation'!$D$17="Type 4 o",MAX(SA,105%*Q200)+V200+X200,IF('Pre-Calculation'!$D$17="Type 5",0)))))))))))))*IF(AND(A200&lt;Revival!$C$4,C200&gt;=Revival!$D$12),PUP,1)</f>
        <v>2467034.527</v>
      </c>
      <c r="L200" s="175">
        <f>H200-I200*(1+Tax)</f>
        <v>2467034.527</v>
      </c>
      <c r="M200" s="175">
        <f>L200*(1+'Pre-Calculation'!$E$28)*(1-'Pre-Calculation'!$E$29*(1+Tax))</f>
        <v>2477997.951</v>
      </c>
      <c r="N200" s="175">
        <f>M200+IF(MOD(A200,B200)=0,VLOOKUP(B200,'Pre-Calculation'!$H$1:$L$31,5,FALSE),0)*IF('Pre-Calculation'!$D$16="% OF FV",M200,IF(OR('Pre-Calculation'!$D$16="% OF AFV(24M)",'Pre-Calculation'!$D$16="% OF AFV(8Q)"),AVERAGE( $M177:$M200),IF('Pre-Calculation'!$D$16="% OF AFV(12M)",AVERAGE($M189:M200),IF('Pre-Calculation'!$D$16="% OF AFV(36M)",AVERAGE($M165:M200)))))</f>
        <v>2477997.951</v>
      </c>
      <c r="O200" s="175">
        <f t="shared" si="4"/>
        <v>2477997.951</v>
      </c>
      <c r="P200" s="175">
        <f>IF('Pre-Calculation'!$D$17="Type 4 a",MAX(SA,N200,1.05*Q200),IF('Pre-Calculation'!$D$17="Type 4 c",N200,IF('Pre-Calculation'!$D$17="Type 4 d",SA+N200,IF('Pre-Calculation'!$D$17="Type 4 e",MAX(SA,N200),IF('Pre-Calculation'!$D$17="Type 4 f",SA,IF('Pre-Calculation'!$D$17="Type 4 g",1000+N200,IF('Pre-Calculation'!$D$17="Type 4 h",SA+V200,IF('Pre-Calculation'!$D$17="Type 4 i",MAX(N200,Q200),IF('Pre-Calculation'!$D$17="Type 4 k",MAX(N200,1.01*Q200),IF('Pre-Calculation'!$D$17="Type 4 m",MAX(105%*Q200,SA+N200),IF('Pre-Calculation'!$D$17="Type 4 o",MAX(SA,105%*Q200)+V200+X200,IF('Pre-Calculation'!$D$17="Type 5",0))))))))))))</f>
        <v>2477997.951</v>
      </c>
      <c r="Q200" s="175">
        <f t="shared" si="5"/>
        <v>1000000</v>
      </c>
      <c r="R200" s="119">
        <f>L200*(1+GROWTH_RATE)*FMC</f>
        <v>2791.751913</v>
      </c>
      <c r="S200" s="112"/>
      <c r="T200" s="175">
        <f>-E200+IF(A199=INPUT!$C$11*12,N200,0)</f>
        <v>0</v>
      </c>
      <c r="U200" s="112"/>
      <c r="V200" s="179">
        <f t="array" ref="V200">NPV('Pre-Calculation'!$E$20,$E201:E$246)</f>
        <v>0</v>
      </c>
      <c r="W200" s="171">
        <f>10%*SA</f>
        <v>100000</v>
      </c>
      <c r="X200" s="179">
        <f t="array" ref="X200">NPV('Pre-Calculation'!$E$20,W201:W210)</f>
        <v>969592.8037</v>
      </c>
      <c r="Y200" s="12"/>
      <c r="Z200" s="12"/>
    </row>
    <row r="201" ht="15.75" customHeight="1">
      <c r="A201" s="171">
        <f t="shared" si="1"/>
        <v>255</v>
      </c>
      <c r="B201" s="171">
        <f t="shared" si="2"/>
        <v>22</v>
      </c>
      <c r="C201" s="176">
        <f>EDATE(RCD,A200)</f>
        <v>50282</v>
      </c>
      <c r="D201" s="171">
        <f>Age_At_Entry+'Cashflows_Bond Fund'!B201-1</f>
        <v>56</v>
      </c>
      <c r="E201" s="175">
        <f>IF(AND(C201&lt;=Last_Prem,MOD(A200,Mode)=0,C201&gt;INPUT!$C$13,A201&lt;=Revival!$C$11),Mod_Prem,0)</f>
        <v>0</v>
      </c>
      <c r="F201" s="177">
        <f>E201*VLOOKUP(B201,'Pre-Calculation'!$H$1:$I$31,2,FALSE)</f>
        <v>0</v>
      </c>
      <c r="G201" s="177">
        <f>IF(B201&lt;PT+1,VLOOKUP(B201,'Pre-Calculation'!$H$1:$L$32,3,FALSE)+VLOOKUP(B201,'Pre-Calculation'!$H$1:$L$32,4,FALSE)*'Pre-Calculation'!$D$7,0)</f>
        <v>0</v>
      </c>
      <c r="H201" s="175">
        <f>(E201-(F201+G201)*(1+Tax)+N200)</f>
        <v>2477997.951</v>
      </c>
      <c r="I201" s="175">
        <f>IF(B201&lt;PT+1,VLOOKUP(D201,'Pre-Calculation'!$N$3:$P$79,IF(INPUT!$C$4="M",2,3),FALSE)*(J201/1000)*(1/12),0)</f>
        <v>0</v>
      </c>
      <c r="J201" s="175">
        <f t="shared" si="3"/>
        <v>0</v>
      </c>
      <c r="K201" s="175">
        <f>(IF('Pre-Calculation'!$D$17="Type 4 a",MAX(SA,H201,1.05*Q201),IF('Pre-Calculation'!$D$17="Type 4 c",H201,IF('Pre-Calculation'!$D$17="Type 4 d",SA+H201,IF('Pre-Calculation'!$D$17="Type 4 e",MAX(SA,H201),IF('Pre-Calculation'!$D$17="Type 4 f",SA,IF('Pre-Calculation'!$D$17="Type 4 g",1000+H201,IF('Pre-Calculation'!$D$17="Type 4 h",SA+V201,IF('Pre-Calculation'!$D$17="Type 4 i",MAX(H201,Q201),IF('Pre-Calculation'!$D$17="Type 4 k",MAX(H201,1.01*Q201),IF('Pre-Calculation'!$D$17="Type 4 m",MAX(105%*Q201,SA+H201),IF('Pre-Calculation'!$D$17="Type 4 o",MAX(SA,105%*Q201)+V201+X201,IF('Pre-Calculation'!$D$17="Type 5",0)))))))))))))*IF(AND(A201&lt;Revival!$C$4,C201&gt;=Revival!$D$12),PUP,1)</f>
        <v>2477997.951</v>
      </c>
      <c r="L201" s="175">
        <f>H201-I201*(1+Tax)</f>
        <v>2477997.951</v>
      </c>
      <c r="M201" s="175">
        <f>L201*(1+'Pre-Calculation'!$E$28)*(1-'Pre-Calculation'!$E$29*(1+Tax))</f>
        <v>2489010.097</v>
      </c>
      <c r="N201" s="175">
        <f>M201+IF(MOD(A201,B201)=0,VLOOKUP(B201,'Pre-Calculation'!$H$1:$L$31,5,FALSE),0)*IF('Pre-Calculation'!$D$16="% OF FV",M201,IF(OR('Pre-Calculation'!$D$16="% OF AFV(24M)",'Pre-Calculation'!$D$16="% OF AFV(8Q)"),AVERAGE( $M178:$M201),IF('Pre-Calculation'!$D$16="% OF AFV(12M)",AVERAGE($M190:M201),IF('Pre-Calculation'!$D$16="% OF AFV(36M)",AVERAGE($M166:M201)))))</f>
        <v>2489010.097</v>
      </c>
      <c r="O201" s="175">
        <f t="shared" si="4"/>
        <v>2489010.097</v>
      </c>
      <c r="P201" s="175">
        <f>IF('Pre-Calculation'!$D$17="Type 4 a",MAX(SA,N201,1.05*Q201),IF('Pre-Calculation'!$D$17="Type 4 c",N201,IF('Pre-Calculation'!$D$17="Type 4 d",SA+N201,IF('Pre-Calculation'!$D$17="Type 4 e",MAX(SA,N201),IF('Pre-Calculation'!$D$17="Type 4 f",SA,IF('Pre-Calculation'!$D$17="Type 4 g",1000+N201,IF('Pre-Calculation'!$D$17="Type 4 h",SA+V201,IF('Pre-Calculation'!$D$17="Type 4 i",MAX(N201,Q201),IF('Pre-Calculation'!$D$17="Type 4 k",MAX(N201,1.01*Q201),IF('Pre-Calculation'!$D$17="Type 4 m",MAX(105%*Q201,SA+N201),IF('Pre-Calculation'!$D$17="Type 4 o",MAX(SA,105%*Q201)+V201+X201,IF('Pre-Calculation'!$D$17="Type 5",0))))))))))))</f>
        <v>2489010.097</v>
      </c>
      <c r="Q201" s="175">
        <f t="shared" si="5"/>
        <v>1000000</v>
      </c>
      <c r="R201" s="119">
        <f>L201*(1+GROWTH_RATE)*FMC</f>
        <v>2804.158371</v>
      </c>
      <c r="S201" s="112"/>
      <c r="T201" s="175">
        <f>-E201+IF(A200=INPUT!$C$11*12,N201,0)</f>
        <v>0</v>
      </c>
      <c r="U201" s="112"/>
      <c r="V201" s="179">
        <f t="array" ref="V201">NPV('Pre-Calculation'!$E$20,$E202:E$246)</f>
        <v>0</v>
      </c>
      <c r="W201" s="171">
        <f>10%*SA</f>
        <v>100000</v>
      </c>
      <c r="X201" s="179">
        <f t="array" ref="X201">NPV('Pre-Calculation'!$E$20,W202:W211)</f>
        <v>969592.8037</v>
      </c>
      <c r="Y201" s="12"/>
      <c r="Z201" s="12"/>
    </row>
    <row r="202" ht="15.75" customHeight="1">
      <c r="A202" s="171">
        <f t="shared" si="1"/>
        <v>256</v>
      </c>
      <c r="B202" s="171">
        <f t="shared" si="2"/>
        <v>22</v>
      </c>
      <c r="C202" s="176">
        <f>EDATE(RCD,A201)</f>
        <v>50313</v>
      </c>
      <c r="D202" s="171">
        <f>Age_At_Entry+'Cashflows_Bond Fund'!B202-1</f>
        <v>56</v>
      </c>
      <c r="E202" s="175">
        <f>IF(AND(C202&lt;=Last_Prem,MOD(A201,Mode)=0,C202&gt;INPUT!$C$13,A202&lt;=Revival!$C$11),Mod_Prem,0)</f>
        <v>0</v>
      </c>
      <c r="F202" s="177">
        <f>E202*VLOOKUP(B202,'Pre-Calculation'!$H$1:$I$31,2,FALSE)</f>
        <v>0</v>
      </c>
      <c r="G202" s="177">
        <f>IF(B202&lt;PT+1,VLOOKUP(B202,'Pre-Calculation'!$H$1:$L$32,3,FALSE)+VLOOKUP(B202,'Pre-Calculation'!$H$1:$L$32,4,FALSE)*'Pre-Calculation'!$D$7,0)</f>
        <v>0</v>
      </c>
      <c r="H202" s="175">
        <f>(E202-(F202+G202)*(1+Tax)+N201)</f>
        <v>2489010.097</v>
      </c>
      <c r="I202" s="175">
        <f>IF(B202&lt;PT+1,VLOOKUP(D202,'Pre-Calculation'!$N$3:$P$79,IF(INPUT!$C$4="M",2,3),FALSE)*(J202/1000)*(1/12),0)</f>
        <v>0</v>
      </c>
      <c r="J202" s="175">
        <f t="shared" si="3"/>
        <v>0</v>
      </c>
      <c r="K202" s="175">
        <f>(IF('Pre-Calculation'!$D$17="Type 4 a",MAX(SA,H202,1.05*Q202),IF('Pre-Calculation'!$D$17="Type 4 c",H202,IF('Pre-Calculation'!$D$17="Type 4 d",SA+H202,IF('Pre-Calculation'!$D$17="Type 4 e",MAX(SA,H202),IF('Pre-Calculation'!$D$17="Type 4 f",SA,IF('Pre-Calculation'!$D$17="Type 4 g",1000+H202,IF('Pre-Calculation'!$D$17="Type 4 h",SA+V202,IF('Pre-Calculation'!$D$17="Type 4 i",MAX(H202,Q202),IF('Pre-Calculation'!$D$17="Type 4 k",MAX(H202,1.01*Q202),IF('Pre-Calculation'!$D$17="Type 4 m",MAX(105%*Q202,SA+H202),IF('Pre-Calculation'!$D$17="Type 4 o",MAX(SA,105%*Q202)+V202+X202,IF('Pre-Calculation'!$D$17="Type 5",0)))))))))))))*IF(AND(A202&lt;Revival!$C$4,C202&gt;=Revival!$D$12),PUP,1)</f>
        <v>2489010.097</v>
      </c>
      <c r="L202" s="175">
        <f>H202-I202*(1+Tax)</f>
        <v>2489010.097</v>
      </c>
      <c r="M202" s="175">
        <f>L202*(1+'Pre-Calculation'!$E$28)*(1-'Pre-Calculation'!$E$29*(1+Tax))</f>
        <v>2500071.18</v>
      </c>
      <c r="N202" s="175">
        <f>M202+IF(MOD(A202,B202)=0,VLOOKUP(B202,'Pre-Calculation'!$H$1:$L$31,5,FALSE),0)*IF('Pre-Calculation'!$D$16="% OF FV",M202,IF(OR('Pre-Calculation'!$D$16="% OF AFV(24M)",'Pre-Calculation'!$D$16="% OF AFV(8Q)"),AVERAGE( $M179:$M202),IF('Pre-Calculation'!$D$16="% OF AFV(12M)",AVERAGE($M191:M202),IF('Pre-Calculation'!$D$16="% OF AFV(36M)",AVERAGE($M167:M202)))))</f>
        <v>2500071.18</v>
      </c>
      <c r="O202" s="175">
        <f t="shared" si="4"/>
        <v>2500071.18</v>
      </c>
      <c r="P202" s="175">
        <f>IF('Pre-Calculation'!$D$17="Type 4 a",MAX(SA,N202,1.05*Q202),IF('Pre-Calculation'!$D$17="Type 4 c",N202,IF('Pre-Calculation'!$D$17="Type 4 d",SA+N202,IF('Pre-Calculation'!$D$17="Type 4 e",MAX(SA,N202),IF('Pre-Calculation'!$D$17="Type 4 f",SA,IF('Pre-Calculation'!$D$17="Type 4 g",1000+N202,IF('Pre-Calculation'!$D$17="Type 4 h",SA+V202,IF('Pre-Calculation'!$D$17="Type 4 i",MAX(N202,Q202),IF('Pre-Calculation'!$D$17="Type 4 k",MAX(N202,1.01*Q202),IF('Pre-Calculation'!$D$17="Type 4 m",MAX(105%*Q202,SA+N202),IF('Pre-Calculation'!$D$17="Type 4 o",MAX(SA,105%*Q202)+V202+X202,IF('Pre-Calculation'!$D$17="Type 5",0))))))))))))</f>
        <v>2500071.18</v>
      </c>
      <c r="Q202" s="175">
        <f t="shared" si="5"/>
        <v>1000000</v>
      </c>
      <c r="R202" s="119">
        <f>L202*(1+GROWTH_RATE)*FMC</f>
        <v>2816.619963</v>
      </c>
      <c r="S202" s="112"/>
      <c r="T202" s="175">
        <f>-E202+IF(A201=INPUT!$C$11*12,N202,0)</f>
        <v>0</v>
      </c>
      <c r="U202" s="112"/>
      <c r="V202" s="179">
        <f t="array" ref="V202">NPV('Pre-Calculation'!$E$20,$E203:E$246)</f>
        <v>0</v>
      </c>
      <c r="W202" s="171">
        <f>10%*SA</f>
        <v>100000</v>
      </c>
      <c r="X202" s="179">
        <f t="array" ref="X202">NPV('Pre-Calculation'!$E$20,W203:W212)</f>
        <v>969592.8037</v>
      </c>
      <c r="Y202" s="12"/>
      <c r="Z202" s="12"/>
    </row>
    <row r="203" ht="15.75" customHeight="1">
      <c r="A203" s="171">
        <f t="shared" si="1"/>
        <v>257</v>
      </c>
      <c r="B203" s="171">
        <f t="shared" si="2"/>
        <v>22</v>
      </c>
      <c r="C203" s="176">
        <f>EDATE(RCD,A202)</f>
        <v>50343</v>
      </c>
      <c r="D203" s="171">
        <f>Age_At_Entry+'Cashflows_Bond Fund'!B203-1</f>
        <v>56</v>
      </c>
      <c r="E203" s="175">
        <f>IF(AND(C203&lt;=Last_Prem,MOD(A202,Mode)=0,C203&gt;INPUT!$C$13,A203&lt;=Revival!$C$11),Mod_Prem,0)</f>
        <v>0</v>
      </c>
      <c r="F203" s="177">
        <f>E203*VLOOKUP(B203,'Pre-Calculation'!$H$1:$I$31,2,FALSE)</f>
        <v>0</v>
      </c>
      <c r="G203" s="177">
        <f>IF(B203&lt;PT+1,VLOOKUP(B203,'Pre-Calculation'!$H$1:$L$32,3,FALSE)+VLOOKUP(B203,'Pre-Calculation'!$H$1:$L$32,4,FALSE)*'Pre-Calculation'!$D$7,0)</f>
        <v>0</v>
      </c>
      <c r="H203" s="175">
        <f>(E203-(F203+G203)*(1+Tax)+N202)</f>
        <v>2500071.18</v>
      </c>
      <c r="I203" s="175">
        <f>IF(B203&lt;PT+1,VLOOKUP(D203,'Pre-Calculation'!$N$3:$P$79,IF(INPUT!$C$4="M",2,3),FALSE)*(J203/1000)*(1/12),0)</f>
        <v>0</v>
      </c>
      <c r="J203" s="175">
        <f t="shared" si="3"/>
        <v>0</v>
      </c>
      <c r="K203" s="175">
        <f>(IF('Pre-Calculation'!$D$17="Type 4 a",MAX(SA,H203,1.05*Q203),IF('Pre-Calculation'!$D$17="Type 4 c",H203,IF('Pre-Calculation'!$D$17="Type 4 d",SA+H203,IF('Pre-Calculation'!$D$17="Type 4 e",MAX(SA,H203),IF('Pre-Calculation'!$D$17="Type 4 f",SA,IF('Pre-Calculation'!$D$17="Type 4 g",1000+H203,IF('Pre-Calculation'!$D$17="Type 4 h",SA+V203,IF('Pre-Calculation'!$D$17="Type 4 i",MAX(H203,Q203),IF('Pre-Calculation'!$D$17="Type 4 k",MAX(H203,1.01*Q203),IF('Pre-Calculation'!$D$17="Type 4 m",MAX(105%*Q203,SA+H203),IF('Pre-Calculation'!$D$17="Type 4 o",MAX(SA,105%*Q203)+V203+X203,IF('Pre-Calculation'!$D$17="Type 5",0)))))))))))))*IF(AND(A203&lt;Revival!$C$4,C203&gt;=Revival!$D$12),PUP,1)</f>
        <v>2500071.18</v>
      </c>
      <c r="L203" s="175">
        <f>H203-I203*(1+Tax)</f>
        <v>2500071.18</v>
      </c>
      <c r="M203" s="175">
        <f>L203*(1+'Pre-Calculation'!$E$28)*(1-'Pre-Calculation'!$E$29*(1+Tax))</f>
        <v>2511181.418</v>
      </c>
      <c r="N203" s="175">
        <f>M203+IF(MOD(A203,B203)=0,VLOOKUP(B203,'Pre-Calculation'!$H$1:$L$31,5,FALSE),0)*IF('Pre-Calculation'!$D$16="% OF FV",M203,IF(OR('Pre-Calculation'!$D$16="% OF AFV(24M)",'Pre-Calculation'!$D$16="% OF AFV(8Q)"),AVERAGE( $M180:$M203),IF('Pre-Calculation'!$D$16="% OF AFV(12M)",AVERAGE($M192:M203),IF('Pre-Calculation'!$D$16="% OF AFV(36M)",AVERAGE($M168:M203)))))</f>
        <v>2511181.418</v>
      </c>
      <c r="O203" s="175">
        <f t="shared" si="4"/>
        <v>2511181.418</v>
      </c>
      <c r="P203" s="175">
        <f>IF('Pre-Calculation'!$D$17="Type 4 a",MAX(SA,N203,1.05*Q203),IF('Pre-Calculation'!$D$17="Type 4 c",N203,IF('Pre-Calculation'!$D$17="Type 4 d",SA+N203,IF('Pre-Calculation'!$D$17="Type 4 e",MAX(SA,N203),IF('Pre-Calculation'!$D$17="Type 4 f",SA,IF('Pre-Calculation'!$D$17="Type 4 g",1000+N203,IF('Pre-Calculation'!$D$17="Type 4 h",SA+V203,IF('Pre-Calculation'!$D$17="Type 4 i",MAX(N203,Q203),IF('Pre-Calculation'!$D$17="Type 4 k",MAX(N203,1.01*Q203),IF('Pre-Calculation'!$D$17="Type 4 m",MAX(105%*Q203,SA+N203),IF('Pre-Calculation'!$D$17="Type 4 o",MAX(SA,105%*Q203)+V203+X203,IF('Pre-Calculation'!$D$17="Type 5",0))))))))))))</f>
        <v>2511181.418</v>
      </c>
      <c r="Q203" s="175">
        <f t="shared" si="5"/>
        <v>1000000</v>
      </c>
      <c r="R203" s="119">
        <f>L203*(1+GROWTH_RATE)*FMC</f>
        <v>2829.136934</v>
      </c>
      <c r="S203" s="112"/>
      <c r="T203" s="175">
        <f>-E203+IF(A202=INPUT!$C$11*12,N203,0)</f>
        <v>0</v>
      </c>
      <c r="U203" s="112"/>
      <c r="V203" s="179">
        <f t="array" ref="V203">NPV('Pre-Calculation'!$E$20,$E204:E$246)</f>
        <v>0</v>
      </c>
      <c r="W203" s="171">
        <f>10%*SA</f>
        <v>100000</v>
      </c>
      <c r="X203" s="179">
        <f t="array" ref="X203">NPV('Pre-Calculation'!$E$20,W204:W213)</f>
        <v>969592.8037</v>
      </c>
      <c r="Y203" s="12"/>
      <c r="Z203" s="12"/>
    </row>
    <row r="204" ht="15.75" customHeight="1">
      <c r="A204" s="171">
        <f t="shared" si="1"/>
        <v>258</v>
      </c>
      <c r="B204" s="171">
        <f t="shared" si="2"/>
        <v>22</v>
      </c>
      <c r="C204" s="176">
        <f>EDATE(RCD,A203)</f>
        <v>50374</v>
      </c>
      <c r="D204" s="171">
        <f>Age_At_Entry+'Cashflows_Bond Fund'!B204-1</f>
        <v>56</v>
      </c>
      <c r="E204" s="175">
        <f>IF(AND(C204&lt;=Last_Prem,MOD(A203,Mode)=0,C204&gt;INPUT!$C$13,A204&lt;=Revival!$C$11),Mod_Prem,0)</f>
        <v>0</v>
      </c>
      <c r="F204" s="177">
        <f>E204*VLOOKUP(B204,'Pre-Calculation'!$H$1:$I$31,2,FALSE)</f>
        <v>0</v>
      </c>
      <c r="G204" s="177">
        <f>IF(B204&lt;PT+1,VLOOKUP(B204,'Pre-Calculation'!$H$1:$L$32,3,FALSE)+VLOOKUP(B204,'Pre-Calculation'!$H$1:$L$32,4,FALSE)*'Pre-Calculation'!$D$7,0)</f>
        <v>0</v>
      </c>
      <c r="H204" s="175">
        <f>(E204-(F204+G204)*(1+Tax)+N203)</f>
        <v>2511181.418</v>
      </c>
      <c r="I204" s="175">
        <f>IF(B204&lt;PT+1,VLOOKUP(D204,'Pre-Calculation'!$N$3:$P$79,IF(INPUT!$C$4="M",2,3),FALSE)*(J204/1000)*(1/12),0)</f>
        <v>0</v>
      </c>
      <c r="J204" s="175">
        <f t="shared" si="3"/>
        <v>0</v>
      </c>
      <c r="K204" s="175">
        <f>(IF('Pre-Calculation'!$D$17="Type 4 a",MAX(SA,H204,1.05*Q204),IF('Pre-Calculation'!$D$17="Type 4 c",H204,IF('Pre-Calculation'!$D$17="Type 4 d",SA+H204,IF('Pre-Calculation'!$D$17="Type 4 e",MAX(SA,H204),IF('Pre-Calculation'!$D$17="Type 4 f",SA,IF('Pre-Calculation'!$D$17="Type 4 g",1000+H204,IF('Pre-Calculation'!$D$17="Type 4 h",SA+V204,IF('Pre-Calculation'!$D$17="Type 4 i",MAX(H204,Q204),IF('Pre-Calculation'!$D$17="Type 4 k",MAX(H204,1.01*Q204),IF('Pre-Calculation'!$D$17="Type 4 m",MAX(105%*Q204,SA+H204),IF('Pre-Calculation'!$D$17="Type 4 o",MAX(SA,105%*Q204)+V204+X204,IF('Pre-Calculation'!$D$17="Type 5",0)))))))))))))*IF(AND(A204&lt;Revival!$C$4,C204&gt;=Revival!$D$12),PUP,1)</f>
        <v>2511181.418</v>
      </c>
      <c r="L204" s="175">
        <f>H204-I204*(1+Tax)</f>
        <v>2511181.418</v>
      </c>
      <c r="M204" s="175">
        <f>L204*(1+'Pre-Calculation'!$E$28)*(1-'Pre-Calculation'!$E$29*(1+Tax))</f>
        <v>2522341.029</v>
      </c>
      <c r="N204" s="175">
        <f>M204+IF(MOD(A204,B204)=0,VLOOKUP(B204,'Pre-Calculation'!$H$1:$L$31,5,FALSE),0)*IF('Pre-Calculation'!$D$16="% OF FV",M204,IF(OR('Pre-Calculation'!$D$16="% OF AFV(24M)",'Pre-Calculation'!$D$16="% OF AFV(8Q)"),AVERAGE( $M181:$M204),IF('Pre-Calculation'!$D$16="% OF AFV(12M)",AVERAGE($M193:M204),IF('Pre-Calculation'!$D$16="% OF AFV(36M)",AVERAGE($M169:M204)))))</f>
        <v>2522341.029</v>
      </c>
      <c r="O204" s="175">
        <f t="shared" si="4"/>
        <v>2522341.029</v>
      </c>
      <c r="P204" s="175">
        <f>IF('Pre-Calculation'!$D$17="Type 4 a",MAX(SA,N204,1.05*Q204),IF('Pre-Calculation'!$D$17="Type 4 c",N204,IF('Pre-Calculation'!$D$17="Type 4 d",SA+N204,IF('Pre-Calculation'!$D$17="Type 4 e",MAX(SA,N204),IF('Pre-Calculation'!$D$17="Type 4 f",SA,IF('Pre-Calculation'!$D$17="Type 4 g",1000+N204,IF('Pre-Calculation'!$D$17="Type 4 h",SA+V204,IF('Pre-Calculation'!$D$17="Type 4 i",MAX(N204,Q204),IF('Pre-Calculation'!$D$17="Type 4 k",MAX(N204,1.01*Q204),IF('Pre-Calculation'!$D$17="Type 4 m",MAX(105%*Q204,SA+N204),IF('Pre-Calculation'!$D$17="Type 4 o",MAX(SA,105%*Q204)+V204+X204,IF('Pre-Calculation'!$D$17="Type 5",0))))))))))))</f>
        <v>2522341.029</v>
      </c>
      <c r="Q204" s="175">
        <f t="shared" si="5"/>
        <v>1000000</v>
      </c>
      <c r="R204" s="119">
        <f>L204*(1+GROWTH_RATE)*FMC</f>
        <v>2841.70953</v>
      </c>
      <c r="S204" s="112"/>
      <c r="T204" s="175">
        <f>-E204+IF(A203=INPUT!$C$11*12,N204,0)</f>
        <v>0</v>
      </c>
      <c r="U204" s="112"/>
      <c r="V204" s="179">
        <f t="array" ref="V204">NPV('Pre-Calculation'!$E$20,$E205:E$246)</f>
        <v>0</v>
      </c>
      <c r="W204" s="171">
        <f>10%*SA</f>
        <v>100000</v>
      </c>
      <c r="X204" s="179">
        <f t="array" ref="X204">NPV('Pre-Calculation'!$E$20,W205:W214)</f>
        <v>969592.8037</v>
      </c>
      <c r="Y204" s="12"/>
      <c r="Z204" s="12"/>
    </row>
    <row r="205" ht="15.75" customHeight="1">
      <c r="A205" s="171">
        <f t="shared" si="1"/>
        <v>259</v>
      </c>
      <c r="B205" s="171">
        <f t="shared" si="2"/>
        <v>22</v>
      </c>
      <c r="C205" s="176">
        <f>EDATE(RCD,A204)</f>
        <v>50404</v>
      </c>
      <c r="D205" s="171">
        <f>Age_At_Entry+'Cashflows_Bond Fund'!B205-1</f>
        <v>56</v>
      </c>
      <c r="E205" s="175">
        <f>IF(AND(C205&lt;=Last_Prem,MOD(A204,Mode)=0,C205&gt;INPUT!$C$13,A205&lt;=Revival!$C$11),Mod_Prem,0)</f>
        <v>0</v>
      </c>
      <c r="F205" s="177">
        <f>E205*VLOOKUP(B205,'Pre-Calculation'!$H$1:$I$31,2,FALSE)</f>
        <v>0</v>
      </c>
      <c r="G205" s="177">
        <f>IF(B205&lt;PT+1,VLOOKUP(B205,'Pre-Calculation'!$H$1:$L$32,3,FALSE)+VLOOKUP(B205,'Pre-Calculation'!$H$1:$L$32,4,FALSE)*'Pre-Calculation'!$D$7,0)</f>
        <v>0</v>
      </c>
      <c r="H205" s="175">
        <f>(E205-(F205+G205)*(1+Tax)+N204)</f>
        <v>2522341.029</v>
      </c>
      <c r="I205" s="175">
        <f>IF(B205&lt;PT+1,VLOOKUP(D205,'Pre-Calculation'!$N$3:$P$79,IF(INPUT!$C$4="M",2,3),FALSE)*(J205/1000)*(1/12),0)</f>
        <v>0</v>
      </c>
      <c r="J205" s="175">
        <f t="shared" si="3"/>
        <v>0</v>
      </c>
      <c r="K205" s="175">
        <f>(IF('Pre-Calculation'!$D$17="Type 4 a",MAX(SA,H205,1.05*Q205),IF('Pre-Calculation'!$D$17="Type 4 c",H205,IF('Pre-Calculation'!$D$17="Type 4 d",SA+H205,IF('Pre-Calculation'!$D$17="Type 4 e",MAX(SA,H205),IF('Pre-Calculation'!$D$17="Type 4 f",SA,IF('Pre-Calculation'!$D$17="Type 4 g",1000+H205,IF('Pre-Calculation'!$D$17="Type 4 h",SA+V205,IF('Pre-Calculation'!$D$17="Type 4 i",MAX(H205,Q205),IF('Pre-Calculation'!$D$17="Type 4 k",MAX(H205,1.01*Q205),IF('Pre-Calculation'!$D$17="Type 4 m",MAX(105%*Q205,SA+H205),IF('Pre-Calculation'!$D$17="Type 4 o",MAX(SA,105%*Q205)+V205+X205,IF('Pre-Calculation'!$D$17="Type 5",0)))))))))))))*IF(AND(A205&lt;Revival!$C$4,C205&gt;=Revival!$D$12),PUP,1)</f>
        <v>2522341.029</v>
      </c>
      <c r="L205" s="175">
        <f>H205-I205*(1+Tax)</f>
        <v>2522341.029</v>
      </c>
      <c r="M205" s="175">
        <f>L205*(1+'Pre-Calculation'!$E$28)*(1-'Pre-Calculation'!$E$29*(1+Tax))</f>
        <v>2533550.234</v>
      </c>
      <c r="N205" s="175">
        <f>M205+IF(MOD(A205,B205)=0,VLOOKUP(B205,'Pre-Calculation'!$H$1:$L$31,5,FALSE),0)*IF('Pre-Calculation'!$D$16="% OF FV",M205,IF(OR('Pre-Calculation'!$D$16="% OF AFV(24M)",'Pre-Calculation'!$D$16="% OF AFV(8Q)"),AVERAGE( $M182:$M205),IF('Pre-Calculation'!$D$16="% OF AFV(12M)",AVERAGE($M194:M205),IF('Pre-Calculation'!$D$16="% OF AFV(36M)",AVERAGE($M170:M205)))))</f>
        <v>2533550.234</v>
      </c>
      <c r="O205" s="175">
        <f t="shared" si="4"/>
        <v>2533550.234</v>
      </c>
      <c r="P205" s="175">
        <f>IF('Pre-Calculation'!$D$17="Type 4 a",MAX(SA,N205,1.05*Q205),IF('Pre-Calculation'!$D$17="Type 4 c",N205,IF('Pre-Calculation'!$D$17="Type 4 d",SA+N205,IF('Pre-Calculation'!$D$17="Type 4 e",MAX(SA,N205),IF('Pre-Calculation'!$D$17="Type 4 f",SA,IF('Pre-Calculation'!$D$17="Type 4 g",1000+N205,IF('Pre-Calculation'!$D$17="Type 4 h",SA+V205,IF('Pre-Calculation'!$D$17="Type 4 i",MAX(N205,Q205),IF('Pre-Calculation'!$D$17="Type 4 k",MAX(N205,1.01*Q205),IF('Pre-Calculation'!$D$17="Type 4 m",MAX(105%*Q205,SA+N205),IF('Pre-Calculation'!$D$17="Type 4 o",MAX(SA,105%*Q205)+V205+X205,IF('Pre-Calculation'!$D$17="Type 5",0))))))))))))</f>
        <v>2533550.234</v>
      </c>
      <c r="Q205" s="175">
        <f t="shared" si="5"/>
        <v>1000000</v>
      </c>
      <c r="R205" s="119">
        <f>L205*(1+GROWTH_RATE)*FMC</f>
        <v>2854.337998</v>
      </c>
      <c r="S205" s="112"/>
      <c r="T205" s="175">
        <f>-E205+IF(A204=INPUT!$C$11*12,N205,0)</f>
        <v>0</v>
      </c>
      <c r="U205" s="112"/>
      <c r="V205" s="179">
        <f t="array" ref="V205">NPV('Pre-Calculation'!$E$20,$E206:E$246)</f>
        <v>0</v>
      </c>
      <c r="W205" s="171">
        <f>10%*SA</f>
        <v>100000</v>
      </c>
      <c r="X205" s="179">
        <f t="array" ref="X205">NPV('Pre-Calculation'!$E$20,W206:W215)</f>
        <v>969592.8037</v>
      </c>
      <c r="Y205" s="12"/>
      <c r="Z205" s="12"/>
    </row>
    <row r="206" ht="15.75" customHeight="1">
      <c r="A206" s="171">
        <f t="shared" si="1"/>
        <v>260</v>
      </c>
      <c r="B206" s="171">
        <f t="shared" si="2"/>
        <v>22</v>
      </c>
      <c r="C206" s="176">
        <f>EDATE(RCD,A205)</f>
        <v>50435</v>
      </c>
      <c r="D206" s="171">
        <f>Age_At_Entry+'Cashflows_Bond Fund'!B206-1</f>
        <v>56</v>
      </c>
      <c r="E206" s="175">
        <f>IF(AND(C206&lt;=Last_Prem,MOD(A205,Mode)=0,C206&gt;INPUT!$C$13,A206&lt;=Revival!$C$11),Mod_Prem,0)</f>
        <v>0</v>
      </c>
      <c r="F206" s="177">
        <f>E206*VLOOKUP(B206,'Pre-Calculation'!$H$1:$I$31,2,FALSE)</f>
        <v>0</v>
      </c>
      <c r="G206" s="177">
        <f>IF(B206&lt;PT+1,VLOOKUP(B206,'Pre-Calculation'!$H$1:$L$32,3,FALSE)+VLOOKUP(B206,'Pre-Calculation'!$H$1:$L$32,4,FALSE)*'Pre-Calculation'!$D$7,0)</f>
        <v>0</v>
      </c>
      <c r="H206" s="175">
        <f>(E206-(F206+G206)*(1+Tax)+N205)</f>
        <v>2533550.234</v>
      </c>
      <c r="I206" s="175">
        <f>IF(B206&lt;PT+1,VLOOKUP(D206,'Pre-Calculation'!$N$3:$P$79,IF(INPUT!$C$4="M",2,3),FALSE)*(J206/1000)*(1/12),0)</f>
        <v>0</v>
      </c>
      <c r="J206" s="175">
        <f t="shared" si="3"/>
        <v>0</v>
      </c>
      <c r="K206" s="175">
        <f>(IF('Pre-Calculation'!$D$17="Type 4 a",MAX(SA,H206,1.05*Q206),IF('Pre-Calculation'!$D$17="Type 4 c",H206,IF('Pre-Calculation'!$D$17="Type 4 d",SA+H206,IF('Pre-Calculation'!$D$17="Type 4 e",MAX(SA,H206),IF('Pre-Calculation'!$D$17="Type 4 f",SA,IF('Pre-Calculation'!$D$17="Type 4 g",1000+H206,IF('Pre-Calculation'!$D$17="Type 4 h",SA+V206,IF('Pre-Calculation'!$D$17="Type 4 i",MAX(H206,Q206),IF('Pre-Calculation'!$D$17="Type 4 k",MAX(H206,1.01*Q206),IF('Pre-Calculation'!$D$17="Type 4 m",MAX(105%*Q206,SA+H206),IF('Pre-Calculation'!$D$17="Type 4 o",MAX(SA,105%*Q206)+V206+X206,IF('Pre-Calculation'!$D$17="Type 5",0)))))))))))))*IF(AND(A206&lt;Revival!$C$4,C206&gt;=Revival!$D$12),PUP,1)</f>
        <v>2533550.234</v>
      </c>
      <c r="L206" s="175">
        <f>H206-I206*(1+Tax)</f>
        <v>2533550.234</v>
      </c>
      <c r="M206" s="175">
        <f>L206*(1+'Pre-Calculation'!$E$28)*(1-'Pre-Calculation'!$E$29*(1+Tax))</f>
        <v>2544809.252</v>
      </c>
      <c r="N206" s="175">
        <f>M206+IF(MOD(A206,B206)=0,VLOOKUP(B206,'Pre-Calculation'!$H$1:$L$31,5,FALSE),0)*IF('Pre-Calculation'!$D$16="% OF FV",M206,IF(OR('Pre-Calculation'!$D$16="% OF AFV(24M)",'Pre-Calculation'!$D$16="% OF AFV(8Q)"),AVERAGE( $M183:$M206),IF('Pre-Calculation'!$D$16="% OF AFV(12M)",AVERAGE($M195:M206),IF('Pre-Calculation'!$D$16="% OF AFV(36M)",AVERAGE($M171:M206)))))</f>
        <v>2544809.252</v>
      </c>
      <c r="O206" s="175">
        <f t="shared" si="4"/>
        <v>2544809.252</v>
      </c>
      <c r="P206" s="175">
        <f>IF('Pre-Calculation'!$D$17="Type 4 a",MAX(SA,N206,1.05*Q206),IF('Pre-Calculation'!$D$17="Type 4 c",N206,IF('Pre-Calculation'!$D$17="Type 4 d",SA+N206,IF('Pre-Calculation'!$D$17="Type 4 e",MAX(SA,N206),IF('Pre-Calculation'!$D$17="Type 4 f",SA,IF('Pre-Calculation'!$D$17="Type 4 g",1000+N206,IF('Pre-Calculation'!$D$17="Type 4 h",SA+V206,IF('Pre-Calculation'!$D$17="Type 4 i",MAX(N206,Q206),IF('Pre-Calculation'!$D$17="Type 4 k",MAX(N206,1.01*Q206),IF('Pre-Calculation'!$D$17="Type 4 m",MAX(105%*Q206,SA+N206),IF('Pre-Calculation'!$D$17="Type 4 o",MAX(SA,105%*Q206)+V206+X206,IF('Pre-Calculation'!$D$17="Type 5",0))))))))))))</f>
        <v>2544809.252</v>
      </c>
      <c r="Q206" s="175">
        <f t="shared" si="5"/>
        <v>1000000</v>
      </c>
      <c r="R206" s="119">
        <f>L206*(1+GROWTH_RATE)*FMC</f>
        <v>2867.022587</v>
      </c>
      <c r="S206" s="112"/>
      <c r="T206" s="175">
        <f>-E206+IF(A205=INPUT!$C$11*12,N206,0)</f>
        <v>0</v>
      </c>
      <c r="U206" s="112"/>
      <c r="V206" s="179">
        <f t="array" ref="V206">NPV('Pre-Calculation'!$E$20,$E207:E$246)</f>
        <v>0</v>
      </c>
      <c r="W206" s="171">
        <f>10%*SA</f>
        <v>100000</v>
      </c>
      <c r="X206" s="179">
        <f t="array" ref="X206">NPV('Pre-Calculation'!$E$20,W207:W216)</f>
        <v>969592.8037</v>
      </c>
      <c r="Y206" s="12"/>
      <c r="Z206" s="12"/>
    </row>
    <row r="207" ht="15.75" customHeight="1">
      <c r="A207" s="171">
        <f t="shared" si="1"/>
        <v>261</v>
      </c>
      <c r="B207" s="171">
        <f t="shared" si="2"/>
        <v>22</v>
      </c>
      <c r="C207" s="176">
        <f>EDATE(RCD,A206)</f>
        <v>50464</v>
      </c>
      <c r="D207" s="171">
        <f>Age_At_Entry+'Cashflows_Bond Fund'!B207-1</f>
        <v>56</v>
      </c>
      <c r="E207" s="175">
        <f>IF(AND(C207&lt;=Last_Prem,MOD(A206,Mode)=0,C207&gt;INPUT!$C$13,A207&lt;=Revival!$C$11),Mod_Prem,0)</f>
        <v>0</v>
      </c>
      <c r="F207" s="177">
        <f>E207*VLOOKUP(B207,'Pre-Calculation'!$H$1:$I$31,2,FALSE)</f>
        <v>0</v>
      </c>
      <c r="G207" s="177">
        <f>IF(B207&lt;PT+1,VLOOKUP(B207,'Pre-Calculation'!$H$1:$L$32,3,FALSE)+VLOOKUP(B207,'Pre-Calculation'!$H$1:$L$32,4,FALSE)*'Pre-Calculation'!$D$7,0)</f>
        <v>0</v>
      </c>
      <c r="H207" s="175">
        <f>(E207-(F207+G207)*(1+Tax)+N206)</f>
        <v>2544809.252</v>
      </c>
      <c r="I207" s="175">
        <f>IF(B207&lt;PT+1,VLOOKUP(D207,'Pre-Calculation'!$N$3:$P$79,IF(INPUT!$C$4="M",2,3),FALSE)*(J207/1000)*(1/12),0)</f>
        <v>0</v>
      </c>
      <c r="J207" s="175">
        <f t="shared" si="3"/>
        <v>0</v>
      </c>
      <c r="K207" s="175">
        <f>(IF('Pre-Calculation'!$D$17="Type 4 a",MAX(SA,H207,1.05*Q207),IF('Pre-Calculation'!$D$17="Type 4 c",H207,IF('Pre-Calculation'!$D$17="Type 4 d",SA+H207,IF('Pre-Calculation'!$D$17="Type 4 e",MAX(SA,H207),IF('Pre-Calculation'!$D$17="Type 4 f",SA,IF('Pre-Calculation'!$D$17="Type 4 g",1000+H207,IF('Pre-Calculation'!$D$17="Type 4 h",SA+V207,IF('Pre-Calculation'!$D$17="Type 4 i",MAX(H207,Q207),IF('Pre-Calculation'!$D$17="Type 4 k",MAX(H207,1.01*Q207),IF('Pre-Calculation'!$D$17="Type 4 m",MAX(105%*Q207,SA+H207),IF('Pre-Calculation'!$D$17="Type 4 o",MAX(SA,105%*Q207)+V207+X207,IF('Pre-Calculation'!$D$17="Type 5",0)))))))))))))*IF(AND(A207&lt;Revival!$C$4,C207&gt;=Revival!$D$12),PUP,1)</f>
        <v>2544809.252</v>
      </c>
      <c r="L207" s="175">
        <f>H207-I207*(1+Tax)</f>
        <v>2544809.252</v>
      </c>
      <c r="M207" s="175">
        <f>L207*(1+'Pre-Calculation'!$E$28)*(1-'Pre-Calculation'!$E$29*(1+Tax))</f>
        <v>2556118.305</v>
      </c>
      <c r="N207" s="175">
        <f>M207+IF(MOD(A207,B207)=0,VLOOKUP(B207,'Pre-Calculation'!$H$1:$L$31,5,FALSE),0)*IF('Pre-Calculation'!$D$16="% OF FV",M207,IF(OR('Pre-Calculation'!$D$16="% OF AFV(24M)",'Pre-Calculation'!$D$16="% OF AFV(8Q)"),AVERAGE( $M184:$M207),IF('Pre-Calculation'!$D$16="% OF AFV(12M)",AVERAGE($M196:M207),IF('Pre-Calculation'!$D$16="% OF AFV(36M)",AVERAGE($M172:M207)))))</f>
        <v>2556118.305</v>
      </c>
      <c r="O207" s="175">
        <f t="shared" si="4"/>
        <v>2556118.305</v>
      </c>
      <c r="P207" s="175">
        <f>IF('Pre-Calculation'!$D$17="Type 4 a",MAX(SA,N207,1.05*Q207),IF('Pre-Calculation'!$D$17="Type 4 c",N207,IF('Pre-Calculation'!$D$17="Type 4 d",SA+N207,IF('Pre-Calculation'!$D$17="Type 4 e",MAX(SA,N207),IF('Pre-Calculation'!$D$17="Type 4 f",SA,IF('Pre-Calculation'!$D$17="Type 4 g",1000+N207,IF('Pre-Calculation'!$D$17="Type 4 h",SA+V207,IF('Pre-Calculation'!$D$17="Type 4 i",MAX(N207,Q207),IF('Pre-Calculation'!$D$17="Type 4 k",MAX(N207,1.01*Q207),IF('Pre-Calculation'!$D$17="Type 4 m",MAX(105%*Q207,SA+N207),IF('Pre-Calculation'!$D$17="Type 4 o",MAX(SA,105%*Q207)+V207+X207,IF('Pre-Calculation'!$D$17="Type 5",0))))))))))))</f>
        <v>2556118.305</v>
      </c>
      <c r="Q207" s="175">
        <f t="shared" si="5"/>
        <v>1000000</v>
      </c>
      <c r="R207" s="119">
        <f>L207*(1+GROWTH_RATE)*FMC</f>
        <v>2879.763546</v>
      </c>
      <c r="S207" s="112"/>
      <c r="T207" s="175">
        <f>-E207+IF(A206=INPUT!$C$11*12,N207,0)</f>
        <v>0</v>
      </c>
      <c r="U207" s="112"/>
      <c r="V207" s="179">
        <f t="array" ref="V207">NPV('Pre-Calculation'!$E$20,$E208:E$246)</f>
        <v>0</v>
      </c>
      <c r="W207" s="171">
        <f>10%*SA</f>
        <v>100000</v>
      </c>
      <c r="X207" s="179">
        <f t="array" ref="X207">NPV('Pre-Calculation'!$E$20,W208:W217)</f>
        <v>969592.8037</v>
      </c>
      <c r="Y207" s="12"/>
      <c r="Z207" s="12"/>
    </row>
    <row r="208" ht="15.75" customHeight="1">
      <c r="A208" s="171">
        <f t="shared" si="1"/>
        <v>262</v>
      </c>
      <c r="B208" s="171">
        <f t="shared" si="2"/>
        <v>22</v>
      </c>
      <c r="C208" s="176">
        <f>EDATE(RCD,A207)</f>
        <v>50494</v>
      </c>
      <c r="D208" s="171">
        <f>Age_At_Entry+'Cashflows_Bond Fund'!B208-1</f>
        <v>56</v>
      </c>
      <c r="E208" s="175">
        <f>IF(AND(C208&lt;=Last_Prem,MOD(A207,Mode)=0,C208&gt;INPUT!$C$13,A208&lt;=Revival!$C$11),Mod_Prem,0)</f>
        <v>0</v>
      </c>
      <c r="F208" s="177">
        <f>E208*VLOOKUP(B208,'Pre-Calculation'!$H$1:$I$31,2,FALSE)</f>
        <v>0</v>
      </c>
      <c r="G208" s="177">
        <f>IF(B208&lt;PT+1,VLOOKUP(B208,'Pre-Calculation'!$H$1:$L$32,3,FALSE)+VLOOKUP(B208,'Pre-Calculation'!$H$1:$L$32,4,FALSE)*'Pre-Calculation'!$D$7,0)</f>
        <v>0</v>
      </c>
      <c r="H208" s="175">
        <f>(E208-(F208+G208)*(1+Tax)+N207)</f>
        <v>2556118.305</v>
      </c>
      <c r="I208" s="175">
        <f>IF(B208&lt;PT+1,VLOOKUP(D208,'Pre-Calculation'!$N$3:$P$79,IF(INPUT!$C$4="M",2,3),FALSE)*(J208/1000)*(1/12),0)</f>
        <v>0</v>
      </c>
      <c r="J208" s="175">
        <f t="shared" si="3"/>
        <v>0</v>
      </c>
      <c r="K208" s="175">
        <f>(IF('Pre-Calculation'!$D$17="Type 4 a",MAX(SA,H208,1.05*Q208),IF('Pre-Calculation'!$D$17="Type 4 c",H208,IF('Pre-Calculation'!$D$17="Type 4 d",SA+H208,IF('Pre-Calculation'!$D$17="Type 4 e",MAX(SA,H208),IF('Pre-Calculation'!$D$17="Type 4 f",SA,IF('Pre-Calculation'!$D$17="Type 4 g",1000+H208,IF('Pre-Calculation'!$D$17="Type 4 h",SA+V208,IF('Pre-Calculation'!$D$17="Type 4 i",MAX(H208,Q208),IF('Pre-Calculation'!$D$17="Type 4 k",MAX(H208,1.01*Q208),IF('Pre-Calculation'!$D$17="Type 4 m",MAX(105%*Q208,SA+H208),IF('Pre-Calculation'!$D$17="Type 4 o",MAX(SA,105%*Q208)+V208+X208,IF('Pre-Calculation'!$D$17="Type 5",0)))))))))))))*IF(AND(A208&lt;Revival!$C$4,C208&gt;=Revival!$D$12),PUP,1)</f>
        <v>2556118.305</v>
      </c>
      <c r="L208" s="175">
        <f>H208-I208*(1+Tax)</f>
        <v>2556118.305</v>
      </c>
      <c r="M208" s="175">
        <f>L208*(1+'Pre-Calculation'!$E$28)*(1-'Pre-Calculation'!$E$29*(1+Tax))</f>
        <v>2567477.615</v>
      </c>
      <c r="N208" s="175">
        <f>M208+IF(MOD(A208,B208)=0,VLOOKUP(B208,'Pre-Calculation'!$H$1:$L$31,5,FALSE),0)*IF('Pre-Calculation'!$D$16="% OF FV",M208,IF(OR('Pre-Calculation'!$D$16="% OF AFV(24M)",'Pre-Calculation'!$D$16="% OF AFV(8Q)"),AVERAGE( $M185:$M208),IF('Pre-Calculation'!$D$16="% OF AFV(12M)",AVERAGE($M197:M208),IF('Pre-Calculation'!$D$16="% OF AFV(36M)",AVERAGE($M173:M208)))))</f>
        <v>2567477.615</v>
      </c>
      <c r="O208" s="175">
        <f t="shared" si="4"/>
        <v>2567477.615</v>
      </c>
      <c r="P208" s="175">
        <f>IF('Pre-Calculation'!$D$17="Type 4 a",MAX(SA,N208,1.05*Q208),IF('Pre-Calculation'!$D$17="Type 4 c",N208,IF('Pre-Calculation'!$D$17="Type 4 d",SA+N208,IF('Pre-Calculation'!$D$17="Type 4 e",MAX(SA,N208),IF('Pre-Calculation'!$D$17="Type 4 f",SA,IF('Pre-Calculation'!$D$17="Type 4 g",1000+N208,IF('Pre-Calculation'!$D$17="Type 4 h",SA+V208,IF('Pre-Calculation'!$D$17="Type 4 i",MAX(N208,Q208),IF('Pre-Calculation'!$D$17="Type 4 k",MAX(N208,1.01*Q208),IF('Pre-Calculation'!$D$17="Type 4 m",MAX(105%*Q208,SA+N208),IF('Pre-Calculation'!$D$17="Type 4 o",MAX(SA,105%*Q208)+V208+X208,IF('Pre-Calculation'!$D$17="Type 5",0))))))))))))</f>
        <v>2567477.615</v>
      </c>
      <c r="Q208" s="175">
        <f t="shared" si="5"/>
        <v>1000000</v>
      </c>
      <c r="R208" s="119">
        <f>L208*(1+GROWTH_RATE)*FMC</f>
        <v>2892.561125</v>
      </c>
      <c r="S208" s="112"/>
      <c r="T208" s="175">
        <f>-E208+IF(A207=INPUT!$C$11*12,N208,0)</f>
        <v>0</v>
      </c>
      <c r="U208" s="112"/>
      <c r="V208" s="179">
        <f t="array" ref="V208">NPV('Pre-Calculation'!$E$20,$E209:E$246)</f>
        <v>0</v>
      </c>
      <c r="W208" s="171">
        <f>10%*SA</f>
        <v>100000</v>
      </c>
      <c r="X208" s="179">
        <f t="array" ref="X208">NPV('Pre-Calculation'!$E$20,W209:W218)</f>
        <v>969592.8037</v>
      </c>
      <c r="Y208" s="12"/>
      <c r="Z208" s="12"/>
    </row>
    <row r="209" ht="15.75" customHeight="1">
      <c r="A209" s="171">
        <f t="shared" si="1"/>
        <v>263</v>
      </c>
      <c r="B209" s="171">
        <f t="shared" si="2"/>
        <v>22</v>
      </c>
      <c r="C209" s="176">
        <f>EDATE(RCD,A208)</f>
        <v>50525</v>
      </c>
      <c r="D209" s="171">
        <f>Age_At_Entry+'Cashflows_Bond Fund'!B209-1</f>
        <v>56</v>
      </c>
      <c r="E209" s="175">
        <f>IF(AND(C209&lt;=Last_Prem,MOD(A208,Mode)=0,C209&gt;INPUT!$C$13,A209&lt;=Revival!$C$11),Mod_Prem,0)</f>
        <v>0</v>
      </c>
      <c r="F209" s="177">
        <f>E209*VLOOKUP(B209,'Pre-Calculation'!$H$1:$I$31,2,FALSE)</f>
        <v>0</v>
      </c>
      <c r="G209" s="177">
        <f>IF(B209&lt;PT+1,VLOOKUP(B209,'Pre-Calculation'!$H$1:$L$32,3,FALSE)+VLOOKUP(B209,'Pre-Calculation'!$H$1:$L$32,4,FALSE)*'Pre-Calculation'!$D$7,0)</f>
        <v>0</v>
      </c>
      <c r="H209" s="175">
        <f>(E209-(F209+G209)*(1+Tax)+N208)</f>
        <v>2567477.615</v>
      </c>
      <c r="I209" s="175">
        <f>IF(B209&lt;PT+1,VLOOKUP(D209,'Pre-Calculation'!$N$3:$P$79,IF(INPUT!$C$4="M",2,3),FALSE)*(J209/1000)*(1/12),0)</f>
        <v>0</v>
      </c>
      <c r="J209" s="175">
        <f t="shared" si="3"/>
        <v>0</v>
      </c>
      <c r="K209" s="175">
        <f>(IF('Pre-Calculation'!$D$17="Type 4 a",MAX(SA,H209,1.05*Q209),IF('Pre-Calculation'!$D$17="Type 4 c",H209,IF('Pre-Calculation'!$D$17="Type 4 d",SA+H209,IF('Pre-Calculation'!$D$17="Type 4 e",MAX(SA,H209),IF('Pre-Calculation'!$D$17="Type 4 f",SA,IF('Pre-Calculation'!$D$17="Type 4 g",1000+H209,IF('Pre-Calculation'!$D$17="Type 4 h",SA+V209,IF('Pre-Calculation'!$D$17="Type 4 i",MAX(H209,Q209),IF('Pre-Calculation'!$D$17="Type 4 k",MAX(H209,1.01*Q209),IF('Pre-Calculation'!$D$17="Type 4 m",MAX(105%*Q209,SA+H209),IF('Pre-Calculation'!$D$17="Type 4 o",MAX(SA,105%*Q209)+V209+X209,IF('Pre-Calculation'!$D$17="Type 5",0)))))))))))))*IF(AND(A209&lt;Revival!$C$4,C209&gt;=Revival!$D$12),PUP,1)</f>
        <v>2567477.615</v>
      </c>
      <c r="L209" s="175">
        <f>H209-I209*(1+Tax)</f>
        <v>2567477.615</v>
      </c>
      <c r="M209" s="175">
        <f>L209*(1+'Pre-Calculation'!$E$28)*(1-'Pre-Calculation'!$E$29*(1+Tax))</f>
        <v>2578887.405</v>
      </c>
      <c r="N209" s="175">
        <f>M209+IF(MOD(A209,B209)=0,VLOOKUP(B209,'Pre-Calculation'!$H$1:$L$31,5,FALSE),0)*IF('Pre-Calculation'!$D$16="% OF FV",M209,IF(OR('Pre-Calculation'!$D$16="% OF AFV(24M)",'Pre-Calculation'!$D$16="% OF AFV(8Q)"),AVERAGE( $M186:$M209),IF('Pre-Calculation'!$D$16="% OF AFV(12M)",AVERAGE($M198:M209),IF('Pre-Calculation'!$D$16="% OF AFV(36M)",AVERAGE($M174:M209)))))</f>
        <v>2578887.405</v>
      </c>
      <c r="O209" s="175">
        <f t="shared" si="4"/>
        <v>2578887.405</v>
      </c>
      <c r="P209" s="175">
        <f>IF('Pre-Calculation'!$D$17="Type 4 a",MAX(SA,N209,1.05*Q209),IF('Pre-Calculation'!$D$17="Type 4 c",N209,IF('Pre-Calculation'!$D$17="Type 4 d",SA+N209,IF('Pre-Calculation'!$D$17="Type 4 e",MAX(SA,N209),IF('Pre-Calculation'!$D$17="Type 4 f",SA,IF('Pre-Calculation'!$D$17="Type 4 g",1000+N209,IF('Pre-Calculation'!$D$17="Type 4 h",SA+V209,IF('Pre-Calculation'!$D$17="Type 4 i",MAX(N209,Q209),IF('Pre-Calculation'!$D$17="Type 4 k",MAX(N209,1.01*Q209),IF('Pre-Calculation'!$D$17="Type 4 m",MAX(105%*Q209,SA+N209),IF('Pre-Calculation'!$D$17="Type 4 o",MAX(SA,105%*Q209)+V209+X209,IF('Pre-Calculation'!$D$17="Type 5",0))))))))))))</f>
        <v>2578887.405</v>
      </c>
      <c r="Q209" s="175">
        <f t="shared" si="5"/>
        <v>1000000</v>
      </c>
      <c r="R209" s="119">
        <f>L209*(1+GROWTH_RATE)*FMC</f>
        <v>2905.415576</v>
      </c>
      <c r="S209" s="112"/>
      <c r="T209" s="175">
        <f>-E209+IF(A208=INPUT!$C$11*12,N209,0)</f>
        <v>0</v>
      </c>
      <c r="U209" s="112"/>
      <c r="V209" s="179">
        <f t="array" ref="V209">NPV('Pre-Calculation'!$E$20,$E210:E$246)</f>
        <v>0</v>
      </c>
      <c r="W209" s="171">
        <f>10%*SA</f>
        <v>100000</v>
      </c>
      <c r="X209" s="179">
        <f t="array" ref="X209">NPV('Pre-Calculation'!$E$20,W210:W219)</f>
        <v>969592.8037</v>
      </c>
      <c r="Y209" s="12"/>
      <c r="Z209" s="12"/>
    </row>
    <row r="210" ht="15.75" customHeight="1">
      <c r="A210" s="171">
        <f t="shared" si="1"/>
        <v>264</v>
      </c>
      <c r="B210" s="171">
        <f t="shared" si="2"/>
        <v>22</v>
      </c>
      <c r="C210" s="176">
        <f>EDATE(RCD,A209)</f>
        <v>50555</v>
      </c>
      <c r="D210" s="171">
        <f>Age_At_Entry+'Cashflows_Bond Fund'!B210-1</f>
        <v>56</v>
      </c>
      <c r="E210" s="175">
        <f>IF(AND(C210&lt;=Last_Prem,MOD(A209,Mode)=0,C210&gt;INPUT!$C$13,A210&lt;=Revival!$C$11),Mod_Prem,0)</f>
        <v>0</v>
      </c>
      <c r="F210" s="177">
        <f>E210*VLOOKUP(B210,'Pre-Calculation'!$H$1:$I$31,2,FALSE)</f>
        <v>0</v>
      </c>
      <c r="G210" s="177">
        <f>IF(B210&lt;PT+1,VLOOKUP(B210,'Pre-Calculation'!$H$1:$L$32,3,FALSE)+VLOOKUP(B210,'Pre-Calculation'!$H$1:$L$32,4,FALSE)*'Pre-Calculation'!$D$7,0)</f>
        <v>0</v>
      </c>
      <c r="H210" s="175">
        <f>(E210-(F210+G210)*(1+Tax)+N209)</f>
        <v>2578887.405</v>
      </c>
      <c r="I210" s="175">
        <f>IF(B210&lt;PT+1,VLOOKUP(D210,'Pre-Calculation'!$N$3:$P$79,IF(INPUT!$C$4="M",2,3),FALSE)*(J210/1000)*(1/12),0)</f>
        <v>0</v>
      </c>
      <c r="J210" s="175">
        <f t="shared" si="3"/>
        <v>0</v>
      </c>
      <c r="K210" s="175">
        <f>(IF('Pre-Calculation'!$D$17="Type 4 a",MAX(SA,H210,1.05*Q210),IF('Pre-Calculation'!$D$17="Type 4 c",H210,IF('Pre-Calculation'!$D$17="Type 4 d",SA+H210,IF('Pre-Calculation'!$D$17="Type 4 e",MAX(SA,H210),IF('Pre-Calculation'!$D$17="Type 4 f",SA,IF('Pre-Calculation'!$D$17="Type 4 g",1000+H210,IF('Pre-Calculation'!$D$17="Type 4 h",SA+V210,IF('Pre-Calculation'!$D$17="Type 4 i",MAX(H210,Q210),IF('Pre-Calculation'!$D$17="Type 4 k",MAX(H210,1.01*Q210),IF('Pre-Calculation'!$D$17="Type 4 m",MAX(105%*Q210,SA+H210),IF('Pre-Calculation'!$D$17="Type 4 o",MAX(SA,105%*Q210)+V210+X210,IF('Pre-Calculation'!$D$17="Type 5",0)))))))))))))*IF(AND(A210&lt;Revival!$C$4,C210&gt;=Revival!$D$12),PUP,1)</f>
        <v>2578887.405</v>
      </c>
      <c r="L210" s="175">
        <f>H210-I210*(1+Tax)</f>
        <v>2578887.405</v>
      </c>
      <c r="M210" s="175">
        <f>L210*(1+'Pre-Calculation'!$E$28)*(1-'Pre-Calculation'!$E$29*(1+Tax))</f>
        <v>2590347.9</v>
      </c>
      <c r="N210" s="175">
        <f>M210+IF(MOD(A210,B210)=0,VLOOKUP(B210,'Pre-Calculation'!$H$1:$L$31,5,FALSE),0)*IF('Pre-Calculation'!$D$16="% OF FV",M210,IF(OR('Pre-Calculation'!$D$16="% OF AFV(24M)",'Pre-Calculation'!$D$16="% OF AFV(8Q)"),AVERAGE( $M187:$M210),IF('Pre-Calculation'!$D$16="% OF AFV(12M)",AVERAGE($M199:M210),IF('Pre-Calculation'!$D$16="% OF AFV(36M)",AVERAGE($M175:M210)))))</f>
        <v>2590347.9</v>
      </c>
      <c r="O210" s="175">
        <f t="shared" si="4"/>
        <v>2590347.9</v>
      </c>
      <c r="P210" s="175">
        <f>IF('Pre-Calculation'!$D$17="Type 4 a",MAX(SA,N210,1.05*Q210),IF('Pre-Calculation'!$D$17="Type 4 c",N210,IF('Pre-Calculation'!$D$17="Type 4 d",SA+N210,IF('Pre-Calculation'!$D$17="Type 4 e",MAX(SA,N210),IF('Pre-Calculation'!$D$17="Type 4 f",SA,IF('Pre-Calculation'!$D$17="Type 4 g",1000+N210,IF('Pre-Calculation'!$D$17="Type 4 h",SA+V210,IF('Pre-Calculation'!$D$17="Type 4 i",MAX(N210,Q210),IF('Pre-Calculation'!$D$17="Type 4 k",MAX(N210,1.01*Q210),IF('Pre-Calculation'!$D$17="Type 4 m",MAX(105%*Q210,SA+N210),IF('Pre-Calculation'!$D$17="Type 4 o",MAX(SA,105%*Q210)+V210+X210,IF('Pre-Calculation'!$D$17="Type 5",0))))))))))))</f>
        <v>2590347.9</v>
      </c>
      <c r="Q210" s="175">
        <f t="shared" si="5"/>
        <v>1000000</v>
      </c>
      <c r="R210" s="119">
        <f>L210*(1+GROWTH_RATE)*FMC</f>
        <v>2918.327152</v>
      </c>
      <c r="S210" s="112"/>
      <c r="T210" s="175">
        <f>-E210+IF(A209=INPUT!$C$11*12,N210,0)</f>
        <v>0</v>
      </c>
      <c r="U210" s="112"/>
      <c r="V210" s="179">
        <f t="array" ref="V210">NPV('Pre-Calculation'!$E$20,$E211:E$246)</f>
        <v>0</v>
      </c>
      <c r="W210" s="171">
        <f>10%*SA</f>
        <v>100000</v>
      </c>
      <c r="X210" s="179">
        <f t="array" ref="X210">NPV('Pre-Calculation'!$E$20,W211:W220)</f>
        <v>969592.8037</v>
      </c>
      <c r="Y210" s="12"/>
      <c r="Z210" s="12"/>
    </row>
    <row r="211" ht="15.75" customHeight="1">
      <c r="A211" s="171">
        <f t="shared" si="1"/>
        <v>265</v>
      </c>
      <c r="B211" s="171">
        <f t="shared" si="2"/>
        <v>23</v>
      </c>
      <c r="C211" s="176">
        <f>EDATE(RCD,A210)</f>
        <v>50586</v>
      </c>
      <c r="D211" s="171">
        <f>Age_At_Entry+'Cashflows_Bond Fund'!B211-1</f>
        <v>57</v>
      </c>
      <c r="E211" s="175">
        <f>IF(AND(C211&lt;=Last_Prem,MOD(A210,Mode)=0,C211&gt;INPUT!$C$13,A211&lt;=Revival!$C$11),Mod_Prem,0)</f>
        <v>0</v>
      </c>
      <c r="F211" s="177">
        <f>E211*VLOOKUP(B211,'Pre-Calculation'!$H$1:$I$31,2,FALSE)</f>
        <v>0</v>
      </c>
      <c r="G211" s="177">
        <f>IF(B211&lt;PT+1,VLOOKUP(B211,'Pre-Calculation'!$H$1:$L$32,3,FALSE)+VLOOKUP(B211,'Pre-Calculation'!$H$1:$L$32,4,FALSE)*'Pre-Calculation'!$D$7,0)</f>
        <v>0</v>
      </c>
      <c r="H211" s="175">
        <f>(E211-(F211+G211)*(1+Tax)+N210)</f>
        <v>2590347.9</v>
      </c>
      <c r="I211" s="175">
        <f>IF(B211&lt;PT+1,VLOOKUP(D211,'Pre-Calculation'!$N$3:$P$79,IF(INPUT!$C$4="M",2,3),FALSE)*(J211/1000)*(1/12),0)</f>
        <v>0</v>
      </c>
      <c r="J211" s="175">
        <f t="shared" si="3"/>
        <v>0</v>
      </c>
      <c r="K211" s="175">
        <f>(IF('Pre-Calculation'!$D$17="Type 4 a",MAX(SA,H211,1.05*Q211),IF('Pre-Calculation'!$D$17="Type 4 c",H211,IF('Pre-Calculation'!$D$17="Type 4 d",SA+H211,IF('Pre-Calculation'!$D$17="Type 4 e",MAX(SA,H211),IF('Pre-Calculation'!$D$17="Type 4 f",SA,IF('Pre-Calculation'!$D$17="Type 4 g",1000+H211,IF('Pre-Calculation'!$D$17="Type 4 h",SA+V211,IF('Pre-Calculation'!$D$17="Type 4 i",MAX(H211,Q211),IF('Pre-Calculation'!$D$17="Type 4 k",MAX(H211,1.01*Q211),IF('Pre-Calculation'!$D$17="Type 4 m",MAX(105%*Q211,SA+H211),IF('Pre-Calculation'!$D$17="Type 4 o",MAX(SA,105%*Q211)+V211+X211,IF('Pre-Calculation'!$D$17="Type 5",0)))))))))))))*IF(AND(A211&lt;Revival!$C$4,C211&gt;=Revival!$D$12),PUP,1)</f>
        <v>2590347.9</v>
      </c>
      <c r="L211" s="175">
        <f>H211-I211*(1+Tax)</f>
        <v>2590347.9</v>
      </c>
      <c r="M211" s="175">
        <f>L211*(1+'Pre-Calculation'!$E$28)*(1-'Pre-Calculation'!$E$29*(1+Tax))</f>
        <v>2601859.325</v>
      </c>
      <c r="N211" s="175">
        <f>M211+IF(MOD(A211,B211)=0,VLOOKUP(B211,'Pre-Calculation'!$H$1:$L$31,5,FALSE),0)*IF('Pre-Calculation'!$D$16="% OF FV",M211,IF(OR('Pre-Calculation'!$D$16="% OF AFV(24M)",'Pre-Calculation'!$D$16="% OF AFV(8Q)"),AVERAGE( $M188:$M211),IF('Pre-Calculation'!$D$16="% OF AFV(12M)",AVERAGE($M200:M211),IF('Pre-Calculation'!$D$16="% OF AFV(36M)",AVERAGE($M176:M211)))))</f>
        <v>2601859.325</v>
      </c>
      <c r="O211" s="175">
        <f t="shared" si="4"/>
        <v>2601859.325</v>
      </c>
      <c r="P211" s="175">
        <f>IF('Pre-Calculation'!$D$17="Type 4 a",MAX(SA,N211,1.05*Q211),IF('Pre-Calculation'!$D$17="Type 4 c",N211,IF('Pre-Calculation'!$D$17="Type 4 d",SA+N211,IF('Pre-Calculation'!$D$17="Type 4 e",MAX(SA,N211),IF('Pre-Calculation'!$D$17="Type 4 f",SA,IF('Pre-Calculation'!$D$17="Type 4 g",1000+N211,IF('Pre-Calculation'!$D$17="Type 4 h",SA+V211,IF('Pre-Calculation'!$D$17="Type 4 i",MAX(N211,Q211),IF('Pre-Calculation'!$D$17="Type 4 k",MAX(N211,1.01*Q211),IF('Pre-Calculation'!$D$17="Type 4 m",MAX(105%*Q211,SA+N211),IF('Pre-Calculation'!$D$17="Type 4 o",MAX(SA,105%*Q211)+V211+X211,IF('Pre-Calculation'!$D$17="Type 5",0))))))))))))</f>
        <v>2601859.325</v>
      </c>
      <c r="Q211" s="175">
        <f t="shared" si="5"/>
        <v>1000000</v>
      </c>
      <c r="R211" s="119">
        <f>L211*(1+GROWTH_RATE)*FMC</f>
        <v>2931.296107</v>
      </c>
      <c r="S211" s="112"/>
      <c r="T211" s="175">
        <f>-E211+IF(A210=INPUT!$C$11*12,N211,0)</f>
        <v>0</v>
      </c>
      <c r="U211" s="112"/>
      <c r="V211" s="179">
        <f t="array" ref="V211">NPV('Pre-Calculation'!$E$20,$E212:E$246)</f>
        <v>0</v>
      </c>
      <c r="W211" s="171">
        <f>10%*SA</f>
        <v>100000</v>
      </c>
      <c r="X211" s="179">
        <f t="array" ref="X211">NPV('Pre-Calculation'!$E$20,W212:W221)</f>
        <v>969592.8037</v>
      </c>
      <c r="Y211" s="12"/>
      <c r="Z211" s="12"/>
    </row>
    <row r="212" ht="15.75" customHeight="1">
      <c r="A212" s="171">
        <f t="shared" si="1"/>
        <v>266</v>
      </c>
      <c r="B212" s="171">
        <f t="shared" si="2"/>
        <v>23</v>
      </c>
      <c r="C212" s="176">
        <f>EDATE(RCD,A211)</f>
        <v>50616</v>
      </c>
      <c r="D212" s="171">
        <f>Age_At_Entry+'Cashflows_Bond Fund'!B212-1</f>
        <v>57</v>
      </c>
      <c r="E212" s="175">
        <f>IF(AND(C212&lt;=Last_Prem,MOD(A211,Mode)=0,C212&gt;INPUT!$C$13,A212&lt;=Revival!$C$11),Mod_Prem,0)</f>
        <v>0</v>
      </c>
      <c r="F212" s="177">
        <f>E212*VLOOKUP(B212,'Pre-Calculation'!$H$1:$I$31,2,FALSE)</f>
        <v>0</v>
      </c>
      <c r="G212" s="177">
        <f>IF(B212&lt;PT+1,VLOOKUP(B212,'Pre-Calculation'!$H$1:$L$32,3,FALSE)+VLOOKUP(B212,'Pre-Calculation'!$H$1:$L$32,4,FALSE)*'Pre-Calculation'!$D$7,0)</f>
        <v>0</v>
      </c>
      <c r="H212" s="175">
        <f>(E212-(F212+G212)*(1+Tax)+N211)</f>
        <v>2601859.325</v>
      </c>
      <c r="I212" s="175">
        <f>IF(B212&lt;PT+1,VLOOKUP(D212,'Pre-Calculation'!$N$3:$P$79,IF(INPUT!$C$4="M",2,3),FALSE)*(J212/1000)*(1/12),0)</f>
        <v>0</v>
      </c>
      <c r="J212" s="175">
        <f t="shared" si="3"/>
        <v>0</v>
      </c>
      <c r="K212" s="175">
        <f>(IF('Pre-Calculation'!$D$17="Type 4 a",MAX(SA,H212,1.05*Q212),IF('Pre-Calculation'!$D$17="Type 4 c",H212,IF('Pre-Calculation'!$D$17="Type 4 d",SA+H212,IF('Pre-Calculation'!$D$17="Type 4 e",MAX(SA,H212),IF('Pre-Calculation'!$D$17="Type 4 f",SA,IF('Pre-Calculation'!$D$17="Type 4 g",1000+H212,IF('Pre-Calculation'!$D$17="Type 4 h",SA+V212,IF('Pre-Calculation'!$D$17="Type 4 i",MAX(H212,Q212),IF('Pre-Calculation'!$D$17="Type 4 k",MAX(H212,1.01*Q212),IF('Pre-Calculation'!$D$17="Type 4 m",MAX(105%*Q212,SA+H212),IF('Pre-Calculation'!$D$17="Type 4 o",MAX(SA,105%*Q212)+V212+X212,IF('Pre-Calculation'!$D$17="Type 5",0)))))))))))))*IF(AND(A212&lt;Revival!$C$4,C212&gt;=Revival!$D$12),PUP,1)</f>
        <v>2601859.325</v>
      </c>
      <c r="L212" s="175">
        <f>H212-I212*(1+Tax)</f>
        <v>2601859.325</v>
      </c>
      <c r="M212" s="175">
        <f>L212*(1+'Pre-Calculation'!$E$28)*(1-'Pre-Calculation'!$E$29*(1+Tax))</f>
        <v>2613421.907</v>
      </c>
      <c r="N212" s="175">
        <f>M212+IF(MOD(A212,B212)=0,VLOOKUP(B212,'Pre-Calculation'!$H$1:$L$31,5,FALSE),0)*IF('Pre-Calculation'!$D$16="% OF FV",M212,IF(OR('Pre-Calculation'!$D$16="% OF AFV(24M)",'Pre-Calculation'!$D$16="% OF AFV(8Q)"),AVERAGE( $M189:$M212),IF('Pre-Calculation'!$D$16="% OF AFV(12M)",AVERAGE($M201:M212),IF('Pre-Calculation'!$D$16="% OF AFV(36M)",AVERAGE($M177:M212)))))</f>
        <v>2613421.907</v>
      </c>
      <c r="O212" s="175">
        <f t="shared" si="4"/>
        <v>2613421.907</v>
      </c>
      <c r="P212" s="175">
        <f>IF('Pre-Calculation'!$D$17="Type 4 a",MAX(SA,N212,1.05*Q212),IF('Pre-Calculation'!$D$17="Type 4 c",N212,IF('Pre-Calculation'!$D$17="Type 4 d",SA+N212,IF('Pre-Calculation'!$D$17="Type 4 e",MAX(SA,N212),IF('Pre-Calculation'!$D$17="Type 4 f",SA,IF('Pre-Calculation'!$D$17="Type 4 g",1000+N212,IF('Pre-Calculation'!$D$17="Type 4 h",SA+V212,IF('Pre-Calculation'!$D$17="Type 4 i",MAX(N212,Q212),IF('Pre-Calculation'!$D$17="Type 4 k",MAX(N212,1.01*Q212),IF('Pre-Calculation'!$D$17="Type 4 m",MAX(105%*Q212,SA+N212),IF('Pre-Calculation'!$D$17="Type 4 o",MAX(SA,105%*Q212)+V212+X212,IF('Pre-Calculation'!$D$17="Type 5",0))))))))))))</f>
        <v>2613421.907</v>
      </c>
      <c r="Q212" s="175">
        <f t="shared" si="5"/>
        <v>1000000</v>
      </c>
      <c r="R212" s="119">
        <f>L212*(1+GROWTH_RATE)*FMC</f>
        <v>2944.322695</v>
      </c>
      <c r="S212" s="112"/>
      <c r="T212" s="175">
        <f>-E212+IF(A211=INPUT!$C$11*12,N212,0)</f>
        <v>0</v>
      </c>
      <c r="U212" s="112"/>
      <c r="V212" s="179">
        <f t="array" ref="V212">NPV('Pre-Calculation'!$E$20,$E213:E$246)</f>
        <v>0</v>
      </c>
      <c r="W212" s="171">
        <f>10%*SA</f>
        <v>100000</v>
      </c>
      <c r="X212" s="179">
        <f t="array" ref="X212">NPV('Pre-Calculation'!$E$20,W213:W222)</f>
        <v>969592.8037</v>
      </c>
      <c r="Y212" s="12"/>
      <c r="Z212" s="12"/>
    </row>
    <row r="213" ht="15.75" customHeight="1">
      <c r="A213" s="171">
        <f t="shared" si="1"/>
        <v>267</v>
      </c>
      <c r="B213" s="171">
        <f t="shared" si="2"/>
        <v>23</v>
      </c>
      <c r="C213" s="176">
        <f>EDATE(RCD,A212)</f>
        <v>50647</v>
      </c>
      <c r="D213" s="171">
        <f>Age_At_Entry+'Cashflows_Bond Fund'!B213-1</f>
        <v>57</v>
      </c>
      <c r="E213" s="175">
        <f>IF(AND(C213&lt;=Last_Prem,MOD(A212,Mode)=0,C213&gt;INPUT!$C$13,A213&lt;=Revival!$C$11),Mod_Prem,0)</f>
        <v>0</v>
      </c>
      <c r="F213" s="177">
        <f>E213*VLOOKUP(B213,'Pre-Calculation'!$H$1:$I$31,2,FALSE)</f>
        <v>0</v>
      </c>
      <c r="G213" s="177">
        <f>IF(B213&lt;PT+1,VLOOKUP(B213,'Pre-Calculation'!$H$1:$L$32,3,FALSE)+VLOOKUP(B213,'Pre-Calculation'!$H$1:$L$32,4,FALSE)*'Pre-Calculation'!$D$7,0)</f>
        <v>0</v>
      </c>
      <c r="H213" s="175">
        <f>(E213-(F213+G213)*(1+Tax)+N212)</f>
        <v>2613421.907</v>
      </c>
      <c r="I213" s="175">
        <f>IF(B213&lt;PT+1,VLOOKUP(D213,'Pre-Calculation'!$N$3:$P$79,IF(INPUT!$C$4="M",2,3),FALSE)*(J213/1000)*(1/12),0)</f>
        <v>0</v>
      </c>
      <c r="J213" s="175">
        <f t="shared" si="3"/>
        <v>0</v>
      </c>
      <c r="K213" s="175">
        <f>(IF('Pre-Calculation'!$D$17="Type 4 a",MAX(SA,H213,1.05*Q213),IF('Pre-Calculation'!$D$17="Type 4 c",H213,IF('Pre-Calculation'!$D$17="Type 4 d",SA+H213,IF('Pre-Calculation'!$D$17="Type 4 e",MAX(SA,H213),IF('Pre-Calculation'!$D$17="Type 4 f",SA,IF('Pre-Calculation'!$D$17="Type 4 g",1000+H213,IF('Pre-Calculation'!$D$17="Type 4 h",SA+V213,IF('Pre-Calculation'!$D$17="Type 4 i",MAX(H213,Q213),IF('Pre-Calculation'!$D$17="Type 4 k",MAX(H213,1.01*Q213),IF('Pre-Calculation'!$D$17="Type 4 m",MAX(105%*Q213,SA+H213),IF('Pre-Calculation'!$D$17="Type 4 o",MAX(SA,105%*Q213)+V213+X213,IF('Pre-Calculation'!$D$17="Type 5",0)))))))))))))*IF(AND(A213&lt;Revival!$C$4,C213&gt;=Revival!$D$12),PUP,1)</f>
        <v>2613421.907</v>
      </c>
      <c r="L213" s="175">
        <f>H213-I213*(1+Tax)</f>
        <v>2613421.907</v>
      </c>
      <c r="M213" s="175">
        <f>L213*(1+'Pre-Calculation'!$E$28)*(1-'Pre-Calculation'!$E$29*(1+Tax))</f>
        <v>2625035.872</v>
      </c>
      <c r="N213" s="175">
        <f>M213+IF(MOD(A213,B213)=0,VLOOKUP(B213,'Pre-Calculation'!$H$1:$L$31,5,FALSE),0)*IF('Pre-Calculation'!$D$16="% OF FV",M213,IF(OR('Pre-Calculation'!$D$16="% OF AFV(24M)",'Pre-Calculation'!$D$16="% OF AFV(8Q)"),AVERAGE( $M190:$M213),IF('Pre-Calculation'!$D$16="% OF AFV(12M)",AVERAGE($M202:M213),IF('Pre-Calculation'!$D$16="% OF AFV(36M)",AVERAGE($M178:M213)))))</f>
        <v>2625035.872</v>
      </c>
      <c r="O213" s="175">
        <f t="shared" si="4"/>
        <v>2625035.872</v>
      </c>
      <c r="P213" s="175">
        <f>IF('Pre-Calculation'!$D$17="Type 4 a",MAX(SA,N213,1.05*Q213),IF('Pre-Calculation'!$D$17="Type 4 c",N213,IF('Pre-Calculation'!$D$17="Type 4 d",SA+N213,IF('Pre-Calculation'!$D$17="Type 4 e",MAX(SA,N213),IF('Pre-Calculation'!$D$17="Type 4 f",SA,IF('Pre-Calculation'!$D$17="Type 4 g",1000+N213,IF('Pre-Calculation'!$D$17="Type 4 h",SA+V213,IF('Pre-Calculation'!$D$17="Type 4 i",MAX(N213,Q213),IF('Pre-Calculation'!$D$17="Type 4 k",MAX(N213,1.01*Q213),IF('Pre-Calculation'!$D$17="Type 4 m",MAX(105%*Q213,SA+N213),IF('Pre-Calculation'!$D$17="Type 4 o",MAX(SA,105%*Q213)+V213+X213,IF('Pre-Calculation'!$D$17="Type 5",0))))))))))))</f>
        <v>2625035.872</v>
      </c>
      <c r="Q213" s="175">
        <f t="shared" si="5"/>
        <v>1000000</v>
      </c>
      <c r="R213" s="119">
        <f>L213*(1+GROWTH_RATE)*FMC</f>
        <v>2957.407173</v>
      </c>
      <c r="S213" s="112"/>
      <c r="T213" s="175">
        <f>-E213+IF(A212=INPUT!$C$11*12,N213,0)</f>
        <v>0</v>
      </c>
      <c r="U213" s="112"/>
      <c r="V213" s="179">
        <f t="array" ref="V213">NPV('Pre-Calculation'!$E$20,$E214:E$246)</f>
        <v>0</v>
      </c>
      <c r="W213" s="171">
        <f>10%*SA</f>
        <v>100000</v>
      </c>
      <c r="X213" s="179">
        <f t="array" ref="X213">NPV('Pre-Calculation'!$E$20,W214:W223)</f>
        <v>969592.8037</v>
      </c>
      <c r="Y213" s="12"/>
      <c r="Z213" s="12"/>
    </row>
    <row r="214" ht="15.75" customHeight="1">
      <c r="A214" s="171">
        <f t="shared" si="1"/>
        <v>268</v>
      </c>
      <c r="B214" s="171">
        <f t="shared" si="2"/>
        <v>23</v>
      </c>
      <c r="C214" s="176">
        <f>EDATE(RCD,A213)</f>
        <v>50678</v>
      </c>
      <c r="D214" s="171">
        <f>Age_At_Entry+'Cashflows_Bond Fund'!B214-1</f>
        <v>57</v>
      </c>
      <c r="E214" s="175">
        <f>IF(AND(C214&lt;=Last_Prem,MOD(A213,Mode)=0,C214&gt;INPUT!$C$13,A214&lt;=Revival!$C$11),Mod_Prem,0)</f>
        <v>0</v>
      </c>
      <c r="F214" s="177">
        <f>E214*VLOOKUP(B214,'Pre-Calculation'!$H$1:$I$31,2,FALSE)</f>
        <v>0</v>
      </c>
      <c r="G214" s="177">
        <f>IF(B214&lt;PT+1,VLOOKUP(B214,'Pre-Calculation'!$H$1:$L$32,3,FALSE)+VLOOKUP(B214,'Pre-Calculation'!$H$1:$L$32,4,FALSE)*'Pre-Calculation'!$D$7,0)</f>
        <v>0</v>
      </c>
      <c r="H214" s="175">
        <f>(E214-(F214+G214)*(1+Tax)+N213)</f>
        <v>2625035.872</v>
      </c>
      <c r="I214" s="175">
        <f>IF(B214&lt;PT+1,VLOOKUP(D214,'Pre-Calculation'!$N$3:$P$79,IF(INPUT!$C$4="M",2,3),FALSE)*(J214/1000)*(1/12),0)</f>
        <v>0</v>
      </c>
      <c r="J214" s="175">
        <f t="shared" si="3"/>
        <v>0</v>
      </c>
      <c r="K214" s="175">
        <f>(IF('Pre-Calculation'!$D$17="Type 4 a",MAX(SA,H214,1.05*Q214),IF('Pre-Calculation'!$D$17="Type 4 c",H214,IF('Pre-Calculation'!$D$17="Type 4 d",SA+H214,IF('Pre-Calculation'!$D$17="Type 4 e",MAX(SA,H214),IF('Pre-Calculation'!$D$17="Type 4 f",SA,IF('Pre-Calculation'!$D$17="Type 4 g",1000+H214,IF('Pre-Calculation'!$D$17="Type 4 h",SA+V214,IF('Pre-Calculation'!$D$17="Type 4 i",MAX(H214,Q214),IF('Pre-Calculation'!$D$17="Type 4 k",MAX(H214,1.01*Q214),IF('Pre-Calculation'!$D$17="Type 4 m",MAX(105%*Q214,SA+H214),IF('Pre-Calculation'!$D$17="Type 4 o",MAX(SA,105%*Q214)+V214+X214,IF('Pre-Calculation'!$D$17="Type 5",0)))))))))))))*IF(AND(A214&lt;Revival!$C$4,C214&gt;=Revival!$D$12),PUP,1)</f>
        <v>2625035.872</v>
      </c>
      <c r="L214" s="175">
        <f>H214-I214*(1+Tax)</f>
        <v>2625035.872</v>
      </c>
      <c r="M214" s="175">
        <f>L214*(1+'Pre-Calculation'!$E$28)*(1-'Pre-Calculation'!$E$29*(1+Tax))</f>
        <v>2636701.449</v>
      </c>
      <c r="N214" s="175">
        <f>M214+IF(MOD(A214,B214)=0,VLOOKUP(B214,'Pre-Calculation'!$H$1:$L$31,5,FALSE),0)*IF('Pre-Calculation'!$D$16="% OF FV",M214,IF(OR('Pre-Calculation'!$D$16="% OF AFV(24M)",'Pre-Calculation'!$D$16="% OF AFV(8Q)"),AVERAGE( $M191:$M214),IF('Pre-Calculation'!$D$16="% OF AFV(12M)",AVERAGE($M203:M214),IF('Pre-Calculation'!$D$16="% OF AFV(36M)",AVERAGE($M179:M214)))))</f>
        <v>2636701.449</v>
      </c>
      <c r="O214" s="175">
        <f t="shared" si="4"/>
        <v>2636701.449</v>
      </c>
      <c r="P214" s="175">
        <f>IF('Pre-Calculation'!$D$17="Type 4 a",MAX(SA,N214,1.05*Q214),IF('Pre-Calculation'!$D$17="Type 4 c",N214,IF('Pre-Calculation'!$D$17="Type 4 d",SA+N214,IF('Pre-Calculation'!$D$17="Type 4 e",MAX(SA,N214),IF('Pre-Calculation'!$D$17="Type 4 f",SA,IF('Pre-Calculation'!$D$17="Type 4 g",1000+N214,IF('Pre-Calculation'!$D$17="Type 4 h",SA+V214,IF('Pre-Calculation'!$D$17="Type 4 i",MAX(N214,Q214),IF('Pre-Calculation'!$D$17="Type 4 k",MAX(N214,1.01*Q214),IF('Pre-Calculation'!$D$17="Type 4 m",MAX(105%*Q214,SA+N214),IF('Pre-Calculation'!$D$17="Type 4 o",MAX(SA,105%*Q214)+V214+X214,IF('Pre-Calculation'!$D$17="Type 5",0))))))))))))</f>
        <v>2636701.449</v>
      </c>
      <c r="Q214" s="175">
        <f t="shared" si="5"/>
        <v>1000000</v>
      </c>
      <c r="R214" s="119">
        <f>L214*(1+GROWTH_RATE)*FMC</f>
        <v>2970.549798</v>
      </c>
      <c r="S214" s="112"/>
      <c r="T214" s="175">
        <f>-E214+IF(A213=INPUT!$C$11*12,N214,0)</f>
        <v>0</v>
      </c>
      <c r="U214" s="112"/>
      <c r="V214" s="179">
        <f t="array" ref="V214">NPV('Pre-Calculation'!$E$20,$E215:E$246)</f>
        <v>0</v>
      </c>
      <c r="W214" s="171">
        <f>10%*SA</f>
        <v>100000</v>
      </c>
      <c r="X214" s="179">
        <f t="array" ref="X214">NPV('Pre-Calculation'!$E$20,W215:W224)</f>
        <v>969592.8037</v>
      </c>
      <c r="Y214" s="12"/>
      <c r="Z214" s="12"/>
    </row>
    <row r="215" ht="15.75" customHeight="1">
      <c r="A215" s="171">
        <f t="shared" si="1"/>
        <v>269</v>
      </c>
      <c r="B215" s="171">
        <f t="shared" si="2"/>
        <v>23</v>
      </c>
      <c r="C215" s="176">
        <f>EDATE(RCD,A214)</f>
        <v>50708</v>
      </c>
      <c r="D215" s="171">
        <f>Age_At_Entry+'Cashflows_Bond Fund'!B215-1</f>
        <v>57</v>
      </c>
      <c r="E215" s="175">
        <f>IF(AND(C215&lt;=Last_Prem,MOD(A214,Mode)=0,C215&gt;INPUT!$C$13,A215&lt;=Revival!$C$11),Mod_Prem,0)</f>
        <v>0</v>
      </c>
      <c r="F215" s="177">
        <f>E215*VLOOKUP(B215,'Pre-Calculation'!$H$1:$I$31,2,FALSE)</f>
        <v>0</v>
      </c>
      <c r="G215" s="177">
        <f>IF(B215&lt;PT+1,VLOOKUP(B215,'Pre-Calculation'!$H$1:$L$32,3,FALSE)+VLOOKUP(B215,'Pre-Calculation'!$H$1:$L$32,4,FALSE)*'Pre-Calculation'!$D$7,0)</f>
        <v>0</v>
      </c>
      <c r="H215" s="175">
        <f>(E215-(F215+G215)*(1+Tax)+N214)</f>
        <v>2636701.449</v>
      </c>
      <c r="I215" s="175">
        <f>IF(B215&lt;PT+1,VLOOKUP(D215,'Pre-Calculation'!$N$3:$P$79,IF(INPUT!$C$4="M",2,3),FALSE)*(J215/1000)*(1/12),0)</f>
        <v>0</v>
      </c>
      <c r="J215" s="175">
        <f t="shared" si="3"/>
        <v>0</v>
      </c>
      <c r="K215" s="175">
        <f>(IF('Pre-Calculation'!$D$17="Type 4 a",MAX(SA,H215,1.05*Q215),IF('Pre-Calculation'!$D$17="Type 4 c",H215,IF('Pre-Calculation'!$D$17="Type 4 d",SA+H215,IF('Pre-Calculation'!$D$17="Type 4 e",MAX(SA,H215),IF('Pre-Calculation'!$D$17="Type 4 f",SA,IF('Pre-Calculation'!$D$17="Type 4 g",1000+H215,IF('Pre-Calculation'!$D$17="Type 4 h",SA+V215,IF('Pre-Calculation'!$D$17="Type 4 i",MAX(H215,Q215),IF('Pre-Calculation'!$D$17="Type 4 k",MAX(H215,1.01*Q215),IF('Pre-Calculation'!$D$17="Type 4 m",MAX(105%*Q215,SA+H215),IF('Pre-Calculation'!$D$17="Type 4 o",MAX(SA,105%*Q215)+V215+X215,IF('Pre-Calculation'!$D$17="Type 5",0)))))))))))))*IF(AND(A215&lt;Revival!$C$4,C215&gt;=Revival!$D$12),PUP,1)</f>
        <v>2636701.449</v>
      </c>
      <c r="L215" s="175">
        <f>H215-I215*(1+Tax)</f>
        <v>2636701.449</v>
      </c>
      <c r="M215" s="175">
        <f>L215*(1+'Pre-Calculation'!$E$28)*(1-'Pre-Calculation'!$E$29*(1+Tax))</f>
        <v>2648418.868</v>
      </c>
      <c r="N215" s="175">
        <f>M215+IF(MOD(A215,B215)=0,VLOOKUP(B215,'Pre-Calculation'!$H$1:$L$31,5,FALSE),0)*IF('Pre-Calculation'!$D$16="% OF FV",M215,IF(OR('Pre-Calculation'!$D$16="% OF AFV(24M)",'Pre-Calculation'!$D$16="% OF AFV(8Q)"),AVERAGE( $M192:$M215),IF('Pre-Calculation'!$D$16="% OF AFV(12M)",AVERAGE($M204:M215),IF('Pre-Calculation'!$D$16="% OF AFV(36M)",AVERAGE($M180:M215)))))</f>
        <v>2648418.868</v>
      </c>
      <c r="O215" s="175">
        <f t="shared" si="4"/>
        <v>2648418.868</v>
      </c>
      <c r="P215" s="175">
        <f>IF('Pre-Calculation'!$D$17="Type 4 a",MAX(SA,N215,1.05*Q215),IF('Pre-Calculation'!$D$17="Type 4 c",N215,IF('Pre-Calculation'!$D$17="Type 4 d",SA+N215,IF('Pre-Calculation'!$D$17="Type 4 e",MAX(SA,N215),IF('Pre-Calculation'!$D$17="Type 4 f",SA,IF('Pre-Calculation'!$D$17="Type 4 g",1000+N215,IF('Pre-Calculation'!$D$17="Type 4 h",SA+V215,IF('Pre-Calculation'!$D$17="Type 4 i",MAX(N215,Q215),IF('Pre-Calculation'!$D$17="Type 4 k",MAX(N215,1.01*Q215),IF('Pre-Calculation'!$D$17="Type 4 m",MAX(105%*Q215,SA+N215),IF('Pre-Calculation'!$D$17="Type 4 o",MAX(SA,105%*Q215)+V215+X215,IF('Pre-Calculation'!$D$17="Type 5",0))))))))))))</f>
        <v>2648418.868</v>
      </c>
      <c r="Q215" s="175">
        <f t="shared" si="5"/>
        <v>1000000</v>
      </c>
      <c r="R215" s="119">
        <f>L215*(1+GROWTH_RATE)*FMC</f>
        <v>2983.750829</v>
      </c>
      <c r="S215" s="112"/>
      <c r="T215" s="175">
        <f>-E215+IF(A214=INPUT!$C$11*12,N215,0)</f>
        <v>0</v>
      </c>
      <c r="U215" s="112"/>
      <c r="V215" s="179">
        <f t="array" ref="V215">NPV('Pre-Calculation'!$E$20,$E216:E$246)</f>
        <v>0</v>
      </c>
      <c r="W215" s="171">
        <f>10%*SA</f>
        <v>100000</v>
      </c>
      <c r="X215" s="179">
        <f t="array" ref="X215">NPV('Pre-Calculation'!$E$20,W216:W225)</f>
        <v>969592.8037</v>
      </c>
      <c r="Y215" s="12"/>
      <c r="Z215" s="12"/>
    </row>
    <row r="216" ht="15.75" customHeight="1">
      <c r="A216" s="171">
        <f t="shared" si="1"/>
        <v>270</v>
      </c>
      <c r="B216" s="171">
        <f t="shared" si="2"/>
        <v>23</v>
      </c>
      <c r="C216" s="176">
        <f>EDATE(RCD,A215)</f>
        <v>50739</v>
      </c>
      <c r="D216" s="171">
        <f>Age_At_Entry+'Cashflows_Bond Fund'!B216-1</f>
        <v>57</v>
      </c>
      <c r="E216" s="175">
        <f>IF(AND(C216&lt;=Last_Prem,MOD(A215,Mode)=0,C216&gt;INPUT!$C$13,A216&lt;=Revival!$C$11),Mod_Prem,0)</f>
        <v>0</v>
      </c>
      <c r="F216" s="177">
        <f>E216*VLOOKUP(B216,'Pre-Calculation'!$H$1:$I$31,2,FALSE)</f>
        <v>0</v>
      </c>
      <c r="G216" s="177">
        <f>IF(B216&lt;PT+1,VLOOKUP(B216,'Pre-Calculation'!$H$1:$L$32,3,FALSE)+VLOOKUP(B216,'Pre-Calculation'!$H$1:$L$32,4,FALSE)*'Pre-Calculation'!$D$7,0)</f>
        <v>0</v>
      </c>
      <c r="H216" s="175">
        <f>(E216-(F216+G216)*(1+Tax)+N215)</f>
        <v>2648418.868</v>
      </c>
      <c r="I216" s="175">
        <f>IF(B216&lt;PT+1,VLOOKUP(D216,'Pre-Calculation'!$N$3:$P$79,IF(INPUT!$C$4="M",2,3),FALSE)*(J216/1000)*(1/12),0)</f>
        <v>0</v>
      </c>
      <c r="J216" s="175">
        <f t="shared" si="3"/>
        <v>0</v>
      </c>
      <c r="K216" s="175">
        <f>(IF('Pre-Calculation'!$D$17="Type 4 a",MAX(SA,H216,1.05*Q216),IF('Pre-Calculation'!$D$17="Type 4 c",H216,IF('Pre-Calculation'!$D$17="Type 4 d",SA+H216,IF('Pre-Calculation'!$D$17="Type 4 e",MAX(SA,H216),IF('Pre-Calculation'!$D$17="Type 4 f",SA,IF('Pre-Calculation'!$D$17="Type 4 g",1000+H216,IF('Pre-Calculation'!$D$17="Type 4 h",SA+V216,IF('Pre-Calculation'!$D$17="Type 4 i",MAX(H216,Q216),IF('Pre-Calculation'!$D$17="Type 4 k",MAX(H216,1.01*Q216),IF('Pre-Calculation'!$D$17="Type 4 m",MAX(105%*Q216,SA+H216),IF('Pre-Calculation'!$D$17="Type 4 o",MAX(SA,105%*Q216)+V216+X216,IF('Pre-Calculation'!$D$17="Type 5",0)))))))))))))*IF(AND(A216&lt;Revival!$C$4,C216&gt;=Revival!$D$12),PUP,1)</f>
        <v>2648418.868</v>
      </c>
      <c r="L216" s="175">
        <f>H216-I216*(1+Tax)</f>
        <v>2648418.868</v>
      </c>
      <c r="M216" s="175">
        <f>L216*(1+'Pre-Calculation'!$E$28)*(1-'Pre-Calculation'!$E$29*(1+Tax))</f>
        <v>2660188.359</v>
      </c>
      <c r="N216" s="175">
        <f>M216+IF(MOD(A216,B216)=0,VLOOKUP(B216,'Pre-Calculation'!$H$1:$L$31,5,FALSE),0)*IF('Pre-Calculation'!$D$16="% OF FV",M216,IF(OR('Pre-Calculation'!$D$16="% OF AFV(24M)",'Pre-Calculation'!$D$16="% OF AFV(8Q)"),AVERAGE( $M193:$M216),IF('Pre-Calculation'!$D$16="% OF AFV(12M)",AVERAGE($M205:M216),IF('Pre-Calculation'!$D$16="% OF AFV(36M)",AVERAGE($M181:M216)))))</f>
        <v>2660188.359</v>
      </c>
      <c r="O216" s="175">
        <f t="shared" si="4"/>
        <v>2660188.359</v>
      </c>
      <c r="P216" s="175">
        <f>IF('Pre-Calculation'!$D$17="Type 4 a",MAX(SA,N216,1.05*Q216),IF('Pre-Calculation'!$D$17="Type 4 c",N216,IF('Pre-Calculation'!$D$17="Type 4 d",SA+N216,IF('Pre-Calculation'!$D$17="Type 4 e",MAX(SA,N216),IF('Pre-Calculation'!$D$17="Type 4 f",SA,IF('Pre-Calculation'!$D$17="Type 4 g",1000+N216,IF('Pre-Calculation'!$D$17="Type 4 h",SA+V216,IF('Pre-Calculation'!$D$17="Type 4 i",MAX(N216,Q216),IF('Pre-Calculation'!$D$17="Type 4 k",MAX(N216,1.01*Q216),IF('Pre-Calculation'!$D$17="Type 4 m",MAX(105%*Q216,SA+N216),IF('Pre-Calculation'!$D$17="Type 4 o",MAX(SA,105%*Q216)+V216+X216,IF('Pre-Calculation'!$D$17="Type 5",0))))))))))))</f>
        <v>2660188.359</v>
      </c>
      <c r="Q216" s="175">
        <f t="shared" si="5"/>
        <v>1000000</v>
      </c>
      <c r="R216" s="119">
        <f>L216*(1+GROWTH_RATE)*FMC</f>
        <v>2997.010524</v>
      </c>
      <c r="S216" s="112"/>
      <c r="T216" s="175">
        <f>-E216+IF(A215=INPUT!$C$11*12,N216,0)</f>
        <v>0</v>
      </c>
      <c r="U216" s="112"/>
      <c r="V216" s="179">
        <f t="array" ref="V216">NPV('Pre-Calculation'!$E$20,$E217:E$246)</f>
        <v>0</v>
      </c>
      <c r="W216" s="171">
        <f>10%*SA</f>
        <v>100000</v>
      </c>
      <c r="X216" s="179">
        <f t="array" ref="X216">NPV('Pre-Calculation'!$E$20,W217:W226)</f>
        <v>969592.8037</v>
      </c>
      <c r="Y216" s="12"/>
      <c r="Z216" s="12"/>
    </row>
    <row r="217" ht="15.75" customHeight="1">
      <c r="A217" s="171">
        <f t="shared" si="1"/>
        <v>271</v>
      </c>
      <c r="B217" s="171">
        <f t="shared" si="2"/>
        <v>23</v>
      </c>
      <c r="C217" s="176">
        <f>EDATE(RCD,A216)</f>
        <v>50769</v>
      </c>
      <c r="D217" s="171">
        <f>Age_At_Entry+'Cashflows_Bond Fund'!B217-1</f>
        <v>57</v>
      </c>
      <c r="E217" s="175">
        <f>IF(AND(C217&lt;=Last_Prem,MOD(A216,Mode)=0,C217&gt;INPUT!$C$13,A217&lt;=Revival!$C$11),Mod_Prem,0)</f>
        <v>0</v>
      </c>
      <c r="F217" s="177">
        <f>E217*VLOOKUP(B217,'Pre-Calculation'!$H$1:$I$31,2,FALSE)</f>
        <v>0</v>
      </c>
      <c r="G217" s="177">
        <f>IF(B217&lt;PT+1,VLOOKUP(B217,'Pre-Calculation'!$H$1:$L$32,3,FALSE)+VLOOKUP(B217,'Pre-Calculation'!$H$1:$L$32,4,FALSE)*'Pre-Calculation'!$D$7,0)</f>
        <v>0</v>
      </c>
      <c r="H217" s="175">
        <f>(E217-(F217+G217)*(1+Tax)+N216)</f>
        <v>2660188.359</v>
      </c>
      <c r="I217" s="175">
        <f>IF(B217&lt;PT+1,VLOOKUP(D217,'Pre-Calculation'!$N$3:$P$79,IF(INPUT!$C$4="M",2,3),FALSE)*(J217/1000)*(1/12),0)</f>
        <v>0</v>
      </c>
      <c r="J217" s="175">
        <f t="shared" si="3"/>
        <v>0</v>
      </c>
      <c r="K217" s="175">
        <f>(IF('Pre-Calculation'!$D$17="Type 4 a",MAX(SA,H217,1.05*Q217),IF('Pre-Calculation'!$D$17="Type 4 c",H217,IF('Pre-Calculation'!$D$17="Type 4 d",SA+H217,IF('Pre-Calculation'!$D$17="Type 4 e",MAX(SA,H217),IF('Pre-Calculation'!$D$17="Type 4 f",SA,IF('Pre-Calculation'!$D$17="Type 4 g",1000+H217,IF('Pre-Calculation'!$D$17="Type 4 h",SA+V217,IF('Pre-Calculation'!$D$17="Type 4 i",MAX(H217,Q217),IF('Pre-Calculation'!$D$17="Type 4 k",MAX(H217,1.01*Q217),IF('Pre-Calculation'!$D$17="Type 4 m",MAX(105%*Q217,SA+H217),IF('Pre-Calculation'!$D$17="Type 4 o",MAX(SA,105%*Q217)+V217+X217,IF('Pre-Calculation'!$D$17="Type 5",0)))))))))))))*IF(AND(A217&lt;Revival!$C$4,C217&gt;=Revival!$D$12),PUP,1)</f>
        <v>2660188.359</v>
      </c>
      <c r="L217" s="175">
        <f>H217-I217*(1+Tax)</f>
        <v>2660188.359</v>
      </c>
      <c r="M217" s="175">
        <f>L217*(1+'Pre-Calculation'!$E$28)*(1-'Pre-Calculation'!$E$29*(1+Tax))</f>
        <v>2672010.153</v>
      </c>
      <c r="N217" s="175">
        <f>M217+IF(MOD(A217,B217)=0,VLOOKUP(B217,'Pre-Calculation'!$H$1:$L$31,5,FALSE),0)*IF('Pre-Calculation'!$D$16="% OF FV",M217,IF(OR('Pre-Calculation'!$D$16="% OF AFV(24M)",'Pre-Calculation'!$D$16="% OF AFV(8Q)"),AVERAGE( $M194:$M217),IF('Pre-Calculation'!$D$16="% OF AFV(12M)",AVERAGE($M206:M217),IF('Pre-Calculation'!$D$16="% OF AFV(36M)",AVERAGE($M182:M217)))))</f>
        <v>2672010.153</v>
      </c>
      <c r="O217" s="175">
        <f t="shared" si="4"/>
        <v>2672010.153</v>
      </c>
      <c r="P217" s="175">
        <f>IF('Pre-Calculation'!$D$17="Type 4 a",MAX(SA,N217,1.05*Q217),IF('Pre-Calculation'!$D$17="Type 4 c",N217,IF('Pre-Calculation'!$D$17="Type 4 d",SA+N217,IF('Pre-Calculation'!$D$17="Type 4 e",MAX(SA,N217),IF('Pre-Calculation'!$D$17="Type 4 f",SA,IF('Pre-Calculation'!$D$17="Type 4 g",1000+N217,IF('Pre-Calculation'!$D$17="Type 4 h",SA+V217,IF('Pre-Calculation'!$D$17="Type 4 i",MAX(N217,Q217),IF('Pre-Calculation'!$D$17="Type 4 k",MAX(N217,1.01*Q217),IF('Pre-Calculation'!$D$17="Type 4 m",MAX(105%*Q217,SA+N217),IF('Pre-Calculation'!$D$17="Type 4 o",MAX(SA,105%*Q217)+V217+X217,IF('Pre-Calculation'!$D$17="Type 5",0))))))))))))</f>
        <v>2672010.153</v>
      </c>
      <c r="Q217" s="175">
        <f t="shared" si="5"/>
        <v>1000000</v>
      </c>
      <c r="R217" s="119">
        <f>L217*(1+GROWTH_RATE)*FMC</f>
        <v>3010.329145</v>
      </c>
      <c r="S217" s="112"/>
      <c r="T217" s="175">
        <f>-E217+IF(A216=INPUT!$C$11*12,N217,0)</f>
        <v>0</v>
      </c>
      <c r="U217" s="112"/>
      <c r="V217" s="179">
        <f t="array" ref="V217">NPV('Pre-Calculation'!$E$20,$E218:E$246)</f>
        <v>0</v>
      </c>
      <c r="W217" s="171">
        <f>10%*SA</f>
        <v>100000</v>
      </c>
      <c r="X217" s="179">
        <f t="array" ref="X217">NPV('Pre-Calculation'!$E$20,W218:W227)</f>
        <v>969592.8037</v>
      </c>
      <c r="Y217" s="12"/>
      <c r="Z217" s="12"/>
    </row>
    <row r="218" ht="15.75" customHeight="1">
      <c r="A218" s="171">
        <f t="shared" si="1"/>
        <v>272</v>
      </c>
      <c r="B218" s="171">
        <f t="shared" si="2"/>
        <v>23</v>
      </c>
      <c r="C218" s="176">
        <f>EDATE(RCD,A217)</f>
        <v>50800</v>
      </c>
      <c r="D218" s="171">
        <f>Age_At_Entry+'Cashflows_Bond Fund'!B218-1</f>
        <v>57</v>
      </c>
      <c r="E218" s="175">
        <f>IF(AND(C218&lt;=Last_Prem,MOD(A217,Mode)=0,C218&gt;INPUT!$C$13,A218&lt;=Revival!$C$11),Mod_Prem,0)</f>
        <v>0</v>
      </c>
      <c r="F218" s="177">
        <f>E218*VLOOKUP(B218,'Pre-Calculation'!$H$1:$I$31,2,FALSE)</f>
        <v>0</v>
      </c>
      <c r="G218" s="177">
        <f>IF(B218&lt;PT+1,VLOOKUP(B218,'Pre-Calculation'!$H$1:$L$32,3,FALSE)+VLOOKUP(B218,'Pre-Calculation'!$H$1:$L$32,4,FALSE)*'Pre-Calculation'!$D$7,0)</f>
        <v>0</v>
      </c>
      <c r="H218" s="175">
        <f>(E218-(F218+G218)*(1+Tax)+N217)</f>
        <v>2672010.153</v>
      </c>
      <c r="I218" s="175">
        <f>IF(B218&lt;PT+1,VLOOKUP(D218,'Pre-Calculation'!$N$3:$P$79,IF(INPUT!$C$4="M",2,3),FALSE)*(J218/1000)*(1/12),0)</f>
        <v>0</v>
      </c>
      <c r="J218" s="175">
        <f t="shared" si="3"/>
        <v>0</v>
      </c>
      <c r="K218" s="175">
        <f>(IF('Pre-Calculation'!$D$17="Type 4 a",MAX(SA,H218,1.05*Q218),IF('Pre-Calculation'!$D$17="Type 4 c",H218,IF('Pre-Calculation'!$D$17="Type 4 d",SA+H218,IF('Pre-Calculation'!$D$17="Type 4 e",MAX(SA,H218),IF('Pre-Calculation'!$D$17="Type 4 f",SA,IF('Pre-Calculation'!$D$17="Type 4 g",1000+H218,IF('Pre-Calculation'!$D$17="Type 4 h",SA+V218,IF('Pre-Calculation'!$D$17="Type 4 i",MAX(H218,Q218),IF('Pre-Calculation'!$D$17="Type 4 k",MAX(H218,1.01*Q218),IF('Pre-Calculation'!$D$17="Type 4 m",MAX(105%*Q218,SA+H218),IF('Pre-Calculation'!$D$17="Type 4 o",MAX(SA,105%*Q218)+V218+X218,IF('Pre-Calculation'!$D$17="Type 5",0)))))))))))))*IF(AND(A218&lt;Revival!$C$4,C218&gt;=Revival!$D$12),PUP,1)</f>
        <v>2672010.153</v>
      </c>
      <c r="L218" s="175">
        <f>H218-I218*(1+Tax)</f>
        <v>2672010.153</v>
      </c>
      <c r="M218" s="175">
        <f>L218*(1+'Pre-Calculation'!$E$28)*(1-'Pre-Calculation'!$E$29*(1+Tax))</f>
        <v>2683884.482</v>
      </c>
      <c r="N218" s="175">
        <f>M218+IF(MOD(A218,B218)=0,VLOOKUP(B218,'Pre-Calculation'!$H$1:$L$31,5,FALSE),0)*IF('Pre-Calculation'!$D$16="% OF FV",M218,IF(OR('Pre-Calculation'!$D$16="% OF AFV(24M)",'Pre-Calculation'!$D$16="% OF AFV(8Q)"),AVERAGE( $M195:$M218),IF('Pre-Calculation'!$D$16="% OF AFV(12M)",AVERAGE($M207:M218),IF('Pre-Calculation'!$D$16="% OF AFV(36M)",AVERAGE($M183:M218)))))</f>
        <v>2683884.482</v>
      </c>
      <c r="O218" s="175">
        <f t="shared" si="4"/>
        <v>2683884.482</v>
      </c>
      <c r="P218" s="175">
        <f>IF('Pre-Calculation'!$D$17="Type 4 a",MAX(SA,N218,1.05*Q218),IF('Pre-Calculation'!$D$17="Type 4 c",N218,IF('Pre-Calculation'!$D$17="Type 4 d",SA+N218,IF('Pre-Calculation'!$D$17="Type 4 e",MAX(SA,N218),IF('Pre-Calculation'!$D$17="Type 4 f",SA,IF('Pre-Calculation'!$D$17="Type 4 g",1000+N218,IF('Pre-Calculation'!$D$17="Type 4 h",SA+V218,IF('Pre-Calculation'!$D$17="Type 4 i",MAX(N218,Q218),IF('Pre-Calculation'!$D$17="Type 4 k",MAX(N218,1.01*Q218),IF('Pre-Calculation'!$D$17="Type 4 m",MAX(105%*Q218,SA+N218),IF('Pre-Calculation'!$D$17="Type 4 o",MAX(SA,105%*Q218)+V218+X218,IF('Pre-Calculation'!$D$17="Type 5",0))))))))))))</f>
        <v>2683884.482</v>
      </c>
      <c r="Q218" s="175">
        <f t="shared" si="5"/>
        <v>1000000</v>
      </c>
      <c r="R218" s="119">
        <f>L218*(1+GROWTH_RATE)*FMC</f>
        <v>3023.706954</v>
      </c>
      <c r="S218" s="112"/>
      <c r="T218" s="175">
        <f>-E218+IF(A217=INPUT!$C$11*12,N218,0)</f>
        <v>0</v>
      </c>
      <c r="U218" s="112"/>
      <c r="V218" s="179">
        <f t="array" ref="V218">NPV('Pre-Calculation'!$E$20,$E219:E$246)</f>
        <v>0</v>
      </c>
      <c r="W218" s="171">
        <f>10%*SA</f>
        <v>100000</v>
      </c>
      <c r="X218" s="179">
        <f t="array" ref="X218">NPV('Pre-Calculation'!$E$20,W219:W228)</f>
        <v>969592.8037</v>
      </c>
      <c r="Y218" s="12"/>
      <c r="Z218" s="12"/>
    </row>
    <row r="219" ht="15.75" customHeight="1">
      <c r="A219" s="171">
        <f t="shared" si="1"/>
        <v>273</v>
      </c>
      <c r="B219" s="171">
        <f t="shared" si="2"/>
        <v>23</v>
      </c>
      <c r="C219" s="176">
        <f>EDATE(RCD,A218)</f>
        <v>50829</v>
      </c>
      <c r="D219" s="171">
        <f>Age_At_Entry+'Cashflows_Bond Fund'!B219-1</f>
        <v>57</v>
      </c>
      <c r="E219" s="175">
        <f>IF(AND(C219&lt;=Last_Prem,MOD(A218,Mode)=0,C219&gt;INPUT!$C$13,A219&lt;=Revival!$C$11),Mod_Prem,0)</f>
        <v>0</v>
      </c>
      <c r="F219" s="177">
        <f>E219*VLOOKUP(B219,'Pre-Calculation'!$H$1:$I$31,2,FALSE)</f>
        <v>0</v>
      </c>
      <c r="G219" s="177">
        <f>IF(B219&lt;PT+1,VLOOKUP(B219,'Pre-Calculation'!$H$1:$L$32,3,FALSE)+VLOOKUP(B219,'Pre-Calculation'!$H$1:$L$32,4,FALSE)*'Pre-Calculation'!$D$7,0)</f>
        <v>0</v>
      </c>
      <c r="H219" s="175">
        <f>(E219-(F219+G219)*(1+Tax)+N218)</f>
        <v>2683884.482</v>
      </c>
      <c r="I219" s="175">
        <f>IF(B219&lt;PT+1,VLOOKUP(D219,'Pre-Calculation'!$N$3:$P$79,IF(INPUT!$C$4="M",2,3),FALSE)*(J219/1000)*(1/12),0)</f>
        <v>0</v>
      </c>
      <c r="J219" s="175">
        <f t="shared" si="3"/>
        <v>0</v>
      </c>
      <c r="K219" s="175">
        <f>(IF('Pre-Calculation'!$D$17="Type 4 a",MAX(SA,H219,1.05*Q219),IF('Pre-Calculation'!$D$17="Type 4 c",H219,IF('Pre-Calculation'!$D$17="Type 4 d",SA+H219,IF('Pre-Calculation'!$D$17="Type 4 e",MAX(SA,H219),IF('Pre-Calculation'!$D$17="Type 4 f",SA,IF('Pre-Calculation'!$D$17="Type 4 g",1000+H219,IF('Pre-Calculation'!$D$17="Type 4 h",SA+V219,IF('Pre-Calculation'!$D$17="Type 4 i",MAX(H219,Q219),IF('Pre-Calculation'!$D$17="Type 4 k",MAX(H219,1.01*Q219),IF('Pre-Calculation'!$D$17="Type 4 m",MAX(105%*Q219,SA+H219),IF('Pre-Calculation'!$D$17="Type 4 o",MAX(SA,105%*Q219)+V219+X219,IF('Pre-Calculation'!$D$17="Type 5",0)))))))))))))*IF(AND(A219&lt;Revival!$C$4,C219&gt;=Revival!$D$12),PUP,1)</f>
        <v>2683884.482</v>
      </c>
      <c r="L219" s="175">
        <f>H219-I219*(1+Tax)</f>
        <v>2683884.482</v>
      </c>
      <c r="M219" s="175">
        <f>L219*(1+'Pre-Calculation'!$E$28)*(1-'Pre-Calculation'!$E$29*(1+Tax))</f>
        <v>2695811.581</v>
      </c>
      <c r="N219" s="175">
        <f>M219+IF(MOD(A219,B219)=0,VLOOKUP(B219,'Pre-Calculation'!$H$1:$L$31,5,FALSE),0)*IF('Pre-Calculation'!$D$16="% OF FV",M219,IF(OR('Pre-Calculation'!$D$16="% OF AFV(24M)",'Pre-Calculation'!$D$16="% OF AFV(8Q)"),AVERAGE( $M196:$M219),IF('Pre-Calculation'!$D$16="% OF AFV(12M)",AVERAGE($M208:M219),IF('Pre-Calculation'!$D$16="% OF AFV(36M)",AVERAGE($M184:M219)))))</f>
        <v>2695811.581</v>
      </c>
      <c r="O219" s="175">
        <f t="shared" si="4"/>
        <v>2695811.581</v>
      </c>
      <c r="P219" s="175">
        <f>IF('Pre-Calculation'!$D$17="Type 4 a",MAX(SA,N219,1.05*Q219),IF('Pre-Calculation'!$D$17="Type 4 c",N219,IF('Pre-Calculation'!$D$17="Type 4 d",SA+N219,IF('Pre-Calculation'!$D$17="Type 4 e",MAX(SA,N219),IF('Pre-Calculation'!$D$17="Type 4 f",SA,IF('Pre-Calculation'!$D$17="Type 4 g",1000+N219,IF('Pre-Calculation'!$D$17="Type 4 h",SA+V219,IF('Pre-Calculation'!$D$17="Type 4 i",MAX(N219,Q219),IF('Pre-Calculation'!$D$17="Type 4 k",MAX(N219,1.01*Q219),IF('Pre-Calculation'!$D$17="Type 4 m",MAX(105%*Q219,SA+N219),IF('Pre-Calculation'!$D$17="Type 4 o",MAX(SA,105%*Q219)+V219+X219,IF('Pre-Calculation'!$D$17="Type 5",0))))))))))))</f>
        <v>2695811.581</v>
      </c>
      <c r="Q219" s="175">
        <f t="shared" si="5"/>
        <v>1000000</v>
      </c>
      <c r="R219" s="119">
        <f>L219*(1+GROWTH_RATE)*FMC</f>
        <v>3037.144213</v>
      </c>
      <c r="S219" s="112"/>
      <c r="T219" s="175">
        <f>-E219+IF(A218=INPUT!$C$11*12,N219,0)</f>
        <v>0</v>
      </c>
      <c r="U219" s="112"/>
      <c r="V219" s="179">
        <f t="array" ref="V219">NPV('Pre-Calculation'!$E$20,$E220:E$246)</f>
        <v>0</v>
      </c>
      <c r="W219" s="171">
        <f>10%*SA</f>
        <v>100000</v>
      </c>
      <c r="X219" s="179">
        <f t="array" ref="X219">NPV('Pre-Calculation'!$E$20,W220:W229)</f>
        <v>969592.8037</v>
      </c>
      <c r="Y219" s="12"/>
      <c r="Z219" s="12"/>
    </row>
    <row r="220" ht="15.75" customHeight="1">
      <c r="A220" s="171">
        <f t="shared" si="1"/>
        <v>274</v>
      </c>
      <c r="B220" s="171">
        <f t="shared" si="2"/>
        <v>23</v>
      </c>
      <c r="C220" s="176">
        <f>EDATE(RCD,A219)</f>
        <v>50859</v>
      </c>
      <c r="D220" s="171">
        <f>Age_At_Entry+'Cashflows_Bond Fund'!B220-1</f>
        <v>57</v>
      </c>
      <c r="E220" s="175">
        <f>IF(AND(C220&lt;=Last_Prem,MOD(A219,Mode)=0,C220&gt;INPUT!$C$13,A220&lt;=Revival!$C$11),Mod_Prem,0)</f>
        <v>0</v>
      </c>
      <c r="F220" s="177">
        <f>E220*VLOOKUP(B220,'Pre-Calculation'!$H$1:$I$31,2,FALSE)</f>
        <v>0</v>
      </c>
      <c r="G220" s="177">
        <f>IF(B220&lt;PT+1,VLOOKUP(B220,'Pre-Calculation'!$H$1:$L$32,3,FALSE)+VLOOKUP(B220,'Pre-Calculation'!$H$1:$L$32,4,FALSE)*'Pre-Calculation'!$D$7,0)</f>
        <v>0</v>
      </c>
      <c r="H220" s="175">
        <f>(E220-(F220+G220)*(1+Tax)+N219)</f>
        <v>2695811.581</v>
      </c>
      <c r="I220" s="175">
        <f>IF(B220&lt;PT+1,VLOOKUP(D220,'Pre-Calculation'!$N$3:$P$79,IF(INPUT!$C$4="M",2,3),FALSE)*(J220/1000)*(1/12),0)</f>
        <v>0</v>
      </c>
      <c r="J220" s="175">
        <f t="shared" si="3"/>
        <v>0</v>
      </c>
      <c r="K220" s="175">
        <f>(IF('Pre-Calculation'!$D$17="Type 4 a",MAX(SA,H220,1.05*Q220),IF('Pre-Calculation'!$D$17="Type 4 c",H220,IF('Pre-Calculation'!$D$17="Type 4 d",SA+H220,IF('Pre-Calculation'!$D$17="Type 4 e",MAX(SA,H220),IF('Pre-Calculation'!$D$17="Type 4 f",SA,IF('Pre-Calculation'!$D$17="Type 4 g",1000+H220,IF('Pre-Calculation'!$D$17="Type 4 h",SA+V220,IF('Pre-Calculation'!$D$17="Type 4 i",MAX(H220,Q220),IF('Pre-Calculation'!$D$17="Type 4 k",MAX(H220,1.01*Q220),IF('Pre-Calculation'!$D$17="Type 4 m",MAX(105%*Q220,SA+H220),IF('Pre-Calculation'!$D$17="Type 4 o",MAX(SA,105%*Q220)+V220+X220,IF('Pre-Calculation'!$D$17="Type 5",0)))))))))))))*IF(AND(A220&lt;Revival!$C$4,C220&gt;=Revival!$D$12),PUP,1)</f>
        <v>2695811.581</v>
      </c>
      <c r="L220" s="175">
        <f>H220-I220*(1+Tax)</f>
        <v>2695811.581</v>
      </c>
      <c r="M220" s="175">
        <f>L220*(1+'Pre-Calculation'!$E$28)*(1-'Pre-Calculation'!$E$29*(1+Tax))</f>
        <v>2707791.683</v>
      </c>
      <c r="N220" s="175">
        <f>M220+IF(MOD(A220,B220)=0,VLOOKUP(B220,'Pre-Calculation'!$H$1:$L$31,5,FALSE),0)*IF('Pre-Calculation'!$D$16="% OF FV",M220,IF(OR('Pre-Calculation'!$D$16="% OF AFV(24M)",'Pre-Calculation'!$D$16="% OF AFV(8Q)"),AVERAGE( $M197:$M220),IF('Pre-Calculation'!$D$16="% OF AFV(12M)",AVERAGE($M209:M220),IF('Pre-Calculation'!$D$16="% OF AFV(36M)",AVERAGE($M185:M220)))))</f>
        <v>2707791.683</v>
      </c>
      <c r="O220" s="175">
        <f t="shared" si="4"/>
        <v>2707791.683</v>
      </c>
      <c r="P220" s="175">
        <f>IF('Pre-Calculation'!$D$17="Type 4 a",MAX(SA,N220,1.05*Q220),IF('Pre-Calculation'!$D$17="Type 4 c",N220,IF('Pre-Calculation'!$D$17="Type 4 d",SA+N220,IF('Pre-Calculation'!$D$17="Type 4 e",MAX(SA,N220),IF('Pre-Calculation'!$D$17="Type 4 f",SA,IF('Pre-Calculation'!$D$17="Type 4 g",1000+N220,IF('Pre-Calculation'!$D$17="Type 4 h",SA+V220,IF('Pre-Calculation'!$D$17="Type 4 i",MAX(N220,Q220),IF('Pre-Calculation'!$D$17="Type 4 k",MAX(N220,1.01*Q220),IF('Pre-Calculation'!$D$17="Type 4 m",MAX(105%*Q220,SA+N220),IF('Pre-Calculation'!$D$17="Type 4 o",MAX(SA,105%*Q220)+V220+X220,IF('Pre-Calculation'!$D$17="Type 5",0))))))))))))</f>
        <v>2707791.683</v>
      </c>
      <c r="Q220" s="175">
        <f t="shared" si="5"/>
        <v>1000000</v>
      </c>
      <c r="R220" s="119">
        <f>L220*(1+GROWTH_RATE)*FMC</f>
        <v>3050.641187</v>
      </c>
      <c r="S220" s="112"/>
      <c r="T220" s="175">
        <f>-E220+IF(A219=INPUT!$C$11*12,N220,0)</f>
        <v>0</v>
      </c>
      <c r="U220" s="112"/>
      <c r="V220" s="179">
        <f t="array" ref="V220">NPV('Pre-Calculation'!$E$20,$E221:E$246)</f>
        <v>0</v>
      </c>
      <c r="W220" s="171">
        <f>10%*SA</f>
        <v>100000</v>
      </c>
      <c r="X220" s="179">
        <f t="array" ref="X220">NPV('Pre-Calculation'!$E$20,W221:W230)</f>
        <v>969592.8037</v>
      </c>
      <c r="Y220" s="12"/>
      <c r="Z220" s="12"/>
    </row>
    <row r="221" ht="15.75" customHeight="1">
      <c r="A221" s="171">
        <f t="shared" si="1"/>
        <v>275</v>
      </c>
      <c r="B221" s="171">
        <f t="shared" si="2"/>
        <v>23</v>
      </c>
      <c r="C221" s="176">
        <f>EDATE(RCD,A220)</f>
        <v>50890</v>
      </c>
      <c r="D221" s="171">
        <f>Age_At_Entry+'Cashflows_Bond Fund'!B221-1</f>
        <v>57</v>
      </c>
      <c r="E221" s="175">
        <f>IF(AND(C221&lt;=Last_Prem,MOD(A220,Mode)=0,C221&gt;INPUT!$C$13,A221&lt;=Revival!$C$11),Mod_Prem,0)</f>
        <v>0</v>
      </c>
      <c r="F221" s="177">
        <f>E221*VLOOKUP(B221,'Pre-Calculation'!$H$1:$I$31,2,FALSE)</f>
        <v>0</v>
      </c>
      <c r="G221" s="177">
        <f>IF(B221&lt;PT+1,VLOOKUP(B221,'Pre-Calculation'!$H$1:$L$32,3,FALSE)+VLOOKUP(B221,'Pre-Calculation'!$H$1:$L$32,4,FALSE)*'Pre-Calculation'!$D$7,0)</f>
        <v>0</v>
      </c>
      <c r="H221" s="175">
        <f>(E221-(F221+G221)*(1+Tax)+N220)</f>
        <v>2707791.683</v>
      </c>
      <c r="I221" s="175">
        <f>IF(B221&lt;PT+1,VLOOKUP(D221,'Pre-Calculation'!$N$3:$P$79,IF(INPUT!$C$4="M",2,3),FALSE)*(J221/1000)*(1/12),0)</f>
        <v>0</v>
      </c>
      <c r="J221" s="175">
        <f t="shared" si="3"/>
        <v>0</v>
      </c>
      <c r="K221" s="175">
        <f>(IF('Pre-Calculation'!$D$17="Type 4 a",MAX(SA,H221,1.05*Q221),IF('Pre-Calculation'!$D$17="Type 4 c",H221,IF('Pre-Calculation'!$D$17="Type 4 d",SA+H221,IF('Pre-Calculation'!$D$17="Type 4 e",MAX(SA,H221),IF('Pre-Calculation'!$D$17="Type 4 f",SA,IF('Pre-Calculation'!$D$17="Type 4 g",1000+H221,IF('Pre-Calculation'!$D$17="Type 4 h",SA+V221,IF('Pre-Calculation'!$D$17="Type 4 i",MAX(H221,Q221),IF('Pre-Calculation'!$D$17="Type 4 k",MAX(H221,1.01*Q221),IF('Pre-Calculation'!$D$17="Type 4 m",MAX(105%*Q221,SA+H221),IF('Pre-Calculation'!$D$17="Type 4 o",MAX(SA,105%*Q221)+V221+X221,IF('Pre-Calculation'!$D$17="Type 5",0)))))))))))))*IF(AND(A221&lt;Revival!$C$4,C221&gt;=Revival!$D$12),PUP,1)</f>
        <v>2707791.683</v>
      </c>
      <c r="L221" s="175">
        <f>H221-I221*(1+Tax)</f>
        <v>2707791.683</v>
      </c>
      <c r="M221" s="175">
        <f>L221*(1+'Pre-Calculation'!$E$28)*(1-'Pre-Calculation'!$E$29*(1+Tax))</f>
        <v>2719825.025</v>
      </c>
      <c r="N221" s="175">
        <f>M221+IF(MOD(A221,B221)=0,VLOOKUP(B221,'Pre-Calculation'!$H$1:$L$31,5,FALSE),0)*IF('Pre-Calculation'!$D$16="% OF FV",M221,IF(OR('Pre-Calculation'!$D$16="% OF AFV(24M)",'Pre-Calculation'!$D$16="% OF AFV(8Q)"),AVERAGE( $M198:$M221),IF('Pre-Calculation'!$D$16="% OF AFV(12M)",AVERAGE($M210:M221),IF('Pre-Calculation'!$D$16="% OF AFV(36M)",AVERAGE($M186:M221)))))</f>
        <v>2719825.025</v>
      </c>
      <c r="O221" s="175">
        <f t="shared" si="4"/>
        <v>2719825.025</v>
      </c>
      <c r="P221" s="175">
        <f>IF('Pre-Calculation'!$D$17="Type 4 a",MAX(SA,N221,1.05*Q221),IF('Pre-Calculation'!$D$17="Type 4 c",N221,IF('Pre-Calculation'!$D$17="Type 4 d",SA+N221,IF('Pre-Calculation'!$D$17="Type 4 e",MAX(SA,N221),IF('Pre-Calculation'!$D$17="Type 4 f",SA,IF('Pre-Calculation'!$D$17="Type 4 g",1000+N221,IF('Pre-Calculation'!$D$17="Type 4 h",SA+V221,IF('Pre-Calculation'!$D$17="Type 4 i",MAX(N221,Q221),IF('Pre-Calculation'!$D$17="Type 4 k",MAX(N221,1.01*Q221),IF('Pre-Calculation'!$D$17="Type 4 m",MAX(105%*Q221,SA+N221),IF('Pre-Calculation'!$D$17="Type 4 o",MAX(SA,105%*Q221)+V221+X221,IF('Pre-Calculation'!$D$17="Type 5",0))))))))))))</f>
        <v>2719825.025</v>
      </c>
      <c r="Q221" s="175">
        <f t="shared" si="5"/>
        <v>1000000</v>
      </c>
      <c r="R221" s="119">
        <f>L221*(1+GROWTH_RATE)*FMC</f>
        <v>3064.198141</v>
      </c>
      <c r="S221" s="112"/>
      <c r="T221" s="175">
        <f>-E221+IF(A220=INPUT!$C$11*12,N221,0)</f>
        <v>0</v>
      </c>
      <c r="U221" s="112"/>
      <c r="V221" s="179">
        <f t="array" ref="V221">NPV('Pre-Calculation'!$E$20,$E222:E$246)</f>
        <v>0</v>
      </c>
      <c r="W221" s="171">
        <f>10%*SA</f>
        <v>100000</v>
      </c>
      <c r="X221" s="179">
        <f t="array" ref="X221">NPV('Pre-Calculation'!$E$20,W222:W231)</f>
        <v>969592.8037</v>
      </c>
      <c r="Y221" s="12"/>
      <c r="Z221" s="12"/>
    </row>
    <row r="222" ht="15.75" customHeight="1">
      <c r="A222" s="171">
        <f t="shared" si="1"/>
        <v>276</v>
      </c>
      <c r="B222" s="171">
        <f t="shared" si="2"/>
        <v>23</v>
      </c>
      <c r="C222" s="176">
        <f>EDATE(RCD,A221)</f>
        <v>50920</v>
      </c>
      <c r="D222" s="171">
        <f>Age_At_Entry+'Cashflows_Bond Fund'!B222-1</f>
        <v>57</v>
      </c>
      <c r="E222" s="175">
        <f>IF(AND(C222&lt;=Last_Prem,MOD(A221,Mode)=0,C222&gt;INPUT!$C$13,A222&lt;=Revival!$C$11),Mod_Prem,0)</f>
        <v>0</v>
      </c>
      <c r="F222" s="177">
        <f>E222*VLOOKUP(B222,'Pre-Calculation'!$H$1:$I$31,2,FALSE)</f>
        <v>0</v>
      </c>
      <c r="G222" s="177">
        <f>IF(B222&lt;PT+1,VLOOKUP(B222,'Pre-Calculation'!$H$1:$L$32,3,FALSE)+VLOOKUP(B222,'Pre-Calculation'!$H$1:$L$32,4,FALSE)*'Pre-Calculation'!$D$7,0)</f>
        <v>0</v>
      </c>
      <c r="H222" s="175">
        <f>(E222-(F222+G222)*(1+Tax)+N221)</f>
        <v>2719825.025</v>
      </c>
      <c r="I222" s="175">
        <f>IF(B222&lt;PT+1,VLOOKUP(D222,'Pre-Calculation'!$N$3:$P$79,IF(INPUT!$C$4="M",2,3),FALSE)*(J222/1000)*(1/12),0)</f>
        <v>0</v>
      </c>
      <c r="J222" s="175">
        <f t="shared" si="3"/>
        <v>0</v>
      </c>
      <c r="K222" s="175">
        <f>(IF('Pre-Calculation'!$D$17="Type 4 a",MAX(SA,H222,1.05*Q222),IF('Pre-Calculation'!$D$17="Type 4 c",H222,IF('Pre-Calculation'!$D$17="Type 4 d",SA+H222,IF('Pre-Calculation'!$D$17="Type 4 e",MAX(SA,H222),IF('Pre-Calculation'!$D$17="Type 4 f",SA,IF('Pre-Calculation'!$D$17="Type 4 g",1000+H222,IF('Pre-Calculation'!$D$17="Type 4 h",SA+V222,IF('Pre-Calculation'!$D$17="Type 4 i",MAX(H222,Q222),IF('Pre-Calculation'!$D$17="Type 4 k",MAX(H222,1.01*Q222),IF('Pre-Calculation'!$D$17="Type 4 m",MAX(105%*Q222,SA+H222),IF('Pre-Calculation'!$D$17="Type 4 o",MAX(SA,105%*Q222)+V222+X222,IF('Pre-Calculation'!$D$17="Type 5",0)))))))))))))*IF(AND(A222&lt;Revival!$C$4,C222&gt;=Revival!$D$12),PUP,1)</f>
        <v>2719825.025</v>
      </c>
      <c r="L222" s="175">
        <f>H222-I222*(1+Tax)</f>
        <v>2719825.025</v>
      </c>
      <c r="M222" s="175">
        <f>L222*(1+'Pre-Calculation'!$E$28)*(1-'Pre-Calculation'!$E$29*(1+Tax))</f>
        <v>2731911.842</v>
      </c>
      <c r="N222" s="175">
        <f>M222+IF(MOD(A222,B222)=0,VLOOKUP(B222,'Pre-Calculation'!$H$1:$L$31,5,FALSE),0)*IF('Pre-Calculation'!$D$16="% OF FV",M222,IF(OR('Pre-Calculation'!$D$16="% OF AFV(24M)",'Pre-Calculation'!$D$16="% OF AFV(8Q)"),AVERAGE( $M199:$M222),IF('Pre-Calculation'!$D$16="% OF AFV(12M)",AVERAGE($M211:M222),IF('Pre-Calculation'!$D$16="% OF AFV(36M)",AVERAGE($M187:M222)))))</f>
        <v>2731911.842</v>
      </c>
      <c r="O222" s="175">
        <f t="shared" si="4"/>
        <v>2731911.842</v>
      </c>
      <c r="P222" s="175">
        <f>IF('Pre-Calculation'!$D$17="Type 4 a",MAX(SA,N222,1.05*Q222),IF('Pre-Calculation'!$D$17="Type 4 c",N222,IF('Pre-Calculation'!$D$17="Type 4 d",SA+N222,IF('Pre-Calculation'!$D$17="Type 4 e",MAX(SA,N222),IF('Pre-Calculation'!$D$17="Type 4 f",SA,IF('Pre-Calculation'!$D$17="Type 4 g",1000+N222,IF('Pre-Calculation'!$D$17="Type 4 h",SA+V222,IF('Pre-Calculation'!$D$17="Type 4 i",MAX(N222,Q222),IF('Pre-Calculation'!$D$17="Type 4 k",MAX(N222,1.01*Q222),IF('Pre-Calculation'!$D$17="Type 4 m",MAX(105%*Q222,SA+N222),IF('Pre-Calculation'!$D$17="Type 4 o",MAX(SA,105%*Q222)+V222+X222,IF('Pre-Calculation'!$D$17="Type 5",0))))))))))))</f>
        <v>2731911.842</v>
      </c>
      <c r="Q222" s="175">
        <f t="shared" si="5"/>
        <v>1000000</v>
      </c>
      <c r="R222" s="119">
        <f>L222*(1+GROWTH_RATE)*FMC</f>
        <v>3077.815342</v>
      </c>
      <c r="S222" s="112"/>
      <c r="T222" s="175">
        <f>-E222+IF(A221=INPUT!$C$11*12,N222,0)</f>
        <v>0</v>
      </c>
      <c r="U222" s="112"/>
      <c r="V222" s="179">
        <f t="array" ref="V222">NPV('Pre-Calculation'!$E$20,$E223:E$246)</f>
        <v>0</v>
      </c>
      <c r="W222" s="171">
        <f>10%*SA</f>
        <v>100000</v>
      </c>
      <c r="X222" s="179">
        <f t="array" ref="X222">NPV('Pre-Calculation'!$E$20,W223:W232)</f>
        <v>969592.8037</v>
      </c>
      <c r="Y222" s="12"/>
      <c r="Z222" s="12"/>
    </row>
    <row r="223" ht="15.75" customHeight="1">
      <c r="A223" s="171">
        <f t="shared" si="1"/>
        <v>277</v>
      </c>
      <c r="B223" s="171">
        <f t="shared" si="2"/>
        <v>24</v>
      </c>
      <c r="C223" s="176">
        <f>EDATE(RCD,A222)</f>
        <v>50951</v>
      </c>
      <c r="D223" s="171">
        <f>Age_At_Entry+'Cashflows_Bond Fund'!B223-1</f>
        <v>58</v>
      </c>
      <c r="E223" s="175">
        <f>IF(AND(C223&lt;=Last_Prem,MOD(A222,Mode)=0,C223&gt;INPUT!$C$13,A223&lt;=Revival!$C$11),Mod_Prem,0)</f>
        <v>0</v>
      </c>
      <c r="F223" s="177">
        <f>E223*VLOOKUP(B223,'Pre-Calculation'!$H$1:$I$31,2,FALSE)</f>
        <v>0</v>
      </c>
      <c r="G223" s="177">
        <f>IF(B223&lt;PT+1,VLOOKUP(B223,'Pre-Calculation'!$H$1:$L$32,3,FALSE)+VLOOKUP(B223,'Pre-Calculation'!$H$1:$L$32,4,FALSE)*'Pre-Calculation'!$D$7,0)</f>
        <v>0</v>
      </c>
      <c r="H223" s="175">
        <f>(E223-(F223+G223)*(1+Tax)+N222)</f>
        <v>2731911.842</v>
      </c>
      <c r="I223" s="175">
        <f>IF(B223&lt;PT+1,VLOOKUP(D223,'Pre-Calculation'!$N$3:$P$79,IF(INPUT!$C$4="M",2,3),FALSE)*(J223/1000)*(1/12),0)</f>
        <v>0</v>
      </c>
      <c r="J223" s="175">
        <f t="shared" si="3"/>
        <v>0</v>
      </c>
      <c r="K223" s="175">
        <f>(IF('Pre-Calculation'!$D$17="Type 4 a",MAX(SA,H223,1.05*Q223),IF('Pre-Calculation'!$D$17="Type 4 c",H223,IF('Pre-Calculation'!$D$17="Type 4 d",SA+H223,IF('Pre-Calculation'!$D$17="Type 4 e",MAX(SA,H223),IF('Pre-Calculation'!$D$17="Type 4 f",SA,IF('Pre-Calculation'!$D$17="Type 4 g",1000+H223,IF('Pre-Calculation'!$D$17="Type 4 h",SA+V223,IF('Pre-Calculation'!$D$17="Type 4 i",MAX(H223,Q223),IF('Pre-Calculation'!$D$17="Type 4 k",MAX(H223,1.01*Q223),IF('Pre-Calculation'!$D$17="Type 4 m",MAX(105%*Q223,SA+H223),IF('Pre-Calculation'!$D$17="Type 4 o",MAX(SA,105%*Q223)+V223+X223,IF('Pre-Calculation'!$D$17="Type 5",0)))))))))))))*IF(AND(A223&lt;Revival!$C$4,C223&gt;=Revival!$D$12),PUP,1)</f>
        <v>2731911.842</v>
      </c>
      <c r="L223" s="175">
        <f>H223-I223*(1+Tax)</f>
        <v>2731911.842</v>
      </c>
      <c r="M223" s="175">
        <f>L223*(1+'Pre-Calculation'!$E$28)*(1-'Pre-Calculation'!$E$29*(1+Tax))</f>
        <v>2744052.373</v>
      </c>
      <c r="N223" s="175">
        <f>M223+IF(MOD(A223,B223)=0,VLOOKUP(B223,'Pre-Calculation'!$H$1:$L$31,5,FALSE),0)*IF('Pre-Calculation'!$D$16="% OF FV",M223,IF(OR('Pre-Calculation'!$D$16="% OF AFV(24M)",'Pre-Calculation'!$D$16="% OF AFV(8Q)"),AVERAGE( $M200:$M223),IF('Pre-Calculation'!$D$16="% OF AFV(12M)",AVERAGE($M212:M223),IF('Pre-Calculation'!$D$16="% OF AFV(36M)",AVERAGE($M188:M223)))))</f>
        <v>2744052.373</v>
      </c>
      <c r="O223" s="175">
        <f t="shared" si="4"/>
        <v>2744052.373</v>
      </c>
      <c r="P223" s="175">
        <f>IF('Pre-Calculation'!$D$17="Type 4 a",MAX(SA,N223,1.05*Q223),IF('Pre-Calculation'!$D$17="Type 4 c",N223,IF('Pre-Calculation'!$D$17="Type 4 d",SA+N223,IF('Pre-Calculation'!$D$17="Type 4 e",MAX(SA,N223),IF('Pre-Calculation'!$D$17="Type 4 f",SA,IF('Pre-Calculation'!$D$17="Type 4 g",1000+N223,IF('Pre-Calculation'!$D$17="Type 4 h",SA+V223,IF('Pre-Calculation'!$D$17="Type 4 i",MAX(N223,Q223),IF('Pre-Calculation'!$D$17="Type 4 k",MAX(N223,1.01*Q223),IF('Pre-Calculation'!$D$17="Type 4 m",MAX(105%*Q223,SA+N223),IF('Pre-Calculation'!$D$17="Type 4 o",MAX(SA,105%*Q223)+V223+X223,IF('Pre-Calculation'!$D$17="Type 5",0))))))))))))</f>
        <v>2744052.373</v>
      </c>
      <c r="Q223" s="175">
        <f t="shared" si="5"/>
        <v>1000000</v>
      </c>
      <c r="R223" s="119">
        <f>L223*(1+GROWTH_RATE)*FMC</f>
        <v>3091.493057</v>
      </c>
      <c r="S223" s="112"/>
      <c r="T223" s="175">
        <f>-E223+IF(A222=INPUT!$C$11*12,N223,0)</f>
        <v>0</v>
      </c>
      <c r="U223" s="112"/>
      <c r="V223" s="179">
        <f t="array" ref="V223">NPV('Pre-Calculation'!$E$20,$E224:E$246)</f>
        <v>0</v>
      </c>
      <c r="W223" s="171">
        <f>10%*SA</f>
        <v>100000</v>
      </c>
      <c r="X223" s="179">
        <f t="array" ref="X223">NPV('Pre-Calculation'!$E$20,W224:W233)</f>
        <v>969592.8037</v>
      </c>
      <c r="Y223" s="12"/>
      <c r="Z223" s="12"/>
    </row>
    <row r="224" ht="15.75" customHeight="1">
      <c r="A224" s="171">
        <f t="shared" si="1"/>
        <v>278</v>
      </c>
      <c r="B224" s="171">
        <f t="shared" si="2"/>
        <v>24</v>
      </c>
      <c r="C224" s="176">
        <f>EDATE(RCD,A223)</f>
        <v>50981</v>
      </c>
      <c r="D224" s="171">
        <f>Age_At_Entry+'Cashflows_Bond Fund'!B224-1</f>
        <v>58</v>
      </c>
      <c r="E224" s="175">
        <f>IF(AND(C224&lt;=Last_Prem,MOD(A223,Mode)=0,C224&gt;INPUT!$C$13,A224&lt;=Revival!$C$11),Mod_Prem,0)</f>
        <v>0</v>
      </c>
      <c r="F224" s="177">
        <f>E224*VLOOKUP(B224,'Pre-Calculation'!$H$1:$I$31,2,FALSE)</f>
        <v>0</v>
      </c>
      <c r="G224" s="177">
        <f>IF(B224&lt;PT+1,VLOOKUP(B224,'Pre-Calculation'!$H$1:$L$32,3,FALSE)+VLOOKUP(B224,'Pre-Calculation'!$H$1:$L$32,4,FALSE)*'Pre-Calculation'!$D$7,0)</f>
        <v>0</v>
      </c>
      <c r="H224" s="175">
        <f>(E224-(F224+G224)*(1+Tax)+N223)</f>
        <v>2744052.373</v>
      </c>
      <c r="I224" s="175">
        <f>IF(B224&lt;PT+1,VLOOKUP(D224,'Pre-Calculation'!$N$3:$P$79,IF(INPUT!$C$4="M",2,3),FALSE)*(J224/1000)*(1/12),0)</f>
        <v>0</v>
      </c>
      <c r="J224" s="175">
        <f t="shared" si="3"/>
        <v>0</v>
      </c>
      <c r="K224" s="175">
        <f>(IF('Pre-Calculation'!$D$17="Type 4 a",MAX(SA,H224,1.05*Q224),IF('Pre-Calculation'!$D$17="Type 4 c",H224,IF('Pre-Calculation'!$D$17="Type 4 d",SA+H224,IF('Pre-Calculation'!$D$17="Type 4 e",MAX(SA,H224),IF('Pre-Calculation'!$D$17="Type 4 f",SA,IF('Pre-Calculation'!$D$17="Type 4 g",1000+H224,IF('Pre-Calculation'!$D$17="Type 4 h",SA+V224,IF('Pre-Calculation'!$D$17="Type 4 i",MAX(H224,Q224),IF('Pre-Calculation'!$D$17="Type 4 k",MAX(H224,1.01*Q224),IF('Pre-Calculation'!$D$17="Type 4 m",MAX(105%*Q224,SA+H224),IF('Pre-Calculation'!$D$17="Type 4 o",MAX(SA,105%*Q224)+V224+X224,IF('Pre-Calculation'!$D$17="Type 5",0)))))))))))))*IF(AND(A224&lt;Revival!$C$4,C224&gt;=Revival!$D$12),PUP,1)</f>
        <v>2744052.373</v>
      </c>
      <c r="L224" s="175">
        <f>H224-I224*(1+Tax)</f>
        <v>2744052.373</v>
      </c>
      <c r="M224" s="175">
        <f>L224*(1+'Pre-Calculation'!$E$28)*(1-'Pre-Calculation'!$E$29*(1+Tax))</f>
        <v>2756246.856</v>
      </c>
      <c r="N224" s="175">
        <f>M224+IF(MOD(A224,B224)=0,VLOOKUP(B224,'Pre-Calculation'!$H$1:$L$31,5,FALSE),0)*IF('Pre-Calculation'!$D$16="% OF FV",M224,IF(OR('Pre-Calculation'!$D$16="% OF AFV(24M)",'Pre-Calculation'!$D$16="% OF AFV(8Q)"),AVERAGE( $M201:$M224),IF('Pre-Calculation'!$D$16="% OF AFV(12M)",AVERAGE($M213:M224),IF('Pre-Calculation'!$D$16="% OF AFV(36M)",AVERAGE($M189:M224)))))</f>
        <v>2756246.856</v>
      </c>
      <c r="O224" s="175">
        <f t="shared" si="4"/>
        <v>2756246.856</v>
      </c>
      <c r="P224" s="175">
        <f>IF('Pre-Calculation'!$D$17="Type 4 a",MAX(SA,N224,1.05*Q224),IF('Pre-Calculation'!$D$17="Type 4 c",N224,IF('Pre-Calculation'!$D$17="Type 4 d",SA+N224,IF('Pre-Calculation'!$D$17="Type 4 e",MAX(SA,N224),IF('Pre-Calculation'!$D$17="Type 4 f",SA,IF('Pre-Calculation'!$D$17="Type 4 g",1000+N224,IF('Pre-Calculation'!$D$17="Type 4 h",SA+V224,IF('Pre-Calculation'!$D$17="Type 4 i",MAX(N224,Q224),IF('Pre-Calculation'!$D$17="Type 4 k",MAX(N224,1.01*Q224),IF('Pre-Calculation'!$D$17="Type 4 m",MAX(105%*Q224,SA+N224),IF('Pre-Calculation'!$D$17="Type 4 o",MAX(SA,105%*Q224)+V224+X224,IF('Pre-Calculation'!$D$17="Type 5",0))))))))))))</f>
        <v>2756246.856</v>
      </c>
      <c r="Q224" s="175">
        <f t="shared" si="5"/>
        <v>1000000</v>
      </c>
      <c r="R224" s="119">
        <f>L224*(1+GROWTH_RATE)*FMC</f>
        <v>3105.231555</v>
      </c>
      <c r="S224" s="112"/>
      <c r="T224" s="175">
        <f>-E224+IF(A223=INPUT!$C$11*12,N224,0)</f>
        <v>0</v>
      </c>
      <c r="U224" s="112"/>
      <c r="V224" s="179">
        <f t="array" ref="V224">NPV('Pre-Calculation'!$E$20,$E225:E$246)</f>
        <v>0</v>
      </c>
      <c r="W224" s="171">
        <f>10%*SA</f>
        <v>100000</v>
      </c>
      <c r="X224" s="179">
        <f t="array" ref="X224">NPV('Pre-Calculation'!$E$20,W225:W234)</f>
        <v>969592.8037</v>
      </c>
      <c r="Y224" s="12"/>
      <c r="Z224" s="12"/>
    </row>
    <row r="225" ht="15.75" customHeight="1">
      <c r="A225" s="171">
        <f t="shared" si="1"/>
        <v>279</v>
      </c>
      <c r="B225" s="171">
        <f t="shared" si="2"/>
        <v>24</v>
      </c>
      <c r="C225" s="176">
        <f>EDATE(RCD,A224)</f>
        <v>51012</v>
      </c>
      <c r="D225" s="171">
        <f>Age_At_Entry+'Cashflows_Bond Fund'!B225-1</f>
        <v>58</v>
      </c>
      <c r="E225" s="175">
        <f>IF(AND(C225&lt;=Last_Prem,MOD(A224,Mode)=0,C225&gt;INPUT!$C$13,A225&lt;=Revival!$C$11),Mod_Prem,0)</f>
        <v>0</v>
      </c>
      <c r="F225" s="177">
        <f>E225*VLOOKUP(B225,'Pre-Calculation'!$H$1:$I$31,2,FALSE)</f>
        <v>0</v>
      </c>
      <c r="G225" s="177">
        <f>IF(B225&lt;PT+1,VLOOKUP(B225,'Pre-Calculation'!$H$1:$L$32,3,FALSE)+VLOOKUP(B225,'Pre-Calculation'!$H$1:$L$32,4,FALSE)*'Pre-Calculation'!$D$7,0)</f>
        <v>0</v>
      </c>
      <c r="H225" s="175">
        <f>(E225-(F225+G225)*(1+Tax)+N224)</f>
        <v>2756246.856</v>
      </c>
      <c r="I225" s="175">
        <f>IF(B225&lt;PT+1,VLOOKUP(D225,'Pre-Calculation'!$N$3:$P$79,IF(INPUT!$C$4="M",2,3),FALSE)*(J225/1000)*(1/12),0)</f>
        <v>0</v>
      </c>
      <c r="J225" s="175">
        <f t="shared" si="3"/>
        <v>0</v>
      </c>
      <c r="K225" s="175">
        <f>(IF('Pre-Calculation'!$D$17="Type 4 a",MAX(SA,H225,1.05*Q225),IF('Pre-Calculation'!$D$17="Type 4 c",H225,IF('Pre-Calculation'!$D$17="Type 4 d",SA+H225,IF('Pre-Calculation'!$D$17="Type 4 e",MAX(SA,H225),IF('Pre-Calculation'!$D$17="Type 4 f",SA,IF('Pre-Calculation'!$D$17="Type 4 g",1000+H225,IF('Pre-Calculation'!$D$17="Type 4 h",SA+V225,IF('Pre-Calculation'!$D$17="Type 4 i",MAX(H225,Q225),IF('Pre-Calculation'!$D$17="Type 4 k",MAX(H225,1.01*Q225),IF('Pre-Calculation'!$D$17="Type 4 m",MAX(105%*Q225,SA+H225),IF('Pre-Calculation'!$D$17="Type 4 o",MAX(SA,105%*Q225)+V225+X225,IF('Pre-Calculation'!$D$17="Type 5",0)))))))))))))*IF(AND(A225&lt;Revival!$C$4,C225&gt;=Revival!$D$12),PUP,1)</f>
        <v>2756246.856</v>
      </c>
      <c r="L225" s="175">
        <f>H225-I225*(1+Tax)</f>
        <v>2756246.856</v>
      </c>
      <c r="M225" s="175">
        <f>L225*(1+'Pre-Calculation'!$E$28)*(1-'Pre-Calculation'!$E$29*(1+Tax))</f>
        <v>2768495.531</v>
      </c>
      <c r="N225" s="175">
        <f>M225+IF(MOD(A225,B225)=0,VLOOKUP(B225,'Pre-Calculation'!$H$1:$L$31,5,FALSE),0)*IF('Pre-Calculation'!$D$16="% OF FV",M225,IF(OR('Pre-Calculation'!$D$16="% OF AFV(24M)",'Pre-Calculation'!$D$16="% OF AFV(8Q)"),AVERAGE( $M202:$M225),IF('Pre-Calculation'!$D$16="% OF AFV(12M)",AVERAGE($M214:M225),IF('Pre-Calculation'!$D$16="% OF AFV(36M)",AVERAGE($M190:M225)))))</f>
        <v>2768495.531</v>
      </c>
      <c r="O225" s="175">
        <f t="shared" si="4"/>
        <v>2768495.531</v>
      </c>
      <c r="P225" s="175">
        <f>IF('Pre-Calculation'!$D$17="Type 4 a",MAX(SA,N225,1.05*Q225),IF('Pre-Calculation'!$D$17="Type 4 c",N225,IF('Pre-Calculation'!$D$17="Type 4 d",SA+N225,IF('Pre-Calculation'!$D$17="Type 4 e",MAX(SA,N225),IF('Pre-Calculation'!$D$17="Type 4 f",SA,IF('Pre-Calculation'!$D$17="Type 4 g",1000+N225,IF('Pre-Calculation'!$D$17="Type 4 h",SA+V225,IF('Pre-Calculation'!$D$17="Type 4 i",MAX(N225,Q225),IF('Pre-Calculation'!$D$17="Type 4 k",MAX(N225,1.01*Q225),IF('Pre-Calculation'!$D$17="Type 4 m",MAX(105%*Q225,SA+N225),IF('Pre-Calculation'!$D$17="Type 4 o",MAX(SA,105%*Q225)+V225+X225,IF('Pre-Calculation'!$D$17="Type 5",0))))))))))))</f>
        <v>2768495.531</v>
      </c>
      <c r="Q225" s="175">
        <f t="shared" si="5"/>
        <v>1000000</v>
      </c>
      <c r="R225" s="119">
        <f>L225*(1+GROWTH_RATE)*FMC</f>
        <v>3119.031107</v>
      </c>
      <c r="S225" s="112"/>
      <c r="T225" s="175">
        <f>-E225+IF(A224=INPUT!$C$11*12,N225,0)</f>
        <v>0</v>
      </c>
      <c r="U225" s="112"/>
      <c r="V225" s="179">
        <f t="array" ref="V225">NPV('Pre-Calculation'!$E$20,$E226:E$246)</f>
        <v>0</v>
      </c>
      <c r="W225" s="171">
        <f>10%*SA</f>
        <v>100000</v>
      </c>
      <c r="X225" s="179">
        <f t="array" ref="X225">NPV('Pre-Calculation'!$E$20,W226:W235)</f>
        <v>969592.8037</v>
      </c>
      <c r="Y225" s="12"/>
      <c r="Z225" s="12"/>
    </row>
    <row r="226" ht="15.75" customHeight="1">
      <c r="A226" s="171">
        <f t="shared" si="1"/>
        <v>280</v>
      </c>
      <c r="B226" s="171">
        <f t="shared" si="2"/>
        <v>24</v>
      </c>
      <c r="C226" s="176">
        <f>EDATE(RCD,A225)</f>
        <v>51043</v>
      </c>
      <c r="D226" s="171">
        <f>Age_At_Entry+'Cashflows_Bond Fund'!B226-1</f>
        <v>58</v>
      </c>
      <c r="E226" s="175">
        <f>IF(AND(C226&lt;=Last_Prem,MOD(A225,Mode)=0,C226&gt;INPUT!$C$13,A226&lt;=Revival!$C$11),Mod_Prem,0)</f>
        <v>0</v>
      </c>
      <c r="F226" s="177">
        <f>E226*VLOOKUP(B226,'Pre-Calculation'!$H$1:$I$31,2,FALSE)</f>
        <v>0</v>
      </c>
      <c r="G226" s="177">
        <f>IF(B226&lt;PT+1,VLOOKUP(B226,'Pre-Calculation'!$H$1:$L$32,3,FALSE)+VLOOKUP(B226,'Pre-Calculation'!$H$1:$L$32,4,FALSE)*'Pre-Calculation'!$D$7,0)</f>
        <v>0</v>
      </c>
      <c r="H226" s="175">
        <f>(E226-(F226+G226)*(1+Tax)+N225)</f>
        <v>2768495.531</v>
      </c>
      <c r="I226" s="175">
        <f>IF(B226&lt;PT+1,VLOOKUP(D226,'Pre-Calculation'!$N$3:$P$79,IF(INPUT!$C$4="M",2,3),FALSE)*(J226/1000)*(1/12),0)</f>
        <v>0</v>
      </c>
      <c r="J226" s="175">
        <f t="shared" si="3"/>
        <v>0</v>
      </c>
      <c r="K226" s="175">
        <f>(IF('Pre-Calculation'!$D$17="Type 4 a",MAX(SA,H226,1.05*Q226),IF('Pre-Calculation'!$D$17="Type 4 c",H226,IF('Pre-Calculation'!$D$17="Type 4 d",SA+H226,IF('Pre-Calculation'!$D$17="Type 4 e",MAX(SA,H226),IF('Pre-Calculation'!$D$17="Type 4 f",SA,IF('Pre-Calculation'!$D$17="Type 4 g",1000+H226,IF('Pre-Calculation'!$D$17="Type 4 h",SA+V226,IF('Pre-Calculation'!$D$17="Type 4 i",MAX(H226,Q226),IF('Pre-Calculation'!$D$17="Type 4 k",MAX(H226,1.01*Q226),IF('Pre-Calculation'!$D$17="Type 4 m",MAX(105%*Q226,SA+H226),IF('Pre-Calculation'!$D$17="Type 4 o",MAX(SA,105%*Q226)+V226+X226,IF('Pre-Calculation'!$D$17="Type 5",0)))))))))))))*IF(AND(A226&lt;Revival!$C$4,C226&gt;=Revival!$D$12),PUP,1)</f>
        <v>2768495.531</v>
      </c>
      <c r="L226" s="175">
        <f>H226-I226*(1+Tax)</f>
        <v>2768495.531</v>
      </c>
      <c r="M226" s="175">
        <f>L226*(1+'Pre-Calculation'!$E$28)*(1-'Pre-Calculation'!$E$29*(1+Tax))</f>
        <v>2780798.638</v>
      </c>
      <c r="N226" s="175">
        <f>M226+IF(MOD(A226,B226)=0,VLOOKUP(B226,'Pre-Calculation'!$H$1:$L$31,5,FALSE),0)*IF('Pre-Calculation'!$D$16="% OF FV",M226,IF(OR('Pre-Calculation'!$D$16="% OF AFV(24M)",'Pre-Calculation'!$D$16="% OF AFV(8Q)"),AVERAGE( $M203:$M226),IF('Pre-Calculation'!$D$16="% OF AFV(12M)",AVERAGE($M215:M226),IF('Pre-Calculation'!$D$16="% OF AFV(36M)",AVERAGE($M191:M226)))))</f>
        <v>2780798.638</v>
      </c>
      <c r="O226" s="175">
        <f t="shared" si="4"/>
        <v>2780798.638</v>
      </c>
      <c r="P226" s="175">
        <f>IF('Pre-Calculation'!$D$17="Type 4 a",MAX(SA,N226,1.05*Q226),IF('Pre-Calculation'!$D$17="Type 4 c",N226,IF('Pre-Calculation'!$D$17="Type 4 d",SA+N226,IF('Pre-Calculation'!$D$17="Type 4 e",MAX(SA,N226),IF('Pre-Calculation'!$D$17="Type 4 f",SA,IF('Pre-Calculation'!$D$17="Type 4 g",1000+N226,IF('Pre-Calculation'!$D$17="Type 4 h",SA+V226,IF('Pre-Calculation'!$D$17="Type 4 i",MAX(N226,Q226),IF('Pre-Calculation'!$D$17="Type 4 k",MAX(N226,1.01*Q226),IF('Pre-Calculation'!$D$17="Type 4 m",MAX(105%*Q226,SA+N226),IF('Pre-Calculation'!$D$17="Type 4 o",MAX(SA,105%*Q226)+V226+X226,IF('Pre-Calculation'!$D$17="Type 5",0))))))))))))</f>
        <v>2780798.638</v>
      </c>
      <c r="Q226" s="175">
        <f t="shared" si="5"/>
        <v>1000000</v>
      </c>
      <c r="R226" s="119">
        <f>L226*(1+GROWTH_RATE)*FMC</f>
        <v>3132.891984</v>
      </c>
      <c r="S226" s="112"/>
      <c r="T226" s="175">
        <f>-E226+IF(A225=INPUT!$C$11*12,N226,0)</f>
        <v>0</v>
      </c>
      <c r="U226" s="112"/>
      <c r="V226" s="179">
        <f t="array" ref="V226">NPV('Pre-Calculation'!$E$20,$E227:E$246)</f>
        <v>0</v>
      </c>
      <c r="W226" s="171">
        <f>10%*SA</f>
        <v>100000</v>
      </c>
      <c r="X226" s="179">
        <f t="array" ref="X226">NPV('Pre-Calculation'!$E$20,W227:W236)</f>
        <v>969592.8037</v>
      </c>
      <c r="Y226" s="12"/>
      <c r="Z226" s="12"/>
    </row>
    <row r="227" ht="15.75" customHeight="1">
      <c r="A227" s="171">
        <f t="shared" si="1"/>
        <v>281</v>
      </c>
      <c r="B227" s="171">
        <f t="shared" si="2"/>
        <v>24</v>
      </c>
      <c r="C227" s="176">
        <f>EDATE(RCD,A226)</f>
        <v>51073</v>
      </c>
      <c r="D227" s="171">
        <f>Age_At_Entry+'Cashflows_Bond Fund'!B227-1</f>
        <v>58</v>
      </c>
      <c r="E227" s="175">
        <f>IF(AND(C227&lt;=Last_Prem,MOD(A226,Mode)=0,C227&gt;INPUT!$C$13,A227&lt;=Revival!$C$11),Mod_Prem,0)</f>
        <v>0</v>
      </c>
      <c r="F227" s="177">
        <f>E227*VLOOKUP(B227,'Pre-Calculation'!$H$1:$I$31,2,FALSE)</f>
        <v>0</v>
      </c>
      <c r="G227" s="177">
        <f>IF(B227&lt;PT+1,VLOOKUP(B227,'Pre-Calculation'!$H$1:$L$32,3,FALSE)+VLOOKUP(B227,'Pre-Calculation'!$H$1:$L$32,4,FALSE)*'Pre-Calculation'!$D$7,0)</f>
        <v>0</v>
      </c>
      <c r="H227" s="175">
        <f>(E227-(F227+G227)*(1+Tax)+N226)</f>
        <v>2780798.638</v>
      </c>
      <c r="I227" s="175">
        <f>IF(B227&lt;PT+1,VLOOKUP(D227,'Pre-Calculation'!$N$3:$P$79,IF(INPUT!$C$4="M",2,3),FALSE)*(J227/1000)*(1/12),0)</f>
        <v>0</v>
      </c>
      <c r="J227" s="175">
        <f t="shared" si="3"/>
        <v>0</v>
      </c>
      <c r="K227" s="175">
        <f>(IF('Pre-Calculation'!$D$17="Type 4 a",MAX(SA,H227,1.05*Q227),IF('Pre-Calculation'!$D$17="Type 4 c",H227,IF('Pre-Calculation'!$D$17="Type 4 d",SA+H227,IF('Pre-Calculation'!$D$17="Type 4 e",MAX(SA,H227),IF('Pre-Calculation'!$D$17="Type 4 f",SA,IF('Pre-Calculation'!$D$17="Type 4 g",1000+H227,IF('Pre-Calculation'!$D$17="Type 4 h",SA+V227,IF('Pre-Calculation'!$D$17="Type 4 i",MAX(H227,Q227),IF('Pre-Calculation'!$D$17="Type 4 k",MAX(H227,1.01*Q227),IF('Pre-Calculation'!$D$17="Type 4 m",MAX(105%*Q227,SA+H227),IF('Pre-Calculation'!$D$17="Type 4 o",MAX(SA,105%*Q227)+V227+X227,IF('Pre-Calculation'!$D$17="Type 5",0)))))))))))))*IF(AND(A227&lt;Revival!$C$4,C227&gt;=Revival!$D$12),PUP,1)</f>
        <v>2780798.638</v>
      </c>
      <c r="L227" s="175">
        <f>H227-I227*(1+Tax)</f>
        <v>2780798.638</v>
      </c>
      <c r="M227" s="175">
        <f>L227*(1+'Pre-Calculation'!$E$28)*(1-'Pre-Calculation'!$E$29*(1+Tax))</f>
        <v>2793156.421</v>
      </c>
      <c r="N227" s="175">
        <f>M227+IF(MOD(A227,B227)=0,VLOOKUP(B227,'Pre-Calculation'!$H$1:$L$31,5,FALSE),0)*IF('Pre-Calculation'!$D$16="% OF FV",M227,IF(OR('Pre-Calculation'!$D$16="% OF AFV(24M)",'Pre-Calculation'!$D$16="% OF AFV(8Q)"),AVERAGE( $M204:$M227),IF('Pre-Calculation'!$D$16="% OF AFV(12M)",AVERAGE($M216:M227),IF('Pre-Calculation'!$D$16="% OF AFV(36M)",AVERAGE($M192:M227)))))</f>
        <v>2793156.421</v>
      </c>
      <c r="O227" s="175">
        <f t="shared" si="4"/>
        <v>2793156.421</v>
      </c>
      <c r="P227" s="175">
        <f>IF('Pre-Calculation'!$D$17="Type 4 a",MAX(SA,N227,1.05*Q227),IF('Pre-Calculation'!$D$17="Type 4 c",N227,IF('Pre-Calculation'!$D$17="Type 4 d",SA+N227,IF('Pre-Calculation'!$D$17="Type 4 e",MAX(SA,N227),IF('Pre-Calculation'!$D$17="Type 4 f",SA,IF('Pre-Calculation'!$D$17="Type 4 g",1000+N227,IF('Pre-Calculation'!$D$17="Type 4 h",SA+V227,IF('Pre-Calculation'!$D$17="Type 4 i",MAX(N227,Q227),IF('Pre-Calculation'!$D$17="Type 4 k",MAX(N227,1.01*Q227),IF('Pre-Calculation'!$D$17="Type 4 m",MAX(105%*Q227,SA+N227),IF('Pre-Calculation'!$D$17="Type 4 o",MAX(SA,105%*Q227)+V227+X227,IF('Pre-Calculation'!$D$17="Type 5",0))))))))))))</f>
        <v>2793156.421</v>
      </c>
      <c r="Q227" s="175">
        <f t="shared" si="5"/>
        <v>1000000</v>
      </c>
      <c r="R227" s="119">
        <f>L227*(1+GROWTH_RATE)*FMC</f>
        <v>3146.814458</v>
      </c>
      <c r="S227" s="112"/>
      <c r="T227" s="175">
        <f>-E227+IF(A226=INPUT!$C$11*12,N227,0)</f>
        <v>0</v>
      </c>
      <c r="U227" s="112"/>
      <c r="V227" s="179">
        <f t="array" ref="V227">NPV('Pre-Calculation'!$E$20,$E228:E$246)</f>
        <v>0</v>
      </c>
      <c r="W227" s="171">
        <f>10%*SA</f>
        <v>100000</v>
      </c>
      <c r="X227" s="179">
        <f t="array" ref="X227">NPV('Pre-Calculation'!$E$20,W228:W237)</f>
        <v>969592.8037</v>
      </c>
      <c r="Y227" s="12"/>
      <c r="Z227" s="12"/>
    </row>
    <row r="228" ht="15.75" customHeight="1">
      <c r="A228" s="171">
        <f t="shared" si="1"/>
        <v>282</v>
      </c>
      <c r="B228" s="171">
        <f t="shared" si="2"/>
        <v>24</v>
      </c>
      <c r="C228" s="176">
        <f>EDATE(RCD,A227)</f>
        <v>51104</v>
      </c>
      <c r="D228" s="171">
        <f>Age_At_Entry+'Cashflows_Bond Fund'!B228-1</f>
        <v>58</v>
      </c>
      <c r="E228" s="175">
        <f>IF(AND(C228&lt;=Last_Prem,MOD(A227,Mode)=0,C228&gt;INPUT!$C$13,A228&lt;=Revival!$C$11),Mod_Prem,0)</f>
        <v>0</v>
      </c>
      <c r="F228" s="177">
        <f>E228*VLOOKUP(B228,'Pre-Calculation'!$H$1:$I$31,2,FALSE)</f>
        <v>0</v>
      </c>
      <c r="G228" s="177">
        <f>IF(B228&lt;PT+1,VLOOKUP(B228,'Pre-Calculation'!$H$1:$L$32,3,FALSE)+VLOOKUP(B228,'Pre-Calculation'!$H$1:$L$32,4,FALSE)*'Pre-Calculation'!$D$7,0)</f>
        <v>0</v>
      </c>
      <c r="H228" s="175">
        <f>(E228-(F228+G228)*(1+Tax)+N227)</f>
        <v>2793156.421</v>
      </c>
      <c r="I228" s="175">
        <f>IF(B228&lt;PT+1,VLOOKUP(D228,'Pre-Calculation'!$N$3:$P$79,IF(INPUT!$C$4="M",2,3),FALSE)*(J228/1000)*(1/12),0)</f>
        <v>0</v>
      </c>
      <c r="J228" s="175">
        <f t="shared" si="3"/>
        <v>0</v>
      </c>
      <c r="K228" s="175">
        <f>(IF('Pre-Calculation'!$D$17="Type 4 a",MAX(SA,H228,1.05*Q228),IF('Pre-Calculation'!$D$17="Type 4 c",H228,IF('Pre-Calculation'!$D$17="Type 4 d",SA+H228,IF('Pre-Calculation'!$D$17="Type 4 e",MAX(SA,H228),IF('Pre-Calculation'!$D$17="Type 4 f",SA,IF('Pre-Calculation'!$D$17="Type 4 g",1000+H228,IF('Pre-Calculation'!$D$17="Type 4 h",SA+V228,IF('Pre-Calculation'!$D$17="Type 4 i",MAX(H228,Q228),IF('Pre-Calculation'!$D$17="Type 4 k",MAX(H228,1.01*Q228),IF('Pre-Calculation'!$D$17="Type 4 m",MAX(105%*Q228,SA+H228),IF('Pre-Calculation'!$D$17="Type 4 o",MAX(SA,105%*Q228)+V228+X228,IF('Pre-Calculation'!$D$17="Type 5",0)))))))))))))*IF(AND(A228&lt;Revival!$C$4,C228&gt;=Revival!$D$12),PUP,1)</f>
        <v>2793156.421</v>
      </c>
      <c r="L228" s="175">
        <f>H228-I228*(1+Tax)</f>
        <v>2793156.421</v>
      </c>
      <c r="M228" s="175">
        <f>L228*(1+'Pre-Calculation'!$E$28)*(1-'Pre-Calculation'!$E$29*(1+Tax))</f>
        <v>2805569.12</v>
      </c>
      <c r="N228" s="175">
        <f>M228+IF(MOD(A228,B228)=0,VLOOKUP(B228,'Pre-Calculation'!$H$1:$L$31,5,FALSE),0)*IF('Pre-Calculation'!$D$16="% OF FV",M228,IF(OR('Pre-Calculation'!$D$16="% OF AFV(24M)",'Pre-Calculation'!$D$16="% OF AFV(8Q)"),AVERAGE( $M205:$M228),IF('Pre-Calculation'!$D$16="% OF AFV(12M)",AVERAGE($M217:M228),IF('Pre-Calculation'!$D$16="% OF AFV(36M)",AVERAGE($M193:M228)))))</f>
        <v>2805569.12</v>
      </c>
      <c r="O228" s="175">
        <f t="shared" si="4"/>
        <v>2805569.12</v>
      </c>
      <c r="P228" s="175">
        <f>IF('Pre-Calculation'!$D$17="Type 4 a",MAX(SA,N228,1.05*Q228),IF('Pre-Calculation'!$D$17="Type 4 c",N228,IF('Pre-Calculation'!$D$17="Type 4 d",SA+N228,IF('Pre-Calculation'!$D$17="Type 4 e",MAX(SA,N228),IF('Pre-Calculation'!$D$17="Type 4 f",SA,IF('Pre-Calculation'!$D$17="Type 4 g",1000+N228,IF('Pre-Calculation'!$D$17="Type 4 h",SA+V228,IF('Pre-Calculation'!$D$17="Type 4 i",MAX(N228,Q228),IF('Pre-Calculation'!$D$17="Type 4 k",MAX(N228,1.01*Q228),IF('Pre-Calculation'!$D$17="Type 4 m",MAX(105%*Q228,SA+N228),IF('Pre-Calculation'!$D$17="Type 4 o",MAX(SA,105%*Q228)+V228+X228,IF('Pre-Calculation'!$D$17="Type 5",0))))))))))))</f>
        <v>2805569.12</v>
      </c>
      <c r="Q228" s="175">
        <f t="shared" si="5"/>
        <v>1000000</v>
      </c>
      <c r="R228" s="119">
        <f>L228*(1+GROWTH_RATE)*FMC</f>
        <v>3160.798803</v>
      </c>
      <c r="S228" s="112"/>
      <c r="T228" s="175">
        <f>-E228+IF(A227=INPUT!$C$11*12,N228,0)</f>
        <v>0</v>
      </c>
      <c r="U228" s="112"/>
      <c r="V228" s="179">
        <f t="array" ref="V228">NPV('Pre-Calculation'!$E$20,$E229:E$246)</f>
        <v>0</v>
      </c>
      <c r="W228" s="171">
        <f>10%*SA</f>
        <v>100000</v>
      </c>
      <c r="X228" s="179">
        <f t="array" ref="X228">NPV('Pre-Calculation'!$E$20,W229:W238)</f>
        <v>969592.8037</v>
      </c>
      <c r="Y228" s="12"/>
      <c r="Z228" s="12"/>
    </row>
    <row r="229" ht="15.75" customHeight="1">
      <c r="A229" s="171">
        <f t="shared" si="1"/>
        <v>283</v>
      </c>
      <c r="B229" s="171">
        <f t="shared" si="2"/>
        <v>24</v>
      </c>
      <c r="C229" s="176">
        <f>EDATE(RCD,A228)</f>
        <v>51134</v>
      </c>
      <c r="D229" s="171">
        <f>Age_At_Entry+'Cashflows_Bond Fund'!B229-1</f>
        <v>58</v>
      </c>
      <c r="E229" s="175">
        <f>IF(AND(C229&lt;=Last_Prem,MOD(A228,Mode)=0,C229&gt;INPUT!$C$13,A229&lt;=Revival!$C$11),Mod_Prem,0)</f>
        <v>0</v>
      </c>
      <c r="F229" s="177">
        <f>E229*VLOOKUP(B229,'Pre-Calculation'!$H$1:$I$31,2,FALSE)</f>
        <v>0</v>
      </c>
      <c r="G229" s="177">
        <f>IF(B229&lt;PT+1,VLOOKUP(B229,'Pre-Calculation'!$H$1:$L$32,3,FALSE)+VLOOKUP(B229,'Pre-Calculation'!$H$1:$L$32,4,FALSE)*'Pre-Calculation'!$D$7,0)</f>
        <v>0</v>
      </c>
      <c r="H229" s="175">
        <f>(E229-(F229+G229)*(1+Tax)+N228)</f>
        <v>2805569.12</v>
      </c>
      <c r="I229" s="175">
        <f>IF(B229&lt;PT+1,VLOOKUP(D229,'Pre-Calculation'!$N$3:$P$79,IF(INPUT!$C$4="M",2,3),FALSE)*(J229/1000)*(1/12),0)</f>
        <v>0</v>
      </c>
      <c r="J229" s="175">
        <f t="shared" si="3"/>
        <v>0</v>
      </c>
      <c r="K229" s="175">
        <f>(IF('Pre-Calculation'!$D$17="Type 4 a",MAX(SA,H229,1.05*Q229),IF('Pre-Calculation'!$D$17="Type 4 c",H229,IF('Pre-Calculation'!$D$17="Type 4 d",SA+H229,IF('Pre-Calculation'!$D$17="Type 4 e",MAX(SA,H229),IF('Pre-Calculation'!$D$17="Type 4 f",SA,IF('Pre-Calculation'!$D$17="Type 4 g",1000+H229,IF('Pre-Calculation'!$D$17="Type 4 h",SA+V229,IF('Pre-Calculation'!$D$17="Type 4 i",MAX(H229,Q229),IF('Pre-Calculation'!$D$17="Type 4 k",MAX(H229,1.01*Q229),IF('Pre-Calculation'!$D$17="Type 4 m",MAX(105%*Q229,SA+H229),IF('Pre-Calculation'!$D$17="Type 4 o",MAX(SA,105%*Q229)+V229+X229,IF('Pre-Calculation'!$D$17="Type 5",0)))))))))))))*IF(AND(A229&lt;Revival!$C$4,C229&gt;=Revival!$D$12),PUP,1)</f>
        <v>2805569.12</v>
      </c>
      <c r="L229" s="175">
        <f>H229-I229*(1+Tax)</f>
        <v>2805569.12</v>
      </c>
      <c r="M229" s="175">
        <f>L229*(1+'Pre-Calculation'!$E$28)*(1-'Pre-Calculation'!$E$29*(1+Tax))</f>
        <v>2818036.982</v>
      </c>
      <c r="N229" s="175">
        <f>M229+IF(MOD(A229,B229)=0,VLOOKUP(B229,'Pre-Calculation'!$H$1:$L$31,5,FALSE),0)*IF('Pre-Calculation'!$D$16="% OF FV",M229,IF(OR('Pre-Calculation'!$D$16="% OF AFV(24M)",'Pre-Calculation'!$D$16="% OF AFV(8Q)"),AVERAGE( $M206:$M229),IF('Pre-Calculation'!$D$16="% OF AFV(12M)",AVERAGE($M218:M229),IF('Pre-Calculation'!$D$16="% OF AFV(36M)",AVERAGE($M194:M229)))))</f>
        <v>2818036.982</v>
      </c>
      <c r="O229" s="175">
        <f t="shared" si="4"/>
        <v>2818036.982</v>
      </c>
      <c r="P229" s="175">
        <f>IF('Pre-Calculation'!$D$17="Type 4 a",MAX(SA,N229,1.05*Q229),IF('Pre-Calculation'!$D$17="Type 4 c",N229,IF('Pre-Calculation'!$D$17="Type 4 d",SA+N229,IF('Pre-Calculation'!$D$17="Type 4 e",MAX(SA,N229),IF('Pre-Calculation'!$D$17="Type 4 f",SA,IF('Pre-Calculation'!$D$17="Type 4 g",1000+N229,IF('Pre-Calculation'!$D$17="Type 4 h",SA+V229,IF('Pre-Calculation'!$D$17="Type 4 i",MAX(N229,Q229),IF('Pre-Calculation'!$D$17="Type 4 k",MAX(N229,1.01*Q229),IF('Pre-Calculation'!$D$17="Type 4 m",MAX(105%*Q229,SA+N229),IF('Pre-Calculation'!$D$17="Type 4 o",MAX(SA,105%*Q229)+V229+X229,IF('Pre-Calculation'!$D$17="Type 5",0))))))))))))</f>
        <v>2818036.982</v>
      </c>
      <c r="Q229" s="175">
        <f t="shared" si="5"/>
        <v>1000000</v>
      </c>
      <c r="R229" s="119">
        <f>L229*(1+GROWTH_RATE)*FMC</f>
        <v>3174.845294</v>
      </c>
      <c r="S229" s="112"/>
      <c r="T229" s="175">
        <f>-E229+IF(A228=INPUT!$C$11*12,N229,0)</f>
        <v>0</v>
      </c>
      <c r="U229" s="112"/>
      <c r="V229" s="179">
        <f t="array" ref="V229">NPV('Pre-Calculation'!$E$20,$E230:E$246)</f>
        <v>0</v>
      </c>
      <c r="W229" s="171">
        <f>10%*SA</f>
        <v>100000</v>
      </c>
      <c r="X229" s="179">
        <f t="array" ref="X229">NPV('Pre-Calculation'!$E$20,W230:W239)</f>
        <v>969592.8037</v>
      </c>
      <c r="Y229" s="12"/>
      <c r="Z229" s="12"/>
    </row>
    <row r="230" ht="15.75" customHeight="1">
      <c r="A230" s="171">
        <f t="shared" si="1"/>
        <v>284</v>
      </c>
      <c r="B230" s="171">
        <f t="shared" si="2"/>
        <v>24</v>
      </c>
      <c r="C230" s="176">
        <f>EDATE(RCD,A229)</f>
        <v>51165</v>
      </c>
      <c r="D230" s="171">
        <f>Age_At_Entry+'Cashflows_Bond Fund'!B230-1</f>
        <v>58</v>
      </c>
      <c r="E230" s="175">
        <f>IF(AND(C230&lt;=Last_Prem,MOD(A229,Mode)=0,C230&gt;INPUT!$C$13,A230&lt;=Revival!$C$11),Mod_Prem,0)</f>
        <v>0</v>
      </c>
      <c r="F230" s="177">
        <f>E230*VLOOKUP(B230,'Pre-Calculation'!$H$1:$I$31,2,FALSE)</f>
        <v>0</v>
      </c>
      <c r="G230" s="177">
        <f>IF(B230&lt;PT+1,VLOOKUP(B230,'Pre-Calculation'!$H$1:$L$32,3,FALSE)+VLOOKUP(B230,'Pre-Calculation'!$H$1:$L$32,4,FALSE)*'Pre-Calculation'!$D$7,0)</f>
        <v>0</v>
      </c>
      <c r="H230" s="175">
        <f>(E230-(F230+G230)*(1+Tax)+N229)</f>
        <v>2818036.982</v>
      </c>
      <c r="I230" s="175">
        <f>IF(B230&lt;PT+1,VLOOKUP(D230,'Pre-Calculation'!$N$3:$P$79,IF(INPUT!$C$4="M",2,3),FALSE)*(J230/1000)*(1/12),0)</f>
        <v>0</v>
      </c>
      <c r="J230" s="175">
        <f t="shared" si="3"/>
        <v>0</v>
      </c>
      <c r="K230" s="175">
        <f>(IF('Pre-Calculation'!$D$17="Type 4 a",MAX(SA,H230,1.05*Q230),IF('Pre-Calculation'!$D$17="Type 4 c",H230,IF('Pre-Calculation'!$D$17="Type 4 d",SA+H230,IF('Pre-Calculation'!$D$17="Type 4 e",MAX(SA,H230),IF('Pre-Calculation'!$D$17="Type 4 f",SA,IF('Pre-Calculation'!$D$17="Type 4 g",1000+H230,IF('Pre-Calculation'!$D$17="Type 4 h",SA+V230,IF('Pre-Calculation'!$D$17="Type 4 i",MAX(H230,Q230),IF('Pre-Calculation'!$D$17="Type 4 k",MAX(H230,1.01*Q230),IF('Pre-Calculation'!$D$17="Type 4 m",MAX(105%*Q230,SA+H230),IF('Pre-Calculation'!$D$17="Type 4 o",MAX(SA,105%*Q230)+V230+X230,IF('Pre-Calculation'!$D$17="Type 5",0)))))))))))))*IF(AND(A230&lt;Revival!$C$4,C230&gt;=Revival!$D$12),PUP,1)</f>
        <v>2818036.982</v>
      </c>
      <c r="L230" s="175">
        <f>H230-I230*(1+Tax)</f>
        <v>2818036.982</v>
      </c>
      <c r="M230" s="175">
        <f>L230*(1+'Pre-Calculation'!$E$28)*(1-'Pre-Calculation'!$E$29*(1+Tax))</f>
        <v>2830560.25</v>
      </c>
      <c r="N230" s="175">
        <f>M230+IF(MOD(A230,B230)=0,VLOOKUP(B230,'Pre-Calculation'!$H$1:$L$31,5,FALSE),0)*IF('Pre-Calculation'!$D$16="% OF FV",M230,IF(OR('Pre-Calculation'!$D$16="% OF AFV(24M)",'Pre-Calculation'!$D$16="% OF AFV(8Q)"),AVERAGE( $M207:$M230),IF('Pre-Calculation'!$D$16="% OF AFV(12M)",AVERAGE($M219:M230),IF('Pre-Calculation'!$D$16="% OF AFV(36M)",AVERAGE($M195:M230)))))</f>
        <v>2830560.25</v>
      </c>
      <c r="O230" s="175">
        <f t="shared" si="4"/>
        <v>2830560.25</v>
      </c>
      <c r="P230" s="175">
        <f>IF('Pre-Calculation'!$D$17="Type 4 a",MAX(SA,N230,1.05*Q230),IF('Pre-Calculation'!$D$17="Type 4 c",N230,IF('Pre-Calculation'!$D$17="Type 4 d",SA+N230,IF('Pre-Calculation'!$D$17="Type 4 e",MAX(SA,N230),IF('Pre-Calculation'!$D$17="Type 4 f",SA,IF('Pre-Calculation'!$D$17="Type 4 g",1000+N230,IF('Pre-Calculation'!$D$17="Type 4 h",SA+V230,IF('Pre-Calculation'!$D$17="Type 4 i",MAX(N230,Q230),IF('Pre-Calculation'!$D$17="Type 4 k",MAX(N230,1.01*Q230),IF('Pre-Calculation'!$D$17="Type 4 m",MAX(105%*Q230,SA+N230),IF('Pre-Calculation'!$D$17="Type 4 o",MAX(SA,105%*Q230)+V230+X230,IF('Pre-Calculation'!$D$17="Type 5",0))))))))))))</f>
        <v>2830560.25</v>
      </c>
      <c r="Q230" s="175">
        <f t="shared" si="5"/>
        <v>1000000</v>
      </c>
      <c r="R230" s="119">
        <f>L230*(1+GROWTH_RATE)*FMC</f>
        <v>3188.954207</v>
      </c>
      <c r="S230" s="112"/>
      <c r="T230" s="175">
        <f>-E230+IF(A229=INPUT!$C$11*12,N230,0)</f>
        <v>0</v>
      </c>
      <c r="U230" s="112"/>
      <c r="V230" s="179">
        <f t="array" ref="V230">NPV('Pre-Calculation'!$E$20,$E231:E$246)</f>
        <v>0</v>
      </c>
      <c r="W230" s="171">
        <f>10%*SA</f>
        <v>100000</v>
      </c>
      <c r="X230" s="179">
        <f t="array" ref="X230">NPV('Pre-Calculation'!$E$20,W231:W240)</f>
        <v>969592.8037</v>
      </c>
      <c r="Y230" s="12"/>
      <c r="Z230" s="12"/>
    </row>
    <row r="231" ht="15.75" customHeight="1">
      <c r="A231" s="171">
        <f t="shared" si="1"/>
        <v>285</v>
      </c>
      <c r="B231" s="171">
        <f t="shared" si="2"/>
        <v>24</v>
      </c>
      <c r="C231" s="176">
        <f>EDATE(RCD,A230)</f>
        <v>51195</v>
      </c>
      <c r="D231" s="171">
        <f>Age_At_Entry+'Cashflows_Bond Fund'!B231-1</f>
        <v>58</v>
      </c>
      <c r="E231" s="175">
        <f>IF(AND(C231&lt;=Last_Prem,MOD(A230,Mode)=0,C231&gt;INPUT!$C$13,A231&lt;=Revival!$C$11),Mod_Prem,0)</f>
        <v>0</v>
      </c>
      <c r="F231" s="177">
        <f>E231*VLOOKUP(B231,'Pre-Calculation'!$H$1:$I$31,2,FALSE)</f>
        <v>0</v>
      </c>
      <c r="G231" s="177">
        <f>IF(B231&lt;PT+1,VLOOKUP(B231,'Pre-Calculation'!$H$1:$L$32,3,FALSE)+VLOOKUP(B231,'Pre-Calculation'!$H$1:$L$32,4,FALSE)*'Pre-Calculation'!$D$7,0)</f>
        <v>0</v>
      </c>
      <c r="H231" s="175">
        <f>(E231-(F231+G231)*(1+Tax)+N230)</f>
        <v>2830560.25</v>
      </c>
      <c r="I231" s="175">
        <f>IF(B231&lt;PT+1,VLOOKUP(D231,'Pre-Calculation'!$N$3:$P$79,IF(INPUT!$C$4="M",2,3),FALSE)*(J231/1000)*(1/12),0)</f>
        <v>0</v>
      </c>
      <c r="J231" s="175">
        <f t="shared" si="3"/>
        <v>0</v>
      </c>
      <c r="K231" s="175">
        <f>(IF('Pre-Calculation'!$D$17="Type 4 a",MAX(SA,H231,1.05*Q231),IF('Pre-Calculation'!$D$17="Type 4 c",H231,IF('Pre-Calculation'!$D$17="Type 4 d",SA+H231,IF('Pre-Calculation'!$D$17="Type 4 e",MAX(SA,H231),IF('Pre-Calculation'!$D$17="Type 4 f",SA,IF('Pre-Calculation'!$D$17="Type 4 g",1000+H231,IF('Pre-Calculation'!$D$17="Type 4 h",SA+V231,IF('Pre-Calculation'!$D$17="Type 4 i",MAX(H231,Q231),IF('Pre-Calculation'!$D$17="Type 4 k",MAX(H231,1.01*Q231),IF('Pre-Calculation'!$D$17="Type 4 m",MAX(105%*Q231,SA+H231),IF('Pre-Calculation'!$D$17="Type 4 o",MAX(SA,105%*Q231)+V231+X231,IF('Pre-Calculation'!$D$17="Type 5",0)))))))))))))*IF(AND(A231&lt;Revival!$C$4,C231&gt;=Revival!$D$12),PUP,1)</f>
        <v>2830560.25</v>
      </c>
      <c r="L231" s="175">
        <f>H231-I231*(1+Tax)</f>
        <v>2830560.25</v>
      </c>
      <c r="M231" s="175">
        <f>L231*(1+'Pre-Calculation'!$E$28)*(1-'Pre-Calculation'!$E$29*(1+Tax))</f>
        <v>2843139.171</v>
      </c>
      <c r="N231" s="175">
        <f>M231+IF(MOD(A231,B231)=0,VLOOKUP(B231,'Pre-Calculation'!$H$1:$L$31,5,FALSE),0)*IF('Pre-Calculation'!$D$16="% OF FV",M231,IF(OR('Pre-Calculation'!$D$16="% OF AFV(24M)",'Pre-Calculation'!$D$16="% OF AFV(8Q)"),AVERAGE( $M208:$M231),IF('Pre-Calculation'!$D$16="% OF AFV(12M)",AVERAGE($M220:M231),IF('Pre-Calculation'!$D$16="% OF AFV(36M)",AVERAGE($M196:M231)))))</f>
        <v>2843139.171</v>
      </c>
      <c r="O231" s="175">
        <f t="shared" si="4"/>
        <v>2843139.171</v>
      </c>
      <c r="P231" s="175">
        <f>IF('Pre-Calculation'!$D$17="Type 4 a",MAX(SA,N231,1.05*Q231),IF('Pre-Calculation'!$D$17="Type 4 c",N231,IF('Pre-Calculation'!$D$17="Type 4 d",SA+N231,IF('Pre-Calculation'!$D$17="Type 4 e",MAX(SA,N231),IF('Pre-Calculation'!$D$17="Type 4 f",SA,IF('Pre-Calculation'!$D$17="Type 4 g",1000+N231,IF('Pre-Calculation'!$D$17="Type 4 h",SA+V231,IF('Pre-Calculation'!$D$17="Type 4 i",MAX(N231,Q231),IF('Pre-Calculation'!$D$17="Type 4 k",MAX(N231,1.01*Q231),IF('Pre-Calculation'!$D$17="Type 4 m",MAX(105%*Q231,SA+N231),IF('Pre-Calculation'!$D$17="Type 4 o",MAX(SA,105%*Q231)+V231+X231,IF('Pre-Calculation'!$D$17="Type 5",0))))))))))))</f>
        <v>2843139.171</v>
      </c>
      <c r="Q231" s="175">
        <f t="shared" si="5"/>
        <v>1000000</v>
      </c>
      <c r="R231" s="119">
        <f>L231*(1+GROWTH_RATE)*FMC</f>
        <v>3203.12582</v>
      </c>
      <c r="S231" s="112"/>
      <c r="T231" s="175">
        <f>-E231+IF(A230=INPUT!$C$11*12,N231,0)</f>
        <v>0</v>
      </c>
      <c r="U231" s="112"/>
      <c r="V231" s="179">
        <f t="array" ref="V231">NPV('Pre-Calculation'!$E$20,$E232:E$246)</f>
        <v>0</v>
      </c>
      <c r="W231" s="171">
        <f>10%*SA</f>
        <v>100000</v>
      </c>
      <c r="X231" s="179">
        <f t="array" ref="X231">NPV('Pre-Calculation'!$E$20,W232:W241)</f>
        <v>969592.8037</v>
      </c>
      <c r="Y231" s="12"/>
      <c r="Z231" s="12"/>
    </row>
    <row r="232" ht="15.75" customHeight="1">
      <c r="A232" s="171">
        <f t="shared" si="1"/>
        <v>286</v>
      </c>
      <c r="B232" s="171">
        <f t="shared" si="2"/>
        <v>24</v>
      </c>
      <c r="C232" s="176">
        <f>EDATE(RCD,A231)</f>
        <v>51225</v>
      </c>
      <c r="D232" s="171">
        <f>Age_At_Entry+'Cashflows_Bond Fund'!B232-1</f>
        <v>58</v>
      </c>
      <c r="E232" s="175">
        <f>IF(AND(C232&lt;=Last_Prem,MOD(A231,Mode)=0,C232&gt;INPUT!$C$13,A232&lt;=Revival!$C$11),Mod_Prem,0)</f>
        <v>0</v>
      </c>
      <c r="F232" s="177">
        <f>E232*VLOOKUP(B232,'Pre-Calculation'!$H$1:$I$31,2,FALSE)</f>
        <v>0</v>
      </c>
      <c r="G232" s="177">
        <f>IF(B232&lt;PT+1,VLOOKUP(B232,'Pre-Calculation'!$H$1:$L$32,3,FALSE)+VLOOKUP(B232,'Pre-Calculation'!$H$1:$L$32,4,FALSE)*'Pre-Calculation'!$D$7,0)</f>
        <v>0</v>
      </c>
      <c r="H232" s="175">
        <f>(E232-(F232+G232)*(1+Tax)+N231)</f>
        <v>2843139.171</v>
      </c>
      <c r="I232" s="175">
        <f>IF(B232&lt;PT+1,VLOOKUP(D232,'Pre-Calculation'!$N$3:$P$79,IF(INPUT!$C$4="M",2,3),FALSE)*(J232/1000)*(1/12),0)</f>
        <v>0</v>
      </c>
      <c r="J232" s="175">
        <f t="shared" si="3"/>
        <v>0</v>
      </c>
      <c r="K232" s="175">
        <f>(IF('Pre-Calculation'!$D$17="Type 4 a",MAX(SA,H232,1.05*Q232),IF('Pre-Calculation'!$D$17="Type 4 c",H232,IF('Pre-Calculation'!$D$17="Type 4 d",SA+H232,IF('Pre-Calculation'!$D$17="Type 4 e",MAX(SA,H232),IF('Pre-Calculation'!$D$17="Type 4 f",SA,IF('Pre-Calculation'!$D$17="Type 4 g",1000+H232,IF('Pre-Calculation'!$D$17="Type 4 h",SA+V232,IF('Pre-Calculation'!$D$17="Type 4 i",MAX(H232,Q232),IF('Pre-Calculation'!$D$17="Type 4 k",MAX(H232,1.01*Q232),IF('Pre-Calculation'!$D$17="Type 4 m",MAX(105%*Q232,SA+H232),IF('Pre-Calculation'!$D$17="Type 4 o",MAX(SA,105%*Q232)+V232+X232,IF('Pre-Calculation'!$D$17="Type 5",0)))))))))))))*IF(AND(A232&lt;Revival!$C$4,C232&gt;=Revival!$D$12),PUP,1)</f>
        <v>2843139.171</v>
      </c>
      <c r="L232" s="175">
        <f>H232-I232*(1+Tax)</f>
        <v>2843139.171</v>
      </c>
      <c r="M232" s="175">
        <f>L232*(1+'Pre-Calculation'!$E$28)*(1-'Pre-Calculation'!$E$29*(1+Tax))</f>
        <v>2855773.993</v>
      </c>
      <c r="N232" s="175">
        <f>M232+IF(MOD(A232,B232)=0,VLOOKUP(B232,'Pre-Calculation'!$H$1:$L$31,5,FALSE),0)*IF('Pre-Calculation'!$D$16="% OF FV",M232,IF(OR('Pre-Calculation'!$D$16="% OF AFV(24M)",'Pre-Calculation'!$D$16="% OF AFV(8Q)"),AVERAGE( $M209:$M232),IF('Pre-Calculation'!$D$16="% OF AFV(12M)",AVERAGE($M221:M232),IF('Pre-Calculation'!$D$16="% OF AFV(36M)",AVERAGE($M197:M232)))))</f>
        <v>2855773.993</v>
      </c>
      <c r="O232" s="175">
        <f t="shared" si="4"/>
        <v>2855773.993</v>
      </c>
      <c r="P232" s="175">
        <f>IF('Pre-Calculation'!$D$17="Type 4 a",MAX(SA,N232,1.05*Q232),IF('Pre-Calculation'!$D$17="Type 4 c",N232,IF('Pre-Calculation'!$D$17="Type 4 d",SA+N232,IF('Pre-Calculation'!$D$17="Type 4 e",MAX(SA,N232),IF('Pre-Calculation'!$D$17="Type 4 f",SA,IF('Pre-Calculation'!$D$17="Type 4 g",1000+N232,IF('Pre-Calculation'!$D$17="Type 4 h",SA+V232,IF('Pre-Calculation'!$D$17="Type 4 i",MAX(N232,Q232),IF('Pre-Calculation'!$D$17="Type 4 k",MAX(N232,1.01*Q232),IF('Pre-Calculation'!$D$17="Type 4 m",MAX(105%*Q232,SA+N232),IF('Pre-Calculation'!$D$17="Type 4 o",MAX(SA,105%*Q232)+V232+X232,IF('Pre-Calculation'!$D$17="Type 5",0))))))))))))</f>
        <v>2855773.993</v>
      </c>
      <c r="Q232" s="175">
        <f t="shared" si="5"/>
        <v>1000000</v>
      </c>
      <c r="R232" s="119">
        <f>L232*(1+GROWTH_RATE)*FMC</f>
        <v>3217.360411</v>
      </c>
      <c r="S232" s="112"/>
      <c r="T232" s="175">
        <f>-E232+IF(A231=INPUT!$C$11*12,N232,0)</f>
        <v>0</v>
      </c>
      <c r="U232" s="112"/>
      <c r="V232" s="179">
        <f t="array" ref="V232">NPV('Pre-Calculation'!$E$20,$E233:E$246)</f>
        <v>0</v>
      </c>
      <c r="W232" s="171">
        <f>10%*SA</f>
        <v>100000</v>
      </c>
      <c r="X232" s="179">
        <f t="array" ref="X232">NPV('Pre-Calculation'!$E$20,W233:W242)</f>
        <v>969592.8037</v>
      </c>
      <c r="Y232" s="12"/>
      <c r="Z232" s="12"/>
    </row>
    <row r="233" ht="15.75" customHeight="1">
      <c r="A233" s="171">
        <f t="shared" si="1"/>
        <v>287</v>
      </c>
      <c r="B233" s="171">
        <f t="shared" si="2"/>
        <v>24</v>
      </c>
      <c r="C233" s="176">
        <f>EDATE(RCD,A232)</f>
        <v>51256</v>
      </c>
      <c r="D233" s="171">
        <f>Age_At_Entry+'Cashflows_Bond Fund'!B233-1</f>
        <v>58</v>
      </c>
      <c r="E233" s="175">
        <f>IF(AND(C233&lt;=Last_Prem,MOD(A232,Mode)=0,C233&gt;INPUT!$C$13,A233&lt;=Revival!$C$11),Mod_Prem,0)</f>
        <v>0</v>
      </c>
      <c r="F233" s="177">
        <f>E233*VLOOKUP(B233,'Pre-Calculation'!$H$1:$I$31,2,FALSE)</f>
        <v>0</v>
      </c>
      <c r="G233" s="177">
        <f>IF(B233&lt;PT+1,VLOOKUP(B233,'Pre-Calculation'!$H$1:$L$32,3,FALSE)+VLOOKUP(B233,'Pre-Calculation'!$H$1:$L$32,4,FALSE)*'Pre-Calculation'!$D$7,0)</f>
        <v>0</v>
      </c>
      <c r="H233" s="175">
        <f>(E233-(F233+G233)*(1+Tax)+N232)</f>
        <v>2855773.993</v>
      </c>
      <c r="I233" s="175">
        <f>IF(B233&lt;PT+1,VLOOKUP(D233,'Pre-Calculation'!$N$3:$P$79,IF(INPUT!$C$4="M",2,3),FALSE)*(J233/1000)*(1/12),0)</f>
        <v>0</v>
      </c>
      <c r="J233" s="175">
        <f t="shared" si="3"/>
        <v>0</v>
      </c>
      <c r="K233" s="175">
        <f>(IF('Pre-Calculation'!$D$17="Type 4 a",MAX(SA,H233,1.05*Q233),IF('Pre-Calculation'!$D$17="Type 4 c",H233,IF('Pre-Calculation'!$D$17="Type 4 d",SA+H233,IF('Pre-Calculation'!$D$17="Type 4 e",MAX(SA,H233),IF('Pre-Calculation'!$D$17="Type 4 f",SA,IF('Pre-Calculation'!$D$17="Type 4 g",1000+H233,IF('Pre-Calculation'!$D$17="Type 4 h",SA+V233,IF('Pre-Calculation'!$D$17="Type 4 i",MAX(H233,Q233),IF('Pre-Calculation'!$D$17="Type 4 k",MAX(H233,1.01*Q233),IF('Pre-Calculation'!$D$17="Type 4 m",MAX(105%*Q233,SA+H233),IF('Pre-Calculation'!$D$17="Type 4 o",MAX(SA,105%*Q233)+V233+X233,IF('Pre-Calculation'!$D$17="Type 5",0)))))))))))))*IF(AND(A233&lt;Revival!$C$4,C233&gt;=Revival!$D$12),PUP,1)</f>
        <v>2855773.993</v>
      </c>
      <c r="L233" s="175">
        <f>H233-I233*(1+Tax)</f>
        <v>2855773.993</v>
      </c>
      <c r="M233" s="175">
        <f>L233*(1+'Pre-Calculation'!$E$28)*(1-'Pre-Calculation'!$E$29*(1+Tax))</f>
        <v>2868464.963</v>
      </c>
      <c r="N233" s="175">
        <f>M233+IF(MOD(A233,B233)=0,VLOOKUP(B233,'Pre-Calculation'!$H$1:$L$31,5,FALSE),0)*IF('Pre-Calculation'!$D$16="% OF FV",M233,IF(OR('Pre-Calculation'!$D$16="% OF AFV(24M)",'Pre-Calculation'!$D$16="% OF AFV(8Q)"),AVERAGE( $M210:$M233),IF('Pre-Calculation'!$D$16="% OF AFV(12M)",AVERAGE($M222:M233),IF('Pre-Calculation'!$D$16="% OF AFV(36M)",AVERAGE($M198:M233)))))</f>
        <v>2868464.963</v>
      </c>
      <c r="O233" s="175">
        <f t="shared" si="4"/>
        <v>2868464.963</v>
      </c>
      <c r="P233" s="175">
        <f>IF('Pre-Calculation'!$D$17="Type 4 a",MAX(SA,N233,1.05*Q233),IF('Pre-Calculation'!$D$17="Type 4 c",N233,IF('Pre-Calculation'!$D$17="Type 4 d",SA+N233,IF('Pre-Calculation'!$D$17="Type 4 e",MAX(SA,N233),IF('Pre-Calculation'!$D$17="Type 4 f",SA,IF('Pre-Calculation'!$D$17="Type 4 g",1000+N233,IF('Pre-Calculation'!$D$17="Type 4 h",SA+V233,IF('Pre-Calculation'!$D$17="Type 4 i",MAX(N233,Q233),IF('Pre-Calculation'!$D$17="Type 4 k",MAX(N233,1.01*Q233),IF('Pre-Calculation'!$D$17="Type 4 m",MAX(105%*Q233,SA+N233),IF('Pre-Calculation'!$D$17="Type 4 o",MAX(SA,105%*Q233)+V233+X233,IF('Pre-Calculation'!$D$17="Type 5",0))))))))))))</f>
        <v>2868464.963</v>
      </c>
      <c r="Q233" s="175">
        <f t="shared" si="5"/>
        <v>1000000</v>
      </c>
      <c r="R233" s="119">
        <f>L233*(1+GROWTH_RATE)*FMC</f>
        <v>3231.65826</v>
      </c>
      <c r="S233" s="112"/>
      <c r="T233" s="175">
        <f>-E233+IF(A232=INPUT!$C$11*12,N233,0)</f>
        <v>0</v>
      </c>
      <c r="U233" s="112"/>
      <c r="V233" s="179">
        <f t="array" ref="V233">NPV('Pre-Calculation'!$E$20,$E234:E$246)</f>
        <v>0</v>
      </c>
      <c r="W233" s="171">
        <f>10%*SA</f>
        <v>100000</v>
      </c>
      <c r="X233" s="179">
        <f t="array" ref="X233">NPV('Pre-Calculation'!$E$20,W234:W243)</f>
        <v>969592.8037</v>
      </c>
      <c r="Y233" s="12"/>
      <c r="Z233" s="12"/>
    </row>
    <row r="234" ht="15.75" customHeight="1">
      <c r="A234" s="171">
        <f t="shared" si="1"/>
        <v>288</v>
      </c>
      <c r="B234" s="171">
        <f t="shared" si="2"/>
        <v>24</v>
      </c>
      <c r="C234" s="176">
        <f>EDATE(RCD,A233)</f>
        <v>51286</v>
      </c>
      <c r="D234" s="171">
        <f>Age_At_Entry+'Cashflows_Bond Fund'!B234-1</f>
        <v>58</v>
      </c>
      <c r="E234" s="175">
        <f>IF(AND(C234&lt;=Last_Prem,MOD(A233,Mode)=0,C234&gt;INPUT!$C$13,A234&lt;=Revival!$C$11),Mod_Prem,0)</f>
        <v>0</v>
      </c>
      <c r="F234" s="177">
        <f>E234*VLOOKUP(B234,'Pre-Calculation'!$H$1:$I$31,2,FALSE)</f>
        <v>0</v>
      </c>
      <c r="G234" s="177">
        <f>IF(B234&lt;PT+1,VLOOKUP(B234,'Pre-Calculation'!$H$1:$L$32,3,FALSE)+VLOOKUP(B234,'Pre-Calculation'!$H$1:$L$32,4,FALSE)*'Pre-Calculation'!$D$7,0)</f>
        <v>0</v>
      </c>
      <c r="H234" s="175">
        <f>(E234-(F234+G234)*(1+Tax)+N233)</f>
        <v>2868464.963</v>
      </c>
      <c r="I234" s="175">
        <f>IF(B234&lt;PT+1,VLOOKUP(D234,'Pre-Calculation'!$N$3:$P$79,IF(INPUT!$C$4="M",2,3),FALSE)*(J234/1000)*(1/12),0)</f>
        <v>0</v>
      </c>
      <c r="J234" s="175">
        <f t="shared" si="3"/>
        <v>0</v>
      </c>
      <c r="K234" s="175">
        <f>(IF('Pre-Calculation'!$D$17="Type 4 a",MAX(SA,H234,1.05*Q234),IF('Pre-Calculation'!$D$17="Type 4 c",H234,IF('Pre-Calculation'!$D$17="Type 4 d",SA+H234,IF('Pre-Calculation'!$D$17="Type 4 e",MAX(SA,H234),IF('Pre-Calculation'!$D$17="Type 4 f",SA,IF('Pre-Calculation'!$D$17="Type 4 g",1000+H234,IF('Pre-Calculation'!$D$17="Type 4 h",SA+V234,IF('Pre-Calculation'!$D$17="Type 4 i",MAX(H234,Q234),IF('Pre-Calculation'!$D$17="Type 4 k",MAX(H234,1.01*Q234),IF('Pre-Calculation'!$D$17="Type 4 m",MAX(105%*Q234,SA+H234),IF('Pre-Calculation'!$D$17="Type 4 o",MAX(SA,105%*Q234)+V234+X234,IF('Pre-Calculation'!$D$17="Type 5",0)))))))))))))*IF(AND(A234&lt;Revival!$C$4,C234&gt;=Revival!$D$12),PUP,1)</f>
        <v>2868464.963</v>
      </c>
      <c r="L234" s="175">
        <f>H234-I234*(1+Tax)</f>
        <v>2868464.963</v>
      </c>
      <c r="M234" s="175">
        <f>L234*(1+'Pre-Calculation'!$E$28)*(1-'Pre-Calculation'!$E$29*(1+Tax))</f>
        <v>2881212.332</v>
      </c>
      <c r="N234" s="175">
        <f>M234+IF(MOD(A234,B234)=0,VLOOKUP(B234,'Pre-Calculation'!$H$1:$L$31,5,FALSE),0)*IF('Pre-Calculation'!$D$16="% OF FV",M234,IF(OR('Pre-Calculation'!$D$16="% OF AFV(24M)",'Pre-Calculation'!$D$16="% OF AFV(8Q)"),AVERAGE( $M211:$M234),IF('Pre-Calculation'!$D$16="% OF AFV(12M)",AVERAGE($M223:M234),IF('Pre-Calculation'!$D$16="% OF AFV(36M)",AVERAGE($M199:M234)))))</f>
        <v>2881212.332</v>
      </c>
      <c r="O234" s="175">
        <f t="shared" si="4"/>
        <v>2881212.332</v>
      </c>
      <c r="P234" s="175">
        <f>IF('Pre-Calculation'!$D$17="Type 4 a",MAX(SA,N234,1.05*Q234),IF('Pre-Calculation'!$D$17="Type 4 c",N234,IF('Pre-Calculation'!$D$17="Type 4 d",SA+N234,IF('Pre-Calculation'!$D$17="Type 4 e",MAX(SA,N234),IF('Pre-Calculation'!$D$17="Type 4 f",SA,IF('Pre-Calculation'!$D$17="Type 4 g",1000+N234,IF('Pre-Calculation'!$D$17="Type 4 h",SA+V234,IF('Pre-Calculation'!$D$17="Type 4 i",MAX(N234,Q234),IF('Pre-Calculation'!$D$17="Type 4 k",MAX(N234,1.01*Q234),IF('Pre-Calculation'!$D$17="Type 4 m",MAX(105%*Q234,SA+N234),IF('Pre-Calculation'!$D$17="Type 4 o",MAX(SA,105%*Q234)+V234+X234,IF('Pre-Calculation'!$D$17="Type 5",0))))))))))))</f>
        <v>2881212.332</v>
      </c>
      <c r="Q234" s="175">
        <f t="shared" si="5"/>
        <v>1000000</v>
      </c>
      <c r="R234" s="119">
        <f>L234*(1+GROWTH_RATE)*FMC</f>
        <v>3246.019649</v>
      </c>
      <c r="S234" s="112"/>
      <c r="T234" s="175">
        <f>-E234+IF(A233=INPUT!$C$11*12,N234,0)</f>
        <v>0</v>
      </c>
      <c r="U234" s="112"/>
      <c r="V234" s="179">
        <f t="array" ref="V234">NPV('Pre-Calculation'!$E$20,$E235:E$246)</f>
        <v>0</v>
      </c>
      <c r="W234" s="171">
        <f>10%*SA</f>
        <v>100000</v>
      </c>
      <c r="X234" s="179">
        <f t="array" ref="X234">NPV('Pre-Calculation'!$E$20,W235:W244)</f>
        <v>969592.8037</v>
      </c>
      <c r="Y234" s="12"/>
      <c r="Z234" s="12"/>
    </row>
    <row r="235" ht="15.75" customHeight="1">
      <c r="A235" s="171">
        <f t="shared" si="1"/>
        <v>289</v>
      </c>
      <c r="B235" s="171">
        <f t="shared" si="2"/>
        <v>25</v>
      </c>
      <c r="C235" s="176">
        <f>EDATE(RCD,A234)</f>
        <v>51317</v>
      </c>
      <c r="D235" s="171">
        <f>Age_At_Entry+'Cashflows_Bond Fund'!B235-1</f>
        <v>59</v>
      </c>
      <c r="E235" s="175">
        <f>IF(AND(C235&lt;=Last_Prem,MOD(A234,Mode)=0,C235&gt;INPUT!$C$13,A235&lt;=Revival!$C$11),Mod_Prem,0)</f>
        <v>0</v>
      </c>
      <c r="F235" s="177">
        <f>E235*VLOOKUP(B235,'Pre-Calculation'!$H$1:$I$31,2,FALSE)</f>
        <v>0</v>
      </c>
      <c r="G235" s="177">
        <f>IF(B235&lt;PT+1,VLOOKUP(B235,'Pre-Calculation'!$H$1:$L$32,3,FALSE)+VLOOKUP(B235,'Pre-Calculation'!$H$1:$L$32,4,FALSE)*'Pre-Calculation'!$D$7,0)</f>
        <v>0</v>
      </c>
      <c r="H235" s="175">
        <f>(E235-(F235+G235)*(1+Tax)+N234)</f>
        <v>2881212.332</v>
      </c>
      <c r="I235" s="175">
        <f>IF(B235&lt;PT+1,VLOOKUP(D235,'Pre-Calculation'!$N$3:$P$79,IF(INPUT!$C$4="M",2,3),FALSE)*(J235/1000)*(1/12),0)</f>
        <v>0</v>
      </c>
      <c r="J235" s="175">
        <f t="shared" si="3"/>
        <v>0</v>
      </c>
      <c r="K235" s="175">
        <f>(IF('Pre-Calculation'!$D$17="Type 4 a",MAX(SA,H235,1.05*Q235),IF('Pre-Calculation'!$D$17="Type 4 c",H235,IF('Pre-Calculation'!$D$17="Type 4 d",SA+H235,IF('Pre-Calculation'!$D$17="Type 4 e",MAX(SA,H235),IF('Pre-Calculation'!$D$17="Type 4 f",SA,IF('Pre-Calculation'!$D$17="Type 4 g",1000+H235,IF('Pre-Calculation'!$D$17="Type 4 h",SA+V235,IF('Pre-Calculation'!$D$17="Type 4 i",MAX(H235,Q235),IF('Pre-Calculation'!$D$17="Type 4 k",MAX(H235,1.01*Q235),IF('Pre-Calculation'!$D$17="Type 4 m",MAX(105%*Q235,SA+H235),IF('Pre-Calculation'!$D$17="Type 4 o",MAX(SA,105%*Q235)+V235+X235,IF('Pre-Calculation'!$D$17="Type 5",0)))))))))))))*IF(AND(A235&lt;Revival!$C$4,C235&gt;=Revival!$D$12),PUP,1)</f>
        <v>2881212.332</v>
      </c>
      <c r="L235" s="175">
        <f>H235-I235*(1+Tax)</f>
        <v>2881212.332</v>
      </c>
      <c r="M235" s="175">
        <f>L235*(1+'Pre-Calculation'!$E$28)*(1-'Pre-Calculation'!$E$29*(1+Tax))</f>
        <v>2894016.35</v>
      </c>
      <c r="N235" s="175">
        <f>M235+IF(MOD(A235,B235)=0,VLOOKUP(B235,'Pre-Calculation'!$H$1:$L$31,5,FALSE),0)*IF('Pre-Calculation'!$D$16="% OF FV",M235,IF(OR('Pre-Calculation'!$D$16="% OF AFV(24M)",'Pre-Calculation'!$D$16="% OF AFV(8Q)"),AVERAGE( $M212:$M235),IF('Pre-Calculation'!$D$16="% OF AFV(12M)",AVERAGE($M224:M235),IF('Pre-Calculation'!$D$16="% OF AFV(36M)",AVERAGE($M200:M235)))))</f>
        <v>2894016.35</v>
      </c>
      <c r="O235" s="175">
        <f t="shared" si="4"/>
        <v>2894016.35</v>
      </c>
      <c r="P235" s="175">
        <f>IF('Pre-Calculation'!$D$17="Type 4 a",MAX(SA,N235,1.05*Q235),IF('Pre-Calculation'!$D$17="Type 4 c",N235,IF('Pre-Calculation'!$D$17="Type 4 d",SA+N235,IF('Pre-Calculation'!$D$17="Type 4 e",MAX(SA,N235),IF('Pre-Calculation'!$D$17="Type 4 f",SA,IF('Pre-Calculation'!$D$17="Type 4 g",1000+N235,IF('Pre-Calculation'!$D$17="Type 4 h",SA+V235,IF('Pre-Calculation'!$D$17="Type 4 i",MAX(N235,Q235),IF('Pre-Calculation'!$D$17="Type 4 k",MAX(N235,1.01*Q235),IF('Pre-Calculation'!$D$17="Type 4 m",MAX(105%*Q235,SA+N235),IF('Pre-Calculation'!$D$17="Type 4 o",MAX(SA,105%*Q235)+V235+X235,IF('Pre-Calculation'!$D$17="Type 5",0))))))))))))</f>
        <v>2894016.35</v>
      </c>
      <c r="Q235" s="175">
        <f t="shared" si="5"/>
        <v>1000000</v>
      </c>
      <c r="R235" s="119">
        <f>L235*(1+GROWTH_RATE)*FMC</f>
        <v>3260.444858</v>
      </c>
      <c r="S235" s="112"/>
      <c r="T235" s="175">
        <f>-E235+IF(A234=INPUT!$C$11*12,N235,0)</f>
        <v>0</v>
      </c>
      <c r="U235" s="112"/>
      <c r="V235" s="179">
        <f t="array" ref="V235">NPV('Pre-Calculation'!$E$20,$E236:E$246)</f>
        <v>0</v>
      </c>
      <c r="W235" s="171">
        <f>10%*SA</f>
        <v>100000</v>
      </c>
      <c r="X235" s="179">
        <f t="array" ref="X235">NPV('Pre-Calculation'!$E$20,W236:W245)</f>
        <v>969592.8037</v>
      </c>
      <c r="Y235" s="12"/>
      <c r="Z235" s="12"/>
    </row>
    <row r="236" ht="15.75" customHeight="1">
      <c r="A236" s="171">
        <f t="shared" si="1"/>
        <v>290</v>
      </c>
      <c r="B236" s="171">
        <f t="shared" si="2"/>
        <v>25</v>
      </c>
      <c r="C236" s="176">
        <f>EDATE(RCD,A235)</f>
        <v>51347</v>
      </c>
      <c r="D236" s="171">
        <f>Age_At_Entry+'Cashflows_Bond Fund'!B236-1</f>
        <v>59</v>
      </c>
      <c r="E236" s="175">
        <f>IF(AND(C236&lt;=Last_Prem,MOD(A235,Mode)=0,C236&gt;INPUT!$C$13,A236&lt;=Revival!$C$11),Mod_Prem,0)</f>
        <v>0</v>
      </c>
      <c r="F236" s="177">
        <f>E236*VLOOKUP(B236,'Pre-Calculation'!$H$1:$I$31,2,FALSE)</f>
        <v>0</v>
      </c>
      <c r="G236" s="177">
        <f>IF(B236&lt;PT+1,VLOOKUP(B236,'Pre-Calculation'!$H$1:$L$32,3,FALSE)+VLOOKUP(B236,'Pre-Calculation'!$H$1:$L$32,4,FALSE)*'Pre-Calculation'!$D$7,0)</f>
        <v>0</v>
      </c>
      <c r="H236" s="175">
        <f>(E236-(F236+G236)*(1+Tax)+N235)</f>
        <v>2894016.35</v>
      </c>
      <c r="I236" s="175">
        <f>IF(B236&lt;PT+1,VLOOKUP(D236,'Pre-Calculation'!$N$3:$P$79,IF(INPUT!$C$4="M",2,3),FALSE)*(J236/1000)*(1/12),0)</f>
        <v>0</v>
      </c>
      <c r="J236" s="175">
        <f t="shared" si="3"/>
        <v>0</v>
      </c>
      <c r="K236" s="175">
        <f>(IF('Pre-Calculation'!$D$17="Type 4 a",MAX(SA,H236,1.05*Q236),IF('Pre-Calculation'!$D$17="Type 4 c",H236,IF('Pre-Calculation'!$D$17="Type 4 d",SA+H236,IF('Pre-Calculation'!$D$17="Type 4 e",MAX(SA,H236),IF('Pre-Calculation'!$D$17="Type 4 f",SA,IF('Pre-Calculation'!$D$17="Type 4 g",1000+H236,IF('Pre-Calculation'!$D$17="Type 4 h",SA+V236,IF('Pre-Calculation'!$D$17="Type 4 i",MAX(H236,Q236),IF('Pre-Calculation'!$D$17="Type 4 k",MAX(H236,1.01*Q236),IF('Pre-Calculation'!$D$17="Type 4 m",MAX(105%*Q236,SA+H236),IF('Pre-Calculation'!$D$17="Type 4 o",MAX(SA,105%*Q236)+V236+X236,IF('Pre-Calculation'!$D$17="Type 5",0)))))))))))))*IF(AND(A236&lt;Revival!$C$4,C236&gt;=Revival!$D$12),PUP,1)</f>
        <v>2894016.35</v>
      </c>
      <c r="L236" s="175">
        <f>H236-I236*(1+Tax)</f>
        <v>2894016.35</v>
      </c>
      <c r="M236" s="175">
        <f>L236*(1+'Pre-Calculation'!$E$28)*(1-'Pre-Calculation'!$E$29*(1+Tax))</f>
        <v>2906877.268</v>
      </c>
      <c r="N236" s="175">
        <f>M236+IF(MOD(A236,B236)=0,VLOOKUP(B236,'Pre-Calculation'!$H$1:$L$31,5,FALSE),0)*IF('Pre-Calculation'!$D$16="% OF FV",M236,IF(OR('Pre-Calculation'!$D$16="% OF AFV(24M)",'Pre-Calculation'!$D$16="% OF AFV(8Q)"),AVERAGE( $M213:$M236),IF('Pre-Calculation'!$D$16="% OF AFV(12M)",AVERAGE($M225:M236),IF('Pre-Calculation'!$D$16="% OF AFV(36M)",AVERAGE($M201:M236)))))</f>
        <v>2906877.268</v>
      </c>
      <c r="O236" s="175">
        <f t="shared" si="4"/>
        <v>2906877.268</v>
      </c>
      <c r="P236" s="175">
        <f>IF('Pre-Calculation'!$D$17="Type 4 a",MAX(SA,N236,1.05*Q236),IF('Pre-Calculation'!$D$17="Type 4 c",N236,IF('Pre-Calculation'!$D$17="Type 4 d",SA+N236,IF('Pre-Calculation'!$D$17="Type 4 e",MAX(SA,N236),IF('Pre-Calculation'!$D$17="Type 4 f",SA,IF('Pre-Calculation'!$D$17="Type 4 g",1000+N236,IF('Pre-Calculation'!$D$17="Type 4 h",SA+V236,IF('Pre-Calculation'!$D$17="Type 4 i",MAX(N236,Q236),IF('Pre-Calculation'!$D$17="Type 4 k",MAX(N236,1.01*Q236),IF('Pre-Calculation'!$D$17="Type 4 m",MAX(105%*Q236,SA+N236),IF('Pre-Calculation'!$D$17="Type 4 o",MAX(SA,105%*Q236)+V236+X236,IF('Pre-Calculation'!$D$17="Type 5",0))))))))))))</f>
        <v>2906877.268</v>
      </c>
      <c r="Q236" s="175">
        <f t="shared" si="5"/>
        <v>1000000</v>
      </c>
      <c r="R236" s="119">
        <f>L236*(1+GROWTH_RATE)*FMC</f>
        <v>3274.934173</v>
      </c>
      <c r="S236" s="112"/>
      <c r="T236" s="175">
        <f>-E236+IF(A235=INPUT!$C$11*12,N236,0)</f>
        <v>0</v>
      </c>
      <c r="U236" s="112"/>
      <c r="V236" s="179">
        <f t="array" ref="V236">NPV('Pre-Calculation'!$E$20,$E237:E$246)</f>
        <v>0</v>
      </c>
      <c r="W236" s="171">
        <f>10%*SA</f>
        <v>100000</v>
      </c>
      <c r="X236" s="179">
        <f t="array" ref="X236">NPV('Pre-Calculation'!$E$20,W237:W246)</f>
        <v>969592.8037</v>
      </c>
      <c r="Y236" s="12"/>
      <c r="Z236" s="12"/>
    </row>
    <row r="237" ht="15.75" customHeight="1">
      <c r="A237" s="171">
        <f t="shared" si="1"/>
        <v>291</v>
      </c>
      <c r="B237" s="171">
        <f t="shared" si="2"/>
        <v>25</v>
      </c>
      <c r="C237" s="176">
        <f>EDATE(RCD,A236)</f>
        <v>51378</v>
      </c>
      <c r="D237" s="171">
        <f>Age_At_Entry+'Cashflows_Bond Fund'!B237-1</f>
        <v>59</v>
      </c>
      <c r="E237" s="175">
        <f>IF(AND(C237&lt;=Last_Prem,MOD(A236,Mode)=0,C237&gt;INPUT!$C$13,A237&lt;=Revival!$C$11),Mod_Prem,0)</f>
        <v>0</v>
      </c>
      <c r="F237" s="177">
        <f>E237*VLOOKUP(B237,'Pre-Calculation'!$H$1:$I$31,2,FALSE)</f>
        <v>0</v>
      </c>
      <c r="G237" s="177">
        <f>IF(B237&lt;PT+1,VLOOKUP(B237,'Pre-Calculation'!$H$1:$L$32,3,FALSE)+VLOOKUP(B237,'Pre-Calculation'!$H$1:$L$32,4,FALSE)*'Pre-Calculation'!$D$7,0)</f>
        <v>0</v>
      </c>
      <c r="H237" s="175">
        <f>(E237-(F237+G237)*(1+Tax)+N236)</f>
        <v>2906877.268</v>
      </c>
      <c r="I237" s="175">
        <f>IF(B237&lt;PT+1,VLOOKUP(D237,'Pre-Calculation'!$N$3:$P$79,IF(INPUT!$C$4="M",2,3),FALSE)*(J237/1000)*(1/12),0)</f>
        <v>0</v>
      </c>
      <c r="J237" s="175">
        <f t="shared" si="3"/>
        <v>0</v>
      </c>
      <c r="K237" s="175">
        <f>(IF('Pre-Calculation'!$D$17="Type 4 a",MAX(SA,H237,1.05*Q237),IF('Pre-Calculation'!$D$17="Type 4 c",H237,IF('Pre-Calculation'!$D$17="Type 4 d",SA+H237,IF('Pre-Calculation'!$D$17="Type 4 e",MAX(SA,H237),IF('Pre-Calculation'!$D$17="Type 4 f",SA,IF('Pre-Calculation'!$D$17="Type 4 g",1000+H237,IF('Pre-Calculation'!$D$17="Type 4 h",SA+V237,IF('Pre-Calculation'!$D$17="Type 4 i",MAX(H237,Q237),IF('Pre-Calculation'!$D$17="Type 4 k",MAX(H237,1.01*Q237),IF('Pre-Calculation'!$D$17="Type 4 m",MAX(105%*Q237,SA+H237),IF('Pre-Calculation'!$D$17="Type 4 o",MAX(SA,105%*Q237)+V237+X237,IF('Pre-Calculation'!$D$17="Type 5",0)))))))))))))*IF(AND(A237&lt;Revival!$C$4,C237&gt;=Revival!$D$12),PUP,1)</f>
        <v>2906877.268</v>
      </c>
      <c r="L237" s="175">
        <f>H237-I237*(1+Tax)</f>
        <v>2906877.268</v>
      </c>
      <c r="M237" s="175">
        <f>L237*(1+'Pre-Calculation'!$E$28)*(1-'Pre-Calculation'!$E$29*(1+Tax))</f>
        <v>2919795.339</v>
      </c>
      <c r="N237" s="175">
        <f>M237+IF(MOD(A237,B237)=0,VLOOKUP(B237,'Pre-Calculation'!$H$1:$L$31,5,FALSE),0)*IF('Pre-Calculation'!$D$16="% OF FV",M237,IF(OR('Pre-Calculation'!$D$16="% OF AFV(24M)",'Pre-Calculation'!$D$16="% OF AFV(8Q)"),AVERAGE( $M214:$M237),IF('Pre-Calculation'!$D$16="% OF AFV(12M)",AVERAGE($M226:M237),IF('Pre-Calculation'!$D$16="% OF AFV(36M)",AVERAGE($M202:M237)))))</f>
        <v>2919795.339</v>
      </c>
      <c r="O237" s="175">
        <f t="shared" si="4"/>
        <v>2919795.339</v>
      </c>
      <c r="P237" s="175">
        <f>IF('Pre-Calculation'!$D$17="Type 4 a",MAX(SA,N237,1.05*Q237),IF('Pre-Calculation'!$D$17="Type 4 c",N237,IF('Pre-Calculation'!$D$17="Type 4 d",SA+N237,IF('Pre-Calculation'!$D$17="Type 4 e",MAX(SA,N237),IF('Pre-Calculation'!$D$17="Type 4 f",SA,IF('Pre-Calculation'!$D$17="Type 4 g",1000+N237,IF('Pre-Calculation'!$D$17="Type 4 h",SA+V237,IF('Pre-Calculation'!$D$17="Type 4 i",MAX(N237,Q237),IF('Pre-Calculation'!$D$17="Type 4 k",MAX(N237,1.01*Q237),IF('Pre-Calculation'!$D$17="Type 4 m",MAX(105%*Q237,SA+N237),IF('Pre-Calculation'!$D$17="Type 4 o",MAX(SA,105%*Q237)+V237+X237,IF('Pre-Calculation'!$D$17="Type 5",0))))))))))))</f>
        <v>2919795.339</v>
      </c>
      <c r="Q237" s="175">
        <f t="shared" si="5"/>
        <v>1000000</v>
      </c>
      <c r="R237" s="119">
        <f>L237*(1+GROWTH_RATE)*FMC</f>
        <v>3289.487879</v>
      </c>
      <c r="S237" s="112"/>
      <c r="T237" s="175">
        <f>-E237+IF(A236=INPUT!$C$11*12,N237,0)</f>
        <v>0</v>
      </c>
      <c r="U237" s="112"/>
      <c r="V237" s="179">
        <f t="array" ref="V237">NPV('Pre-Calculation'!$E$20,$E238:E$246)</f>
        <v>0</v>
      </c>
      <c r="W237" s="171">
        <f>10%*SA</f>
        <v>100000</v>
      </c>
      <c r="X237" s="179">
        <f t="array" ref="X237">NPV('Pre-Calculation'!$E$20,W238:W247)</f>
        <v>969592.8037</v>
      </c>
      <c r="Y237" s="12"/>
      <c r="Z237" s="12"/>
    </row>
    <row r="238" ht="15.75" customHeight="1">
      <c r="A238" s="171">
        <f t="shared" si="1"/>
        <v>292</v>
      </c>
      <c r="B238" s="171">
        <f t="shared" si="2"/>
        <v>25</v>
      </c>
      <c r="C238" s="176">
        <f>EDATE(RCD,A237)</f>
        <v>51409</v>
      </c>
      <c r="D238" s="171">
        <f>Age_At_Entry+'Cashflows_Bond Fund'!B238-1</f>
        <v>59</v>
      </c>
      <c r="E238" s="175">
        <f>IF(AND(C238&lt;=Last_Prem,MOD(A237,Mode)=0,C238&gt;INPUT!$C$13,A238&lt;=Revival!$C$11),Mod_Prem,0)</f>
        <v>0</v>
      </c>
      <c r="F238" s="177">
        <f>E238*VLOOKUP(B238,'Pre-Calculation'!$H$1:$I$31,2,FALSE)</f>
        <v>0</v>
      </c>
      <c r="G238" s="177">
        <f>IF(B238&lt;PT+1,VLOOKUP(B238,'Pre-Calculation'!$H$1:$L$32,3,FALSE)+VLOOKUP(B238,'Pre-Calculation'!$H$1:$L$32,4,FALSE)*'Pre-Calculation'!$D$7,0)</f>
        <v>0</v>
      </c>
      <c r="H238" s="175">
        <f>(E238-(F238+G238)*(1+Tax)+N237)</f>
        <v>2919795.339</v>
      </c>
      <c r="I238" s="175">
        <f>IF(B238&lt;PT+1,VLOOKUP(D238,'Pre-Calculation'!$N$3:$P$79,IF(INPUT!$C$4="M",2,3),FALSE)*(J238/1000)*(1/12),0)</f>
        <v>0</v>
      </c>
      <c r="J238" s="175">
        <f t="shared" si="3"/>
        <v>0</v>
      </c>
      <c r="K238" s="175">
        <f>(IF('Pre-Calculation'!$D$17="Type 4 a",MAX(SA,H238,1.05*Q238),IF('Pre-Calculation'!$D$17="Type 4 c",H238,IF('Pre-Calculation'!$D$17="Type 4 d",SA+H238,IF('Pre-Calculation'!$D$17="Type 4 e",MAX(SA,H238),IF('Pre-Calculation'!$D$17="Type 4 f",SA,IF('Pre-Calculation'!$D$17="Type 4 g",1000+H238,IF('Pre-Calculation'!$D$17="Type 4 h",SA+V238,IF('Pre-Calculation'!$D$17="Type 4 i",MAX(H238,Q238),IF('Pre-Calculation'!$D$17="Type 4 k",MAX(H238,1.01*Q238),IF('Pre-Calculation'!$D$17="Type 4 m",MAX(105%*Q238,SA+H238),IF('Pre-Calculation'!$D$17="Type 4 o",MAX(SA,105%*Q238)+V238+X238,IF('Pre-Calculation'!$D$17="Type 5",0)))))))))))))*IF(AND(A238&lt;Revival!$C$4,C238&gt;=Revival!$D$12),PUP,1)</f>
        <v>2919795.339</v>
      </c>
      <c r="L238" s="175">
        <f>H238-I238*(1+Tax)</f>
        <v>2919795.339</v>
      </c>
      <c r="M238" s="175">
        <f>L238*(1+'Pre-Calculation'!$E$28)*(1-'Pre-Calculation'!$E$29*(1+Tax))</f>
        <v>2932770.819</v>
      </c>
      <c r="N238" s="175">
        <f>M238+IF(MOD(A238,B238)=0,VLOOKUP(B238,'Pre-Calculation'!$H$1:$L$31,5,FALSE),0)*IF('Pre-Calculation'!$D$16="% OF FV",M238,IF(OR('Pre-Calculation'!$D$16="% OF AFV(24M)",'Pre-Calculation'!$D$16="% OF AFV(8Q)"),AVERAGE( $M215:$M238),IF('Pre-Calculation'!$D$16="% OF AFV(12M)",AVERAGE($M227:M238),IF('Pre-Calculation'!$D$16="% OF AFV(36M)",AVERAGE($M203:M238)))))</f>
        <v>2932770.819</v>
      </c>
      <c r="O238" s="175">
        <f t="shared" si="4"/>
        <v>2932770.819</v>
      </c>
      <c r="P238" s="175">
        <f>IF('Pre-Calculation'!$D$17="Type 4 a",MAX(SA,N238,1.05*Q238),IF('Pre-Calculation'!$D$17="Type 4 c",N238,IF('Pre-Calculation'!$D$17="Type 4 d",SA+N238,IF('Pre-Calculation'!$D$17="Type 4 e",MAX(SA,N238),IF('Pre-Calculation'!$D$17="Type 4 f",SA,IF('Pre-Calculation'!$D$17="Type 4 g",1000+N238,IF('Pre-Calculation'!$D$17="Type 4 h",SA+V238,IF('Pre-Calculation'!$D$17="Type 4 i",MAX(N238,Q238),IF('Pre-Calculation'!$D$17="Type 4 k",MAX(N238,1.01*Q238),IF('Pre-Calculation'!$D$17="Type 4 m",MAX(105%*Q238,SA+N238),IF('Pre-Calculation'!$D$17="Type 4 o",MAX(SA,105%*Q238)+V238+X238,IF('Pre-Calculation'!$D$17="Type 5",0))))))))))))</f>
        <v>2932770.819</v>
      </c>
      <c r="Q238" s="175">
        <f t="shared" si="5"/>
        <v>1000000</v>
      </c>
      <c r="R238" s="119">
        <f>L238*(1+GROWTH_RATE)*FMC</f>
        <v>3304.10626</v>
      </c>
      <c r="S238" s="112"/>
      <c r="T238" s="175">
        <f>-E238+IF(A237=INPUT!$C$11*12,N238,0)</f>
        <v>0</v>
      </c>
      <c r="U238" s="112"/>
      <c r="V238" s="179">
        <f t="array" ref="V238">NPV('Pre-Calculation'!$E$20,$E239:E$246)</f>
        <v>0</v>
      </c>
      <c r="W238" s="171">
        <f>10%*SA</f>
        <v>100000</v>
      </c>
      <c r="X238" s="179">
        <f t="array" ref="X238">NPV('Pre-Calculation'!$E$20,W239:W248)</f>
        <v>969592.8037</v>
      </c>
      <c r="Y238" s="12"/>
      <c r="Z238" s="12"/>
    </row>
    <row r="239" ht="15.75" customHeight="1">
      <c r="A239" s="171">
        <f t="shared" si="1"/>
        <v>293</v>
      </c>
      <c r="B239" s="171">
        <f t="shared" si="2"/>
        <v>25</v>
      </c>
      <c r="C239" s="176">
        <f>EDATE(RCD,A238)</f>
        <v>51439</v>
      </c>
      <c r="D239" s="171">
        <f>Age_At_Entry+'Cashflows_Bond Fund'!B239-1</f>
        <v>59</v>
      </c>
      <c r="E239" s="175">
        <f>IF(AND(C239&lt;=Last_Prem,MOD(A238,Mode)=0,C239&gt;INPUT!$C$13,A239&lt;=Revival!$C$11),Mod_Prem,0)</f>
        <v>0</v>
      </c>
      <c r="F239" s="177">
        <f>E239*VLOOKUP(B239,'Pre-Calculation'!$H$1:$I$31,2,FALSE)</f>
        <v>0</v>
      </c>
      <c r="G239" s="177">
        <f>IF(B239&lt;PT+1,VLOOKUP(B239,'Pre-Calculation'!$H$1:$L$32,3,FALSE)+VLOOKUP(B239,'Pre-Calculation'!$H$1:$L$32,4,FALSE)*'Pre-Calculation'!$D$7,0)</f>
        <v>0</v>
      </c>
      <c r="H239" s="175">
        <f>(E239-(F239+G239)*(1+Tax)+N238)</f>
        <v>2932770.819</v>
      </c>
      <c r="I239" s="175">
        <f>IF(B239&lt;PT+1,VLOOKUP(D239,'Pre-Calculation'!$N$3:$P$79,IF(INPUT!$C$4="M",2,3),FALSE)*(J239/1000)*(1/12),0)</f>
        <v>0</v>
      </c>
      <c r="J239" s="175">
        <f t="shared" si="3"/>
        <v>0</v>
      </c>
      <c r="K239" s="175">
        <f>(IF('Pre-Calculation'!$D$17="Type 4 a",MAX(SA,H239,1.05*Q239),IF('Pre-Calculation'!$D$17="Type 4 c",H239,IF('Pre-Calculation'!$D$17="Type 4 d",SA+H239,IF('Pre-Calculation'!$D$17="Type 4 e",MAX(SA,H239),IF('Pre-Calculation'!$D$17="Type 4 f",SA,IF('Pre-Calculation'!$D$17="Type 4 g",1000+H239,IF('Pre-Calculation'!$D$17="Type 4 h",SA+V239,IF('Pre-Calculation'!$D$17="Type 4 i",MAX(H239,Q239),IF('Pre-Calculation'!$D$17="Type 4 k",MAX(H239,1.01*Q239),IF('Pre-Calculation'!$D$17="Type 4 m",MAX(105%*Q239,SA+H239),IF('Pre-Calculation'!$D$17="Type 4 o",MAX(SA,105%*Q239)+V239+X239,IF('Pre-Calculation'!$D$17="Type 5",0)))))))))))))*IF(AND(A239&lt;Revival!$C$4,C239&gt;=Revival!$D$12),PUP,1)</f>
        <v>2932770.819</v>
      </c>
      <c r="L239" s="175">
        <f>H239-I239*(1+Tax)</f>
        <v>2932770.819</v>
      </c>
      <c r="M239" s="175">
        <f>L239*(1+'Pre-Calculation'!$E$28)*(1-'Pre-Calculation'!$E$29*(1+Tax))</f>
        <v>2945803.96</v>
      </c>
      <c r="N239" s="175">
        <f>M239+IF(MOD(A239,B239)=0,VLOOKUP(B239,'Pre-Calculation'!$H$1:$L$31,5,FALSE),0)*IF('Pre-Calculation'!$D$16="% OF FV",M239,IF(OR('Pre-Calculation'!$D$16="% OF AFV(24M)",'Pre-Calculation'!$D$16="% OF AFV(8Q)"),AVERAGE( $M216:$M239),IF('Pre-Calculation'!$D$16="% OF AFV(12M)",AVERAGE($M228:M239),IF('Pre-Calculation'!$D$16="% OF AFV(36M)",AVERAGE($M204:M239)))))</f>
        <v>2945803.96</v>
      </c>
      <c r="O239" s="175">
        <f t="shared" si="4"/>
        <v>2945803.96</v>
      </c>
      <c r="P239" s="175">
        <f>IF('Pre-Calculation'!$D$17="Type 4 a",MAX(SA,N239,1.05*Q239),IF('Pre-Calculation'!$D$17="Type 4 c",N239,IF('Pre-Calculation'!$D$17="Type 4 d",SA+N239,IF('Pre-Calculation'!$D$17="Type 4 e",MAX(SA,N239),IF('Pre-Calculation'!$D$17="Type 4 f",SA,IF('Pre-Calculation'!$D$17="Type 4 g",1000+N239,IF('Pre-Calculation'!$D$17="Type 4 h",SA+V239,IF('Pre-Calculation'!$D$17="Type 4 i",MAX(N239,Q239),IF('Pre-Calculation'!$D$17="Type 4 k",MAX(N239,1.01*Q239),IF('Pre-Calculation'!$D$17="Type 4 m",MAX(105%*Q239,SA+N239),IF('Pre-Calculation'!$D$17="Type 4 o",MAX(SA,105%*Q239)+V239+X239,IF('Pre-Calculation'!$D$17="Type 5",0))))))))))))</f>
        <v>2945803.96</v>
      </c>
      <c r="Q239" s="175">
        <f t="shared" si="5"/>
        <v>1000000</v>
      </c>
      <c r="R239" s="119">
        <f>L239*(1+GROWTH_RATE)*FMC</f>
        <v>3318.789605</v>
      </c>
      <c r="S239" s="112"/>
      <c r="T239" s="175">
        <f>-E239+IF(A238=INPUT!$C$11*12,N239,0)</f>
        <v>0</v>
      </c>
      <c r="U239" s="112"/>
      <c r="V239" s="179">
        <f t="array" ref="V239">NPV('Pre-Calculation'!$E$20,$E240:E$246)</f>
        <v>0</v>
      </c>
      <c r="W239" s="171">
        <f>10%*SA</f>
        <v>100000</v>
      </c>
      <c r="X239" s="179">
        <f t="array" ref="X239">NPV('Pre-Calculation'!$E$20,W240:W249)</f>
        <v>969592.8037</v>
      </c>
      <c r="Y239" s="12"/>
      <c r="Z239" s="12"/>
    </row>
    <row r="240" ht="15.75" customHeight="1">
      <c r="A240" s="171">
        <f t="shared" si="1"/>
        <v>294</v>
      </c>
      <c r="B240" s="171">
        <f t="shared" si="2"/>
        <v>25</v>
      </c>
      <c r="C240" s="176">
        <f>EDATE(RCD,A239)</f>
        <v>51470</v>
      </c>
      <c r="D240" s="171">
        <f>Age_At_Entry+'Cashflows_Bond Fund'!B240-1</f>
        <v>59</v>
      </c>
      <c r="E240" s="175">
        <f>IF(AND(C240&lt;=Last_Prem,MOD(A239,Mode)=0,C240&gt;INPUT!$C$13,A240&lt;=Revival!$C$11),Mod_Prem,0)</f>
        <v>0</v>
      </c>
      <c r="F240" s="177">
        <f>E240*VLOOKUP(B240,'Pre-Calculation'!$H$1:$I$31,2,FALSE)</f>
        <v>0</v>
      </c>
      <c r="G240" s="177">
        <f>IF(B240&lt;PT+1,VLOOKUP(B240,'Pre-Calculation'!$H$1:$L$32,3,FALSE)+VLOOKUP(B240,'Pre-Calculation'!$H$1:$L$32,4,FALSE)*'Pre-Calculation'!$D$7,0)</f>
        <v>0</v>
      </c>
      <c r="H240" s="175">
        <f>(E240-(F240+G240)*(1+Tax)+N239)</f>
        <v>2945803.96</v>
      </c>
      <c r="I240" s="175">
        <f>IF(B240&lt;PT+1,VLOOKUP(D240,'Pre-Calculation'!$N$3:$P$79,IF(INPUT!$C$4="M",2,3),FALSE)*(J240/1000)*(1/12),0)</f>
        <v>0</v>
      </c>
      <c r="J240" s="175">
        <f t="shared" si="3"/>
        <v>0</v>
      </c>
      <c r="K240" s="175">
        <f>(IF('Pre-Calculation'!$D$17="Type 4 a",MAX(SA,H240,1.05*Q240),IF('Pre-Calculation'!$D$17="Type 4 c",H240,IF('Pre-Calculation'!$D$17="Type 4 d",SA+H240,IF('Pre-Calculation'!$D$17="Type 4 e",MAX(SA,H240),IF('Pre-Calculation'!$D$17="Type 4 f",SA,IF('Pre-Calculation'!$D$17="Type 4 g",1000+H240,IF('Pre-Calculation'!$D$17="Type 4 h",SA+V240,IF('Pre-Calculation'!$D$17="Type 4 i",MAX(H240,Q240),IF('Pre-Calculation'!$D$17="Type 4 k",MAX(H240,1.01*Q240),IF('Pre-Calculation'!$D$17="Type 4 m",MAX(105%*Q240,SA+H240),IF('Pre-Calculation'!$D$17="Type 4 o",MAX(SA,105%*Q240)+V240+X240,IF('Pre-Calculation'!$D$17="Type 5",0)))))))))))))*IF(AND(A240&lt;Revival!$C$4,C240&gt;=Revival!$D$12),PUP,1)</f>
        <v>2945803.96</v>
      </c>
      <c r="L240" s="175">
        <f>H240-I240*(1+Tax)</f>
        <v>2945803.96</v>
      </c>
      <c r="M240" s="175">
        <f>L240*(1+'Pre-Calculation'!$E$28)*(1-'Pre-Calculation'!$E$29*(1+Tax))</f>
        <v>2958895.021</v>
      </c>
      <c r="N240" s="175">
        <f>M240+IF(MOD(A240,B240)=0,VLOOKUP(B240,'Pre-Calculation'!$H$1:$L$31,5,FALSE),0)*IF('Pre-Calculation'!$D$16="% OF FV",M240,IF(OR('Pre-Calculation'!$D$16="% OF AFV(24M)",'Pre-Calculation'!$D$16="% OF AFV(8Q)"),AVERAGE( $M217:$M240),IF('Pre-Calculation'!$D$16="% OF AFV(12M)",AVERAGE($M229:M240),IF('Pre-Calculation'!$D$16="% OF AFV(36M)",AVERAGE($M205:M240)))))</f>
        <v>2958895.021</v>
      </c>
      <c r="O240" s="175">
        <f t="shared" si="4"/>
        <v>2958895.021</v>
      </c>
      <c r="P240" s="175">
        <f>IF('Pre-Calculation'!$D$17="Type 4 a",MAX(SA,N240,1.05*Q240),IF('Pre-Calculation'!$D$17="Type 4 c",N240,IF('Pre-Calculation'!$D$17="Type 4 d",SA+N240,IF('Pre-Calculation'!$D$17="Type 4 e",MAX(SA,N240),IF('Pre-Calculation'!$D$17="Type 4 f",SA,IF('Pre-Calculation'!$D$17="Type 4 g",1000+N240,IF('Pre-Calculation'!$D$17="Type 4 h",SA+V240,IF('Pre-Calculation'!$D$17="Type 4 i",MAX(N240,Q240),IF('Pre-Calculation'!$D$17="Type 4 k",MAX(N240,1.01*Q240),IF('Pre-Calculation'!$D$17="Type 4 m",MAX(105%*Q240,SA+N240),IF('Pre-Calculation'!$D$17="Type 4 o",MAX(SA,105%*Q240)+V240+X240,IF('Pre-Calculation'!$D$17="Type 5",0))))))))))))</f>
        <v>2958895.021</v>
      </c>
      <c r="Q240" s="175">
        <f t="shared" si="5"/>
        <v>1000000</v>
      </c>
      <c r="R240" s="119">
        <f>L240*(1+GROWTH_RATE)*FMC</f>
        <v>3333.538202</v>
      </c>
      <c r="S240" s="112"/>
      <c r="T240" s="175">
        <f>-E240+IF(A239=INPUT!$C$11*12,N240,0)</f>
        <v>0</v>
      </c>
      <c r="U240" s="112"/>
      <c r="V240" s="179">
        <f t="array" ref="V240">NPV('Pre-Calculation'!$E$20,$E241:E$246)</f>
        <v>0</v>
      </c>
      <c r="W240" s="171">
        <f>10%*SA</f>
        <v>100000</v>
      </c>
      <c r="X240" s="179">
        <f t="array" ref="X240">NPV('Pre-Calculation'!$E$20,W241:W250)</f>
        <v>969592.8037</v>
      </c>
      <c r="Y240" s="12"/>
      <c r="Z240" s="12"/>
    </row>
    <row r="241" ht="15.75" customHeight="1">
      <c r="A241" s="171">
        <f t="shared" si="1"/>
        <v>295</v>
      </c>
      <c r="B241" s="171">
        <f t="shared" si="2"/>
        <v>25</v>
      </c>
      <c r="C241" s="176">
        <f>EDATE(RCD,A240)</f>
        <v>51500</v>
      </c>
      <c r="D241" s="171">
        <f>Age_At_Entry+'Cashflows_Bond Fund'!B241-1</f>
        <v>59</v>
      </c>
      <c r="E241" s="175">
        <f>IF(AND(C241&lt;=Last_Prem,MOD(A240,Mode)=0,C241&gt;INPUT!$C$13,A241&lt;=Revival!$C$11),Mod_Prem,0)</f>
        <v>0</v>
      </c>
      <c r="F241" s="177">
        <f>E241*VLOOKUP(B241,'Pre-Calculation'!$H$1:$I$31,2,FALSE)</f>
        <v>0</v>
      </c>
      <c r="G241" s="177">
        <f>IF(B241&lt;PT+1,VLOOKUP(B241,'Pre-Calculation'!$H$1:$L$32,3,FALSE)+VLOOKUP(B241,'Pre-Calculation'!$H$1:$L$32,4,FALSE)*'Pre-Calculation'!$D$7,0)</f>
        <v>0</v>
      </c>
      <c r="H241" s="175">
        <f>(E241-(F241+G241)*(1+Tax)+N240)</f>
        <v>2958895.021</v>
      </c>
      <c r="I241" s="175">
        <f>IF(B241&lt;PT+1,VLOOKUP(D241,'Pre-Calculation'!$N$3:$P$79,IF(INPUT!$C$4="M",2,3),FALSE)*(J241/1000)*(1/12),0)</f>
        <v>0</v>
      </c>
      <c r="J241" s="175">
        <f t="shared" si="3"/>
        <v>0</v>
      </c>
      <c r="K241" s="175">
        <f>(IF('Pre-Calculation'!$D$17="Type 4 a",MAX(SA,H241,1.05*Q241),IF('Pre-Calculation'!$D$17="Type 4 c",H241,IF('Pre-Calculation'!$D$17="Type 4 d",SA+H241,IF('Pre-Calculation'!$D$17="Type 4 e",MAX(SA,H241),IF('Pre-Calculation'!$D$17="Type 4 f",SA,IF('Pre-Calculation'!$D$17="Type 4 g",1000+H241,IF('Pre-Calculation'!$D$17="Type 4 h",SA+V241,IF('Pre-Calculation'!$D$17="Type 4 i",MAX(H241,Q241),IF('Pre-Calculation'!$D$17="Type 4 k",MAX(H241,1.01*Q241),IF('Pre-Calculation'!$D$17="Type 4 m",MAX(105%*Q241,SA+H241),IF('Pre-Calculation'!$D$17="Type 4 o",MAX(SA,105%*Q241)+V241+X241,IF('Pre-Calculation'!$D$17="Type 5",0)))))))))))))*IF(AND(A241&lt;Revival!$C$4,C241&gt;=Revival!$D$12),PUP,1)</f>
        <v>2958895.021</v>
      </c>
      <c r="L241" s="175">
        <f>H241-I241*(1+Tax)</f>
        <v>2958895.021</v>
      </c>
      <c r="M241" s="175">
        <f>L241*(1+'Pre-Calculation'!$E$28)*(1-'Pre-Calculation'!$E$29*(1+Tax))</f>
        <v>2972044.258</v>
      </c>
      <c r="N241" s="175">
        <f>M241+IF(MOD(A241,B241)=0,VLOOKUP(B241,'Pre-Calculation'!$H$1:$L$31,5,FALSE),0)*IF('Pre-Calculation'!$D$16="% OF FV",M241,IF(OR('Pre-Calculation'!$D$16="% OF AFV(24M)",'Pre-Calculation'!$D$16="% OF AFV(8Q)"),AVERAGE( $M218:$M241),IF('Pre-Calculation'!$D$16="% OF AFV(12M)",AVERAGE($M230:M241),IF('Pre-Calculation'!$D$16="% OF AFV(36M)",AVERAGE($M206:M241)))))</f>
        <v>2972044.258</v>
      </c>
      <c r="O241" s="175">
        <f t="shared" si="4"/>
        <v>2972044.258</v>
      </c>
      <c r="P241" s="175">
        <f>IF('Pre-Calculation'!$D$17="Type 4 a",MAX(SA,N241,1.05*Q241),IF('Pre-Calculation'!$D$17="Type 4 c",N241,IF('Pre-Calculation'!$D$17="Type 4 d",SA+N241,IF('Pre-Calculation'!$D$17="Type 4 e",MAX(SA,N241),IF('Pre-Calculation'!$D$17="Type 4 f",SA,IF('Pre-Calculation'!$D$17="Type 4 g",1000+N241,IF('Pre-Calculation'!$D$17="Type 4 h",SA+V241,IF('Pre-Calculation'!$D$17="Type 4 i",MAX(N241,Q241),IF('Pre-Calculation'!$D$17="Type 4 k",MAX(N241,1.01*Q241),IF('Pre-Calculation'!$D$17="Type 4 m",MAX(105%*Q241,SA+N241),IF('Pre-Calculation'!$D$17="Type 4 o",MAX(SA,105%*Q241)+V241+X241,IF('Pre-Calculation'!$D$17="Type 5",0))))))))))))</f>
        <v>2972044.258</v>
      </c>
      <c r="Q241" s="175">
        <f t="shared" si="5"/>
        <v>1000000</v>
      </c>
      <c r="R241" s="119">
        <f>L241*(1+GROWTH_RATE)*FMC</f>
        <v>3348.352342</v>
      </c>
      <c r="S241" s="112"/>
      <c r="T241" s="175">
        <f>-E241+IF(A240=INPUT!$C$11*12,N241,0)</f>
        <v>0</v>
      </c>
      <c r="U241" s="112"/>
      <c r="V241" s="179">
        <f t="array" ref="V241">NPV('Pre-Calculation'!$E$20,$E242:E$246)</f>
        <v>0</v>
      </c>
      <c r="W241" s="171">
        <f>10%*SA</f>
        <v>100000</v>
      </c>
      <c r="X241" s="179">
        <f t="array" ref="X241">NPV('Pre-Calculation'!$E$20,W242:W251)</f>
        <v>969592.8037</v>
      </c>
      <c r="Y241" s="12"/>
      <c r="Z241" s="12"/>
    </row>
    <row r="242" ht="15.75" customHeight="1">
      <c r="A242" s="171">
        <f t="shared" si="1"/>
        <v>296</v>
      </c>
      <c r="B242" s="171">
        <f t="shared" si="2"/>
        <v>25</v>
      </c>
      <c r="C242" s="176">
        <f>EDATE(RCD,A241)</f>
        <v>51531</v>
      </c>
      <c r="D242" s="171">
        <f>Age_At_Entry+'Cashflows_Bond Fund'!B242-1</f>
        <v>59</v>
      </c>
      <c r="E242" s="175">
        <f>IF(AND(C242&lt;=Last_Prem,MOD(A241,Mode)=0,C242&gt;INPUT!$C$13,A242&lt;=Revival!$C$11),Mod_Prem,0)</f>
        <v>0</v>
      </c>
      <c r="F242" s="177">
        <f>E242*VLOOKUP(B242,'Pre-Calculation'!$H$1:$I$31,2,FALSE)</f>
        <v>0</v>
      </c>
      <c r="G242" s="177">
        <f>IF(B242&lt;PT+1,VLOOKUP(B242,'Pre-Calculation'!$H$1:$L$32,3,FALSE)+VLOOKUP(B242,'Pre-Calculation'!$H$1:$L$32,4,FALSE)*'Pre-Calculation'!$D$7,0)</f>
        <v>0</v>
      </c>
      <c r="H242" s="175">
        <f>(E242-(F242+G242)*(1+Tax)+N241)</f>
        <v>2972044.258</v>
      </c>
      <c r="I242" s="175">
        <f>IF(B242&lt;PT+1,VLOOKUP(D242,'Pre-Calculation'!$N$3:$P$79,IF(INPUT!$C$4="M",2,3),FALSE)*(J242/1000)*(1/12),0)</f>
        <v>0</v>
      </c>
      <c r="J242" s="175">
        <f t="shared" si="3"/>
        <v>0</v>
      </c>
      <c r="K242" s="175">
        <f>(IF('Pre-Calculation'!$D$17="Type 4 a",MAX(SA,H242,1.05*Q242),IF('Pre-Calculation'!$D$17="Type 4 c",H242,IF('Pre-Calculation'!$D$17="Type 4 d",SA+H242,IF('Pre-Calculation'!$D$17="Type 4 e",MAX(SA,H242),IF('Pre-Calculation'!$D$17="Type 4 f",SA,IF('Pre-Calculation'!$D$17="Type 4 g",1000+H242,IF('Pre-Calculation'!$D$17="Type 4 h",SA+V242,IF('Pre-Calculation'!$D$17="Type 4 i",MAX(H242,Q242),IF('Pre-Calculation'!$D$17="Type 4 k",MAX(H242,1.01*Q242),IF('Pre-Calculation'!$D$17="Type 4 m",MAX(105%*Q242,SA+H242),IF('Pre-Calculation'!$D$17="Type 4 o",MAX(SA,105%*Q242)+V242+X242,IF('Pre-Calculation'!$D$17="Type 5",0)))))))))))))*IF(AND(A242&lt;Revival!$C$4,C242&gt;=Revival!$D$12),PUP,1)</f>
        <v>2972044.258</v>
      </c>
      <c r="L242" s="175">
        <f>H242-I242*(1+Tax)</f>
        <v>2972044.258</v>
      </c>
      <c r="M242" s="175">
        <f>L242*(1+'Pre-Calculation'!$E$28)*(1-'Pre-Calculation'!$E$29*(1+Tax))</f>
        <v>2985251.93</v>
      </c>
      <c r="N242" s="175">
        <f>M242+IF(MOD(A242,B242)=0,VLOOKUP(B242,'Pre-Calculation'!$H$1:$L$31,5,FALSE),0)*IF('Pre-Calculation'!$D$16="% OF FV",M242,IF(OR('Pre-Calculation'!$D$16="% OF AFV(24M)",'Pre-Calculation'!$D$16="% OF AFV(8Q)"),AVERAGE( $M219:$M242),IF('Pre-Calculation'!$D$16="% OF AFV(12M)",AVERAGE($M231:M242),IF('Pre-Calculation'!$D$16="% OF AFV(36M)",AVERAGE($M207:M242)))))</f>
        <v>2985251.93</v>
      </c>
      <c r="O242" s="175">
        <f t="shared" si="4"/>
        <v>2985251.93</v>
      </c>
      <c r="P242" s="175">
        <f>IF('Pre-Calculation'!$D$17="Type 4 a",MAX(SA,N242,1.05*Q242),IF('Pre-Calculation'!$D$17="Type 4 c",N242,IF('Pre-Calculation'!$D$17="Type 4 d",SA+N242,IF('Pre-Calculation'!$D$17="Type 4 e",MAX(SA,N242),IF('Pre-Calculation'!$D$17="Type 4 f",SA,IF('Pre-Calculation'!$D$17="Type 4 g",1000+N242,IF('Pre-Calculation'!$D$17="Type 4 h",SA+V242,IF('Pre-Calculation'!$D$17="Type 4 i",MAX(N242,Q242),IF('Pre-Calculation'!$D$17="Type 4 k",MAX(N242,1.01*Q242),IF('Pre-Calculation'!$D$17="Type 4 m",MAX(105%*Q242,SA+N242),IF('Pre-Calculation'!$D$17="Type 4 o",MAX(SA,105%*Q242)+V242+X242,IF('Pre-Calculation'!$D$17="Type 5",0))))))))))))</f>
        <v>2985251.93</v>
      </c>
      <c r="Q242" s="175">
        <f t="shared" si="5"/>
        <v>1000000</v>
      </c>
      <c r="R242" s="119">
        <f>L242*(1+GROWTH_RATE)*FMC</f>
        <v>3363.232315</v>
      </c>
      <c r="S242" s="112"/>
      <c r="T242" s="175">
        <f>-E242+IF(A241=INPUT!$C$11*12,N242,0)</f>
        <v>0</v>
      </c>
      <c r="U242" s="112"/>
      <c r="V242" s="179">
        <f t="array" ref="V242">NPV('Pre-Calculation'!$E$20,$E243:E$246)</f>
        <v>0</v>
      </c>
      <c r="W242" s="171">
        <f>10%*SA</f>
        <v>100000</v>
      </c>
      <c r="X242" s="179">
        <f t="array" ref="X242">NPV('Pre-Calculation'!$E$20,W243:W252)</f>
        <v>969592.8037</v>
      </c>
      <c r="Y242" s="12"/>
      <c r="Z242" s="12"/>
    </row>
    <row r="243" ht="15.75" customHeight="1">
      <c r="A243" s="171">
        <f t="shared" si="1"/>
        <v>297</v>
      </c>
      <c r="B243" s="171">
        <f t="shared" si="2"/>
        <v>25</v>
      </c>
      <c r="C243" s="176">
        <f>EDATE(RCD,A242)</f>
        <v>51560</v>
      </c>
      <c r="D243" s="171">
        <f>Age_At_Entry+'Cashflows_Bond Fund'!B243-1</f>
        <v>59</v>
      </c>
      <c r="E243" s="175">
        <f>IF(AND(C243&lt;=Last_Prem,MOD(A242,Mode)=0,C243&gt;INPUT!$C$13,A243&lt;=Revival!$C$11),Mod_Prem,0)</f>
        <v>0</v>
      </c>
      <c r="F243" s="177">
        <f>E243*VLOOKUP(B243,'Pre-Calculation'!$H$1:$I$31,2,FALSE)</f>
        <v>0</v>
      </c>
      <c r="G243" s="177">
        <f>IF(B243&lt;PT+1,VLOOKUP(B243,'Pre-Calculation'!$H$1:$L$32,3,FALSE)+VLOOKUP(B243,'Pre-Calculation'!$H$1:$L$32,4,FALSE)*'Pre-Calculation'!$D$7,0)</f>
        <v>0</v>
      </c>
      <c r="H243" s="175">
        <f>(E243-(F243+G243)*(1+Tax)+N242)</f>
        <v>2985251.93</v>
      </c>
      <c r="I243" s="175">
        <f>IF(B243&lt;PT+1,VLOOKUP(D243,'Pre-Calculation'!$N$3:$P$79,IF(INPUT!$C$4="M",2,3),FALSE)*(J243/1000)*(1/12),0)</f>
        <v>0</v>
      </c>
      <c r="J243" s="175">
        <f t="shared" si="3"/>
        <v>0</v>
      </c>
      <c r="K243" s="175">
        <f>(IF('Pre-Calculation'!$D$17="Type 4 a",MAX(SA,H243,1.05*Q243),IF('Pre-Calculation'!$D$17="Type 4 c",H243,IF('Pre-Calculation'!$D$17="Type 4 d",SA+H243,IF('Pre-Calculation'!$D$17="Type 4 e",MAX(SA,H243),IF('Pre-Calculation'!$D$17="Type 4 f",SA,IF('Pre-Calculation'!$D$17="Type 4 g",1000+H243,IF('Pre-Calculation'!$D$17="Type 4 h",SA+V243,IF('Pre-Calculation'!$D$17="Type 4 i",MAX(H243,Q243),IF('Pre-Calculation'!$D$17="Type 4 k",MAX(H243,1.01*Q243),IF('Pre-Calculation'!$D$17="Type 4 m",MAX(105%*Q243,SA+H243),IF('Pre-Calculation'!$D$17="Type 4 o",MAX(SA,105%*Q243)+V243+X243,IF('Pre-Calculation'!$D$17="Type 5",0)))))))))))))*IF(AND(A243&lt;Revival!$C$4,C243&gt;=Revival!$D$12),PUP,1)</f>
        <v>2985251.93</v>
      </c>
      <c r="L243" s="175">
        <f>H243-I243*(1+Tax)</f>
        <v>2985251.93</v>
      </c>
      <c r="M243" s="175">
        <f>L243*(1+'Pre-Calculation'!$E$28)*(1-'Pre-Calculation'!$E$29*(1+Tax))</f>
        <v>2998518.296</v>
      </c>
      <c r="N243" s="175">
        <f>M243+IF(MOD(A243,B243)=0,VLOOKUP(B243,'Pre-Calculation'!$H$1:$L$31,5,FALSE),0)*IF('Pre-Calculation'!$D$16="% OF FV",M243,IF(OR('Pre-Calculation'!$D$16="% OF AFV(24M)",'Pre-Calculation'!$D$16="% OF AFV(8Q)"),AVERAGE( $M220:$M243),IF('Pre-Calculation'!$D$16="% OF AFV(12M)",AVERAGE($M232:M243),IF('Pre-Calculation'!$D$16="% OF AFV(36M)",AVERAGE($M208:M243)))))</f>
        <v>2998518.296</v>
      </c>
      <c r="O243" s="175">
        <f t="shared" si="4"/>
        <v>2998518.296</v>
      </c>
      <c r="P243" s="175">
        <f>IF('Pre-Calculation'!$D$17="Type 4 a",MAX(SA,N243,1.05*Q243),IF('Pre-Calculation'!$D$17="Type 4 c",N243,IF('Pre-Calculation'!$D$17="Type 4 d",SA+N243,IF('Pre-Calculation'!$D$17="Type 4 e",MAX(SA,N243),IF('Pre-Calculation'!$D$17="Type 4 f",SA,IF('Pre-Calculation'!$D$17="Type 4 g",1000+N243,IF('Pre-Calculation'!$D$17="Type 4 h",SA+V243,IF('Pre-Calculation'!$D$17="Type 4 i",MAX(N243,Q243),IF('Pre-Calculation'!$D$17="Type 4 k",MAX(N243,1.01*Q243),IF('Pre-Calculation'!$D$17="Type 4 m",MAX(105%*Q243,SA+N243),IF('Pre-Calculation'!$D$17="Type 4 o",MAX(SA,105%*Q243)+V243+X243,IF('Pre-Calculation'!$D$17="Type 5",0))))))))))))</f>
        <v>2998518.296</v>
      </c>
      <c r="Q243" s="175">
        <f t="shared" si="5"/>
        <v>1000000</v>
      </c>
      <c r="R243" s="119">
        <f>L243*(1+GROWTH_RATE)*FMC</f>
        <v>3378.178414</v>
      </c>
      <c r="S243" s="112"/>
      <c r="T243" s="175">
        <f>-E243+IF(A242=INPUT!$C$11*12,N243,0)</f>
        <v>0</v>
      </c>
      <c r="U243" s="112"/>
      <c r="V243" s="179">
        <f t="array" ref="V243">NPV('Pre-Calculation'!$E$20,$E244:E$246)</f>
        <v>0</v>
      </c>
      <c r="W243" s="171">
        <f>10%*SA</f>
        <v>100000</v>
      </c>
      <c r="X243" s="179">
        <f t="array" ref="X243">NPV('Pre-Calculation'!$E$20,W244:W253)</f>
        <v>969592.8037</v>
      </c>
      <c r="Y243" s="12"/>
      <c r="Z243" s="12"/>
    </row>
    <row r="244" ht="15.75" customHeight="1">
      <c r="A244" s="171">
        <f t="shared" si="1"/>
        <v>298</v>
      </c>
      <c r="B244" s="171">
        <f t="shared" si="2"/>
        <v>25</v>
      </c>
      <c r="C244" s="176">
        <f>EDATE(RCD,A243)</f>
        <v>51590</v>
      </c>
      <c r="D244" s="171">
        <f>Age_At_Entry+'Cashflows_Bond Fund'!B244-1</f>
        <v>59</v>
      </c>
      <c r="E244" s="175">
        <f>IF(AND(C244&lt;=Last_Prem,MOD(A243,Mode)=0,C244&gt;INPUT!$C$13,A244&lt;=Revival!$C$11),Mod_Prem,0)</f>
        <v>0</v>
      </c>
      <c r="F244" s="177">
        <f>E244*VLOOKUP(B244,'Pre-Calculation'!$H$1:$I$31,2,FALSE)</f>
        <v>0</v>
      </c>
      <c r="G244" s="177">
        <f>IF(B244&lt;PT+1,VLOOKUP(B244,'Pre-Calculation'!$H$1:$L$32,3,FALSE)+VLOOKUP(B244,'Pre-Calculation'!$H$1:$L$32,4,FALSE)*'Pre-Calculation'!$D$7,0)</f>
        <v>0</v>
      </c>
      <c r="H244" s="175">
        <f>(E244-(F244+G244)*(1+Tax)+N243)</f>
        <v>2998518.296</v>
      </c>
      <c r="I244" s="175">
        <f>IF(B244&lt;PT+1,VLOOKUP(D244,'Pre-Calculation'!$N$3:$P$79,IF(INPUT!$C$4="M",2,3),FALSE)*(J244/1000)*(1/12),0)</f>
        <v>0</v>
      </c>
      <c r="J244" s="175">
        <f t="shared" si="3"/>
        <v>0</v>
      </c>
      <c r="K244" s="175">
        <f>(IF('Pre-Calculation'!$D$17="Type 4 a",MAX(SA,H244,1.05*Q244),IF('Pre-Calculation'!$D$17="Type 4 c",H244,IF('Pre-Calculation'!$D$17="Type 4 d",SA+H244,IF('Pre-Calculation'!$D$17="Type 4 e",MAX(SA,H244),IF('Pre-Calculation'!$D$17="Type 4 f",SA,IF('Pre-Calculation'!$D$17="Type 4 g",1000+H244,IF('Pre-Calculation'!$D$17="Type 4 h",SA+V244,IF('Pre-Calculation'!$D$17="Type 4 i",MAX(H244,Q244),IF('Pre-Calculation'!$D$17="Type 4 k",MAX(H244,1.01*Q244),IF('Pre-Calculation'!$D$17="Type 4 m",MAX(105%*Q244,SA+H244),IF('Pre-Calculation'!$D$17="Type 4 o",MAX(SA,105%*Q244)+V244+X244,IF('Pre-Calculation'!$D$17="Type 5",0)))))))))))))*IF(AND(A244&lt;Revival!$C$4,C244&gt;=Revival!$D$12),PUP,1)</f>
        <v>2998518.296</v>
      </c>
      <c r="L244" s="175">
        <f>H244-I244*(1+Tax)</f>
        <v>2998518.296</v>
      </c>
      <c r="M244" s="175">
        <f>L244*(1+'Pre-Calculation'!$E$28)*(1-'Pre-Calculation'!$E$29*(1+Tax))</f>
        <v>3011843.618</v>
      </c>
      <c r="N244" s="175">
        <f>M244+IF(MOD(A244,B244)=0,VLOOKUP(B244,'Pre-Calculation'!$H$1:$L$31,5,FALSE),0)*IF('Pre-Calculation'!$D$16="% OF FV",M244,IF(OR('Pre-Calculation'!$D$16="% OF AFV(24M)",'Pre-Calculation'!$D$16="% OF AFV(8Q)"),AVERAGE( $M221:$M244),IF('Pre-Calculation'!$D$16="% OF AFV(12M)",AVERAGE($M233:M244),IF('Pre-Calculation'!$D$16="% OF AFV(36M)",AVERAGE($M209:M244)))))</f>
        <v>3011843.618</v>
      </c>
      <c r="O244" s="175">
        <f t="shared" si="4"/>
        <v>3011843.618</v>
      </c>
      <c r="P244" s="175">
        <f>IF('Pre-Calculation'!$D$17="Type 4 a",MAX(SA,N244,1.05*Q244),IF('Pre-Calculation'!$D$17="Type 4 c",N244,IF('Pre-Calculation'!$D$17="Type 4 d",SA+N244,IF('Pre-Calculation'!$D$17="Type 4 e",MAX(SA,N244),IF('Pre-Calculation'!$D$17="Type 4 f",SA,IF('Pre-Calculation'!$D$17="Type 4 g",1000+N244,IF('Pre-Calculation'!$D$17="Type 4 h",SA+V244,IF('Pre-Calculation'!$D$17="Type 4 i",MAX(N244,Q244),IF('Pre-Calculation'!$D$17="Type 4 k",MAX(N244,1.01*Q244),IF('Pre-Calculation'!$D$17="Type 4 m",MAX(105%*Q244,SA+N244),IF('Pre-Calculation'!$D$17="Type 4 o",MAX(SA,105%*Q244)+V244+X244,IF('Pre-Calculation'!$D$17="Type 5",0))))))))))))</f>
        <v>3011843.618</v>
      </c>
      <c r="Q244" s="175">
        <f t="shared" si="5"/>
        <v>1000000</v>
      </c>
      <c r="R244" s="119">
        <f>L244*(1+GROWTH_RATE)*FMC</f>
        <v>3393.190933</v>
      </c>
      <c r="S244" s="112"/>
      <c r="T244" s="175">
        <f>-E244+IF(A243=INPUT!$C$11*12,N244,0)</f>
        <v>0</v>
      </c>
      <c r="U244" s="112"/>
      <c r="V244" s="179">
        <f t="array" ref="V244">NPV('Pre-Calculation'!$E$20,$E245:E$246)</f>
        <v>0</v>
      </c>
      <c r="W244" s="171">
        <f>10%*SA</f>
        <v>100000</v>
      </c>
      <c r="X244" s="179">
        <f t="array" ref="X244">NPV('Pre-Calculation'!$E$20,W245:W254)</f>
        <v>969592.8037</v>
      </c>
      <c r="Y244" s="12"/>
      <c r="Z244" s="12"/>
    </row>
    <row r="245" ht="15.75" customHeight="1">
      <c r="A245" s="171">
        <f t="shared" si="1"/>
        <v>299</v>
      </c>
      <c r="B245" s="171">
        <f t="shared" si="2"/>
        <v>25</v>
      </c>
      <c r="C245" s="176">
        <f>EDATE(RCD,A244)</f>
        <v>51621</v>
      </c>
      <c r="D245" s="171">
        <f>Age_At_Entry+'Cashflows_Bond Fund'!B245-1</f>
        <v>59</v>
      </c>
      <c r="E245" s="175">
        <f>IF(AND(C245&lt;=Last_Prem,MOD(A244,Mode)=0,C245&gt;INPUT!$C$13,A245&lt;=Revival!$C$11),Mod_Prem,0)</f>
        <v>0</v>
      </c>
      <c r="F245" s="177">
        <f>E245*VLOOKUP(B245,'Pre-Calculation'!$H$1:$I$31,2,FALSE)</f>
        <v>0</v>
      </c>
      <c r="G245" s="177">
        <f>IF(B245&lt;PT+1,VLOOKUP(B245,'Pre-Calculation'!$H$1:$L$32,3,FALSE)+VLOOKUP(B245,'Pre-Calculation'!$H$1:$L$32,4,FALSE)*'Pre-Calculation'!$D$7,0)</f>
        <v>0</v>
      </c>
      <c r="H245" s="175">
        <f>(E245-(F245+G245)*(1+Tax)+N244)</f>
        <v>3011843.618</v>
      </c>
      <c r="I245" s="175">
        <f>IF(B245&lt;PT+1,VLOOKUP(D245,'Pre-Calculation'!$N$3:$P$79,IF(INPUT!$C$4="M",2,3),FALSE)*(J245/1000)*(1/12),0)</f>
        <v>0</v>
      </c>
      <c r="J245" s="175">
        <f t="shared" si="3"/>
        <v>0</v>
      </c>
      <c r="K245" s="175">
        <f>(IF('Pre-Calculation'!$D$17="Type 4 a",MAX(SA,H245,1.05*Q245),IF('Pre-Calculation'!$D$17="Type 4 c",H245,IF('Pre-Calculation'!$D$17="Type 4 d",SA+H245,IF('Pre-Calculation'!$D$17="Type 4 e",MAX(SA,H245),IF('Pre-Calculation'!$D$17="Type 4 f",SA,IF('Pre-Calculation'!$D$17="Type 4 g",1000+H245,IF('Pre-Calculation'!$D$17="Type 4 h",SA+V245,IF('Pre-Calculation'!$D$17="Type 4 i",MAX(H245,Q245),IF('Pre-Calculation'!$D$17="Type 4 k",MAX(H245,1.01*Q245),IF('Pre-Calculation'!$D$17="Type 4 m",MAX(105%*Q245,SA+H245),IF('Pre-Calculation'!$D$17="Type 4 o",MAX(SA,105%*Q245)+V245+X245,IF('Pre-Calculation'!$D$17="Type 5",0)))))))))))))*IF(AND(A245&lt;Revival!$C$4,C245&gt;=Revival!$D$12),PUP,1)</f>
        <v>3011843.618</v>
      </c>
      <c r="L245" s="175">
        <f>H245-I245*(1+Tax)</f>
        <v>3011843.618</v>
      </c>
      <c r="M245" s="175">
        <f>L245*(1+'Pre-Calculation'!$E$28)*(1-'Pre-Calculation'!$E$29*(1+Tax))</f>
        <v>3025228.157</v>
      </c>
      <c r="N245" s="175">
        <f>M245+IF(MOD(A245,B245)=0,VLOOKUP(B245,'Pre-Calculation'!$H$1:$L$31,5,FALSE),0)*IF('Pre-Calculation'!$D$16="% OF FV",M245,IF(OR('Pre-Calculation'!$D$16="% OF AFV(24M)",'Pre-Calculation'!$D$16="% OF AFV(8Q)"),AVERAGE( $M222:$M245),IF('Pre-Calculation'!$D$16="% OF AFV(12M)",AVERAGE($M234:M245),IF('Pre-Calculation'!$D$16="% OF AFV(36M)",AVERAGE($M210:M245)))))</f>
        <v>3025228.157</v>
      </c>
      <c r="O245" s="175">
        <f t="shared" si="4"/>
        <v>3025228.157</v>
      </c>
      <c r="P245" s="175">
        <f>IF('Pre-Calculation'!$D$17="Type 4 a",MAX(SA,N245,1.05*Q245),IF('Pre-Calculation'!$D$17="Type 4 c",N245,IF('Pre-Calculation'!$D$17="Type 4 d",SA+N245,IF('Pre-Calculation'!$D$17="Type 4 e",MAX(SA,N245),IF('Pre-Calculation'!$D$17="Type 4 f",SA,IF('Pre-Calculation'!$D$17="Type 4 g",1000+N245,IF('Pre-Calculation'!$D$17="Type 4 h",SA+V245,IF('Pre-Calculation'!$D$17="Type 4 i",MAX(N245,Q245),IF('Pre-Calculation'!$D$17="Type 4 k",MAX(N245,1.01*Q245),IF('Pre-Calculation'!$D$17="Type 4 m",MAX(105%*Q245,SA+N245),IF('Pre-Calculation'!$D$17="Type 4 o",MAX(SA,105%*Q245)+V245+X245,IF('Pre-Calculation'!$D$17="Type 5",0))))))))))))</f>
        <v>3025228.157</v>
      </c>
      <c r="Q245" s="175">
        <f t="shared" si="5"/>
        <v>1000000</v>
      </c>
      <c r="R245" s="119">
        <f>L245*(1+GROWTH_RATE)*FMC</f>
        <v>3408.270168</v>
      </c>
      <c r="S245" s="112"/>
      <c r="T245" s="175">
        <f>-E245+IF(A244=INPUT!$C$11*12,N245,0)</f>
        <v>0</v>
      </c>
      <c r="U245" s="112"/>
      <c r="V245" s="179">
        <f t="array" ref="V245">NPV('Pre-Calculation'!$E$20,$E246:E$246)</f>
        <v>0</v>
      </c>
      <c r="W245" s="171">
        <f>10%*SA</f>
        <v>100000</v>
      </c>
      <c r="X245" s="179">
        <f t="array" ref="X245">NPV('Pre-Calculation'!$E$20,W246:W255)</f>
        <v>969592.8037</v>
      </c>
      <c r="Y245" s="12"/>
      <c r="Z245" s="12"/>
    </row>
    <row r="246" ht="15.75" customHeight="1">
      <c r="A246" s="171">
        <f t="shared" si="1"/>
        <v>300</v>
      </c>
      <c r="B246" s="171">
        <f t="shared" si="2"/>
        <v>25</v>
      </c>
      <c r="C246" s="176">
        <f>EDATE(RCD,A245)</f>
        <v>51651</v>
      </c>
      <c r="D246" s="171">
        <f>Age_At_Entry+'Cashflows_Bond Fund'!B246-1</f>
        <v>59</v>
      </c>
      <c r="E246" s="175">
        <f>IF(AND(C246&lt;=Last_Prem,MOD(A245,Mode)=0,C246&gt;INPUT!$C$13,A246&lt;=Revival!$C$11),Mod_Prem,0)</f>
        <v>0</v>
      </c>
      <c r="F246" s="177">
        <f>E246*VLOOKUP(B246,'Pre-Calculation'!$H$1:$I$31,2,FALSE)</f>
        <v>0</v>
      </c>
      <c r="G246" s="177">
        <f>IF(B246&lt;PT+1,VLOOKUP(B246,'Pre-Calculation'!$H$1:$L$32,3,FALSE)+VLOOKUP(B246,'Pre-Calculation'!$H$1:$L$32,4,FALSE)*'Pre-Calculation'!$D$7,0)</f>
        <v>0</v>
      </c>
      <c r="H246" s="175">
        <f>(E246-(F246+G246)*(1+Tax)+N245)</f>
        <v>3025228.157</v>
      </c>
      <c r="I246" s="175">
        <f>IF(B246&lt;PT+1,VLOOKUP(D246,'Pre-Calculation'!$N$3:$P$79,IF(INPUT!$C$4="M",2,3),FALSE)*(J246/1000)*(1/12),0)</f>
        <v>0</v>
      </c>
      <c r="J246" s="175">
        <f t="shared" si="3"/>
        <v>0</v>
      </c>
      <c r="K246" s="175">
        <f>(IF('Pre-Calculation'!$D$17="Type 4 a",MAX(SA,H246,1.05*Q246),IF('Pre-Calculation'!$D$17="Type 4 c",H246,IF('Pre-Calculation'!$D$17="Type 4 d",SA+H246,IF('Pre-Calculation'!$D$17="Type 4 e",MAX(SA,H246),IF('Pre-Calculation'!$D$17="Type 4 f",SA,IF('Pre-Calculation'!$D$17="Type 4 g",1000+H246,IF('Pre-Calculation'!$D$17="Type 4 h",SA+V246,IF('Pre-Calculation'!$D$17="Type 4 i",MAX(H246,Q246),IF('Pre-Calculation'!$D$17="Type 4 k",MAX(H246,1.01*Q246),IF('Pre-Calculation'!$D$17="Type 4 m",MAX(105%*Q246,SA+H246),IF('Pre-Calculation'!$D$17="Type 4 o",MAX(SA,105%*Q246)+V246+X246,IF('Pre-Calculation'!$D$17="Type 5",0)))))))))))))*IF(AND(A246&lt;Revival!$C$4,C246&gt;=Revival!$D$12),PUP,1)</f>
        <v>3025228.157</v>
      </c>
      <c r="L246" s="175">
        <f>H246-I246*(1+Tax)</f>
        <v>3025228.157</v>
      </c>
      <c r="M246" s="175">
        <f>L246*(1+'Pre-Calculation'!$E$28)*(1-'Pre-Calculation'!$E$29*(1+Tax))</f>
        <v>3038672.176</v>
      </c>
      <c r="N246" s="175">
        <f>M246+IF(MOD(A246,B246)=0,VLOOKUP(B246,'Pre-Calculation'!$H$1:$L$31,5,FALSE),0)*IF('Pre-Calculation'!$D$16="% OF FV",M246,IF(OR('Pre-Calculation'!$D$16="% OF AFV(24M)",'Pre-Calculation'!$D$16="% OF AFV(8Q)"),AVERAGE( $M223:$M246),IF('Pre-Calculation'!$D$16="% OF AFV(12M)",AVERAGE($M235:M246),IF('Pre-Calculation'!$D$16="% OF AFV(36M)",AVERAGE($M211:M246)))))</f>
        <v>3038672.176</v>
      </c>
      <c r="O246" s="175">
        <f t="shared" si="4"/>
        <v>3038672.176</v>
      </c>
      <c r="P246" s="175">
        <f>IF('Pre-Calculation'!$D$17="Type 4 a",MAX(SA,N246,1.05*Q246),IF('Pre-Calculation'!$D$17="Type 4 c",N246,IF('Pre-Calculation'!$D$17="Type 4 d",SA+N246,IF('Pre-Calculation'!$D$17="Type 4 e",MAX(SA,N246),IF('Pre-Calculation'!$D$17="Type 4 f",SA,IF('Pre-Calculation'!$D$17="Type 4 g",1000+N246,IF('Pre-Calculation'!$D$17="Type 4 h",SA+V246,IF('Pre-Calculation'!$D$17="Type 4 i",MAX(N246,Q246),IF('Pre-Calculation'!$D$17="Type 4 k",MAX(N246,1.01*Q246),IF('Pre-Calculation'!$D$17="Type 4 m",MAX(105%*Q246,SA+N246),IF('Pre-Calculation'!$D$17="Type 4 o",MAX(SA,105%*Q246)+V246+X246,IF('Pre-Calculation'!$D$17="Type 5",0))))))))))))</f>
        <v>3038672.176</v>
      </c>
      <c r="Q246" s="175">
        <f t="shared" si="5"/>
        <v>1000000</v>
      </c>
      <c r="R246" s="119">
        <f>L246*(1+GROWTH_RATE)*FMC</f>
        <v>3423.416414</v>
      </c>
      <c r="S246" s="112"/>
      <c r="T246" s="175">
        <f>-E246+IF(A245=INPUT!$C$11*12,N246,0)</f>
        <v>0</v>
      </c>
      <c r="U246" s="112"/>
      <c r="V246" s="179">
        <f t="array" ref="V246">NPV('Pre-Calculation'!$E$20,$E$246:E247)</f>
        <v>0</v>
      </c>
      <c r="W246" s="171">
        <f>10%*SA</f>
        <v>100000</v>
      </c>
      <c r="X246" s="179">
        <f t="array" ref="X246">NPV('Pre-Calculation'!$E$20,W247:W256)</f>
        <v>969592.8037</v>
      </c>
      <c r="Y246" s="12"/>
      <c r="Z246" s="12"/>
    </row>
    <row r="247" ht="15.75" customHeight="1">
      <c r="A247" s="12"/>
      <c r="B247" s="171"/>
      <c r="C247" s="12"/>
      <c r="D247" s="12"/>
      <c r="E247" s="171"/>
      <c r="F247" s="12"/>
      <c r="G247" s="12"/>
      <c r="H247" s="12"/>
      <c r="I247" s="12"/>
      <c r="J247" s="12"/>
      <c r="K247" s="12"/>
      <c r="L247" s="12"/>
      <c r="M247" s="12"/>
      <c r="N247" s="12"/>
      <c r="O247" s="12"/>
      <c r="P247" s="12"/>
      <c r="Q247" s="12"/>
      <c r="R247" s="12"/>
      <c r="S247" s="12"/>
      <c r="T247" s="12"/>
      <c r="U247" s="12"/>
      <c r="V247" s="12"/>
      <c r="W247" s="36">
        <f>10%*SA</f>
        <v>100000</v>
      </c>
      <c r="X247" s="12"/>
      <c r="Y247" s="12"/>
      <c r="Z247" s="12"/>
    </row>
    <row r="248" ht="15.75" customHeight="1">
      <c r="A248" s="12"/>
      <c r="B248" s="12"/>
      <c r="C248" s="12"/>
      <c r="D248" s="12"/>
      <c r="E248" s="171"/>
      <c r="F248" s="12"/>
      <c r="G248" s="12"/>
      <c r="H248" s="12"/>
      <c r="I248" s="12"/>
      <c r="J248" s="12"/>
      <c r="K248" s="12"/>
      <c r="L248" s="12"/>
      <c r="M248" s="12"/>
      <c r="N248" s="12"/>
      <c r="O248" s="12"/>
      <c r="P248" s="12"/>
      <c r="Q248" s="12"/>
      <c r="R248" s="12"/>
      <c r="S248" s="12"/>
      <c r="T248" s="12"/>
      <c r="U248" s="12"/>
      <c r="V248" s="12"/>
      <c r="W248" s="36">
        <f>10%*SA</f>
        <v>100000</v>
      </c>
      <c r="X248" s="12"/>
      <c r="Y248" s="12"/>
      <c r="Z248" s="12"/>
    </row>
    <row r="249" ht="15.75" customHeight="1">
      <c r="A249" s="12"/>
      <c r="B249" s="12"/>
      <c r="C249" s="12"/>
      <c r="D249" s="12"/>
      <c r="E249" s="171"/>
      <c r="F249" s="12"/>
      <c r="G249" s="12"/>
      <c r="H249" s="12"/>
      <c r="I249" s="12"/>
      <c r="J249" s="12"/>
      <c r="K249" s="12"/>
      <c r="L249" s="12"/>
      <c r="M249" s="12"/>
      <c r="N249" s="12"/>
      <c r="O249" s="12"/>
      <c r="P249" s="12"/>
      <c r="Q249" s="12"/>
      <c r="R249" s="12"/>
      <c r="S249" s="12"/>
      <c r="T249" s="12"/>
      <c r="U249" s="12"/>
      <c r="V249" s="12"/>
      <c r="W249" s="36">
        <f>10%*SA</f>
        <v>100000</v>
      </c>
      <c r="X249" s="12"/>
      <c r="Y249" s="12"/>
      <c r="Z249" s="12"/>
    </row>
    <row r="250" ht="15.75" customHeight="1">
      <c r="A250" s="12"/>
      <c r="B250" s="12"/>
      <c r="C250" s="12"/>
      <c r="D250" s="12"/>
      <c r="E250" s="171"/>
      <c r="F250" s="12"/>
      <c r="G250" s="12"/>
      <c r="H250" s="12"/>
      <c r="I250" s="12"/>
      <c r="J250" s="12"/>
      <c r="K250" s="12"/>
      <c r="L250" s="12"/>
      <c r="M250" s="12"/>
      <c r="N250" s="12"/>
      <c r="O250" s="12"/>
      <c r="P250" s="12"/>
      <c r="Q250" s="12"/>
      <c r="R250" s="12"/>
      <c r="S250" s="12"/>
      <c r="T250" s="12"/>
      <c r="U250" s="12"/>
      <c r="V250" s="12"/>
      <c r="W250" s="36">
        <f>10%*SA</f>
        <v>100000</v>
      </c>
      <c r="X250" s="12"/>
      <c r="Y250" s="12"/>
      <c r="Z250" s="12"/>
    </row>
    <row r="251" ht="15.75" customHeight="1">
      <c r="A251" s="12"/>
      <c r="B251" s="12"/>
      <c r="C251" s="12"/>
      <c r="D251" s="12"/>
      <c r="E251" s="171"/>
      <c r="F251" s="12"/>
      <c r="G251" s="12"/>
      <c r="H251" s="12"/>
      <c r="I251" s="12"/>
      <c r="J251" s="12"/>
      <c r="K251" s="12"/>
      <c r="L251" s="12"/>
      <c r="M251" s="12"/>
      <c r="N251" s="12"/>
      <c r="O251" s="12"/>
      <c r="P251" s="12"/>
      <c r="Q251" s="12"/>
      <c r="R251" s="12"/>
      <c r="S251" s="12"/>
      <c r="T251" s="12"/>
      <c r="U251" s="12"/>
      <c r="V251" s="12"/>
      <c r="W251" s="36">
        <f>10%*SA</f>
        <v>100000</v>
      </c>
      <c r="X251" s="12"/>
      <c r="Y251" s="12"/>
      <c r="Z251" s="12"/>
    </row>
    <row r="252" ht="15.75" customHeight="1">
      <c r="A252" s="12"/>
      <c r="B252" s="12"/>
      <c r="C252" s="12"/>
      <c r="D252" s="12"/>
      <c r="E252" s="171"/>
      <c r="F252" s="12"/>
      <c r="G252" s="12"/>
      <c r="H252" s="12"/>
      <c r="I252" s="12"/>
      <c r="J252" s="12"/>
      <c r="K252" s="12"/>
      <c r="L252" s="12"/>
      <c r="M252" s="12"/>
      <c r="N252" s="12"/>
      <c r="O252" s="12"/>
      <c r="P252" s="12"/>
      <c r="Q252" s="12"/>
      <c r="R252" s="12"/>
      <c r="S252" s="12"/>
      <c r="T252" s="12"/>
      <c r="U252" s="12"/>
      <c r="V252" s="12"/>
      <c r="W252" s="36">
        <f>10%*SA</f>
        <v>100000</v>
      </c>
      <c r="X252" s="12"/>
      <c r="Y252" s="12"/>
      <c r="Z252" s="12"/>
    </row>
    <row r="253" ht="15.75" customHeight="1">
      <c r="A253" s="12"/>
      <c r="B253" s="12"/>
      <c r="C253" s="12"/>
      <c r="D253" s="12"/>
      <c r="E253" s="171"/>
      <c r="F253" s="12"/>
      <c r="G253" s="12"/>
      <c r="H253" s="12"/>
      <c r="I253" s="12"/>
      <c r="J253" s="12"/>
      <c r="K253" s="12"/>
      <c r="L253" s="12"/>
      <c r="M253" s="12"/>
      <c r="N253" s="12"/>
      <c r="O253" s="12"/>
      <c r="P253" s="12"/>
      <c r="Q253" s="12"/>
      <c r="R253" s="12"/>
      <c r="S253" s="12"/>
      <c r="T253" s="12"/>
      <c r="U253" s="12"/>
      <c r="V253" s="12"/>
      <c r="W253" s="36">
        <f>10%*SA</f>
        <v>100000</v>
      </c>
      <c r="X253" s="12"/>
      <c r="Y253" s="12"/>
      <c r="Z253" s="12"/>
    </row>
    <row r="254" ht="15.75" customHeight="1">
      <c r="A254" s="12"/>
      <c r="B254" s="12"/>
      <c r="C254" s="12"/>
      <c r="D254" s="12"/>
      <c r="E254" s="171"/>
      <c r="F254" s="12"/>
      <c r="G254" s="12"/>
      <c r="H254" s="12"/>
      <c r="I254" s="12"/>
      <c r="J254" s="12"/>
      <c r="K254" s="12"/>
      <c r="L254" s="12"/>
      <c r="M254" s="12"/>
      <c r="N254" s="12"/>
      <c r="O254" s="12"/>
      <c r="P254" s="12"/>
      <c r="Q254" s="12"/>
      <c r="R254" s="12"/>
      <c r="S254" s="12"/>
      <c r="T254" s="12"/>
      <c r="U254" s="12"/>
      <c r="V254" s="12"/>
      <c r="W254" s="36">
        <f>10%*SA</f>
        <v>100000</v>
      </c>
      <c r="X254" s="12"/>
      <c r="Y254" s="12"/>
      <c r="Z254" s="12"/>
    </row>
    <row r="255" ht="15.75" customHeight="1">
      <c r="A255" s="12"/>
      <c r="B255" s="12"/>
      <c r="C255" s="12"/>
      <c r="D255" s="12"/>
      <c r="E255" s="171"/>
      <c r="F255" s="12"/>
      <c r="G255" s="12"/>
      <c r="H255" s="12"/>
      <c r="I255" s="12"/>
      <c r="J255" s="12"/>
      <c r="K255" s="12"/>
      <c r="L255" s="12"/>
      <c r="M255" s="12"/>
      <c r="N255" s="12"/>
      <c r="O255" s="12"/>
      <c r="P255" s="12"/>
      <c r="Q255" s="12"/>
      <c r="R255" s="12"/>
      <c r="S255" s="12"/>
      <c r="T255" s="12"/>
      <c r="U255" s="12"/>
      <c r="V255" s="12"/>
      <c r="W255" s="36">
        <f>10%*SA</f>
        <v>100000</v>
      </c>
      <c r="X255" s="12"/>
      <c r="Y255" s="12"/>
      <c r="Z255" s="12"/>
    </row>
    <row r="256" ht="15.75" customHeight="1">
      <c r="A256" s="12"/>
      <c r="B256" s="12"/>
      <c r="C256" s="12"/>
      <c r="D256" s="12"/>
      <c r="E256" s="171"/>
      <c r="F256" s="12"/>
      <c r="G256" s="12"/>
      <c r="H256" s="12"/>
      <c r="I256" s="12"/>
      <c r="J256" s="12"/>
      <c r="K256" s="12"/>
      <c r="L256" s="12"/>
      <c r="M256" s="12"/>
      <c r="N256" s="12"/>
      <c r="O256" s="12"/>
      <c r="P256" s="12"/>
      <c r="Q256" s="12"/>
      <c r="R256" s="12"/>
      <c r="S256" s="12"/>
      <c r="T256" s="12"/>
      <c r="U256" s="12"/>
      <c r="V256" s="12"/>
      <c r="W256" s="36">
        <f>10%*SA</f>
        <v>100000</v>
      </c>
      <c r="X256" s="12"/>
      <c r="Y256" s="12"/>
      <c r="Z256" s="12"/>
    </row>
    <row r="257" ht="15.75" customHeight="1">
      <c r="A257" s="12"/>
      <c r="B257" s="12"/>
      <c r="C257" s="12"/>
      <c r="D257" s="12"/>
      <c r="E257" s="171"/>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71"/>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71"/>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71"/>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71"/>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71"/>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71"/>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71"/>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71"/>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71"/>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71"/>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71"/>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71"/>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71"/>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71"/>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71"/>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71"/>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71"/>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71"/>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71"/>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71"/>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71"/>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71"/>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71"/>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71"/>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71"/>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71"/>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71"/>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71"/>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71"/>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71"/>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71"/>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71"/>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71"/>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71"/>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71"/>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71"/>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71"/>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71"/>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71"/>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71"/>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71"/>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71"/>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71"/>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71"/>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71"/>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71"/>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71"/>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71"/>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71"/>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71"/>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71"/>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71"/>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71"/>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71"/>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71"/>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71"/>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71"/>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71"/>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71"/>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71"/>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71"/>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71"/>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71"/>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71"/>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71"/>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71"/>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71"/>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71"/>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71"/>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71"/>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71"/>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71"/>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71"/>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71"/>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71"/>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71"/>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71"/>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71"/>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71"/>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71"/>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71"/>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71"/>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71"/>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71"/>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71"/>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71"/>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71"/>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71"/>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71"/>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71"/>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71"/>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71"/>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71"/>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71"/>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71"/>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71"/>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71"/>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71"/>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71"/>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71"/>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71"/>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71"/>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71"/>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71"/>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71"/>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71"/>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71"/>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71"/>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71"/>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71"/>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71"/>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71"/>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71"/>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71"/>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71"/>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71"/>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71"/>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71"/>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71"/>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71"/>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71"/>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71"/>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71"/>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71"/>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71"/>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71"/>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71"/>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71"/>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71"/>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71"/>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71"/>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71"/>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71"/>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71"/>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71"/>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71"/>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71"/>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71"/>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71"/>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71"/>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71"/>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71"/>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71"/>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71"/>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71"/>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71"/>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71"/>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71"/>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71"/>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71"/>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71"/>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71"/>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71"/>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71"/>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71"/>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71"/>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71"/>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71"/>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71"/>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71"/>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71"/>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71"/>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71"/>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71"/>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71"/>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71"/>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71"/>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71"/>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71"/>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71"/>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71"/>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71"/>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71"/>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71"/>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71"/>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71"/>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71"/>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71"/>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71"/>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71"/>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71"/>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71"/>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71"/>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71"/>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71"/>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71"/>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71"/>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71"/>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71"/>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0" width="12.63"/>
    <col customWidth="1" min="11" max="11" width="20.13"/>
    <col customWidth="1" min="12" max="12" width="12.63"/>
    <col customWidth="1" min="13" max="13" width="16.88"/>
    <col customWidth="1" min="14" max="26" width="12.63"/>
  </cols>
  <sheetData>
    <row r="1">
      <c r="A1" s="12"/>
      <c r="B1" s="36"/>
      <c r="C1" s="169"/>
      <c r="D1" s="36"/>
      <c r="E1" s="36"/>
      <c r="F1" s="170"/>
      <c r="G1" s="12"/>
      <c r="H1" s="36"/>
      <c r="I1" s="36"/>
      <c r="J1" s="170"/>
      <c r="K1" s="170"/>
      <c r="L1" s="12"/>
      <c r="M1" s="36"/>
      <c r="N1" s="12"/>
      <c r="O1" s="12"/>
      <c r="P1" s="12"/>
      <c r="Q1" s="12"/>
      <c r="R1" s="12"/>
      <c r="S1" s="12"/>
      <c r="T1" s="36"/>
      <c r="U1" s="12"/>
      <c r="V1" s="12"/>
      <c r="W1" s="12"/>
      <c r="X1" s="12"/>
      <c r="Y1" s="12"/>
      <c r="Z1" s="12"/>
    </row>
    <row r="2">
      <c r="A2" s="36"/>
      <c r="B2" s="36"/>
      <c r="C2" s="36"/>
      <c r="D2" s="36"/>
      <c r="E2" s="36"/>
      <c r="F2" s="36"/>
      <c r="G2" s="36"/>
      <c r="H2" s="36"/>
      <c r="I2" s="182"/>
      <c r="J2" s="36"/>
      <c r="K2" s="36"/>
      <c r="L2" s="12"/>
      <c r="M2" s="36"/>
      <c r="N2" s="12"/>
      <c r="O2" s="12"/>
      <c r="P2" s="12"/>
      <c r="Q2" s="12"/>
      <c r="R2" s="12"/>
      <c r="S2" s="12"/>
      <c r="T2" s="36"/>
      <c r="U2" s="12"/>
      <c r="V2" s="12"/>
      <c r="W2" s="12"/>
      <c r="X2" s="12"/>
      <c r="Y2" s="12"/>
      <c r="Z2" s="12"/>
    </row>
    <row r="3">
      <c r="A3" s="36"/>
      <c r="B3" s="36"/>
      <c r="C3" s="36"/>
      <c r="D3" s="36"/>
      <c r="E3" s="36"/>
      <c r="F3" s="36"/>
      <c r="G3" s="36"/>
      <c r="H3" s="36"/>
      <c r="I3" s="36"/>
      <c r="J3" s="36"/>
      <c r="K3" s="36"/>
      <c r="L3" s="12"/>
      <c r="M3" s="36"/>
      <c r="N3" s="12"/>
      <c r="O3" s="12"/>
      <c r="P3" s="12"/>
      <c r="Q3" s="12"/>
      <c r="R3" s="12"/>
      <c r="S3" s="12"/>
      <c r="T3" s="36"/>
      <c r="U3" s="12"/>
      <c r="V3" s="12"/>
      <c r="W3" s="12"/>
      <c r="X3" s="12"/>
      <c r="Y3" s="12"/>
      <c r="Z3" s="12"/>
    </row>
    <row r="4">
      <c r="A4" s="171" t="s">
        <v>251</v>
      </c>
      <c r="B4" s="171" t="s">
        <v>215</v>
      </c>
      <c r="C4" s="171" t="s">
        <v>252</v>
      </c>
      <c r="D4" s="171" t="s">
        <v>225</v>
      </c>
      <c r="E4" s="171" t="s">
        <v>253</v>
      </c>
      <c r="F4" s="171" t="s">
        <v>216</v>
      </c>
      <c r="G4" s="171" t="s">
        <v>254</v>
      </c>
      <c r="H4" s="171" t="s">
        <v>255</v>
      </c>
      <c r="I4" s="171" t="s">
        <v>256</v>
      </c>
      <c r="J4" s="171" t="s">
        <v>257</v>
      </c>
      <c r="K4" s="171" t="s">
        <v>258</v>
      </c>
      <c r="L4" s="171" t="s">
        <v>259</v>
      </c>
      <c r="M4" s="171" t="s">
        <v>260</v>
      </c>
      <c r="N4" s="171" t="s">
        <v>261</v>
      </c>
      <c r="O4" s="171" t="s">
        <v>262</v>
      </c>
      <c r="P4" s="171" t="s">
        <v>239</v>
      </c>
      <c r="Q4" s="171" t="s">
        <v>263</v>
      </c>
      <c r="R4" s="112" t="s">
        <v>221</v>
      </c>
      <c r="S4" s="112" t="s">
        <v>264</v>
      </c>
      <c r="T4" s="175">
        <f>(IRR(T7:T246,0)+1)^12-1</f>
        <v>0.04383468232</v>
      </c>
      <c r="U4" s="171" t="s">
        <v>265</v>
      </c>
      <c r="V4" s="171" t="s">
        <v>266</v>
      </c>
      <c r="W4" s="183">
        <f>(IRR(W7:W246,0)+1)^12-1</f>
        <v>0.05945593372</v>
      </c>
      <c r="X4" s="112" t="s">
        <v>267</v>
      </c>
      <c r="Y4" s="112" t="s">
        <v>268</v>
      </c>
      <c r="Z4" s="112" t="s">
        <v>269</v>
      </c>
    </row>
    <row r="5">
      <c r="A5" s="171"/>
      <c r="B5" s="171"/>
      <c r="C5" s="171"/>
      <c r="D5" s="171"/>
      <c r="E5" s="171"/>
      <c r="F5" s="171"/>
      <c r="G5" s="171"/>
      <c r="H5" s="171"/>
      <c r="I5" s="171"/>
      <c r="J5" s="171"/>
      <c r="K5" s="171"/>
      <c r="L5" s="171"/>
      <c r="M5" s="171"/>
      <c r="N5" s="171"/>
      <c r="O5" s="171"/>
      <c r="P5" s="171"/>
      <c r="Q5" s="171"/>
      <c r="R5" s="112"/>
      <c r="S5" s="112"/>
      <c r="T5" s="171"/>
      <c r="U5" s="171"/>
      <c r="V5" s="112"/>
      <c r="W5" s="112"/>
      <c r="X5" s="112"/>
      <c r="Y5" s="171"/>
      <c r="Z5" s="171"/>
    </row>
    <row r="6">
      <c r="A6" s="171">
        <v>0.0</v>
      </c>
      <c r="B6" s="171"/>
      <c r="C6" s="171"/>
      <c r="D6" s="171"/>
      <c r="E6" s="171"/>
      <c r="F6" s="171"/>
      <c r="G6" s="173"/>
      <c r="H6" s="173"/>
      <c r="I6" s="173"/>
      <c r="J6" s="171"/>
      <c r="K6" s="171"/>
      <c r="L6" s="171"/>
      <c r="M6" s="171"/>
      <c r="N6" s="174">
        <v>0.0</v>
      </c>
      <c r="O6" s="171"/>
      <c r="P6" s="171"/>
      <c r="Q6" s="175">
        <f>Revival!C8+Revival!C14</f>
        <v>600000</v>
      </c>
      <c r="R6" s="112"/>
      <c r="S6" s="175">
        <f>SV</f>
        <v>650000</v>
      </c>
      <c r="T6" s="175"/>
      <c r="U6" s="171"/>
      <c r="V6" s="119">
        <f>N6</f>
        <v>0</v>
      </c>
      <c r="W6" s="112"/>
      <c r="X6" s="112"/>
      <c r="Y6" s="171"/>
      <c r="Z6" s="171"/>
    </row>
    <row r="7">
      <c r="A7" s="171">
        <f t="shared" ref="A7:A246" si="1">A6+1</f>
        <v>1</v>
      </c>
      <c r="B7" s="171">
        <f t="shared" ref="B7:B246" si="2">_xlfn.CEILING.MATH(A7/12)</f>
        <v>1</v>
      </c>
      <c r="C7" s="176">
        <f>EDATE(RCD,A6)</f>
        <v>42551</v>
      </c>
      <c r="D7" s="171">
        <f>Age_At_Entry+'Cashflows_8% from Start'!B7-1</f>
        <v>35</v>
      </c>
      <c r="E7" s="175">
        <f>IF(AND(C7&lt;=Last_Prem,MOD(A6,Mode)=0),Mod_Prem,0)</f>
        <v>100000</v>
      </c>
      <c r="F7" s="177">
        <f>E7*VLOOKUP(B7,'Pre-Calculation'!$H$1:$I$31,2,FALSE)</f>
        <v>6000</v>
      </c>
      <c r="G7" s="177">
        <f>IF(B7&lt;PT+1,VLOOKUP(B7,'Pre-Calculation'!$H$1:$L$32,3,FALSE)+VLOOKUP(B7,'Pre-Calculation'!$H$1:$L$32,4,FALSE)*'Pre-Calculation'!$D$7,0)</f>
        <v>420</v>
      </c>
      <c r="H7" s="175">
        <f>(E7-(F7+G7)*(1+Tax)+N6)</f>
        <v>92424.4</v>
      </c>
      <c r="I7" s="175">
        <f>IF(B7&lt;PT+1,VLOOKUP(D7,'Pre-Calculation'!$N$3:$P$79,IF(INPUT!$C$4="M",2,3),FALSE)*(J7/1000)*(1/12),0)</f>
        <v>96.9593266</v>
      </c>
      <c r="J7" s="175">
        <f t="shared" ref="J7:J246" si="3">MAX(0,(K7-H7))</f>
        <v>907575.6</v>
      </c>
      <c r="K7" s="175">
        <f>IF('Pre-Calculation'!$D$17="Type 4 a",MAX(SA,H7,1.05*Q7),IF('Pre-Calculation'!$D$17="Type 4 c",H7,IF('Pre-Calculation'!$D$17="Type 4 d",SA+H7,IF('Pre-Calculation'!$D$17="Type 4 e",MAX(SA,H7),IF('Pre-Calculation'!$D$17="Type 4 f",SA,IF('Pre-Calculation'!$D$17="Type 4 g",1000+H7,IF('Pre-Calculation'!$D$17="Type 4 h",SA+X7,IF('Pre-Calculation'!$D$17="Type 4 i",MAX(H7,Q7),IF('Pre-Calculation'!$D$17="Type 4 k",MAX(H7,1.01*Q7),IF('Pre-Calculation'!$D$17="Type 4 m",MAX(105%*Q7,SA+H7),IF('Pre-Calculation'!$D$17="Type 4 o",MAX(SA,105%*Q7)+X7+Z7,IF('Pre-Calculation'!$D$17="Type 5",0))))))))))))</f>
        <v>1000000</v>
      </c>
      <c r="L7" s="175">
        <f>H7-I7*(1+Tax)</f>
        <v>92309.98799</v>
      </c>
      <c r="M7" s="175">
        <f>L7*(1+GROWTH_RATE_H)*(1-FMC*(1+Tax))</f>
        <v>92780.65036</v>
      </c>
      <c r="N7" s="175">
        <f>M7+IF(MOD(A7,B7)=0,VLOOKUP(B7,'Pre-Calculation'!$H$1:$L$31,5,FALSE),0)*IF('Pre-Calculation'!$D$16="% OF FV",M7,IF(OR('Pre-Calculation'!$D$16="% OF AFV(24M)",'Pre-Calculation'!$D$16="% OF AFV(8Q)"),AVERAGE( $M$7:$M7),IF('Pre-Calculation'!$D$16="% OF AFV(12M)",AVERAGE($M$7:M7),IF('Pre-Calculation'!$D$16="% OF AFV(36M)",AVERAGE($M$7:M7)))))</f>
        <v>92780.65036</v>
      </c>
      <c r="O7" s="175">
        <f t="shared" ref="O7:O246" si="4">N7</f>
        <v>92780.65036</v>
      </c>
      <c r="P7" s="175">
        <f>IF('Pre-Calculation'!$D$17="Type 4 a",MAX(SA,N7,1.05*Q7),IF('Pre-Calculation'!$D$17="Type 4 c",N7,IF('Pre-Calculation'!$D$17="Type 4 d",SA+N7,IF('Pre-Calculation'!$D$17="Type 4 e",MAX(SA,N7),IF('Pre-Calculation'!$D$17="Type 4 f",SA,IF('Pre-Calculation'!$D$17="Type 4 g",1000+N7,IF('Pre-Calculation'!$D$17="Type 4 h",SA+X7,IF('Pre-Calculation'!$D$17="Type 4 i",MAX(N7,Q7),IF('Pre-Calculation'!$D$17="Type 4 k",MAX(N7,1.01*Q7),IF('Pre-Calculation'!$D$17="Type 4 m",MAX(105%*Q7,SA+N7),IF('Pre-Calculation'!$D$17="Type 4 o",MAX(SA,105%*Q7)+X7+Z7,IF('Pre-Calculation'!$D$17="Type 5",0))))))))))))</f>
        <v>1000000</v>
      </c>
      <c r="Q7" s="175">
        <f t="shared" ref="Q7:Q246" si="5">Q6+E7</f>
        <v>700000</v>
      </c>
      <c r="R7" s="119">
        <f>L7*(1+GROWTH_RATE)*FMC</f>
        <v>104.4600644</v>
      </c>
      <c r="S7" s="178">
        <f>S6*(1+'Pre-Calculation'!$E$27)</f>
        <v>651866.0842</v>
      </c>
      <c r="T7" s="174">
        <f>-E7+IF(A6=INPUT!$C$11*12,N7,0)-N6</f>
        <v>-100000</v>
      </c>
      <c r="U7" s="175">
        <f t="shared" ref="U7:U246" si="6">V6+E7</f>
        <v>100000</v>
      </c>
      <c r="V7" s="175">
        <f>U7*(1+GROWTH_RATE_H)*(1-'Pre-Calculation'!$E$31)</f>
        <v>100475.7991</v>
      </c>
      <c r="W7" s="174">
        <f>-E7+IF(A6=INPUT!$C$11*12,V7,0)-N6</f>
        <v>-100000</v>
      </c>
      <c r="X7" s="179">
        <f t="array" ref="X7">NPV('Pre-Calculation'!$E$20,$E8:E$246)</f>
        <v>651523.2249</v>
      </c>
      <c r="Y7" s="171">
        <f>10%*SA</f>
        <v>100000</v>
      </c>
      <c r="Z7" s="179">
        <f t="array" ref="Z7">NPV('Pre-Calculation'!$E$20,Y8:Y17)</f>
        <v>969592.8037</v>
      </c>
    </row>
    <row r="8">
      <c r="A8" s="171">
        <f t="shared" si="1"/>
        <v>2</v>
      </c>
      <c r="B8" s="171">
        <f t="shared" si="2"/>
        <v>1</v>
      </c>
      <c r="C8" s="176">
        <f>EDATE(RCD,A7)</f>
        <v>42581</v>
      </c>
      <c r="D8" s="171">
        <f>Age_At_Entry+'Cashflows_8% from Start'!B8-1</f>
        <v>35</v>
      </c>
      <c r="E8" s="175">
        <f>IF(AND(C8&lt;=Last_Prem,MOD(A7,Mode)=0),Mod_Prem,0)</f>
        <v>0</v>
      </c>
      <c r="F8" s="177">
        <f>E8*VLOOKUP(B8,'Pre-Calculation'!$H$1:$I$31,2,FALSE)</f>
        <v>0</v>
      </c>
      <c r="G8" s="177">
        <f>IF(B8&lt;PT+1,VLOOKUP(B8,'Pre-Calculation'!$H$1:$L$32,3,FALSE)+VLOOKUP(B8,'Pre-Calculation'!$H$1:$L$32,4,FALSE)*'Pre-Calculation'!$D$7,0)</f>
        <v>420</v>
      </c>
      <c r="H8" s="175">
        <f>(E8-(F8+G8)*(1+Tax)+N7)</f>
        <v>92285.05036</v>
      </c>
      <c r="I8" s="175">
        <f>IF(B8&lt;PT+1,VLOOKUP(D8,'Pre-Calculation'!$N$3:$P$79,IF(INPUT!$C$4="M",2,3),FALSE)*(J8/1000)*(1/12),0)</f>
        <v>96.97421379</v>
      </c>
      <c r="J8" s="175">
        <f t="shared" si="3"/>
        <v>907714.9496</v>
      </c>
      <c r="K8" s="175">
        <f>IF('Pre-Calculation'!$D$17="Type 4 a",MAX(SA,H8,1.05*Q8),IF('Pre-Calculation'!$D$17="Type 4 c",H8,IF('Pre-Calculation'!$D$17="Type 4 d",SA+H8,IF('Pre-Calculation'!$D$17="Type 4 e",MAX(SA,H8),IF('Pre-Calculation'!$D$17="Type 4 f",SA,IF('Pre-Calculation'!$D$17="Type 4 g",1000+H8,IF('Pre-Calculation'!$D$17="Type 4 h",SA+X8,IF('Pre-Calculation'!$D$17="Type 4 i",MAX(H8,Q8),IF('Pre-Calculation'!$D$17="Type 4 k",MAX(H8,1.01*Q8),IF('Pre-Calculation'!$D$17="Type 4 m",MAX(105%*Q8,SA+H8),IF('Pre-Calculation'!$D$17="Type 4 o",MAX(SA,105%*Q8)+X8+Z8,IF('Pre-Calculation'!$D$17="Type 5",0))))))))))))</f>
        <v>1000000</v>
      </c>
      <c r="L8" s="175">
        <f>H8-I8*(1+Tax)</f>
        <v>92170.62079</v>
      </c>
      <c r="M8" s="175">
        <f>L8*(1+GROWTH_RATE_H)*(1-FMC*(1+Tax))</f>
        <v>92640.57256</v>
      </c>
      <c r="N8" s="175">
        <f>M8+IF(MOD(A8,B8)=0,VLOOKUP(B8,'Pre-Calculation'!$H$1:$L$31,5,FALSE),0)*IF('Pre-Calculation'!$D$16="% OF FV",M8,IF(OR('Pre-Calculation'!$D$16="% OF AFV(24M)",'Pre-Calculation'!$D$16="% OF AFV(8Q)"),AVERAGE( $M$7:$M8),IF('Pre-Calculation'!$D$16="% OF AFV(12M)",AVERAGE($M$7:M8),IF('Pre-Calculation'!$D$16="% OF AFV(36M)",AVERAGE($M$7:M8)))))</f>
        <v>92640.57256</v>
      </c>
      <c r="O8" s="175">
        <f t="shared" si="4"/>
        <v>92640.57256</v>
      </c>
      <c r="P8" s="175">
        <f>IF('Pre-Calculation'!$D$17="Type 4 a",MAX(SA,N8,1.05*Q8),IF('Pre-Calculation'!$D$17="Type 4 c",N8,IF('Pre-Calculation'!$D$17="Type 4 d",SA+N8,IF('Pre-Calculation'!$D$17="Type 4 e",MAX(SA,N8),IF('Pre-Calculation'!$D$17="Type 4 f",SA,IF('Pre-Calculation'!$D$17="Type 4 g",1000+N8,IF('Pre-Calculation'!$D$17="Type 4 h",SA+X8,IF('Pre-Calculation'!$D$17="Type 4 i",MAX(N8,Q8),IF('Pre-Calculation'!$D$17="Type 4 k",MAX(N8,1.01*Q8),IF('Pre-Calculation'!$D$17="Type 4 m",MAX(105%*Q8,SA+N8),IF('Pre-Calculation'!$D$17="Type 4 o",MAX(SA,105%*Q8)+X8+Z8,IF('Pre-Calculation'!$D$17="Type 5",0))))))))))))</f>
        <v>1000000</v>
      </c>
      <c r="Q8" s="175">
        <f t="shared" si="5"/>
        <v>700000</v>
      </c>
      <c r="R8" s="119">
        <f>L8*(1+GROWTH_RATE)*FMC</f>
        <v>104.3023533</v>
      </c>
      <c r="S8" s="178">
        <f>S7*(1+'Pre-Calculation'!$E$27)</f>
        <v>653737.5257</v>
      </c>
      <c r="T8" s="175">
        <f>-E8+IF(A7=INPUT!$C$11*12,N8,0)</f>
        <v>0</v>
      </c>
      <c r="U8" s="175">
        <f t="shared" si="6"/>
        <v>100475.7991</v>
      </c>
      <c r="V8" s="175">
        <f>U8*(1+GROWTH_RATE_H)*(1-'Pre-Calculation'!$E$31)</f>
        <v>100953.8621</v>
      </c>
      <c r="W8" s="175">
        <f>-E8+IF(A7=INPUT!$C$11*12,V8,0)</f>
        <v>0</v>
      </c>
      <c r="X8" s="179">
        <f t="array" ref="X8">NPV('Pre-Calculation'!$E$20,$E9:E$246)</f>
        <v>655207.0319</v>
      </c>
      <c r="Y8" s="171">
        <f>10%*SA</f>
        <v>100000</v>
      </c>
      <c r="Z8" s="179">
        <f t="array" ref="Z8">NPV('Pre-Calculation'!$E$20,Y9:Y18)</f>
        <v>969592.8037</v>
      </c>
    </row>
    <row r="9">
      <c r="A9" s="171">
        <f t="shared" si="1"/>
        <v>3</v>
      </c>
      <c r="B9" s="171">
        <f t="shared" si="2"/>
        <v>1</v>
      </c>
      <c r="C9" s="176">
        <f>EDATE(RCD,A8)</f>
        <v>42612</v>
      </c>
      <c r="D9" s="171">
        <f>Age_At_Entry+'Cashflows_8% from Start'!B9-1</f>
        <v>35</v>
      </c>
      <c r="E9" s="175">
        <f>IF(AND(C9&lt;=Last_Prem,MOD(A8,Mode)=0),Mod_Prem,0)</f>
        <v>0</v>
      </c>
      <c r="F9" s="177">
        <f>E9*VLOOKUP(B9,'Pre-Calculation'!$H$1:$I$31,2,FALSE)</f>
        <v>0</v>
      </c>
      <c r="G9" s="177">
        <f>IF(B9&lt;PT+1,VLOOKUP(B9,'Pre-Calculation'!$H$1:$L$32,3,FALSE)+VLOOKUP(B9,'Pre-Calculation'!$H$1:$L$32,4,FALSE)*'Pre-Calculation'!$D$7,0)</f>
        <v>420</v>
      </c>
      <c r="H9" s="175">
        <f>(E9-(F9+G9)*(1+Tax)+N8)</f>
        <v>92144.97256</v>
      </c>
      <c r="I9" s="175">
        <f>IF(B9&lt;PT+1,VLOOKUP(D9,'Pre-Calculation'!$N$3:$P$79,IF(INPUT!$C$4="M",2,3),FALSE)*(J9/1000)*(1/12),0)</f>
        <v>96.98917876</v>
      </c>
      <c r="J9" s="175">
        <f t="shared" si="3"/>
        <v>907855.0274</v>
      </c>
      <c r="K9" s="175">
        <f>IF('Pre-Calculation'!$D$17="Type 4 a",MAX(SA,H9,1.05*Q9),IF('Pre-Calculation'!$D$17="Type 4 c",H9,IF('Pre-Calculation'!$D$17="Type 4 d",SA+H9,IF('Pre-Calculation'!$D$17="Type 4 e",MAX(SA,H9),IF('Pre-Calculation'!$D$17="Type 4 f",SA,IF('Pre-Calculation'!$D$17="Type 4 g",1000+H9,IF('Pre-Calculation'!$D$17="Type 4 h",SA+X9,IF('Pre-Calculation'!$D$17="Type 4 i",MAX(H9,Q9),IF('Pre-Calculation'!$D$17="Type 4 k",MAX(H9,1.01*Q9),IF('Pre-Calculation'!$D$17="Type 4 m",MAX(105%*Q9,SA+H9),IF('Pre-Calculation'!$D$17="Type 4 o",MAX(SA,105%*Q9)+X9+Z9,IF('Pre-Calculation'!$D$17="Type 5",0))))))))))))</f>
        <v>1000000</v>
      </c>
      <c r="L9" s="175">
        <f>H9-I9*(1+Tax)</f>
        <v>92030.52533</v>
      </c>
      <c r="M9" s="175">
        <f>L9*(1+GROWTH_RATE_H)*(1-FMC*(1+Tax))</f>
        <v>92499.7628</v>
      </c>
      <c r="N9" s="175">
        <f>M9+IF(MOD(A9,B9)=0,VLOOKUP(B9,'Pre-Calculation'!$H$1:$L$31,5,FALSE),0)*IF('Pre-Calculation'!$D$16="% OF FV",M9,IF(OR('Pre-Calculation'!$D$16="% OF AFV(24M)",'Pre-Calculation'!$D$16="% OF AFV(8Q)"),AVERAGE( $M$7:$M9),IF('Pre-Calculation'!$D$16="% OF AFV(12M)",AVERAGE($M$7:M9),IF('Pre-Calculation'!$D$16="% OF AFV(36M)",AVERAGE($M$7:M9)))))</f>
        <v>92499.7628</v>
      </c>
      <c r="O9" s="175">
        <f t="shared" si="4"/>
        <v>92499.7628</v>
      </c>
      <c r="P9" s="175">
        <f>IF('Pre-Calculation'!$D$17="Type 4 a",MAX(SA,N9,1.05*Q9),IF('Pre-Calculation'!$D$17="Type 4 c",N9,IF('Pre-Calculation'!$D$17="Type 4 d",SA+N9,IF('Pre-Calculation'!$D$17="Type 4 e",MAX(SA,N9),IF('Pre-Calculation'!$D$17="Type 4 f",SA,IF('Pre-Calculation'!$D$17="Type 4 g",1000+N9,IF('Pre-Calculation'!$D$17="Type 4 h",SA+X9,IF('Pre-Calculation'!$D$17="Type 4 i",MAX(N9,Q9),IF('Pre-Calculation'!$D$17="Type 4 k",MAX(N9,1.01*Q9),IF('Pre-Calculation'!$D$17="Type 4 m",MAX(105%*Q9,SA+N9),IF('Pre-Calculation'!$D$17="Type 4 o",MAX(SA,105%*Q9)+X9+Z9,IF('Pre-Calculation'!$D$17="Type 5",0))))))))))))</f>
        <v>1000000</v>
      </c>
      <c r="Q9" s="175">
        <f t="shared" si="5"/>
        <v>700000</v>
      </c>
      <c r="R9" s="119">
        <f>L9*(1+GROWTH_RATE)*FMC</f>
        <v>104.1438181</v>
      </c>
      <c r="S9" s="178">
        <f>S8*(1+'Pre-Calculation'!$E$27)</f>
        <v>655614.3399</v>
      </c>
      <c r="T9" s="175">
        <f>-E9+IF(A8=INPUT!$C$11*12,N9,0)</f>
        <v>0</v>
      </c>
      <c r="U9" s="175">
        <f t="shared" si="6"/>
        <v>100953.8621</v>
      </c>
      <c r="V9" s="175">
        <f>U9*(1+GROWTH_RATE_H)*(1-'Pre-Calculation'!$E$31)</f>
        <v>101434.1997</v>
      </c>
      <c r="W9" s="175">
        <f>-E9+IF(A8=INPUT!$C$11*12,V9,0)</f>
        <v>0</v>
      </c>
      <c r="X9" s="179">
        <f t="array" ref="X9">NPV('Pre-Calculation'!$E$20,$E10:E$246)</f>
        <v>658911.6677</v>
      </c>
      <c r="Y9" s="171">
        <f>10%*SA</f>
        <v>100000</v>
      </c>
      <c r="Z9" s="179">
        <f t="array" ref="Z9">NPV('Pre-Calculation'!$E$20,Y10:Y19)</f>
        <v>969592.8037</v>
      </c>
    </row>
    <row r="10">
      <c r="A10" s="171">
        <f t="shared" si="1"/>
        <v>4</v>
      </c>
      <c r="B10" s="171">
        <f t="shared" si="2"/>
        <v>1</v>
      </c>
      <c r="C10" s="176">
        <f>EDATE(RCD,A9)</f>
        <v>42643</v>
      </c>
      <c r="D10" s="171">
        <f>Age_At_Entry+'Cashflows_8% from Start'!B10-1</f>
        <v>35</v>
      </c>
      <c r="E10" s="175">
        <f>IF(AND(C10&lt;=Last_Prem,MOD(A9,Mode)=0),Mod_Prem,0)</f>
        <v>0</v>
      </c>
      <c r="F10" s="177">
        <f>E10*VLOOKUP(B10,'Pre-Calculation'!$H$1:$I$31,2,FALSE)</f>
        <v>0</v>
      </c>
      <c r="G10" s="177">
        <f>IF(B10&lt;PT+1,VLOOKUP(B10,'Pre-Calculation'!$H$1:$L$32,3,FALSE)+VLOOKUP(B10,'Pre-Calculation'!$H$1:$L$32,4,FALSE)*'Pre-Calculation'!$D$7,0)</f>
        <v>420</v>
      </c>
      <c r="H10" s="175">
        <f>(E10-(F10+G10)*(1+Tax)+N9)</f>
        <v>92004.1628</v>
      </c>
      <c r="I10" s="175">
        <f>IF(B10&lt;PT+1,VLOOKUP(D10,'Pre-Calculation'!$N$3:$P$79,IF(INPUT!$C$4="M",2,3),FALSE)*(J10/1000)*(1/12),0)</f>
        <v>97.00422194</v>
      </c>
      <c r="J10" s="175">
        <f t="shared" si="3"/>
        <v>907995.8372</v>
      </c>
      <c r="K10" s="175">
        <f>IF('Pre-Calculation'!$D$17="Type 4 a",MAX(SA,H10,1.05*Q10),IF('Pre-Calculation'!$D$17="Type 4 c",H10,IF('Pre-Calculation'!$D$17="Type 4 d",SA+H10,IF('Pre-Calculation'!$D$17="Type 4 e",MAX(SA,H10),IF('Pre-Calculation'!$D$17="Type 4 f",SA,IF('Pre-Calculation'!$D$17="Type 4 g",1000+H10,IF('Pre-Calculation'!$D$17="Type 4 h",SA+X10,IF('Pre-Calculation'!$D$17="Type 4 i",MAX(H10,Q10),IF('Pre-Calculation'!$D$17="Type 4 k",MAX(H10,1.01*Q10),IF('Pre-Calculation'!$D$17="Type 4 m",MAX(105%*Q10,SA+H10),IF('Pre-Calculation'!$D$17="Type 4 o",MAX(SA,105%*Q10)+X10+Z10,IF('Pre-Calculation'!$D$17="Type 5",0))))))))))))</f>
        <v>1000000</v>
      </c>
      <c r="L10" s="175">
        <f>H10-I10*(1+Tax)</f>
        <v>91889.69781</v>
      </c>
      <c r="M10" s="175">
        <f>L10*(1+GROWTH_RATE_H)*(1-FMC*(1+Tax))</f>
        <v>92358.21724</v>
      </c>
      <c r="N10" s="175">
        <f>M10+IF(MOD(A10,B10)=0,VLOOKUP(B10,'Pre-Calculation'!$H$1:$L$31,5,FALSE),0)*IF('Pre-Calculation'!$D$16="% OF FV",M10,IF(OR('Pre-Calculation'!$D$16="% OF AFV(24M)",'Pre-Calculation'!$D$16="% OF AFV(8Q)"),AVERAGE( $M$7:$M10),IF('Pre-Calculation'!$D$16="% OF AFV(12M)",AVERAGE($M$7:M10),IF('Pre-Calculation'!$D$16="% OF AFV(36M)",AVERAGE($M$7:M10)))))</f>
        <v>92358.21724</v>
      </c>
      <c r="O10" s="175">
        <f t="shared" si="4"/>
        <v>92358.21724</v>
      </c>
      <c r="P10" s="175">
        <f>IF('Pre-Calculation'!$D$17="Type 4 a",MAX(SA,N10,1.05*Q10),IF('Pre-Calculation'!$D$17="Type 4 c",N10,IF('Pre-Calculation'!$D$17="Type 4 d",SA+N10,IF('Pre-Calculation'!$D$17="Type 4 e",MAX(SA,N10),IF('Pre-Calculation'!$D$17="Type 4 f",SA,IF('Pre-Calculation'!$D$17="Type 4 g",1000+N10,IF('Pre-Calculation'!$D$17="Type 4 h",SA+X10,IF('Pre-Calculation'!$D$17="Type 4 i",MAX(N10,Q10),IF('Pre-Calculation'!$D$17="Type 4 k",MAX(N10,1.01*Q10),IF('Pre-Calculation'!$D$17="Type 4 m",MAX(105%*Q10,SA+N10),IF('Pre-Calculation'!$D$17="Type 4 o",MAX(SA,105%*Q10)+X10+Z10,IF('Pre-Calculation'!$D$17="Type 5",0))))))))))))</f>
        <v>1000000</v>
      </c>
      <c r="Q10" s="175">
        <f t="shared" si="5"/>
        <v>700000</v>
      </c>
      <c r="R10" s="119">
        <f>L10*(1+GROWTH_RATE)*FMC</f>
        <v>103.9844545</v>
      </c>
      <c r="S10" s="178">
        <f>S9*(1+'Pre-Calculation'!$E$27)</f>
        <v>657496.5423</v>
      </c>
      <c r="T10" s="175">
        <f>-E10+IF(A9=INPUT!$C$11*12,N10,0)</f>
        <v>0</v>
      </c>
      <c r="U10" s="175">
        <f t="shared" si="6"/>
        <v>101434.1997</v>
      </c>
      <c r="V10" s="175">
        <f>U10*(1+GROWTH_RATE_H)*(1-'Pre-Calculation'!$E$31)</f>
        <v>101916.8227</v>
      </c>
      <c r="W10" s="175">
        <f>-E10+IF(A9=INPUT!$C$11*12,V10,0)</f>
        <v>0</v>
      </c>
      <c r="X10" s="179">
        <f t="array" ref="X10">NPV('Pre-Calculation'!$E$20,$E11:E$246)</f>
        <v>662637.2501</v>
      </c>
      <c r="Y10" s="171">
        <f>10%*SA</f>
        <v>100000</v>
      </c>
      <c r="Z10" s="179">
        <f t="array" ref="Z10">NPV('Pre-Calculation'!$E$20,Y11:Y20)</f>
        <v>969592.8037</v>
      </c>
    </row>
    <row r="11">
      <c r="A11" s="171">
        <f t="shared" si="1"/>
        <v>5</v>
      </c>
      <c r="B11" s="171">
        <f t="shared" si="2"/>
        <v>1</v>
      </c>
      <c r="C11" s="176">
        <f>EDATE(RCD,A10)</f>
        <v>42673</v>
      </c>
      <c r="D11" s="171">
        <f>Age_At_Entry+'Cashflows_8% from Start'!B11-1</f>
        <v>35</v>
      </c>
      <c r="E11" s="175">
        <f>IF(AND(C11&lt;=Last_Prem,MOD(A10,Mode)=0),Mod_Prem,0)</f>
        <v>0</v>
      </c>
      <c r="F11" s="177">
        <f>E11*VLOOKUP(B11,'Pre-Calculation'!$H$1:$I$31,2,FALSE)</f>
        <v>0</v>
      </c>
      <c r="G11" s="177">
        <f>IF(B11&lt;PT+1,VLOOKUP(B11,'Pre-Calculation'!$H$1:$L$32,3,FALSE)+VLOOKUP(B11,'Pre-Calculation'!$H$1:$L$32,4,FALSE)*'Pre-Calculation'!$D$7,0)</f>
        <v>420</v>
      </c>
      <c r="H11" s="175">
        <f>(E11-(F11+G11)*(1+Tax)+N10)</f>
        <v>91862.61724</v>
      </c>
      <c r="I11" s="175">
        <f>IF(B11&lt;PT+1,VLOOKUP(D11,'Pre-Calculation'!$N$3:$P$79,IF(INPUT!$C$4="M",2,3),FALSE)*(J11/1000)*(1/12),0)</f>
        <v>97.01934372</v>
      </c>
      <c r="J11" s="175">
        <f t="shared" si="3"/>
        <v>908137.3828</v>
      </c>
      <c r="K11" s="175">
        <f>IF('Pre-Calculation'!$D$17="Type 4 a",MAX(SA,H11,1.05*Q11),IF('Pre-Calculation'!$D$17="Type 4 c",H11,IF('Pre-Calculation'!$D$17="Type 4 d",SA+H11,IF('Pre-Calculation'!$D$17="Type 4 e",MAX(SA,H11),IF('Pre-Calculation'!$D$17="Type 4 f",SA,IF('Pre-Calculation'!$D$17="Type 4 g",1000+H11,IF('Pre-Calculation'!$D$17="Type 4 h",SA+X11,IF('Pre-Calculation'!$D$17="Type 4 i",MAX(H11,Q11),IF('Pre-Calculation'!$D$17="Type 4 k",MAX(H11,1.01*Q11),IF('Pre-Calculation'!$D$17="Type 4 m",MAX(105%*Q11,SA+H11),IF('Pre-Calculation'!$D$17="Type 4 o",MAX(SA,105%*Q11)+X11+Z11,IF('Pre-Calculation'!$D$17="Type 5",0))))))))))))</f>
        <v>1000000</v>
      </c>
      <c r="L11" s="175">
        <f>H11-I11*(1+Tax)</f>
        <v>91748.13441</v>
      </c>
      <c r="M11" s="175">
        <f>L11*(1+GROWTH_RATE_H)*(1-FMC*(1+Tax))</f>
        <v>92215.93205</v>
      </c>
      <c r="N11" s="175">
        <f>M11+IF(MOD(A11,B11)=0,VLOOKUP(B11,'Pre-Calculation'!$H$1:$L$31,5,FALSE),0)*IF('Pre-Calculation'!$D$16="% OF FV",M11,IF(OR('Pre-Calculation'!$D$16="% OF AFV(24M)",'Pre-Calculation'!$D$16="% OF AFV(8Q)"),AVERAGE( $M$7:$M11),IF('Pre-Calculation'!$D$16="% OF AFV(12M)",AVERAGE($M$7:M11),IF('Pre-Calculation'!$D$16="% OF AFV(36M)",AVERAGE($M$7:M11)))))</f>
        <v>92215.93205</v>
      </c>
      <c r="O11" s="175">
        <f t="shared" si="4"/>
        <v>92215.93205</v>
      </c>
      <c r="P11" s="175">
        <f>IF('Pre-Calculation'!$D$17="Type 4 a",MAX(SA,N11,1.05*Q11),IF('Pre-Calculation'!$D$17="Type 4 c",N11,IF('Pre-Calculation'!$D$17="Type 4 d",SA+N11,IF('Pre-Calculation'!$D$17="Type 4 e",MAX(SA,N11),IF('Pre-Calculation'!$D$17="Type 4 f",SA,IF('Pre-Calculation'!$D$17="Type 4 g",1000+N11,IF('Pre-Calculation'!$D$17="Type 4 h",SA+X11,IF('Pre-Calculation'!$D$17="Type 4 i",MAX(N11,Q11),IF('Pre-Calculation'!$D$17="Type 4 k",MAX(N11,1.01*Q11),IF('Pre-Calculation'!$D$17="Type 4 m",MAX(105%*Q11,SA+N11),IF('Pre-Calculation'!$D$17="Type 4 o",MAX(SA,105%*Q11)+X11+Z11,IF('Pre-Calculation'!$D$17="Type 5",0))))))))))))</f>
        <v>1000000</v>
      </c>
      <c r="Q11" s="175">
        <f t="shared" si="5"/>
        <v>700000</v>
      </c>
      <c r="R11" s="119">
        <f>L11*(1+GROWTH_RATE)*FMC</f>
        <v>103.8242582</v>
      </c>
      <c r="S11" s="178">
        <f>S10*(1+'Pre-Calculation'!$E$27)</f>
        <v>659384.1482</v>
      </c>
      <c r="T11" s="175">
        <f>-E11+IF(A10=INPUT!$C$11*12,N11,0)</f>
        <v>0</v>
      </c>
      <c r="U11" s="175">
        <f t="shared" si="6"/>
        <v>101916.8227</v>
      </c>
      <c r="V11" s="175">
        <f>U11*(1+GROWTH_RATE_H)*(1-'Pre-Calculation'!$E$31)</f>
        <v>102401.7421</v>
      </c>
      <c r="W11" s="175">
        <f>-E11+IF(A10=INPUT!$C$11*12,V11,0)</f>
        <v>0</v>
      </c>
      <c r="X11" s="179">
        <f t="array" ref="X11">NPV('Pre-Calculation'!$E$20,$E12:E$246)</f>
        <v>666383.8975</v>
      </c>
      <c r="Y11" s="171">
        <f>10%*SA</f>
        <v>100000</v>
      </c>
      <c r="Z11" s="179">
        <f t="array" ref="Z11">NPV('Pre-Calculation'!$E$20,Y12:Y21)</f>
        <v>969592.8037</v>
      </c>
    </row>
    <row r="12">
      <c r="A12" s="171">
        <f t="shared" si="1"/>
        <v>6</v>
      </c>
      <c r="B12" s="171">
        <f t="shared" si="2"/>
        <v>1</v>
      </c>
      <c r="C12" s="176">
        <f>EDATE(RCD,A11)</f>
        <v>42704</v>
      </c>
      <c r="D12" s="171">
        <f>Age_At_Entry+'Cashflows_8% from Start'!B12-1</f>
        <v>35</v>
      </c>
      <c r="E12" s="175">
        <f>IF(AND(C12&lt;=Last_Prem,MOD(A11,Mode)=0),Mod_Prem,0)</f>
        <v>0</v>
      </c>
      <c r="F12" s="177">
        <f>E12*VLOOKUP(B12,'Pre-Calculation'!$H$1:$I$31,2,FALSE)</f>
        <v>0</v>
      </c>
      <c r="G12" s="177">
        <f>IF(B12&lt;PT+1,VLOOKUP(B12,'Pre-Calculation'!$H$1:$L$32,3,FALSE)+VLOOKUP(B12,'Pre-Calculation'!$H$1:$L$32,4,FALSE)*'Pre-Calculation'!$D$7,0)</f>
        <v>420</v>
      </c>
      <c r="H12" s="175">
        <f>(E12-(F12+G12)*(1+Tax)+N11)</f>
        <v>91720.33205</v>
      </c>
      <c r="I12" s="175">
        <f>IF(B12&lt;PT+1,VLOOKUP(D12,'Pre-Calculation'!$N$3:$P$79,IF(INPUT!$C$4="M",2,3),FALSE)*(J12/1000)*(1/12),0)</f>
        <v>97.03454453</v>
      </c>
      <c r="J12" s="175">
        <f t="shared" si="3"/>
        <v>908279.668</v>
      </c>
      <c r="K12" s="175">
        <f>IF('Pre-Calculation'!$D$17="Type 4 a",MAX(SA,H12,1.05*Q12),IF('Pre-Calculation'!$D$17="Type 4 c",H12,IF('Pre-Calculation'!$D$17="Type 4 d",SA+H12,IF('Pre-Calculation'!$D$17="Type 4 e",MAX(SA,H12),IF('Pre-Calculation'!$D$17="Type 4 f",SA,IF('Pre-Calculation'!$D$17="Type 4 g",1000+H12,IF('Pre-Calculation'!$D$17="Type 4 h",SA+X12,IF('Pre-Calculation'!$D$17="Type 4 i",MAX(H12,Q12),IF('Pre-Calculation'!$D$17="Type 4 k",MAX(H12,1.01*Q12),IF('Pre-Calculation'!$D$17="Type 4 m",MAX(105%*Q12,SA+H12),IF('Pre-Calculation'!$D$17="Type 4 o",MAX(SA,105%*Q12)+X12+Z12,IF('Pre-Calculation'!$D$17="Type 5",0))))))))))))</f>
        <v>1000000</v>
      </c>
      <c r="L12" s="175">
        <f>H12-I12*(1+Tax)</f>
        <v>91605.83129</v>
      </c>
      <c r="M12" s="175">
        <f>L12*(1+GROWTH_RATE_H)*(1-FMC*(1+Tax))</f>
        <v>92072.90336</v>
      </c>
      <c r="N12" s="175">
        <f>M12+IF(MOD(A12,B12)=0,VLOOKUP(B12,'Pre-Calculation'!$H$1:$L$31,5,FALSE),0)*IF('Pre-Calculation'!$D$16="% OF FV",M12,IF(OR('Pre-Calculation'!$D$16="% OF AFV(24M)",'Pre-Calculation'!$D$16="% OF AFV(8Q)"),AVERAGE( $M$7:$M12),IF('Pre-Calculation'!$D$16="% OF AFV(12M)",AVERAGE($M$7:M12),IF('Pre-Calculation'!$D$16="% OF AFV(36M)",AVERAGE($M$7:M12)))))</f>
        <v>92072.90336</v>
      </c>
      <c r="O12" s="175">
        <f t="shared" si="4"/>
        <v>92072.90336</v>
      </c>
      <c r="P12" s="175">
        <f>IF('Pre-Calculation'!$D$17="Type 4 a",MAX(SA,N12,1.05*Q12),IF('Pre-Calculation'!$D$17="Type 4 c",N12,IF('Pre-Calculation'!$D$17="Type 4 d",SA+N12,IF('Pre-Calculation'!$D$17="Type 4 e",MAX(SA,N12),IF('Pre-Calculation'!$D$17="Type 4 f",SA,IF('Pre-Calculation'!$D$17="Type 4 g",1000+N12,IF('Pre-Calculation'!$D$17="Type 4 h",SA+X12,IF('Pre-Calculation'!$D$17="Type 4 i",MAX(N12,Q12),IF('Pre-Calculation'!$D$17="Type 4 k",MAX(N12,1.01*Q12),IF('Pre-Calculation'!$D$17="Type 4 m",MAX(105%*Q12,SA+N12),IF('Pre-Calculation'!$D$17="Type 4 o",MAX(SA,105%*Q12)+X12+Z12,IF('Pre-Calculation'!$D$17="Type 5",0))))))))))))</f>
        <v>1000000</v>
      </c>
      <c r="Q12" s="175">
        <f t="shared" si="5"/>
        <v>700000</v>
      </c>
      <c r="R12" s="119">
        <f>L12*(1+GROWTH_RATE)*FMC</f>
        <v>103.6632248</v>
      </c>
      <c r="S12" s="178">
        <f>S11*(1+'Pre-Calculation'!$E$27)</f>
        <v>661277.1734</v>
      </c>
      <c r="T12" s="175">
        <f>-E12+IF(A11=INPUT!$C$11*12,N12,0)</f>
        <v>0</v>
      </c>
      <c r="U12" s="175">
        <f t="shared" si="6"/>
        <v>102401.7421</v>
      </c>
      <c r="V12" s="175">
        <f>U12*(1+GROWTH_RATE_H)*(1-'Pre-Calculation'!$E$31)</f>
        <v>102888.9687</v>
      </c>
      <c r="W12" s="175">
        <f>-E12+IF(A11=INPUT!$C$11*12,V12,0)</f>
        <v>0</v>
      </c>
      <c r="X12" s="179">
        <f t="array" ref="X12">NPV('Pre-Calculation'!$E$20,$E13:E$246)</f>
        <v>670151.7289</v>
      </c>
      <c r="Y12" s="171">
        <f>10%*SA</f>
        <v>100000</v>
      </c>
      <c r="Z12" s="179">
        <f t="array" ref="Z12">NPV('Pre-Calculation'!$E$20,Y13:Y22)</f>
        <v>969592.8037</v>
      </c>
    </row>
    <row r="13">
      <c r="A13" s="171">
        <f t="shared" si="1"/>
        <v>7</v>
      </c>
      <c r="B13" s="171">
        <f t="shared" si="2"/>
        <v>1</v>
      </c>
      <c r="C13" s="176">
        <f>EDATE(RCD,A12)</f>
        <v>42734</v>
      </c>
      <c r="D13" s="171">
        <f>Age_At_Entry+'Cashflows_8% from Start'!B13-1</f>
        <v>35</v>
      </c>
      <c r="E13" s="175">
        <f>IF(AND(C13&lt;=Last_Prem,MOD(A12,Mode)=0),Mod_Prem,0)</f>
        <v>0</v>
      </c>
      <c r="F13" s="177">
        <f>E13*VLOOKUP(B13,'Pre-Calculation'!$H$1:$I$31,2,FALSE)</f>
        <v>0</v>
      </c>
      <c r="G13" s="177">
        <f>IF(B13&lt;PT+1,VLOOKUP(B13,'Pre-Calculation'!$H$1:$L$32,3,FALSE)+VLOOKUP(B13,'Pre-Calculation'!$H$1:$L$32,4,FALSE)*'Pre-Calculation'!$D$7,0)</f>
        <v>420</v>
      </c>
      <c r="H13" s="175">
        <f>(E13-(F13+G13)*(1+Tax)+N12)</f>
        <v>91577.30336</v>
      </c>
      <c r="I13" s="175">
        <f>IF(B13&lt;PT+1,VLOOKUP(D13,'Pre-Calculation'!$N$3:$P$79,IF(INPUT!$C$4="M",2,3),FALSE)*(J13/1000)*(1/12),0)</f>
        <v>97.04982476</v>
      </c>
      <c r="J13" s="175">
        <f t="shared" si="3"/>
        <v>908422.6966</v>
      </c>
      <c r="K13" s="175">
        <f>IF('Pre-Calculation'!$D$17="Type 4 a",MAX(SA,H13,1.05*Q13),IF('Pre-Calculation'!$D$17="Type 4 c",H13,IF('Pre-Calculation'!$D$17="Type 4 d",SA+H13,IF('Pre-Calculation'!$D$17="Type 4 e",MAX(SA,H13),IF('Pre-Calculation'!$D$17="Type 4 f",SA,IF('Pre-Calculation'!$D$17="Type 4 g",1000+H13,IF('Pre-Calculation'!$D$17="Type 4 h",SA+X13,IF('Pre-Calculation'!$D$17="Type 4 i",MAX(H13,Q13),IF('Pre-Calculation'!$D$17="Type 4 k",MAX(H13,1.01*Q13),IF('Pre-Calculation'!$D$17="Type 4 m",MAX(105%*Q13,SA+H13),IF('Pre-Calculation'!$D$17="Type 4 o",MAX(SA,105%*Q13)+X13+Z13,IF('Pre-Calculation'!$D$17="Type 5",0))))))))))))</f>
        <v>1000000</v>
      </c>
      <c r="L13" s="175">
        <f>H13-I13*(1+Tax)</f>
        <v>91462.78456</v>
      </c>
      <c r="M13" s="175">
        <f>L13*(1+GROWTH_RATE_H)*(1-FMC*(1+Tax))</f>
        <v>91929.12728</v>
      </c>
      <c r="N13" s="175">
        <f>M13+IF(MOD(A13,B13)=0,VLOOKUP(B13,'Pre-Calculation'!$H$1:$L$31,5,FALSE),0)*IF('Pre-Calculation'!$D$16="% OF FV",M13,IF(OR('Pre-Calculation'!$D$16="% OF AFV(24M)",'Pre-Calculation'!$D$16="% OF AFV(8Q)"),AVERAGE( $M$7:$M13),IF('Pre-Calculation'!$D$16="% OF AFV(12M)",AVERAGE($M$7:M13),IF('Pre-Calculation'!$D$16="% OF AFV(36M)",AVERAGE($M$7:M13)))))</f>
        <v>91929.12728</v>
      </c>
      <c r="O13" s="175">
        <f t="shared" si="4"/>
        <v>91929.12728</v>
      </c>
      <c r="P13" s="175">
        <f>IF('Pre-Calculation'!$D$17="Type 4 a",MAX(SA,N13,1.05*Q13),IF('Pre-Calculation'!$D$17="Type 4 c",N13,IF('Pre-Calculation'!$D$17="Type 4 d",SA+N13,IF('Pre-Calculation'!$D$17="Type 4 e",MAX(SA,N13),IF('Pre-Calculation'!$D$17="Type 4 f",SA,IF('Pre-Calculation'!$D$17="Type 4 g",1000+N13,IF('Pre-Calculation'!$D$17="Type 4 h",SA+X13,IF('Pre-Calculation'!$D$17="Type 4 i",MAX(N13,Q13),IF('Pre-Calculation'!$D$17="Type 4 k",MAX(N13,1.01*Q13),IF('Pre-Calculation'!$D$17="Type 4 m",MAX(105%*Q13,SA+N13),IF('Pre-Calculation'!$D$17="Type 4 o",MAX(SA,105%*Q13)+X13+Z13,IF('Pre-Calculation'!$D$17="Type 5",0))))))))))))</f>
        <v>1000000</v>
      </c>
      <c r="Q13" s="175">
        <f t="shared" si="5"/>
        <v>700000</v>
      </c>
      <c r="R13" s="119">
        <f>L13*(1+GROWTH_RATE)*FMC</f>
        <v>103.5013499</v>
      </c>
      <c r="S13" s="178">
        <f>S12*(1+'Pre-Calculation'!$E$27)</f>
        <v>663175.6331</v>
      </c>
      <c r="T13" s="175">
        <f>-E13+IF(A12=INPUT!$C$11*12,N13,0)</f>
        <v>0</v>
      </c>
      <c r="U13" s="175">
        <f t="shared" si="6"/>
        <v>102888.9687</v>
      </c>
      <c r="V13" s="175">
        <f>U13*(1+GROWTH_RATE_H)*(1-'Pre-Calculation'!$E$31)</f>
        <v>103378.5135</v>
      </c>
      <c r="W13" s="175">
        <f>-E13+IF(A12=INPUT!$C$11*12,V13,0)</f>
        <v>0</v>
      </c>
      <c r="X13" s="179">
        <f t="array" ref="X13">NPV('Pre-Calculation'!$E$20,$E14:E$246)</f>
        <v>673940.8642</v>
      </c>
      <c r="Y13" s="171">
        <f>10%*SA</f>
        <v>100000</v>
      </c>
      <c r="Z13" s="179">
        <f t="array" ref="Z13">NPV('Pre-Calculation'!$E$20,Y14:Y23)</f>
        <v>969592.8037</v>
      </c>
    </row>
    <row r="14">
      <c r="A14" s="171">
        <f t="shared" si="1"/>
        <v>8</v>
      </c>
      <c r="B14" s="171">
        <f t="shared" si="2"/>
        <v>1</v>
      </c>
      <c r="C14" s="176">
        <f>EDATE(RCD,A13)</f>
        <v>42765</v>
      </c>
      <c r="D14" s="171">
        <f>Age_At_Entry+'Cashflows_8% from Start'!B14-1</f>
        <v>35</v>
      </c>
      <c r="E14" s="175">
        <f>IF(AND(C14&lt;=Last_Prem,MOD(A13,Mode)=0),Mod_Prem,0)</f>
        <v>0</v>
      </c>
      <c r="F14" s="177">
        <f>E14*VLOOKUP(B14,'Pre-Calculation'!$H$1:$I$31,2,FALSE)</f>
        <v>0</v>
      </c>
      <c r="G14" s="177">
        <f>IF(B14&lt;PT+1,VLOOKUP(B14,'Pre-Calculation'!$H$1:$L$32,3,FALSE)+VLOOKUP(B14,'Pre-Calculation'!$H$1:$L$32,4,FALSE)*'Pre-Calculation'!$D$7,0)</f>
        <v>420</v>
      </c>
      <c r="H14" s="175">
        <f>(E14-(F14+G14)*(1+Tax)+N13)</f>
        <v>91433.52728</v>
      </c>
      <c r="I14" s="175">
        <f>IF(B14&lt;PT+1,VLOOKUP(D14,'Pre-Calculation'!$N$3:$P$79,IF(INPUT!$C$4="M",2,3),FALSE)*(J14/1000)*(1/12),0)</f>
        <v>97.06518484</v>
      </c>
      <c r="J14" s="175">
        <f t="shared" si="3"/>
        <v>908566.4727</v>
      </c>
      <c r="K14" s="175">
        <f>IF('Pre-Calculation'!$D$17="Type 4 a",MAX(SA,H14,1.05*Q14),IF('Pre-Calculation'!$D$17="Type 4 c",H14,IF('Pre-Calculation'!$D$17="Type 4 d",SA+H14,IF('Pre-Calculation'!$D$17="Type 4 e",MAX(SA,H14),IF('Pre-Calculation'!$D$17="Type 4 f",SA,IF('Pre-Calculation'!$D$17="Type 4 g",1000+H14,IF('Pre-Calculation'!$D$17="Type 4 h",SA+X14,IF('Pre-Calculation'!$D$17="Type 4 i",MAX(H14,Q14),IF('Pre-Calculation'!$D$17="Type 4 k",MAX(H14,1.01*Q14),IF('Pre-Calculation'!$D$17="Type 4 m",MAX(105%*Q14,SA+H14),IF('Pre-Calculation'!$D$17="Type 4 o",MAX(SA,105%*Q14)+X14+Z14,IF('Pre-Calculation'!$D$17="Type 5",0))))))))))))</f>
        <v>1000000</v>
      </c>
      <c r="L14" s="175">
        <f>H14-I14*(1+Tax)</f>
        <v>91318.99036</v>
      </c>
      <c r="M14" s="175">
        <f>L14*(1+GROWTH_RATE_H)*(1-FMC*(1+Tax))</f>
        <v>91784.59991</v>
      </c>
      <c r="N14" s="175">
        <f>M14+IF(MOD(A14,B14)=0,VLOOKUP(B14,'Pre-Calculation'!$H$1:$L$31,5,FALSE),0)*IF('Pre-Calculation'!$D$16="% OF FV",M14,IF(OR('Pre-Calculation'!$D$16="% OF AFV(24M)",'Pre-Calculation'!$D$16="% OF AFV(8Q)"),AVERAGE( $M$7:$M14),IF('Pre-Calculation'!$D$16="% OF AFV(12M)",AVERAGE($M$7:M14),IF('Pre-Calculation'!$D$16="% OF AFV(36M)",AVERAGE($M$7:M14)))))</f>
        <v>91784.59991</v>
      </c>
      <c r="O14" s="175">
        <f t="shared" si="4"/>
        <v>91784.59991</v>
      </c>
      <c r="P14" s="175">
        <f>IF('Pre-Calculation'!$D$17="Type 4 a",MAX(SA,N14,1.05*Q14),IF('Pre-Calculation'!$D$17="Type 4 c",N14,IF('Pre-Calculation'!$D$17="Type 4 d",SA+N14,IF('Pre-Calculation'!$D$17="Type 4 e",MAX(SA,N14),IF('Pre-Calculation'!$D$17="Type 4 f",SA,IF('Pre-Calculation'!$D$17="Type 4 g",1000+N14,IF('Pre-Calculation'!$D$17="Type 4 h",SA+X14,IF('Pre-Calculation'!$D$17="Type 4 i",MAX(N14,Q14),IF('Pre-Calculation'!$D$17="Type 4 k",MAX(N14,1.01*Q14),IF('Pre-Calculation'!$D$17="Type 4 m",MAX(105%*Q14,SA+N14),IF('Pre-Calculation'!$D$17="Type 4 o",MAX(SA,105%*Q14)+X14+Z14,IF('Pre-Calculation'!$D$17="Type 5",0))))))))))))</f>
        <v>1000000</v>
      </c>
      <c r="Q14" s="175">
        <f t="shared" si="5"/>
        <v>700000</v>
      </c>
      <c r="R14" s="119">
        <f>L14*(1+GROWTH_RATE)*FMC</f>
        <v>103.3386291</v>
      </c>
      <c r="S14" s="178">
        <f>S13*(1+'Pre-Calculation'!$E$27)</f>
        <v>665079.5432</v>
      </c>
      <c r="T14" s="175">
        <f>-E14+IF(A13=INPUT!$C$11*12,N14,0)</f>
        <v>0</v>
      </c>
      <c r="U14" s="175">
        <f t="shared" si="6"/>
        <v>103378.5135</v>
      </c>
      <c r="V14" s="175">
        <f>U14*(1+GROWTH_RATE_H)*(1-'Pre-Calculation'!$E$31)</f>
        <v>103870.3875</v>
      </c>
      <c r="W14" s="175">
        <f>-E14+IF(A13=INPUT!$C$11*12,V14,0)</f>
        <v>0</v>
      </c>
      <c r="X14" s="179">
        <f t="array" ref="X14">NPV('Pre-Calculation'!$E$20,$E15:E$246)</f>
        <v>677751.4238</v>
      </c>
      <c r="Y14" s="171">
        <f>10%*SA</f>
        <v>100000</v>
      </c>
      <c r="Z14" s="179">
        <f t="array" ref="Z14">NPV('Pre-Calculation'!$E$20,Y15:Y24)</f>
        <v>969592.8037</v>
      </c>
    </row>
    <row r="15">
      <c r="A15" s="171">
        <f t="shared" si="1"/>
        <v>9</v>
      </c>
      <c r="B15" s="171">
        <f t="shared" si="2"/>
        <v>1</v>
      </c>
      <c r="C15" s="176">
        <f>EDATE(RCD,A14)</f>
        <v>42794</v>
      </c>
      <c r="D15" s="171">
        <f>Age_At_Entry+'Cashflows_8% from Start'!B15-1</f>
        <v>35</v>
      </c>
      <c r="E15" s="175">
        <f>IF(AND(C15&lt;=Last_Prem,MOD(A14,Mode)=0),Mod_Prem,0)</f>
        <v>0</v>
      </c>
      <c r="F15" s="177">
        <f>E15*VLOOKUP(B15,'Pre-Calculation'!$H$1:$I$31,2,FALSE)</f>
        <v>0</v>
      </c>
      <c r="G15" s="177">
        <f>IF(B15&lt;PT+1,VLOOKUP(B15,'Pre-Calculation'!$H$1:$L$32,3,FALSE)+VLOOKUP(B15,'Pre-Calculation'!$H$1:$L$32,4,FALSE)*'Pre-Calculation'!$D$7,0)</f>
        <v>420</v>
      </c>
      <c r="H15" s="175">
        <f>(E15-(F15+G15)*(1+Tax)+N14)</f>
        <v>91288.99991</v>
      </c>
      <c r="I15" s="175">
        <f>IF(B15&lt;PT+1,VLOOKUP(D15,'Pre-Calculation'!$N$3:$P$79,IF(INPUT!$C$4="M",2,3),FALSE)*(J15/1000)*(1/12),0)</f>
        <v>97.08062518</v>
      </c>
      <c r="J15" s="175">
        <f t="shared" si="3"/>
        <v>908711.0001</v>
      </c>
      <c r="K15" s="175">
        <f>IF('Pre-Calculation'!$D$17="Type 4 a",MAX(SA,H15,1.05*Q15),IF('Pre-Calculation'!$D$17="Type 4 c",H15,IF('Pre-Calculation'!$D$17="Type 4 d",SA+H15,IF('Pre-Calculation'!$D$17="Type 4 e",MAX(SA,H15),IF('Pre-Calculation'!$D$17="Type 4 f",SA,IF('Pre-Calculation'!$D$17="Type 4 g",1000+H15,IF('Pre-Calculation'!$D$17="Type 4 h",SA+X15,IF('Pre-Calculation'!$D$17="Type 4 i",MAX(H15,Q15),IF('Pre-Calculation'!$D$17="Type 4 k",MAX(H15,1.01*Q15),IF('Pre-Calculation'!$D$17="Type 4 m",MAX(105%*Q15,SA+H15),IF('Pre-Calculation'!$D$17="Type 4 o",MAX(SA,105%*Q15)+X15+Z15,IF('Pre-Calculation'!$D$17="Type 5",0))))))))))))</f>
        <v>1000000</v>
      </c>
      <c r="L15" s="175">
        <f>H15-I15*(1+Tax)</f>
        <v>91174.44478</v>
      </c>
      <c r="M15" s="175">
        <f>L15*(1+GROWTH_RATE_H)*(1-FMC*(1+Tax))</f>
        <v>91639.31733</v>
      </c>
      <c r="N15" s="175">
        <f>M15+IF(MOD(A15,B15)=0,VLOOKUP(B15,'Pre-Calculation'!$H$1:$L$31,5,FALSE),0)*IF('Pre-Calculation'!$D$16="% OF FV",M15,IF(OR('Pre-Calculation'!$D$16="% OF AFV(24M)",'Pre-Calculation'!$D$16="% OF AFV(8Q)"),AVERAGE( $M$7:$M15),IF('Pre-Calculation'!$D$16="% OF AFV(12M)",AVERAGE($M$7:M15),IF('Pre-Calculation'!$D$16="% OF AFV(36M)",AVERAGE($M$7:M15)))))</f>
        <v>91639.31733</v>
      </c>
      <c r="O15" s="175">
        <f t="shared" si="4"/>
        <v>91639.31733</v>
      </c>
      <c r="P15" s="175">
        <f>IF('Pre-Calculation'!$D$17="Type 4 a",MAX(SA,N15,1.05*Q15),IF('Pre-Calculation'!$D$17="Type 4 c",N15,IF('Pre-Calculation'!$D$17="Type 4 d",SA+N15,IF('Pre-Calculation'!$D$17="Type 4 e",MAX(SA,N15),IF('Pre-Calculation'!$D$17="Type 4 f",SA,IF('Pre-Calculation'!$D$17="Type 4 g",1000+N15,IF('Pre-Calculation'!$D$17="Type 4 h",SA+X15,IF('Pre-Calculation'!$D$17="Type 4 i",MAX(N15,Q15),IF('Pre-Calculation'!$D$17="Type 4 k",MAX(N15,1.01*Q15),IF('Pre-Calculation'!$D$17="Type 4 m",MAX(105%*Q15,SA+N15),IF('Pre-Calculation'!$D$17="Type 4 o",MAX(SA,105%*Q15)+X15+Z15,IF('Pre-Calculation'!$D$17="Type 5",0))))))))))))</f>
        <v>1000000</v>
      </c>
      <c r="Q15" s="175">
        <f t="shared" si="5"/>
        <v>700000</v>
      </c>
      <c r="R15" s="119">
        <f>L15*(1+GROWTH_RATE)*FMC</f>
        <v>103.1750581</v>
      </c>
      <c r="S15" s="178">
        <f>S14*(1+'Pre-Calculation'!$E$27)</f>
        <v>666988.9192</v>
      </c>
      <c r="T15" s="175">
        <f>-E15+IF(A14=INPUT!$C$11*12,N15,0)</f>
        <v>0</v>
      </c>
      <c r="U15" s="175">
        <f t="shared" si="6"/>
        <v>103870.3875</v>
      </c>
      <c r="V15" s="175">
        <f>U15*(1+GROWTH_RATE_H)*(1-'Pre-Calculation'!$E$31)</f>
        <v>104364.6019</v>
      </c>
      <c r="W15" s="175">
        <f>-E15+IF(A14=INPUT!$C$11*12,V15,0)</f>
        <v>0</v>
      </c>
      <c r="X15" s="179">
        <f t="array" ref="X15">NPV('Pre-Calculation'!$E$20,$E16:E$246)</f>
        <v>681583.5289</v>
      </c>
      <c r="Y15" s="171">
        <f>10%*SA</f>
        <v>100000</v>
      </c>
      <c r="Z15" s="179">
        <f t="array" ref="Z15">NPV('Pre-Calculation'!$E$20,Y16:Y25)</f>
        <v>969592.8037</v>
      </c>
    </row>
    <row r="16">
      <c r="A16" s="171">
        <f t="shared" si="1"/>
        <v>10</v>
      </c>
      <c r="B16" s="171">
        <f t="shared" si="2"/>
        <v>1</v>
      </c>
      <c r="C16" s="176">
        <f>EDATE(RCD,A15)</f>
        <v>42824</v>
      </c>
      <c r="D16" s="171">
        <f>Age_At_Entry+'Cashflows_8% from Start'!B16-1</f>
        <v>35</v>
      </c>
      <c r="E16" s="175">
        <f>IF(AND(C16&lt;=Last_Prem,MOD(A15,Mode)=0),Mod_Prem,0)</f>
        <v>0</v>
      </c>
      <c r="F16" s="177">
        <f>E16*VLOOKUP(B16,'Pre-Calculation'!$H$1:$I$31,2,FALSE)</f>
        <v>0</v>
      </c>
      <c r="G16" s="177">
        <f>IF(B16&lt;PT+1,VLOOKUP(B16,'Pre-Calculation'!$H$1:$L$32,3,FALSE)+VLOOKUP(B16,'Pre-Calculation'!$H$1:$L$32,4,FALSE)*'Pre-Calculation'!$D$7,0)</f>
        <v>420</v>
      </c>
      <c r="H16" s="175">
        <f>(E16-(F16+G16)*(1+Tax)+N15)</f>
        <v>91143.71733</v>
      </c>
      <c r="I16" s="175">
        <f>IF(B16&lt;PT+1,VLOOKUP(D16,'Pre-Calculation'!$N$3:$P$79,IF(INPUT!$C$4="M",2,3),FALSE)*(J16/1000)*(1/12),0)</f>
        <v>97.0961462</v>
      </c>
      <c r="J16" s="175">
        <f t="shared" si="3"/>
        <v>908856.2827</v>
      </c>
      <c r="K16" s="175">
        <f>IF('Pre-Calculation'!$D$17="Type 4 a",MAX(SA,H16,1.05*Q16),IF('Pre-Calculation'!$D$17="Type 4 c",H16,IF('Pre-Calculation'!$D$17="Type 4 d",SA+H16,IF('Pre-Calculation'!$D$17="Type 4 e",MAX(SA,H16),IF('Pre-Calculation'!$D$17="Type 4 f",SA,IF('Pre-Calculation'!$D$17="Type 4 g",1000+H16,IF('Pre-Calculation'!$D$17="Type 4 h",SA+X16,IF('Pre-Calculation'!$D$17="Type 4 i",MAX(H16,Q16),IF('Pre-Calculation'!$D$17="Type 4 k",MAX(H16,1.01*Q16),IF('Pre-Calculation'!$D$17="Type 4 m",MAX(105%*Q16,SA+H16),IF('Pre-Calculation'!$D$17="Type 4 o",MAX(SA,105%*Q16)+X16+Z16,IF('Pre-Calculation'!$D$17="Type 5",0))))))))))))</f>
        <v>1000000</v>
      </c>
      <c r="L16" s="175">
        <f>H16-I16*(1+Tax)</f>
        <v>91029.14388</v>
      </c>
      <c r="M16" s="175">
        <f>L16*(1+GROWTH_RATE_H)*(1-FMC*(1+Tax))</f>
        <v>91493.27559</v>
      </c>
      <c r="N16" s="175">
        <f>M16+IF(MOD(A16,B16)=0,VLOOKUP(B16,'Pre-Calculation'!$H$1:$L$31,5,FALSE),0)*IF('Pre-Calculation'!$D$16="% OF FV",M16,IF(OR('Pre-Calculation'!$D$16="% OF AFV(24M)",'Pre-Calculation'!$D$16="% OF AFV(8Q)"),AVERAGE( $M$7:$M16),IF('Pre-Calculation'!$D$16="% OF AFV(12M)",AVERAGE($M$7:M16),IF('Pre-Calculation'!$D$16="% OF AFV(36M)",AVERAGE($M$7:M16)))))</f>
        <v>91493.27559</v>
      </c>
      <c r="O16" s="175">
        <f t="shared" si="4"/>
        <v>91493.27559</v>
      </c>
      <c r="P16" s="175">
        <f>IF('Pre-Calculation'!$D$17="Type 4 a",MAX(SA,N16,1.05*Q16),IF('Pre-Calculation'!$D$17="Type 4 c",N16,IF('Pre-Calculation'!$D$17="Type 4 d",SA+N16,IF('Pre-Calculation'!$D$17="Type 4 e",MAX(SA,N16),IF('Pre-Calculation'!$D$17="Type 4 f",SA,IF('Pre-Calculation'!$D$17="Type 4 g",1000+N16,IF('Pre-Calculation'!$D$17="Type 4 h",SA+X16,IF('Pre-Calculation'!$D$17="Type 4 i",MAX(N16,Q16),IF('Pre-Calculation'!$D$17="Type 4 k",MAX(N16,1.01*Q16),IF('Pre-Calculation'!$D$17="Type 4 m",MAX(105%*Q16,SA+N16),IF('Pre-Calculation'!$D$17="Type 4 o",MAX(SA,105%*Q16)+X16+Z16,IF('Pre-Calculation'!$D$17="Type 5",0))))))))))))</f>
        <v>1000000</v>
      </c>
      <c r="Q16" s="175">
        <f t="shared" si="5"/>
        <v>700000</v>
      </c>
      <c r="R16" s="119">
        <f>L16*(1+GROWTH_RATE)*FMC</f>
        <v>103.0106323</v>
      </c>
      <c r="S16" s="178">
        <f>S15*(1+'Pre-Calculation'!$E$27)</f>
        <v>668903.7769</v>
      </c>
      <c r="T16" s="175">
        <f>-E16+IF(A15=INPUT!$C$11*12,N16,0)</f>
        <v>0</v>
      </c>
      <c r="U16" s="175">
        <f t="shared" si="6"/>
        <v>104364.6019</v>
      </c>
      <c r="V16" s="175">
        <f>U16*(1+GROWTH_RATE_H)*(1-'Pre-Calculation'!$E$31)</f>
        <v>104861.1678</v>
      </c>
      <c r="W16" s="175">
        <f>-E16+IF(A15=INPUT!$C$11*12,V16,0)</f>
        <v>0</v>
      </c>
      <c r="X16" s="179">
        <f t="array" ref="X16">NPV('Pre-Calculation'!$E$20,$E17:E$246)</f>
        <v>685437.3013</v>
      </c>
      <c r="Y16" s="171">
        <f>10%*SA</f>
        <v>100000</v>
      </c>
      <c r="Z16" s="179">
        <f t="array" ref="Z16">NPV('Pre-Calculation'!$E$20,Y17:Y26)</f>
        <v>969592.8037</v>
      </c>
    </row>
    <row r="17">
      <c r="A17" s="171">
        <f t="shared" si="1"/>
        <v>11</v>
      </c>
      <c r="B17" s="171">
        <f t="shared" si="2"/>
        <v>1</v>
      </c>
      <c r="C17" s="176">
        <f>EDATE(RCD,A16)</f>
        <v>42855</v>
      </c>
      <c r="D17" s="171">
        <f>Age_At_Entry+'Cashflows_8% from Start'!B17-1</f>
        <v>35</v>
      </c>
      <c r="E17" s="175">
        <f>IF(AND(C17&lt;=Last_Prem,MOD(A16,Mode)=0),Mod_Prem,0)</f>
        <v>0</v>
      </c>
      <c r="F17" s="177">
        <f>E17*VLOOKUP(B17,'Pre-Calculation'!$H$1:$I$31,2,FALSE)</f>
        <v>0</v>
      </c>
      <c r="G17" s="177">
        <f>IF(B17&lt;PT+1,VLOOKUP(B17,'Pre-Calculation'!$H$1:$L$32,3,FALSE)+VLOOKUP(B17,'Pre-Calculation'!$H$1:$L$32,4,FALSE)*'Pre-Calculation'!$D$7,0)</f>
        <v>420</v>
      </c>
      <c r="H17" s="175">
        <f>(E17-(F17+G17)*(1+Tax)+N16)</f>
        <v>90997.67559</v>
      </c>
      <c r="I17" s="175">
        <f>IF(B17&lt;PT+1,VLOOKUP(D17,'Pre-Calculation'!$N$3:$P$79,IF(INPUT!$C$4="M",2,3),FALSE)*(J17/1000)*(1/12),0)</f>
        <v>97.11174832</v>
      </c>
      <c r="J17" s="175">
        <f t="shared" si="3"/>
        <v>909002.3244</v>
      </c>
      <c r="K17" s="175">
        <f>IF('Pre-Calculation'!$D$17="Type 4 a",MAX(SA,H17,1.05*Q17),IF('Pre-Calculation'!$D$17="Type 4 c",H17,IF('Pre-Calculation'!$D$17="Type 4 d",SA+H17,IF('Pre-Calculation'!$D$17="Type 4 e",MAX(SA,H17),IF('Pre-Calculation'!$D$17="Type 4 f",SA,IF('Pre-Calculation'!$D$17="Type 4 g",1000+H17,IF('Pre-Calculation'!$D$17="Type 4 h",SA+X17,IF('Pre-Calculation'!$D$17="Type 4 i",MAX(H17,Q17),IF('Pre-Calculation'!$D$17="Type 4 k",MAX(H17,1.01*Q17),IF('Pre-Calculation'!$D$17="Type 4 m",MAX(105%*Q17,SA+H17),IF('Pre-Calculation'!$D$17="Type 4 o",MAX(SA,105%*Q17)+X17+Z17,IF('Pre-Calculation'!$D$17="Type 5",0))))))))))))</f>
        <v>1000000</v>
      </c>
      <c r="L17" s="175">
        <f>H17-I17*(1+Tax)</f>
        <v>90883.08372</v>
      </c>
      <c r="M17" s="175">
        <f>L17*(1+GROWTH_RATE_H)*(1-FMC*(1+Tax))</f>
        <v>91346.47071</v>
      </c>
      <c r="N17" s="175">
        <f>M17+IF(MOD(A17,B17)=0,VLOOKUP(B17,'Pre-Calculation'!$H$1:$L$31,5,FALSE),0)*IF('Pre-Calculation'!$D$16="% OF FV",M17,IF(OR('Pre-Calculation'!$D$16="% OF AFV(24M)",'Pre-Calculation'!$D$16="% OF AFV(8Q)"),AVERAGE( $M$7:$M17),IF('Pre-Calculation'!$D$16="% OF AFV(12M)",AVERAGE($M$7:M17),IF('Pre-Calculation'!$D$16="% OF AFV(36M)",AVERAGE($M$7:M17)))))</f>
        <v>91346.47071</v>
      </c>
      <c r="O17" s="175">
        <f t="shared" si="4"/>
        <v>91346.47071</v>
      </c>
      <c r="P17" s="175">
        <f>IF('Pre-Calculation'!$D$17="Type 4 a",MAX(SA,N17,1.05*Q17),IF('Pre-Calculation'!$D$17="Type 4 c",N17,IF('Pre-Calculation'!$D$17="Type 4 d",SA+N17,IF('Pre-Calculation'!$D$17="Type 4 e",MAX(SA,N17),IF('Pre-Calculation'!$D$17="Type 4 f",SA,IF('Pre-Calculation'!$D$17="Type 4 g",1000+N17,IF('Pre-Calculation'!$D$17="Type 4 h",SA+X17,IF('Pre-Calculation'!$D$17="Type 4 i",MAX(N17,Q17),IF('Pre-Calculation'!$D$17="Type 4 k",MAX(N17,1.01*Q17),IF('Pre-Calculation'!$D$17="Type 4 m",MAX(105%*Q17,SA+N17),IF('Pre-Calculation'!$D$17="Type 4 o",MAX(SA,105%*Q17)+X17+Z17,IF('Pre-Calculation'!$D$17="Type 5",0))))))))))))</f>
        <v>1000000</v>
      </c>
      <c r="Q17" s="175">
        <f t="shared" si="5"/>
        <v>700000</v>
      </c>
      <c r="R17" s="119">
        <f>L17*(1+GROWTH_RATE)*FMC</f>
        <v>102.8453473</v>
      </c>
      <c r="S17" s="178">
        <f>S16*(1+'Pre-Calculation'!$E$27)</f>
        <v>670824.1319</v>
      </c>
      <c r="T17" s="175">
        <f>-E17+IF(A16=INPUT!$C$11*12,N17,0)</f>
        <v>0</v>
      </c>
      <c r="U17" s="175">
        <f t="shared" si="6"/>
        <v>104861.1678</v>
      </c>
      <c r="V17" s="175">
        <f>U17*(1+GROWTH_RATE_H)*(1-'Pre-Calculation'!$E$31)</f>
        <v>105360.0963</v>
      </c>
      <c r="W17" s="175">
        <f>-E17+IF(A16=INPUT!$C$11*12,V17,0)</f>
        <v>0</v>
      </c>
      <c r="X17" s="179">
        <f t="array" ref="X17">NPV('Pre-Calculation'!$E$20,$E18:E$246)</f>
        <v>689312.8634</v>
      </c>
      <c r="Y17" s="171">
        <f>10%*SA</f>
        <v>100000</v>
      </c>
      <c r="Z17" s="179">
        <f t="array" ref="Z17">NPV('Pre-Calculation'!$E$20,Y18:Y27)</f>
        <v>969592.8037</v>
      </c>
    </row>
    <row r="18">
      <c r="A18" s="171">
        <f t="shared" si="1"/>
        <v>12</v>
      </c>
      <c r="B18" s="171">
        <f t="shared" si="2"/>
        <v>1</v>
      </c>
      <c r="C18" s="176">
        <f>EDATE(RCD,A17)</f>
        <v>42885</v>
      </c>
      <c r="D18" s="171">
        <f>Age_At_Entry+'Cashflows_8% from Start'!B18-1</f>
        <v>35</v>
      </c>
      <c r="E18" s="175">
        <f>IF(AND(C18&lt;=Last_Prem,MOD(A17,Mode)=0),Mod_Prem,0)</f>
        <v>0</v>
      </c>
      <c r="F18" s="177">
        <f>E18*VLOOKUP(B18,'Pre-Calculation'!$H$1:$I$31,2,FALSE)</f>
        <v>0</v>
      </c>
      <c r="G18" s="177">
        <f>IF(B18&lt;PT+1,VLOOKUP(B18,'Pre-Calculation'!$H$1:$L$32,3,FALSE)+VLOOKUP(B18,'Pre-Calculation'!$H$1:$L$32,4,FALSE)*'Pre-Calculation'!$D$7,0)</f>
        <v>420</v>
      </c>
      <c r="H18" s="175">
        <f>(E18-(F18+G18)*(1+Tax)+N17)</f>
        <v>90850.87071</v>
      </c>
      <c r="I18" s="175">
        <f>IF(B18&lt;PT+1,VLOOKUP(D18,'Pre-Calculation'!$N$3:$P$79,IF(INPUT!$C$4="M",2,3),FALSE)*(J18/1000)*(1/12),0)</f>
        <v>97.12743198</v>
      </c>
      <c r="J18" s="175">
        <f t="shared" si="3"/>
        <v>909149.1293</v>
      </c>
      <c r="K18" s="175">
        <f>IF('Pre-Calculation'!$D$17="Type 4 a",MAX(SA,H18,1.05*Q18),IF('Pre-Calculation'!$D$17="Type 4 c",H18,IF('Pre-Calculation'!$D$17="Type 4 d",SA+H18,IF('Pre-Calculation'!$D$17="Type 4 e",MAX(SA,H18),IF('Pre-Calculation'!$D$17="Type 4 f",SA,IF('Pre-Calculation'!$D$17="Type 4 g",1000+H18,IF('Pre-Calculation'!$D$17="Type 4 h",SA+X18,IF('Pre-Calculation'!$D$17="Type 4 i",MAX(H18,Q18),IF('Pre-Calculation'!$D$17="Type 4 k",MAX(H18,1.01*Q18),IF('Pre-Calculation'!$D$17="Type 4 m",MAX(105%*Q18,SA+H18),IF('Pre-Calculation'!$D$17="Type 4 o",MAX(SA,105%*Q18)+X18+Z18,IF('Pre-Calculation'!$D$17="Type 5",0))))))))))))</f>
        <v>1000000</v>
      </c>
      <c r="L18" s="175">
        <f>H18-I18*(1+Tax)</f>
        <v>90736.26034</v>
      </c>
      <c r="M18" s="175">
        <f>L18*(1+GROWTH_RATE_H)*(1-FMC*(1+Tax))</f>
        <v>91198.89872</v>
      </c>
      <c r="N18" s="175">
        <f>M18+IF(MOD(A18,B18)=0,VLOOKUP(B18,'Pre-Calculation'!$H$1:$L$31,5,FALSE),0)*IF('Pre-Calculation'!$D$16="% OF FV",M18,IF(OR('Pre-Calculation'!$D$16="% OF AFV(24M)",'Pre-Calculation'!$D$16="% OF AFV(8Q)"),AVERAGE( $M$7:$M18),IF('Pre-Calculation'!$D$16="% OF AFV(12M)",AVERAGE($M7:M18),IF('Pre-Calculation'!$D$16="% OF AFV(36M)",AVERAGE($M$7:M18)))))</f>
        <v>91198.89872</v>
      </c>
      <c r="O18" s="175">
        <f t="shared" si="4"/>
        <v>91198.89872</v>
      </c>
      <c r="P18" s="175">
        <f>IF('Pre-Calculation'!$D$17="Type 4 a",MAX(SA,N18,1.05*Q18),IF('Pre-Calculation'!$D$17="Type 4 c",N18,IF('Pre-Calculation'!$D$17="Type 4 d",SA+N18,IF('Pre-Calculation'!$D$17="Type 4 e",MAX(SA,N18),IF('Pre-Calculation'!$D$17="Type 4 f",SA,IF('Pre-Calculation'!$D$17="Type 4 g",1000+N18,IF('Pre-Calculation'!$D$17="Type 4 h",SA+X18,IF('Pre-Calculation'!$D$17="Type 4 i",MAX(N18,Q18),IF('Pre-Calculation'!$D$17="Type 4 k",MAX(N18,1.01*Q18),IF('Pre-Calculation'!$D$17="Type 4 m",MAX(105%*Q18,SA+N18),IF('Pre-Calculation'!$D$17="Type 4 o",MAX(SA,105%*Q18)+X18+Z18,IF('Pre-Calculation'!$D$17="Type 5",0))))))))))))</f>
        <v>1000000</v>
      </c>
      <c r="Q18" s="175">
        <f t="shared" si="5"/>
        <v>700000</v>
      </c>
      <c r="R18" s="119">
        <f>L18*(1+GROWTH_RATE)*FMC</f>
        <v>102.6791987</v>
      </c>
      <c r="S18" s="178">
        <f>S17*(1+'Pre-Calculation'!$E$27)</f>
        <v>672750</v>
      </c>
      <c r="T18" s="175">
        <f>-E18+IF(A17=INPUT!$C$11*12,N18,0)</f>
        <v>0</v>
      </c>
      <c r="U18" s="175">
        <f t="shared" si="6"/>
        <v>105360.0963</v>
      </c>
      <c r="V18" s="175">
        <f>U18*(1+GROWTH_RATE_H)*(1-'Pre-Calculation'!$E$31)</f>
        <v>105861.3987</v>
      </c>
      <c r="W18" s="175">
        <f>-E18+IF(A17=INPUT!$C$11*12,V18,0)</f>
        <v>0</v>
      </c>
      <c r="X18" s="179">
        <f t="array" ref="X18">NPV('Pre-Calculation'!$E$20,$E19:E$246)</f>
        <v>693210.3386</v>
      </c>
      <c r="Y18" s="171">
        <f>10%*SA</f>
        <v>100000</v>
      </c>
      <c r="Z18" s="179">
        <f t="array" ref="Z18">NPV('Pre-Calculation'!$E$20,Y19:Y28)</f>
        <v>969592.8037</v>
      </c>
    </row>
    <row r="19">
      <c r="A19" s="171">
        <f t="shared" si="1"/>
        <v>13</v>
      </c>
      <c r="B19" s="171">
        <f t="shared" si="2"/>
        <v>2</v>
      </c>
      <c r="C19" s="176">
        <f>EDATE(RCD,A18)</f>
        <v>42916</v>
      </c>
      <c r="D19" s="171">
        <f>Age_At_Entry+'Cashflows_8% from Start'!B19-1</f>
        <v>36</v>
      </c>
      <c r="E19" s="175">
        <f>IF(AND(C19&lt;=Last_Prem,MOD(A18,Mode)=0),Mod_Prem,0)</f>
        <v>100000</v>
      </c>
      <c r="F19" s="177">
        <f>E19*VLOOKUP(B19,'Pre-Calculation'!$H$1:$I$31,2,FALSE)</f>
        <v>2000</v>
      </c>
      <c r="G19" s="177">
        <f>IF(B19&lt;PT+1,VLOOKUP(B19,'Pre-Calculation'!$H$1:$L$32,3,FALSE)+VLOOKUP(B19,'Pre-Calculation'!$H$1:$L$32,4,FALSE)*'Pre-Calculation'!$D$7,0)</f>
        <v>420</v>
      </c>
      <c r="H19" s="175">
        <f>(E19-(F19+G19)*(1+Tax)+N18)</f>
        <v>188343.2987</v>
      </c>
      <c r="I19" s="175">
        <f>IF(B19&lt;PT+1,VLOOKUP(D19,'Pre-Calculation'!$N$3:$P$79,IF(INPUT!$C$4="M",2,3),FALSE)*(J19/1000)*(1/12),0)</f>
        <v>91.85248336</v>
      </c>
      <c r="J19" s="175">
        <f t="shared" si="3"/>
        <v>811656.7013</v>
      </c>
      <c r="K19" s="175">
        <f>IF('Pre-Calculation'!$D$17="Type 4 a",MAX(SA,H19,1.05*Q19),IF('Pre-Calculation'!$D$17="Type 4 c",H19,IF('Pre-Calculation'!$D$17="Type 4 d",SA+H19,IF('Pre-Calculation'!$D$17="Type 4 e",MAX(SA,H19),IF('Pre-Calculation'!$D$17="Type 4 f",SA,IF('Pre-Calculation'!$D$17="Type 4 g",1000+H19,IF('Pre-Calculation'!$D$17="Type 4 h",SA+X19,IF('Pre-Calculation'!$D$17="Type 4 i",MAX(H19,Q19),IF('Pre-Calculation'!$D$17="Type 4 k",MAX(H19,1.01*Q19),IF('Pre-Calculation'!$D$17="Type 4 m",MAX(105%*Q19,SA+H19),IF('Pre-Calculation'!$D$17="Type 4 o",MAX(SA,105%*Q19)+X19+Z19,IF('Pre-Calculation'!$D$17="Type 5",0))))))))))))</f>
        <v>1000000</v>
      </c>
      <c r="L19" s="175">
        <f>H19-I19*(1+Tax)</f>
        <v>188234.9128</v>
      </c>
      <c r="M19" s="175">
        <f>L19*(1+GROWTH_RATE_H)*(1-FMC*(1+Tax))</f>
        <v>189194.6691</v>
      </c>
      <c r="N19" s="175">
        <f>M19+IF(MOD(A19,B19)=0,VLOOKUP(B19,'Pre-Calculation'!$H$1:$L$31,5,FALSE),0)*IF('Pre-Calculation'!$D$16="% OF FV",M19,IF(OR('Pre-Calculation'!$D$16="% OF AFV(24M)",'Pre-Calculation'!$D$16="% OF AFV(8Q)"),AVERAGE( $M$7:$M19),IF('Pre-Calculation'!$D$16="% OF AFV(12M)",AVERAGE($M8:M19),IF('Pre-Calculation'!$D$16="% OF AFV(36M)",AVERAGE($M$7:M19)))))</f>
        <v>189194.6691</v>
      </c>
      <c r="O19" s="175">
        <f t="shared" si="4"/>
        <v>189194.6691</v>
      </c>
      <c r="P19" s="175">
        <f>IF('Pre-Calculation'!$D$17="Type 4 a",MAX(SA,N19,1.05*Q19),IF('Pre-Calculation'!$D$17="Type 4 c",N19,IF('Pre-Calculation'!$D$17="Type 4 d",SA+N19,IF('Pre-Calculation'!$D$17="Type 4 e",MAX(SA,N19),IF('Pre-Calculation'!$D$17="Type 4 f",SA,IF('Pre-Calculation'!$D$17="Type 4 g",1000+N19,IF('Pre-Calculation'!$D$17="Type 4 h",SA+X19,IF('Pre-Calculation'!$D$17="Type 4 i",MAX(N19,Q19),IF('Pre-Calculation'!$D$17="Type 4 k",MAX(N19,1.01*Q19),IF('Pre-Calculation'!$D$17="Type 4 m",MAX(105%*Q19,SA+N19),IF('Pre-Calculation'!$D$17="Type 4 o",MAX(SA,105%*Q19)+X19+Z19,IF('Pre-Calculation'!$D$17="Type 5",0))))))))))))</f>
        <v>1000000</v>
      </c>
      <c r="Q19" s="175">
        <f t="shared" si="5"/>
        <v>800000</v>
      </c>
      <c r="R19" s="119">
        <f>L19*(1+GROWTH_RATE)*FMC</f>
        <v>213.0108728</v>
      </c>
      <c r="S19" s="178">
        <f>S18*(1+'Pre-Calculation'!$E$27)</f>
        <v>674681.3971</v>
      </c>
      <c r="T19" s="175">
        <f>-E19+IF(A18=INPUT!$C$11*12,N19,0)</f>
        <v>-100000</v>
      </c>
      <c r="U19" s="175">
        <f t="shared" si="6"/>
        <v>205861.3987</v>
      </c>
      <c r="V19" s="175">
        <f>U19*(1+GROWTH_RATE_H)*(1-'Pre-Calculation'!$E$31)</f>
        <v>206840.8854</v>
      </c>
      <c r="W19" s="175">
        <f>-E19+IF(A18=INPUT!$C$11*12,V19,0)</f>
        <v>-100000</v>
      </c>
      <c r="X19" s="179">
        <f t="array" ref="X19">NPV('Pre-Calculation'!$E$20,$E20:E$246)</f>
        <v>597129.8506</v>
      </c>
      <c r="Y19" s="171">
        <f>10%*SA</f>
        <v>100000</v>
      </c>
      <c r="Z19" s="179">
        <f t="array" ref="Z19">NPV('Pre-Calculation'!$E$20,Y20:Y29)</f>
        <v>969592.8037</v>
      </c>
    </row>
    <row r="20">
      <c r="A20" s="171">
        <f t="shared" si="1"/>
        <v>14</v>
      </c>
      <c r="B20" s="171">
        <f t="shared" si="2"/>
        <v>2</v>
      </c>
      <c r="C20" s="176">
        <f>EDATE(RCD,A19)</f>
        <v>42946</v>
      </c>
      <c r="D20" s="171">
        <f>Age_At_Entry+'Cashflows_8% from Start'!B20-1</f>
        <v>36</v>
      </c>
      <c r="E20" s="175">
        <f>IF(AND(C20&lt;=Last_Prem,MOD(A19,Mode)=0),Mod_Prem,0)</f>
        <v>0</v>
      </c>
      <c r="F20" s="177">
        <f>E20*VLOOKUP(B20,'Pre-Calculation'!$H$1:$I$31,2,FALSE)</f>
        <v>0</v>
      </c>
      <c r="G20" s="177">
        <f>IF(B20&lt;PT+1,VLOOKUP(B20,'Pre-Calculation'!$H$1:$L$32,3,FALSE)+VLOOKUP(B20,'Pre-Calculation'!$H$1:$L$32,4,FALSE)*'Pre-Calculation'!$D$7,0)</f>
        <v>420</v>
      </c>
      <c r="H20" s="175">
        <f>(E20-(F20+G20)*(1+Tax)+N19)</f>
        <v>188699.0691</v>
      </c>
      <c r="I20" s="175">
        <f>IF(B20&lt;PT+1,VLOOKUP(D20,'Pre-Calculation'!$N$3:$P$79,IF(INPUT!$C$4="M",2,3),FALSE)*(J20/1000)*(1/12),0)</f>
        <v>91.81222202</v>
      </c>
      <c r="J20" s="175">
        <f t="shared" si="3"/>
        <v>811300.9309</v>
      </c>
      <c r="K20" s="175">
        <f>IF('Pre-Calculation'!$D$17="Type 4 a",MAX(SA,H20,1.05*Q20),IF('Pre-Calculation'!$D$17="Type 4 c",H20,IF('Pre-Calculation'!$D$17="Type 4 d",SA+H20,IF('Pre-Calculation'!$D$17="Type 4 e",MAX(SA,H20),IF('Pre-Calculation'!$D$17="Type 4 f",SA,IF('Pre-Calculation'!$D$17="Type 4 g",1000+H20,IF('Pre-Calculation'!$D$17="Type 4 h",SA+X20,IF('Pre-Calculation'!$D$17="Type 4 i",MAX(H20,Q20),IF('Pre-Calculation'!$D$17="Type 4 k",MAX(H20,1.01*Q20),IF('Pre-Calculation'!$D$17="Type 4 m",MAX(105%*Q20,SA+H20),IF('Pre-Calculation'!$D$17="Type 4 o",MAX(SA,105%*Q20)+X20+Z20,IF('Pre-Calculation'!$D$17="Type 5",0))))))))))))</f>
        <v>1000000</v>
      </c>
      <c r="L20" s="175">
        <f>H20-I20*(1+Tax)</f>
        <v>188590.7306</v>
      </c>
      <c r="M20" s="175">
        <f>L20*(1+GROWTH_RATE_H)*(1-FMC*(1+Tax))</f>
        <v>189552.3011</v>
      </c>
      <c r="N20" s="175">
        <f>M20+IF(MOD(A20,B20)=0,VLOOKUP(B20,'Pre-Calculation'!$H$1:$L$31,5,FALSE),0)*IF('Pre-Calculation'!$D$16="% OF FV",M20,IF(OR('Pre-Calculation'!$D$16="% OF AFV(24M)",'Pre-Calculation'!$D$16="% OF AFV(8Q)"),AVERAGE( $M$7:$M20),IF('Pre-Calculation'!$D$16="% OF AFV(12M)",AVERAGE($M9:M20),IF('Pre-Calculation'!$D$16="% OF AFV(36M)",AVERAGE($M$7:M20)))))</f>
        <v>189552.3011</v>
      </c>
      <c r="O20" s="175">
        <f t="shared" si="4"/>
        <v>189552.3011</v>
      </c>
      <c r="P20" s="175">
        <f>IF('Pre-Calculation'!$D$17="Type 4 a",MAX(SA,N20,1.05*Q20),IF('Pre-Calculation'!$D$17="Type 4 c",N20,IF('Pre-Calculation'!$D$17="Type 4 d",SA+N20,IF('Pre-Calculation'!$D$17="Type 4 e",MAX(SA,N20),IF('Pre-Calculation'!$D$17="Type 4 f",SA,IF('Pre-Calculation'!$D$17="Type 4 g",1000+N20,IF('Pre-Calculation'!$D$17="Type 4 h",SA+X20,IF('Pre-Calculation'!$D$17="Type 4 i",MAX(N20,Q20),IF('Pre-Calculation'!$D$17="Type 4 k",MAX(N20,1.01*Q20),IF('Pre-Calculation'!$D$17="Type 4 m",MAX(105%*Q20,SA+N20),IF('Pre-Calculation'!$D$17="Type 4 o",MAX(SA,105%*Q20)+X20+Z20,IF('Pre-Calculation'!$D$17="Type 5",0))))))))))))</f>
        <v>1000000</v>
      </c>
      <c r="Q20" s="175">
        <f t="shared" si="5"/>
        <v>800000</v>
      </c>
      <c r="R20" s="119">
        <f>L20*(1+GROWTH_RATE)*FMC</f>
        <v>213.4135243</v>
      </c>
      <c r="S20" s="178">
        <f>S19*(1+'Pre-Calculation'!$E$27)</f>
        <v>676618.3391</v>
      </c>
      <c r="T20" s="175">
        <f>-E20+IF(A19=INPUT!$C$11*12,N20,0)</f>
        <v>0</v>
      </c>
      <c r="U20" s="175">
        <f t="shared" si="6"/>
        <v>206840.8854</v>
      </c>
      <c r="V20" s="175">
        <f>U20*(1+GROWTH_RATE_H)*(1-'Pre-Calculation'!$E$31)</f>
        <v>207825.0326</v>
      </c>
      <c r="W20" s="175">
        <f>-E20+IF(A19=INPUT!$C$11*12,V20,0)</f>
        <v>0</v>
      </c>
      <c r="X20" s="179">
        <f t="array" ref="X20">NPV('Pre-Calculation'!$E$20,$E21:E$246)</f>
        <v>600506.1096</v>
      </c>
      <c r="Y20" s="171">
        <f>10%*SA</f>
        <v>100000</v>
      </c>
      <c r="Z20" s="179">
        <f t="array" ref="Z20">NPV('Pre-Calculation'!$E$20,Y21:Y30)</f>
        <v>969592.8037</v>
      </c>
    </row>
    <row r="21" ht="15.75" customHeight="1">
      <c r="A21" s="171">
        <f t="shared" si="1"/>
        <v>15</v>
      </c>
      <c r="B21" s="171">
        <f t="shared" si="2"/>
        <v>2</v>
      </c>
      <c r="C21" s="176">
        <f>EDATE(RCD,A20)</f>
        <v>42977</v>
      </c>
      <c r="D21" s="171">
        <f>Age_At_Entry+'Cashflows_8% from Start'!B21-1</f>
        <v>36</v>
      </c>
      <c r="E21" s="175">
        <f>IF(AND(C21&lt;=Last_Prem,MOD(A20,Mode)=0),Mod_Prem,0)</f>
        <v>0</v>
      </c>
      <c r="F21" s="177">
        <f>E21*VLOOKUP(B21,'Pre-Calculation'!$H$1:$I$31,2,FALSE)</f>
        <v>0</v>
      </c>
      <c r="G21" s="177">
        <f>IF(B21&lt;PT+1,VLOOKUP(B21,'Pre-Calculation'!$H$1:$L$32,3,FALSE)+VLOOKUP(B21,'Pre-Calculation'!$H$1:$L$32,4,FALSE)*'Pre-Calculation'!$D$7,0)</f>
        <v>420</v>
      </c>
      <c r="H21" s="175">
        <f>(E21-(F21+G21)*(1+Tax)+N20)</f>
        <v>189056.7011</v>
      </c>
      <c r="I21" s="175">
        <f>IF(B21&lt;PT+1,VLOOKUP(D21,'Pre-Calculation'!$N$3:$P$79,IF(INPUT!$C$4="M",2,3),FALSE)*(J21/1000)*(1/12),0)</f>
        <v>91.77174999</v>
      </c>
      <c r="J21" s="175">
        <f t="shared" si="3"/>
        <v>810943.2989</v>
      </c>
      <c r="K21" s="175">
        <f>IF('Pre-Calculation'!$D$17="Type 4 a",MAX(SA,H21,1.05*Q21),IF('Pre-Calculation'!$D$17="Type 4 c",H21,IF('Pre-Calculation'!$D$17="Type 4 d",SA+H21,IF('Pre-Calculation'!$D$17="Type 4 e",MAX(SA,H21),IF('Pre-Calculation'!$D$17="Type 4 f",SA,IF('Pre-Calculation'!$D$17="Type 4 g",1000+H21,IF('Pre-Calculation'!$D$17="Type 4 h",SA+X21,IF('Pre-Calculation'!$D$17="Type 4 i",MAX(H21,Q21),IF('Pre-Calculation'!$D$17="Type 4 k",MAX(H21,1.01*Q21),IF('Pre-Calculation'!$D$17="Type 4 m",MAX(105%*Q21,SA+H21),IF('Pre-Calculation'!$D$17="Type 4 o",MAX(SA,105%*Q21)+X21+Z21,IF('Pre-Calculation'!$D$17="Type 5",0))))))))))))</f>
        <v>1000000</v>
      </c>
      <c r="L21" s="175">
        <f>H21-I21*(1+Tax)</f>
        <v>188948.4104</v>
      </c>
      <c r="M21" s="175">
        <f>L21*(1+GROWTH_RATE_H)*(1-FMC*(1+Tax))</f>
        <v>189911.8046</v>
      </c>
      <c r="N21" s="175">
        <f>M21+IF(MOD(A21,B21)=0,VLOOKUP(B21,'Pre-Calculation'!$H$1:$L$31,5,FALSE),0)*IF('Pre-Calculation'!$D$16="% OF FV",M21,IF(OR('Pre-Calculation'!$D$16="% OF AFV(24M)",'Pre-Calculation'!$D$16="% OF AFV(8Q)"),AVERAGE( $M$7:$M21),IF('Pre-Calculation'!$D$16="% OF AFV(12M)",AVERAGE($M10:M21),IF('Pre-Calculation'!$D$16="% OF AFV(36M)",AVERAGE($M$7:M21)))))</f>
        <v>189911.8046</v>
      </c>
      <c r="O21" s="175">
        <f t="shared" si="4"/>
        <v>189911.8046</v>
      </c>
      <c r="P21" s="175">
        <f>IF('Pre-Calculation'!$D$17="Type 4 a",MAX(SA,N21,1.05*Q21),IF('Pre-Calculation'!$D$17="Type 4 c",N21,IF('Pre-Calculation'!$D$17="Type 4 d",SA+N21,IF('Pre-Calculation'!$D$17="Type 4 e",MAX(SA,N21),IF('Pre-Calculation'!$D$17="Type 4 f",SA,IF('Pre-Calculation'!$D$17="Type 4 g",1000+N21,IF('Pre-Calculation'!$D$17="Type 4 h",SA+X21,IF('Pre-Calculation'!$D$17="Type 4 i",MAX(N21,Q21),IF('Pre-Calculation'!$D$17="Type 4 k",MAX(N21,1.01*Q21),IF('Pre-Calculation'!$D$17="Type 4 m",MAX(105%*Q21,SA+N21),IF('Pre-Calculation'!$D$17="Type 4 o",MAX(SA,105%*Q21)+X21+Z21,IF('Pre-Calculation'!$D$17="Type 5",0))))))))))))</f>
        <v>1000000</v>
      </c>
      <c r="Q21" s="175">
        <f t="shared" si="5"/>
        <v>800000</v>
      </c>
      <c r="R21" s="119">
        <f>L21*(1+GROWTH_RATE)*FMC</f>
        <v>213.8182828</v>
      </c>
      <c r="S21" s="178">
        <f>S20*(1+'Pre-Calculation'!$E$27)</f>
        <v>678560.8418</v>
      </c>
      <c r="T21" s="175">
        <f>-E21+IF(A20=INPUT!$C$11*12,N21,0)</f>
        <v>0</v>
      </c>
      <c r="U21" s="175">
        <f t="shared" si="6"/>
        <v>207825.0326</v>
      </c>
      <c r="V21" s="175">
        <f>U21*(1+GROWTH_RATE_H)*(1-'Pre-Calculation'!$E$31)</f>
        <v>208813.8622</v>
      </c>
      <c r="W21" s="175">
        <f>-E21+IF(A20=INPUT!$C$11*12,V21,0)</f>
        <v>0</v>
      </c>
      <c r="X21" s="179">
        <f t="array" ref="X21">NPV('Pre-Calculation'!$E$20,$E22:E$246)</f>
        <v>603901.4585</v>
      </c>
      <c r="Y21" s="171">
        <f>10%*SA</f>
        <v>100000</v>
      </c>
      <c r="Z21" s="179">
        <f t="array" ref="Z21">NPV('Pre-Calculation'!$E$20,Y22:Y31)</f>
        <v>969592.8037</v>
      </c>
    </row>
    <row r="22" ht="15.75" customHeight="1">
      <c r="A22" s="171">
        <f t="shared" si="1"/>
        <v>16</v>
      </c>
      <c r="B22" s="171">
        <f t="shared" si="2"/>
        <v>2</v>
      </c>
      <c r="C22" s="176">
        <f>EDATE(RCD,A21)</f>
        <v>43008</v>
      </c>
      <c r="D22" s="171">
        <f>Age_At_Entry+'Cashflows_8% from Start'!B22-1</f>
        <v>36</v>
      </c>
      <c r="E22" s="175">
        <f>IF(AND(C22&lt;=Last_Prem,MOD(A21,Mode)=0),Mod_Prem,0)</f>
        <v>0</v>
      </c>
      <c r="F22" s="177">
        <f>E22*VLOOKUP(B22,'Pre-Calculation'!$H$1:$I$31,2,FALSE)</f>
        <v>0</v>
      </c>
      <c r="G22" s="177">
        <f>IF(B22&lt;PT+1,VLOOKUP(B22,'Pre-Calculation'!$H$1:$L$32,3,FALSE)+VLOOKUP(B22,'Pre-Calculation'!$H$1:$L$32,4,FALSE)*'Pre-Calculation'!$D$7,0)</f>
        <v>420</v>
      </c>
      <c r="H22" s="175">
        <f>(E22-(F22+G22)*(1+Tax)+N21)</f>
        <v>189416.2046</v>
      </c>
      <c r="I22" s="175">
        <f>IF(B22&lt;PT+1,VLOOKUP(D22,'Pre-Calculation'!$N$3:$P$79,IF(INPUT!$C$4="M",2,3),FALSE)*(J22/1000)*(1/12),0)</f>
        <v>91.73106618</v>
      </c>
      <c r="J22" s="175">
        <f t="shared" si="3"/>
        <v>810583.7954</v>
      </c>
      <c r="K22" s="175">
        <f>IF('Pre-Calculation'!$D$17="Type 4 a",MAX(SA,H22,1.05*Q22),IF('Pre-Calculation'!$D$17="Type 4 c",H22,IF('Pre-Calculation'!$D$17="Type 4 d",SA+H22,IF('Pre-Calculation'!$D$17="Type 4 e",MAX(SA,H22),IF('Pre-Calculation'!$D$17="Type 4 f",SA,IF('Pre-Calculation'!$D$17="Type 4 g",1000+H22,IF('Pre-Calculation'!$D$17="Type 4 h",SA+X22,IF('Pre-Calculation'!$D$17="Type 4 i",MAX(H22,Q22),IF('Pre-Calculation'!$D$17="Type 4 k",MAX(H22,1.01*Q22),IF('Pre-Calculation'!$D$17="Type 4 m",MAX(105%*Q22,SA+H22),IF('Pre-Calculation'!$D$17="Type 4 o",MAX(SA,105%*Q22)+X22+Z22,IF('Pre-Calculation'!$D$17="Type 5",0))))))))))))</f>
        <v>1000000</v>
      </c>
      <c r="L22" s="175">
        <f>H22-I22*(1+Tax)</f>
        <v>189307.962</v>
      </c>
      <c r="M22" s="175">
        <f>L22*(1+GROWTH_RATE_H)*(1-FMC*(1+Tax))</f>
        <v>190273.1894</v>
      </c>
      <c r="N22" s="175">
        <f>M22+IF(MOD(A22,B22)=0,VLOOKUP(B22,'Pre-Calculation'!$H$1:$L$31,5,FALSE),0)*IF('Pre-Calculation'!$D$16="% OF FV",M22,IF(OR('Pre-Calculation'!$D$16="% OF AFV(24M)",'Pre-Calculation'!$D$16="% OF AFV(8Q)"),AVERAGE( $M$7:$M22),IF('Pre-Calculation'!$D$16="% OF AFV(12M)",AVERAGE($M11:M22),IF('Pre-Calculation'!$D$16="% OF AFV(36M)",AVERAGE($M$7:M22)))))</f>
        <v>190273.1894</v>
      </c>
      <c r="O22" s="175">
        <f t="shared" si="4"/>
        <v>190273.1894</v>
      </c>
      <c r="P22" s="175">
        <f>IF('Pre-Calculation'!$D$17="Type 4 a",MAX(SA,N22,1.05*Q22),IF('Pre-Calculation'!$D$17="Type 4 c",N22,IF('Pre-Calculation'!$D$17="Type 4 d",SA+N22,IF('Pre-Calculation'!$D$17="Type 4 e",MAX(SA,N22),IF('Pre-Calculation'!$D$17="Type 4 f",SA,IF('Pre-Calculation'!$D$17="Type 4 g",1000+N22,IF('Pre-Calculation'!$D$17="Type 4 h",SA+X22,IF('Pre-Calculation'!$D$17="Type 4 i",MAX(N22,Q22),IF('Pre-Calculation'!$D$17="Type 4 k",MAX(N22,1.01*Q22),IF('Pre-Calculation'!$D$17="Type 4 m",MAX(105%*Q22,SA+N22),IF('Pre-Calculation'!$D$17="Type 4 o",MAX(SA,105%*Q22)+X22+Z22,IF('Pre-Calculation'!$D$17="Type 5",0))))))))))))</f>
        <v>1000000</v>
      </c>
      <c r="Q22" s="175">
        <f t="shared" si="5"/>
        <v>800000</v>
      </c>
      <c r="R22" s="119">
        <f>L22*(1+GROWTH_RATE)*FMC</f>
        <v>214.2251595</v>
      </c>
      <c r="S22" s="178">
        <f>S21*(1+'Pre-Calculation'!$E$27)</f>
        <v>680508.9212</v>
      </c>
      <c r="T22" s="175">
        <f>-E22+IF(A21=INPUT!$C$11*12,N22,0)</f>
        <v>0</v>
      </c>
      <c r="U22" s="175">
        <f t="shared" si="6"/>
        <v>208813.8622</v>
      </c>
      <c r="V22" s="175">
        <f>U22*(1+GROWTH_RATE_H)*(1-'Pre-Calculation'!$E$31)</f>
        <v>209807.3968</v>
      </c>
      <c r="W22" s="175">
        <f>-E22+IF(A21=INPUT!$C$11*12,V22,0)</f>
        <v>0</v>
      </c>
      <c r="X22" s="179">
        <f t="array" ref="X22">NPV('Pre-Calculation'!$E$20,$E23:E$246)</f>
        <v>607316.0051</v>
      </c>
      <c r="Y22" s="171">
        <f>10%*SA</f>
        <v>100000</v>
      </c>
      <c r="Z22" s="179">
        <f t="array" ref="Z22">NPV('Pre-Calculation'!$E$20,Y23:Y32)</f>
        <v>969592.8037</v>
      </c>
    </row>
    <row r="23" ht="15.75" customHeight="1">
      <c r="A23" s="171">
        <f t="shared" si="1"/>
        <v>17</v>
      </c>
      <c r="B23" s="171">
        <f t="shared" si="2"/>
        <v>2</v>
      </c>
      <c r="C23" s="176">
        <f>EDATE(RCD,A22)</f>
        <v>43038</v>
      </c>
      <c r="D23" s="171">
        <f>Age_At_Entry+'Cashflows_8% from Start'!B23-1</f>
        <v>36</v>
      </c>
      <c r="E23" s="175">
        <f>IF(AND(C23&lt;=Last_Prem,MOD(A22,Mode)=0),Mod_Prem,0)</f>
        <v>0</v>
      </c>
      <c r="F23" s="177">
        <f>E23*VLOOKUP(B23,'Pre-Calculation'!$H$1:$I$31,2,FALSE)</f>
        <v>0</v>
      </c>
      <c r="G23" s="177">
        <f>IF(B23&lt;PT+1,VLOOKUP(B23,'Pre-Calculation'!$H$1:$L$32,3,FALSE)+VLOOKUP(B23,'Pre-Calculation'!$H$1:$L$32,4,FALSE)*'Pre-Calculation'!$D$7,0)</f>
        <v>420</v>
      </c>
      <c r="H23" s="175">
        <f>(E23-(F23+G23)*(1+Tax)+N22)</f>
        <v>189777.5894</v>
      </c>
      <c r="I23" s="175">
        <f>IF(B23&lt;PT+1,VLOOKUP(D23,'Pre-Calculation'!$N$3:$P$79,IF(INPUT!$C$4="M",2,3),FALSE)*(J23/1000)*(1/12),0)</f>
        <v>91.69016946</v>
      </c>
      <c r="J23" s="175">
        <f t="shared" si="3"/>
        <v>810222.4106</v>
      </c>
      <c r="K23" s="175">
        <f>IF('Pre-Calculation'!$D$17="Type 4 a",MAX(SA,H23,1.05*Q23),IF('Pre-Calculation'!$D$17="Type 4 c",H23,IF('Pre-Calculation'!$D$17="Type 4 d",SA+H23,IF('Pre-Calculation'!$D$17="Type 4 e",MAX(SA,H23),IF('Pre-Calculation'!$D$17="Type 4 f",SA,IF('Pre-Calculation'!$D$17="Type 4 g",1000+H23,IF('Pre-Calculation'!$D$17="Type 4 h",SA+X23,IF('Pre-Calculation'!$D$17="Type 4 i",MAX(H23,Q23),IF('Pre-Calculation'!$D$17="Type 4 k",MAX(H23,1.01*Q23),IF('Pre-Calculation'!$D$17="Type 4 m",MAX(105%*Q23,SA+H23),IF('Pre-Calculation'!$D$17="Type 4 o",MAX(SA,105%*Q23)+X23+Z23,IF('Pre-Calculation'!$D$17="Type 5",0))))))))))))</f>
        <v>1000000</v>
      </c>
      <c r="L23" s="175">
        <f>H23-I23*(1+Tax)</f>
        <v>189669.395</v>
      </c>
      <c r="M23" s="175">
        <f>L23*(1+GROWTH_RATE_H)*(1-FMC*(1+Tax))</f>
        <v>190636.4653</v>
      </c>
      <c r="N23" s="175">
        <f>M23+IF(MOD(A23,B23)=0,VLOOKUP(B23,'Pre-Calculation'!$H$1:$L$31,5,FALSE),0)*IF('Pre-Calculation'!$D$16="% OF FV",M23,IF(OR('Pre-Calculation'!$D$16="% OF AFV(24M)",'Pre-Calculation'!$D$16="% OF AFV(8Q)"),AVERAGE( $M$7:$M23),IF('Pre-Calculation'!$D$16="% OF AFV(12M)",AVERAGE($M12:M23),IF('Pre-Calculation'!$D$16="% OF AFV(36M)",AVERAGE($M$7:M23)))))</f>
        <v>190636.4653</v>
      </c>
      <c r="O23" s="175">
        <f t="shared" si="4"/>
        <v>190636.4653</v>
      </c>
      <c r="P23" s="175">
        <f>IF('Pre-Calculation'!$D$17="Type 4 a",MAX(SA,N23,1.05*Q23),IF('Pre-Calculation'!$D$17="Type 4 c",N23,IF('Pre-Calculation'!$D$17="Type 4 d",SA+N23,IF('Pre-Calculation'!$D$17="Type 4 e",MAX(SA,N23),IF('Pre-Calculation'!$D$17="Type 4 f",SA,IF('Pre-Calculation'!$D$17="Type 4 g",1000+N23,IF('Pre-Calculation'!$D$17="Type 4 h",SA+X23,IF('Pre-Calculation'!$D$17="Type 4 i",MAX(N23,Q23),IF('Pre-Calculation'!$D$17="Type 4 k",MAX(N23,1.01*Q23),IF('Pre-Calculation'!$D$17="Type 4 m",MAX(105%*Q23,SA+N23),IF('Pre-Calculation'!$D$17="Type 4 o",MAX(SA,105%*Q23)+X23+Z23,IF('Pre-Calculation'!$D$17="Type 5",0))))))))))))</f>
        <v>1000000</v>
      </c>
      <c r="Q23" s="175">
        <f t="shared" si="5"/>
        <v>800000</v>
      </c>
      <c r="R23" s="119">
        <f>L23*(1+GROWTH_RATE)*FMC</f>
        <v>214.6341652</v>
      </c>
      <c r="S23" s="178">
        <f>S22*(1+'Pre-Calculation'!$E$27)</f>
        <v>682462.5934</v>
      </c>
      <c r="T23" s="175">
        <f>-E23+IF(A22=INPUT!$C$11*12,N23,0)</f>
        <v>0</v>
      </c>
      <c r="U23" s="175">
        <f t="shared" si="6"/>
        <v>209807.3968</v>
      </c>
      <c r="V23" s="175">
        <f>U23*(1+GROWTH_RATE_H)*(1-'Pre-Calculation'!$E$31)</f>
        <v>210805.6585</v>
      </c>
      <c r="W23" s="175">
        <f>-E23+IF(A22=INPUT!$C$11*12,V23,0)</f>
        <v>0</v>
      </c>
      <c r="X23" s="179">
        <f t="array" ref="X23">NPV('Pre-Calculation'!$E$20,$E24:E$246)</f>
        <v>610749.8581</v>
      </c>
      <c r="Y23" s="171">
        <f>10%*SA</f>
        <v>100000</v>
      </c>
      <c r="Z23" s="179">
        <f t="array" ref="Z23">NPV('Pre-Calculation'!$E$20,Y24:Y33)</f>
        <v>969592.8037</v>
      </c>
    </row>
    <row r="24" ht="15.75" customHeight="1">
      <c r="A24" s="171">
        <f t="shared" si="1"/>
        <v>18</v>
      </c>
      <c r="B24" s="171">
        <f t="shared" si="2"/>
        <v>2</v>
      </c>
      <c r="C24" s="176">
        <f>EDATE(RCD,A23)</f>
        <v>43069</v>
      </c>
      <c r="D24" s="171">
        <f>Age_At_Entry+'Cashflows_8% from Start'!B24-1</f>
        <v>36</v>
      </c>
      <c r="E24" s="175">
        <f>IF(AND(C24&lt;=Last_Prem,MOD(A23,Mode)=0),Mod_Prem,0)</f>
        <v>0</v>
      </c>
      <c r="F24" s="177">
        <f>E24*VLOOKUP(B24,'Pre-Calculation'!$H$1:$I$31,2,FALSE)</f>
        <v>0</v>
      </c>
      <c r="G24" s="177">
        <f>IF(B24&lt;PT+1,VLOOKUP(B24,'Pre-Calculation'!$H$1:$L$32,3,FALSE)+VLOOKUP(B24,'Pre-Calculation'!$H$1:$L$32,4,FALSE)*'Pre-Calculation'!$D$7,0)</f>
        <v>420</v>
      </c>
      <c r="H24" s="175">
        <f>(E24-(F24+G24)*(1+Tax)+N23)</f>
        <v>190140.8653</v>
      </c>
      <c r="I24" s="175">
        <f>IF(B24&lt;PT+1,VLOOKUP(D24,'Pre-Calculation'!$N$3:$P$79,IF(INPUT!$C$4="M",2,3),FALSE)*(J24/1000)*(1/12),0)</f>
        <v>91.64905874</v>
      </c>
      <c r="J24" s="175">
        <f t="shared" si="3"/>
        <v>809859.1347</v>
      </c>
      <c r="K24" s="175">
        <f>IF('Pre-Calculation'!$D$17="Type 4 a",MAX(SA,H24,1.05*Q24),IF('Pre-Calculation'!$D$17="Type 4 c",H24,IF('Pre-Calculation'!$D$17="Type 4 d",SA+H24,IF('Pre-Calculation'!$D$17="Type 4 e",MAX(SA,H24),IF('Pre-Calculation'!$D$17="Type 4 f",SA,IF('Pre-Calculation'!$D$17="Type 4 g",1000+H24,IF('Pre-Calculation'!$D$17="Type 4 h",SA+X24,IF('Pre-Calculation'!$D$17="Type 4 i",MAX(H24,Q24),IF('Pre-Calculation'!$D$17="Type 4 k",MAX(H24,1.01*Q24),IF('Pre-Calculation'!$D$17="Type 4 m",MAX(105%*Q24,SA+H24),IF('Pre-Calculation'!$D$17="Type 4 o",MAX(SA,105%*Q24)+X24+Z24,IF('Pre-Calculation'!$D$17="Type 5",0))))))))))))</f>
        <v>1000000</v>
      </c>
      <c r="L24" s="175">
        <f>H24-I24*(1+Tax)</f>
        <v>190032.7194</v>
      </c>
      <c r="M24" s="175">
        <f>L24*(1+GROWTH_RATE_H)*(1-FMC*(1+Tax))</f>
        <v>191001.6422</v>
      </c>
      <c r="N24" s="175">
        <f>M24+IF(MOD(A24,B24)=0,VLOOKUP(B24,'Pre-Calculation'!$H$1:$L$31,5,FALSE),0)*IF('Pre-Calculation'!$D$16="% OF FV",M24,IF(OR('Pre-Calculation'!$D$16="% OF AFV(24M)",'Pre-Calculation'!$D$16="% OF AFV(8Q)"),AVERAGE( $M$7:$M24),IF('Pre-Calculation'!$D$16="% OF AFV(12M)",AVERAGE($M13:M24),IF('Pre-Calculation'!$D$16="% OF AFV(36M)",AVERAGE($M$7:M24)))))</f>
        <v>191001.6422</v>
      </c>
      <c r="O24" s="175">
        <f t="shared" si="4"/>
        <v>191001.6422</v>
      </c>
      <c r="P24" s="175">
        <f>IF('Pre-Calculation'!$D$17="Type 4 a",MAX(SA,N24,1.05*Q24),IF('Pre-Calculation'!$D$17="Type 4 c",N24,IF('Pre-Calculation'!$D$17="Type 4 d",SA+N24,IF('Pre-Calculation'!$D$17="Type 4 e",MAX(SA,N24),IF('Pre-Calculation'!$D$17="Type 4 f",SA,IF('Pre-Calculation'!$D$17="Type 4 g",1000+N24,IF('Pre-Calculation'!$D$17="Type 4 h",SA+X24,IF('Pre-Calculation'!$D$17="Type 4 i",MAX(N24,Q24),IF('Pre-Calculation'!$D$17="Type 4 k",MAX(N24,1.01*Q24),IF('Pre-Calculation'!$D$17="Type 4 m",MAX(105%*Q24,SA+N24),IF('Pre-Calculation'!$D$17="Type 4 o",MAX(SA,105%*Q24)+X24+Z24,IF('Pre-Calculation'!$D$17="Type 5",0))))))))))))</f>
        <v>1000000</v>
      </c>
      <c r="Q24" s="175">
        <f t="shared" si="5"/>
        <v>800000</v>
      </c>
      <c r="R24" s="119">
        <f>L24*(1+GROWTH_RATE)*FMC</f>
        <v>215.0453113</v>
      </c>
      <c r="S24" s="178">
        <f>S23*(1+'Pre-Calculation'!$E$27)</f>
        <v>684421.8744</v>
      </c>
      <c r="T24" s="175">
        <f>-E24+IF(A23=INPUT!$C$11*12,N24,0)</f>
        <v>0</v>
      </c>
      <c r="U24" s="175">
        <f t="shared" si="6"/>
        <v>210805.6585</v>
      </c>
      <c r="V24" s="175">
        <f>U24*(1+GROWTH_RATE_H)*(1-'Pre-Calculation'!$E$31)</f>
        <v>211808.67</v>
      </c>
      <c r="W24" s="175">
        <f>-E24+IF(A23=INPUT!$C$11*12,V24,0)</f>
        <v>0</v>
      </c>
      <c r="X24" s="179">
        <f t="array" ref="X24">NPV('Pre-Calculation'!$E$20,$E25:E$246)</f>
        <v>614203.1266</v>
      </c>
      <c r="Y24" s="171">
        <f>10%*SA</f>
        <v>100000</v>
      </c>
      <c r="Z24" s="179">
        <f t="array" ref="Z24">NPV('Pre-Calculation'!$E$20,Y25:Y34)</f>
        <v>969592.8037</v>
      </c>
    </row>
    <row r="25" ht="15.75" customHeight="1">
      <c r="A25" s="171">
        <f t="shared" si="1"/>
        <v>19</v>
      </c>
      <c r="B25" s="171">
        <f t="shared" si="2"/>
        <v>2</v>
      </c>
      <c r="C25" s="176">
        <f>EDATE(RCD,A24)</f>
        <v>43099</v>
      </c>
      <c r="D25" s="171">
        <f>Age_At_Entry+'Cashflows_8% from Start'!B25-1</f>
        <v>36</v>
      </c>
      <c r="E25" s="175">
        <f>IF(AND(C25&lt;=Last_Prem,MOD(A24,Mode)=0),Mod_Prem,0)</f>
        <v>0</v>
      </c>
      <c r="F25" s="177">
        <f>E25*VLOOKUP(B25,'Pre-Calculation'!$H$1:$I$31,2,FALSE)</f>
        <v>0</v>
      </c>
      <c r="G25" s="177">
        <f>IF(B25&lt;PT+1,VLOOKUP(B25,'Pre-Calculation'!$H$1:$L$32,3,FALSE)+VLOOKUP(B25,'Pre-Calculation'!$H$1:$L$32,4,FALSE)*'Pre-Calculation'!$D$7,0)</f>
        <v>420</v>
      </c>
      <c r="H25" s="175">
        <f>(E25-(F25+G25)*(1+Tax)+N24)</f>
        <v>190506.0422</v>
      </c>
      <c r="I25" s="175">
        <f>IF(B25&lt;PT+1,VLOOKUP(D25,'Pre-Calculation'!$N$3:$P$79,IF(INPUT!$C$4="M",2,3),FALSE)*(J25/1000)*(1/12),0)</f>
        <v>91.60773289</v>
      </c>
      <c r="J25" s="175">
        <f t="shared" si="3"/>
        <v>809493.9578</v>
      </c>
      <c r="K25" s="175">
        <f>IF('Pre-Calculation'!$D$17="Type 4 a",MAX(SA,H25,1.05*Q25),IF('Pre-Calculation'!$D$17="Type 4 c",H25,IF('Pre-Calculation'!$D$17="Type 4 d",SA+H25,IF('Pre-Calculation'!$D$17="Type 4 e",MAX(SA,H25),IF('Pre-Calculation'!$D$17="Type 4 f",SA,IF('Pre-Calculation'!$D$17="Type 4 g",1000+H25,IF('Pre-Calculation'!$D$17="Type 4 h",SA+X25,IF('Pre-Calculation'!$D$17="Type 4 i",MAX(H25,Q25),IF('Pre-Calculation'!$D$17="Type 4 k",MAX(H25,1.01*Q25),IF('Pre-Calculation'!$D$17="Type 4 m",MAX(105%*Q25,SA+H25),IF('Pre-Calculation'!$D$17="Type 4 o",MAX(SA,105%*Q25)+X25+Z25,IF('Pre-Calculation'!$D$17="Type 5",0))))))))))))</f>
        <v>1000000</v>
      </c>
      <c r="L25" s="175">
        <f>H25-I25*(1+Tax)</f>
        <v>190397.9451</v>
      </c>
      <c r="M25" s="175">
        <f>L25*(1+GROWTH_RATE_H)*(1-FMC*(1+Tax))</f>
        <v>191368.73</v>
      </c>
      <c r="N25" s="175">
        <f>M25+IF(MOD(A25,B25)=0,VLOOKUP(B25,'Pre-Calculation'!$H$1:$L$31,5,FALSE),0)*IF('Pre-Calculation'!$D$16="% OF FV",M25,IF(OR('Pre-Calculation'!$D$16="% OF AFV(24M)",'Pre-Calculation'!$D$16="% OF AFV(8Q)"),AVERAGE( $M$7:$M25),IF('Pre-Calculation'!$D$16="% OF AFV(12M)",AVERAGE($M14:M25),IF('Pre-Calculation'!$D$16="% OF AFV(36M)",AVERAGE($M$7:M25)))))</f>
        <v>191368.73</v>
      </c>
      <c r="O25" s="175">
        <f t="shared" si="4"/>
        <v>191368.73</v>
      </c>
      <c r="P25" s="175">
        <f>IF('Pre-Calculation'!$D$17="Type 4 a",MAX(SA,N25,1.05*Q25),IF('Pre-Calculation'!$D$17="Type 4 c",N25,IF('Pre-Calculation'!$D$17="Type 4 d",SA+N25,IF('Pre-Calculation'!$D$17="Type 4 e",MAX(SA,N25),IF('Pre-Calculation'!$D$17="Type 4 f",SA,IF('Pre-Calculation'!$D$17="Type 4 g",1000+N25,IF('Pre-Calculation'!$D$17="Type 4 h",SA+X25,IF('Pre-Calculation'!$D$17="Type 4 i",MAX(N25,Q25),IF('Pre-Calculation'!$D$17="Type 4 k",MAX(N25,1.01*Q25),IF('Pre-Calculation'!$D$17="Type 4 m",MAX(105%*Q25,SA+N25),IF('Pre-Calculation'!$D$17="Type 4 o",MAX(SA,105%*Q25)+X25+Z25,IF('Pre-Calculation'!$D$17="Type 5",0))))))))))))</f>
        <v>1000000</v>
      </c>
      <c r="Q25" s="175">
        <f t="shared" si="5"/>
        <v>800000</v>
      </c>
      <c r="R25" s="119">
        <f>L25*(1+GROWTH_RATE)*FMC</f>
        <v>215.4586089</v>
      </c>
      <c r="S25" s="178">
        <f>S24*(1+'Pre-Calculation'!$E$27)</f>
        <v>686386.7803</v>
      </c>
      <c r="T25" s="175">
        <f>-E25+IF(A24=INPUT!$C$11*12,N25,0)</f>
        <v>0</v>
      </c>
      <c r="U25" s="175">
        <f t="shared" si="6"/>
        <v>211808.67</v>
      </c>
      <c r="V25" s="175">
        <f>U25*(1+GROWTH_RATE_H)*(1-'Pre-Calculation'!$E$31)</f>
        <v>212816.4538</v>
      </c>
      <c r="W25" s="175">
        <f>-E25+IF(A24=INPUT!$C$11*12,V25,0)</f>
        <v>0</v>
      </c>
      <c r="X25" s="179">
        <f t="array" ref="X25">NPV('Pre-Calculation'!$E$20,$E26:E$246)</f>
        <v>617675.9204</v>
      </c>
      <c r="Y25" s="171">
        <f>10%*SA</f>
        <v>100000</v>
      </c>
      <c r="Z25" s="179">
        <f t="array" ref="Z25">NPV('Pre-Calculation'!$E$20,Y26:Y35)</f>
        <v>969592.8037</v>
      </c>
    </row>
    <row r="26" ht="15.75" customHeight="1">
      <c r="A26" s="171">
        <f t="shared" si="1"/>
        <v>20</v>
      </c>
      <c r="B26" s="171">
        <f t="shared" si="2"/>
        <v>2</v>
      </c>
      <c r="C26" s="176">
        <f>EDATE(RCD,A25)</f>
        <v>43130</v>
      </c>
      <c r="D26" s="171">
        <f>Age_At_Entry+'Cashflows_8% from Start'!B26-1</f>
        <v>36</v>
      </c>
      <c r="E26" s="175">
        <f>IF(AND(C26&lt;=Last_Prem,MOD(A25,Mode)=0),Mod_Prem,0)</f>
        <v>0</v>
      </c>
      <c r="F26" s="177">
        <f>E26*VLOOKUP(B26,'Pre-Calculation'!$H$1:$I$31,2,FALSE)</f>
        <v>0</v>
      </c>
      <c r="G26" s="177">
        <f>IF(B26&lt;PT+1,VLOOKUP(B26,'Pre-Calculation'!$H$1:$L$32,3,FALSE)+VLOOKUP(B26,'Pre-Calculation'!$H$1:$L$32,4,FALSE)*'Pre-Calculation'!$D$7,0)</f>
        <v>420</v>
      </c>
      <c r="H26" s="175">
        <f>(E26-(F26+G26)*(1+Tax)+N25)</f>
        <v>190873.13</v>
      </c>
      <c r="I26" s="175">
        <f>IF(B26&lt;PT+1,VLOOKUP(D26,'Pre-Calculation'!$N$3:$P$79,IF(INPUT!$C$4="M",2,3),FALSE)*(J26/1000)*(1/12),0)</f>
        <v>91.56619079</v>
      </c>
      <c r="J26" s="175">
        <f t="shared" si="3"/>
        <v>809126.87</v>
      </c>
      <c r="K26" s="175">
        <f>IF('Pre-Calculation'!$D$17="Type 4 a",MAX(SA,H26,1.05*Q26),IF('Pre-Calculation'!$D$17="Type 4 c",H26,IF('Pre-Calculation'!$D$17="Type 4 d",SA+H26,IF('Pre-Calculation'!$D$17="Type 4 e",MAX(SA,H26),IF('Pre-Calculation'!$D$17="Type 4 f",SA,IF('Pre-Calculation'!$D$17="Type 4 g",1000+H26,IF('Pre-Calculation'!$D$17="Type 4 h",SA+X26,IF('Pre-Calculation'!$D$17="Type 4 i",MAX(H26,Q26),IF('Pre-Calculation'!$D$17="Type 4 k",MAX(H26,1.01*Q26),IF('Pre-Calculation'!$D$17="Type 4 m",MAX(105%*Q26,SA+H26),IF('Pre-Calculation'!$D$17="Type 4 o",MAX(SA,105%*Q26)+X26+Z26,IF('Pre-Calculation'!$D$17="Type 5",0))))))))))))</f>
        <v>1000000</v>
      </c>
      <c r="L26" s="175">
        <f>H26-I26*(1+Tax)</f>
        <v>190765.0819</v>
      </c>
      <c r="M26" s="175">
        <f>L26*(1+GROWTH_RATE_H)*(1-FMC*(1+Tax))</f>
        <v>191737.7388</v>
      </c>
      <c r="N26" s="175">
        <f>M26+IF(MOD(A26,B26)=0,VLOOKUP(B26,'Pre-Calculation'!$H$1:$L$31,5,FALSE),0)*IF('Pre-Calculation'!$D$16="% OF FV",M26,IF(OR('Pre-Calculation'!$D$16="% OF AFV(24M)",'Pre-Calculation'!$D$16="% OF AFV(8Q)"),AVERAGE( $M$7:$M26),IF('Pre-Calculation'!$D$16="% OF AFV(12M)",AVERAGE($M15:M26),IF('Pre-Calculation'!$D$16="% OF AFV(36M)",AVERAGE($M$7:M26)))))</f>
        <v>191737.7388</v>
      </c>
      <c r="O26" s="175">
        <f t="shared" si="4"/>
        <v>191737.7388</v>
      </c>
      <c r="P26" s="175">
        <f>IF('Pre-Calculation'!$D$17="Type 4 a",MAX(SA,N26,1.05*Q26),IF('Pre-Calculation'!$D$17="Type 4 c",N26,IF('Pre-Calculation'!$D$17="Type 4 d",SA+N26,IF('Pre-Calculation'!$D$17="Type 4 e",MAX(SA,N26),IF('Pre-Calculation'!$D$17="Type 4 f",SA,IF('Pre-Calculation'!$D$17="Type 4 g",1000+N26,IF('Pre-Calculation'!$D$17="Type 4 h",SA+X26,IF('Pre-Calculation'!$D$17="Type 4 i",MAX(N26,Q26),IF('Pre-Calculation'!$D$17="Type 4 k",MAX(N26,1.01*Q26),IF('Pre-Calculation'!$D$17="Type 4 m",MAX(105%*Q26,SA+N26),IF('Pre-Calculation'!$D$17="Type 4 o",MAX(SA,105%*Q26)+X26+Z26,IF('Pre-Calculation'!$D$17="Type 5",0))))))))))))</f>
        <v>1000000</v>
      </c>
      <c r="Q26" s="175">
        <f t="shared" si="5"/>
        <v>800000</v>
      </c>
      <c r="R26" s="119">
        <f>L26*(1+GROWTH_RATE)*FMC</f>
        <v>215.8740692</v>
      </c>
      <c r="S26" s="178">
        <f>S25*(1+'Pre-Calculation'!$E$27)</f>
        <v>688357.3272</v>
      </c>
      <c r="T26" s="175">
        <f>-E26+IF(A25=INPUT!$C$11*12,N26,0)</f>
        <v>0</v>
      </c>
      <c r="U26" s="175">
        <f t="shared" si="6"/>
        <v>212816.4538</v>
      </c>
      <c r="V26" s="175">
        <f>U26*(1+GROWTH_RATE_H)*(1-'Pre-Calculation'!$E$31)</f>
        <v>213829.0326</v>
      </c>
      <c r="W26" s="175">
        <f>-E26+IF(A25=INPUT!$C$11*12,V26,0)</f>
        <v>0</v>
      </c>
      <c r="X26" s="179">
        <f t="array" ref="X26">NPV('Pre-Calculation'!$E$20,$E27:E$246)</f>
        <v>621168.3498</v>
      </c>
      <c r="Y26" s="171">
        <f>10%*SA</f>
        <v>100000</v>
      </c>
      <c r="Z26" s="179">
        <f t="array" ref="Z26">NPV('Pre-Calculation'!$E$20,Y27:Y36)</f>
        <v>969592.8037</v>
      </c>
    </row>
    <row r="27" ht="15.75" customHeight="1">
      <c r="A27" s="171">
        <f t="shared" si="1"/>
        <v>21</v>
      </c>
      <c r="B27" s="171">
        <f t="shared" si="2"/>
        <v>2</v>
      </c>
      <c r="C27" s="176">
        <f>EDATE(RCD,A26)</f>
        <v>43159</v>
      </c>
      <c r="D27" s="171">
        <f>Age_At_Entry+'Cashflows_8% from Start'!B27-1</f>
        <v>36</v>
      </c>
      <c r="E27" s="175">
        <f>IF(AND(C27&lt;=Last_Prem,MOD(A26,Mode)=0),Mod_Prem,0)</f>
        <v>0</v>
      </c>
      <c r="F27" s="177">
        <f>E27*VLOOKUP(B27,'Pre-Calculation'!$H$1:$I$31,2,FALSE)</f>
        <v>0</v>
      </c>
      <c r="G27" s="177">
        <f>IF(B27&lt;PT+1,VLOOKUP(B27,'Pre-Calculation'!$H$1:$L$32,3,FALSE)+VLOOKUP(B27,'Pre-Calculation'!$H$1:$L$32,4,FALSE)*'Pre-Calculation'!$D$7,0)</f>
        <v>420</v>
      </c>
      <c r="H27" s="175">
        <f>(E27-(F27+G27)*(1+Tax)+N26)</f>
        <v>191242.1388</v>
      </c>
      <c r="I27" s="175">
        <f>IF(B27&lt;PT+1,VLOOKUP(D27,'Pre-Calculation'!$N$3:$P$79,IF(INPUT!$C$4="M",2,3),FALSE)*(J27/1000)*(1/12),0)</f>
        <v>91.52443129</v>
      </c>
      <c r="J27" s="175">
        <f t="shared" si="3"/>
        <v>808757.8612</v>
      </c>
      <c r="K27" s="175">
        <f>IF('Pre-Calculation'!$D$17="Type 4 a",MAX(SA,H27,1.05*Q27),IF('Pre-Calculation'!$D$17="Type 4 c",H27,IF('Pre-Calculation'!$D$17="Type 4 d",SA+H27,IF('Pre-Calculation'!$D$17="Type 4 e",MAX(SA,H27),IF('Pre-Calculation'!$D$17="Type 4 f",SA,IF('Pre-Calculation'!$D$17="Type 4 g",1000+H27,IF('Pre-Calculation'!$D$17="Type 4 h",SA+X27,IF('Pre-Calculation'!$D$17="Type 4 i",MAX(H27,Q27),IF('Pre-Calculation'!$D$17="Type 4 k",MAX(H27,1.01*Q27),IF('Pre-Calculation'!$D$17="Type 4 m",MAX(105%*Q27,SA+H27),IF('Pre-Calculation'!$D$17="Type 4 o",MAX(SA,105%*Q27)+X27+Z27,IF('Pre-Calculation'!$D$17="Type 5",0))))))))))))</f>
        <v>1000000</v>
      </c>
      <c r="L27" s="175">
        <f>H27-I27*(1+Tax)</f>
        <v>191134.14</v>
      </c>
      <c r="M27" s="175">
        <f>L27*(1+GROWTH_RATE_H)*(1-FMC*(1+Tax))</f>
        <v>192108.6786</v>
      </c>
      <c r="N27" s="175">
        <f>M27+IF(MOD(A27,B27)=0,VLOOKUP(B27,'Pre-Calculation'!$H$1:$L$31,5,FALSE),0)*IF('Pre-Calculation'!$D$16="% OF FV",M27,IF(OR('Pre-Calculation'!$D$16="% OF AFV(24M)",'Pre-Calculation'!$D$16="% OF AFV(8Q)"),AVERAGE( $M$7:$M27),IF('Pre-Calculation'!$D$16="% OF AFV(12M)",AVERAGE($M16:M27),IF('Pre-Calculation'!$D$16="% OF AFV(36M)",AVERAGE($M$7:M27)))))</f>
        <v>192108.6786</v>
      </c>
      <c r="O27" s="175">
        <f t="shared" si="4"/>
        <v>192108.6786</v>
      </c>
      <c r="P27" s="175">
        <f>IF('Pre-Calculation'!$D$17="Type 4 a",MAX(SA,N27,1.05*Q27),IF('Pre-Calculation'!$D$17="Type 4 c",N27,IF('Pre-Calculation'!$D$17="Type 4 d",SA+N27,IF('Pre-Calculation'!$D$17="Type 4 e",MAX(SA,N27),IF('Pre-Calculation'!$D$17="Type 4 f",SA,IF('Pre-Calculation'!$D$17="Type 4 g",1000+N27,IF('Pre-Calculation'!$D$17="Type 4 h",SA+X27,IF('Pre-Calculation'!$D$17="Type 4 i",MAX(N27,Q27),IF('Pre-Calculation'!$D$17="Type 4 k",MAX(N27,1.01*Q27),IF('Pre-Calculation'!$D$17="Type 4 m",MAX(105%*Q27,SA+N27),IF('Pre-Calculation'!$D$17="Type 4 o",MAX(SA,105%*Q27)+X27+Z27,IF('Pre-Calculation'!$D$17="Type 5",0))))))))))))</f>
        <v>1000000</v>
      </c>
      <c r="Q27" s="175">
        <f t="shared" si="5"/>
        <v>800000</v>
      </c>
      <c r="R27" s="119">
        <f>L27*(1+GROWTH_RATE)*FMC</f>
        <v>216.2917037</v>
      </c>
      <c r="S27" s="178">
        <f>S26*(1+'Pre-Calculation'!$E$27)</f>
        <v>690333.5314</v>
      </c>
      <c r="T27" s="175">
        <f>-E27+IF(A26=INPUT!$C$11*12,N27,0)</f>
        <v>0</v>
      </c>
      <c r="U27" s="175">
        <f t="shared" si="6"/>
        <v>213829.0326</v>
      </c>
      <c r="V27" s="175">
        <f>U27*(1+GROWTH_RATE_H)*(1-'Pre-Calculation'!$E$31)</f>
        <v>214846.4293</v>
      </c>
      <c r="W27" s="175">
        <f>-E27+IF(A26=INPUT!$C$11*12,V27,0)</f>
        <v>0</v>
      </c>
      <c r="X27" s="179">
        <f t="array" ref="X27">NPV('Pre-Calculation'!$E$20,$E28:E$246)</f>
        <v>624680.526</v>
      </c>
      <c r="Y27" s="171">
        <f>10%*SA</f>
        <v>100000</v>
      </c>
      <c r="Z27" s="179">
        <f t="array" ref="Z27">NPV('Pre-Calculation'!$E$20,Y28:Y37)</f>
        <v>969592.8037</v>
      </c>
    </row>
    <row r="28" ht="15.75" customHeight="1">
      <c r="A28" s="171">
        <f t="shared" si="1"/>
        <v>22</v>
      </c>
      <c r="B28" s="171">
        <f t="shared" si="2"/>
        <v>2</v>
      </c>
      <c r="C28" s="176">
        <f>EDATE(RCD,A27)</f>
        <v>43189</v>
      </c>
      <c r="D28" s="171">
        <f>Age_At_Entry+'Cashflows_8% from Start'!B28-1</f>
        <v>36</v>
      </c>
      <c r="E28" s="175">
        <f>IF(AND(C28&lt;=Last_Prem,MOD(A27,Mode)=0),Mod_Prem,0)</f>
        <v>0</v>
      </c>
      <c r="F28" s="177">
        <f>E28*VLOOKUP(B28,'Pre-Calculation'!$H$1:$I$31,2,FALSE)</f>
        <v>0</v>
      </c>
      <c r="G28" s="177">
        <f>IF(B28&lt;PT+1,VLOOKUP(B28,'Pre-Calculation'!$H$1:$L$32,3,FALSE)+VLOOKUP(B28,'Pre-Calculation'!$H$1:$L$32,4,FALSE)*'Pre-Calculation'!$D$7,0)</f>
        <v>420</v>
      </c>
      <c r="H28" s="175">
        <f>(E28-(F28+G28)*(1+Tax)+N27)</f>
        <v>191613.0786</v>
      </c>
      <c r="I28" s="175">
        <f>IF(B28&lt;PT+1,VLOOKUP(D28,'Pre-Calculation'!$N$3:$P$79,IF(INPUT!$C$4="M",2,3),FALSE)*(J28/1000)*(1/12),0)</f>
        <v>91.48245328</v>
      </c>
      <c r="J28" s="175">
        <f t="shared" si="3"/>
        <v>808386.9214</v>
      </c>
      <c r="K28" s="175">
        <f>IF('Pre-Calculation'!$D$17="Type 4 a",MAX(SA,H28,1.05*Q28),IF('Pre-Calculation'!$D$17="Type 4 c",H28,IF('Pre-Calculation'!$D$17="Type 4 d",SA+H28,IF('Pre-Calculation'!$D$17="Type 4 e",MAX(SA,H28),IF('Pre-Calculation'!$D$17="Type 4 f",SA,IF('Pre-Calculation'!$D$17="Type 4 g",1000+H28,IF('Pre-Calculation'!$D$17="Type 4 h",SA+X28,IF('Pre-Calculation'!$D$17="Type 4 i",MAX(H28,Q28),IF('Pre-Calculation'!$D$17="Type 4 k",MAX(H28,1.01*Q28),IF('Pre-Calculation'!$D$17="Type 4 m",MAX(105%*Q28,SA+H28),IF('Pre-Calculation'!$D$17="Type 4 o",MAX(SA,105%*Q28)+X28+Z28,IF('Pre-Calculation'!$D$17="Type 5",0))))))))))))</f>
        <v>1000000</v>
      </c>
      <c r="L28" s="175">
        <f>H28-I28*(1+Tax)</f>
        <v>191505.1293</v>
      </c>
      <c r="M28" s="175">
        <f>L28*(1+GROWTH_RATE_H)*(1-FMC*(1+Tax))</f>
        <v>192481.5594</v>
      </c>
      <c r="N28" s="175">
        <f>M28+IF(MOD(A28,B28)=0,VLOOKUP(B28,'Pre-Calculation'!$H$1:$L$31,5,FALSE),0)*IF('Pre-Calculation'!$D$16="% OF FV",M28,IF(OR('Pre-Calculation'!$D$16="% OF AFV(24M)",'Pre-Calculation'!$D$16="% OF AFV(8Q)"),AVERAGE( $M$7:$M28),IF('Pre-Calculation'!$D$16="% OF AFV(12M)",AVERAGE($M17:M28),IF('Pre-Calculation'!$D$16="% OF AFV(36M)",AVERAGE($M$7:M28)))))</f>
        <v>192481.5594</v>
      </c>
      <c r="O28" s="175">
        <f t="shared" si="4"/>
        <v>192481.5594</v>
      </c>
      <c r="P28" s="175">
        <f>IF('Pre-Calculation'!$D$17="Type 4 a",MAX(SA,N28,1.05*Q28),IF('Pre-Calculation'!$D$17="Type 4 c",N28,IF('Pre-Calculation'!$D$17="Type 4 d",SA+N28,IF('Pre-Calculation'!$D$17="Type 4 e",MAX(SA,N28),IF('Pre-Calculation'!$D$17="Type 4 f",SA,IF('Pre-Calculation'!$D$17="Type 4 g",1000+N28,IF('Pre-Calculation'!$D$17="Type 4 h",SA+X28,IF('Pre-Calculation'!$D$17="Type 4 i",MAX(N28,Q28),IF('Pre-Calculation'!$D$17="Type 4 k",MAX(N28,1.01*Q28),IF('Pre-Calculation'!$D$17="Type 4 m",MAX(105%*Q28,SA+N28),IF('Pre-Calculation'!$D$17="Type 4 o",MAX(SA,105%*Q28)+X28+Z28,IF('Pre-Calculation'!$D$17="Type 5",0))))))))))))</f>
        <v>1000000</v>
      </c>
      <c r="Q28" s="175">
        <f t="shared" si="5"/>
        <v>800000</v>
      </c>
      <c r="R28" s="119">
        <f>L28*(1+GROWTH_RATE)*FMC</f>
        <v>216.7115235</v>
      </c>
      <c r="S28" s="178">
        <f>S27*(1+'Pre-Calculation'!$E$27)</f>
        <v>692315.4091</v>
      </c>
      <c r="T28" s="175">
        <f>-E28+IF(A27=INPUT!$C$11*12,N28,0)</f>
        <v>0</v>
      </c>
      <c r="U28" s="175">
        <f t="shared" si="6"/>
        <v>214846.4293</v>
      </c>
      <c r="V28" s="175">
        <f>U28*(1+GROWTH_RATE_H)*(1-'Pre-Calculation'!$E$31)</f>
        <v>215868.6667</v>
      </c>
      <c r="W28" s="175">
        <f>-E28+IF(A27=INPUT!$C$11*12,V28,0)</f>
        <v>0</v>
      </c>
      <c r="X28" s="179">
        <f t="array" ref="X28">NPV('Pre-Calculation'!$E$20,$E29:E$246)</f>
        <v>628212.5605</v>
      </c>
      <c r="Y28" s="171">
        <f>10%*SA</f>
        <v>100000</v>
      </c>
      <c r="Z28" s="179">
        <f t="array" ref="Z28">NPV('Pre-Calculation'!$E$20,Y29:Y38)</f>
        <v>969592.8037</v>
      </c>
    </row>
    <row r="29" ht="15.75" customHeight="1">
      <c r="A29" s="171">
        <f t="shared" si="1"/>
        <v>23</v>
      </c>
      <c r="B29" s="171">
        <f t="shared" si="2"/>
        <v>2</v>
      </c>
      <c r="C29" s="176">
        <f>EDATE(RCD,A28)</f>
        <v>43220</v>
      </c>
      <c r="D29" s="171">
        <f>Age_At_Entry+'Cashflows_8% from Start'!B29-1</f>
        <v>36</v>
      </c>
      <c r="E29" s="175">
        <f>IF(AND(C29&lt;=Last_Prem,MOD(A28,Mode)=0),Mod_Prem,0)</f>
        <v>0</v>
      </c>
      <c r="F29" s="177">
        <f>E29*VLOOKUP(B29,'Pre-Calculation'!$H$1:$I$31,2,FALSE)</f>
        <v>0</v>
      </c>
      <c r="G29" s="177">
        <f>IF(B29&lt;PT+1,VLOOKUP(B29,'Pre-Calculation'!$H$1:$L$32,3,FALSE)+VLOOKUP(B29,'Pre-Calculation'!$H$1:$L$32,4,FALSE)*'Pre-Calculation'!$D$7,0)</f>
        <v>420</v>
      </c>
      <c r="H29" s="175">
        <f>(E29-(F29+G29)*(1+Tax)+N28)</f>
        <v>191985.9594</v>
      </c>
      <c r="I29" s="175">
        <f>IF(B29&lt;PT+1,VLOOKUP(D29,'Pre-Calculation'!$N$3:$P$79,IF(INPUT!$C$4="M",2,3),FALSE)*(J29/1000)*(1/12),0)</f>
        <v>91.44025559</v>
      </c>
      <c r="J29" s="175">
        <f t="shared" si="3"/>
        <v>808014.0406</v>
      </c>
      <c r="K29" s="175">
        <f>IF('Pre-Calculation'!$D$17="Type 4 a",MAX(SA,H29,1.05*Q29),IF('Pre-Calculation'!$D$17="Type 4 c",H29,IF('Pre-Calculation'!$D$17="Type 4 d",SA+H29,IF('Pre-Calculation'!$D$17="Type 4 e",MAX(SA,H29),IF('Pre-Calculation'!$D$17="Type 4 f",SA,IF('Pre-Calculation'!$D$17="Type 4 g",1000+H29,IF('Pre-Calculation'!$D$17="Type 4 h",SA+X29,IF('Pre-Calculation'!$D$17="Type 4 i",MAX(H29,Q29),IF('Pre-Calculation'!$D$17="Type 4 k",MAX(H29,1.01*Q29),IF('Pre-Calculation'!$D$17="Type 4 m",MAX(105%*Q29,SA+H29),IF('Pre-Calculation'!$D$17="Type 4 o",MAX(SA,105%*Q29)+X29+Z29,IF('Pre-Calculation'!$D$17="Type 5",0))))))))))))</f>
        <v>1000000</v>
      </c>
      <c r="L29" s="175">
        <f>H29-I29*(1+Tax)</f>
        <v>191878.0599</v>
      </c>
      <c r="M29" s="175">
        <f>L29*(1+GROWTH_RATE_H)*(1-FMC*(1+Tax))</f>
        <v>192856.3916</v>
      </c>
      <c r="N29" s="175">
        <f>M29+IF(MOD(A29,B29)=0,VLOOKUP(B29,'Pre-Calculation'!$H$1:$L$31,5,FALSE),0)*IF('Pre-Calculation'!$D$16="% OF FV",M29,IF(OR('Pre-Calculation'!$D$16="% OF AFV(24M)",'Pre-Calculation'!$D$16="% OF AFV(8Q)"),AVERAGE( $M$7:$M29),IF('Pre-Calculation'!$D$16="% OF AFV(12M)",AVERAGE($M18:M29),IF('Pre-Calculation'!$D$16="% OF AFV(36M)",AVERAGE($M$7:M29)))))</f>
        <v>192856.3916</v>
      </c>
      <c r="O29" s="175">
        <f t="shared" si="4"/>
        <v>192856.3916</v>
      </c>
      <c r="P29" s="175">
        <f>IF('Pre-Calculation'!$D$17="Type 4 a",MAX(SA,N29,1.05*Q29),IF('Pre-Calculation'!$D$17="Type 4 c",N29,IF('Pre-Calculation'!$D$17="Type 4 d",SA+N29,IF('Pre-Calculation'!$D$17="Type 4 e",MAX(SA,N29),IF('Pre-Calculation'!$D$17="Type 4 f",SA,IF('Pre-Calculation'!$D$17="Type 4 g",1000+N29,IF('Pre-Calculation'!$D$17="Type 4 h",SA+X29,IF('Pre-Calculation'!$D$17="Type 4 i",MAX(N29,Q29),IF('Pre-Calculation'!$D$17="Type 4 k",MAX(N29,1.01*Q29),IF('Pre-Calculation'!$D$17="Type 4 m",MAX(105%*Q29,SA+N29),IF('Pre-Calculation'!$D$17="Type 4 o",MAX(SA,105%*Q29)+X29+Z29,IF('Pre-Calculation'!$D$17="Type 5",0))))))))))))</f>
        <v>1000000</v>
      </c>
      <c r="Q29" s="175">
        <f t="shared" si="5"/>
        <v>800000</v>
      </c>
      <c r="R29" s="119">
        <f>L29*(1+GROWTH_RATE)*FMC</f>
        <v>217.1335403</v>
      </c>
      <c r="S29" s="178">
        <f>S28*(1+'Pre-Calculation'!$E$27)</f>
        <v>694302.9765</v>
      </c>
      <c r="T29" s="175">
        <f>-E29+IF(A28=INPUT!$C$11*12,N29,0)</f>
        <v>0</v>
      </c>
      <c r="U29" s="175">
        <f t="shared" si="6"/>
        <v>215868.6667</v>
      </c>
      <c r="V29" s="175">
        <f>U29*(1+GROWTH_RATE_H)*(1-'Pre-Calculation'!$E$31)</f>
        <v>216895.7679</v>
      </c>
      <c r="W29" s="175">
        <f>-E29+IF(A28=INPUT!$C$11*12,V29,0)</f>
        <v>0</v>
      </c>
      <c r="X29" s="179">
        <f t="array" ref="X29">NPV('Pre-Calculation'!$E$20,$E30:E$246)</f>
        <v>631764.5656</v>
      </c>
      <c r="Y29" s="171">
        <f>10%*SA</f>
        <v>100000</v>
      </c>
      <c r="Z29" s="179">
        <f t="array" ref="Z29">NPV('Pre-Calculation'!$E$20,Y30:Y39)</f>
        <v>969592.8037</v>
      </c>
    </row>
    <row r="30" ht="15.75" customHeight="1">
      <c r="A30" s="171">
        <f t="shared" si="1"/>
        <v>24</v>
      </c>
      <c r="B30" s="171">
        <f t="shared" si="2"/>
        <v>2</v>
      </c>
      <c r="C30" s="176">
        <f>EDATE(RCD,A29)</f>
        <v>43250</v>
      </c>
      <c r="D30" s="171">
        <f>Age_At_Entry+'Cashflows_8% from Start'!B30-1</f>
        <v>36</v>
      </c>
      <c r="E30" s="175">
        <f>IF(AND(C30&lt;=Last_Prem,MOD(A29,Mode)=0),Mod_Prem,0)</f>
        <v>0</v>
      </c>
      <c r="F30" s="177">
        <f>E30*VLOOKUP(B30,'Pre-Calculation'!$H$1:$I$31,2,FALSE)</f>
        <v>0</v>
      </c>
      <c r="G30" s="177">
        <f>IF(B30&lt;PT+1,VLOOKUP(B30,'Pre-Calculation'!$H$1:$L$32,3,FALSE)+VLOOKUP(B30,'Pre-Calculation'!$H$1:$L$32,4,FALSE)*'Pre-Calculation'!$D$7,0)</f>
        <v>420</v>
      </c>
      <c r="H30" s="175">
        <f>(E30-(F30+G30)*(1+Tax)+N29)</f>
        <v>192360.7916</v>
      </c>
      <c r="I30" s="175">
        <f>IF(B30&lt;PT+1,VLOOKUP(D30,'Pre-Calculation'!$N$3:$P$79,IF(INPUT!$C$4="M",2,3),FALSE)*(J30/1000)*(1/12),0)</f>
        <v>91.39783709</v>
      </c>
      <c r="J30" s="175">
        <f t="shared" si="3"/>
        <v>807639.2084</v>
      </c>
      <c r="K30" s="175">
        <f>IF('Pre-Calculation'!$D$17="Type 4 a",MAX(SA,H30,1.05*Q30),IF('Pre-Calculation'!$D$17="Type 4 c",H30,IF('Pre-Calculation'!$D$17="Type 4 d",SA+H30,IF('Pre-Calculation'!$D$17="Type 4 e",MAX(SA,H30),IF('Pre-Calculation'!$D$17="Type 4 f",SA,IF('Pre-Calculation'!$D$17="Type 4 g",1000+H30,IF('Pre-Calculation'!$D$17="Type 4 h",SA+X30,IF('Pre-Calculation'!$D$17="Type 4 i",MAX(H30,Q30),IF('Pre-Calculation'!$D$17="Type 4 k",MAX(H30,1.01*Q30),IF('Pre-Calculation'!$D$17="Type 4 m",MAX(105%*Q30,SA+H30),IF('Pre-Calculation'!$D$17="Type 4 o",MAX(SA,105%*Q30)+X30+Z30,IF('Pre-Calculation'!$D$17="Type 5",0))))))))))))</f>
        <v>1000000</v>
      </c>
      <c r="L30" s="175">
        <f>H30-I30*(1+Tax)</f>
        <v>192252.9421</v>
      </c>
      <c r="M30" s="175">
        <f>L30*(1+GROWTH_RATE_H)*(1-FMC*(1+Tax))</f>
        <v>193233.1852</v>
      </c>
      <c r="N30" s="175">
        <f>M30+IF(MOD(A30,B30)=0,VLOOKUP(B30,'Pre-Calculation'!$H$1:$L$31,5,FALSE),0)*IF('Pre-Calculation'!$D$16="% OF FV",M30,IF(OR('Pre-Calculation'!$D$16="% OF AFV(24M)",'Pre-Calculation'!$D$16="% OF AFV(8Q)"),AVERAGE( $M7:$M30),IF('Pre-Calculation'!$D$16="% OF AFV(12M)",AVERAGE($M19:M30),IF('Pre-Calculation'!$D$16="% OF AFV(36M)",AVERAGE($M$7:M30)))))</f>
        <v>193233.1852</v>
      </c>
      <c r="O30" s="175">
        <f t="shared" si="4"/>
        <v>193233.1852</v>
      </c>
      <c r="P30" s="175">
        <f>IF('Pre-Calculation'!$D$17="Type 4 a",MAX(SA,N30,1.05*Q30),IF('Pre-Calculation'!$D$17="Type 4 c",N30,IF('Pre-Calculation'!$D$17="Type 4 d",SA+N30,IF('Pre-Calculation'!$D$17="Type 4 e",MAX(SA,N30),IF('Pre-Calculation'!$D$17="Type 4 f",SA,IF('Pre-Calculation'!$D$17="Type 4 g",1000+N30,IF('Pre-Calculation'!$D$17="Type 4 h",SA+X30,IF('Pre-Calculation'!$D$17="Type 4 i",MAX(N30,Q30),IF('Pre-Calculation'!$D$17="Type 4 k",MAX(N30,1.01*Q30),IF('Pre-Calculation'!$D$17="Type 4 m",MAX(105%*Q30,SA+N30),IF('Pre-Calculation'!$D$17="Type 4 o",MAX(SA,105%*Q30)+X30+Z30,IF('Pre-Calculation'!$D$17="Type 5",0))))))))))))</f>
        <v>1000000</v>
      </c>
      <c r="Q30" s="175">
        <f t="shared" si="5"/>
        <v>800000</v>
      </c>
      <c r="R30" s="119">
        <f>L30*(1+GROWTH_RATE)*FMC</f>
        <v>217.5577654</v>
      </c>
      <c r="S30" s="178">
        <f>S29*(1+'Pre-Calculation'!$E$27)</f>
        <v>696296.25</v>
      </c>
      <c r="T30" s="175">
        <f>-E30+IF(A29=INPUT!$C$11*12,N30,0)</f>
        <v>0</v>
      </c>
      <c r="U30" s="175">
        <f t="shared" si="6"/>
        <v>216895.7679</v>
      </c>
      <c r="V30" s="175">
        <f>U30*(1+GROWTH_RATE_H)*(1-'Pre-Calculation'!$E$31)</f>
        <v>217927.7561</v>
      </c>
      <c r="W30" s="175">
        <f>-E30+IF(A29=INPUT!$C$11*12,V30,0)</f>
        <v>0</v>
      </c>
      <c r="X30" s="179">
        <f t="array" ref="X30">NPV('Pre-Calculation'!$E$20,$E31:E$246)</f>
        <v>635336.6544</v>
      </c>
      <c r="Y30" s="171">
        <f>10%*SA</f>
        <v>100000</v>
      </c>
      <c r="Z30" s="179">
        <f t="array" ref="Z30">NPV('Pre-Calculation'!$E$20,Y31:Y40)</f>
        <v>969592.8037</v>
      </c>
    </row>
    <row r="31" ht="15.75" customHeight="1">
      <c r="A31" s="171">
        <f t="shared" si="1"/>
        <v>25</v>
      </c>
      <c r="B31" s="171">
        <f t="shared" si="2"/>
        <v>3</v>
      </c>
      <c r="C31" s="176">
        <f>EDATE(RCD,A30)</f>
        <v>43281</v>
      </c>
      <c r="D31" s="171">
        <f>Age_At_Entry+'Cashflows_8% from Start'!B31-1</f>
        <v>37</v>
      </c>
      <c r="E31" s="175">
        <f>IF(AND(C31&lt;=Last_Prem,MOD(A30,Mode)=0),Mod_Prem,0)</f>
        <v>100000</v>
      </c>
      <c r="F31" s="177">
        <f>E31*VLOOKUP(B31,'Pre-Calculation'!$H$1:$I$31,2,FALSE)</f>
        <v>0</v>
      </c>
      <c r="G31" s="177">
        <f>IF(B31&lt;PT+1,VLOOKUP(B31,'Pre-Calculation'!$H$1:$L$32,3,FALSE)+VLOOKUP(B31,'Pre-Calculation'!$H$1:$L$32,4,FALSE)*'Pre-Calculation'!$D$7,0)</f>
        <v>420</v>
      </c>
      <c r="H31" s="175">
        <f>(E31-(F31+G31)*(1+Tax)+N30)</f>
        <v>292737.5852</v>
      </c>
      <c r="I31" s="175">
        <f>IF(B31&lt;PT+1,VLOOKUP(D31,'Pre-Calculation'!$N$3:$P$79,IF(INPUT!$C$4="M",2,3),FALSE)*(J31/1000)*(1/12),0)</f>
        <v>85.25459025</v>
      </c>
      <c r="J31" s="175">
        <f t="shared" si="3"/>
        <v>707262.4148</v>
      </c>
      <c r="K31" s="175">
        <f>IF('Pre-Calculation'!$D$17="Type 4 a",MAX(SA,H31,1.05*Q31),IF('Pre-Calculation'!$D$17="Type 4 c",H31,IF('Pre-Calculation'!$D$17="Type 4 d",SA+H31,IF('Pre-Calculation'!$D$17="Type 4 e",MAX(SA,H31),IF('Pre-Calculation'!$D$17="Type 4 f",SA,IF('Pre-Calculation'!$D$17="Type 4 g",1000+H31,IF('Pre-Calculation'!$D$17="Type 4 h",SA+X31,IF('Pre-Calculation'!$D$17="Type 4 i",MAX(H31,Q31),IF('Pre-Calculation'!$D$17="Type 4 k",MAX(H31,1.01*Q31),IF('Pre-Calculation'!$D$17="Type 4 m",MAX(105%*Q31,SA+H31),IF('Pre-Calculation'!$D$17="Type 4 o",MAX(SA,105%*Q31)+X31+Z31,IF('Pre-Calculation'!$D$17="Type 5",0))))))))))))</f>
        <v>1000000</v>
      </c>
      <c r="L31" s="175">
        <f>H31-I31*(1+Tax)</f>
        <v>292636.9848</v>
      </c>
      <c r="M31" s="175">
        <f>L31*(1+GROWTH_RATE_H)*(1-FMC*(1+Tax))</f>
        <v>294129.0575</v>
      </c>
      <c r="N31" s="175">
        <f>M31+IF(MOD(A31,B31)=0,VLOOKUP(B31,'Pre-Calculation'!$H$1:$L$31,5,FALSE),0)*IF('Pre-Calculation'!$D$16="% OF FV",M31,IF(OR('Pre-Calculation'!$D$16="% OF AFV(24M)",'Pre-Calculation'!$D$16="% OF AFV(8Q)"),AVERAGE( $M8:$M31),IF('Pre-Calculation'!$D$16="% OF AFV(12M)",AVERAGE($M20:M31),IF('Pre-Calculation'!$D$16="% OF AFV(36M)",AVERAGE($M$7:M31)))))</f>
        <v>294129.0575</v>
      </c>
      <c r="O31" s="175">
        <f t="shared" si="4"/>
        <v>294129.0575</v>
      </c>
      <c r="P31" s="175">
        <f>IF('Pre-Calculation'!$D$17="Type 4 a",MAX(SA,N31,1.05*Q31),IF('Pre-Calculation'!$D$17="Type 4 c",N31,IF('Pre-Calculation'!$D$17="Type 4 d",SA+N31,IF('Pre-Calculation'!$D$17="Type 4 e",MAX(SA,N31),IF('Pre-Calculation'!$D$17="Type 4 f",SA,IF('Pre-Calculation'!$D$17="Type 4 g",1000+N31,IF('Pre-Calculation'!$D$17="Type 4 h",SA+X31,IF('Pre-Calculation'!$D$17="Type 4 i",MAX(N31,Q31),IF('Pre-Calculation'!$D$17="Type 4 k",MAX(N31,1.01*Q31),IF('Pre-Calculation'!$D$17="Type 4 m",MAX(105%*Q31,SA+N31),IF('Pre-Calculation'!$D$17="Type 4 o",MAX(SA,105%*Q31)+X31+Z31,IF('Pre-Calculation'!$D$17="Type 5",0))))))))))))</f>
        <v>1000000</v>
      </c>
      <c r="Q31" s="175">
        <f t="shared" si="5"/>
        <v>900000</v>
      </c>
      <c r="R31" s="119">
        <f>L31*(1+GROWTH_RATE)*FMC</f>
        <v>331.1546122</v>
      </c>
      <c r="S31" s="178">
        <f>S30*(1+'Pre-Calculation'!$E$27)</f>
        <v>698295.246</v>
      </c>
      <c r="T31" s="175">
        <f>-E31+IF(A30=INPUT!$C$11*12,N31,0)</f>
        <v>-100000</v>
      </c>
      <c r="U31" s="175">
        <f t="shared" si="6"/>
        <v>317927.7561</v>
      </c>
      <c r="V31" s="175">
        <f>U31*(1+GROWTH_RATE_H)*(1-'Pre-Calculation'!$E$31)</f>
        <v>319440.4535</v>
      </c>
      <c r="W31" s="175">
        <f>-E31+IF(A30=INPUT!$C$11*12,V31,0)</f>
        <v>-100000</v>
      </c>
      <c r="X31" s="179">
        <f t="array" ref="X31">NPV('Pre-Calculation'!$E$20,$E32:E$246)</f>
        <v>538928.9402</v>
      </c>
      <c r="Y31" s="171">
        <f>10%*SA</f>
        <v>100000</v>
      </c>
      <c r="Z31" s="179">
        <f t="array" ref="Z31">NPV('Pre-Calculation'!$E$20,Y32:Y41)</f>
        <v>969592.8037</v>
      </c>
    </row>
    <row r="32" ht="15.75" customHeight="1">
      <c r="A32" s="171">
        <f t="shared" si="1"/>
        <v>26</v>
      </c>
      <c r="B32" s="171">
        <f t="shared" si="2"/>
        <v>3</v>
      </c>
      <c r="C32" s="176">
        <f>EDATE(RCD,A31)</f>
        <v>43311</v>
      </c>
      <c r="D32" s="171">
        <f>Age_At_Entry+'Cashflows_8% from Start'!B32-1</f>
        <v>37</v>
      </c>
      <c r="E32" s="175">
        <f>IF(AND(C32&lt;=Last_Prem,MOD(A31,Mode)=0),Mod_Prem,0)</f>
        <v>0</v>
      </c>
      <c r="F32" s="177">
        <f>E32*VLOOKUP(B32,'Pre-Calculation'!$H$1:$I$31,2,FALSE)</f>
        <v>0</v>
      </c>
      <c r="G32" s="177">
        <f>IF(B32&lt;PT+1,VLOOKUP(B32,'Pre-Calculation'!$H$1:$L$32,3,FALSE)+VLOOKUP(B32,'Pre-Calculation'!$H$1:$L$32,4,FALSE)*'Pre-Calculation'!$D$7,0)</f>
        <v>420</v>
      </c>
      <c r="H32" s="175">
        <f>(E32-(F32+G32)*(1+Tax)+N31)</f>
        <v>293633.4575</v>
      </c>
      <c r="I32" s="175">
        <f>IF(B32&lt;PT+1,VLOOKUP(D32,'Pre-Calculation'!$N$3:$P$79,IF(INPUT!$C$4="M",2,3),FALSE)*(J32/1000)*(1/12),0)</f>
        <v>85.14660031</v>
      </c>
      <c r="J32" s="175">
        <f t="shared" si="3"/>
        <v>706366.5425</v>
      </c>
      <c r="K32" s="175">
        <f>IF('Pre-Calculation'!$D$17="Type 4 a",MAX(SA,H32,1.05*Q32),IF('Pre-Calculation'!$D$17="Type 4 c",H32,IF('Pre-Calculation'!$D$17="Type 4 d",SA+H32,IF('Pre-Calculation'!$D$17="Type 4 e",MAX(SA,H32),IF('Pre-Calculation'!$D$17="Type 4 f",SA,IF('Pre-Calculation'!$D$17="Type 4 g",1000+H32,IF('Pre-Calculation'!$D$17="Type 4 h",SA+X32,IF('Pre-Calculation'!$D$17="Type 4 i",MAX(H32,Q32),IF('Pre-Calculation'!$D$17="Type 4 k",MAX(H32,1.01*Q32),IF('Pre-Calculation'!$D$17="Type 4 m",MAX(105%*Q32,SA+H32),IF('Pre-Calculation'!$D$17="Type 4 o",MAX(SA,105%*Q32)+X32+Z32,IF('Pre-Calculation'!$D$17="Type 5",0))))))))))))</f>
        <v>1000000</v>
      </c>
      <c r="L32" s="175">
        <f>H32-I32*(1+Tax)</f>
        <v>293532.9845</v>
      </c>
      <c r="M32" s="175">
        <f>L32*(1+GROWTH_RATE_H)*(1-FMC*(1+Tax))</f>
        <v>295029.6257</v>
      </c>
      <c r="N32" s="175">
        <f>M32+IF(MOD(A32,B32)=0,VLOOKUP(B32,'Pre-Calculation'!$H$1:$L$31,5,FALSE),0)*IF('Pre-Calculation'!$D$16="% OF FV",M32,IF(OR('Pre-Calculation'!$D$16="% OF AFV(24M)",'Pre-Calculation'!$D$16="% OF AFV(8Q)"),AVERAGE( $M9:$M32),IF('Pre-Calculation'!$D$16="% OF AFV(12M)",AVERAGE($M21:M32),IF('Pre-Calculation'!$D$16="% OF AFV(36M)",AVERAGE($M$7:M32)))))</f>
        <v>295029.6257</v>
      </c>
      <c r="O32" s="175">
        <f t="shared" si="4"/>
        <v>295029.6257</v>
      </c>
      <c r="P32" s="175">
        <f>IF('Pre-Calculation'!$D$17="Type 4 a",MAX(SA,N32,1.05*Q32),IF('Pre-Calculation'!$D$17="Type 4 c",N32,IF('Pre-Calculation'!$D$17="Type 4 d",SA+N32,IF('Pre-Calculation'!$D$17="Type 4 e",MAX(SA,N32),IF('Pre-Calculation'!$D$17="Type 4 f",SA,IF('Pre-Calculation'!$D$17="Type 4 g",1000+N32,IF('Pre-Calculation'!$D$17="Type 4 h",SA+X32,IF('Pre-Calculation'!$D$17="Type 4 i",MAX(N32,Q32),IF('Pre-Calculation'!$D$17="Type 4 k",MAX(N32,1.01*Q32),IF('Pre-Calculation'!$D$17="Type 4 m",MAX(105%*Q32,SA+N32),IF('Pre-Calculation'!$D$17="Type 4 o",MAX(SA,105%*Q32)+X32+Z32,IF('Pre-Calculation'!$D$17="Type 5",0))))))))))))</f>
        <v>1000000</v>
      </c>
      <c r="Q32" s="175">
        <f t="shared" si="5"/>
        <v>900000</v>
      </c>
      <c r="R32" s="119">
        <f>L32*(1+GROWTH_RATE)*FMC</f>
        <v>332.1685457</v>
      </c>
      <c r="S32" s="178">
        <f>S31*(1+'Pre-Calculation'!$E$27)</f>
        <v>700299.9809</v>
      </c>
      <c r="T32" s="175">
        <f>-E32+IF(A31=INPUT!$C$11*12,N32,0)</f>
        <v>0</v>
      </c>
      <c r="U32" s="175">
        <f t="shared" si="6"/>
        <v>319440.4535</v>
      </c>
      <c r="V32" s="175">
        <f>U32*(1+GROWTH_RATE_H)*(1-'Pre-Calculation'!$E$31)</f>
        <v>320960.3484</v>
      </c>
      <c r="W32" s="175">
        <f>-E32+IF(A31=INPUT!$C$11*12,V32,0)</f>
        <v>0</v>
      </c>
      <c r="X32" s="179">
        <f t="array" ref="X32">NPV('Pre-Calculation'!$E$20,$E33:E$246)</f>
        <v>541976.1227</v>
      </c>
      <c r="Y32" s="171">
        <f>10%*SA</f>
        <v>100000</v>
      </c>
      <c r="Z32" s="179">
        <f t="array" ref="Z32">NPV('Pre-Calculation'!$E$20,Y33:Y42)</f>
        <v>969592.8037</v>
      </c>
    </row>
    <row r="33" ht="15.75" customHeight="1">
      <c r="A33" s="171">
        <f t="shared" si="1"/>
        <v>27</v>
      </c>
      <c r="B33" s="171">
        <f t="shared" si="2"/>
        <v>3</v>
      </c>
      <c r="C33" s="176">
        <f>EDATE(RCD,A32)</f>
        <v>43342</v>
      </c>
      <c r="D33" s="171">
        <f>Age_At_Entry+'Cashflows_8% from Start'!B33-1</f>
        <v>37</v>
      </c>
      <c r="E33" s="175">
        <f>IF(AND(C33&lt;=Last_Prem,MOD(A32,Mode)=0),Mod_Prem,0)</f>
        <v>0</v>
      </c>
      <c r="F33" s="177">
        <f>E33*VLOOKUP(B33,'Pre-Calculation'!$H$1:$I$31,2,FALSE)</f>
        <v>0</v>
      </c>
      <c r="G33" s="177">
        <f>IF(B33&lt;PT+1,VLOOKUP(B33,'Pre-Calculation'!$H$1:$L$32,3,FALSE)+VLOOKUP(B33,'Pre-Calculation'!$H$1:$L$32,4,FALSE)*'Pre-Calculation'!$D$7,0)</f>
        <v>420</v>
      </c>
      <c r="H33" s="175">
        <f>(E33-(F33+G33)*(1+Tax)+N32)</f>
        <v>294534.0257</v>
      </c>
      <c r="I33" s="175">
        <f>IF(B33&lt;PT+1,VLOOKUP(D33,'Pre-Calculation'!$N$3:$P$79,IF(INPUT!$C$4="M",2,3),FALSE)*(J33/1000)*(1/12),0)</f>
        <v>85.03804432</v>
      </c>
      <c r="J33" s="175">
        <f t="shared" si="3"/>
        <v>705465.9743</v>
      </c>
      <c r="K33" s="175">
        <f>IF('Pre-Calculation'!$D$17="Type 4 a",MAX(SA,H33,1.05*Q33),IF('Pre-Calculation'!$D$17="Type 4 c",H33,IF('Pre-Calculation'!$D$17="Type 4 d",SA+H33,IF('Pre-Calculation'!$D$17="Type 4 e",MAX(SA,H33),IF('Pre-Calculation'!$D$17="Type 4 f",SA,IF('Pre-Calculation'!$D$17="Type 4 g",1000+H33,IF('Pre-Calculation'!$D$17="Type 4 h",SA+X33,IF('Pre-Calculation'!$D$17="Type 4 i",MAX(H33,Q33),IF('Pre-Calculation'!$D$17="Type 4 k",MAX(H33,1.01*Q33),IF('Pre-Calculation'!$D$17="Type 4 m",MAX(105%*Q33,SA+H33),IF('Pre-Calculation'!$D$17="Type 4 o",MAX(SA,105%*Q33)+X33+Z33,IF('Pre-Calculation'!$D$17="Type 5",0))))))))))))</f>
        <v>1000000</v>
      </c>
      <c r="L33" s="175">
        <f>H33-I33*(1+Tax)</f>
        <v>294433.6808</v>
      </c>
      <c r="M33" s="175">
        <f>L33*(1+GROWTH_RATE_H)*(1-FMC*(1+Tax))</f>
        <v>295934.9144</v>
      </c>
      <c r="N33" s="175">
        <f>M33+IF(MOD(A33,B33)=0,VLOOKUP(B33,'Pre-Calculation'!$H$1:$L$31,5,FALSE),0)*IF('Pre-Calculation'!$D$16="% OF FV",M33,IF(OR('Pre-Calculation'!$D$16="% OF AFV(24M)",'Pre-Calculation'!$D$16="% OF AFV(8Q)"),AVERAGE( $M10:$M33),IF('Pre-Calculation'!$D$16="% OF AFV(12M)",AVERAGE($M22:M33),IF('Pre-Calculation'!$D$16="% OF AFV(36M)",AVERAGE($M$7:M33)))))</f>
        <v>295934.9144</v>
      </c>
      <c r="O33" s="175">
        <f t="shared" si="4"/>
        <v>295934.9144</v>
      </c>
      <c r="P33" s="175">
        <f>IF('Pre-Calculation'!$D$17="Type 4 a",MAX(SA,N33,1.05*Q33),IF('Pre-Calculation'!$D$17="Type 4 c",N33,IF('Pre-Calculation'!$D$17="Type 4 d",SA+N33,IF('Pre-Calculation'!$D$17="Type 4 e",MAX(SA,N33),IF('Pre-Calculation'!$D$17="Type 4 f",SA,IF('Pre-Calculation'!$D$17="Type 4 g",1000+N33,IF('Pre-Calculation'!$D$17="Type 4 h",SA+X33,IF('Pre-Calculation'!$D$17="Type 4 i",MAX(N33,Q33),IF('Pre-Calculation'!$D$17="Type 4 k",MAX(N33,1.01*Q33),IF('Pre-Calculation'!$D$17="Type 4 m",MAX(105%*Q33,SA+N33),IF('Pre-Calculation'!$D$17="Type 4 o",MAX(SA,105%*Q33)+X33+Z33,IF('Pre-Calculation'!$D$17="Type 5",0))))))))))))</f>
        <v>1000000</v>
      </c>
      <c r="Q33" s="175">
        <f t="shared" si="5"/>
        <v>900000</v>
      </c>
      <c r="R33" s="119">
        <f>L33*(1+GROWTH_RATE)*FMC</f>
        <v>333.1877939</v>
      </c>
      <c r="S33" s="178">
        <f>S32*(1+'Pre-Calculation'!$E$27)</f>
        <v>702310.4713</v>
      </c>
      <c r="T33" s="175">
        <f>-E33+IF(A32=INPUT!$C$11*12,N33,0)</f>
        <v>0</v>
      </c>
      <c r="U33" s="175">
        <f t="shared" si="6"/>
        <v>320960.3484</v>
      </c>
      <c r="V33" s="175">
        <f>U33*(1+GROWTH_RATE_H)*(1-'Pre-Calculation'!$E$31)</f>
        <v>322487.4749</v>
      </c>
      <c r="W33" s="175">
        <f>-E33+IF(A32=INPUT!$C$11*12,V33,0)</f>
        <v>0</v>
      </c>
      <c r="X33" s="179">
        <f t="array" ref="X33">NPV('Pre-Calculation'!$E$20,$E34:E$246)</f>
        <v>545040.5345</v>
      </c>
      <c r="Y33" s="171">
        <f>10%*SA</f>
        <v>100000</v>
      </c>
      <c r="Z33" s="179">
        <f t="array" ref="Z33">NPV('Pre-Calculation'!$E$20,Y34:Y43)</f>
        <v>969592.8037</v>
      </c>
    </row>
    <row r="34" ht="15.75" customHeight="1">
      <c r="A34" s="171">
        <f t="shared" si="1"/>
        <v>28</v>
      </c>
      <c r="B34" s="171">
        <f t="shared" si="2"/>
        <v>3</v>
      </c>
      <c r="C34" s="176">
        <f>EDATE(RCD,A33)</f>
        <v>43373</v>
      </c>
      <c r="D34" s="171">
        <f>Age_At_Entry+'Cashflows_8% from Start'!B34-1</f>
        <v>37</v>
      </c>
      <c r="E34" s="175">
        <f>IF(AND(C34&lt;=Last_Prem,MOD(A33,Mode)=0),Mod_Prem,0)</f>
        <v>0</v>
      </c>
      <c r="F34" s="177">
        <f>E34*VLOOKUP(B34,'Pre-Calculation'!$H$1:$I$31,2,FALSE)</f>
        <v>0</v>
      </c>
      <c r="G34" s="177">
        <f>IF(B34&lt;PT+1,VLOOKUP(B34,'Pre-Calculation'!$H$1:$L$32,3,FALSE)+VLOOKUP(B34,'Pre-Calculation'!$H$1:$L$32,4,FALSE)*'Pre-Calculation'!$D$7,0)</f>
        <v>420</v>
      </c>
      <c r="H34" s="175">
        <f>(E34-(F34+G34)*(1+Tax)+N33)</f>
        <v>295439.3144</v>
      </c>
      <c r="I34" s="175">
        <f>IF(B34&lt;PT+1,VLOOKUP(D34,'Pre-Calculation'!$N$3:$P$79,IF(INPUT!$C$4="M",2,3),FALSE)*(J34/1000)*(1/12),0)</f>
        <v>84.92891932</v>
      </c>
      <c r="J34" s="175">
        <f t="shared" si="3"/>
        <v>704560.6856</v>
      </c>
      <c r="K34" s="175">
        <f>IF('Pre-Calculation'!$D$17="Type 4 a",MAX(SA,H34,1.05*Q34),IF('Pre-Calculation'!$D$17="Type 4 c",H34,IF('Pre-Calculation'!$D$17="Type 4 d",SA+H34,IF('Pre-Calculation'!$D$17="Type 4 e",MAX(SA,H34),IF('Pre-Calculation'!$D$17="Type 4 f",SA,IF('Pre-Calculation'!$D$17="Type 4 g",1000+H34,IF('Pre-Calculation'!$D$17="Type 4 h",SA+X34,IF('Pre-Calculation'!$D$17="Type 4 i",MAX(H34,Q34),IF('Pre-Calculation'!$D$17="Type 4 k",MAX(H34,1.01*Q34),IF('Pre-Calculation'!$D$17="Type 4 m",MAX(105%*Q34,SA+H34),IF('Pre-Calculation'!$D$17="Type 4 o",MAX(SA,105%*Q34)+X34+Z34,IF('Pre-Calculation'!$D$17="Type 5",0))))))))))))</f>
        <v>1000000</v>
      </c>
      <c r="L34" s="175">
        <f>H34-I34*(1+Tax)</f>
        <v>295339.0982</v>
      </c>
      <c r="M34" s="175">
        <f>L34*(1+GROWTH_RATE_H)*(1-FMC*(1+Tax))</f>
        <v>296844.9483</v>
      </c>
      <c r="N34" s="175">
        <f>M34+IF(MOD(A34,B34)=0,VLOOKUP(B34,'Pre-Calculation'!$H$1:$L$31,5,FALSE),0)*IF('Pre-Calculation'!$D$16="% OF FV",M34,IF(OR('Pre-Calculation'!$D$16="% OF AFV(24M)",'Pre-Calculation'!$D$16="% OF AFV(8Q)"),AVERAGE( $M11:$M34),IF('Pre-Calculation'!$D$16="% OF AFV(12M)",AVERAGE($M23:M34),IF('Pre-Calculation'!$D$16="% OF AFV(36M)",AVERAGE($M$7:M34)))))</f>
        <v>296844.9483</v>
      </c>
      <c r="O34" s="175">
        <f t="shared" si="4"/>
        <v>296844.9483</v>
      </c>
      <c r="P34" s="175">
        <f>IF('Pre-Calculation'!$D$17="Type 4 a",MAX(SA,N34,1.05*Q34),IF('Pre-Calculation'!$D$17="Type 4 c",N34,IF('Pre-Calculation'!$D$17="Type 4 d",SA+N34,IF('Pre-Calculation'!$D$17="Type 4 e",MAX(SA,N34),IF('Pre-Calculation'!$D$17="Type 4 f",SA,IF('Pre-Calculation'!$D$17="Type 4 g",1000+N34,IF('Pre-Calculation'!$D$17="Type 4 h",SA+X34,IF('Pre-Calculation'!$D$17="Type 4 i",MAX(N34,Q34),IF('Pre-Calculation'!$D$17="Type 4 k",MAX(N34,1.01*Q34),IF('Pre-Calculation'!$D$17="Type 4 m",MAX(105%*Q34,SA+N34),IF('Pre-Calculation'!$D$17="Type 4 o",MAX(SA,105%*Q34)+X34+Z34,IF('Pre-Calculation'!$D$17="Type 5",0))))))))))))</f>
        <v>1000000</v>
      </c>
      <c r="Q34" s="175">
        <f t="shared" si="5"/>
        <v>900000</v>
      </c>
      <c r="R34" s="119">
        <f>L34*(1+GROWTH_RATE)*FMC</f>
        <v>334.2123847</v>
      </c>
      <c r="S34" s="178">
        <f>S33*(1+'Pre-Calculation'!$E$27)</f>
        <v>704326.7335</v>
      </c>
      <c r="T34" s="175">
        <f>-E34+IF(A33=INPUT!$C$11*12,N34,0)</f>
        <v>0</v>
      </c>
      <c r="U34" s="175">
        <f t="shared" si="6"/>
        <v>322487.4749</v>
      </c>
      <c r="V34" s="175">
        <f>U34*(1+GROWTH_RATE_H)*(1-'Pre-Calculation'!$E$31)</f>
        <v>324021.8675</v>
      </c>
      <c r="W34" s="175">
        <f>-E34+IF(A33=INPUT!$C$11*12,V34,0)</f>
        <v>0</v>
      </c>
      <c r="X34" s="179">
        <f t="array" ref="X34">NPV('Pre-Calculation'!$E$20,$E35:E$246)</f>
        <v>548122.273</v>
      </c>
      <c r="Y34" s="171">
        <f>10%*SA</f>
        <v>100000</v>
      </c>
      <c r="Z34" s="179">
        <f t="array" ref="Z34">NPV('Pre-Calculation'!$E$20,Y35:Y44)</f>
        <v>969592.8037</v>
      </c>
    </row>
    <row r="35" ht="15.75" customHeight="1">
      <c r="A35" s="171">
        <f t="shared" si="1"/>
        <v>29</v>
      </c>
      <c r="B35" s="171">
        <f t="shared" si="2"/>
        <v>3</v>
      </c>
      <c r="C35" s="176">
        <f>EDATE(RCD,A34)</f>
        <v>43403</v>
      </c>
      <c r="D35" s="171">
        <f>Age_At_Entry+'Cashflows_8% from Start'!B35-1</f>
        <v>37</v>
      </c>
      <c r="E35" s="175">
        <f>IF(AND(C35&lt;=Last_Prem,MOD(A34,Mode)=0),Mod_Prem,0)</f>
        <v>0</v>
      </c>
      <c r="F35" s="177">
        <f>E35*VLOOKUP(B35,'Pre-Calculation'!$H$1:$I$31,2,FALSE)</f>
        <v>0</v>
      </c>
      <c r="G35" s="177">
        <f>IF(B35&lt;PT+1,VLOOKUP(B35,'Pre-Calculation'!$H$1:$L$32,3,FALSE)+VLOOKUP(B35,'Pre-Calculation'!$H$1:$L$32,4,FALSE)*'Pre-Calculation'!$D$7,0)</f>
        <v>420</v>
      </c>
      <c r="H35" s="175">
        <f>(E35-(F35+G35)*(1+Tax)+N34)</f>
        <v>296349.3483</v>
      </c>
      <c r="I35" s="175">
        <f>IF(B35&lt;PT+1,VLOOKUP(D35,'Pre-Calculation'!$N$3:$P$79,IF(INPUT!$C$4="M",2,3),FALSE)*(J35/1000)*(1/12),0)</f>
        <v>84.81922231</v>
      </c>
      <c r="J35" s="175">
        <f t="shared" si="3"/>
        <v>703650.6517</v>
      </c>
      <c r="K35" s="175">
        <f>IF('Pre-Calculation'!$D$17="Type 4 a",MAX(SA,H35,1.05*Q35),IF('Pre-Calculation'!$D$17="Type 4 c",H35,IF('Pre-Calculation'!$D$17="Type 4 d",SA+H35,IF('Pre-Calculation'!$D$17="Type 4 e",MAX(SA,H35),IF('Pre-Calculation'!$D$17="Type 4 f",SA,IF('Pre-Calculation'!$D$17="Type 4 g",1000+H35,IF('Pre-Calculation'!$D$17="Type 4 h",SA+X35,IF('Pre-Calculation'!$D$17="Type 4 i",MAX(H35,Q35),IF('Pre-Calculation'!$D$17="Type 4 k",MAX(H35,1.01*Q35),IF('Pre-Calculation'!$D$17="Type 4 m",MAX(105%*Q35,SA+H35),IF('Pre-Calculation'!$D$17="Type 4 o",MAX(SA,105%*Q35)+X35+Z35,IF('Pre-Calculation'!$D$17="Type 5",0))))))))))))</f>
        <v>1000000</v>
      </c>
      <c r="L35" s="175">
        <f>H35-I35*(1+Tax)</f>
        <v>296249.2616</v>
      </c>
      <c r="M35" s="175">
        <f>L35*(1+GROWTH_RATE_H)*(1-FMC*(1+Tax))</f>
        <v>297759.7523</v>
      </c>
      <c r="N35" s="175">
        <f>M35+IF(MOD(A35,B35)=0,VLOOKUP(B35,'Pre-Calculation'!$H$1:$L$31,5,FALSE),0)*IF('Pre-Calculation'!$D$16="% OF FV",M35,IF(OR('Pre-Calculation'!$D$16="% OF AFV(24M)",'Pre-Calculation'!$D$16="% OF AFV(8Q)"),AVERAGE( $M12:$M35),IF('Pre-Calculation'!$D$16="% OF AFV(12M)",AVERAGE($M24:M35),IF('Pre-Calculation'!$D$16="% OF AFV(36M)",AVERAGE($M$7:M35)))))</f>
        <v>297759.7523</v>
      </c>
      <c r="O35" s="175">
        <f t="shared" si="4"/>
        <v>297759.7523</v>
      </c>
      <c r="P35" s="175">
        <f>IF('Pre-Calculation'!$D$17="Type 4 a",MAX(SA,N35,1.05*Q35),IF('Pre-Calculation'!$D$17="Type 4 c",N35,IF('Pre-Calculation'!$D$17="Type 4 d",SA+N35,IF('Pre-Calculation'!$D$17="Type 4 e",MAX(SA,N35),IF('Pre-Calculation'!$D$17="Type 4 f",SA,IF('Pre-Calculation'!$D$17="Type 4 g",1000+N35,IF('Pre-Calculation'!$D$17="Type 4 h",SA+X35,IF('Pre-Calculation'!$D$17="Type 4 i",MAX(N35,Q35),IF('Pre-Calculation'!$D$17="Type 4 k",MAX(N35,1.01*Q35),IF('Pre-Calculation'!$D$17="Type 4 m",MAX(105%*Q35,SA+N35),IF('Pre-Calculation'!$D$17="Type 4 o",MAX(SA,105%*Q35)+X35+Z35,IF('Pre-Calculation'!$D$17="Type 5",0))))))))))))</f>
        <v>1000000</v>
      </c>
      <c r="Q35" s="175">
        <f t="shared" si="5"/>
        <v>900000</v>
      </c>
      <c r="R35" s="119">
        <f>L35*(1+GROWTH_RATE)*FMC</f>
        <v>335.2423461</v>
      </c>
      <c r="S35" s="178">
        <f>S34*(1+'Pre-Calculation'!$E$27)</f>
        <v>706348.7842</v>
      </c>
      <c r="T35" s="175">
        <f>-E35+IF(A34=INPUT!$C$11*12,N35,0)</f>
        <v>0</v>
      </c>
      <c r="U35" s="175">
        <f t="shared" si="6"/>
        <v>324021.8675</v>
      </c>
      <c r="V35" s="175">
        <f>U35*(1+GROWTH_RATE_H)*(1-'Pre-Calculation'!$E$31)</f>
        <v>325563.5607</v>
      </c>
      <c r="W35" s="175">
        <f>-E35+IF(A34=INPUT!$C$11*12,V35,0)</f>
        <v>0</v>
      </c>
      <c r="X35" s="179">
        <f t="array" ref="X35">NPV('Pre-Calculation'!$E$20,$E36:E$246)</f>
        <v>551221.436</v>
      </c>
      <c r="Y35" s="171">
        <f>10%*SA</f>
        <v>100000</v>
      </c>
      <c r="Z35" s="179">
        <f t="array" ref="Z35">NPV('Pre-Calculation'!$E$20,Y36:Y45)</f>
        <v>969592.8037</v>
      </c>
    </row>
    <row r="36" ht="15.75" customHeight="1">
      <c r="A36" s="171">
        <f t="shared" si="1"/>
        <v>30</v>
      </c>
      <c r="B36" s="171">
        <f t="shared" si="2"/>
        <v>3</v>
      </c>
      <c r="C36" s="176">
        <f>EDATE(RCD,A35)</f>
        <v>43434</v>
      </c>
      <c r="D36" s="171">
        <f>Age_At_Entry+'Cashflows_8% from Start'!B36-1</f>
        <v>37</v>
      </c>
      <c r="E36" s="175">
        <f>IF(AND(C36&lt;=Last_Prem,MOD(A35,Mode)=0),Mod_Prem,0)</f>
        <v>0</v>
      </c>
      <c r="F36" s="177">
        <f>E36*VLOOKUP(B36,'Pre-Calculation'!$H$1:$I$31,2,FALSE)</f>
        <v>0</v>
      </c>
      <c r="G36" s="177">
        <f>IF(B36&lt;PT+1,VLOOKUP(B36,'Pre-Calculation'!$H$1:$L$32,3,FALSE)+VLOOKUP(B36,'Pre-Calculation'!$H$1:$L$32,4,FALSE)*'Pre-Calculation'!$D$7,0)</f>
        <v>420</v>
      </c>
      <c r="H36" s="175">
        <f>(E36-(F36+G36)*(1+Tax)+N35)</f>
        <v>297264.1523</v>
      </c>
      <c r="I36" s="175">
        <f>IF(B36&lt;PT+1,VLOOKUP(D36,'Pre-Calculation'!$N$3:$P$79,IF(INPUT!$C$4="M",2,3),FALSE)*(J36/1000)*(1/12),0)</f>
        <v>84.70895031</v>
      </c>
      <c r="J36" s="175">
        <f t="shared" si="3"/>
        <v>702735.8477</v>
      </c>
      <c r="K36" s="175">
        <f>IF('Pre-Calculation'!$D$17="Type 4 a",MAX(SA,H36,1.05*Q36),IF('Pre-Calculation'!$D$17="Type 4 c",H36,IF('Pre-Calculation'!$D$17="Type 4 d",SA+H36,IF('Pre-Calculation'!$D$17="Type 4 e",MAX(SA,H36),IF('Pre-Calculation'!$D$17="Type 4 f",SA,IF('Pre-Calculation'!$D$17="Type 4 g",1000+H36,IF('Pre-Calculation'!$D$17="Type 4 h",SA+X36,IF('Pre-Calculation'!$D$17="Type 4 i",MAX(H36,Q36),IF('Pre-Calculation'!$D$17="Type 4 k",MAX(H36,1.01*Q36),IF('Pre-Calculation'!$D$17="Type 4 m",MAX(105%*Q36,SA+H36),IF('Pre-Calculation'!$D$17="Type 4 o",MAX(SA,105%*Q36)+X36+Z36,IF('Pre-Calculation'!$D$17="Type 5",0))))))))))))</f>
        <v>1000000</v>
      </c>
      <c r="L36" s="175">
        <f>H36-I36*(1+Tax)</f>
        <v>297164.1957</v>
      </c>
      <c r="M36" s="175">
        <f>L36*(1+GROWTH_RATE_H)*(1-FMC*(1+Tax))</f>
        <v>298679.3514</v>
      </c>
      <c r="N36" s="175">
        <f>M36+IF(MOD(A36,B36)=0,VLOOKUP(B36,'Pre-Calculation'!$H$1:$L$31,5,FALSE),0)*IF('Pre-Calculation'!$D$16="% OF FV",M36,IF(OR('Pre-Calculation'!$D$16="% OF AFV(24M)",'Pre-Calculation'!$D$16="% OF AFV(8Q)"),AVERAGE( $M13:$M36),IF('Pre-Calculation'!$D$16="% OF AFV(12M)",AVERAGE($M25:M36),IF('Pre-Calculation'!$D$16="% OF AFV(36M)",AVERAGE($M$7:M36)))))</f>
        <v>298679.3514</v>
      </c>
      <c r="O36" s="175">
        <f t="shared" si="4"/>
        <v>298679.3514</v>
      </c>
      <c r="P36" s="175">
        <f>IF('Pre-Calculation'!$D$17="Type 4 a",MAX(SA,N36,1.05*Q36),IF('Pre-Calculation'!$D$17="Type 4 c",N36,IF('Pre-Calculation'!$D$17="Type 4 d",SA+N36,IF('Pre-Calculation'!$D$17="Type 4 e",MAX(SA,N36),IF('Pre-Calculation'!$D$17="Type 4 f",SA,IF('Pre-Calculation'!$D$17="Type 4 g",1000+N36,IF('Pre-Calculation'!$D$17="Type 4 h",SA+X36,IF('Pre-Calculation'!$D$17="Type 4 i",MAX(N36,Q36),IF('Pre-Calculation'!$D$17="Type 4 k",MAX(N36,1.01*Q36),IF('Pre-Calculation'!$D$17="Type 4 m",MAX(105%*Q36,SA+N36),IF('Pre-Calculation'!$D$17="Type 4 o",MAX(SA,105%*Q36)+X36+Z36,IF('Pre-Calculation'!$D$17="Type 5",0))))))))))))</f>
        <v>1000000</v>
      </c>
      <c r="Q36" s="175">
        <f t="shared" si="5"/>
        <v>900000</v>
      </c>
      <c r="R36" s="119">
        <f>L36*(1+GROWTH_RATE)*FMC</f>
        <v>336.2777062</v>
      </c>
      <c r="S36" s="178">
        <f>S35*(1+'Pre-Calculation'!$E$27)</f>
        <v>708376.64</v>
      </c>
      <c r="T36" s="175">
        <f>-E36+IF(A35=INPUT!$C$11*12,N36,0)</f>
        <v>0</v>
      </c>
      <c r="U36" s="175">
        <f t="shared" si="6"/>
        <v>325563.5607</v>
      </c>
      <c r="V36" s="175">
        <f>U36*(1+GROWTH_RATE_H)*(1-'Pre-Calculation'!$E$31)</f>
        <v>327112.5893</v>
      </c>
      <c r="W36" s="175">
        <f>-E36+IF(A35=INPUT!$C$11*12,V36,0)</f>
        <v>0</v>
      </c>
      <c r="X36" s="179">
        <f t="array" ref="X36">NPV('Pre-Calculation'!$E$20,$E37:E$246)</f>
        <v>554338.1221</v>
      </c>
      <c r="Y36" s="171">
        <f>10%*SA</f>
        <v>100000</v>
      </c>
      <c r="Z36" s="179">
        <f t="array" ref="Z36">NPV('Pre-Calculation'!$E$20,Y37:Y46)</f>
        <v>969592.8037</v>
      </c>
    </row>
    <row r="37" ht="15.75" customHeight="1">
      <c r="A37" s="171">
        <f t="shared" si="1"/>
        <v>31</v>
      </c>
      <c r="B37" s="171">
        <f t="shared" si="2"/>
        <v>3</v>
      </c>
      <c r="C37" s="176">
        <f>EDATE(RCD,A36)</f>
        <v>43464</v>
      </c>
      <c r="D37" s="171">
        <f>Age_At_Entry+'Cashflows_8% from Start'!B37-1</f>
        <v>37</v>
      </c>
      <c r="E37" s="175">
        <f>IF(AND(C37&lt;=Last_Prem,MOD(A36,Mode)=0),Mod_Prem,0)</f>
        <v>0</v>
      </c>
      <c r="F37" s="177">
        <f>E37*VLOOKUP(B37,'Pre-Calculation'!$H$1:$I$31,2,FALSE)</f>
        <v>0</v>
      </c>
      <c r="G37" s="177">
        <f>IF(B37&lt;PT+1,VLOOKUP(B37,'Pre-Calculation'!$H$1:$L$32,3,FALSE)+VLOOKUP(B37,'Pre-Calculation'!$H$1:$L$32,4,FALSE)*'Pre-Calculation'!$D$7,0)</f>
        <v>420</v>
      </c>
      <c r="H37" s="175">
        <f>(E37-(F37+G37)*(1+Tax)+N36)</f>
        <v>298183.7514</v>
      </c>
      <c r="I37" s="175">
        <f>IF(B37&lt;PT+1,VLOOKUP(D37,'Pre-Calculation'!$N$3:$P$79,IF(INPUT!$C$4="M",2,3),FALSE)*(J37/1000)*(1/12),0)</f>
        <v>84.5981003</v>
      </c>
      <c r="J37" s="175">
        <f t="shared" si="3"/>
        <v>701816.2486</v>
      </c>
      <c r="K37" s="175">
        <f>IF('Pre-Calculation'!$D$17="Type 4 a",MAX(SA,H37,1.05*Q37),IF('Pre-Calculation'!$D$17="Type 4 c",H37,IF('Pre-Calculation'!$D$17="Type 4 d",SA+H37,IF('Pre-Calculation'!$D$17="Type 4 e",MAX(SA,H37),IF('Pre-Calculation'!$D$17="Type 4 f",SA,IF('Pre-Calculation'!$D$17="Type 4 g",1000+H37,IF('Pre-Calculation'!$D$17="Type 4 h",SA+X37,IF('Pre-Calculation'!$D$17="Type 4 i",MAX(H37,Q37),IF('Pre-Calculation'!$D$17="Type 4 k",MAX(H37,1.01*Q37),IF('Pre-Calculation'!$D$17="Type 4 m",MAX(105%*Q37,SA+H37),IF('Pre-Calculation'!$D$17="Type 4 o",MAX(SA,105%*Q37)+X37+Z37,IF('Pre-Calculation'!$D$17="Type 5",0))))))))))))</f>
        <v>1000000</v>
      </c>
      <c r="L37" s="175">
        <f>H37-I37*(1+Tax)</f>
        <v>298083.9257</v>
      </c>
      <c r="M37" s="175">
        <f>L37*(1+GROWTH_RATE_H)*(1-FMC*(1+Tax))</f>
        <v>299603.7708</v>
      </c>
      <c r="N37" s="175">
        <f>M37+IF(MOD(A37,B37)=0,VLOOKUP(B37,'Pre-Calculation'!$H$1:$L$31,5,FALSE),0)*IF('Pre-Calculation'!$D$16="% OF FV",M37,IF(OR('Pre-Calculation'!$D$16="% OF AFV(24M)",'Pre-Calculation'!$D$16="% OF AFV(8Q)"),AVERAGE( $M14:$M37),IF('Pre-Calculation'!$D$16="% OF AFV(12M)",AVERAGE($M26:M37),IF('Pre-Calculation'!$D$16="% OF AFV(36M)",AVERAGE($M$7:M37)))))</f>
        <v>299603.7708</v>
      </c>
      <c r="O37" s="175">
        <f t="shared" si="4"/>
        <v>299603.7708</v>
      </c>
      <c r="P37" s="175">
        <f>IF('Pre-Calculation'!$D$17="Type 4 a",MAX(SA,N37,1.05*Q37),IF('Pre-Calculation'!$D$17="Type 4 c",N37,IF('Pre-Calculation'!$D$17="Type 4 d",SA+N37,IF('Pre-Calculation'!$D$17="Type 4 e",MAX(SA,N37),IF('Pre-Calculation'!$D$17="Type 4 f",SA,IF('Pre-Calculation'!$D$17="Type 4 g",1000+N37,IF('Pre-Calculation'!$D$17="Type 4 h",SA+X37,IF('Pre-Calculation'!$D$17="Type 4 i",MAX(N37,Q37),IF('Pre-Calculation'!$D$17="Type 4 k",MAX(N37,1.01*Q37),IF('Pre-Calculation'!$D$17="Type 4 m",MAX(105%*Q37,SA+N37),IF('Pre-Calculation'!$D$17="Type 4 o",MAX(SA,105%*Q37)+X37+Z37,IF('Pre-Calculation'!$D$17="Type 5",0))))))))))))</f>
        <v>1000000</v>
      </c>
      <c r="Q37" s="175">
        <f t="shared" si="5"/>
        <v>900000</v>
      </c>
      <c r="R37" s="119">
        <f>L37*(1+GROWTH_RATE)*FMC</f>
        <v>337.3184933</v>
      </c>
      <c r="S37" s="178">
        <f>S36*(1+'Pre-Calculation'!$E$27)</f>
        <v>710410.3176</v>
      </c>
      <c r="T37" s="175">
        <f>-E37+IF(A36=INPUT!$C$11*12,N37,0)</f>
        <v>0</v>
      </c>
      <c r="U37" s="175">
        <f t="shared" si="6"/>
        <v>327112.5893</v>
      </c>
      <c r="V37" s="175">
        <f>U37*(1+GROWTH_RATE_H)*(1-'Pre-Calculation'!$E$31)</f>
        <v>328668.9881</v>
      </c>
      <c r="W37" s="175">
        <f>-E37+IF(A36=INPUT!$C$11*12,V37,0)</f>
        <v>0</v>
      </c>
      <c r="X37" s="179">
        <f t="array" ref="X37">NPV('Pre-Calculation'!$E$20,$E38:E$246)</f>
        <v>557472.4305</v>
      </c>
      <c r="Y37" s="171">
        <f>10%*SA</f>
        <v>100000</v>
      </c>
      <c r="Z37" s="179">
        <f t="array" ref="Z37">NPV('Pre-Calculation'!$E$20,Y38:Y47)</f>
        <v>969592.8037</v>
      </c>
    </row>
    <row r="38" ht="15.75" customHeight="1">
      <c r="A38" s="171">
        <f t="shared" si="1"/>
        <v>32</v>
      </c>
      <c r="B38" s="171">
        <f t="shared" si="2"/>
        <v>3</v>
      </c>
      <c r="C38" s="176">
        <f>EDATE(RCD,A37)</f>
        <v>43495</v>
      </c>
      <c r="D38" s="171">
        <f>Age_At_Entry+'Cashflows_8% from Start'!B38-1</f>
        <v>37</v>
      </c>
      <c r="E38" s="175">
        <f>IF(AND(C38&lt;=Last_Prem,MOD(A37,Mode)=0),Mod_Prem,0)</f>
        <v>0</v>
      </c>
      <c r="F38" s="177">
        <f>E38*VLOOKUP(B38,'Pre-Calculation'!$H$1:$I$31,2,FALSE)</f>
        <v>0</v>
      </c>
      <c r="G38" s="177">
        <f>IF(B38&lt;PT+1,VLOOKUP(B38,'Pre-Calculation'!$H$1:$L$32,3,FALSE)+VLOOKUP(B38,'Pre-Calculation'!$H$1:$L$32,4,FALSE)*'Pre-Calculation'!$D$7,0)</f>
        <v>420</v>
      </c>
      <c r="H38" s="175">
        <f>(E38-(F38+G38)*(1+Tax)+N37)</f>
        <v>299108.1708</v>
      </c>
      <c r="I38" s="175">
        <f>IF(B38&lt;PT+1,VLOOKUP(D38,'Pre-Calculation'!$N$3:$P$79,IF(INPUT!$C$4="M",2,3),FALSE)*(J38/1000)*(1/12),0)</f>
        <v>84.48666925</v>
      </c>
      <c r="J38" s="175">
        <f t="shared" si="3"/>
        <v>700891.8292</v>
      </c>
      <c r="K38" s="175">
        <f>IF('Pre-Calculation'!$D$17="Type 4 a",MAX(SA,H38,1.05*Q38),IF('Pre-Calculation'!$D$17="Type 4 c",H38,IF('Pre-Calculation'!$D$17="Type 4 d",SA+H38,IF('Pre-Calculation'!$D$17="Type 4 e",MAX(SA,H38),IF('Pre-Calculation'!$D$17="Type 4 f",SA,IF('Pre-Calculation'!$D$17="Type 4 g",1000+H38,IF('Pre-Calculation'!$D$17="Type 4 h",SA+X38,IF('Pre-Calculation'!$D$17="Type 4 i",MAX(H38,Q38),IF('Pre-Calculation'!$D$17="Type 4 k",MAX(H38,1.01*Q38),IF('Pre-Calculation'!$D$17="Type 4 m",MAX(105%*Q38,SA+H38),IF('Pre-Calculation'!$D$17="Type 4 o",MAX(SA,105%*Q38)+X38+Z38,IF('Pre-Calculation'!$D$17="Type 5",0))))))))))))</f>
        <v>1000000</v>
      </c>
      <c r="L38" s="175">
        <f>H38-I38*(1+Tax)</f>
        <v>299008.4765</v>
      </c>
      <c r="M38" s="175">
        <f>L38*(1+GROWTH_RATE_H)*(1-FMC*(1+Tax))</f>
        <v>300533.0357</v>
      </c>
      <c r="N38" s="175">
        <f>M38+IF(MOD(A38,B38)=0,VLOOKUP(B38,'Pre-Calculation'!$H$1:$L$31,5,FALSE),0)*IF('Pre-Calculation'!$D$16="% OF FV",M38,IF(OR('Pre-Calculation'!$D$16="% OF AFV(24M)",'Pre-Calculation'!$D$16="% OF AFV(8Q)"),AVERAGE( $M15:$M38),IF('Pre-Calculation'!$D$16="% OF AFV(12M)",AVERAGE($M27:M38),IF('Pre-Calculation'!$D$16="% OF AFV(36M)",AVERAGE($M$7:M38)))))</f>
        <v>300533.0357</v>
      </c>
      <c r="O38" s="175">
        <f t="shared" si="4"/>
        <v>300533.0357</v>
      </c>
      <c r="P38" s="175">
        <f>IF('Pre-Calculation'!$D$17="Type 4 a",MAX(SA,N38,1.05*Q38),IF('Pre-Calculation'!$D$17="Type 4 c",N38,IF('Pre-Calculation'!$D$17="Type 4 d",SA+N38,IF('Pre-Calculation'!$D$17="Type 4 e",MAX(SA,N38),IF('Pre-Calculation'!$D$17="Type 4 f",SA,IF('Pre-Calculation'!$D$17="Type 4 g",1000+N38,IF('Pre-Calculation'!$D$17="Type 4 h",SA+X38,IF('Pre-Calculation'!$D$17="Type 4 i",MAX(N38,Q38),IF('Pre-Calculation'!$D$17="Type 4 k",MAX(N38,1.01*Q38),IF('Pre-Calculation'!$D$17="Type 4 m",MAX(105%*Q38,SA+N38),IF('Pre-Calculation'!$D$17="Type 4 o",MAX(SA,105%*Q38)+X38+Z38,IF('Pre-Calculation'!$D$17="Type 5",0))))))))))))</f>
        <v>1000000</v>
      </c>
      <c r="Q38" s="175">
        <f t="shared" si="5"/>
        <v>900000</v>
      </c>
      <c r="R38" s="119">
        <f>L38*(1+GROWTH_RATE)*FMC</f>
        <v>338.3647359</v>
      </c>
      <c r="S38" s="178">
        <f>S37*(1+'Pre-Calculation'!$E$27)</f>
        <v>712449.8337</v>
      </c>
      <c r="T38" s="175">
        <f>-E38+IF(A37=INPUT!$C$11*12,N38,0)</f>
        <v>0</v>
      </c>
      <c r="U38" s="175">
        <f t="shared" si="6"/>
        <v>328668.9881</v>
      </c>
      <c r="V38" s="175">
        <f>U38*(1+GROWTH_RATE_H)*(1-'Pre-Calculation'!$E$31)</f>
        <v>330232.7923</v>
      </c>
      <c r="W38" s="175">
        <f>-E38+IF(A37=INPUT!$C$11*12,V38,0)</f>
        <v>0</v>
      </c>
      <c r="X38" s="179">
        <f t="array" ref="X38">NPV('Pre-Calculation'!$E$20,$E39:E$246)</f>
        <v>560624.4606</v>
      </c>
      <c r="Y38" s="171">
        <f>10%*SA</f>
        <v>100000</v>
      </c>
      <c r="Z38" s="179">
        <f t="array" ref="Z38">NPV('Pre-Calculation'!$E$20,Y39:Y48)</f>
        <v>969592.8037</v>
      </c>
    </row>
    <row r="39" ht="15.75" customHeight="1">
      <c r="A39" s="171">
        <f t="shared" si="1"/>
        <v>33</v>
      </c>
      <c r="B39" s="171">
        <f t="shared" si="2"/>
        <v>3</v>
      </c>
      <c r="C39" s="176">
        <f>EDATE(RCD,A38)</f>
        <v>43524</v>
      </c>
      <c r="D39" s="171">
        <f>Age_At_Entry+'Cashflows_8% from Start'!B39-1</f>
        <v>37</v>
      </c>
      <c r="E39" s="175">
        <f>IF(AND(C39&lt;=Last_Prem,MOD(A38,Mode)=0),Mod_Prem,0)</f>
        <v>0</v>
      </c>
      <c r="F39" s="177">
        <f>E39*VLOOKUP(B39,'Pre-Calculation'!$H$1:$I$31,2,FALSE)</f>
        <v>0</v>
      </c>
      <c r="G39" s="177">
        <f>IF(B39&lt;PT+1,VLOOKUP(B39,'Pre-Calculation'!$H$1:$L$32,3,FALSE)+VLOOKUP(B39,'Pre-Calculation'!$H$1:$L$32,4,FALSE)*'Pre-Calculation'!$D$7,0)</f>
        <v>420</v>
      </c>
      <c r="H39" s="175">
        <f>(E39-(F39+G39)*(1+Tax)+N38)</f>
        <v>300037.4357</v>
      </c>
      <c r="I39" s="175">
        <f>IF(B39&lt;PT+1,VLOOKUP(D39,'Pre-Calculation'!$N$3:$P$79,IF(INPUT!$C$4="M",2,3),FALSE)*(J39/1000)*(1/12),0)</f>
        <v>84.37465411</v>
      </c>
      <c r="J39" s="175">
        <f t="shared" si="3"/>
        <v>699962.5643</v>
      </c>
      <c r="K39" s="175">
        <f>IF('Pre-Calculation'!$D$17="Type 4 a",MAX(SA,H39,1.05*Q39),IF('Pre-Calculation'!$D$17="Type 4 c",H39,IF('Pre-Calculation'!$D$17="Type 4 d",SA+H39,IF('Pre-Calculation'!$D$17="Type 4 e",MAX(SA,H39),IF('Pre-Calculation'!$D$17="Type 4 f",SA,IF('Pre-Calculation'!$D$17="Type 4 g",1000+H39,IF('Pre-Calculation'!$D$17="Type 4 h",SA+X39,IF('Pre-Calculation'!$D$17="Type 4 i",MAX(H39,Q39),IF('Pre-Calculation'!$D$17="Type 4 k",MAX(H39,1.01*Q39),IF('Pre-Calculation'!$D$17="Type 4 m",MAX(105%*Q39,SA+H39),IF('Pre-Calculation'!$D$17="Type 4 o",MAX(SA,105%*Q39)+X39+Z39,IF('Pre-Calculation'!$D$17="Type 5",0))))))))))))</f>
        <v>1000000</v>
      </c>
      <c r="L39" s="175">
        <f>H39-I39*(1+Tax)</f>
        <v>299937.8736</v>
      </c>
      <c r="M39" s="175">
        <f>L39*(1+GROWTH_RATE_H)*(1-FMC*(1+Tax))</f>
        <v>301467.1715</v>
      </c>
      <c r="N39" s="175">
        <f>M39+IF(MOD(A39,B39)=0,VLOOKUP(B39,'Pre-Calculation'!$H$1:$L$31,5,FALSE),0)*IF('Pre-Calculation'!$D$16="% OF FV",M39,IF(OR('Pre-Calculation'!$D$16="% OF AFV(24M)",'Pre-Calculation'!$D$16="% OF AFV(8Q)"),AVERAGE( $M16:$M39),IF('Pre-Calculation'!$D$16="% OF AFV(12M)",AVERAGE($M28:M39),IF('Pre-Calculation'!$D$16="% OF AFV(36M)",AVERAGE($M$7:M39)))))</f>
        <v>301467.1715</v>
      </c>
      <c r="O39" s="175">
        <f t="shared" si="4"/>
        <v>301467.1715</v>
      </c>
      <c r="P39" s="175">
        <f>IF('Pre-Calculation'!$D$17="Type 4 a",MAX(SA,N39,1.05*Q39),IF('Pre-Calculation'!$D$17="Type 4 c",N39,IF('Pre-Calculation'!$D$17="Type 4 d",SA+N39,IF('Pre-Calculation'!$D$17="Type 4 e",MAX(SA,N39),IF('Pre-Calculation'!$D$17="Type 4 f",SA,IF('Pre-Calculation'!$D$17="Type 4 g",1000+N39,IF('Pre-Calculation'!$D$17="Type 4 h",SA+X39,IF('Pre-Calculation'!$D$17="Type 4 i",MAX(N39,Q39),IF('Pre-Calculation'!$D$17="Type 4 k",MAX(N39,1.01*Q39),IF('Pre-Calculation'!$D$17="Type 4 m",MAX(105%*Q39,SA+N39),IF('Pre-Calculation'!$D$17="Type 4 o",MAX(SA,105%*Q39)+X39+Z39,IF('Pre-Calculation'!$D$17="Type 5",0))))))))))))</f>
        <v>1000000</v>
      </c>
      <c r="Q39" s="175">
        <f t="shared" si="5"/>
        <v>900000</v>
      </c>
      <c r="R39" s="119">
        <f>L39*(1+GROWTH_RATE)*FMC</f>
        <v>339.4164626</v>
      </c>
      <c r="S39" s="178">
        <f>S38*(1+'Pre-Calculation'!$E$27)</f>
        <v>714495.205</v>
      </c>
      <c r="T39" s="175">
        <f>-E39+IF(A38=INPUT!$C$11*12,N39,0)</f>
        <v>0</v>
      </c>
      <c r="U39" s="175">
        <f t="shared" si="6"/>
        <v>330232.7923</v>
      </c>
      <c r="V39" s="175">
        <f>U39*(1+GROWTH_RATE_H)*(1-'Pre-Calculation'!$E$31)</f>
        <v>331804.037</v>
      </c>
      <c r="W39" s="175">
        <f>-E39+IF(A38=INPUT!$C$11*12,V39,0)</f>
        <v>0</v>
      </c>
      <c r="X39" s="179">
        <f t="array" ref="X39">NPV('Pre-Calculation'!$E$20,$E40:E$246)</f>
        <v>563794.3128</v>
      </c>
      <c r="Y39" s="171">
        <f>10%*SA</f>
        <v>100000</v>
      </c>
      <c r="Z39" s="179">
        <f t="array" ref="Z39">NPV('Pre-Calculation'!$E$20,Y40:Y49)</f>
        <v>969592.8037</v>
      </c>
    </row>
    <row r="40" ht="15.75" customHeight="1">
      <c r="A40" s="171">
        <f t="shared" si="1"/>
        <v>34</v>
      </c>
      <c r="B40" s="171">
        <f t="shared" si="2"/>
        <v>3</v>
      </c>
      <c r="C40" s="176">
        <f>EDATE(RCD,A39)</f>
        <v>43554</v>
      </c>
      <c r="D40" s="171">
        <f>Age_At_Entry+'Cashflows_8% from Start'!B40-1</f>
        <v>37</v>
      </c>
      <c r="E40" s="175">
        <f>IF(AND(C40&lt;=Last_Prem,MOD(A39,Mode)=0),Mod_Prem,0)</f>
        <v>0</v>
      </c>
      <c r="F40" s="177">
        <f>E40*VLOOKUP(B40,'Pre-Calculation'!$H$1:$I$31,2,FALSE)</f>
        <v>0</v>
      </c>
      <c r="G40" s="177">
        <f>IF(B40&lt;PT+1,VLOOKUP(B40,'Pre-Calculation'!$H$1:$L$32,3,FALSE)+VLOOKUP(B40,'Pre-Calculation'!$H$1:$L$32,4,FALSE)*'Pre-Calculation'!$D$7,0)</f>
        <v>420</v>
      </c>
      <c r="H40" s="175">
        <f>(E40-(F40+G40)*(1+Tax)+N39)</f>
        <v>300971.5715</v>
      </c>
      <c r="I40" s="175">
        <f>IF(B40&lt;PT+1,VLOOKUP(D40,'Pre-Calculation'!$N$3:$P$79,IF(INPUT!$C$4="M",2,3),FALSE)*(J40/1000)*(1/12),0)</f>
        <v>84.26205182</v>
      </c>
      <c r="J40" s="175">
        <f t="shared" si="3"/>
        <v>699028.4285</v>
      </c>
      <c r="K40" s="175">
        <f>IF('Pre-Calculation'!$D$17="Type 4 a",MAX(SA,H40,1.05*Q40),IF('Pre-Calculation'!$D$17="Type 4 c",H40,IF('Pre-Calculation'!$D$17="Type 4 d",SA+H40,IF('Pre-Calculation'!$D$17="Type 4 e",MAX(SA,H40),IF('Pre-Calculation'!$D$17="Type 4 f",SA,IF('Pre-Calculation'!$D$17="Type 4 g",1000+H40,IF('Pre-Calculation'!$D$17="Type 4 h",SA+X40,IF('Pre-Calculation'!$D$17="Type 4 i",MAX(H40,Q40),IF('Pre-Calculation'!$D$17="Type 4 k",MAX(H40,1.01*Q40),IF('Pre-Calculation'!$D$17="Type 4 m",MAX(105%*Q40,SA+H40),IF('Pre-Calculation'!$D$17="Type 4 o",MAX(SA,105%*Q40)+X40+Z40,IF('Pre-Calculation'!$D$17="Type 5",0))))))))))))</f>
        <v>1000000</v>
      </c>
      <c r="L40" s="175">
        <f>H40-I40*(1+Tax)</f>
        <v>300872.1422</v>
      </c>
      <c r="M40" s="175">
        <f>L40*(1+GROWTH_RATE_H)*(1-FMC*(1+Tax))</f>
        <v>302406.2037</v>
      </c>
      <c r="N40" s="175">
        <f>M40+IF(MOD(A40,B40)=0,VLOOKUP(B40,'Pre-Calculation'!$H$1:$L$31,5,FALSE),0)*IF('Pre-Calculation'!$D$16="% OF FV",M40,IF(OR('Pre-Calculation'!$D$16="% OF AFV(24M)",'Pre-Calculation'!$D$16="% OF AFV(8Q)"),AVERAGE( $M17:$M40),IF('Pre-Calculation'!$D$16="% OF AFV(12M)",AVERAGE($M29:M40),IF('Pre-Calculation'!$D$16="% OF AFV(36M)",AVERAGE($M$7:M40)))))</f>
        <v>302406.2037</v>
      </c>
      <c r="O40" s="175">
        <f t="shared" si="4"/>
        <v>302406.2037</v>
      </c>
      <c r="P40" s="175">
        <f>IF('Pre-Calculation'!$D$17="Type 4 a",MAX(SA,N40,1.05*Q40),IF('Pre-Calculation'!$D$17="Type 4 c",N40,IF('Pre-Calculation'!$D$17="Type 4 d",SA+N40,IF('Pre-Calculation'!$D$17="Type 4 e",MAX(SA,N40),IF('Pre-Calculation'!$D$17="Type 4 f",SA,IF('Pre-Calculation'!$D$17="Type 4 g",1000+N40,IF('Pre-Calculation'!$D$17="Type 4 h",SA+X40,IF('Pre-Calculation'!$D$17="Type 4 i",MAX(N40,Q40),IF('Pre-Calculation'!$D$17="Type 4 k",MAX(N40,1.01*Q40),IF('Pre-Calculation'!$D$17="Type 4 m",MAX(105%*Q40,SA+N40),IF('Pre-Calculation'!$D$17="Type 4 o",MAX(SA,105%*Q40)+X40+Z40,IF('Pre-Calculation'!$D$17="Type 5",0))))))))))))</f>
        <v>1000000</v>
      </c>
      <c r="Q40" s="175">
        <f t="shared" si="5"/>
        <v>900000</v>
      </c>
      <c r="R40" s="119">
        <f>L40*(1+GROWTH_RATE)*FMC</f>
        <v>340.4737021</v>
      </c>
      <c r="S40" s="178">
        <f>S39*(1+'Pre-Calculation'!$E$27)</f>
        <v>716546.4484</v>
      </c>
      <c r="T40" s="175">
        <f>-E40+IF(A39=INPUT!$C$11*12,N40,0)</f>
        <v>0</v>
      </c>
      <c r="U40" s="175">
        <f t="shared" si="6"/>
        <v>331804.037</v>
      </c>
      <c r="V40" s="175">
        <f>U40*(1+GROWTH_RATE_H)*(1-'Pre-Calculation'!$E$31)</f>
        <v>333382.7577</v>
      </c>
      <c r="W40" s="175">
        <f>-E40+IF(A39=INPUT!$C$11*12,V40,0)</f>
        <v>0</v>
      </c>
      <c r="X40" s="179">
        <f t="array" ref="X40">NPV('Pre-Calculation'!$E$20,$E41:E$246)</f>
        <v>566982.0879</v>
      </c>
      <c r="Y40" s="171">
        <f>10%*SA</f>
        <v>100000</v>
      </c>
      <c r="Z40" s="179">
        <f t="array" ref="Z40">NPV('Pre-Calculation'!$E$20,Y41:Y50)</f>
        <v>969592.8037</v>
      </c>
    </row>
    <row r="41" ht="15.75" customHeight="1">
      <c r="A41" s="171">
        <f t="shared" si="1"/>
        <v>35</v>
      </c>
      <c r="B41" s="171">
        <f t="shared" si="2"/>
        <v>3</v>
      </c>
      <c r="C41" s="176">
        <f>EDATE(RCD,A40)</f>
        <v>43585</v>
      </c>
      <c r="D41" s="171">
        <f>Age_At_Entry+'Cashflows_8% from Start'!B41-1</f>
        <v>37</v>
      </c>
      <c r="E41" s="175">
        <f>IF(AND(C41&lt;=Last_Prem,MOD(A40,Mode)=0),Mod_Prem,0)</f>
        <v>0</v>
      </c>
      <c r="F41" s="177">
        <f>E41*VLOOKUP(B41,'Pre-Calculation'!$H$1:$I$31,2,FALSE)</f>
        <v>0</v>
      </c>
      <c r="G41" s="177">
        <f>IF(B41&lt;PT+1,VLOOKUP(B41,'Pre-Calculation'!$H$1:$L$32,3,FALSE)+VLOOKUP(B41,'Pre-Calculation'!$H$1:$L$32,4,FALSE)*'Pre-Calculation'!$D$7,0)</f>
        <v>420</v>
      </c>
      <c r="H41" s="175">
        <f>(E41-(F41+G41)*(1+Tax)+N40)</f>
        <v>301910.6037</v>
      </c>
      <c r="I41" s="175">
        <f>IF(B41&lt;PT+1,VLOOKUP(D41,'Pre-Calculation'!$N$3:$P$79,IF(INPUT!$C$4="M",2,3),FALSE)*(J41/1000)*(1/12),0)</f>
        <v>84.14885931</v>
      </c>
      <c r="J41" s="175">
        <f t="shared" si="3"/>
        <v>698089.3963</v>
      </c>
      <c r="K41" s="175">
        <f>IF('Pre-Calculation'!$D$17="Type 4 a",MAX(SA,H41,1.05*Q41),IF('Pre-Calculation'!$D$17="Type 4 c",H41,IF('Pre-Calculation'!$D$17="Type 4 d",SA+H41,IF('Pre-Calculation'!$D$17="Type 4 e",MAX(SA,H41),IF('Pre-Calculation'!$D$17="Type 4 f",SA,IF('Pre-Calculation'!$D$17="Type 4 g",1000+H41,IF('Pre-Calculation'!$D$17="Type 4 h",SA+X41,IF('Pre-Calculation'!$D$17="Type 4 i",MAX(H41,Q41),IF('Pre-Calculation'!$D$17="Type 4 k",MAX(H41,1.01*Q41),IF('Pre-Calculation'!$D$17="Type 4 m",MAX(105%*Q41,SA+H41),IF('Pre-Calculation'!$D$17="Type 4 o",MAX(SA,105%*Q41)+X41+Z41,IF('Pre-Calculation'!$D$17="Type 5",0))))))))))))</f>
        <v>1000000</v>
      </c>
      <c r="L41" s="175">
        <f>H41-I41*(1+Tax)</f>
        <v>301811.308</v>
      </c>
      <c r="M41" s="175">
        <f>L41*(1+GROWTH_RATE_H)*(1-FMC*(1+Tax))</f>
        <v>303350.158</v>
      </c>
      <c r="N41" s="175">
        <f>M41+IF(MOD(A41,B41)=0,VLOOKUP(B41,'Pre-Calculation'!$H$1:$L$31,5,FALSE),0)*IF('Pre-Calculation'!$D$16="% OF FV",M41,IF(OR('Pre-Calculation'!$D$16="% OF AFV(24M)",'Pre-Calculation'!$D$16="% OF AFV(8Q)"),AVERAGE( $M18:$M41),IF('Pre-Calculation'!$D$16="% OF AFV(12M)",AVERAGE($M30:M41),IF('Pre-Calculation'!$D$16="% OF AFV(36M)",AVERAGE($M$7:M41)))))</f>
        <v>303350.158</v>
      </c>
      <c r="O41" s="175">
        <f t="shared" si="4"/>
        <v>303350.158</v>
      </c>
      <c r="P41" s="175">
        <f>IF('Pre-Calculation'!$D$17="Type 4 a",MAX(SA,N41,1.05*Q41),IF('Pre-Calculation'!$D$17="Type 4 c",N41,IF('Pre-Calculation'!$D$17="Type 4 d",SA+N41,IF('Pre-Calculation'!$D$17="Type 4 e",MAX(SA,N41),IF('Pre-Calculation'!$D$17="Type 4 f",SA,IF('Pre-Calculation'!$D$17="Type 4 g",1000+N41,IF('Pre-Calculation'!$D$17="Type 4 h",SA+X41,IF('Pre-Calculation'!$D$17="Type 4 i",MAX(N41,Q41),IF('Pre-Calculation'!$D$17="Type 4 k",MAX(N41,1.01*Q41),IF('Pre-Calculation'!$D$17="Type 4 m",MAX(105%*Q41,SA+N41),IF('Pre-Calculation'!$D$17="Type 4 o",MAX(SA,105%*Q41)+X41+Z41,IF('Pre-Calculation'!$D$17="Type 5",0))))))))))))</f>
        <v>1000000</v>
      </c>
      <c r="Q41" s="175">
        <f t="shared" si="5"/>
        <v>900000</v>
      </c>
      <c r="R41" s="119">
        <f>L41*(1+GROWTH_RATE)*FMC</f>
        <v>341.5364833</v>
      </c>
      <c r="S41" s="178">
        <f>S40*(1+'Pre-Calculation'!$E$27)</f>
        <v>718603.5807</v>
      </c>
      <c r="T41" s="175">
        <f>-E41+IF(A40=INPUT!$C$11*12,N41,0)</f>
        <v>0</v>
      </c>
      <c r="U41" s="175">
        <f t="shared" si="6"/>
        <v>333382.7577</v>
      </c>
      <c r="V41" s="175">
        <f>U41*(1+GROWTH_RATE_H)*(1-'Pre-Calculation'!$E$31)</f>
        <v>334968.9899</v>
      </c>
      <c r="W41" s="175">
        <f>-E41+IF(A40=INPUT!$C$11*12,V41,0)</f>
        <v>0</v>
      </c>
      <c r="X41" s="179">
        <f t="array" ref="X41">NPV('Pre-Calculation'!$E$20,$E42:E$246)</f>
        <v>570187.887</v>
      </c>
      <c r="Y41" s="171">
        <f>10%*SA</f>
        <v>100000</v>
      </c>
      <c r="Z41" s="179">
        <f t="array" ref="Z41">NPV('Pre-Calculation'!$E$20,Y42:Y51)</f>
        <v>969592.8037</v>
      </c>
    </row>
    <row r="42" ht="15.75" customHeight="1">
      <c r="A42" s="171">
        <f t="shared" si="1"/>
        <v>36</v>
      </c>
      <c r="B42" s="171">
        <f t="shared" si="2"/>
        <v>3</v>
      </c>
      <c r="C42" s="176">
        <f>EDATE(RCD,A41)</f>
        <v>43615</v>
      </c>
      <c r="D42" s="171">
        <f>Age_At_Entry+'Cashflows_8% from Start'!B42-1</f>
        <v>37</v>
      </c>
      <c r="E42" s="175">
        <f>IF(AND(C42&lt;=Last_Prem,MOD(A41,Mode)=0),Mod_Prem,0)</f>
        <v>0</v>
      </c>
      <c r="F42" s="177">
        <f>E42*VLOOKUP(B42,'Pre-Calculation'!$H$1:$I$31,2,FALSE)</f>
        <v>0</v>
      </c>
      <c r="G42" s="177">
        <f>IF(B42&lt;PT+1,VLOOKUP(B42,'Pre-Calculation'!$H$1:$L$32,3,FALSE)+VLOOKUP(B42,'Pre-Calculation'!$H$1:$L$32,4,FALSE)*'Pre-Calculation'!$D$7,0)</f>
        <v>420</v>
      </c>
      <c r="H42" s="175">
        <f>(E42-(F42+G42)*(1+Tax)+N41)</f>
        <v>302854.558</v>
      </c>
      <c r="I42" s="175">
        <f>IF(B42&lt;PT+1,VLOOKUP(D42,'Pre-Calculation'!$N$3:$P$79,IF(INPUT!$C$4="M",2,3),FALSE)*(J42/1000)*(1/12),0)</f>
        <v>84.03507348</v>
      </c>
      <c r="J42" s="175">
        <f t="shared" si="3"/>
        <v>697145.442</v>
      </c>
      <c r="K42" s="175">
        <f>IF('Pre-Calculation'!$D$17="Type 4 a",MAX(SA,H42,1.05*Q42),IF('Pre-Calculation'!$D$17="Type 4 c",H42,IF('Pre-Calculation'!$D$17="Type 4 d",SA+H42,IF('Pre-Calculation'!$D$17="Type 4 e",MAX(SA,H42),IF('Pre-Calculation'!$D$17="Type 4 f",SA,IF('Pre-Calculation'!$D$17="Type 4 g",1000+H42,IF('Pre-Calculation'!$D$17="Type 4 h",SA+X42,IF('Pre-Calculation'!$D$17="Type 4 i",MAX(H42,Q42),IF('Pre-Calculation'!$D$17="Type 4 k",MAX(H42,1.01*Q42),IF('Pre-Calculation'!$D$17="Type 4 m",MAX(105%*Q42,SA+H42),IF('Pre-Calculation'!$D$17="Type 4 o",MAX(SA,105%*Q42)+X42+Z42,IF('Pre-Calculation'!$D$17="Type 5",0))))))))))))</f>
        <v>1000000</v>
      </c>
      <c r="L42" s="175">
        <f>H42-I42*(1+Tax)</f>
        <v>302755.3966</v>
      </c>
      <c r="M42" s="175">
        <f>L42*(1+GROWTH_RATE_H)*(1-FMC*(1+Tax))</f>
        <v>304299.0603</v>
      </c>
      <c r="N42" s="175">
        <f>M42+IF(MOD(A42,B42)=0,VLOOKUP(B42,'Pre-Calculation'!$H$1:$L$31,5,FALSE),0)*IF('Pre-Calculation'!$D$16="% OF FV",M42,IF(OR('Pre-Calculation'!$D$16="% OF AFV(24M)",'Pre-Calculation'!$D$16="% OF AFV(8Q)"),AVERAGE( $M19:$M42),IF('Pre-Calculation'!$D$16="% OF AFV(12M)",AVERAGE($M31:M42),IF('Pre-Calculation'!$D$16="% OF AFV(36M)",AVERAGE($M7:M42)))))</f>
        <v>304299.0603</v>
      </c>
      <c r="O42" s="175">
        <f t="shared" si="4"/>
        <v>304299.0603</v>
      </c>
      <c r="P42" s="175">
        <f>IF('Pre-Calculation'!$D$17="Type 4 a",MAX(SA,N42,1.05*Q42),IF('Pre-Calculation'!$D$17="Type 4 c",N42,IF('Pre-Calculation'!$D$17="Type 4 d",SA+N42,IF('Pre-Calculation'!$D$17="Type 4 e",MAX(SA,N42),IF('Pre-Calculation'!$D$17="Type 4 f",SA,IF('Pre-Calculation'!$D$17="Type 4 g",1000+N42,IF('Pre-Calculation'!$D$17="Type 4 h",SA+X42,IF('Pre-Calculation'!$D$17="Type 4 i",MAX(N42,Q42),IF('Pre-Calculation'!$D$17="Type 4 k",MAX(N42,1.01*Q42),IF('Pre-Calculation'!$D$17="Type 4 m",MAX(105%*Q42,SA+N42),IF('Pre-Calculation'!$D$17="Type 4 o",MAX(SA,105%*Q42)+X42+Z42,IF('Pre-Calculation'!$D$17="Type 5",0))))))))))))</f>
        <v>1000000</v>
      </c>
      <c r="Q42" s="175">
        <f t="shared" si="5"/>
        <v>900000</v>
      </c>
      <c r="R42" s="119">
        <f>L42*(1+GROWTH_RATE)*FMC</f>
        <v>342.6048353</v>
      </c>
      <c r="S42" s="178">
        <f>S41*(1+'Pre-Calculation'!$E$27)</f>
        <v>720666.6188</v>
      </c>
      <c r="T42" s="175">
        <f>-E42+IF(A41=INPUT!$C$11*12,N42,0)</f>
        <v>0</v>
      </c>
      <c r="U42" s="175">
        <f t="shared" si="6"/>
        <v>334968.9899</v>
      </c>
      <c r="V42" s="175">
        <f>U42*(1+GROWTH_RATE_H)*(1-'Pre-Calculation'!$E$31)</f>
        <v>336562.7695</v>
      </c>
      <c r="W42" s="175">
        <f>-E42+IF(A41=INPUT!$C$11*12,V42,0)</f>
        <v>0</v>
      </c>
      <c r="X42" s="179">
        <f t="array" ref="X42">NPV('Pre-Calculation'!$E$20,$E43:E$246)</f>
        <v>573411.8122</v>
      </c>
      <c r="Y42" s="171">
        <f>10%*SA</f>
        <v>100000</v>
      </c>
      <c r="Z42" s="179">
        <f t="array" ref="Z42">NPV('Pre-Calculation'!$E$20,Y43:Y52)</f>
        <v>969592.8037</v>
      </c>
    </row>
    <row r="43" ht="15.75" customHeight="1">
      <c r="A43" s="171">
        <f t="shared" si="1"/>
        <v>37</v>
      </c>
      <c r="B43" s="171">
        <f t="shared" si="2"/>
        <v>4</v>
      </c>
      <c r="C43" s="176">
        <f>EDATE(RCD,A42)</f>
        <v>43646</v>
      </c>
      <c r="D43" s="171">
        <f>Age_At_Entry+'Cashflows_8% from Start'!B43-1</f>
        <v>38</v>
      </c>
      <c r="E43" s="175">
        <f>IF(AND(C43&lt;=Last_Prem,MOD(A42,Mode)=0),Mod_Prem,0)</f>
        <v>100000</v>
      </c>
      <c r="F43" s="177">
        <f>E43*VLOOKUP(B43,'Pre-Calculation'!$H$1:$I$31,2,FALSE)</f>
        <v>0</v>
      </c>
      <c r="G43" s="177">
        <f>IF(B43&lt;PT+1,VLOOKUP(B43,'Pre-Calculation'!$H$1:$L$32,3,FALSE)+VLOOKUP(B43,'Pre-Calculation'!$H$1:$L$32,4,FALSE)*'Pre-Calculation'!$D$7,0)</f>
        <v>420</v>
      </c>
      <c r="H43" s="175">
        <f>(E43-(F43+G43)*(1+Tax)+N42)</f>
        <v>403803.4603</v>
      </c>
      <c r="I43" s="175">
        <f>IF(B43&lt;PT+1,VLOOKUP(D43,'Pre-Calculation'!$N$3:$P$79,IF(INPUT!$C$4="M",2,3),FALSE)*(J43/1000)*(1/12),0)</f>
        <v>83.41320334</v>
      </c>
      <c r="J43" s="175">
        <f t="shared" si="3"/>
        <v>646196.5397</v>
      </c>
      <c r="K43" s="175">
        <f>IF('Pre-Calculation'!$D$17="Type 4 a",MAX(SA,H43,1.05*Q43),IF('Pre-Calculation'!$D$17="Type 4 c",H43,IF('Pre-Calculation'!$D$17="Type 4 d",SA+H43,IF('Pre-Calculation'!$D$17="Type 4 e",MAX(SA,H43),IF('Pre-Calculation'!$D$17="Type 4 f",SA,IF('Pre-Calculation'!$D$17="Type 4 g",1000+H43,IF('Pre-Calculation'!$D$17="Type 4 h",SA+X43,IF('Pre-Calculation'!$D$17="Type 4 i",MAX(H43,Q43),IF('Pre-Calculation'!$D$17="Type 4 k",MAX(H43,1.01*Q43),IF('Pre-Calculation'!$D$17="Type 4 m",MAX(105%*Q43,SA+H43),IF('Pre-Calculation'!$D$17="Type 4 o",MAX(SA,105%*Q43)+X43+Z43,IF('Pre-Calculation'!$D$17="Type 5",0))))))))))))</f>
        <v>1050000</v>
      </c>
      <c r="L43" s="175">
        <f>H43-I43*(1+Tax)</f>
        <v>403705.0327</v>
      </c>
      <c r="M43" s="175">
        <f>L43*(1+GROWTH_RATE_H)*(1-FMC*(1+Tax))</f>
        <v>405763.4098</v>
      </c>
      <c r="N43" s="175">
        <f>M43+IF(MOD(A43,B43)=0,VLOOKUP(B43,'Pre-Calculation'!$H$1:$L$31,5,FALSE),0)*IF('Pre-Calculation'!$D$16="% OF FV",M43,IF(OR('Pre-Calculation'!$D$16="% OF AFV(24M)",'Pre-Calculation'!$D$16="% OF AFV(8Q)"),AVERAGE( $M20:$M43),IF('Pre-Calculation'!$D$16="% OF AFV(12M)",AVERAGE($M32:M43),IF('Pre-Calculation'!$D$16="% OF AFV(36M)",AVERAGE($M8:M43)))))</f>
        <v>405763.4098</v>
      </c>
      <c r="O43" s="175">
        <f t="shared" si="4"/>
        <v>405763.4098</v>
      </c>
      <c r="P43" s="175">
        <f>IF('Pre-Calculation'!$D$17="Type 4 a",MAX(SA,N43,1.05*Q43),IF('Pre-Calculation'!$D$17="Type 4 c",N43,IF('Pre-Calculation'!$D$17="Type 4 d",SA+N43,IF('Pre-Calculation'!$D$17="Type 4 e",MAX(SA,N43),IF('Pre-Calculation'!$D$17="Type 4 f",SA,IF('Pre-Calculation'!$D$17="Type 4 g",1000+N43,IF('Pre-Calculation'!$D$17="Type 4 h",SA+X43,IF('Pre-Calculation'!$D$17="Type 4 i",MAX(N43,Q43),IF('Pre-Calculation'!$D$17="Type 4 k",MAX(N43,1.01*Q43),IF('Pre-Calculation'!$D$17="Type 4 m",MAX(105%*Q43,SA+N43),IF('Pre-Calculation'!$D$17="Type 4 o",MAX(SA,105%*Q43)+X43+Z43,IF('Pre-Calculation'!$D$17="Type 5",0))))))))))))</f>
        <v>1050000</v>
      </c>
      <c r="Q43" s="175">
        <f t="shared" si="5"/>
        <v>1000000</v>
      </c>
      <c r="R43" s="119">
        <f>L43*(1+GROWTH_RATE)*FMC</f>
        <v>456.8417203</v>
      </c>
      <c r="S43" s="178">
        <f>S42*(1+'Pre-Calculation'!$E$27)</f>
        <v>722735.5796</v>
      </c>
      <c r="T43" s="175">
        <f>-E43+IF(A42=INPUT!$C$11*12,N43,0)</f>
        <v>-100000</v>
      </c>
      <c r="U43" s="175">
        <f t="shared" si="6"/>
        <v>436562.7695</v>
      </c>
      <c r="V43" s="175">
        <f>U43*(1+GROWTH_RATE_H)*(1-'Pre-Calculation'!$E$31)</f>
        <v>438639.9313</v>
      </c>
      <c r="W43" s="175">
        <f>-E43+IF(A42=INPUT!$C$11*12,V43,0)</f>
        <v>-100000</v>
      </c>
      <c r="X43" s="179">
        <f t="array" ref="X43">NPV('Pre-Calculation'!$E$20,$E44:E$246)</f>
        <v>476653.966</v>
      </c>
      <c r="Y43" s="171">
        <f>10%*SA</f>
        <v>100000</v>
      </c>
      <c r="Z43" s="179">
        <f t="array" ref="Z43">NPV('Pre-Calculation'!$E$20,Y44:Y53)</f>
        <v>969592.8037</v>
      </c>
    </row>
    <row r="44" ht="15.75" customHeight="1">
      <c r="A44" s="171">
        <f t="shared" si="1"/>
        <v>38</v>
      </c>
      <c r="B44" s="171">
        <f t="shared" si="2"/>
        <v>4</v>
      </c>
      <c r="C44" s="176">
        <f>EDATE(RCD,A43)</f>
        <v>43676</v>
      </c>
      <c r="D44" s="171">
        <f>Age_At_Entry+'Cashflows_8% from Start'!B44-1</f>
        <v>38</v>
      </c>
      <c r="E44" s="175">
        <f>IF(AND(C44&lt;=Last_Prem,MOD(A43,Mode)=0),Mod_Prem,0)</f>
        <v>0</v>
      </c>
      <c r="F44" s="177">
        <f>E44*VLOOKUP(B44,'Pre-Calculation'!$H$1:$I$31,2,FALSE)</f>
        <v>0</v>
      </c>
      <c r="G44" s="177">
        <f>IF(B44&lt;PT+1,VLOOKUP(B44,'Pre-Calculation'!$H$1:$L$32,3,FALSE)+VLOOKUP(B44,'Pre-Calculation'!$H$1:$L$32,4,FALSE)*'Pre-Calculation'!$D$7,0)</f>
        <v>420</v>
      </c>
      <c r="H44" s="175">
        <f>(E44-(F44+G44)*(1+Tax)+N43)</f>
        <v>405267.8098</v>
      </c>
      <c r="I44" s="175">
        <f>IF(B44&lt;PT+1,VLOOKUP(D44,'Pre-Calculation'!$N$3:$P$79,IF(INPUT!$C$4="M",2,3),FALSE)*(J44/1000)*(1/12),0)</f>
        <v>83.22418022</v>
      </c>
      <c r="J44" s="175">
        <f t="shared" si="3"/>
        <v>644732.1902</v>
      </c>
      <c r="K44" s="175">
        <f>IF('Pre-Calculation'!$D$17="Type 4 a",MAX(SA,H44,1.05*Q44),IF('Pre-Calculation'!$D$17="Type 4 c",H44,IF('Pre-Calculation'!$D$17="Type 4 d",SA+H44,IF('Pre-Calculation'!$D$17="Type 4 e",MAX(SA,H44),IF('Pre-Calculation'!$D$17="Type 4 f",SA,IF('Pre-Calculation'!$D$17="Type 4 g",1000+H44,IF('Pre-Calculation'!$D$17="Type 4 h",SA+X44,IF('Pre-Calculation'!$D$17="Type 4 i",MAX(H44,Q44),IF('Pre-Calculation'!$D$17="Type 4 k",MAX(H44,1.01*Q44),IF('Pre-Calculation'!$D$17="Type 4 m",MAX(105%*Q44,SA+H44),IF('Pre-Calculation'!$D$17="Type 4 o",MAX(SA,105%*Q44)+X44+Z44,IF('Pre-Calculation'!$D$17="Type 5",0))))))))))))</f>
        <v>1050000</v>
      </c>
      <c r="L44" s="175">
        <f>H44-I44*(1+Tax)</f>
        <v>405169.6053</v>
      </c>
      <c r="M44" s="175">
        <f>L44*(1+GROWTH_RATE_H)*(1-FMC*(1+Tax))</f>
        <v>407235.4498</v>
      </c>
      <c r="N44" s="175">
        <f>M44+IF(MOD(A44,B44)=0,VLOOKUP(B44,'Pre-Calculation'!$H$1:$L$31,5,FALSE),0)*IF('Pre-Calculation'!$D$16="% OF FV",M44,IF(OR('Pre-Calculation'!$D$16="% OF AFV(24M)",'Pre-Calculation'!$D$16="% OF AFV(8Q)"),AVERAGE( $M21:$M44),IF('Pre-Calculation'!$D$16="% OF AFV(12M)",AVERAGE($M33:M44),IF('Pre-Calculation'!$D$16="% OF AFV(36M)",AVERAGE($M9:M44)))))</f>
        <v>407235.4498</v>
      </c>
      <c r="O44" s="175">
        <f t="shared" si="4"/>
        <v>407235.4498</v>
      </c>
      <c r="P44" s="175">
        <f>IF('Pre-Calculation'!$D$17="Type 4 a",MAX(SA,N44,1.05*Q44),IF('Pre-Calculation'!$D$17="Type 4 c",N44,IF('Pre-Calculation'!$D$17="Type 4 d",SA+N44,IF('Pre-Calculation'!$D$17="Type 4 e",MAX(SA,N44),IF('Pre-Calculation'!$D$17="Type 4 f",SA,IF('Pre-Calculation'!$D$17="Type 4 g",1000+N44,IF('Pre-Calculation'!$D$17="Type 4 h",SA+X44,IF('Pre-Calculation'!$D$17="Type 4 i",MAX(N44,Q44),IF('Pre-Calculation'!$D$17="Type 4 k",MAX(N44,1.01*Q44),IF('Pre-Calculation'!$D$17="Type 4 m",MAX(105%*Q44,SA+N44),IF('Pre-Calculation'!$D$17="Type 4 o",MAX(SA,105%*Q44)+X44+Z44,IF('Pre-Calculation'!$D$17="Type 5",0))))))))))))</f>
        <v>1050000</v>
      </c>
      <c r="Q44" s="175">
        <f t="shared" si="5"/>
        <v>1000000</v>
      </c>
      <c r="R44" s="119">
        <f>L44*(1+GROWTH_RATE)*FMC</f>
        <v>458.4990636</v>
      </c>
      <c r="S44" s="178">
        <f>S43*(1+'Pre-Calculation'!$E$27)</f>
        <v>724810.4803</v>
      </c>
      <c r="T44" s="175">
        <f>-E44+IF(A43=INPUT!$C$11*12,N44,0)</f>
        <v>0</v>
      </c>
      <c r="U44" s="175">
        <f t="shared" si="6"/>
        <v>438639.9313</v>
      </c>
      <c r="V44" s="175">
        <f>U44*(1+GROWTH_RATE_H)*(1-'Pre-Calculation'!$E$31)</f>
        <v>440726.9762</v>
      </c>
      <c r="W44" s="175">
        <f>-E44+IF(A43=INPUT!$C$11*12,V44,0)</f>
        <v>0</v>
      </c>
      <c r="X44" s="179">
        <f t="array" ref="X44">NPV('Pre-Calculation'!$E$20,$E45:E$246)</f>
        <v>479349.0368</v>
      </c>
      <c r="Y44" s="171">
        <f>10%*SA</f>
        <v>100000</v>
      </c>
      <c r="Z44" s="179">
        <f t="array" ref="Z44">NPV('Pre-Calculation'!$E$20,Y45:Y54)</f>
        <v>969592.8037</v>
      </c>
    </row>
    <row r="45" ht="15.75" customHeight="1">
      <c r="A45" s="171">
        <f t="shared" si="1"/>
        <v>39</v>
      </c>
      <c r="B45" s="171">
        <f t="shared" si="2"/>
        <v>4</v>
      </c>
      <c r="C45" s="176">
        <f>EDATE(RCD,A44)</f>
        <v>43707</v>
      </c>
      <c r="D45" s="171">
        <f>Age_At_Entry+'Cashflows_8% from Start'!B45-1</f>
        <v>38</v>
      </c>
      <c r="E45" s="175">
        <f>IF(AND(C45&lt;=Last_Prem,MOD(A44,Mode)=0),Mod_Prem,0)</f>
        <v>0</v>
      </c>
      <c r="F45" s="177">
        <f>E45*VLOOKUP(B45,'Pre-Calculation'!$H$1:$I$31,2,FALSE)</f>
        <v>0</v>
      </c>
      <c r="G45" s="177">
        <f>IF(B45&lt;PT+1,VLOOKUP(B45,'Pre-Calculation'!$H$1:$L$32,3,FALSE)+VLOOKUP(B45,'Pre-Calculation'!$H$1:$L$32,4,FALSE)*'Pre-Calculation'!$D$7,0)</f>
        <v>420</v>
      </c>
      <c r="H45" s="175">
        <f>(E45-(F45+G45)*(1+Tax)+N44)</f>
        <v>406739.8498</v>
      </c>
      <c r="I45" s="175">
        <f>IF(B45&lt;PT+1,VLOOKUP(D45,'Pre-Calculation'!$N$3:$P$79,IF(INPUT!$C$4="M",2,3),FALSE)*(J45/1000)*(1/12),0)</f>
        <v>83.03416439</v>
      </c>
      <c r="J45" s="175">
        <f t="shared" si="3"/>
        <v>643260.1502</v>
      </c>
      <c r="K45" s="175">
        <f>IF('Pre-Calculation'!$D$17="Type 4 a",MAX(SA,H45,1.05*Q45),IF('Pre-Calculation'!$D$17="Type 4 c",H45,IF('Pre-Calculation'!$D$17="Type 4 d",SA+H45,IF('Pre-Calculation'!$D$17="Type 4 e",MAX(SA,H45),IF('Pre-Calculation'!$D$17="Type 4 f",SA,IF('Pre-Calculation'!$D$17="Type 4 g",1000+H45,IF('Pre-Calculation'!$D$17="Type 4 h",SA+X45,IF('Pre-Calculation'!$D$17="Type 4 i",MAX(H45,Q45),IF('Pre-Calculation'!$D$17="Type 4 k",MAX(H45,1.01*Q45),IF('Pre-Calculation'!$D$17="Type 4 m",MAX(105%*Q45,SA+H45),IF('Pre-Calculation'!$D$17="Type 4 o",MAX(SA,105%*Q45)+X45+Z45,IF('Pre-Calculation'!$D$17="Type 5",0))))))))))))</f>
        <v>1050000</v>
      </c>
      <c r="L45" s="175">
        <f>H45-I45*(1+Tax)</f>
        <v>406641.8695</v>
      </c>
      <c r="M45" s="175">
        <f>L45*(1+GROWTH_RATE_H)*(1-FMC*(1+Tax))</f>
        <v>408715.2207</v>
      </c>
      <c r="N45" s="175">
        <f>M45+IF(MOD(A45,B45)=0,VLOOKUP(B45,'Pre-Calculation'!$H$1:$L$31,5,FALSE),0)*IF('Pre-Calculation'!$D$16="% OF FV",M45,IF(OR('Pre-Calculation'!$D$16="% OF AFV(24M)",'Pre-Calculation'!$D$16="% OF AFV(8Q)"),AVERAGE( $M22:$M45),IF('Pre-Calculation'!$D$16="% OF AFV(12M)",AVERAGE($M34:M45),IF('Pre-Calculation'!$D$16="% OF AFV(36M)",AVERAGE($M10:M45)))))</f>
        <v>408715.2207</v>
      </c>
      <c r="O45" s="175">
        <f t="shared" si="4"/>
        <v>408715.2207</v>
      </c>
      <c r="P45" s="175">
        <f>IF('Pre-Calculation'!$D$17="Type 4 a",MAX(SA,N45,1.05*Q45),IF('Pre-Calculation'!$D$17="Type 4 c",N45,IF('Pre-Calculation'!$D$17="Type 4 d",SA+N45,IF('Pre-Calculation'!$D$17="Type 4 e",MAX(SA,N45),IF('Pre-Calculation'!$D$17="Type 4 f",SA,IF('Pre-Calculation'!$D$17="Type 4 g",1000+N45,IF('Pre-Calculation'!$D$17="Type 4 h",SA+X45,IF('Pre-Calculation'!$D$17="Type 4 i",MAX(N45,Q45),IF('Pre-Calculation'!$D$17="Type 4 k",MAX(N45,1.01*Q45),IF('Pre-Calculation'!$D$17="Type 4 m",MAX(105%*Q45,SA+N45),IF('Pre-Calculation'!$D$17="Type 4 o",MAX(SA,105%*Q45)+X45+Z45,IF('Pre-Calculation'!$D$17="Type 5",0))))))))))))</f>
        <v>1050000</v>
      </c>
      <c r="Q45" s="175">
        <f t="shared" si="5"/>
        <v>1000000</v>
      </c>
      <c r="R45" s="119">
        <f>L45*(1+GROWTH_RATE)*FMC</f>
        <v>460.165111</v>
      </c>
      <c r="S45" s="178">
        <f>S44*(1+'Pre-Calculation'!$E$27)</f>
        <v>726891.3378</v>
      </c>
      <c r="T45" s="175">
        <f>-E45+IF(A44=INPUT!$C$11*12,N45,0)</f>
        <v>0</v>
      </c>
      <c r="U45" s="175">
        <f t="shared" si="6"/>
        <v>440726.9762</v>
      </c>
      <c r="V45" s="175">
        <f>U45*(1+GROWTH_RATE_H)*(1-'Pre-Calculation'!$E$31)</f>
        <v>442823.9513</v>
      </c>
      <c r="W45" s="175">
        <f>-E45+IF(A44=INPUT!$C$11*12,V45,0)</f>
        <v>0</v>
      </c>
      <c r="X45" s="179">
        <f t="array" ref="X45">NPV('Pre-Calculation'!$E$20,$E46:E$246)</f>
        <v>482059.3459</v>
      </c>
      <c r="Y45" s="171">
        <f>10%*SA</f>
        <v>100000</v>
      </c>
      <c r="Z45" s="179">
        <f t="array" ref="Z45">NPV('Pre-Calculation'!$E$20,Y46:Y55)</f>
        <v>969592.8037</v>
      </c>
    </row>
    <row r="46" ht="15.75" customHeight="1">
      <c r="A46" s="171">
        <f t="shared" si="1"/>
        <v>40</v>
      </c>
      <c r="B46" s="171">
        <f t="shared" si="2"/>
        <v>4</v>
      </c>
      <c r="C46" s="176">
        <f>EDATE(RCD,A45)</f>
        <v>43738</v>
      </c>
      <c r="D46" s="171">
        <f>Age_At_Entry+'Cashflows_8% from Start'!B46-1</f>
        <v>38</v>
      </c>
      <c r="E46" s="175">
        <f>IF(AND(C46&lt;=Last_Prem,MOD(A45,Mode)=0),Mod_Prem,0)</f>
        <v>0</v>
      </c>
      <c r="F46" s="177">
        <f>E46*VLOOKUP(B46,'Pre-Calculation'!$H$1:$I$31,2,FALSE)</f>
        <v>0</v>
      </c>
      <c r="G46" s="177">
        <f>IF(B46&lt;PT+1,VLOOKUP(B46,'Pre-Calculation'!$H$1:$L$32,3,FALSE)+VLOOKUP(B46,'Pre-Calculation'!$H$1:$L$32,4,FALSE)*'Pre-Calculation'!$D$7,0)</f>
        <v>420</v>
      </c>
      <c r="H46" s="175">
        <f>(E46-(F46+G46)*(1+Tax)+N45)</f>
        <v>408219.6207</v>
      </c>
      <c r="I46" s="175">
        <f>IF(B46&lt;PT+1,VLOOKUP(D46,'Pre-Calculation'!$N$3:$P$79,IF(INPUT!$C$4="M",2,3),FALSE)*(J46/1000)*(1/12),0)</f>
        <v>82.84315063</v>
      </c>
      <c r="J46" s="175">
        <f t="shared" si="3"/>
        <v>641780.3793</v>
      </c>
      <c r="K46" s="175">
        <f>IF('Pre-Calculation'!$D$17="Type 4 a",MAX(SA,H46,1.05*Q46),IF('Pre-Calculation'!$D$17="Type 4 c",H46,IF('Pre-Calculation'!$D$17="Type 4 d",SA+H46,IF('Pre-Calculation'!$D$17="Type 4 e",MAX(SA,H46),IF('Pre-Calculation'!$D$17="Type 4 f",SA,IF('Pre-Calculation'!$D$17="Type 4 g",1000+H46,IF('Pre-Calculation'!$D$17="Type 4 h",SA+X46,IF('Pre-Calculation'!$D$17="Type 4 i",MAX(H46,Q46),IF('Pre-Calculation'!$D$17="Type 4 k",MAX(H46,1.01*Q46),IF('Pre-Calculation'!$D$17="Type 4 m",MAX(105%*Q46,SA+H46),IF('Pre-Calculation'!$D$17="Type 4 o",MAX(SA,105%*Q46)+X46+Z46,IF('Pre-Calculation'!$D$17="Type 5",0))))))))))))</f>
        <v>1050000</v>
      </c>
      <c r="L46" s="175">
        <f>H46-I46*(1+Tax)</f>
        <v>408121.8658</v>
      </c>
      <c r="M46" s="175">
        <f>L46*(1+GROWTH_RATE_H)*(1-FMC*(1+Tax))</f>
        <v>410202.7631</v>
      </c>
      <c r="N46" s="175">
        <f>M46+IF(MOD(A46,B46)=0,VLOOKUP(B46,'Pre-Calculation'!$H$1:$L$31,5,FALSE),0)*IF('Pre-Calculation'!$D$16="% OF FV",M46,IF(OR('Pre-Calculation'!$D$16="% OF AFV(24M)",'Pre-Calculation'!$D$16="% OF AFV(8Q)"),AVERAGE( $M23:$M46),IF('Pre-Calculation'!$D$16="% OF AFV(12M)",AVERAGE($M35:M46),IF('Pre-Calculation'!$D$16="% OF AFV(36M)",AVERAGE($M11:M46)))))</f>
        <v>410202.7631</v>
      </c>
      <c r="O46" s="175">
        <f t="shared" si="4"/>
        <v>410202.7631</v>
      </c>
      <c r="P46" s="175">
        <f>IF('Pre-Calculation'!$D$17="Type 4 a",MAX(SA,N46,1.05*Q46),IF('Pre-Calculation'!$D$17="Type 4 c",N46,IF('Pre-Calculation'!$D$17="Type 4 d",SA+N46,IF('Pre-Calculation'!$D$17="Type 4 e",MAX(SA,N46),IF('Pre-Calculation'!$D$17="Type 4 f",SA,IF('Pre-Calculation'!$D$17="Type 4 g",1000+N46,IF('Pre-Calculation'!$D$17="Type 4 h",SA+X46,IF('Pre-Calculation'!$D$17="Type 4 i",MAX(N46,Q46),IF('Pre-Calculation'!$D$17="Type 4 k",MAX(N46,1.01*Q46),IF('Pre-Calculation'!$D$17="Type 4 m",MAX(105%*Q46,SA+N46),IF('Pre-Calculation'!$D$17="Type 4 o",MAX(SA,105%*Q46)+X46+Z46,IF('Pre-Calculation'!$D$17="Type 5",0))))))))))))</f>
        <v>1050000</v>
      </c>
      <c r="Q46" s="175">
        <f t="shared" si="5"/>
        <v>1000000</v>
      </c>
      <c r="R46" s="119">
        <f>L46*(1+GROWTH_RATE)*FMC</f>
        <v>461.8399082</v>
      </c>
      <c r="S46" s="178">
        <f>S45*(1+'Pre-Calculation'!$E$27)</f>
        <v>728978.1692</v>
      </c>
      <c r="T46" s="175">
        <f>-E46+IF(A45=INPUT!$C$11*12,N46,0)</f>
        <v>0</v>
      </c>
      <c r="U46" s="175">
        <f t="shared" si="6"/>
        <v>442823.9513</v>
      </c>
      <c r="V46" s="175">
        <f>U46*(1+GROWTH_RATE_H)*(1-'Pre-Calculation'!$E$31)</f>
        <v>444930.9038</v>
      </c>
      <c r="W46" s="175">
        <f>-E46+IF(A45=INPUT!$C$11*12,V46,0)</f>
        <v>0</v>
      </c>
      <c r="X46" s="179">
        <f t="array" ref="X46">NPV('Pre-Calculation'!$E$20,$E47:E$246)</f>
        <v>484784.9796</v>
      </c>
      <c r="Y46" s="171">
        <f>10%*SA</f>
        <v>100000</v>
      </c>
      <c r="Z46" s="179">
        <f t="array" ref="Z46">NPV('Pre-Calculation'!$E$20,Y47:Y56)</f>
        <v>969592.8037</v>
      </c>
    </row>
    <row r="47" ht="15.75" customHeight="1">
      <c r="A47" s="171">
        <f t="shared" si="1"/>
        <v>41</v>
      </c>
      <c r="B47" s="171">
        <f t="shared" si="2"/>
        <v>4</v>
      </c>
      <c r="C47" s="176">
        <f>EDATE(RCD,A46)</f>
        <v>43768</v>
      </c>
      <c r="D47" s="171">
        <f>Age_At_Entry+'Cashflows_8% from Start'!B47-1</f>
        <v>38</v>
      </c>
      <c r="E47" s="175">
        <f>IF(AND(C47&lt;=Last_Prem,MOD(A46,Mode)=0),Mod_Prem,0)</f>
        <v>0</v>
      </c>
      <c r="F47" s="177">
        <f>E47*VLOOKUP(B47,'Pre-Calculation'!$H$1:$I$31,2,FALSE)</f>
        <v>0</v>
      </c>
      <c r="G47" s="177">
        <f>IF(B47&lt;PT+1,VLOOKUP(B47,'Pre-Calculation'!$H$1:$L$32,3,FALSE)+VLOOKUP(B47,'Pre-Calculation'!$H$1:$L$32,4,FALSE)*'Pre-Calculation'!$D$7,0)</f>
        <v>420</v>
      </c>
      <c r="H47" s="175">
        <f>(E47-(F47+G47)*(1+Tax)+N46)</f>
        <v>409707.1631</v>
      </c>
      <c r="I47" s="175">
        <f>IF(B47&lt;PT+1,VLOOKUP(D47,'Pre-Calculation'!$N$3:$P$79,IF(INPUT!$C$4="M",2,3),FALSE)*(J47/1000)*(1/12),0)</f>
        <v>82.6511337</v>
      </c>
      <c r="J47" s="175">
        <f t="shared" si="3"/>
        <v>640292.8369</v>
      </c>
      <c r="K47" s="175">
        <f>IF('Pre-Calculation'!$D$17="Type 4 a",MAX(SA,H47,1.05*Q47),IF('Pre-Calculation'!$D$17="Type 4 c",H47,IF('Pre-Calculation'!$D$17="Type 4 d",SA+H47,IF('Pre-Calculation'!$D$17="Type 4 e",MAX(SA,H47),IF('Pre-Calculation'!$D$17="Type 4 f",SA,IF('Pre-Calculation'!$D$17="Type 4 g",1000+H47,IF('Pre-Calculation'!$D$17="Type 4 h",SA+X47,IF('Pre-Calculation'!$D$17="Type 4 i",MAX(H47,Q47),IF('Pre-Calculation'!$D$17="Type 4 k",MAX(H47,1.01*Q47),IF('Pre-Calculation'!$D$17="Type 4 m",MAX(105%*Q47,SA+H47),IF('Pre-Calculation'!$D$17="Type 4 o",MAX(SA,105%*Q47)+X47+Z47,IF('Pre-Calculation'!$D$17="Type 5",0))))))))))))</f>
        <v>1050000</v>
      </c>
      <c r="L47" s="175">
        <f>H47-I47*(1+Tax)</f>
        <v>409609.6347</v>
      </c>
      <c r="M47" s="175">
        <f>L47*(1+GROWTH_RATE_H)*(1-FMC*(1+Tax))</f>
        <v>411698.1177</v>
      </c>
      <c r="N47" s="175">
        <f>M47+IF(MOD(A47,B47)=0,VLOOKUP(B47,'Pre-Calculation'!$H$1:$L$31,5,FALSE),0)*IF('Pre-Calculation'!$D$16="% OF FV",M47,IF(OR('Pre-Calculation'!$D$16="% OF AFV(24M)",'Pre-Calculation'!$D$16="% OF AFV(8Q)"),AVERAGE( $M24:$M47),IF('Pre-Calculation'!$D$16="% OF AFV(12M)",AVERAGE($M36:M47),IF('Pre-Calculation'!$D$16="% OF AFV(36M)",AVERAGE($M12:M47)))))</f>
        <v>411698.1177</v>
      </c>
      <c r="O47" s="175">
        <f t="shared" si="4"/>
        <v>411698.1177</v>
      </c>
      <c r="P47" s="175">
        <f>IF('Pre-Calculation'!$D$17="Type 4 a",MAX(SA,N47,1.05*Q47),IF('Pre-Calculation'!$D$17="Type 4 c",N47,IF('Pre-Calculation'!$D$17="Type 4 d",SA+N47,IF('Pre-Calculation'!$D$17="Type 4 e",MAX(SA,N47),IF('Pre-Calculation'!$D$17="Type 4 f",SA,IF('Pre-Calculation'!$D$17="Type 4 g",1000+N47,IF('Pre-Calculation'!$D$17="Type 4 h",SA+X47,IF('Pre-Calculation'!$D$17="Type 4 i",MAX(N47,Q47),IF('Pre-Calculation'!$D$17="Type 4 k",MAX(N47,1.01*Q47),IF('Pre-Calculation'!$D$17="Type 4 m",MAX(105%*Q47,SA+N47),IF('Pre-Calculation'!$D$17="Type 4 o",MAX(SA,105%*Q47)+X47+Z47,IF('Pre-Calculation'!$D$17="Type 5",0))))))))))))</f>
        <v>1050000</v>
      </c>
      <c r="Q47" s="175">
        <f t="shared" si="5"/>
        <v>1000000</v>
      </c>
      <c r="R47" s="119">
        <f>L47*(1+GROWTH_RATE)*FMC</f>
        <v>463.5235011</v>
      </c>
      <c r="S47" s="178">
        <f>S46*(1+'Pre-Calculation'!$E$27)</f>
        <v>731070.9917</v>
      </c>
      <c r="T47" s="175">
        <f>-E47+IF(A46=INPUT!$C$11*12,N47,0)</f>
        <v>0</v>
      </c>
      <c r="U47" s="175">
        <f t="shared" si="6"/>
        <v>444930.9038</v>
      </c>
      <c r="V47" s="175">
        <f>U47*(1+GROWTH_RATE_H)*(1-'Pre-Calculation'!$E$31)</f>
        <v>447047.8811</v>
      </c>
      <c r="W47" s="175">
        <f>-E47+IF(A46=INPUT!$C$11*12,V47,0)</f>
        <v>0</v>
      </c>
      <c r="X47" s="179">
        <f t="array" ref="X47">NPV('Pre-Calculation'!$E$20,$E48:E$246)</f>
        <v>487526.0243</v>
      </c>
      <c r="Y47" s="171">
        <f>10%*SA</f>
        <v>100000</v>
      </c>
      <c r="Z47" s="179">
        <f t="array" ref="Z47">NPV('Pre-Calculation'!$E$20,Y48:Y57)</f>
        <v>969592.8037</v>
      </c>
    </row>
    <row r="48" ht="15.75" customHeight="1">
      <c r="A48" s="171">
        <f t="shared" si="1"/>
        <v>42</v>
      </c>
      <c r="B48" s="171">
        <f t="shared" si="2"/>
        <v>4</v>
      </c>
      <c r="C48" s="176">
        <f>EDATE(RCD,A47)</f>
        <v>43799</v>
      </c>
      <c r="D48" s="171">
        <f>Age_At_Entry+'Cashflows_8% from Start'!B48-1</f>
        <v>38</v>
      </c>
      <c r="E48" s="175">
        <f>IF(AND(C48&lt;=Last_Prem,MOD(A47,Mode)=0),Mod_Prem,0)</f>
        <v>0</v>
      </c>
      <c r="F48" s="177">
        <f>E48*VLOOKUP(B48,'Pre-Calculation'!$H$1:$I$31,2,FALSE)</f>
        <v>0</v>
      </c>
      <c r="G48" s="177">
        <f>IF(B48&lt;PT+1,VLOOKUP(B48,'Pre-Calculation'!$H$1:$L$32,3,FALSE)+VLOOKUP(B48,'Pre-Calculation'!$H$1:$L$32,4,FALSE)*'Pre-Calculation'!$D$7,0)</f>
        <v>420</v>
      </c>
      <c r="H48" s="175">
        <f>(E48-(F48+G48)*(1+Tax)+N47)</f>
        <v>411202.5177</v>
      </c>
      <c r="I48" s="175">
        <f>IF(B48&lt;PT+1,VLOOKUP(D48,'Pre-Calculation'!$N$3:$P$79,IF(INPUT!$C$4="M",2,3),FALSE)*(J48/1000)*(1/12),0)</f>
        <v>82.45810834</v>
      </c>
      <c r="J48" s="175">
        <f t="shared" si="3"/>
        <v>638797.4823</v>
      </c>
      <c r="K48" s="175">
        <f>IF('Pre-Calculation'!$D$17="Type 4 a",MAX(SA,H48,1.05*Q48),IF('Pre-Calculation'!$D$17="Type 4 c",H48,IF('Pre-Calculation'!$D$17="Type 4 d",SA+H48,IF('Pre-Calculation'!$D$17="Type 4 e",MAX(SA,H48),IF('Pre-Calculation'!$D$17="Type 4 f",SA,IF('Pre-Calculation'!$D$17="Type 4 g",1000+H48,IF('Pre-Calculation'!$D$17="Type 4 h",SA+X48,IF('Pre-Calculation'!$D$17="Type 4 i",MAX(H48,Q48),IF('Pre-Calculation'!$D$17="Type 4 k",MAX(H48,1.01*Q48),IF('Pre-Calculation'!$D$17="Type 4 m",MAX(105%*Q48,SA+H48),IF('Pre-Calculation'!$D$17="Type 4 o",MAX(SA,105%*Q48)+X48+Z48,IF('Pre-Calculation'!$D$17="Type 5",0))))))))))))</f>
        <v>1050000</v>
      </c>
      <c r="L48" s="175">
        <f>H48-I48*(1+Tax)</f>
        <v>411105.2172</v>
      </c>
      <c r="M48" s="175">
        <f>L48*(1+GROWTH_RATE_H)*(1-FMC*(1+Tax))</f>
        <v>413201.3257</v>
      </c>
      <c r="N48" s="175">
        <f>M48+IF(MOD(A48,B48)=0,VLOOKUP(B48,'Pre-Calculation'!$H$1:$L$31,5,FALSE),0)*IF('Pre-Calculation'!$D$16="% OF FV",M48,IF(OR('Pre-Calculation'!$D$16="% OF AFV(24M)",'Pre-Calculation'!$D$16="% OF AFV(8Q)"),AVERAGE( $M25:$M48),IF('Pre-Calculation'!$D$16="% OF AFV(12M)",AVERAGE($M37:M48),IF('Pre-Calculation'!$D$16="% OF AFV(36M)",AVERAGE($M13:M48)))))</f>
        <v>413201.3257</v>
      </c>
      <c r="O48" s="175">
        <f t="shared" si="4"/>
        <v>413201.3257</v>
      </c>
      <c r="P48" s="175">
        <f>IF('Pre-Calculation'!$D$17="Type 4 a",MAX(SA,N48,1.05*Q48),IF('Pre-Calculation'!$D$17="Type 4 c",N48,IF('Pre-Calculation'!$D$17="Type 4 d",SA+N48,IF('Pre-Calculation'!$D$17="Type 4 e",MAX(SA,N48),IF('Pre-Calculation'!$D$17="Type 4 f",SA,IF('Pre-Calculation'!$D$17="Type 4 g",1000+N48,IF('Pre-Calculation'!$D$17="Type 4 h",SA+X48,IF('Pre-Calculation'!$D$17="Type 4 i",MAX(N48,Q48),IF('Pre-Calculation'!$D$17="Type 4 k",MAX(N48,1.01*Q48),IF('Pre-Calculation'!$D$17="Type 4 m",MAX(105%*Q48,SA+N48),IF('Pre-Calculation'!$D$17="Type 4 o",MAX(SA,105%*Q48)+X48+Z48,IF('Pre-Calculation'!$D$17="Type 5",0))))))))))))</f>
        <v>1050000</v>
      </c>
      <c r="Q48" s="175">
        <f t="shared" si="5"/>
        <v>1000000</v>
      </c>
      <c r="R48" s="119">
        <f>L48*(1+GROWTH_RATE)*FMC</f>
        <v>465.2159359</v>
      </c>
      <c r="S48" s="178">
        <f>S47*(1+'Pre-Calculation'!$E$27)</f>
        <v>733169.8224</v>
      </c>
      <c r="T48" s="175">
        <f>-E48+IF(A47=INPUT!$C$11*12,N48,0)</f>
        <v>0</v>
      </c>
      <c r="U48" s="175">
        <f t="shared" si="6"/>
        <v>447047.8811</v>
      </c>
      <c r="V48" s="175">
        <f>U48*(1+GROWTH_RATE_H)*(1-'Pre-Calculation'!$E$31)</f>
        <v>449174.931</v>
      </c>
      <c r="W48" s="175">
        <f>-E48+IF(A47=INPUT!$C$11*12,V48,0)</f>
        <v>0</v>
      </c>
      <c r="X48" s="179">
        <f t="array" ref="X48">NPV('Pre-Calculation'!$E$20,$E49:E$246)</f>
        <v>490282.5674</v>
      </c>
      <c r="Y48" s="171">
        <f>10%*SA</f>
        <v>100000</v>
      </c>
      <c r="Z48" s="179">
        <f t="array" ref="Z48">NPV('Pre-Calculation'!$E$20,Y49:Y58)</f>
        <v>969592.8037</v>
      </c>
    </row>
    <row r="49" ht="15.75" customHeight="1">
      <c r="A49" s="171">
        <f t="shared" si="1"/>
        <v>43</v>
      </c>
      <c r="B49" s="171">
        <f t="shared" si="2"/>
        <v>4</v>
      </c>
      <c r="C49" s="176">
        <f>EDATE(RCD,A48)</f>
        <v>43829</v>
      </c>
      <c r="D49" s="171">
        <f>Age_At_Entry+'Cashflows_8% from Start'!B49-1</f>
        <v>38</v>
      </c>
      <c r="E49" s="175">
        <f>IF(AND(C49&lt;=Last_Prem,MOD(A48,Mode)=0),Mod_Prem,0)</f>
        <v>0</v>
      </c>
      <c r="F49" s="177">
        <f>E49*VLOOKUP(B49,'Pre-Calculation'!$H$1:$I$31,2,FALSE)</f>
        <v>0</v>
      </c>
      <c r="G49" s="177">
        <f>IF(B49&lt;PT+1,VLOOKUP(B49,'Pre-Calculation'!$H$1:$L$32,3,FALSE)+VLOOKUP(B49,'Pre-Calculation'!$H$1:$L$32,4,FALSE)*'Pre-Calculation'!$D$7,0)</f>
        <v>420</v>
      </c>
      <c r="H49" s="175">
        <f>(E49-(F49+G49)*(1+Tax)+N48)</f>
        <v>412705.7257</v>
      </c>
      <c r="I49" s="175">
        <f>IF(B49&lt;PT+1,VLOOKUP(D49,'Pre-Calculation'!$N$3:$P$79,IF(INPUT!$C$4="M",2,3),FALSE)*(J49/1000)*(1/12),0)</f>
        <v>82.26406924</v>
      </c>
      <c r="J49" s="175">
        <f t="shared" si="3"/>
        <v>637294.2743</v>
      </c>
      <c r="K49" s="175">
        <f>IF('Pre-Calculation'!$D$17="Type 4 a",MAX(SA,H49,1.05*Q49),IF('Pre-Calculation'!$D$17="Type 4 c",H49,IF('Pre-Calculation'!$D$17="Type 4 d",SA+H49,IF('Pre-Calculation'!$D$17="Type 4 e",MAX(SA,H49),IF('Pre-Calculation'!$D$17="Type 4 f",SA,IF('Pre-Calculation'!$D$17="Type 4 g",1000+H49,IF('Pre-Calculation'!$D$17="Type 4 h",SA+X49,IF('Pre-Calculation'!$D$17="Type 4 i",MAX(H49,Q49),IF('Pre-Calculation'!$D$17="Type 4 k",MAX(H49,1.01*Q49),IF('Pre-Calculation'!$D$17="Type 4 m",MAX(105%*Q49,SA+H49),IF('Pre-Calculation'!$D$17="Type 4 o",MAX(SA,105%*Q49)+X49+Z49,IF('Pre-Calculation'!$D$17="Type 5",0))))))))))))</f>
        <v>1050000</v>
      </c>
      <c r="L49" s="175">
        <f>H49-I49*(1+Tax)</f>
        <v>412608.6541</v>
      </c>
      <c r="M49" s="175">
        <f>L49*(1+GROWTH_RATE_H)*(1-FMC*(1+Tax))</f>
        <v>414712.4282</v>
      </c>
      <c r="N49" s="175">
        <f>M49+IF(MOD(A49,B49)=0,VLOOKUP(B49,'Pre-Calculation'!$H$1:$L$31,5,FALSE),0)*IF('Pre-Calculation'!$D$16="% OF FV",M49,IF(OR('Pre-Calculation'!$D$16="% OF AFV(24M)",'Pre-Calculation'!$D$16="% OF AFV(8Q)"),AVERAGE( $M26:$M49),IF('Pre-Calculation'!$D$16="% OF AFV(12M)",AVERAGE($M38:M49),IF('Pre-Calculation'!$D$16="% OF AFV(36M)",AVERAGE($M14:M49)))))</f>
        <v>414712.4282</v>
      </c>
      <c r="O49" s="175">
        <f t="shared" si="4"/>
        <v>414712.4282</v>
      </c>
      <c r="P49" s="175">
        <f>IF('Pre-Calculation'!$D$17="Type 4 a",MAX(SA,N49,1.05*Q49),IF('Pre-Calculation'!$D$17="Type 4 c",N49,IF('Pre-Calculation'!$D$17="Type 4 d",SA+N49,IF('Pre-Calculation'!$D$17="Type 4 e",MAX(SA,N49),IF('Pre-Calculation'!$D$17="Type 4 f",SA,IF('Pre-Calculation'!$D$17="Type 4 g",1000+N49,IF('Pre-Calculation'!$D$17="Type 4 h",SA+X49,IF('Pre-Calculation'!$D$17="Type 4 i",MAX(N49,Q49),IF('Pre-Calculation'!$D$17="Type 4 k",MAX(N49,1.01*Q49),IF('Pre-Calculation'!$D$17="Type 4 m",MAX(105%*Q49,SA+N49),IF('Pre-Calculation'!$D$17="Type 4 o",MAX(SA,105%*Q49)+X49+Z49,IF('Pre-Calculation'!$D$17="Type 5",0))))))))))))</f>
        <v>1050000</v>
      </c>
      <c r="Q49" s="175">
        <f t="shared" si="5"/>
        <v>1000000</v>
      </c>
      <c r="R49" s="119">
        <f>L49*(1+GROWTH_RATE)*FMC</f>
        <v>466.917259</v>
      </c>
      <c r="S49" s="178">
        <f>S48*(1+'Pre-Calculation'!$E$27)</f>
        <v>735274.6787</v>
      </c>
      <c r="T49" s="175">
        <f>-E49+IF(A48=INPUT!$C$11*12,N49,0)</f>
        <v>0</v>
      </c>
      <c r="U49" s="175">
        <f t="shared" si="6"/>
        <v>449174.931</v>
      </c>
      <c r="V49" s="175">
        <f>U49*(1+GROWTH_RATE_H)*(1-'Pre-Calculation'!$E$31)</f>
        <v>451312.1014</v>
      </c>
      <c r="W49" s="175">
        <f>-E49+IF(A48=INPUT!$C$11*12,V49,0)</f>
        <v>0</v>
      </c>
      <c r="X49" s="179">
        <f t="array" ref="X49">NPV('Pre-Calculation'!$E$20,$E50:E$246)</f>
        <v>493054.6963</v>
      </c>
      <c r="Y49" s="171">
        <f>10%*SA</f>
        <v>100000</v>
      </c>
      <c r="Z49" s="179">
        <f t="array" ref="Z49">NPV('Pre-Calculation'!$E$20,Y50:Y59)</f>
        <v>969592.8037</v>
      </c>
    </row>
    <row r="50" ht="15.75" customHeight="1">
      <c r="A50" s="171">
        <f t="shared" si="1"/>
        <v>44</v>
      </c>
      <c r="B50" s="171">
        <f t="shared" si="2"/>
        <v>4</v>
      </c>
      <c r="C50" s="176">
        <f>EDATE(RCD,A49)</f>
        <v>43860</v>
      </c>
      <c r="D50" s="171">
        <f>Age_At_Entry+'Cashflows_8% from Start'!B50-1</f>
        <v>38</v>
      </c>
      <c r="E50" s="175">
        <f>IF(AND(C50&lt;=Last_Prem,MOD(A49,Mode)=0),Mod_Prem,0)</f>
        <v>0</v>
      </c>
      <c r="F50" s="177">
        <f>E50*VLOOKUP(B50,'Pre-Calculation'!$H$1:$I$31,2,FALSE)</f>
        <v>0</v>
      </c>
      <c r="G50" s="177">
        <f>IF(B50&lt;PT+1,VLOOKUP(B50,'Pre-Calculation'!$H$1:$L$32,3,FALSE)+VLOOKUP(B50,'Pre-Calculation'!$H$1:$L$32,4,FALSE)*'Pre-Calculation'!$D$7,0)</f>
        <v>420</v>
      </c>
      <c r="H50" s="175">
        <f>(E50-(F50+G50)*(1+Tax)+N49)</f>
        <v>414216.8282</v>
      </c>
      <c r="I50" s="175">
        <f>IF(B50&lt;PT+1,VLOOKUP(D50,'Pre-Calculation'!$N$3:$P$79,IF(INPUT!$C$4="M",2,3),FALSE)*(J50/1000)*(1/12),0)</f>
        <v>82.06901109</v>
      </c>
      <c r="J50" s="175">
        <f t="shared" si="3"/>
        <v>635783.1718</v>
      </c>
      <c r="K50" s="175">
        <f>IF('Pre-Calculation'!$D$17="Type 4 a",MAX(SA,H50,1.05*Q50),IF('Pre-Calculation'!$D$17="Type 4 c",H50,IF('Pre-Calculation'!$D$17="Type 4 d",SA+H50,IF('Pre-Calculation'!$D$17="Type 4 e",MAX(SA,H50),IF('Pre-Calculation'!$D$17="Type 4 f",SA,IF('Pre-Calculation'!$D$17="Type 4 g",1000+H50,IF('Pre-Calculation'!$D$17="Type 4 h",SA+X50,IF('Pre-Calculation'!$D$17="Type 4 i",MAX(H50,Q50),IF('Pre-Calculation'!$D$17="Type 4 k",MAX(H50,1.01*Q50),IF('Pre-Calculation'!$D$17="Type 4 m",MAX(105%*Q50,SA+H50),IF('Pre-Calculation'!$D$17="Type 4 o",MAX(SA,105%*Q50)+X50+Z50,IF('Pre-Calculation'!$D$17="Type 5",0))))))))))))</f>
        <v>1050000</v>
      </c>
      <c r="L50" s="175">
        <f>H50-I50*(1+Tax)</f>
        <v>414119.9868</v>
      </c>
      <c r="M50" s="175">
        <f>L50*(1+GROWTH_RATE_H)*(1-FMC*(1+Tax))</f>
        <v>416231.4668</v>
      </c>
      <c r="N50" s="175">
        <f>M50+IF(MOD(A50,B50)=0,VLOOKUP(B50,'Pre-Calculation'!$H$1:$L$31,5,FALSE),0)*IF('Pre-Calculation'!$D$16="% OF FV",M50,IF(OR('Pre-Calculation'!$D$16="% OF AFV(24M)",'Pre-Calculation'!$D$16="% OF AFV(8Q)"),AVERAGE( $M27:$M50),IF('Pre-Calculation'!$D$16="% OF AFV(12M)",AVERAGE($M39:M50),IF('Pre-Calculation'!$D$16="% OF AFV(36M)",AVERAGE($M15:M50)))))</f>
        <v>416231.4668</v>
      </c>
      <c r="O50" s="175">
        <f t="shared" si="4"/>
        <v>416231.4668</v>
      </c>
      <c r="P50" s="175">
        <f>IF('Pre-Calculation'!$D$17="Type 4 a",MAX(SA,N50,1.05*Q50),IF('Pre-Calculation'!$D$17="Type 4 c",N50,IF('Pre-Calculation'!$D$17="Type 4 d",SA+N50,IF('Pre-Calculation'!$D$17="Type 4 e",MAX(SA,N50),IF('Pre-Calculation'!$D$17="Type 4 f",SA,IF('Pre-Calculation'!$D$17="Type 4 g",1000+N50,IF('Pre-Calculation'!$D$17="Type 4 h",SA+X50,IF('Pre-Calculation'!$D$17="Type 4 i",MAX(N50,Q50),IF('Pre-Calculation'!$D$17="Type 4 k",MAX(N50,1.01*Q50),IF('Pre-Calculation'!$D$17="Type 4 m",MAX(105%*Q50,SA+N50),IF('Pre-Calculation'!$D$17="Type 4 o",MAX(SA,105%*Q50)+X50+Z50,IF('Pre-Calculation'!$D$17="Type 5",0))))))))))))</f>
        <v>1050000</v>
      </c>
      <c r="Q50" s="175">
        <f t="shared" si="5"/>
        <v>1000000</v>
      </c>
      <c r="R50" s="119">
        <f>L50*(1+GROWTH_RATE)*FMC</f>
        <v>468.6275172</v>
      </c>
      <c r="S50" s="178">
        <f>S49*(1+'Pre-Calculation'!$E$27)</f>
        <v>737385.5779</v>
      </c>
      <c r="T50" s="175">
        <f>-E50+IF(A49=INPUT!$C$11*12,N50,0)</f>
        <v>0</v>
      </c>
      <c r="U50" s="175">
        <f t="shared" si="6"/>
        <v>451312.1014</v>
      </c>
      <c r="V50" s="175">
        <f>U50*(1+GROWTH_RATE_H)*(1-'Pre-Calculation'!$E$31)</f>
        <v>453459.4404</v>
      </c>
      <c r="W50" s="175">
        <f>-E50+IF(A49=INPUT!$C$11*12,V50,0)</f>
        <v>0</v>
      </c>
      <c r="X50" s="179">
        <f t="array" ref="X50">NPV('Pre-Calculation'!$E$20,$E51:E$246)</f>
        <v>495842.4992</v>
      </c>
      <c r="Y50" s="171">
        <f>10%*SA</f>
        <v>100000</v>
      </c>
      <c r="Z50" s="179">
        <f t="array" ref="Z50">NPV('Pre-Calculation'!$E$20,Y51:Y60)</f>
        <v>969592.8037</v>
      </c>
    </row>
    <row r="51" ht="15.75" customHeight="1">
      <c r="A51" s="171">
        <f t="shared" si="1"/>
        <v>45</v>
      </c>
      <c r="B51" s="171">
        <f t="shared" si="2"/>
        <v>4</v>
      </c>
      <c r="C51" s="176">
        <f>EDATE(RCD,A50)</f>
        <v>43890</v>
      </c>
      <c r="D51" s="171">
        <f>Age_At_Entry+'Cashflows_8% from Start'!B51-1</f>
        <v>38</v>
      </c>
      <c r="E51" s="175">
        <f>IF(AND(C51&lt;=Last_Prem,MOD(A50,Mode)=0),Mod_Prem,0)</f>
        <v>0</v>
      </c>
      <c r="F51" s="177">
        <f>E51*VLOOKUP(B51,'Pre-Calculation'!$H$1:$I$31,2,FALSE)</f>
        <v>0</v>
      </c>
      <c r="G51" s="177">
        <f>IF(B51&lt;PT+1,VLOOKUP(B51,'Pre-Calculation'!$H$1:$L$32,3,FALSE)+VLOOKUP(B51,'Pre-Calculation'!$H$1:$L$32,4,FALSE)*'Pre-Calculation'!$D$7,0)</f>
        <v>420</v>
      </c>
      <c r="H51" s="175">
        <f>(E51-(F51+G51)*(1+Tax)+N50)</f>
        <v>415735.8668</v>
      </c>
      <c r="I51" s="175">
        <f>IF(B51&lt;PT+1,VLOOKUP(D51,'Pre-Calculation'!$N$3:$P$79,IF(INPUT!$C$4="M",2,3),FALSE)*(J51/1000)*(1/12),0)</f>
        <v>81.87292853</v>
      </c>
      <c r="J51" s="175">
        <f t="shared" si="3"/>
        <v>634264.1332</v>
      </c>
      <c r="K51" s="175">
        <f>IF('Pre-Calculation'!$D$17="Type 4 a",MAX(SA,H51,1.05*Q51),IF('Pre-Calculation'!$D$17="Type 4 c",H51,IF('Pre-Calculation'!$D$17="Type 4 d",SA+H51,IF('Pre-Calculation'!$D$17="Type 4 e",MAX(SA,H51),IF('Pre-Calculation'!$D$17="Type 4 f",SA,IF('Pre-Calculation'!$D$17="Type 4 g",1000+H51,IF('Pre-Calculation'!$D$17="Type 4 h",SA+X51,IF('Pre-Calculation'!$D$17="Type 4 i",MAX(H51,Q51),IF('Pre-Calculation'!$D$17="Type 4 k",MAX(H51,1.01*Q51),IF('Pre-Calculation'!$D$17="Type 4 m",MAX(105%*Q51,SA+H51),IF('Pre-Calculation'!$D$17="Type 4 o",MAX(SA,105%*Q51)+X51+Z51,IF('Pre-Calculation'!$D$17="Type 5",0))))))))))))</f>
        <v>1050000</v>
      </c>
      <c r="L51" s="175">
        <f>H51-I51*(1+Tax)</f>
        <v>415639.2567</v>
      </c>
      <c r="M51" s="175">
        <f>L51*(1+GROWTH_RATE_H)*(1-FMC*(1+Tax))</f>
        <v>417758.4831</v>
      </c>
      <c r="N51" s="175">
        <f>M51+IF(MOD(A51,B51)=0,VLOOKUP(B51,'Pre-Calculation'!$H$1:$L$31,5,FALSE),0)*IF('Pre-Calculation'!$D$16="% OF FV",M51,IF(OR('Pre-Calculation'!$D$16="% OF AFV(24M)",'Pre-Calculation'!$D$16="% OF AFV(8Q)"),AVERAGE( $M28:$M51),IF('Pre-Calculation'!$D$16="% OF AFV(12M)",AVERAGE($M40:M51),IF('Pre-Calculation'!$D$16="% OF AFV(36M)",AVERAGE($M16:M51)))))</f>
        <v>417758.4831</v>
      </c>
      <c r="O51" s="175">
        <f t="shared" si="4"/>
        <v>417758.4831</v>
      </c>
      <c r="P51" s="175">
        <f>IF('Pre-Calculation'!$D$17="Type 4 a",MAX(SA,N51,1.05*Q51),IF('Pre-Calculation'!$D$17="Type 4 c",N51,IF('Pre-Calculation'!$D$17="Type 4 d",SA+N51,IF('Pre-Calculation'!$D$17="Type 4 e",MAX(SA,N51),IF('Pre-Calculation'!$D$17="Type 4 f",SA,IF('Pre-Calculation'!$D$17="Type 4 g",1000+N51,IF('Pre-Calculation'!$D$17="Type 4 h",SA+X51,IF('Pre-Calculation'!$D$17="Type 4 i",MAX(N51,Q51),IF('Pre-Calculation'!$D$17="Type 4 k",MAX(N51,1.01*Q51),IF('Pre-Calculation'!$D$17="Type 4 m",MAX(105%*Q51,SA+N51),IF('Pre-Calculation'!$D$17="Type 4 o",MAX(SA,105%*Q51)+X51+Z51,IF('Pre-Calculation'!$D$17="Type 5",0))))))))))))</f>
        <v>1050000</v>
      </c>
      <c r="Q51" s="175">
        <f t="shared" si="5"/>
        <v>1000000</v>
      </c>
      <c r="R51" s="119">
        <f>L51*(1+GROWTH_RATE)*FMC</f>
        <v>470.3467573</v>
      </c>
      <c r="S51" s="178">
        <f>S50*(1+'Pre-Calculation'!$E$27)</f>
        <v>739502.5372</v>
      </c>
      <c r="T51" s="175">
        <f>-E51+IF(A50=INPUT!$C$11*12,N51,0)</f>
        <v>0</v>
      </c>
      <c r="U51" s="175">
        <f t="shared" si="6"/>
        <v>453459.4404</v>
      </c>
      <c r="V51" s="175">
        <f>U51*(1+GROWTH_RATE_H)*(1-'Pre-Calculation'!$E$31)</f>
        <v>455616.9965</v>
      </c>
      <c r="W51" s="175">
        <f>-E51+IF(A50=INPUT!$C$11*12,V51,0)</f>
        <v>0</v>
      </c>
      <c r="X51" s="179">
        <f t="array" ref="X51">NPV('Pre-Calculation'!$E$20,$E52:E$246)</f>
        <v>498646.0648</v>
      </c>
      <c r="Y51" s="171">
        <f>10%*SA</f>
        <v>100000</v>
      </c>
      <c r="Z51" s="179">
        <f t="array" ref="Z51">NPV('Pre-Calculation'!$E$20,Y52:Y61)</f>
        <v>969592.8037</v>
      </c>
    </row>
    <row r="52" ht="15.75" customHeight="1">
      <c r="A52" s="171">
        <f t="shared" si="1"/>
        <v>46</v>
      </c>
      <c r="B52" s="171">
        <f t="shared" si="2"/>
        <v>4</v>
      </c>
      <c r="C52" s="176">
        <f>EDATE(RCD,A51)</f>
        <v>43920</v>
      </c>
      <c r="D52" s="171">
        <f>Age_At_Entry+'Cashflows_8% from Start'!B52-1</f>
        <v>38</v>
      </c>
      <c r="E52" s="175">
        <f>IF(AND(C52&lt;=Last_Prem,MOD(A51,Mode)=0),Mod_Prem,0)</f>
        <v>0</v>
      </c>
      <c r="F52" s="177">
        <f>E52*VLOOKUP(B52,'Pre-Calculation'!$H$1:$I$31,2,FALSE)</f>
        <v>0</v>
      </c>
      <c r="G52" s="177">
        <f>IF(B52&lt;PT+1,VLOOKUP(B52,'Pre-Calculation'!$H$1:$L$32,3,FALSE)+VLOOKUP(B52,'Pre-Calculation'!$H$1:$L$32,4,FALSE)*'Pre-Calculation'!$D$7,0)</f>
        <v>420</v>
      </c>
      <c r="H52" s="175">
        <f>(E52-(F52+G52)*(1+Tax)+N51)</f>
        <v>417262.8831</v>
      </c>
      <c r="I52" s="175">
        <f>IF(B52&lt;PT+1,VLOOKUP(D52,'Pre-Calculation'!$N$3:$P$79,IF(INPUT!$C$4="M",2,3),FALSE)*(J52/1000)*(1/12),0)</f>
        <v>81.67581618</v>
      </c>
      <c r="J52" s="175">
        <f t="shared" si="3"/>
        <v>632737.1169</v>
      </c>
      <c r="K52" s="175">
        <f>IF('Pre-Calculation'!$D$17="Type 4 a",MAX(SA,H52,1.05*Q52),IF('Pre-Calculation'!$D$17="Type 4 c",H52,IF('Pre-Calculation'!$D$17="Type 4 d",SA+H52,IF('Pre-Calculation'!$D$17="Type 4 e",MAX(SA,H52),IF('Pre-Calculation'!$D$17="Type 4 f",SA,IF('Pre-Calculation'!$D$17="Type 4 g",1000+H52,IF('Pre-Calculation'!$D$17="Type 4 h",SA+X52,IF('Pre-Calculation'!$D$17="Type 4 i",MAX(H52,Q52),IF('Pre-Calculation'!$D$17="Type 4 k",MAX(H52,1.01*Q52),IF('Pre-Calculation'!$D$17="Type 4 m",MAX(105%*Q52,SA+H52),IF('Pre-Calculation'!$D$17="Type 4 o",MAX(SA,105%*Q52)+X52+Z52,IF('Pre-Calculation'!$D$17="Type 5",0))))))))))))</f>
        <v>1050000</v>
      </c>
      <c r="L52" s="175">
        <f>H52-I52*(1+Tax)</f>
        <v>417166.5056</v>
      </c>
      <c r="M52" s="175">
        <f>L52*(1+GROWTH_RATE_H)*(1-FMC*(1+Tax))</f>
        <v>419293.5189</v>
      </c>
      <c r="N52" s="175">
        <f>M52+IF(MOD(A52,B52)=0,VLOOKUP(B52,'Pre-Calculation'!$H$1:$L$31,5,FALSE),0)*IF('Pre-Calculation'!$D$16="% OF FV",M52,IF(OR('Pre-Calculation'!$D$16="% OF AFV(24M)",'Pre-Calculation'!$D$16="% OF AFV(8Q)"),AVERAGE( $M29:$M52),IF('Pre-Calculation'!$D$16="% OF AFV(12M)",AVERAGE($M41:M52),IF('Pre-Calculation'!$D$16="% OF AFV(36M)",AVERAGE($M17:M52)))))</f>
        <v>419293.5189</v>
      </c>
      <c r="O52" s="175">
        <f t="shared" si="4"/>
        <v>419293.5189</v>
      </c>
      <c r="P52" s="175">
        <f>IF('Pre-Calculation'!$D$17="Type 4 a",MAX(SA,N52,1.05*Q52),IF('Pre-Calculation'!$D$17="Type 4 c",N52,IF('Pre-Calculation'!$D$17="Type 4 d",SA+N52,IF('Pre-Calculation'!$D$17="Type 4 e",MAX(SA,N52),IF('Pre-Calculation'!$D$17="Type 4 f",SA,IF('Pre-Calculation'!$D$17="Type 4 g",1000+N52,IF('Pre-Calculation'!$D$17="Type 4 h",SA+X52,IF('Pre-Calculation'!$D$17="Type 4 i",MAX(N52,Q52),IF('Pre-Calculation'!$D$17="Type 4 k",MAX(N52,1.01*Q52),IF('Pre-Calculation'!$D$17="Type 4 m",MAX(105%*Q52,SA+N52),IF('Pre-Calculation'!$D$17="Type 4 o",MAX(SA,105%*Q52)+X52+Z52,IF('Pre-Calculation'!$D$17="Type 5",0))))))))))))</f>
        <v>1050000</v>
      </c>
      <c r="Q52" s="175">
        <f t="shared" si="5"/>
        <v>1000000</v>
      </c>
      <c r="R52" s="119">
        <f>L52*(1+GROWTH_RATE)*FMC</f>
        <v>472.0750266</v>
      </c>
      <c r="S52" s="178">
        <f>S51*(1+'Pre-Calculation'!$E$27)</f>
        <v>741625.5741</v>
      </c>
      <c r="T52" s="175">
        <f>-E52+IF(A51=INPUT!$C$11*12,N52,0)</f>
        <v>0</v>
      </c>
      <c r="U52" s="175">
        <f t="shared" si="6"/>
        <v>455616.9965</v>
      </c>
      <c r="V52" s="175">
        <f>U52*(1+GROWTH_RATE_H)*(1-'Pre-Calculation'!$E$31)</f>
        <v>457784.8181</v>
      </c>
      <c r="W52" s="175">
        <f>-E52+IF(A51=INPUT!$C$11*12,V52,0)</f>
        <v>0</v>
      </c>
      <c r="X52" s="179">
        <f t="array" ref="X52">NPV('Pre-Calculation'!$E$20,$E53:E$246)</f>
        <v>501465.4821</v>
      </c>
      <c r="Y52" s="171">
        <f>10%*SA</f>
        <v>100000</v>
      </c>
      <c r="Z52" s="179">
        <f t="array" ref="Z52">NPV('Pre-Calculation'!$E$20,Y53:Y62)</f>
        <v>969592.8037</v>
      </c>
    </row>
    <row r="53" ht="15.75" customHeight="1">
      <c r="A53" s="171">
        <f t="shared" si="1"/>
        <v>47</v>
      </c>
      <c r="B53" s="171">
        <f t="shared" si="2"/>
        <v>4</v>
      </c>
      <c r="C53" s="176">
        <f>EDATE(RCD,A52)</f>
        <v>43951</v>
      </c>
      <c r="D53" s="171">
        <f>Age_At_Entry+'Cashflows_8% from Start'!B53-1</f>
        <v>38</v>
      </c>
      <c r="E53" s="175">
        <f>IF(AND(C53&lt;=Last_Prem,MOD(A52,Mode)=0),Mod_Prem,0)</f>
        <v>0</v>
      </c>
      <c r="F53" s="177">
        <f>E53*VLOOKUP(B53,'Pre-Calculation'!$H$1:$I$31,2,FALSE)</f>
        <v>0</v>
      </c>
      <c r="G53" s="177">
        <f>IF(B53&lt;PT+1,VLOOKUP(B53,'Pre-Calculation'!$H$1:$L$32,3,FALSE)+VLOOKUP(B53,'Pre-Calculation'!$H$1:$L$32,4,FALSE)*'Pre-Calculation'!$D$7,0)</f>
        <v>420</v>
      </c>
      <c r="H53" s="175">
        <f>(E53-(F53+G53)*(1+Tax)+N52)</f>
        <v>418797.9189</v>
      </c>
      <c r="I53" s="175">
        <f>IF(B53&lt;PT+1,VLOOKUP(D53,'Pre-Calculation'!$N$3:$P$79,IF(INPUT!$C$4="M",2,3),FALSE)*(J53/1000)*(1/12),0)</f>
        <v>81.47766863</v>
      </c>
      <c r="J53" s="175">
        <f t="shared" si="3"/>
        <v>631202.0811</v>
      </c>
      <c r="K53" s="175">
        <f>IF('Pre-Calculation'!$D$17="Type 4 a",MAX(SA,H53,1.05*Q53),IF('Pre-Calculation'!$D$17="Type 4 c",H53,IF('Pre-Calculation'!$D$17="Type 4 d",SA+H53,IF('Pre-Calculation'!$D$17="Type 4 e",MAX(SA,H53),IF('Pre-Calculation'!$D$17="Type 4 f",SA,IF('Pre-Calculation'!$D$17="Type 4 g",1000+H53,IF('Pre-Calculation'!$D$17="Type 4 h",SA+X53,IF('Pre-Calculation'!$D$17="Type 4 i",MAX(H53,Q53),IF('Pre-Calculation'!$D$17="Type 4 k",MAX(H53,1.01*Q53),IF('Pre-Calculation'!$D$17="Type 4 m",MAX(105%*Q53,SA+H53),IF('Pre-Calculation'!$D$17="Type 4 o",MAX(SA,105%*Q53)+X53+Z53,IF('Pre-Calculation'!$D$17="Type 5",0))))))))))))</f>
        <v>1050000</v>
      </c>
      <c r="L53" s="175">
        <f>H53-I53*(1+Tax)</f>
        <v>418701.7753</v>
      </c>
      <c r="M53" s="175">
        <f>L53*(1+GROWTH_RATE_H)*(1-FMC*(1+Tax))</f>
        <v>420836.6165</v>
      </c>
      <c r="N53" s="175">
        <f>M53+IF(MOD(A53,B53)=0,VLOOKUP(B53,'Pre-Calculation'!$H$1:$L$31,5,FALSE),0)*IF('Pre-Calculation'!$D$16="% OF FV",M53,IF(OR('Pre-Calculation'!$D$16="% OF AFV(24M)",'Pre-Calculation'!$D$16="% OF AFV(8Q)"),AVERAGE( $M30:$M53),IF('Pre-Calculation'!$D$16="% OF AFV(12M)",AVERAGE($M42:M53),IF('Pre-Calculation'!$D$16="% OF AFV(36M)",AVERAGE($M18:M53)))))</f>
        <v>420836.6165</v>
      </c>
      <c r="O53" s="175">
        <f t="shared" si="4"/>
        <v>420836.6165</v>
      </c>
      <c r="P53" s="175">
        <f>IF('Pre-Calculation'!$D$17="Type 4 a",MAX(SA,N53,1.05*Q53),IF('Pre-Calculation'!$D$17="Type 4 c",N53,IF('Pre-Calculation'!$D$17="Type 4 d",SA+N53,IF('Pre-Calculation'!$D$17="Type 4 e",MAX(SA,N53),IF('Pre-Calculation'!$D$17="Type 4 f",SA,IF('Pre-Calculation'!$D$17="Type 4 g",1000+N53,IF('Pre-Calculation'!$D$17="Type 4 h",SA+X53,IF('Pre-Calculation'!$D$17="Type 4 i",MAX(N53,Q53),IF('Pre-Calculation'!$D$17="Type 4 k",MAX(N53,1.01*Q53),IF('Pre-Calculation'!$D$17="Type 4 m",MAX(105%*Q53,SA+N53),IF('Pre-Calculation'!$D$17="Type 4 o",MAX(SA,105%*Q53)+X53+Z53,IF('Pre-Calculation'!$D$17="Type 5",0))))))))))))</f>
        <v>1050000</v>
      </c>
      <c r="Q53" s="175">
        <f t="shared" si="5"/>
        <v>1000000</v>
      </c>
      <c r="R53" s="119">
        <f>L53*(1+GROWTH_RATE)*FMC</f>
        <v>473.8123724</v>
      </c>
      <c r="S53" s="178">
        <f>S52*(1+'Pre-Calculation'!$E$27)</f>
        <v>743754.706</v>
      </c>
      <c r="T53" s="175">
        <f>-E53+IF(A52=INPUT!$C$11*12,N53,0)</f>
        <v>0</v>
      </c>
      <c r="U53" s="175">
        <f t="shared" si="6"/>
        <v>457784.8181</v>
      </c>
      <c r="V53" s="175">
        <f>U53*(1+GROWTH_RATE_H)*(1-'Pre-Calculation'!$E$31)</f>
        <v>459962.9543</v>
      </c>
      <c r="W53" s="175">
        <f>-E53+IF(A52=INPUT!$C$11*12,V53,0)</f>
        <v>0</v>
      </c>
      <c r="X53" s="179">
        <f t="array" ref="X53">NPV('Pre-Calculation'!$E$20,$E54:E$246)</f>
        <v>504300.8409</v>
      </c>
      <c r="Y53" s="171">
        <f>10%*SA</f>
        <v>100000</v>
      </c>
      <c r="Z53" s="179">
        <f t="array" ref="Z53">NPV('Pre-Calculation'!$E$20,Y54:Y63)</f>
        <v>969592.8037</v>
      </c>
    </row>
    <row r="54" ht="15.75" customHeight="1">
      <c r="A54" s="171">
        <f t="shared" si="1"/>
        <v>48</v>
      </c>
      <c r="B54" s="171">
        <f t="shared" si="2"/>
        <v>4</v>
      </c>
      <c r="C54" s="176">
        <f>EDATE(RCD,A53)</f>
        <v>43981</v>
      </c>
      <c r="D54" s="171">
        <f>Age_At_Entry+'Cashflows_8% from Start'!B54-1</f>
        <v>38</v>
      </c>
      <c r="E54" s="175">
        <f>IF(AND(C54&lt;=Last_Prem,MOD(A53,Mode)=0),Mod_Prem,0)</f>
        <v>0</v>
      </c>
      <c r="F54" s="177">
        <f>E54*VLOOKUP(B54,'Pre-Calculation'!$H$1:$I$31,2,FALSE)</f>
        <v>0</v>
      </c>
      <c r="G54" s="177">
        <f>IF(B54&lt;PT+1,VLOOKUP(B54,'Pre-Calculation'!$H$1:$L$32,3,FALSE)+VLOOKUP(B54,'Pre-Calculation'!$H$1:$L$32,4,FALSE)*'Pre-Calculation'!$D$7,0)</f>
        <v>420</v>
      </c>
      <c r="H54" s="175">
        <f>(E54-(F54+G54)*(1+Tax)+N53)</f>
        <v>420341.0165</v>
      </c>
      <c r="I54" s="175">
        <f>IF(B54&lt;PT+1,VLOOKUP(D54,'Pre-Calculation'!$N$3:$P$79,IF(INPUT!$C$4="M",2,3),FALSE)*(J54/1000)*(1/12),0)</f>
        <v>81.27848045</v>
      </c>
      <c r="J54" s="175">
        <f t="shared" si="3"/>
        <v>629658.9835</v>
      </c>
      <c r="K54" s="175">
        <f>IF('Pre-Calculation'!$D$17="Type 4 a",MAX(SA,H54,1.05*Q54),IF('Pre-Calculation'!$D$17="Type 4 c",H54,IF('Pre-Calculation'!$D$17="Type 4 d",SA+H54,IF('Pre-Calculation'!$D$17="Type 4 e",MAX(SA,H54),IF('Pre-Calculation'!$D$17="Type 4 f",SA,IF('Pre-Calculation'!$D$17="Type 4 g",1000+H54,IF('Pre-Calculation'!$D$17="Type 4 h",SA+X54,IF('Pre-Calculation'!$D$17="Type 4 i",MAX(H54,Q54),IF('Pre-Calculation'!$D$17="Type 4 k",MAX(H54,1.01*Q54),IF('Pre-Calculation'!$D$17="Type 4 m",MAX(105%*Q54,SA+H54),IF('Pre-Calculation'!$D$17="Type 4 o",MAX(SA,105%*Q54)+X54+Z54,IF('Pre-Calculation'!$D$17="Type 5",0))))))))))))</f>
        <v>1050000</v>
      </c>
      <c r="L54" s="175">
        <f>H54-I54*(1+Tax)</f>
        <v>420245.1079</v>
      </c>
      <c r="M54" s="175">
        <f>L54*(1+GROWTH_RATE_H)*(1-FMC*(1+Tax))</f>
        <v>422387.8181</v>
      </c>
      <c r="N54" s="175">
        <f>M54+IF(MOD(A54,B54)=0,VLOOKUP(B54,'Pre-Calculation'!$H$1:$L$31,5,FALSE),0)*IF('Pre-Calculation'!$D$16="% OF FV",M54,IF(OR('Pre-Calculation'!$D$16="% OF AFV(24M)",'Pre-Calculation'!$D$16="% OF AFV(8Q)"),AVERAGE( $M31:$M54),IF('Pre-Calculation'!$D$16="% OF AFV(12M)",AVERAGE($M43:M54),IF('Pre-Calculation'!$D$16="% OF AFV(36M)",AVERAGE($M19:M54)))))</f>
        <v>422387.8181</v>
      </c>
      <c r="O54" s="175">
        <f t="shared" si="4"/>
        <v>422387.8181</v>
      </c>
      <c r="P54" s="175">
        <f>IF('Pre-Calculation'!$D$17="Type 4 a",MAX(SA,N54,1.05*Q54),IF('Pre-Calculation'!$D$17="Type 4 c",N54,IF('Pre-Calculation'!$D$17="Type 4 d",SA+N54,IF('Pre-Calculation'!$D$17="Type 4 e",MAX(SA,N54),IF('Pre-Calculation'!$D$17="Type 4 f",SA,IF('Pre-Calculation'!$D$17="Type 4 g",1000+N54,IF('Pre-Calculation'!$D$17="Type 4 h",SA+X54,IF('Pre-Calculation'!$D$17="Type 4 i",MAX(N54,Q54),IF('Pre-Calculation'!$D$17="Type 4 k",MAX(N54,1.01*Q54),IF('Pre-Calculation'!$D$17="Type 4 m",MAX(105%*Q54,SA+N54),IF('Pre-Calculation'!$D$17="Type 4 o",MAX(SA,105%*Q54)+X54+Z54,IF('Pre-Calculation'!$D$17="Type 5",0))))))))))))</f>
        <v>1050000</v>
      </c>
      <c r="Q54" s="175">
        <f t="shared" si="5"/>
        <v>1000000</v>
      </c>
      <c r="R54" s="119">
        <f>L54*(1+GROWTH_RATE)*FMC</f>
        <v>475.5588424</v>
      </c>
      <c r="S54" s="178">
        <f>S53*(1+'Pre-Calculation'!$E$27)</f>
        <v>745889.9504</v>
      </c>
      <c r="T54" s="175">
        <f>-E54+IF(A53=INPUT!$C$11*12,N54,0)</f>
        <v>0</v>
      </c>
      <c r="U54" s="175">
        <f t="shared" si="6"/>
        <v>459962.9543</v>
      </c>
      <c r="V54" s="175">
        <f>U54*(1+GROWTH_RATE_H)*(1-'Pre-Calculation'!$E$31)</f>
        <v>462151.454</v>
      </c>
      <c r="W54" s="175">
        <f>-E54+IF(A53=INPUT!$C$11*12,V54,0)</f>
        <v>0</v>
      </c>
      <c r="X54" s="179">
        <f t="array" ref="X54">NPV('Pre-Calculation'!$E$20,$E55:E$246)</f>
        <v>507152.2311</v>
      </c>
      <c r="Y54" s="171">
        <f>10%*SA</f>
        <v>100000</v>
      </c>
      <c r="Z54" s="179">
        <f t="array" ref="Z54">NPV('Pre-Calculation'!$E$20,Y55:Y64)</f>
        <v>969592.8037</v>
      </c>
    </row>
    <row r="55" ht="15.75" customHeight="1">
      <c r="A55" s="171">
        <f t="shared" si="1"/>
        <v>49</v>
      </c>
      <c r="B55" s="171">
        <f t="shared" si="2"/>
        <v>5</v>
      </c>
      <c r="C55" s="176">
        <f>EDATE(RCD,A54)</f>
        <v>44012</v>
      </c>
      <c r="D55" s="171">
        <f>Age_At_Entry+'Cashflows_8% from Start'!B55-1</f>
        <v>39</v>
      </c>
      <c r="E55" s="175">
        <f>IF(AND(C55&lt;=Last_Prem,MOD(A54,Mode)=0),Mod_Prem,0)</f>
        <v>100000</v>
      </c>
      <c r="F55" s="177">
        <f>E55*VLOOKUP(B55,'Pre-Calculation'!$H$1:$I$31,2,FALSE)</f>
        <v>0</v>
      </c>
      <c r="G55" s="177">
        <f>IF(B55&lt;PT+1,VLOOKUP(B55,'Pre-Calculation'!$H$1:$L$32,3,FALSE)+VLOOKUP(B55,'Pre-Calculation'!$H$1:$L$32,4,FALSE)*'Pre-Calculation'!$D$7,0)</f>
        <v>420</v>
      </c>
      <c r="H55" s="175">
        <f>(E55-(F55+G55)*(1+Tax)+N54)</f>
        <v>521892.2181</v>
      </c>
      <c r="I55" s="175">
        <f>IF(B55&lt;PT+1,VLOOKUP(D55,'Pre-Calculation'!$N$3:$P$79,IF(INPUT!$C$4="M",2,3),FALSE)*(J55/1000)*(1/12),0)</f>
        <v>87.9492227</v>
      </c>
      <c r="J55" s="175">
        <f t="shared" si="3"/>
        <v>633107.7819</v>
      </c>
      <c r="K55" s="175">
        <f>IF('Pre-Calculation'!$D$17="Type 4 a",MAX(SA,H55,1.05*Q55),IF('Pre-Calculation'!$D$17="Type 4 c",H55,IF('Pre-Calculation'!$D$17="Type 4 d",SA+H55,IF('Pre-Calculation'!$D$17="Type 4 e",MAX(SA,H55),IF('Pre-Calculation'!$D$17="Type 4 f",SA,IF('Pre-Calculation'!$D$17="Type 4 g",1000+H55,IF('Pre-Calculation'!$D$17="Type 4 h",SA+X55,IF('Pre-Calculation'!$D$17="Type 4 i",MAX(H55,Q55),IF('Pre-Calculation'!$D$17="Type 4 k",MAX(H55,1.01*Q55),IF('Pre-Calculation'!$D$17="Type 4 m",MAX(105%*Q55,SA+H55),IF('Pre-Calculation'!$D$17="Type 4 o",MAX(SA,105%*Q55)+X55+Z55,IF('Pre-Calculation'!$D$17="Type 5",0))))))))))))</f>
        <v>1155000</v>
      </c>
      <c r="L55" s="175">
        <f>H55-I55*(1+Tax)</f>
        <v>521788.4381</v>
      </c>
      <c r="M55" s="175">
        <f>L55*(1+GROWTH_RATE_H)*(1-FMC*(1+Tax))</f>
        <v>524448.8888</v>
      </c>
      <c r="N55" s="175">
        <f>M55+IF(MOD(A55,B55)=0,VLOOKUP(B55,'Pre-Calculation'!$H$1:$L$31,5,FALSE),0)*IF('Pre-Calculation'!$D$16="% OF FV",M55,IF(OR('Pre-Calculation'!$D$16="% OF AFV(24M)",'Pre-Calculation'!$D$16="% OF AFV(8Q)"),AVERAGE( $M32:$M55),IF('Pre-Calculation'!$D$16="% OF AFV(12M)",AVERAGE($M44:M55),IF('Pre-Calculation'!$D$16="% OF AFV(36M)",AVERAGE($M20:M55)))))</f>
        <v>524448.8888</v>
      </c>
      <c r="O55" s="175">
        <f t="shared" si="4"/>
        <v>524448.8888</v>
      </c>
      <c r="P55" s="175">
        <f>IF('Pre-Calculation'!$D$17="Type 4 a",MAX(SA,N55,1.05*Q55),IF('Pre-Calculation'!$D$17="Type 4 c",N55,IF('Pre-Calculation'!$D$17="Type 4 d",SA+N55,IF('Pre-Calculation'!$D$17="Type 4 e",MAX(SA,N55),IF('Pre-Calculation'!$D$17="Type 4 f",SA,IF('Pre-Calculation'!$D$17="Type 4 g",1000+N55,IF('Pre-Calculation'!$D$17="Type 4 h",SA+X55,IF('Pre-Calculation'!$D$17="Type 4 i",MAX(N55,Q55),IF('Pre-Calculation'!$D$17="Type 4 k",MAX(N55,1.01*Q55),IF('Pre-Calculation'!$D$17="Type 4 m",MAX(105%*Q55,SA+N55),IF('Pre-Calculation'!$D$17="Type 4 o",MAX(SA,105%*Q55)+X55+Z55,IF('Pre-Calculation'!$D$17="Type 5",0))))))))))))</f>
        <v>1155000</v>
      </c>
      <c r="Q55" s="175">
        <f t="shared" si="5"/>
        <v>1100000</v>
      </c>
      <c r="R55" s="119">
        <f>L55*(1+GROWTH_RATE)*FMC</f>
        <v>590.467565</v>
      </c>
      <c r="S55" s="178">
        <f>S54*(1+'Pre-Calculation'!$E$27)</f>
        <v>748031.3249</v>
      </c>
      <c r="T55" s="175">
        <f>-E55+IF(A54=INPUT!$C$11*12,N55,0)</f>
        <v>-100000</v>
      </c>
      <c r="U55" s="175">
        <f t="shared" si="6"/>
        <v>562151.454</v>
      </c>
      <c r="V55" s="175">
        <f>U55*(1+GROWTH_RATE_H)*(1-'Pre-Calculation'!$E$31)</f>
        <v>564826.1657</v>
      </c>
      <c r="W55" s="175">
        <f>-E55+IF(A54=INPUT!$C$11*12,V55,0)</f>
        <v>-100000</v>
      </c>
      <c r="X55" s="179">
        <f t="array" ref="X55">NPV('Pre-Calculation'!$E$20,$E56:E$246)</f>
        <v>410019.7436</v>
      </c>
      <c r="Y55" s="171">
        <f>10%*SA</f>
        <v>100000</v>
      </c>
      <c r="Z55" s="179">
        <f t="array" ref="Z55">NPV('Pre-Calculation'!$E$20,Y56:Y65)</f>
        <v>969592.8037</v>
      </c>
    </row>
    <row r="56" ht="15.75" customHeight="1">
      <c r="A56" s="171">
        <f t="shared" si="1"/>
        <v>50</v>
      </c>
      <c r="B56" s="171">
        <f t="shared" si="2"/>
        <v>5</v>
      </c>
      <c r="C56" s="176">
        <f>EDATE(RCD,A55)</f>
        <v>44042</v>
      </c>
      <c r="D56" s="171">
        <f>Age_At_Entry+'Cashflows_8% from Start'!B56-1</f>
        <v>39</v>
      </c>
      <c r="E56" s="175">
        <f>IF(AND(C56&lt;=Last_Prem,MOD(A55,Mode)=0),Mod_Prem,0)</f>
        <v>0</v>
      </c>
      <c r="F56" s="177">
        <f>E56*VLOOKUP(B56,'Pre-Calculation'!$H$1:$I$31,2,FALSE)</f>
        <v>0</v>
      </c>
      <c r="G56" s="177">
        <f>IF(B56&lt;PT+1,VLOOKUP(B56,'Pre-Calculation'!$H$1:$L$32,3,FALSE)+VLOOKUP(B56,'Pre-Calculation'!$H$1:$L$32,4,FALSE)*'Pre-Calculation'!$D$7,0)</f>
        <v>420</v>
      </c>
      <c r="H56" s="175">
        <f>(E56-(F56+G56)*(1+Tax)+N55)</f>
        <v>523953.2888</v>
      </c>
      <c r="I56" s="175">
        <f>IF(B56&lt;PT+1,VLOOKUP(D56,'Pre-Calculation'!$N$3:$P$79,IF(INPUT!$C$4="M",2,3),FALSE)*(J56/1000)*(1/12),0)</f>
        <v>87.66290562</v>
      </c>
      <c r="J56" s="175">
        <f t="shared" si="3"/>
        <v>631046.7112</v>
      </c>
      <c r="K56" s="175">
        <f>IF('Pre-Calculation'!$D$17="Type 4 a",MAX(SA,H56,1.05*Q56),IF('Pre-Calculation'!$D$17="Type 4 c",H56,IF('Pre-Calculation'!$D$17="Type 4 d",SA+H56,IF('Pre-Calculation'!$D$17="Type 4 e",MAX(SA,H56),IF('Pre-Calculation'!$D$17="Type 4 f",SA,IF('Pre-Calculation'!$D$17="Type 4 g",1000+H56,IF('Pre-Calculation'!$D$17="Type 4 h",SA+X56,IF('Pre-Calculation'!$D$17="Type 4 i",MAX(H56,Q56),IF('Pre-Calculation'!$D$17="Type 4 k",MAX(H56,1.01*Q56),IF('Pre-Calculation'!$D$17="Type 4 m",MAX(105%*Q56,SA+H56),IF('Pre-Calculation'!$D$17="Type 4 o",MAX(SA,105%*Q56)+X56+Z56,IF('Pre-Calculation'!$D$17="Type 5",0))))))))))))</f>
        <v>1155000</v>
      </c>
      <c r="L56" s="175">
        <f>H56-I56*(1+Tax)</f>
        <v>523849.8466</v>
      </c>
      <c r="M56" s="175">
        <f>L56*(1+GROWTH_RATE_H)*(1-FMC*(1+Tax))</f>
        <v>526520.808</v>
      </c>
      <c r="N56" s="175">
        <f>M56+IF(MOD(A56,B56)=0,VLOOKUP(B56,'Pre-Calculation'!$H$1:$L$31,5,FALSE),0)*IF('Pre-Calculation'!$D$16="% OF FV",M56,IF(OR('Pre-Calculation'!$D$16="% OF AFV(24M)",'Pre-Calculation'!$D$16="% OF AFV(8Q)"),AVERAGE( $M33:$M56),IF('Pre-Calculation'!$D$16="% OF AFV(12M)",AVERAGE($M45:M56),IF('Pre-Calculation'!$D$16="% OF AFV(36M)",AVERAGE($M21:M56)))))</f>
        <v>526520.808</v>
      </c>
      <c r="O56" s="175">
        <f t="shared" si="4"/>
        <v>526520.808</v>
      </c>
      <c r="P56" s="175">
        <f>IF('Pre-Calculation'!$D$17="Type 4 a",MAX(SA,N56,1.05*Q56),IF('Pre-Calculation'!$D$17="Type 4 c",N56,IF('Pre-Calculation'!$D$17="Type 4 d",SA+N56,IF('Pre-Calculation'!$D$17="Type 4 e",MAX(SA,N56),IF('Pre-Calculation'!$D$17="Type 4 f",SA,IF('Pre-Calculation'!$D$17="Type 4 g",1000+N56,IF('Pre-Calculation'!$D$17="Type 4 h",SA+X56,IF('Pre-Calculation'!$D$17="Type 4 i",MAX(N56,Q56),IF('Pre-Calculation'!$D$17="Type 4 k",MAX(N56,1.01*Q56),IF('Pre-Calculation'!$D$17="Type 4 m",MAX(105%*Q56,SA+N56),IF('Pre-Calculation'!$D$17="Type 4 o",MAX(SA,105%*Q56)+X56+Z56,IF('Pre-Calculation'!$D$17="Type 5",0))))))))))))</f>
        <v>1155000</v>
      </c>
      <c r="Q56" s="175">
        <f t="shared" si="5"/>
        <v>1100000</v>
      </c>
      <c r="R56" s="119">
        <f>L56*(1+GROWTH_RATE)*FMC</f>
        <v>592.8003015</v>
      </c>
      <c r="S56" s="178">
        <f>S55*(1+'Pre-Calculation'!$E$27)</f>
        <v>750178.8471</v>
      </c>
      <c r="T56" s="175">
        <f>-E56+IF(A55=INPUT!$C$11*12,N56,0)</f>
        <v>0</v>
      </c>
      <c r="U56" s="175">
        <f t="shared" si="6"/>
        <v>564826.1657</v>
      </c>
      <c r="V56" s="175">
        <f>U56*(1+GROWTH_RATE_H)*(1-'Pre-Calculation'!$E$31)</f>
        <v>567513.6036</v>
      </c>
      <c r="W56" s="175">
        <f>-E56+IF(A55=INPUT!$C$11*12,V56,0)</f>
        <v>0</v>
      </c>
      <c r="X56" s="179">
        <f t="array" ref="X56">NPV('Pre-Calculation'!$E$20,$E57:E$246)</f>
        <v>412338.0548</v>
      </c>
      <c r="Y56" s="171">
        <f>10%*SA</f>
        <v>100000</v>
      </c>
      <c r="Z56" s="179">
        <f t="array" ref="Z56">NPV('Pre-Calculation'!$E$20,Y57:Y66)</f>
        <v>969592.8037</v>
      </c>
    </row>
    <row r="57" ht="15.75" customHeight="1">
      <c r="A57" s="171">
        <f t="shared" si="1"/>
        <v>51</v>
      </c>
      <c r="B57" s="171">
        <f t="shared" si="2"/>
        <v>5</v>
      </c>
      <c r="C57" s="176">
        <f>EDATE(RCD,A56)</f>
        <v>44073</v>
      </c>
      <c r="D57" s="171">
        <f>Age_At_Entry+'Cashflows_8% from Start'!B57-1</f>
        <v>39</v>
      </c>
      <c r="E57" s="175">
        <f>IF(AND(C57&lt;=Last_Prem,MOD(A56,Mode)=0),Mod_Prem,0)</f>
        <v>0</v>
      </c>
      <c r="F57" s="177">
        <f>E57*VLOOKUP(B57,'Pre-Calculation'!$H$1:$I$31,2,FALSE)</f>
        <v>0</v>
      </c>
      <c r="G57" s="177">
        <f>IF(B57&lt;PT+1,VLOOKUP(B57,'Pre-Calculation'!$H$1:$L$32,3,FALSE)+VLOOKUP(B57,'Pre-Calculation'!$H$1:$L$32,4,FALSE)*'Pre-Calculation'!$D$7,0)</f>
        <v>420</v>
      </c>
      <c r="H57" s="175">
        <f>(E57-(F57+G57)*(1+Tax)+N56)</f>
        <v>526025.208</v>
      </c>
      <c r="I57" s="175">
        <f>IF(B57&lt;PT+1,VLOOKUP(D57,'Pre-Calculation'!$N$3:$P$79,IF(INPUT!$C$4="M",2,3),FALSE)*(J57/1000)*(1/12),0)</f>
        <v>87.37508153</v>
      </c>
      <c r="J57" s="175">
        <f t="shared" si="3"/>
        <v>628974.792</v>
      </c>
      <c r="K57" s="175">
        <f>IF('Pre-Calculation'!$D$17="Type 4 a",MAX(SA,H57,1.05*Q57),IF('Pre-Calculation'!$D$17="Type 4 c",H57,IF('Pre-Calculation'!$D$17="Type 4 d",SA+H57,IF('Pre-Calculation'!$D$17="Type 4 e",MAX(SA,H57),IF('Pre-Calculation'!$D$17="Type 4 f",SA,IF('Pre-Calculation'!$D$17="Type 4 g",1000+H57,IF('Pre-Calculation'!$D$17="Type 4 h",SA+X57,IF('Pre-Calculation'!$D$17="Type 4 i",MAX(H57,Q57),IF('Pre-Calculation'!$D$17="Type 4 k",MAX(H57,1.01*Q57),IF('Pre-Calculation'!$D$17="Type 4 m",MAX(105%*Q57,SA+H57),IF('Pre-Calculation'!$D$17="Type 4 o",MAX(SA,105%*Q57)+X57+Z57,IF('Pre-Calculation'!$D$17="Type 5",0))))))))))))</f>
        <v>1155000</v>
      </c>
      <c r="L57" s="175">
        <f>H57-I57*(1+Tax)</f>
        <v>525922.1054</v>
      </c>
      <c r="M57" s="175">
        <f>L57*(1+GROWTH_RATE_H)*(1-FMC*(1+Tax))</f>
        <v>528603.6325</v>
      </c>
      <c r="N57" s="175">
        <f>M57+IF(MOD(A57,B57)=0,VLOOKUP(B57,'Pre-Calculation'!$H$1:$L$31,5,FALSE),0)*IF('Pre-Calculation'!$D$16="% OF FV",M57,IF(OR('Pre-Calculation'!$D$16="% OF AFV(24M)",'Pre-Calculation'!$D$16="% OF AFV(8Q)"),AVERAGE( $M34:$M57),IF('Pre-Calculation'!$D$16="% OF AFV(12M)",AVERAGE($M46:M57),IF('Pre-Calculation'!$D$16="% OF AFV(36M)",AVERAGE($M22:M57)))))</f>
        <v>528603.6325</v>
      </c>
      <c r="O57" s="175">
        <f t="shared" si="4"/>
        <v>528603.6325</v>
      </c>
      <c r="P57" s="175">
        <f>IF('Pre-Calculation'!$D$17="Type 4 a",MAX(SA,N57,1.05*Q57),IF('Pre-Calculation'!$D$17="Type 4 c",N57,IF('Pre-Calculation'!$D$17="Type 4 d",SA+N57,IF('Pre-Calculation'!$D$17="Type 4 e",MAX(SA,N57),IF('Pre-Calculation'!$D$17="Type 4 f",SA,IF('Pre-Calculation'!$D$17="Type 4 g",1000+N57,IF('Pre-Calculation'!$D$17="Type 4 h",SA+X57,IF('Pre-Calculation'!$D$17="Type 4 i",MAX(N57,Q57),IF('Pre-Calculation'!$D$17="Type 4 k",MAX(N57,1.01*Q57),IF('Pre-Calculation'!$D$17="Type 4 m",MAX(105%*Q57,SA+N57),IF('Pre-Calculation'!$D$17="Type 4 o",MAX(SA,105%*Q57)+X57+Z57,IF('Pre-Calculation'!$D$17="Type 5",0))))))))))))</f>
        <v>1155000</v>
      </c>
      <c r="Q57" s="175">
        <f t="shared" si="5"/>
        <v>1100000</v>
      </c>
      <c r="R57" s="119">
        <f>L57*(1+GROWTH_RATE)*FMC</f>
        <v>595.1453162</v>
      </c>
      <c r="S57" s="178">
        <f>S56*(1+'Pre-Calculation'!$E$27)</f>
        <v>752332.5346</v>
      </c>
      <c r="T57" s="175">
        <f>-E57+IF(A56=INPUT!$C$11*12,N57,0)</f>
        <v>0</v>
      </c>
      <c r="U57" s="175">
        <f t="shared" si="6"/>
        <v>567513.6036</v>
      </c>
      <c r="V57" s="175">
        <f>U57*(1+GROWTH_RATE_H)*(1-'Pre-Calculation'!$E$31)</f>
        <v>570213.8284</v>
      </c>
      <c r="W57" s="175">
        <f>-E57+IF(A56=INPUT!$C$11*12,V57,0)</f>
        <v>0</v>
      </c>
      <c r="X57" s="179">
        <f t="array" ref="X57">NPV('Pre-Calculation'!$E$20,$E58:E$246)</f>
        <v>414669.4741</v>
      </c>
      <c r="Y57" s="171">
        <f>10%*SA</f>
        <v>100000</v>
      </c>
      <c r="Z57" s="179">
        <f t="array" ref="Z57">NPV('Pre-Calculation'!$E$20,Y58:Y67)</f>
        <v>969592.8037</v>
      </c>
    </row>
    <row r="58" ht="15.75" customHeight="1">
      <c r="A58" s="171">
        <f t="shared" si="1"/>
        <v>52</v>
      </c>
      <c r="B58" s="171">
        <f t="shared" si="2"/>
        <v>5</v>
      </c>
      <c r="C58" s="176">
        <f>EDATE(RCD,A57)</f>
        <v>44104</v>
      </c>
      <c r="D58" s="171">
        <f>Age_At_Entry+'Cashflows_8% from Start'!B58-1</f>
        <v>39</v>
      </c>
      <c r="E58" s="175">
        <f>IF(AND(C58&lt;=Last_Prem,MOD(A57,Mode)=0),Mod_Prem,0)</f>
        <v>0</v>
      </c>
      <c r="F58" s="177">
        <f>E58*VLOOKUP(B58,'Pre-Calculation'!$H$1:$I$31,2,FALSE)</f>
        <v>0</v>
      </c>
      <c r="G58" s="177">
        <f>IF(B58&lt;PT+1,VLOOKUP(B58,'Pre-Calculation'!$H$1:$L$32,3,FALSE)+VLOOKUP(B58,'Pre-Calculation'!$H$1:$L$32,4,FALSE)*'Pre-Calculation'!$D$7,0)</f>
        <v>420</v>
      </c>
      <c r="H58" s="175">
        <f>(E58-(F58+G58)*(1+Tax)+N57)</f>
        <v>528108.0325</v>
      </c>
      <c r="I58" s="175">
        <f>IF(B58&lt;PT+1,VLOOKUP(D58,'Pre-Calculation'!$N$3:$P$79,IF(INPUT!$C$4="M",2,3),FALSE)*(J58/1000)*(1/12),0)</f>
        <v>87.08574248</v>
      </c>
      <c r="J58" s="175">
        <f t="shared" si="3"/>
        <v>626891.9675</v>
      </c>
      <c r="K58" s="175">
        <f>IF('Pre-Calculation'!$D$17="Type 4 a",MAX(SA,H58,1.05*Q58),IF('Pre-Calculation'!$D$17="Type 4 c",H58,IF('Pre-Calculation'!$D$17="Type 4 d",SA+H58,IF('Pre-Calculation'!$D$17="Type 4 e",MAX(SA,H58),IF('Pre-Calculation'!$D$17="Type 4 f",SA,IF('Pre-Calculation'!$D$17="Type 4 g",1000+H58,IF('Pre-Calculation'!$D$17="Type 4 h",SA+X58,IF('Pre-Calculation'!$D$17="Type 4 i",MAX(H58,Q58),IF('Pre-Calculation'!$D$17="Type 4 k",MAX(H58,1.01*Q58),IF('Pre-Calculation'!$D$17="Type 4 m",MAX(105%*Q58,SA+H58),IF('Pre-Calculation'!$D$17="Type 4 o",MAX(SA,105%*Q58)+X58+Z58,IF('Pre-Calculation'!$D$17="Type 5",0))))))))))))</f>
        <v>1155000</v>
      </c>
      <c r="L58" s="175">
        <f>H58-I58*(1+Tax)</f>
        <v>528005.2714</v>
      </c>
      <c r="M58" s="175">
        <f>L58*(1+GROWTH_RATE_H)*(1-FMC*(1+Tax))</f>
        <v>530697.42</v>
      </c>
      <c r="N58" s="175">
        <f>M58+IF(MOD(A58,B58)=0,VLOOKUP(B58,'Pre-Calculation'!$H$1:$L$31,5,FALSE),0)*IF('Pre-Calculation'!$D$16="% OF FV",M58,IF(OR('Pre-Calculation'!$D$16="% OF AFV(24M)",'Pre-Calculation'!$D$16="% OF AFV(8Q)"),AVERAGE( $M35:$M58),IF('Pre-Calculation'!$D$16="% OF AFV(12M)",AVERAGE($M47:M58),IF('Pre-Calculation'!$D$16="% OF AFV(36M)",AVERAGE($M23:M58)))))</f>
        <v>530697.42</v>
      </c>
      <c r="O58" s="175">
        <f t="shared" si="4"/>
        <v>530697.42</v>
      </c>
      <c r="P58" s="175">
        <f>IF('Pre-Calculation'!$D$17="Type 4 a",MAX(SA,N58,1.05*Q58),IF('Pre-Calculation'!$D$17="Type 4 c",N58,IF('Pre-Calculation'!$D$17="Type 4 d",SA+N58,IF('Pre-Calculation'!$D$17="Type 4 e",MAX(SA,N58),IF('Pre-Calculation'!$D$17="Type 4 f",SA,IF('Pre-Calculation'!$D$17="Type 4 g",1000+N58,IF('Pre-Calculation'!$D$17="Type 4 h",SA+X58,IF('Pre-Calculation'!$D$17="Type 4 i",MAX(N58,Q58),IF('Pre-Calculation'!$D$17="Type 4 k",MAX(N58,1.01*Q58),IF('Pre-Calculation'!$D$17="Type 4 m",MAX(105%*Q58,SA+N58),IF('Pre-Calculation'!$D$17="Type 4 o",MAX(SA,105%*Q58)+X58+Z58,IF('Pre-Calculation'!$D$17="Type 5",0))))))))))))</f>
        <v>1155000</v>
      </c>
      <c r="Q58" s="175">
        <f t="shared" si="5"/>
        <v>1100000</v>
      </c>
      <c r="R58" s="119">
        <f>L58*(1+GROWTH_RATE)*FMC</f>
        <v>597.5026738</v>
      </c>
      <c r="S58" s="178">
        <f>S57*(1+'Pre-Calculation'!$E$27)</f>
        <v>754492.4051</v>
      </c>
      <c r="T58" s="175">
        <f>-E58+IF(A57=INPUT!$C$11*12,N58,0)</f>
        <v>0</v>
      </c>
      <c r="U58" s="175">
        <f t="shared" si="6"/>
        <v>570213.8284</v>
      </c>
      <c r="V58" s="175">
        <f>U58*(1+GROWTH_RATE_H)*(1-'Pre-Calculation'!$E$31)</f>
        <v>572926.9008</v>
      </c>
      <c r="W58" s="175">
        <f>-E58+IF(A57=INPUT!$C$11*12,V58,0)</f>
        <v>0</v>
      </c>
      <c r="X58" s="179">
        <f t="array" ref="X58">NPV('Pre-Calculation'!$E$20,$E59:E$246)</f>
        <v>417014.0756</v>
      </c>
      <c r="Y58" s="171">
        <f>10%*SA</f>
        <v>100000</v>
      </c>
      <c r="Z58" s="179">
        <f t="array" ref="Z58">NPV('Pre-Calculation'!$E$20,Y59:Y68)</f>
        <v>969592.8037</v>
      </c>
    </row>
    <row r="59" ht="15.75" customHeight="1">
      <c r="A59" s="171">
        <f t="shared" si="1"/>
        <v>53</v>
      </c>
      <c r="B59" s="171">
        <f t="shared" si="2"/>
        <v>5</v>
      </c>
      <c r="C59" s="176">
        <f>EDATE(RCD,A58)</f>
        <v>44134</v>
      </c>
      <c r="D59" s="171">
        <f>Age_At_Entry+'Cashflows_8% from Start'!B59-1</f>
        <v>39</v>
      </c>
      <c r="E59" s="175">
        <f>IF(AND(C59&lt;=Last_Prem,MOD(A58,Mode)=0),Mod_Prem,0)</f>
        <v>0</v>
      </c>
      <c r="F59" s="177">
        <f>E59*VLOOKUP(B59,'Pre-Calculation'!$H$1:$I$31,2,FALSE)</f>
        <v>0</v>
      </c>
      <c r="G59" s="177">
        <f>IF(B59&lt;PT+1,VLOOKUP(B59,'Pre-Calculation'!$H$1:$L$32,3,FALSE)+VLOOKUP(B59,'Pre-Calculation'!$H$1:$L$32,4,FALSE)*'Pre-Calculation'!$D$7,0)</f>
        <v>420</v>
      </c>
      <c r="H59" s="175">
        <f>(E59-(F59+G59)*(1+Tax)+N58)</f>
        <v>530201.82</v>
      </c>
      <c r="I59" s="175">
        <f>IF(B59&lt;PT+1,VLOOKUP(D59,'Pre-Calculation'!$N$3:$P$79,IF(INPUT!$C$4="M",2,3),FALSE)*(J59/1000)*(1/12),0)</f>
        <v>86.7948805</v>
      </c>
      <c r="J59" s="175">
        <f t="shared" si="3"/>
        <v>624798.18</v>
      </c>
      <c r="K59" s="175">
        <f>IF('Pre-Calculation'!$D$17="Type 4 a",MAX(SA,H59,1.05*Q59),IF('Pre-Calculation'!$D$17="Type 4 c",H59,IF('Pre-Calculation'!$D$17="Type 4 d",SA+H59,IF('Pre-Calculation'!$D$17="Type 4 e",MAX(SA,H59),IF('Pre-Calculation'!$D$17="Type 4 f",SA,IF('Pre-Calculation'!$D$17="Type 4 g",1000+H59,IF('Pre-Calculation'!$D$17="Type 4 h",SA+X59,IF('Pre-Calculation'!$D$17="Type 4 i",MAX(H59,Q59),IF('Pre-Calculation'!$D$17="Type 4 k",MAX(H59,1.01*Q59),IF('Pre-Calculation'!$D$17="Type 4 m",MAX(105%*Q59,SA+H59),IF('Pre-Calculation'!$D$17="Type 4 o",MAX(SA,105%*Q59)+X59+Z59,IF('Pre-Calculation'!$D$17="Type 5",0))))))))))))</f>
        <v>1155000</v>
      </c>
      <c r="L59" s="175">
        <f>H59-I59*(1+Tax)</f>
        <v>530099.4021</v>
      </c>
      <c r="M59" s="175">
        <f>L59*(1+GROWTH_RATE_H)*(1-FMC*(1+Tax))</f>
        <v>532802.2281</v>
      </c>
      <c r="N59" s="175">
        <f>M59+IF(MOD(A59,B59)=0,VLOOKUP(B59,'Pre-Calculation'!$H$1:$L$31,5,FALSE),0)*IF('Pre-Calculation'!$D$16="% OF FV",M59,IF(OR('Pre-Calculation'!$D$16="% OF AFV(24M)",'Pre-Calculation'!$D$16="% OF AFV(8Q)"),AVERAGE( $M36:$M59),IF('Pre-Calculation'!$D$16="% OF AFV(12M)",AVERAGE($M48:M59),IF('Pre-Calculation'!$D$16="% OF AFV(36M)",AVERAGE($M24:M59)))))</f>
        <v>532802.2281</v>
      </c>
      <c r="O59" s="175">
        <f t="shared" si="4"/>
        <v>532802.2281</v>
      </c>
      <c r="P59" s="175">
        <f>IF('Pre-Calculation'!$D$17="Type 4 a",MAX(SA,N59,1.05*Q59),IF('Pre-Calculation'!$D$17="Type 4 c",N59,IF('Pre-Calculation'!$D$17="Type 4 d",SA+N59,IF('Pre-Calculation'!$D$17="Type 4 e",MAX(SA,N59),IF('Pre-Calculation'!$D$17="Type 4 f",SA,IF('Pre-Calculation'!$D$17="Type 4 g",1000+N59,IF('Pre-Calculation'!$D$17="Type 4 h",SA+X59,IF('Pre-Calculation'!$D$17="Type 4 i",MAX(N59,Q59),IF('Pre-Calculation'!$D$17="Type 4 k",MAX(N59,1.01*Q59),IF('Pre-Calculation'!$D$17="Type 4 m",MAX(105%*Q59,SA+N59),IF('Pre-Calculation'!$D$17="Type 4 o",MAX(SA,105%*Q59)+X59+Z59,IF('Pre-Calculation'!$D$17="Type 5",0))))))))))))</f>
        <v>1155000</v>
      </c>
      <c r="Q59" s="175">
        <f t="shared" si="5"/>
        <v>1100000</v>
      </c>
      <c r="R59" s="119">
        <f>L59*(1+GROWTH_RATE)*FMC</f>
        <v>599.8724394</v>
      </c>
      <c r="S59" s="178">
        <f>S58*(1+'Pre-Calculation'!$E$27)</f>
        <v>756658.4764</v>
      </c>
      <c r="T59" s="175">
        <f>-E59+IF(A58=INPUT!$C$11*12,N59,0)</f>
        <v>0</v>
      </c>
      <c r="U59" s="175">
        <f t="shared" si="6"/>
        <v>572926.9008</v>
      </c>
      <c r="V59" s="175">
        <f>U59*(1+GROWTH_RATE_H)*(1-'Pre-Calculation'!$E$31)</f>
        <v>575652.8819</v>
      </c>
      <c r="W59" s="175">
        <f>-E59+IF(A58=INPUT!$C$11*12,V59,0)</f>
        <v>0</v>
      </c>
      <c r="X59" s="179">
        <f t="array" ref="X59">NPV('Pre-Calculation'!$E$20,$E60:E$246)</f>
        <v>419371.9339</v>
      </c>
      <c r="Y59" s="171">
        <f>10%*SA</f>
        <v>100000</v>
      </c>
      <c r="Z59" s="179">
        <f t="array" ref="Z59">NPV('Pre-Calculation'!$E$20,Y60:Y69)</f>
        <v>969592.8037</v>
      </c>
    </row>
    <row r="60" ht="15.75" customHeight="1">
      <c r="A60" s="171">
        <f t="shared" si="1"/>
        <v>54</v>
      </c>
      <c r="B60" s="171">
        <f t="shared" si="2"/>
        <v>5</v>
      </c>
      <c r="C60" s="176">
        <f>EDATE(RCD,A59)</f>
        <v>44165</v>
      </c>
      <c r="D60" s="171">
        <f>Age_At_Entry+'Cashflows_8% from Start'!B60-1</f>
        <v>39</v>
      </c>
      <c r="E60" s="175">
        <f>IF(AND(C60&lt;=Last_Prem,MOD(A59,Mode)=0),Mod_Prem,0)</f>
        <v>0</v>
      </c>
      <c r="F60" s="177">
        <f>E60*VLOOKUP(B60,'Pre-Calculation'!$H$1:$I$31,2,FALSE)</f>
        <v>0</v>
      </c>
      <c r="G60" s="177">
        <f>IF(B60&lt;PT+1,VLOOKUP(B60,'Pre-Calculation'!$H$1:$L$32,3,FALSE)+VLOOKUP(B60,'Pre-Calculation'!$H$1:$L$32,4,FALSE)*'Pre-Calculation'!$D$7,0)</f>
        <v>420</v>
      </c>
      <c r="H60" s="175">
        <f>(E60-(F60+G60)*(1+Tax)+N59)</f>
        <v>532306.6281</v>
      </c>
      <c r="I60" s="175">
        <f>IF(B60&lt;PT+1,VLOOKUP(D60,'Pre-Calculation'!$N$3:$P$79,IF(INPUT!$C$4="M",2,3),FALSE)*(J60/1000)*(1/12),0)</f>
        <v>86.50248758</v>
      </c>
      <c r="J60" s="175">
        <f t="shared" si="3"/>
        <v>622693.3719</v>
      </c>
      <c r="K60" s="175">
        <f>IF('Pre-Calculation'!$D$17="Type 4 a",MAX(SA,H60,1.05*Q60),IF('Pre-Calculation'!$D$17="Type 4 c",H60,IF('Pre-Calculation'!$D$17="Type 4 d",SA+H60,IF('Pre-Calculation'!$D$17="Type 4 e",MAX(SA,H60),IF('Pre-Calculation'!$D$17="Type 4 f",SA,IF('Pre-Calculation'!$D$17="Type 4 g",1000+H60,IF('Pre-Calculation'!$D$17="Type 4 h",SA+X60,IF('Pre-Calculation'!$D$17="Type 4 i",MAX(H60,Q60),IF('Pre-Calculation'!$D$17="Type 4 k",MAX(H60,1.01*Q60),IF('Pre-Calculation'!$D$17="Type 4 m",MAX(105%*Q60,SA+H60),IF('Pre-Calculation'!$D$17="Type 4 o",MAX(SA,105%*Q60)+X60+Z60,IF('Pre-Calculation'!$D$17="Type 5",0))))))))))))</f>
        <v>1155000</v>
      </c>
      <c r="L60" s="175">
        <f>H60-I60*(1+Tax)</f>
        <v>532204.5552</v>
      </c>
      <c r="M60" s="175">
        <f>L60*(1+GROWTH_RATE_H)*(1-FMC*(1+Tax))</f>
        <v>534918.1148</v>
      </c>
      <c r="N60" s="175">
        <f>M60+IF(MOD(A60,B60)=0,VLOOKUP(B60,'Pre-Calculation'!$H$1:$L$31,5,FALSE),0)*IF('Pre-Calculation'!$D$16="% OF FV",M60,IF(OR('Pre-Calculation'!$D$16="% OF AFV(24M)",'Pre-Calculation'!$D$16="% OF AFV(8Q)"),AVERAGE( $M37:$M60),IF('Pre-Calculation'!$D$16="% OF AFV(12M)",AVERAGE($M49:M60),IF('Pre-Calculation'!$D$16="% OF AFV(36M)",AVERAGE($M25:M60)))))</f>
        <v>534918.1148</v>
      </c>
      <c r="O60" s="175">
        <f t="shared" si="4"/>
        <v>534918.1148</v>
      </c>
      <c r="P60" s="175">
        <f>IF('Pre-Calculation'!$D$17="Type 4 a",MAX(SA,N60,1.05*Q60),IF('Pre-Calculation'!$D$17="Type 4 c",N60,IF('Pre-Calculation'!$D$17="Type 4 d",SA+N60,IF('Pre-Calculation'!$D$17="Type 4 e",MAX(SA,N60),IF('Pre-Calculation'!$D$17="Type 4 f",SA,IF('Pre-Calculation'!$D$17="Type 4 g",1000+N60,IF('Pre-Calculation'!$D$17="Type 4 h",SA+X60,IF('Pre-Calculation'!$D$17="Type 4 i",MAX(N60,Q60),IF('Pre-Calculation'!$D$17="Type 4 k",MAX(N60,1.01*Q60),IF('Pre-Calculation'!$D$17="Type 4 m",MAX(105%*Q60,SA+N60),IF('Pre-Calculation'!$D$17="Type 4 o",MAX(SA,105%*Q60)+X60+Z60,IF('Pre-Calculation'!$D$17="Type 5",0))))))))))))</f>
        <v>1155000</v>
      </c>
      <c r="Q60" s="175">
        <f t="shared" si="5"/>
        <v>1100000</v>
      </c>
      <c r="R60" s="119">
        <f>L60*(1+GROWTH_RATE)*FMC</f>
        <v>602.2546781</v>
      </c>
      <c r="S60" s="178">
        <f>S59*(1+'Pre-Calculation'!$E$27)</f>
        <v>758830.7662</v>
      </c>
      <c r="T60" s="175">
        <f>-E60+IF(A59=INPUT!$C$11*12,N60,0)</f>
        <v>0</v>
      </c>
      <c r="U60" s="175">
        <f t="shared" si="6"/>
        <v>575652.8819</v>
      </c>
      <c r="V60" s="175">
        <f>U60*(1+GROWTH_RATE_H)*(1-'Pre-Calculation'!$E$31)</f>
        <v>578391.8333</v>
      </c>
      <c r="W60" s="175">
        <f>-E60+IF(A59=INPUT!$C$11*12,V60,0)</f>
        <v>0</v>
      </c>
      <c r="X60" s="179">
        <f t="array" ref="X60">NPV('Pre-Calculation'!$E$20,$E61:E$246)</f>
        <v>421743.1237</v>
      </c>
      <c r="Y60" s="171">
        <f>10%*SA</f>
        <v>100000</v>
      </c>
      <c r="Z60" s="179">
        <f t="array" ref="Z60">NPV('Pre-Calculation'!$E$20,Y61:Y70)</f>
        <v>969592.8037</v>
      </c>
    </row>
    <row r="61" ht="15.75" customHeight="1">
      <c r="A61" s="171">
        <f t="shared" si="1"/>
        <v>55</v>
      </c>
      <c r="B61" s="171">
        <f t="shared" si="2"/>
        <v>5</v>
      </c>
      <c r="C61" s="176">
        <f>EDATE(RCD,A60)</f>
        <v>44195</v>
      </c>
      <c r="D61" s="171">
        <f>Age_At_Entry+'Cashflows_8% from Start'!B61-1</f>
        <v>39</v>
      </c>
      <c r="E61" s="175">
        <f>IF(AND(C61&lt;=Last_Prem,MOD(A60,Mode)=0),Mod_Prem,0)</f>
        <v>0</v>
      </c>
      <c r="F61" s="177">
        <f>E61*VLOOKUP(B61,'Pre-Calculation'!$H$1:$I$31,2,FALSE)</f>
        <v>0</v>
      </c>
      <c r="G61" s="177">
        <f>IF(B61&lt;PT+1,VLOOKUP(B61,'Pre-Calculation'!$H$1:$L$32,3,FALSE)+VLOOKUP(B61,'Pre-Calculation'!$H$1:$L$32,4,FALSE)*'Pre-Calculation'!$D$7,0)</f>
        <v>420</v>
      </c>
      <c r="H61" s="175">
        <f>(E61-(F61+G61)*(1+Tax)+N60)</f>
        <v>534422.5148</v>
      </c>
      <c r="I61" s="175">
        <f>IF(B61&lt;PT+1,VLOOKUP(D61,'Pre-Calculation'!$N$3:$P$79,IF(INPUT!$C$4="M",2,3),FALSE)*(J61/1000)*(1/12),0)</f>
        <v>86.20855566</v>
      </c>
      <c r="J61" s="175">
        <f t="shared" si="3"/>
        <v>620577.4852</v>
      </c>
      <c r="K61" s="175">
        <f>IF('Pre-Calculation'!$D$17="Type 4 a",MAX(SA,H61,1.05*Q61),IF('Pre-Calculation'!$D$17="Type 4 c",H61,IF('Pre-Calculation'!$D$17="Type 4 d",SA+H61,IF('Pre-Calculation'!$D$17="Type 4 e",MAX(SA,H61),IF('Pre-Calculation'!$D$17="Type 4 f",SA,IF('Pre-Calculation'!$D$17="Type 4 g",1000+H61,IF('Pre-Calculation'!$D$17="Type 4 h",SA+X61,IF('Pre-Calculation'!$D$17="Type 4 i",MAX(H61,Q61),IF('Pre-Calculation'!$D$17="Type 4 k",MAX(H61,1.01*Q61),IF('Pre-Calculation'!$D$17="Type 4 m",MAX(105%*Q61,SA+H61),IF('Pre-Calculation'!$D$17="Type 4 o",MAX(SA,105%*Q61)+X61+Z61,IF('Pre-Calculation'!$D$17="Type 5",0))))))))))))</f>
        <v>1155000</v>
      </c>
      <c r="L61" s="175">
        <f>H61-I61*(1+Tax)</f>
        <v>534320.7887</v>
      </c>
      <c r="M61" s="175">
        <f>L61*(1+GROWTH_RATE_H)*(1-FMC*(1+Tax))</f>
        <v>537045.1384</v>
      </c>
      <c r="N61" s="175">
        <f>M61+IF(MOD(A61,B61)=0,VLOOKUP(B61,'Pre-Calculation'!$H$1:$L$31,5,FALSE),0)*IF('Pre-Calculation'!$D$16="% OF FV",M61,IF(OR('Pre-Calculation'!$D$16="% OF AFV(24M)",'Pre-Calculation'!$D$16="% OF AFV(8Q)"),AVERAGE( $M38:$M61),IF('Pre-Calculation'!$D$16="% OF AFV(12M)",AVERAGE($M50:M61),IF('Pre-Calculation'!$D$16="% OF AFV(36M)",AVERAGE($M26:M61)))))</f>
        <v>537045.1384</v>
      </c>
      <c r="O61" s="175">
        <f t="shared" si="4"/>
        <v>537045.1384</v>
      </c>
      <c r="P61" s="175">
        <f>IF('Pre-Calculation'!$D$17="Type 4 a",MAX(SA,N61,1.05*Q61),IF('Pre-Calculation'!$D$17="Type 4 c",N61,IF('Pre-Calculation'!$D$17="Type 4 d",SA+N61,IF('Pre-Calculation'!$D$17="Type 4 e",MAX(SA,N61),IF('Pre-Calculation'!$D$17="Type 4 f",SA,IF('Pre-Calculation'!$D$17="Type 4 g",1000+N61,IF('Pre-Calculation'!$D$17="Type 4 h",SA+X61,IF('Pre-Calculation'!$D$17="Type 4 i",MAX(N61,Q61),IF('Pre-Calculation'!$D$17="Type 4 k",MAX(N61,1.01*Q61),IF('Pre-Calculation'!$D$17="Type 4 m",MAX(105%*Q61,SA+N61),IF('Pre-Calculation'!$D$17="Type 4 o",MAX(SA,105%*Q61)+X61+Z61,IF('Pre-Calculation'!$D$17="Type 5",0))))))))))))</f>
        <v>1155000</v>
      </c>
      <c r="Q61" s="175">
        <f t="shared" si="5"/>
        <v>1100000</v>
      </c>
      <c r="R61" s="119">
        <f>L61*(1+GROWTH_RATE)*FMC</f>
        <v>604.6494557</v>
      </c>
      <c r="S61" s="178">
        <f>S60*(1+'Pre-Calculation'!$E$27)</f>
        <v>761009.2925</v>
      </c>
      <c r="T61" s="175">
        <f>-E61+IF(A60=INPUT!$C$11*12,N61,0)</f>
        <v>0</v>
      </c>
      <c r="U61" s="175">
        <f t="shared" si="6"/>
        <v>578391.8333</v>
      </c>
      <c r="V61" s="175">
        <f>U61*(1+GROWTH_RATE_H)*(1-'Pre-Calculation'!$E$31)</f>
        <v>581143.8166</v>
      </c>
      <c r="W61" s="175">
        <f>-E61+IF(A60=INPUT!$C$11*12,V61,0)</f>
        <v>0</v>
      </c>
      <c r="X61" s="179">
        <f t="array" ref="X61">NPV('Pre-Calculation'!$E$20,$E62:E$246)</f>
        <v>424127.7207</v>
      </c>
      <c r="Y61" s="171">
        <f>10%*SA</f>
        <v>100000</v>
      </c>
      <c r="Z61" s="179">
        <f t="array" ref="Z61">NPV('Pre-Calculation'!$E$20,Y62:Y71)</f>
        <v>969592.8037</v>
      </c>
    </row>
    <row r="62" ht="15.75" customHeight="1">
      <c r="A62" s="171">
        <f t="shared" si="1"/>
        <v>56</v>
      </c>
      <c r="B62" s="171">
        <f t="shared" si="2"/>
        <v>5</v>
      </c>
      <c r="C62" s="176">
        <f>EDATE(RCD,A61)</f>
        <v>44226</v>
      </c>
      <c r="D62" s="171">
        <f>Age_At_Entry+'Cashflows_8% from Start'!B62-1</f>
        <v>39</v>
      </c>
      <c r="E62" s="175">
        <f>IF(AND(C62&lt;=Last_Prem,MOD(A61,Mode)=0),Mod_Prem,0)</f>
        <v>0</v>
      </c>
      <c r="F62" s="177">
        <f>E62*VLOOKUP(B62,'Pre-Calculation'!$H$1:$I$31,2,FALSE)</f>
        <v>0</v>
      </c>
      <c r="G62" s="177">
        <f>IF(B62&lt;PT+1,VLOOKUP(B62,'Pre-Calculation'!$H$1:$L$32,3,FALSE)+VLOOKUP(B62,'Pre-Calculation'!$H$1:$L$32,4,FALSE)*'Pre-Calculation'!$D$7,0)</f>
        <v>420</v>
      </c>
      <c r="H62" s="175">
        <f>(E62-(F62+G62)*(1+Tax)+N61)</f>
        <v>536549.5384</v>
      </c>
      <c r="I62" s="175">
        <f>IF(B62&lt;PT+1,VLOOKUP(D62,'Pre-Calculation'!$N$3:$P$79,IF(INPUT!$C$4="M",2,3),FALSE)*(J62/1000)*(1/12),0)</f>
        <v>85.91307663</v>
      </c>
      <c r="J62" s="175">
        <f t="shared" si="3"/>
        <v>618450.4616</v>
      </c>
      <c r="K62" s="175">
        <f>IF('Pre-Calculation'!$D$17="Type 4 a",MAX(SA,H62,1.05*Q62),IF('Pre-Calculation'!$D$17="Type 4 c",H62,IF('Pre-Calculation'!$D$17="Type 4 d",SA+H62,IF('Pre-Calculation'!$D$17="Type 4 e",MAX(SA,H62),IF('Pre-Calculation'!$D$17="Type 4 f",SA,IF('Pre-Calculation'!$D$17="Type 4 g",1000+H62,IF('Pre-Calculation'!$D$17="Type 4 h",SA+X62,IF('Pre-Calculation'!$D$17="Type 4 i",MAX(H62,Q62),IF('Pre-Calculation'!$D$17="Type 4 k",MAX(H62,1.01*Q62),IF('Pre-Calculation'!$D$17="Type 4 m",MAX(105%*Q62,SA+H62),IF('Pre-Calculation'!$D$17="Type 4 o",MAX(SA,105%*Q62)+X62+Z62,IF('Pre-Calculation'!$D$17="Type 5",0))))))))))))</f>
        <v>1155000</v>
      </c>
      <c r="L62" s="175">
        <f>H62-I62*(1+Tax)</f>
        <v>536448.1609</v>
      </c>
      <c r="M62" s="175">
        <f>L62*(1+GROWTH_RATE_H)*(1-FMC*(1+Tax))</f>
        <v>539183.3575</v>
      </c>
      <c r="N62" s="175">
        <f>M62+IF(MOD(A62,B62)=0,VLOOKUP(B62,'Pre-Calculation'!$H$1:$L$31,5,FALSE),0)*IF('Pre-Calculation'!$D$16="% OF FV",M62,IF(OR('Pre-Calculation'!$D$16="% OF AFV(24M)",'Pre-Calculation'!$D$16="% OF AFV(8Q)"),AVERAGE( $M39:$M62),IF('Pre-Calculation'!$D$16="% OF AFV(12M)",AVERAGE($M51:M62),IF('Pre-Calculation'!$D$16="% OF AFV(36M)",AVERAGE($M27:M62)))))</f>
        <v>539183.3575</v>
      </c>
      <c r="O62" s="175">
        <f t="shared" si="4"/>
        <v>539183.3575</v>
      </c>
      <c r="P62" s="175">
        <f>IF('Pre-Calculation'!$D$17="Type 4 a",MAX(SA,N62,1.05*Q62),IF('Pre-Calculation'!$D$17="Type 4 c",N62,IF('Pre-Calculation'!$D$17="Type 4 d",SA+N62,IF('Pre-Calculation'!$D$17="Type 4 e",MAX(SA,N62),IF('Pre-Calculation'!$D$17="Type 4 f",SA,IF('Pre-Calculation'!$D$17="Type 4 g",1000+N62,IF('Pre-Calculation'!$D$17="Type 4 h",SA+X62,IF('Pre-Calculation'!$D$17="Type 4 i",MAX(N62,Q62),IF('Pre-Calculation'!$D$17="Type 4 k",MAX(N62,1.01*Q62),IF('Pre-Calculation'!$D$17="Type 4 m",MAX(105%*Q62,SA+N62),IF('Pre-Calculation'!$D$17="Type 4 o",MAX(SA,105%*Q62)+X62+Z62,IF('Pre-Calculation'!$D$17="Type 5",0))))))))))))</f>
        <v>1155000</v>
      </c>
      <c r="Q62" s="175">
        <f t="shared" si="5"/>
        <v>1100000</v>
      </c>
      <c r="R62" s="119">
        <f>L62*(1+GROWTH_RATE)*FMC</f>
        <v>607.0568381</v>
      </c>
      <c r="S62" s="178">
        <f>S61*(1+'Pre-Calculation'!$E$27)</f>
        <v>763194.0731</v>
      </c>
      <c r="T62" s="175">
        <f>-E62+IF(A61=INPUT!$C$11*12,N62,0)</f>
        <v>0</v>
      </c>
      <c r="U62" s="175">
        <f t="shared" si="6"/>
        <v>581143.8166</v>
      </c>
      <c r="V62" s="175">
        <f>U62*(1+GROWTH_RATE_H)*(1-'Pre-Calculation'!$E$31)</f>
        <v>583908.8937</v>
      </c>
      <c r="W62" s="175">
        <f>-E62+IF(A61=INPUT!$C$11*12,V62,0)</f>
        <v>0</v>
      </c>
      <c r="X62" s="179">
        <f t="array" ref="X62">NPV('Pre-Calculation'!$E$20,$E63:E$246)</f>
        <v>426525.8005</v>
      </c>
      <c r="Y62" s="171">
        <f>10%*SA</f>
        <v>100000</v>
      </c>
      <c r="Z62" s="179">
        <f t="array" ref="Z62">NPV('Pre-Calculation'!$E$20,Y63:Y72)</f>
        <v>969592.8037</v>
      </c>
    </row>
    <row r="63" ht="15.75" customHeight="1">
      <c r="A63" s="171">
        <f t="shared" si="1"/>
        <v>57</v>
      </c>
      <c r="B63" s="171">
        <f t="shared" si="2"/>
        <v>5</v>
      </c>
      <c r="C63" s="176">
        <f>EDATE(RCD,A62)</f>
        <v>44255</v>
      </c>
      <c r="D63" s="171">
        <f>Age_At_Entry+'Cashflows_8% from Start'!B63-1</f>
        <v>39</v>
      </c>
      <c r="E63" s="175">
        <f>IF(AND(C63&lt;=Last_Prem,MOD(A62,Mode)=0),Mod_Prem,0)</f>
        <v>0</v>
      </c>
      <c r="F63" s="177">
        <f>E63*VLOOKUP(B63,'Pre-Calculation'!$H$1:$I$31,2,FALSE)</f>
        <v>0</v>
      </c>
      <c r="G63" s="177">
        <f>IF(B63&lt;PT+1,VLOOKUP(B63,'Pre-Calculation'!$H$1:$L$32,3,FALSE)+VLOOKUP(B63,'Pre-Calculation'!$H$1:$L$32,4,FALSE)*'Pre-Calculation'!$D$7,0)</f>
        <v>420</v>
      </c>
      <c r="H63" s="175">
        <f>(E63-(F63+G63)*(1+Tax)+N62)</f>
        <v>538687.7575</v>
      </c>
      <c r="I63" s="175">
        <f>IF(B63&lt;PT+1,VLOOKUP(D63,'Pre-Calculation'!$N$3:$P$79,IF(INPUT!$C$4="M",2,3),FALSE)*(J63/1000)*(1/12),0)</f>
        <v>85.61604236</v>
      </c>
      <c r="J63" s="175">
        <f t="shared" si="3"/>
        <v>616312.2425</v>
      </c>
      <c r="K63" s="175">
        <f>IF('Pre-Calculation'!$D$17="Type 4 a",MAX(SA,H63,1.05*Q63),IF('Pre-Calculation'!$D$17="Type 4 c",H63,IF('Pre-Calculation'!$D$17="Type 4 d",SA+H63,IF('Pre-Calculation'!$D$17="Type 4 e",MAX(SA,H63),IF('Pre-Calculation'!$D$17="Type 4 f",SA,IF('Pre-Calculation'!$D$17="Type 4 g",1000+H63,IF('Pre-Calculation'!$D$17="Type 4 h",SA+X63,IF('Pre-Calculation'!$D$17="Type 4 i",MAX(H63,Q63),IF('Pre-Calculation'!$D$17="Type 4 k",MAX(H63,1.01*Q63),IF('Pre-Calculation'!$D$17="Type 4 m",MAX(105%*Q63,SA+H63),IF('Pre-Calculation'!$D$17="Type 4 o",MAX(SA,105%*Q63)+X63+Z63,IF('Pre-Calculation'!$D$17="Type 5",0))))))))))))</f>
        <v>1155000</v>
      </c>
      <c r="L63" s="175">
        <f>H63-I63*(1+Tax)</f>
        <v>538586.7306</v>
      </c>
      <c r="M63" s="175">
        <f>L63*(1+GROWTH_RATE_H)*(1-FMC*(1+Tax))</f>
        <v>541332.8311</v>
      </c>
      <c r="N63" s="175">
        <f>M63+IF(MOD(A63,B63)=0,VLOOKUP(B63,'Pre-Calculation'!$H$1:$L$31,5,FALSE),0)*IF('Pre-Calculation'!$D$16="% OF FV",M63,IF(OR('Pre-Calculation'!$D$16="% OF AFV(24M)",'Pre-Calculation'!$D$16="% OF AFV(8Q)"),AVERAGE( $M40:$M63),IF('Pre-Calculation'!$D$16="% OF AFV(12M)",AVERAGE($M52:M63),IF('Pre-Calculation'!$D$16="% OF AFV(36M)",AVERAGE($M28:M63)))))</f>
        <v>541332.8311</v>
      </c>
      <c r="O63" s="175">
        <f t="shared" si="4"/>
        <v>541332.8311</v>
      </c>
      <c r="P63" s="175">
        <f>IF('Pre-Calculation'!$D$17="Type 4 a",MAX(SA,N63,1.05*Q63),IF('Pre-Calculation'!$D$17="Type 4 c",N63,IF('Pre-Calculation'!$D$17="Type 4 d",SA+N63,IF('Pre-Calculation'!$D$17="Type 4 e",MAX(SA,N63),IF('Pre-Calculation'!$D$17="Type 4 f",SA,IF('Pre-Calculation'!$D$17="Type 4 g",1000+N63,IF('Pre-Calculation'!$D$17="Type 4 h",SA+X63,IF('Pre-Calculation'!$D$17="Type 4 i",MAX(N63,Q63),IF('Pre-Calculation'!$D$17="Type 4 k",MAX(N63,1.01*Q63),IF('Pre-Calculation'!$D$17="Type 4 m",MAX(105%*Q63,SA+N63),IF('Pre-Calculation'!$D$17="Type 4 o",MAX(SA,105%*Q63)+X63+Z63,IF('Pre-Calculation'!$D$17="Type 5",0))))))))))))</f>
        <v>1155000</v>
      </c>
      <c r="Q63" s="175">
        <f t="shared" si="5"/>
        <v>1100000</v>
      </c>
      <c r="R63" s="119">
        <f>L63*(1+GROWTH_RATE)*FMC</f>
        <v>609.4768917</v>
      </c>
      <c r="S63" s="178">
        <f>S62*(1+'Pre-Calculation'!$E$27)</f>
        <v>765385.126</v>
      </c>
      <c r="T63" s="175">
        <f>-E63+IF(A62=INPUT!$C$11*12,N63,0)</f>
        <v>0</v>
      </c>
      <c r="U63" s="175">
        <f t="shared" si="6"/>
        <v>583908.8937</v>
      </c>
      <c r="V63" s="175">
        <f>U63*(1+GROWTH_RATE_H)*(1-'Pre-Calculation'!$E$31)</f>
        <v>586687.1271</v>
      </c>
      <c r="W63" s="175">
        <f>-E63+IF(A62=INPUT!$C$11*12,V63,0)</f>
        <v>0</v>
      </c>
      <c r="X63" s="179">
        <f t="array" ref="X63">NPV('Pre-Calculation'!$E$20,$E64:E$246)</f>
        <v>428937.4394</v>
      </c>
      <c r="Y63" s="171">
        <f>10%*SA</f>
        <v>100000</v>
      </c>
      <c r="Z63" s="179">
        <f t="array" ref="Z63">NPV('Pre-Calculation'!$E$20,Y64:Y73)</f>
        <v>969592.8037</v>
      </c>
    </row>
    <row r="64" ht="15.75" customHeight="1">
      <c r="A64" s="171">
        <f t="shared" si="1"/>
        <v>58</v>
      </c>
      <c r="B64" s="171">
        <f t="shared" si="2"/>
        <v>5</v>
      </c>
      <c r="C64" s="176">
        <f>EDATE(RCD,A63)</f>
        <v>44285</v>
      </c>
      <c r="D64" s="171">
        <f>Age_At_Entry+'Cashflows_8% from Start'!B64-1</f>
        <v>39</v>
      </c>
      <c r="E64" s="175">
        <f>IF(AND(C64&lt;=Last_Prem,MOD(A63,Mode)=0),Mod_Prem,0)</f>
        <v>0</v>
      </c>
      <c r="F64" s="177">
        <f>E64*VLOOKUP(B64,'Pre-Calculation'!$H$1:$I$31,2,FALSE)</f>
        <v>0</v>
      </c>
      <c r="G64" s="177">
        <f>IF(B64&lt;PT+1,VLOOKUP(B64,'Pre-Calculation'!$H$1:$L$32,3,FALSE)+VLOOKUP(B64,'Pre-Calculation'!$H$1:$L$32,4,FALSE)*'Pre-Calculation'!$D$7,0)</f>
        <v>420</v>
      </c>
      <c r="H64" s="175">
        <f>(E64-(F64+G64)*(1+Tax)+N63)</f>
        <v>540837.2311</v>
      </c>
      <c r="I64" s="175">
        <f>IF(B64&lt;PT+1,VLOOKUP(D64,'Pre-Calculation'!$N$3:$P$79,IF(INPUT!$C$4="M",2,3),FALSE)*(J64/1000)*(1/12),0)</f>
        <v>85.31744465</v>
      </c>
      <c r="J64" s="175">
        <f t="shared" si="3"/>
        <v>614162.7689</v>
      </c>
      <c r="K64" s="175">
        <f>IF('Pre-Calculation'!$D$17="Type 4 a",MAX(SA,H64,1.05*Q64),IF('Pre-Calculation'!$D$17="Type 4 c",H64,IF('Pre-Calculation'!$D$17="Type 4 d",SA+H64,IF('Pre-Calculation'!$D$17="Type 4 e",MAX(SA,H64),IF('Pre-Calculation'!$D$17="Type 4 f",SA,IF('Pre-Calculation'!$D$17="Type 4 g",1000+H64,IF('Pre-Calculation'!$D$17="Type 4 h",SA+X64,IF('Pre-Calculation'!$D$17="Type 4 i",MAX(H64,Q64),IF('Pre-Calculation'!$D$17="Type 4 k",MAX(H64,1.01*Q64),IF('Pre-Calculation'!$D$17="Type 4 m",MAX(105%*Q64,SA+H64),IF('Pre-Calculation'!$D$17="Type 4 o",MAX(SA,105%*Q64)+X64+Z64,IF('Pre-Calculation'!$D$17="Type 5",0))))))))))))</f>
        <v>1155000</v>
      </c>
      <c r="L64" s="175">
        <f>H64-I64*(1+Tax)</f>
        <v>540736.5565</v>
      </c>
      <c r="M64" s="175">
        <f>L64*(1+GROWTH_RATE_H)*(1-FMC*(1+Tax))</f>
        <v>543493.6183</v>
      </c>
      <c r="N64" s="175">
        <f>M64+IF(MOD(A64,B64)=0,VLOOKUP(B64,'Pre-Calculation'!$H$1:$L$31,5,FALSE),0)*IF('Pre-Calculation'!$D$16="% OF FV",M64,IF(OR('Pre-Calculation'!$D$16="% OF AFV(24M)",'Pre-Calculation'!$D$16="% OF AFV(8Q)"),AVERAGE( $M41:$M64),IF('Pre-Calculation'!$D$16="% OF AFV(12M)",AVERAGE($M53:M64),IF('Pre-Calculation'!$D$16="% OF AFV(36M)",AVERAGE($M29:M64)))))</f>
        <v>543493.6183</v>
      </c>
      <c r="O64" s="175">
        <f t="shared" si="4"/>
        <v>543493.6183</v>
      </c>
      <c r="P64" s="175">
        <f>IF('Pre-Calculation'!$D$17="Type 4 a",MAX(SA,N64,1.05*Q64),IF('Pre-Calculation'!$D$17="Type 4 c",N64,IF('Pre-Calculation'!$D$17="Type 4 d",SA+N64,IF('Pre-Calculation'!$D$17="Type 4 e",MAX(SA,N64),IF('Pre-Calculation'!$D$17="Type 4 f",SA,IF('Pre-Calculation'!$D$17="Type 4 g",1000+N64,IF('Pre-Calculation'!$D$17="Type 4 h",SA+X64,IF('Pre-Calculation'!$D$17="Type 4 i",MAX(N64,Q64),IF('Pre-Calculation'!$D$17="Type 4 k",MAX(N64,1.01*Q64),IF('Pre-Calculation'!$D$17="Type 4 m",MAX(105%*Q64,SA+N64),IF('Pre-Calculation'!$D$17="Type 4 o",MAX(SA,105%*Q64)+X64+Z64,IF('Pre-Calculation'!$D$17="Type 5",0))))))))))))</f>
        <v>1155000</v>
      </c>
      <c r="Q64" s="175">
        <f t="shared" si="5"/>
        <v>1100000</v>
      </c>
      <c r="R64" s="119">
        <f>L64*(1+GROWTH_RATE)*FMC</f>
        <v>611.9096832</v>
      </c>
      <c r="S64" s="178">
        <f>S63*(1+'Pre-Calculation'!$E$27)</f>
        <v>767582.4692</v>
      </c>
      <c r="T64" s="175">
        <f>-E64+IF(A63=INPUT!$C$11*12,N64,0)</f>
        <v>0</v>
      </c>
      <c r="U64" s="175">
        <f t="shared" si="6"/>
        <v>586687.1271</v>
      </c>
      <c r="V64" s="175">
        <f>U64*(1+GROWTH_RATE_H)*(1-'Pre-Calculation'!$E$31)</f>
        <v>589478.5793</v>
      </c>
      <c r="W64" s="175">
        <f>-E64+IF(A63=INPUT!$C$11*12,V64,0)</f>
        <v>0</v>
      </c>
      <c r="X64" s="179">
        <f t="array" ref="X64">NPV('Pre-Calculation'!$E$20,$E65:E$246)</f>
        <v>431362.714</v>
      </c>
      <c r="Y64" s="171">
        <f>10%*SA</f>
        <v>100000</v>
      </c>
      <c r="Z64" s="179">
        <f t="array" ref="Z64">NPV('Pre-Calculation'!$E$20,Y65:Y74)</f>
        <v>969592.8037</v>
      </c>
    </row>
    <row r="65" ht="15.75" customHeight="1">
      <c r="A65" s="171">
        <f t="shared" si="1"/>
        <v>59</v>
      </c>
      <c r="B65" s="171">
        <f t="shared" si="2"/>
        <v>5</v>
      </c>
      <c r="C65" s="176">
        <f>EDATE(RCD,A64)</f>
        <v>44316</v>
      </c>
      <c r="D65" s="171">
        <f>Age_At_Entry+'Cashflows_8% from Start'!B65-1</f>
        <v>39</v>
      </c>
      <c r="E65" s="175">
        <f>IF(AND(C65&lt;=Last_Prem,MOD(A64,Mode)=0),Mod_Prem,0)</f>
        <v>0</v>
      </c>
      <c r="F65" s="177">
        <f>E65*VLOOKUP(B65,'Pre-Calculation'!$H$1:$I$31,2,FALSE)</f>
        <v>0</v>
      </c>
      <c r="G65" s="177">
        <f>IF(B65&lt;PT+1,VLOOKUP(B65,'Pre-Calculation'!$H$1:$L$32,3,FALSE)+VLOOKUP(B65,'Pre-Calculation'!$H$1:$L$32,4,FALSE)*'Pre-Calculation'!$D$7,0)</f>
        <v>420</v>
      </c>
      <c r="H65" s="175">
        <f>(E65-(F65+G65)*(1+Tax)+N64)</f>
        <v>542998.0183</v>
      </c>
      <c r="I65" s="175">
        <f>IF(B65&lt;PT+1,VLOOKUP(D65,'Pre-Calculation'!$N$3:$P$79,IF(INPUT!$C$4="M",2,3),FALSE)*(J65/1000)*(1/12),0)</f>
        <v>85.01727529</v>
      </c>
      <c r="J65" s="175">
        <f t="shared" si="3"/>
        <v>612001.9817</v>
      </c>
      <c r="K65" s="175">
        <f>IF('Pre-Calculation'!$D$17="Type 4 a",MAX(SA,H65,1.05*Q65),IF('Pre-Calculation'!$D$17="Type 4 c",H65,IF('Pre-Calculation'!$D$17="Type 4 d",SA+H65,IF('Pre-Calculation'!$D$17="Type 4 e",MAX(SA,H65),IF('Pre-Calculation'!$D$17="Type 4 f",SA,IF('Pre-Calculation'!$D$17="Type 4 g",1000+H65,IF('Pre-Calculation'!$D$17="Type 4 h",SA+X65,IF('Pre-Calculation'!$D$17="Type 4 i",MAX(H65,Q65),IF('Pre-Calculation'!$D$17="Type 4 k",MAX(H65,1.01*Q65),IF('Pre-Calculation'!$D$17="Type 4 m",MAX(105%*Q65,SA+H65),IF('Pre-Calculation'!$D$17="Type 4 o",MAX(SA,105%*Q65)+X65+Z65,IF('Pre-Calculation'!$D$17="Type 5",0))))))))))))</f>
        <v>1155000</v>
      </c>
      <c r="L65" s="175">
        <f>H65-I65*(1+Tax)</f>
        <v>542897.698</v>
      </c>
      <c r="M65" s="175">
        <f>L65*(1+GROWTH_RATE_H)*(1-FMC*(1+Tax))</f>
        <v>545665.7789</v>
      </c>
      <c r="N65" s="175">
        <f>M65+IF(MOD(A65,B65)=0,VLOOKUP(B65,'Pre-Calculation'!$H$1:$L$31,5,FALSE),0)*IF('Pre-Calculation'!$D$16="% OF FV",M65,IF(OR('Pre-Calculation'!$D$16="% OF AFV(24M)",'Pre-Calculation'!$D$16="% OF AFV(8Q)"),AVERAGE( $M42:$M65),IF('Pre-Calculation'!$D$16="% OF AFV(12M)",AVERAGE($M54:M65),IF('Pre-Calculation'!$D$16="% OF AFV(36M)",AVERAGE($M30:M65)))))</f>
        <v>545665.7789</v>
      </c>
      <c r="O65" s="175">
        <f t="shared" si="4"/>
        <v>545665.7789</v>
      </c>
      <c r="P65" s="175">
        <f>IF('Pre-Calculation'!$D$17="Type 4 a",MAX(SA,N65,1.05*Q65),IF('Pre-Calculation'!$D$17="Type 4 c",N65,IF('Pre-Calculation'!$D$17="Type 4 d",SA+N65,IF('Pre-Calculation'!$D$17="Type 4 e",MAX(SA,N65),IF('Pre-Calculation'!$D$17="Type 4 f",SA,IF('Pre-Calculation'!$D$17="Type 4 g",1000+N65,IF('Pre-Calculation'!$D$17="Type 4 h",SA+X65,IF('Pre-Calculation'!$D$17="Type 4 i",MAX(N65,Q65),IF('Pre-Calculation'!$D$17="Type 4 k",MAX(N65,1.01*Q65),IF('Pre-Calculation'!$D$17="Type 4 m",MAX(105%*Q65,SA+N65),IF('Pre-Calculation'!$D$17="Type 4 o",MAX(SA,105%*Q65)+X65+Z65,IF('Pre-Calculation'!$D$17="Type 5",0))))))))))))</f>
        <v>1155000</v>
      </c>
      <c r="Q65" s="175">
        <f t="shared" si="5"/>
        <v>1100000</v>
      </c>
      <c r="R65" s="119">
        <f>L65*(1+GROWTH_RATE)*FMC</f>
        <v>614.3552796</v>
      </c>
      <c r="S65" s="178">
        <f>S64*(1+'Pre-Calculation'!$E$27)</f>
        <v>769786.1207</v>
      </c>
      <c r="T65" s="175">
        <f>-E65+IF(A64=INPUT!$C$11*12,N65,0)</f>
        <v>0</v>
      </c>
      <c r="U65" s="175">
        <f t="shared" si="6"/>
        <v>589478.5793</v>
      </c>
      <c r="V65" s="175">
        <f>U65*(1+GROWTH_RATE_H)*(1-'Pre-Calculation'!$E$31)</f>
        <v>592283.3133</v>
      </c>
      <c r="W65" s="175">
        <f>-E65+IF(A64=INPUT!$C$11*12,V65,0)</f>
        <v>0</v>
      </c>
      <c r="X65" s="179">
        <f t="array" ref="X65">NPV('Pre-Calculation'!$E$20,$E66:E$246)</f>
        <v>433801.7015</v>
      </c>
      <c r="Y65" s="171">
        <f>10%*SA</f>
        <v>100000</v>
      </c>
      <c r="Z65" s="179">
        <f t="array" ref="Z65">NPV('Pre-Calculation'!$E$20,Y66:Y75)</f>
        <v>969592.8037</v>
      </c>
    </row>
    <row r="66" ht="15.75" customHeight="1">
      <c r="A66" s="171">
        <f t="shared" si="1"/>
        <v>60</v>
      </c>
      <c r="B66" s="171">
        <f t="shared" si="2"/>
        <v>5</v>
      </c>
      <c r="C66" s="176">
        <f>EDATE(RCD,A65)</f>
        <v>44346</v>
      </c>
      <c r="D66" s="171">
        <f>Age_At_Entry+'Cashflows_8% from Start'!B66-1</f>
        <v>39</v>
      </c>
      <c r="E66" s="175">
        <f>IF(AND(C66&lt;=Last_Prem,MOD(A65,Mode)=0),Mod_Prem,0)</f>
        <v>0</v>
      </c>
      <c r="F66" s="177">
        <f>E66*VLOOKUP(B66,'Pre-Calculation'!$H$1:$I$31,2,FALSE)</f>
        <v>0</v>
      </c>
      <c r="G66" s="177">
        <f>IF(B66&lt;PT+1,VLOOKUP(B66,'Pre-Calculation'!$H$1:$L$32,3,FALSE)+VLOOKUP(B66,'Pre-Calculation'!$H$1:$L$32,4,FALSE)*'Pre-Calculation'!$D$7,0)</f>
        <v>420</v>
      </c>
      <c r="H66" s="175">
        <f>(E66-(F66+G66)*(1+Tax)+N65)</f>
        <v>545170.1789</v>
      </c>
      <c r="I66" s="175">
        <f>IF(B66&lt;PT+1,VLOOKUP(D66,'Pre-Calculation'!$N$3:$P$79,IF(INPUT!$C$4="M",2,3),FALSE)*(J66/1000)*(1/12),0)</f>
        <v>84.71552599</v>
      </c>
      <c r="J66" s="175">
        <f t="shared" si="3"/>
        <v>609829.8211</v>
      </c>
      <c r="K66" s="175">
        <f>IF('Pre-Calculation'!$D$17="Type 4 a",MAX(SA,H66,1.05*Q66),IF('Pre-Calculation'!$D$17="Type 4 c",H66,IF('Pre-Calculation'!$D$17="Type 4 d",SA+H66,IF('Pre-Calculation'!$D$17="Type 4 e",MAX(SA,H66),IF('Pre-Calculation'!$D$17="Type 4 f",SA,IF('Pre-Calculation'!$D$17="Type 4 g",1000+H66,IF('Pre-Calculation'!$D$17="Type 4 h",SA+X66,IF('Pre-Calculation'!$D$17="Type 4 i",MAX(H66,Q66),IF('Pre-Calculation'!$D$17="Type 4 k",MAX(H66,1.01*Q66),IF('Pre-Calculation'!$D$17="Type 4 m",MAX(105%*Q66,SA+H66),IF('Pre-Calculation'!$D$17="Type 4 o",MAX(SA,105%*Q66)+X66+Z66,IF('Pre-Calculation'!$D$17="Type 5",0))))))))))))</f>
        <v>1155000</v>
      </c>
      <c r="L66" s="175">
        <f>H66-I66*(1+Tax)</f>
        <v>545070.2145</v>
      </c>
      <c r="M66" s="175">
        <f>L66*(1+GROWTH_RATE_H)*(1-FMC*(1+Tax))</f>
        <v>547849.3725</v>
      </c>
      <c r="N66" s="175">
        <f>M66+IF(MOD(A66,B66)=0,VLOOKUP(B66,'Pre-Calculation'!$H$1:$L$31,5,FALSE),0)*IF('Pre-Calculation'!$D$16="% OF FV",M66,IF(OR('Pre-Calculation'!$D$16="% OF AFV(24M)",'Pre-Calculation'!$D$16="% OF AFV(8Q)"),AVERAGE( $M43:$M66),IF('Pre-Calculation'!$D$16="% OF AFV(12M)",AVERAGE($M55:M66),IF('Pre-Calculation'!$D$16="% OF AFV(36M)",AVERAGE($M31:M66)))))</f>
        <v>547849.3725</v>
      </c>
      <c r="O66" s="175">
        <f t="shared" si="4"/>
        <v>547849.3725</v>
      </c>
      <c r="P66" s="175">
        <f>IF('Pre-Calculation'!$D$17="Type 4 a",MAX(SA,N66,1.05*Q66),IF('Pre-Calculation'!$D$17="Type 4 c",N66,IF('Pre-Calculation'!$D$17="Type 4 d",SA+N66,IF('Pre-Calculation'!$D$17="Type 4 e",MAX(SA,N66),IF('Pre-Calculation'!$D$17="Type 4 f",SA,IF('Pre-Calculation'!$D$17="Type 4 g",1000+N66,IF('Pre-Calculation'!$D$17="Type 4 h",SA+X66,IF('Pre-Calculation'!$D$17="Type 4 i",MAX(N66,Q66),IF('Pre-Calculation'!$D$17="Type 4 k",MAX(N66,1.01*Q66),IF('Pre-Calculation'!$D$17="Type 4 m",MAX(105%*Q66,SA+N66),IF('Pre-Calculation'!$D$17="Type 4 o",MAX(SA,105%*Q66)+X66+Z66,IF('Pre-Calculation'!$D$17="Type 5",0))))))))))))</f>
        <v>1155000</v>
      </c>
      <c r="Q66" s="175">
        <f t="shared" si="5"/>
        <v>1100000</v>
      </c>
      <c r="R66" s="119">
        <f>L66*(1+GROWTH_RATE)*FMC</f>
        <v>616.8137484</v>
      </c>
      <c r="S66" s="178">
        <f>S65*(1+'Pre-Calculation'!$E$27)</f>
        <v>771996.0987</v>
      </c>
      <c r="T66" s="175">
        <f>-E66+IF(A65=INPUT!$C$11*12,N66,0)</f>
        <v>0</v>
      </c>
      <c r="U66" s="175">
        <f t="shared" si="6"/>
        <v>592283.3133</v>
      </c>
      <c r="V66" s="175">
        <f>U66*(1+GROWTH_RATE_H)*(1-'Pre-Calculation'!$E$31)</f>
        <v>595101.3921</v>
      </c>
      <c r="W66" s="175">
        <f>-E66+IF(A65=INPUT!$C$11*12,V66,0)</f>
        <v>0</v>
      </c>
      <c r="X66" s="179">
        <f t="array" ref="X66">NPV('Pre-Calculation'!$E$20,$E67:E$246)</f>
        <v>436254.4794</v>
      </c>
      <c r="Y66" s="171">
        <f>10%*SA</f>
        <v>100000</v>
      </c>
      <c r="Z66" s="179">
        <f t="array" ref="Z66">NPV('Pre-Calculation'!$E$20,Y67:Y76)</f>
        <v>969592.8037</v>
      </c>
    </row>
    <row r="67" ht="15.75" customHeight="1">
      <c r="A67" s="171">
        <f t="shared" si="1"/>
        <v>61</v>
      </c>
      <c r="B67" s="171">
        <f t="shared" si="2"/>
        <v>6</v>
      </c>
      <c r="C67" s="176">
        <f>EDATE(RCD,A66)</f>
        <v>44377</v>
      </c>
      <c r="D67" s="171">
        <f>Age_At_Entry+'Cashflows_8% from Start'!B67-1</f>
        <v>40</v>
      </c>
      <c r="E67" s="175">
        <f>IF(AND(C67&lt;=Last_Prem,MOD(A66,Mode)=0),Mod_Prem,0)</f>
        <v>100000</v>
      </c>
      <c r="F67" s="177">
        <f>E67*VLOOKUP(B67,'Pre-Calculation'!$H$1:$I$31,2,FALSE)</f>
        <v>0</v>
      </c>
      <c r="G67" s="177">
        <f>IF(B67&lt;PT+1,VLOOKUP(B67,'Pre-Calculation'!$H$1:$L$32,3,FALSE)+VLOOKUP(B67,'Pre-Calculation'!$H$1:$L$32,4,FALSE)*'Pre-Calculation'!$D$7,0)</f>
        <v>830</v>
      </c>
      <c r="H67" s="175">
        <f>(E67-(F67+G67)*(1+Tax)+N66)</f>
        <v>646869.9725</v>
      </c>
      <c r="I67" s="175">
        <f>IF(B67&lt;PT+1,VLOOKUP(D67,'Pre-Calculation'!$N$3:$P$79,IF(INPUT!$C$4="M",2,3),FALSE)*(J67/1000)*(1/12),0)</f>
        <v>92.09723955</v>
      </c>
      <c r="J67" s="175">
        <f t="shared" si="3"/>
        <v>613130.0275</v>
      </c>
      <c r="K67" s="175">
        <f>IF('Pre-Calculation'!$D$17="Type 4 a",MAX(SA,H67,1.05*Q67),IF('Pre-Calculation'!$D$17="Type 4 c",H67,IF('Pre-Calculation'!$D$17="Type 4 d",SA+H67,IF('Pre-Calculation'!$D$17="Type 4 e",MAX(SA,H67),IF('Pre-Calculation'!$D$17="Type 4 f",SA,IF('Pre-Calculation'!$D$17="Type 4 g",1000+H67,IF('Pre-Calculation'!$D$17="Type 4 h",SA+X67,IF('Pre-Calculation'!$D$17="Type 4 i",MAX(H67,Q67),IF('Pre-Calculation'!$D$17="Type 4 k",MAX(H67,1.01*Q67),IF('Pre-Calculation'!$D$17="Type 4 m",MAX(105%*Q67,SA+H67),IF('Pre-Calculation'!$D$17="Type 4 o",MAX(SA,105%*Q67)+X67+Z67,IF('Pre-Calculation'!$D$17="Type 5",0))))))))))))</f>
        <v>1260000</v>
      </c>
      <c r="L67" s="175">
        <f>H67-I67*(1+Tax)</f>
        <v>646761.2977</v>
      </c>
      <c r="M67" s="175">
        <f>L67*(1+GROWTH_RATE_H)*(1-FMC*(1+Tax))</f>
        <v>650058.9496</v>
      </c>
      <c r="N67" s="175">
        <f>M67+IF(MOD(A67,B67)=0,VLOOKUP(B67,'Pre-Calculation'!$H$1:$L$31,5,FALSE),0)*IF('Pre-Calculation'!$D$16="% OF FV",M67,IF(OR('Pre-Calculation'!$D$16="% OF AFV(24M)",'Pre-Calculation'!$D$16="% OF AFV(8Q)"),AVERAGE( $M44:$M67),IF('Pre-Calculation'!$D$16="% OF AFV(12M)",AVERAGE($M56:M67),IF('Pre-Calculation'!$D$16="% OF AFV(36M)",AVERAGE($M32:M67)))))</f>
        <v>650058.9496</v>
      </c>
      <c r="O67" s="175">
        <f t="shared" si="4"/>
        <v>650058.9496</v>
      </c>
      <c r="P67" s="175">
        <f>IF('Pre-Calculation'!$D$17="Type 4 a",MAX(SA,N67,1.05*Q67),IF('Pre-Calculation'!$D$17="Type 4 c",N67,IF('Pre-Calculation'!$D$17="Type 4 d",SA+N67,IF('Pre-Calculation'!$D$17="Type 4 e",MAX(SA,N67),IF('Pre-Calculation'!$D$17="Type 4 f",SA,IF('Pre-Calculation'!$D$17="Type 4 g",1000+N67,IF('Pre-Calculation'!$D$17="Type 4 h",SA+X67,IF('Pre-Calculation'!$D$17="Type 4 i",MAX(N67,Q67),IF('Pre-Calculation'!$D$17="Type 4 k",MAX(N67,1.01*Q67),IF('Pre-Calculation'!$D$17="Type 4 m",MAX(105%*Q67,SA+N67),IF('Pre-Calculation'!$D$17="Type 4 o",MAX(SA,105%*Q67)+X67+Z67,IF('Pre-Calculation'!$D$17="Type 5",0))))))))))))</f>
        <v>1260000</v>
      </c>
      <c r="Q67" s="175">
        <f t="shared" si="5"/>
        <v>1200000</v>
      </c>
      <c r="R67" s="119">
        <f>L67*(1+GROWTH_RATE)*FMC</f>
        <v>731.8896717</v>
      </c>
      <c r="S67" s="178">
        <f>S66*(1+'Pre-Calculation'!$E$27)</f>
        <v>774212.4213</v>
      </c>
      <c r="T67" s="175">
        <f>-E67+IF(A66=INPUT!$C$11*12,N67,0)</f>
        <v>-100000</v>
      </c>
      <c r="U67" s="175">
        <f t="shared" si="6"/>
        <v>695101.3921</v>
      </c>
      <c r="V67" s="175">
        <f>U67*(1+GROWTH_RATE_H)*(1-'Pre-Calculation'!$E$31)</f>
        <v>698408.6784</v>
      </c>
      <c r="W67" s="175">
        <f>-E67+IF(A66=INPUT!$C$11*12,V67,0)</f>
        <v>-100000</v>
      </c>
      <c r="X67" s="179">
        <f t="array" ref="X67">NPV('Pre-Calculation'!$E$20,$E68:E$246)</f>
        <v>338721.1256</v>
      </c>
      <c r="Y67" s="171">
        <f>10%*SA</f>
        <v>100000</v>
      </c>
      <c r="Z67" s="179">
        <f t="array" ref="Z67">NPV('Pre-Calculation'!$E$20,Y68:Y77)</f>
        <v>969592.8037</v>
      </c>
    </row>
    <row r="68" ht="15.75" customHeight="1">
      <c r="A68" s="171">
        <f t="shared" si="1"/>
        <v>62</v>
      </c>
      <c r="B68" s="171">
        <f t="shared" si="2"/>
        <v>6</v>
      </c>
      <c r="C68" s="176">
        <f>EDATE(RCD,A67)</f>
        <v>44407</v>
      </c>
      <c r="D68" s="171">
        <f>Age_At_Entry+'Cashflows_8% from Start'!B68-1</f>
        <v>40</v>
      </c>
      <c r="E68" s="175">
        <f>IF(AND(C68&lt;=Last_Prem,MOD(A67,Mode)=0),Mod_Prem,0)</f>
        <v>0</v>
      </c>
      <c r="F68" s="177">
        <f>E68*VLOOKUP(B68,'Pre-Calculation'!$H$1:$I$31,2,FALSE)</f>
        <v>0</v>
      </c>
      <c r="G68" s="177">
        <f>IF(B68&lt;PT+1,VLOOKUP(B68,'Pre-Calculation'!$H$1:$L$32,3,FALSE)+VLOOKUP(B68,'Pre-Calculation'!$H$1:$L$32,4,FALSE)*'Pre-Calculation'!$D$7,0)</f>
        <v>830</v>
      </c>
      <c r="H68" s="175">
        <f>(E68-(F68+G68)*(1+Tax)+N67)</f>
        <v>649079.5496</v>
      </c>
      <c r="I68" s="175">
        <f>IF(B68&lt;PT+1,VLOOKUP(D68,'Pre-Calculation'!$N$3:$P$79,IF(INPUT!$C$4="M",2,3),FALSE)*(J68/1000)*(1/12),0)</f>
        <v>91.76534265</v>
      </c>
      <c r="J68" s="175">
        <f t="shared" si="3"/>
        <v>610920.4504</v>
      </c>
      <c r="K68" s="175">
        <f>IF('Pre-Calculation'!$D$17="Type 4 a",MAX(SA,H68,1.05*Q68),IF('Pre-Calculation'!$D$17="Type 4 c",H68,IF('Pre-Calculation'!$D$17="Type 4 d",SA+H68,IF('Pre-Calculation'!$D$17="Type 4 e",MAX(SA,H68),IF('Pre-Calculation'!$D$17="Type 4 f",SA,IF('Pre-Calculation'!$D$17="Type 4 g",1000+H68,IF('Pre-Calculation'!$D$17="Type 4 h",SA+X68,IF('Pre-Calculation'!$D$17="Type 4 i",MAX(H68,Q68),IF('Pre-Calculation'!$D$17="Type 4 k",MAX(H68,1.01*Q68),IF('Pre-Calculation'!$D$17="Type 4 m",MAX(105%*Q68,SA+H68),IF('Pre-Calculation'!$D$17="Type 4 o",MAX(SA,105%*Q68)+X68+Z68,IF('Pre-Calculation'!$D$17="Type 5",0))))))))))))</f>
        <v>1260000</v>
      </c>
      <c r="L68" s="175">
        <f>H68-I68*(1+Tax)</f>
        <v>648971.2665</v>
      </c>
      <c r="M68" s="175">
        <f>L68*(1+GROWTH_RATE_H)*(1-FMC*(1+Tax))</f>
        <v>652280.1863</v>
      </c>
      <c r="N68" s="175">
        <f>M68+IF(MOD(A68,B68)=0,VLOOKUP(B68,'Pre-Calculation'!$H$1:$L$31,5,FALSE),0)*IF('Pre-Calculation'!$D$16="% OF FV",M68,IF(OR('Pre-Calculation'!$D$16="% OF AFV(24M)",'Pre-Calculation'!$D$16="% OF AFV(8Q)"),AVERAGE( $M45:$M68),IF('Pre-Calculation'!$D$16="% OF AFV(12M)",AVERAGE($M57:M68),IF('Pre-Calculation'!$D$16="% OF AFV(36M)",AVERAGE($M33:M68)))))</f>
        <v>652280.1863</v>
      </c>
      <c r="O68" s="175">
        <f t="shared" si="4"/>
        <v>652280.1863</v>
      </c>
      <c r="P68" s="175">
        <f>IF('Pre-Calculation'!$D$17="Type 4 a",MAX(SA,N68,1.05*Q68),IF('Pre-Calculation'!$D$17="Type 4 c",N68,IF('Pre-Calculation'!$D$17="Type 4 d",SA+N68,IF('Pre-Calculation'!$D$17="Type 4 e",MAX(SA,N68),IF('Pre-Calculation'!$D$17="Type 4 f",SA,IF('Pre-Calculation'!$D$17="Type 4 g",1000+N68,IF('Pre-Calculation'!$D$17="Type 4 h",SA+X68,IF('Pre-Calculation'!$D$17="Type 4 i",MAX(N68,Q68),IF('Pre-Calculation'!$D$17="Type 4 k",MAX(N68,1.01*Q68),IF('Pre-Calculation'!$D$17="Type 4 m",MAX(105%*Q68,SA+N68),IF('Pre-Calculation'!$D$17="Type 4 o",MAX(SA,105%*Q68)+X68+Z68,IF('Pre-Calculation'!$D$17="Type 5",0))))))))))))</f>
        <v>1260000</v>
      </c>
      <c r="Q68" s="175">
        <f t="shared" si="5"/>
        <v>1200000</v>
      </c>
      <c r="R68" s="119">
        <f>L68*(1+GROWTH_RATE)*FMC</f>
        <v>734.3905222</v>
      </c>
      <c r="S68" s="178">
        <f>S67*(1+'Pre-Calculation'!$E$27)</f>
        <v>776435.1067</v>
      </c>
      <c r="T68" s="175">
        <f>-E68+IF(A67=INPUT!$C$11*12,N68,0)</f>
        <v>0</v>
      </c>
      <c r="U68" s="175">
        <f t="shared" si="6"/>
        <v>698408.6784</v>
      </c>
      <c r="V68" s="175">
        <f>U68*(1+GROWTH_RATE_H)*(1-'Pre-Calculation'!$E$31)</f>
        <v>701731.7008</v>
      </c>
      <c r="W68" s="175">
        <f>-E68+IF(A67=INPUT!$C$11*12,V68,0)</f>
        <v>0</v>
      </c>
      <c r="X68" s="179">
        <f t="array" ref="X68">NPV('Pre-Calculation'!$E$20,$E69:E$246)</f>
        <v>340636.3041</v>
      </c>
      <c r="Y68" s="171">
        <f>10%*SA</f>
        <v>100000</v>
      </c>
      <c r="Z68" s="179">
        <f t="array" ref="Z68">NPV('Pre-Calculation'!$E$20,Y69:Y78)</f>
        <v>969592.8037</v>
      </c>
    </row>
    <row r="69" ht="15.75" customHeight="1">
      <c r="A69" s="171">
        <f t="shared" si="1"/>
        <v>63</v>
      </c>
      <c r="B69" s="171">
        <f t="shared" si="2"/>
        <v>6</v>
      </c>
      <c r="C69" s="176">
        <f>EDATE(RCD,A68)</f>
        <v>44438</v>
      </c>
      <c r="D69" s="171">
        <f>Age_At_Entry+'Cashflows_8% from Start'!B69-1</f>
        <v>40</v>
      </c>
      <c r="E69" s="175">
        <f>IF(AND(C69&lt;=Last_Prem,MOD(A68,Mode)=0),Mod_Prem,0)</f>
        <v>0</v>
      </c>
      <c r="F69" s="177">
        <f>E69*VLOOKUP(B69,'Pre-Calculation'!$H$1:$I$31,2,FALSE)</f>
        <v>0</v>
      </c>
      <c r="G69" s="177">
        <f>IF(B69&lt;PT+1,VLOOKUP(B69,'Pre-Calculation'!$H$1:$L$32,3,FALSE)+VLOOKUP(B69,'Pre-Calculation'!$H$1:$L$32,4,FALSE)*'Pre-Calculation'!$D$7,0)</f>
        <v>830</v>
      </c>
      <c r="H69" s="175">
        <f>(E69-(F69+G69)*(1+Tax)+N68)</f>
        <v>651300.7863</v>
      </c>
      <c r="I69" s="175">
        <f>IF(B69&lt;PT+1,VLOOKUP(D69,'Pre-Calculation'!$N$3:$P$79,IF(INPUT!$C$4="M",2,3),FALSE)*(J69/1000)*(1/12),0)</f>
        <v>91.43169438</v>
      </c>
      <c r="J69" s="175">
        <f t="shared" si="3"/>
        <v>608699.2137</v>
      </c>
      <c r="K69" s="175">
        <f>IF('Pre-Calculation'!$D$17="Type 4 a",MAX(SA,H69,1.05*Q69),IF('Pre-Calculation'!$D$17="Type 4 c",H69,IF('Pre-Calculation'!$D$17="Type 4 d",SA+H69,IF('Pre-Calculation'!$D$17="Type 4 e",MAX(SA,H69),IF('Pre-Calculation'!$D$17="Type 4 f",SA,IF('Pre-Calculation'!$D$17="Type 4 g",1000+H69,IF('Pre-Calculation'!$D$17="Type 4 h",SA+X69,IF('Pre-Calculation'!$D$17="Type 4 i",MAX(H69,Q69),IF('Pre-Calculation'!$D$17="Type 4 k",MAX(H69,1.01*Q69),IF('Pre-Calculation'!$D$17="Type 4 m",MAX(105%*Q69,SA+H69),IF('Pre-Calculation'!$D$17="Type 4 o",MAX(SA,105%*Q69)+X69+Z69,IF('Pre-Calculation'!$D$17="Type 5",0))))))))))))</f>
        <v>1260000</v>
      </c>
      <c r="L69" s="175">
        <f>H69-I69*(1+Tax)</f>
        <v>651192.8969</v>
      </c>
      <c r="M69" s="175">
        <f>L69*(1+GROWTH_RATE_H)*(1-FMC*(1+Tax))</f>
        <v>654513.1443</v>
      </c>
      <c r="N69" s="175">
        <f>M69+IF(MOD(A69,B69)=0,VLOOKUP(B69,'Pre-Calculation'!$H$1:$L$31,5,FALSE),0)*IF('Pre-Calculation'!$D$16="% OF FV",M69,IF(OR('Pre-Calculation'!$D$16="% OF AFV(24M)",'Pre-Calculation'!$D$16="% OF AFV(8Q)"),AVERAGE( $M46:$M69),IF('Pre-Calculation'!$D$16="% OF AFV(12M)",AVERAGE($M58:M69),IF('Pre-Calculation'!$D$16="% OF AFV(36M)",AVERAGE($M34:M69)))))</f>
        <v>654513.1443</v>
      </c>
      <c r="O69" s="175">
        <f t="shared" si="4"/>
        <v>654513.1443</v>
      </c>
      <c r="P69" s="175">
        <f>IF('Pre-Calculation'!$D$17="Type 4 a",MAX(SA,N69,1.05*Q69),IF('Pre-Calculation'!$D$17="Type 4 c",N69,IF('Pre-Calculation'!$D$17="Type 4 d",SA+N69,IF('Pre-Calculation'!$D$17="Type 4 e",MAX(SA,N69),IF('Pre-Calculation'!$D$17="Type 4 f",SA,IF('Pre-Calculation'!$D$17="Type 4 g",1000+N69,IF('Pre-Calculation'!$D$17="Type 4 h",SA+X69,IF('Pre-Calculation'!$D$17="Type 4 i",MAX(N69,Q69),IF('Pre-Calculation'!$D$17="Type 4 k",MAX(N69,1.01*Q69),IF('Pre-Calculation'!$D$17="Type 4 m",MAX(105%*Q69,SA+N69),IF('Pre-Calculation'!$D$17="Type 4 o",MAX(SA,105%*Q69)+X69+Z69,IF('Pre-Calculation'!$D$17="Type 5",0))))))))))))</f>
        <v>1260000</v>
      </c>
      <c r="Q69" s="175">
        <f t="shared" si="5"/>
        <v>1200000</v>
      </c>
      <c r="R69" s="119">
        <f>L69*(1+GROWTH_RATE)*FMC</f>
        <v>736.9045693</v>
      </c>
      <c r="S69" s="178">
        <f>S68*(1+'Pre-Calculation'!$E$27)</f>
        <v>778664.1733</v>
      </c>
      <c r="T69" s="175">
        <f>-E69+IF(A68=INPUT!$C$11*12,N69,0)</f>
        <v>0</v>
      </c>
      <c r="U69" s="175">
        <f t="shared" si="6"/>
        <v>701731.7008</v>
      </c>
      <c r="V69" s="175">
        <f>U69*(1+GROWTH_RATE_H)*(1-'Pre-Calculation'!$E$31)</f>
        <v>705070.534</v>
      </c>
      <c r="W69" s="175">
        <f>-E69+IF(A68=INPUT!$C$11*12,V69,0)</f>
        <v>0</v>
      </c>
      <c r="X69" s="179">
        <f t="array" ref="X69">NPV('Pre-Calculation'!$E$20,$E70:E$246)</f>
        <v>342562.3113</v>
      </c>
      <c r="Y69" s="171">
        <f>10%*SA</f>
        <v>100000</v>
      </c>
      <c r="Z69" s="179">
        <f t="array" ref="Z69">NPV('Pre-Calculation'!$E$20,Y70:Y79)</f>
        <v>969592.8037</v>
      </c>
    </row>
    <row r="70" ht="15.75" customHeight="1">
      <c r="A70" s="171">
        <f t="shared" si="1"/>
        <v>64</v>
      </c>
      <c r="B70" s="171">
        <f t="shared" si="2"/>
        <v>6</v>
      </c>
      <c r="C70" s="176">
        <f>EDATE(RCD,A69)</f>
        <v>44469</v>
      </c>
      <c r="D70" s="171">
        <f>Age_At_Entry+'Cashflows_8% from Start'!B70-1</f>
        <v>40</v>
      </c>
      <c r="E70" s="175">
        <f>IF(AND(C70&lt;=Last_Prem,MOD(A69,Mode)=0),Mod_Prem,0)</f>
        <v>0</v>
      </c>
      <c r="F70" s="177">
        <f>E70*VLOOKUP(B70,'Pre-Calculation'!$H$1:$I$31,2,FALSE)</f>
        <v>0</v>
      </c>
      <c r="G70" s="177">
        <f>IF(B70&lt;PT+1,VLOOKUP(B70,'Pre-Calculation'!$H$1:$L$32,3,FALSE)+VLOOKUP(B70,'Pre-Calculation'!$H$1:$L$32,4,FALSE)*'Pre-Calculation'!$D$7,0)</f>
        <v>830</v>
      </c>
      <c r="H70" s="175">
        <f>(E70-(F70+G70)*(1+Tax)+N69)</f>
        <v>653533.7443</v>
      </c>
      <c r="I70" s="175">
        <f>IF(B70&lt;PT+1,VLOOKUP(D70,'Pre-Calculation'!$N$3:$P$79,IF(INPUT!$C$4="M",2,3),FALSE)*(J70/1000)*(1/12),0)</f>
        <v>91.0962855</v>
      </c>
      <c r="J70" s="175">
        <f t="shared" si="3"/>
        <v>606466.2557</v>
      </c>
      <c r="K70" s="175">
        <f>IF('Pre-Calculation'!$D$17="Type 4 a",MAX(SA,H70,1.05*Q70),IF('Pre-Calculation'!$D$17="Type 4 c",H70,IF('Pre-Calculation'!$D$17="Type 4 d",SA+H70,IF('Pre-Calculation'!$D$17="Type 4 e",MAX(SA,H70),IF('Pre-Calculation'!$D$17="Type 4 f",SA,IF('Pre-Calculation'!$D$17="Type 4 g",1000+H70,IF('Pre-Calculation'!$D$17="Type 4 h",SA+X70,IF('Pre-Calculation'!$D$17="Type 4 i",MAX(H70,Q70),IF('Pre-Calculation'!$D$17="Type 4 k",MAX(H70,1.01*Q70),IF('Pre-Calculation'!$D$17="Type 4 m",MAX(105%*Q70,SA+H70),IF('Pre-Calculation'!$D$17="Type 4 o",MAX(SA,105%*Q70)+X70+Z70,IF('Pre-Calculation'!$D$17="Type 5",0))))))))))))</f>
        <v>1260000</v>
      </c>
      <c r="L70" s="175">
        <f>H70-I70*(1+Tax)</f>
        <v>653426.2506</v>
      </c>
      <c r="M70" s="175">
        <f>L70*(1+GROWTH_RATE_H)*(1-FMC*(1+Tax))</f>
        <v>656757.8852</v>
      </c>
      <c r="N70" s="175">
        <f>M70+IF(MOD(A70,B70)=0,VLOOKUP(B70,'Pre-Calculation'!$H$1:$L$31,5,FALSE),0)*IF('Pre-Calculation'!$D$16="% OF FV",M70,IF(OR('Pre-Calculation'!$D$16="% OF AFV(24M)",'Pre-Calculation'!$D$16="% OF AFV(8Q)"),AVERAGE( $M47:$M70),IF('Pre-Calculation'!$D$16="% OF AFV(12M)",AVERAGE($M59:M70),IF('Pre-Calculation'!$D$16="% OF AFV(36M)",AVERAGE($M35:M70)))))</f>
        <v>656757.8852</v>
      </c>
      <c r="O70" s="175">
        <f t="shared" si="4"/>
        <v>656757.8852</v>
      </c>
      <c r="P70" s="175">
        <f>IF('Pre-Calculation'!$D$17="Type 4 a",MAX(SA,N70,1.05*Q70),IF('Pre-Calculation'!$D$17="Type 4 c",N70,IF('Pre-Calculation'!$D$17="Type 4 d",SA+N70,IF('Pre-Calculation'!$D$17="Type 4 e",MAX(SA,N70),IF('Pre-Calculation'!$D$17="Type 4 f",SA,IF('Pre-Calculation'!$D$17="Type 4 g",1000+N70,IF('Pre-Calculation'!$D$17="Type 4 h",SA+X70,IF('Pre-Calculation'!$D$17="Type 4 i",MAX(N70,Q70),IF('Pre-Calculation'!$D$17="Type 4 k",MAX(N70,1.01*Q70),IF('Pre-Calculation'!$D$17="Type 4 m",MAX(105%*Q70,SA+N70),IF('Pre-Calculation'!$D$17="Type 4 o",MAX(SA,105%*Q70)+X70+Z70,IF('Pre-Calculation'!$D$17="Type 5",0))))))))))))</f>
        <v>1260000</v>
      </c>
      <c r="Q70" s="175">
        <f t="shared" si="5"/>
        <v>1200000</v>
      </c>
      <c r="R70" s="119">
        <f>L70*(1+GROWTH_RATE)*FMC</f>
        <v>739.4318828</v>
      </c>
      <c r="S70" s="178">
        <f>S69*(1+'Pre-Calculation'!$E$27)</f>
        <v>780899.6393</v>
      </c>
      <c r="T70" s="175">
        <f>-E70+IF(A69=INPUT!$C$11*12,N70,0)</f>
        <v>0</v>
      </c>
      <c r="U70" s="175">
        <f t="shared" si="6"/>
        <v>705070.534</v>
      </c>
      <c r="V70" s="175">
        <f>U70*(1+GROWTH_RATE_H)*(1-'Pre-Calculation'!$E$31)</f>
        <v>708425.2534</v>
      </c>
      <c r="W70" s="175">
        <f>-E70+IF(A69=INPUT!$C$11*12,V70,0)</f>
        <v>0</v>
      </c>
      <c r="X70" s="179">
        <f t="array" ref="X70">NPV('Pre-Calculation'!$E$20,$E71:E$246)</f>
        <v>344499.2084</v>
      </c>
      <c r="Y70" s="171">
        <f>10%*SA</f>
        <v>100000</v>
      </c>
      <c r="Z70" s="179">
        <f t="array" ref="Z70">NPV('Pre-Calculation'!$E$20,Y71:Y80)</f>
        <v>969592.8037</v>
      </c>
    </row>
    <row r="71" ht="15.75" customHeight="1">
      <c r="A71" s="171">
        <f t="shared" si="1"/>
        <v>65</v>
      </c>
      <c r="B71" s="171">
        <f t="shared" si="2"/>
        <v>6</v>
      </c>
      <c r="C71" s="176">
        <f>EDATE(RCD,A70)</f>
        <v>44499</v>
      </c>
      <c r="D71" s="171">
        <f>Age_At_Entry+'Cashflows_8% from Start'!B71-1</f>
        <v>40</v>
      </c>
      <c r="E71" s="175">
        <f>IF(AND(C71&lt;=Last_Prem,MOD(A70,Mode)=0),Mod_Prem,0)</f>
        <v>0</v>
      </c>
      <c r="F71" s="177">
        <f>E71*VLOOKUP(B71,'Pre-Calculation'!$H$1:$I$31,2,FALSE)</f>
        <v>0</v>
      </c>
      <c r="G71" s="177">
        <f>IF(B71&lt;PT+1,VLOOKUP(B71,'Pre-Calculation'!$H$1:$L$32,3,FALSE)+VLOOKUP(B71,'Pre-Calculation'!$H$1:$L$32,4,FALSE)*'Pre-Calculation'!$D$7,0)</f>
        <v>830</v>
      </c>
      <c r="H71" s="175">
        <f>(E71-(F71+G71)*(1+Tax)+N70)</f>
        <v>655778.4852</v>
      </c>
      <c r="I71" s="175">
        <f>IF(B71&lt;PT+1,VLOOKUP(D71,'Pre-Calculation'!$N$3:$P$79,IF(INPUT!$C$4="M",2,3),FALSE)*(J71/1000)*(1/12),0)</f>
        <v>90.7591067</v>
      </c>
      <c r="J71" s="175">
        <f t="shared" si="3"/>
        <v>604221.5148</v>
      </c>
      <c r="K71" s="175">
        <f>IF('Pre-Calculation'!$D$17="Type 4 a",MAX(SA,H71,1.05*Q71),IF('Pre-Calculation'!$D$17="Type 4 c",H71,IF('Pre-Calculation'!$D$17="Type 4 d",SA+H71,IF('Pre-Calculation'!$D$17="Type 4 e",MAX(SA,H71),IF('Pre-Calculation'!$D$17="Type 4 f",SA,IF('Pre-Calculation'!$D$17="Type 4 g",1000+H71,IF('Pre-Calculation'!$D$17="Type 4 h",SA+X71,IF('Pre-Calculation'!$D$17="Type 4 i",MAX(H71,Q71),IF('Pre-Calculation'!$D$17="Type 4 k",MAX(H71,1.01*Q71),IF('Pre-Calculation'!$D$17="Type 4 m",MAX(105%*Q71,SA+H71),IF('Pre-Calculation'!$D$17="Type 4 o",MAX(SA,105%*Q71)+X71+Z71,IF('Pre-Calculation'!$D$17="Type 5",0))))))))))))</f>
        <v>1260000</v>
      </c>
      <c r="L71" s="175">
        <f>H71-I71*(1+Tax)</f>
        <v>655671.3895</v>
      </c>
      <c r="M71" s="175">
        <f>L71*(1+GROWTH_RATE_H)*(1-FMC*(1+Tax))</f>
        <v>659014.4713</v>
      </c>
      <c r="N71" s="175">
        <f>M71+IF(MOD(A71,B71)=0,VLOOKUP(B71,'Pre-Calculation'!$H$1:$L$31,5,FALSE),0)*IF('Pre-Calculation'!$D$16="% OF FV",M71,IF(OR('Pre-Calculation'!$D$16="% OF AFV(24M)",'Pre-Calculation'!$D$16="% OF AFV(8Q)"),AVERAGE( $M48:$M71),IF('Pre-Calculation'!$D$16="% OF AFV(12M)",AVERAGE($M60:M71),IF('Pre-Calculation'!$D$16="% OF AFV(36M)",AVERAGE($M36:M71)))))</f>
        <v>659014.4713</v>
      </c>
      <c r="O71" s="175">
        <f t="shared" si="4"/>
        <v>659014.4713</v>
      </c>
      <c r="P71" s="175">
        <f>IF('Pre-Calculation'!$D$17="Type 4 a",MAX(SA,N71,1.05*Q71),IF('Pre-Calculation'!$D$17="Type 4 c",N71,IF('Pre-Calculation'!$D$17="Type 4 d",SA+N71,IF('Pre-Calculation'!$D$17="Type 4 e",MAX(SA,N71),IF('Pre-Calculation'!$D$17="Type 4 f",SA,IF('Pre-Calculation'!$D$17="Type 4 g",1000+N71,IF('Pre-Calculation'!$D$17="Type 4 h",SA+X71,IF('Pre-Calculation'!$D$17="Type 4 i",MAX(N71,Q71),IF('Pre-Calculation'!$D$17="Type 4 k",MAX(N71,1.01*Q71),IF('Pre-Calculation'!$D$17="Type 4 m",MAX(105%*Q71,SA+N71),IF('Pre-Calculation'!$D$17="Type 4 o",MAX(SA,105%*Q71)+X71+Z71,IF('Pre-Calculation'!$D$17="Type 5",0))))))))))))</f>
        <v>1260000</v>
      </c>
      <c r="Q71" s="175">
        <f t="shared" si="5"/>
        <v>1200000</v>
      </c>
      <c r="R71" s="119">
        <f>L71*(1+GROWTH_RATE)*FMC</f>
        <v>741.9725325</v>
      </c>
      <c r="S71" s="178">
        <f>S70*(1+'Pre-Calculation'!$E$27)</f>
        <v>783141.523</v>
      </c>
      <c r="T71" s="175">
        <f>-E71+IF(A70=INPUT!$C$11*12,N71,0)</f>
        <v>0</v>
      </c>
      <c r="U71" s="175">
        <f t="shared" si="6"/>
        <v>708425.2534</v>
      </c>
      <c r="V71" s="175">
        <f>U71*(1+GROWTH_RATE_H)*(1-'Pre-Calculation'!$E$31)</f>
        <v>711795.9346</v>
      </c>
      <c r="W71" s="175">
        <f>-E71+IF(A70=INPUT!$C$11*12,V71,0)</f>
        <v>0</v>
      </c>
      <c r="X71" s="179">
        <f t="array" ref="X71">NPV('Pre-Calculation'!$E$20,$E72:E$246)</f>
        <v>346447.057</v>
      </c>
      <c r="Y71" s="171">
        <f>10%*SA</f>
        <v>100000</v>
      </c>
      <c r="Z71" s="179">
        <f t="array" ref="Z71">NPV('Pre-Calculation'!$E$20,Y72:Y81)</f>
        <v>969592.8037</v>
      </c>
    </row>
    <row r="72" ht="15.75" customHeight="1">
      <c r="A72" s="171">
        <f t="shared" si="1"/>
        <v>66</v>
      </c>
      <c r="B72" s="171">
        <f t="shared" si="2"/>
        <v>6</v>
      </c>
      <c r="C72" s="176">
        <f>EDATE(RCD,A71)</f>
        <v>44530</v>
      </c>
      <c r="D72" s="171">
        <f>Age_At_Entry+'Cashflows_8% from Start'!B72-1</f>
        <v>40</v>
      </c>
      <c r="E72" s="175">
        <f>IF(AND(C72&lt;=Last_Prem,MOD(A71,Mode)=0),Mod_Prem,0)</f>
        <v>0</v>
      </c>
      <c r="F72" s="177">
        <f>E72*VLOOKUP(B72,'Pre-Calculation'!$H$1:$I$31,2,FALSE)</f>
        <v>0</v>
      </c>
      <c r="G72" s="177">
        <f>IF(B72&lt;PT+1,VLOOKUP(B72,'Pre-Calculation'!$H$1:$L$32,3,FALSE)+VLOOKUP(B72,'Pre-Calculation'!$H$1:$L$32,4,FALSE)*'Pre-Calculation'!$D$7,0)</f>
        <v>830</v>
      </c>
      <c r="H72" s="175">
        <f>(E72-(F72+G72)*(1+Tax)+N71)</f>
        <v>658035.0713</v>
      </c>
      <c r="I72" s="175">
        <f>IF(B72&lt;PT+1,VLOOKUP(D72,'Pre-Calculation'!$N$3:$P$79,IF(INPUT!$C$4="M",2,3),FALSE)*(J72/1000)*(1/12),0)</f>
        <v>90.42014866</v>
      </c>
      <c r="J72" s="175">
        <f t="shared" si="3"/>
        <v>601964.9287</v>
      </c>
      <c r="K72" s="175">
        <f>IF('Pre-Calculation'!$D$17="Type 4 a",MAX(SA,H72,1.05*Q72),IF('Pre-Calculation'!$D$17="Type 4 c",H72,IF('Pre-Calculation'!$D$17="Type 4 d",SA+H72,IF('Pre-Calculation'!$D$17="Type 4 e",MAX(SA,H72),IF('Pre-Calculation'!$D$17="Type 4 f",SA,IF('Pre-Calculation'!$D$17="Type 4 g",1000+H72,IF('Pre-Calculation'!$D$17="Type 4 h",SA+X72,IF('Pre-Calculation'!$D$17="Type 4 i",MAX(H72,Q72),IF('Pre-Calculation'!$D$17="Type 4 k",MAX(H72,1.01*Q72),IF('Pre-Calculation'!$D$17="Type 4 m",MAX(105%*Q72,SA+H72),IF('Pre-Calculation'!$D$17="Type 4 o",MAX(SA,105%*Q72)+X72+Z72,IF('Pre-Calculation'!$D$17="Type 5",0))))))))))))</f>
        <v>1260000</v>
      </c>
      <c r="L72" s="175">
        <f>H72-I72*(1+Tax)</f>
        <v>657928.3755</v>
      </c>
      <c r="M72" s="175">
        <f>L72*(1+GROWTH_RATE_H)*(1-FMC*(1+Tax))</f>
        <v>661282.9652</v>
      </c>
      <c r="N72" s="175">
        <f>M72+IF(MOD(A72,B72)=0,VLOOKUP(B72,'Pre-Calculation'!$H$1:$L$31,5,FALSE),0)*IF('Pre-Calculation'!$D$16="% OF FV",M72,IF(OR('Pre-Calculation'!$D$16="% OF AFV(24M)",'Pre-Calculation'!$D$16="% OF AFV(8Q)"),AVERAGE( $M49:$M72),IF('Pre-Calculation'!$D$16="% OF AFV(12M)",AVERAGE($M61:M72),IF('Pre-Calculation'!$D$16="% OF AFV(36M)",AVERAGE($M37:M72)))))</f>
        <v>661282.9652</v>
      </c>
      <c r="O72" s="175">
        <f t="shared" si="4"/>
        <v>661282.9652</v>
      </c>
      <c r="P72" s="175">
        <f>IF('Pre-Calculation'!$D$17="Type 4 a",MAX(SA,N72,1.05*Q72),IF('Pre-Calculation'!$D$17="Type 4 c",N72,IF('Pre-Calculation'!$D$17="Type 4 d",SA+N72,IF('Pre-Calculation'!$D$17="Type 4 e",MAX(SA,N72),IF('Pre-Calculation'!$D$17="Type 4 f",SA,IF('Pre-Calculation'!$D$17="Type 4 g",1000+N72,IF('Pre-Calculation'!$D$17="Type 4 h",SA+X72,IF('Pre-Calculation'!$D$17="Type 4 i",MAX(N72,Q72),IF('Pre-Calculation'!$D$17="Type 4 k",MAX(N72,1.01*Q72),IF('Pre-Calculation'!$D$17="Type 4 m",MAX(105%*Q72,SA+N72),IF('Pre-Calculation'!$D$17="Type 4 o",MAX(SA,105%*Q72)+X72+Z72,IF('Pre-Calculation'!$D$17="Type 5",0))))))))))))</f>
        <v>1260000</v>
      </c>
      <c r="Q72" s="175">
        <f t="shared" si="5"/>
        <v>1200000</v>
      </c>
      <c r="R72" s="119">
        <f>L72*(1+GROWTH_RATE)*FMC</f>
        <v>744.5265888</v>
      </c>
      <c r="S72" s="178">
        <f>S71*(1+'Pre-Calculation'!$E$27)</f>
        <v>785389.843</v>
      </c>
      <c r="T72" s="175">
        <f>-E72+IF(A71=INPUT!$C$11*12,N72,0)</f>
        <v>0</v>
      </c>
      <c r="U72" s="175">
        <f t="shared" si="6"/>
        <v>711795.9346</v>
      </c>
      <c r="V72" s="175">
        <f>U72*(1+GROWTH_RATE_H)*(1-'Pre-Calculation'!$E$31)</f>
        <v>715182.6534</v>
      </c>
      <c r="W72" s="175">
        <f>-E72+IF(A71=INPUT!$C$11*12,V72,0)</f>
        <v>0</v>
      </c>
      <c r="X72" s="179">
        <f t="array" ref="X72">NPV('Pre-Calculation'!$E$20,$E73:E$246)</f>
        <v>348405.9191</v>
      </c>
      <c r="Y72" s="171">
        <f>10%*SA</f>
        <v>100000</v>
      </c>
      <c r="Z72" s="179">
        <f t="array" ref="Z72">NPV('Pre-Calculation'!$E$20,Y73:Y82)</f>
        <v>969592.8037</v>
      </c>
    </row>
    <row r="73" ht="15.75" customHeight="1">
      <c r="A73" s="171">
        <f t="shared" si="1"/>
        <v>67</v>
      </c>
      <c r="B73" s="171">
        <f t="shared" si="2"/>
        <v>6</v>
      </c>
      <c r="C73" s="176">
        <f>EDATE(RCD,A72)</f>
        <v>44560</v>
      </c>
      <c r="D73" s="171">
        <f>Age_At_Entry+'Cashflows_8% from Start'!B73-1</f>
        <v>40</v>
      </c>
      <c r="E73" s="175">
        <f>IF(AND(C73&lt;=Last_Prem,MOD(A72,Mode)=0),Mod_Prem,0)</f>
        <v>0</v>
      </c>
      <c r="F73" s="177">
        <f>E73*VLOOKUP(B73,'Pre-Calculation'!$H$1:$I$31,2,FALSE)</f>
        <v>0</v>
      </c>
      <c r="G73" s="177">
        <f>IF(B73&lt;PT+1,VLOOKUP(B73,'Pre-Calculation'!$H$1:$L$32,3,FALSE)+VLOOKUP(B73,'Pre-Calculation'!$H$1:$L$32,4,FALSE)*'Pre-Calculation'!$D$7,0)</f>
        <v>830</v>
      </c>
      <c r="H73" s="175">
        <f>(E73-(F73+G73)*(1+Tax)+N72)</f>
        <v>660303.5652</v>
      </c>
      <c r="I73" s="175">
        <f>IF(B73&lt;PT+1,VLOOKUP(D73,'Pre-Calculation'!$N$3:$P$79,IF(INPUT!$C$4="M",2,3),FALSE)*(J73/1000)*(1/12),0)</f>
        <v>90.07940198</v>
      </c>
      <c r="J73" s="175">
        <f t="shared" si="3"/>
        <v>599696.4348</v>
      </c>
      <c r="K73" s="175">
        <f>IF('Pre-Calculation'!$D$17="Type 4 a",MAX(SA,H73,1.05*Q73),IF('Pre-Calculation'!$D$17="Type 4 c",H73,IF('Pre-Calculation'!$D$17="Type 4 d",SA+H73,IF('Pre-Calculation'!$D$17="Type 4 e",MAX(SA,H73),IF('Pre-Calculation'!$D$17="Type 4 f",SA,IF('Pre-Calculation'!$D$17="Type 4 g",1000+H73,IF('Pre-Calculation'!$D$17="Type 4 h",SA+X73,IF('Pre-Calculation'!$D$17="Type 4 i",MAX(H73,Q73),IF('Pre-Calculation'!$D$17="Type 4 k",MAX(H73,1.01*Q73),IF('Pre-Calculation'!$D$17="Type 4 m",MAX(105%*Q73,SA+H73),IF('Pre-Calculation'!$D$17="Type 4 o",MAX(SA,105%*Q73)+X73+Z73,IF('Pre-Calculation'!$D$17="Type 5",0))))))))))))</f>
        <v>1260000</v>
      </c>
      <c r="L73" s="175">
        <f>H73-I73*(1+Tax)</f>
        <v>660197.2715</v>
      </c>
      <c r="M73" s="175">
        <f>L73*(1+GROWTH_RATE_H)*(1-FMC*(1+Tax))</f>
        <v>663563.4295</v>
      </c>
      <c r="N73" s="175">
        <f>M73+IF(MOD(A73,B73)=0,VLOOKUP(B73,'Pre-Calculation'!$H$1:$L$31,5,FALSE),0)*IF('Pre-Calculation'!$D$16="% OF FV",M73,IF(OR('Pre-Calculation'!$D$16="% OF AFV(24M)",'Pre-Calculation'!$D$16="% OF AFV(8Q)"),AVERAGE( $M50:$M73),IF('Pre-Calculation'!$D$16="% OF AFV(12M)",AVERAGE($M62:M73),IF('Pre-Calculation'!$D$16="% OF AFV(36M)",AVERAGE($M38:M73)))))</f>
        <v>663563.4295</v>
      </c>
      <c r="O73" s="175">
        <f t="shared" si="4"/>
        <v>663563.4295</v>
      </c>
      <c r="P73" s="175">
        <f>IF('Pre-Calculation'!$D$17="Type 4 a",MAX(SA,N73,1.05*Q73),IF('Pre-Calculation'!$D$17="Type 4 c",N73,IF('Pre-Calculation'!$D$17="Type 4 d",SA+N73,IF('Pre-Calculation'!$D$17="Type 4 e",MAX(SA,N73),IF('Pre-Calculation'!$D$17="Type 4 f",SA,IF('Pre-Calculation'!$D$17="Type 4 g",1000+N73,IF('Pre-Calculation'!$D$17="Type 4 h",SA+X73,IF('Pre-Calculation'!$D$17="Type 4 i",MAX(N73,Q73),IF('Pre-Calculation'!$D$17="Type 4 k",MAX(N73,1.01*Q73),IF('Pre-Calculation'!$D$17="Type 4 m",MAX(105%*Q73,SA+N73),IF('Pre-Calculation'!$D$17="Type 4 o",MAX(SA,105%*Q73)+X73+Z73,IF('Pre-Calculation'!$D$17="Type 5",0))))))))))))</f>
        <v>1260000</v>
      </c>
      <c r="Q73" s="175">
        <f t="shared" si="5"/>
        <v>1200000</v>
      </c>
      <c r="R73" s="119">
        <f>L73*(1+GROWTH_RATE)*FMC</f>
        <v>747.0941226</v>
      </c>
      <c r="S73" s="178">
        <f>S72*(1+'Pre-Calculation'!$E$27)</f>
        <v>787644.6177</v>
      </c>
      <c r="T73" s="175">
        <f>-E73+IF(A72=INPUT!$C$11*12,N73,0)</f>
        <v>0</v>
      </c>
      <c r="U73" s="175">
        <f t="shared" si="6"/>
        <v>715182.6534</v>
      </c>
      <c r="V73" s="175">
        <f>U73*(1+GROWTH_RATE_H)*(1-'Pre-Calculation'!$E$31)</f>
        <v>718585.4862</v>
      </c>
      <c r="W73" s="175">
        <f>-E73+IF(A72=INPUT!$C$11*12,V73,0)</f>
        <v>0</v>
      </c>
      <c r="X73" s="179">
        <f t="array" ref="X73">NPV('Pre-Calculation'!$E$20,$E74:E$246)</f>
        <v>350375.8568</v>
      </c>
      <c r="Y73" s="171">
        <f>10%*SA</f>
        <v>100000</v>
      </c>
      <c r="Z73" s="179">
        <f t="array" ref="Z73">NPV('Pre-Calculation'!$E$20,Y74:Y83)</f>
        <v>969592.8037</v>
      </c>
    </row>
    <row r="74" ht="15.75" customHeight="1">
      <c r="A74" s="171">
        <f t="shared" si="1"/>
        <v>68</v>
      </c>
      <c r="B74" s="171">
        <f t="shared" si="2"/>
        <v>6</v>
      </c>
      <c r="C74" s="176">
        <f>EDATE(RCD,A73)</f>
        <v>44591</v>
      </c>
      <c r="D74" s="171">
        <f>Age_At_Entry+'Cashflows_8% from Start'!B74-1</f>
        <v>40</v>
      </c>
      <c r="E74" s="175">
        <f>IF(AND(C74&lt;=Last_Prem,MOD(A73,Mode)=0),Mod_Prem,0)</f>
        <v>0</v>
      </c>
      <c r="F74" s="177">
        <f>E74*VLOOKUP(B74,'Pre-Calculation'!$H$1:$I$31,2,FALSE)</f>
        <v>0</v>
      </c>
      <c r="G74" s="177">
        <f>IF(B74&lt;PT+1,VLOOKUP(B74,'Pre-Calculation'!$H$1:$L$32,3,FALSE)+VLOOKUP(B74,'Pre-Calculation'!$H$1:$L$32,4,FALSE)*'Pre-Calculation'!$D$7,0)</f>
        <v>830</v>
      </c>
      <c r="H74" s="175">
        <f>(E74-(F74+G74)*(1+Tax)+N73)</f>
        <v>662584.0295</v>
      </c>
      <c r="I74" s="175">
        <f>IF(B74&lt;PT+1,VLOOKUP(D74,'Pre-Calculation'!$N$3:$P$79,IF(INPUT!$C$4="M",2,3),FALSE)*(J74/1000)*(1/12),0)</f>
        <v>89.73685723</v>
      </c>
      <c r="J74" s="175">
        <f t="shared" si="3"/>
        <v>597415.9705</v>
      </c>
      <c r="K74" s="175">
        <f>IF('Pre-Calculation'!$D$17="Type 4 a",MAX(SA,H74,1.05*Q74),IF('Pre-Calculation'!$D$17="Type 4 c",H74,IF('Pre-Calculation'!$D$17="Type 4 d",SA+H74,IF('Pre-Calculation'!$D$17="Type 4 e",MAX(SA,H74),IF('Pre-Calculation'!$D$17="Type 4 f",SA,IF('Pre-Calculation'!$D$17="Type 4 g",1000+H74,IF('Pre-Calculation'!$D$17="Type 4 h",SA+X74,IF('Pre-Calculation'!$D$17="Type 4 i",MAX(H74,Q74),IF('Pre-Calculation'!$D$17="Type 4 k",MAX(H74,1.01*Q74),IF('Pre-Calculation'!$D$17="Type 4 m",MAX(105%*Q74,SA+H74),IF('Pre-Calculation'!$D$17="Type 4 o",MAX(SA,105%*Q74)+X74+Z74,IF('Pre-Calculation'!$D$17="Type 5",0))))))))))))</f>
        <v>1260000</v>
      </c>
      <c r="L74" s="175">
        <f>H74-I74*(1+Tax)</f>
        <v>662478.14</v>
      </c>
      <c r="M74" s="175">
        <f>L74*(1+GROWTH_RATE_H)*(1-FMC*(1+Tax))</f>
        <v>665855.9276</v>
      </c>
      <c r="N74" s="175">
        <f>M74+IF(MOD(A74,B74)=0,VLOOKUP(B74,'Pre-Calculation'!$H$1:$L$31,5,FALSE),0)*IF('Pre-Calculation'!$D$16="% OF FV",M74,IF(OR('Pre-Calculation'!$D$16="% OF AFV(24M)",'Pre-Calculation'!$D$16="% OF AFV(8Q)"),AVERAGE( $M51:$M74),IF('Pre-Calculation'!$D$16="% OF AFV(12M)",AVERAGE($M63:M74),IF('Pre-Calculation'!$D$16="% OF AFV(36M)",AVERAGE($M39:M74)))))</f>
        <v>665855.9276</v>
      </c>
      <c r="O74" s="175">
        <f t="shared" si="4"/>
        <v>665855.9276</v>
      </c>
      <c r="P74" s="175">
        <f>IF('Pre-Calculation'!$D$17="Type 4 a",MAX(SA,N74,1.05*Q74),IF('Pre-Calculation'!$D$17="Type 4 c",N74,IF('Pre-Calculation'!$D$17="Type 4 d",SA+N74,IF('Pre-Calculation'!$D$17="Type 4 e",MAX(SA,N74),IF('Pre-Calculation'!$D$17="Type 4 f",SA,IF('Pre-Calculation'!$D$17="Type 4 g",1000+N74,IF('Pre-Calculation'!$D$17="Type 4 h",SA+X74,IF('Pre-Calculation'!$D$17="Type 4 i",MAX(N74,Q74),IF('Pre-Calculation'!$D$17="Type 4 k",MAX(N74,1.01*Q74),IF('Pre-Calculation'!$D$17="Type 4 m",MAX(105%*Q74,SA+N74),IF('Pre-Calculation'!$D$17="Type 4 o",MAX(SA,105%*Q74)+X74+Z74,IF('Pre-Calculation'!$D$17="Type 5",0))))))))))))</f>
        <v>1260000</v>
      </c>
      <c r="Q74" s="175">
        <f t="shared" si="5"/>
        <v>1200000</v>
      </c>
      <c r="R74" s="119">
        <f>L74*(1+GROWTH_RATE)*FMC</f>
        <v>749.6752049</v>
      </c>
      <c r="S74" s="178">
        <f>S73*(1+'Pre-Calculation'!$E$27)</f>
        <v>789905.8656</v>
      </c>
      <c r="T74" s="175">
        <f>-E74+IF(A73=INPUT!$C$11*12,N74,0)</f>
        <v>0</v>
      </c>
      <c r="U74" s="175">
        <f t="shared" si="6"/>
        <v>718585.4862</v>
      </c>
      <c r="V74" s="175">
        <f>U74*(1+GROWTH_RATE_H)*(1-'Pre-Calculation'!$E$31)</f>
        <v>722004.5096</v>
      </c>
      <c r="W74" s="175">
        <f>-E74+IF(A73=INPUT!$C$11*12,V74,0)</f>
        <v>0</v>
      </c>
      <c r="X74" s="179">
        <f t="array" ref="X74">NPV('Pre-Calculation'!$E$20,$E75:E$246)</f>
        <v>352356.9328</v>
      </c>
      <c r="Y74" s="171">
        <f>10%*SA</f>
        <v>100000</v>
      </c>
      <c r="Z74" s="179">
        <f t="array" ref="Z74">NPV('Pre-Calculation'!$E$20,Y75:Y84)</f>
        <v>969592.8037</v>
      </c>
    </row>
    <row r="75" ht="15.75" customHeight="1">
      <c r="A75" s="171">
        <f t="shared" si="1"/>
        <v>69</v>
      </c>
      <c r="B75" s="171">
        <f t="shared" si="2"/>
        <v>6</v>
      </c>
      <c r="C75" s="176">
        <f>EDATE(RCD,A74)</f>
        <v>44620</v>
      </c>
      <c r="D75" s="171">
        <f>Age_At_Entry+'Cashflows_8% from Start'!B75-1</f>
        <v>40</v>
      </c>
      <c r="E75" s="175">
        <f>IF(AND(C75&lt;=Last_Prem,MOD(A74,Mode)=0),Mod_Prem,0)</f>
        <v>0</v>
      </c>
      <c r="F75" s="177">
        <f>E75*VLOOKUP(B75,'Pre-Calculation'!$H$1:$I$31,2,FALSE)</f>
        <v>0</v>
      </c>
      <c r="G75" s="177">
        <f>IF(B75&lt;PT+1,VLOOKUP(B75,'Pre-Calculation'!$H$1:$L$32,3,FALSE)+VLOOKUP(B75,'Pre-Calculation'!$H$1:$L$32,4,FALSE)*'Pre-Calculation'!$D$7,0)</f>
        <v>830</v>
      </c>
      <c r="H75" s="175">
        <f>(E75-(F75+G75)*(1+Tax)+N74)</f>
        <v>664876.5276</v>
      </c>
      <c r="I75" s="175">
        <f>IF(B75&lt;PT+1,VLOOKUP(D75,'Pre-Calculation'!$N$3:$P$79,IF(INPUT!$C$4="M",2,3),FALSE)*(J75/1000)*(1/12),0)</f>
        <v>89.39250492</v>
      </c>
      <c r="J75" s="175">
        <f t="shared" si="3"/>
        <v>595123.4724</v>
      </c>
      <c r="K75" s="175">
        <f>IF('Pre-Calculation'!$D$17="Type 4 a",MAX(SA,H75,1.05*Q75),IF('Pre-Calculation'!$D$17="Type 4 c",H75,IF('Pre-Calculation'!$D$17="Type 4 d",SA+H75,IF('Pre-Calculation'!$D$17="Type 4 e",MAX(SA,H75),IF('Pre-Calculation'!$D$17="Type 4 f",SA,IF('Pre-Calculation'!$D$17="Type 4 g",1000+H75,IF('Pre-Calculation'!$D$17="Type 4 h",SA+X75,IF('Pre-Calculation'!$D$17="Type 4 i",MAX(H75,Q75),IF('Pre-Calculation'!$D$17="Type 4 k",MAX(H75,1.01*Q75),IF('Pre-Calculation'!$D$17="Type 4 m",MAX(105%*Q75,SA+H75),IF('Pre-Calculation'!$D$17="Type 4 o",MAX(SA,105%*Q75)+X75+Z75,IF('Pre-Calculation'!$D$17="Type 5",0))))))))))))</f>
        <v>1260000</v>
      </c>
      <c r="L75" s="175">
        <f>H75-I75*(1+Tax)</f>
        <v>664771.0444</v>
      </c>
      <c r="M75" s="175">
        <f>L75*(1+GROWTH_RATE_H)*(1-FMC*(1+Tax))</f>
        <v>668160.5229</v>
      </c>
      <c r="N75" s="175">
        <f>M75+IF(MOD(A75,B75)=0,VLOOKUP(B75,'Pre-Calculation'!$H$1:$L$31,5,FALSE),0)*IF('Pre-Calculation'!$D$16="% OF FV",M75,IF(OR('Pre-Calculation'!$D$16="% OF AFV(24M)",'Pre-Calculation'!$D$16="% OF AFV(8Q)"),AVERAGE( $M52:$M75),IF('Pre-Calculation'!$D$16="% OF AFV(12M)",AVERAGE($M64:M75),IF('Pre-Calculation'!$D$16="% OF AFV(36M)",AVERAGE($M40:M75)))))</f>
        <v>668160.5229</v>
      </c>
      <c r="O75" s="175">
        <f t="shared" si="4"/>
        <v>668160.5229</v>
      </c>
      <c r="P75" s="175">
        <f>IF('Pre-Calculation'!$D$17="Type 4 a",MAX(SA,N75,1.05*Q75),IF('Pre-Calculation'!$D$17="Type 4 c",N75,IF('Pre-Calculation'!$D$17="Type 4 d",SA+N75,IF('Pre-Calculation'!$D$17="Type 4 e",MAX(SA,N75),IF('Pre-Calculation'!$D$17="Type 4 f",SA,IF('Pre-Calculation'!$D$17="Type 4 g",1000+N75,IF('Pre-Calculation'!$D$17="Type 4 h",SA+X75,IF('Pre-Calculation'!$D$17="Type 4 i",MAX(N75,Q75),IF('Pre-Calculation'!$D$17="Type 4 k",MAX(N75,1.01*Q75),IF('Pre-Calculation'!$D$17="Type 4 m",MAX(105%*Q75,SA+N75),IF('Pre-Calculation'!$D$17="Type 4 o",MAX(SA,105%*Q75)+X75+Z75,IF('Pre-Calculation'!$D$17="Type 5",0))))))))))))</f>
        <v>1260000</v>
      </c>
      <c r="Q75" s="175">
        <f t="shared" si="5"/>
        <v>1200000</v>
      </c>
      <c r="R75" s="119">
        <f>L75*(1+GROWTH_RATE)*FMC</f>
        <v>752.2699073</v>
      </c>
      <c r="S75" s="178">
        <f>S74*(1+'Pre-Calculation'!$E$27)</f>
        <v>792173.6054</v>
      </c>
      <c r="T75" s="175">
        <f>-E75+IF(A74=INPUT!$C$11*12,N75,0)</f>
        <v>0</v>
      </c>
      <c r="U75" s="175">
        <f t="shared" si="6"/>
        <v>722004.5096</v>
      </c>
      <c r="V75" s="175">
        <f>U75*(1+GROWTH_RATE_H)*(1-'Pre-Calculation'!$E$31)</f>
        <v>725439.8008</v>
      </c>
      <c r="W75" s="175">
        <f>-E75+IF(A74=INPUT!$C$11*12,V75,0)</f>
        <v>0</v>
      </c>
      <c r="X75" s="179">
        <f t="array" ref="X75">NPV('Pre-Calculation'!$E$20,$E76:E$246)</f>
        <v>354349.2102</v>
      </c>
      <c r="Y75" s="171">
        <f>10%*SA</f>
        <v>100000</v>
      </c>
      <c r="Z75" s="179">
        <f t="array" ref="Z75">NPV('Pre-Calculation'!$E$20,Y76:Y85)</f>
        <v>969592.8037</v>
      </c>
    </row>
    <row r="76" ht="15.75" customHeight="1">
      <c r="A76" s="171">
        <f t="shared" si="1"/>
        <v>70</v>
      </c>
      <c r="B76" s="171">
        <f t="shared" si="2"/>
        <v>6</v>
      </c>
      <c r="C76" s="176">
        <f>EDATE(RCD,A75)</f>
        <v>44650</v>
      </c>
      <c r="D76" s="171">
        <f>Age_At_Entry+'Cashflows_8% from Start'!B76-1</f>
        <v>40</v>
      </c>
      <c r="E76" s="175">
        <f>IF(AND(C76&lt;=Last_Prem,MOD(A75,Mode)=0),Mod_Prem,0)</f>
        <v>0</v>
      </c>
      <c r="F76" s="177">
        <f>E76*VLOOKUP(B76,'Pre-Calculation'!$H$1:$I$31,2,FALSE)</f>
        <v>0</v>
      </c>
      <c r="G76" s="177">
        <f>IF(B76&lt;PT+1,VLOOKUP(B76,'Pre-Calculation'!$H$1:$L$32,3,FALSE)+VLOOKUP(B76,'Pre-Calculation'!$H$1:$L$32,4,FALSE)*'Pre-Calculation'!$D$7,0)</f>
        <v>830</v>
      </c>
      <c r="H76" s="175">
        <f>(E76-(F76+G76)*(1+Tax)+N75)</f>
        <v>667181.1229</v>
      </c>
      <c r="I76" s="175">
        <f>IF(B76&lt;PT+1,VLOOKUP(D76,'Pre-Calculation'!$N$3:$P$79,IF(INPUT!$C$4="M",2,3),FALSE)*(J76/1000)*(1/12),0)</f>
        <v>89.0463355</v>
      </c>
      <c r="J76" s="175">
        <f t="shared" si="3"/>
        <v>592818.8771</v>
      </c>
      <c r="K76" s="175">
        <f>IF('Pre-Calculation'!$D$17="Type 4 a",MAX(SA,H76,1.05*Q76),IF('Pre-Calculation'!$D$17="Type 4 c",H76,IF('Pre-Calculation'!$D$17="Type 4 d",SA+H76,IF('Pre-Calculation'!$D$17="Type 4 e",MAX(SA,H76),IF('Pre-Calculation'!$D$17="Type 4 f",SA,IF('Pre-Calculation'!$D$17="Type 4 g",1000+H76,IF('Pre-Calculation'!$D$17="Type 4 h",SA+X76,IF('Pre-Calculation'!$D$17="Type 4 i",MAX(H76,Q76),IF('Pre-Calculation'!$D$17="Type 4 k",MAX(H76,1.01*Q76),IF('Pre-Calculation'!$D$17="Type 4 m",MAX(105%*Q76,SA+H76),IF('Pre-Calculation'!$D$17="Type 4 o",MAX(SA,105%*Q76)+X76+Z76,IF('Pre-Calculation'!$D$17="Type 5",0))))))))))))</f>
        <v>1260000</v>
      </c>
      <c r="L76" s="175">
        <f>H76-I76*(1+Tax)</f>
        <v>667076.0482</v>
      </c>
      <c r="M76" s="175">
        <f>L76*(1+GROWTH_RATE_H)*(1-FMC*(1+Tax))</f>
        <v>670477.2792</v>
      </c>
      <c r="N76" s="175">
        <f>M76+IF(MOD(A76,B76)=0,VLOOKUP(B76,'Pre-Calculation'!$H$1:$L$31,5,FALSE),0)*IF('Pre-Calculation'!$D$16="% OF FV",M76,IF(OR('Pre-Calculation'!$D$16="% OF AFV(24M)",'Pre-Calculation'!$D$16="% OF AFV(8Q)"),AVERAGE( $M53:$M76),IF('Pre-Calculation'!$D$16="% OF AFV(12M)",AVERAGE($M65:M76),IF('Pre-Calculation'!$D$16="% OF AFV(36M)",AVERAGE($M41:M76)))))</f>
        <v>670477.2792</v>
      </c>
      <c r="O76" s="175">
        <f t="shared" si="4"/>
        <v>670477.2792</v>
      </c>
      <c r="P76" s="175">
        <f>IF('Pre-Calculation'!$D$17="Type 4 a",MAX(SA,N76,1.05*Q76),IF('Pre-Calculation'!$D$17="Type 4 c",N76,IF('Pre-Calculation'!$D$17="Type 4 d",SA+N76,IF('Pre-Calculation'!$D$17="Type 4 e",MAX(SA,N76),IF('Pre-Calculation'!$D$17="Type 4 f",SA,IF('Pre-Calculation'!$D$17="Type 4 g",1000+N76,IF('Pre-Calculation'!$D$17="Type 4 h",SA+X76,IF('Pre-Calculation'!$D$17="Type 4 i",MAX(N76,Q76),IF('Pre-Calculation'!$D$17="Type 4 k",MAX(N76,1.01*Q76),IF('Pre-Calculation'!$D$17="Type 4 m",MAX(105%*Q76,SA+N76),IF('Pre-Calculation'!$D$17="Type 4 o",MAX(SA,105%*Q76)+X76+Z76,IF('Pre-Calculation'!$D$17="Type 5",0))))))))))))</f>
        <v>1260000</v>
      </c>
      <c r="Q76" s="175">
        <f t="shared" si="5"/>
        <v>1200000</v>
      </c>
      <c r="R76" s="119">
        <f>L76*(1+GROWTH_RATE)*FMC</f>
        <v>754.8783015</v>
      </c>
      <c r="S76" s="178">
        <f>S75*(1+'Pre-Calculation'!$E$27)</f>
        <v>794447.8556</v>
      </c>
      <c r="T76" s="175">
        <f>-E76+IF(A75=INPUT!$C$11*12,N76,0)</f>
        <v>0</v>
      </c>
      <c r="U76" s="175">
        <f t="shared" si="6"/>
        <v>725439.8008</v>
      </c>
      <c r="V76" s="175">
        <f>U76*(1+GROWTH_RATE_H)*(1-'Pre-Calculation'!$E$31)</f>
        <v>728891.437</v>
      </c>
      <c r="W76" s="175">
        <f>-E76+IF(A75=INPUT!$C$11*12,V76,0)</f>
        <v>0</v>
      </c>
      <c r="X76" s="179">
        <f t="array" ref="X76">NPV('Pre-Calculation'!$E$20,$E77:E$246)</f>
        <v>356352.7521</v>
      </c>
      <c r="Y76" s="171">
        <f>10%*SA</f>
        <v>100000</v>
      </c>
      <c r="Z76" s="179">
        <f t="array" ref="Z76">NPV('Pre-Calculation'!$E$20,Y77:Y86)</f>
        <v>969592.8037</v>
      </c>
    </row>
    <row r="77" ht="15.75" customHeight="1">
      <c r="A77" s="171">
        <f t="shared" si="1"/>
        <v>71</v>
      </c>
      <c r="B77" s="171">
        <f t="shared" si="2"/>
        <v>6</v>
      </c>
      <c r="C77" s="176">
        <f>EDATE(RCD,A76)</f>
        <v>44681</v>
      </c>
      <c r="D77" s="171">
        <f>Age_At_Entry+'Cashflows_8% from Start'!B77-1</f>
        <v>40</v>
      </c>
      <c r="E77" s="175">
        <f>IF(AND(C77&lt;=Last_Prem,MOD(A76,Mode)=0),Mod_Prem,0)</f>
        <v>0</v>
      </c>
      <c r="F77" s="177">
        <f>E77*VLOOKUP(B77,'Pre-Calculation'!$H$1:$I$31,2,FALSE)</f>
        <v>0</v>
      </c>
      <c r="G77" s="177">
        <f>IF(B77&lt;PT+1,VLOOKUP(B77,'Pre-Calculation'!$H$1:$L$32,3,FALSE)+VLOOKUP(B77,'Pre-Calculation'!$H$1:$L$32,4,FALSE)*'Pre-Calculation'!$D$7,0)</f>
        <v>830</v>
      </c>
      <c r="H77" s="175">
        <f>(E77-(F77+G77)*(1+Tax)+N76)</f>
        <v>669497.8792</v>
      </c>
      <c r="I77" s="175">
        <f>IF(B77&lt;PT+1,VLOOKUP(D77,'Pre-Calculation'!$N$3:$P$79,IF(INPUT!$C$4="M",2,3),FALSE)*(J77/1000)*(1/12),0)</f>
        <v>88.6983394</v>
      </c>
      <c r="J77" s="175">
        <f t="shared" si="3"/>
        <v>590502.1208</v>
      </c>
      <c r="K77" s="175">
        <f>IF('Pre-Calculation'!$D$17="Type 4 a",MAX(SA,H77,1.05*Q77),IF('Pre-Calculation'!$D$17="Type 4 c",H77,IF('Pre-Calculation'!$D$17="Type 4 d",SA+H77,IF('Pre-Calculation'!$D$17="Type 4 e",MAX(SA,H77),IF('Pre-Calculation'!$D$17="Type 4 f",SA,IF('Pre-Calculation'!$D$17="Type 4 g",1000+H77,IF('Pre-Calculation'!$D$17="Type 4 h",SA+X77,IF('Pre-Calculation'!$D$17="Type 4 i",MAX(H77,Q77),IF('Pre-Calculation'!$D$17="Type 4 k",MAX(H77,1.01*Q77),IF('Pre-Calculation'!$D$17="Type 4 m",MAX(105%*Q77,SA+H77),IF('Pre-Calculation'!$D$17="Type 4 o",MAX(SA,105%*Q77)+X77+Z77,IF('Pre-Calculation'!$D$17="Type 5",0))))))))))))</f>
        <v>1260000</v>
      </c>
      <c r="L77" s="175">
        <f>H77-I77*(1+Tax)</f>
        <v>669393.2151</v>
      </c>
      <c r="M77" s="175">
        <f>L77*(1+GROWTH_RATE_H)*(1-FMC*(1+Tax))</f>
        <v>672806.2607</v>
      </c>
      <c r="N77" s="175">
        <f>M77+IF(MOD(A77,B77)=0,VLOOKUP(B77,'Pre-Calculation'!$H$1:$L$31,5,FALSE),0)*IF('Pre-Calculation'!$D$16="% OF FV",M77,IF(OR('Pre-Calculation'!$D$16="% OF AFV(24M)",'Pre-Calculation'!$D$16="% OF AFV(8Q)"),AVERAGE( $M54:$M77),IF('Pre-Calculation'!$D$16="% OF AFV(12M)",AVERAGE($M66:M77),IF('Pre-Calculation'!$D$16="% OF AFV(36M)",AVERAGE($M42:M77)))))</f>
        <v>672806.2607</v>
      </c>
      <c r="O77" s="175">
        <f t="shared" si="4"/>
        <v>672806.2607</v>
      </c>
      <c r="P77" s="175">
        <f>IF('Pre-Calculation'!$D$17="Type 4 a",MAX(SA,N77,1.05*Q77),IF('Pre-Calculation'!$D$17="Type 4 c",N77,IF('Pre-Calculation'!$D$17="Type 4 d",SA+N77,IF('Pre-Calculation'!$D$17="Type 4 e",MAX(SA,N77),IF('Pre-Calculation'!$D$17="Type 4 f",SA,IF('Pre-Calculation'!$D$17="Type 4 g",1000+N77,IF('Pre-Calculation'!$D$17="Type 4 h",SA+X77,IF('Pre-Calculation'!$D$17="Type 4 i",MAX(N77,Q77),IF('Pre-Calculation'!$D$17="Type 4 k",MAX(N77,1.01*Q77),IF('Pre-Calculation'!$D$17="Type 4 m",MAX(105%*Q77,SA+N77),IF('Pre-Calculation'!$D$17="Type 4 o",MAX(SA,105%*Q77)+X77+Z77,IF('Pre-Calculation'!$D$17="Type 5",0))))))))))))</f>
        <v>1260000</v>
      </c>
      <c r="Q77" s="175">
        <f t="shared" si="5"/>
        <v>1200000</v>
      </c>
      <c r="R77" s="119">
        <f>L77*(1+GROWTH_RATE)*FMC</f>
        <v>757.5004599</v>
      </c>
      <c r="S77" s="178">
        <f>S76*(1+'Pre-Calculation'!$E$27)</f>
        <v>796728.6349</v>
      </c>
      <c r="T77" s="175">
        <f>-E77+IF(A76=INPUT!$C$11*12,N77,0)</f>
        <v>0</v>
      </c>
      <c r="U77" s="175">
        <f t="shared" si="6"/>
        <v>728891.437</v>
      </c>
      <c r="V77" s="175">
        <f>U77*(1+GROWTH_RATE_H)*(1-'Pre-Calculation'!$E$31)</f>
        <v>732359.496</v>
      </c>
      <c r="W77" s="175">
        <f>-E77+IF(A76=INPUT!$C$11*12,V77,0)</f>
        <v>0</v>
      </c>
      <c r="X77" s="179">
        <f t="array" ref="X77">NPV('Pre-Calculation'!$E$20,$E78:E$246)</f>
        <v>358367.6224</v>
      </c>
      <c r="Y77" s="171">
        <f>10%*SA</f>
        <v>100000</v>
      </c>
      <c r="Z77" s="179">
        <f t="array" ref="Z77">NPV('Pre-Calculation'!$E$20,Y78:Y87)</f>
        <v>969592.8037</v>
      </c>
    </row>
    <row r="78" ht="15.75" customHeight="1">
      <c r="A78" s="171">
        <f t="shared" si="1"/>
        <v>72</v>
      </c>
      <c r="B78" s="171">
        <f t="shared" si="2"/>
        <v>6</v>
      </c>
      <c r="C78" s="176">
        <f>EDATE(RCD,A77)</f>
        <v>44711</v>
      </c>
      <c r="D78" s="171">
        <f>Age_At_Entry+'Cashflows_8% from Start'!B78-1</f>
        <v>40</v>
      </c>
      <c r="E78" s="175">
        <f>IF(AND(C78&lt;=Last_Prem,MOD(A77,Mode)=0),Mod_Prem,0)</f>
        <v>0</v>
      </c>
      <c r="F78" s="177">
        <f>E78*VLOOKUP(B78,'Pre-Calculation'!$H$1:$I$31,2,FALSE)</f>
        <v>0</v>
      </c>
      <c r="G78" s="177">
        <f>IF(B78&lt;PT+1,VLOOKUP(B78,'Pre-Calculation'!$H$1:$L$32,3,FALSE)+VLOOKUP(B78,'Pre-Calculation'!$H$1:$L$32,4,FALSE)*'Pre-Calculation'!$D$7,0)</f>
        <v>830</v>
      </c>
      <c r="H78" s="175">
        <f>(E78-(F78+G78)*(1+Tax)+N77)</f>
        <v>671826.8607</v>
      </c>
      <c r="I78" s="175">
        <f>IF(B78&lt;PT+1,VLOOKUP(D78,'Pre-Calculation'!$N$3:$P$79,IF(INPUT!$C$4="M",2,3),FALSE)*(J78/1000)*(1/12),0)</f>
        <v>88.34850697</v>
      </c>
      <c r="J78" s="175">
        <f t="shared" si="3"/>
        <v>588173.1393</v>
      </c>
      <c r="K78" s="175">
        <f>IF('Pre-Calculation'!$D$17="Type 4 a",MAX(SA,H78,1.05*Q78),IF('Pre-Calculation'!$D$17="Type 4 c",H78,IF('Pre-Calculation'!$D$17="Type 4 d",SA+H78,IF('Pre-Calculation'!$D$17="Type 4 e",MAX(SA,H78),IF('Pre-Calculation'!$D$17="Type 4 f",SA,IF('Pre-Calculation'!$D$17="Type 4 g",1000+H78,IF('Pre-Calculation'!$D$17="Type 4 h",SA+X78,IF('Pre-Calculation'!$D$17="Type 4 i",MAX(H78,Q78),IF('Pre-Calculation'!$D$17="Type 4 k",MAX(H78,1.01*Q78),IF('Pre-Calculation'!$D$17="Type 4 m",MAX(105%*Q78,SA+H78),IF('Pre-Calculation'!$D$17="Type 4 o",MAX(SA,105%*Q78)+X78+Z78,IF('Pre-Calculation'!$D$17="Type 5",0))))))))))))</f>
        <v>1260000</v>
      </c>
      <c r="L78" s="175">
        <f>H78-I78*(1+Tax)</f>
        <v>671722.6094</v>
      </c>
      <c r="M78" s="175">
        <f>L78*(1+GROWTH_RATE_H)*(1-FMC*(1+Tax))</f>
        <v>675147.5319</v>
      </c>
      <c r="N78" s="175">
        <f>M78+IF(MOD(A78,B78)=0,VLOOKUP(B78,'Pre-Calculation'!$H$1:$L$31,5,FALSE),0)*IF('Pre-Calculation'!$D$16="% OF FV",M78,IF(OR('Pre-Calculation'!$D$16="% OF AFV(24M)",'Pre-Calculation'!$D$16="% OF AFV(8Q)"),AVERAGE( $M55:$M78),IF('Pre-Calculation'!$D$16="% OF AFV(12M)",AVERAGE($M67:M78),IF('Pre-Calculation'!$D$16="% OF AFV(36M)",AVERAGE($M43:M78)))))</f>
        <v>675147.5319</v>
      </c>
      <c r="O78" s="175">
        <f t="shared" si="4"/>
        <v>675147.5319</v>
      </c>
      <c r="P78" s="175">
        <f>IF('Pre-Calculation'!$D$17="Type 4 a",MAX(SA,N78,1.05*Q78),IF('Pre-Calculation'!$D$17="Type 4 c",N78,IF('Pre-Calculation'!$D$17="Type 4 d",SA+N78,IF('Pre-Calculation'!$D$17="Type 4 e",MAX(SA,N78),IF('Pre-Calculation'!$D$17="Type 4 f",SA,IF('Pre-Calculation'!$D$17="Type 4 g",1000+N78,IF('Pre-Calculation'!$D$17="Type 4 h",SA+X78,IF('Pre-Calculation'!$D$17="Type 4 i",MAX(N78,Q78),IF('Pre-Calculation'!$D$17="Type 4 k",MAX(N78,1.01*Q78),IF('Pre-Calculation'!$D$17="Type 4 m",MAX(105%*Q78,SA+N78),IF('Pre-Calculation'!$D$17="Type 4 o",MAX(SA,105%*Q78)+X78+Z78,IF('Pre-Calculation'!$D$17="Type 5",0))))))))))))</f>
        <v>1260000</v>
      </c>
      <c r="Q78" s="175">
        <f t="shared" si="5"/>
        <v>1200000</v>
      </c>
      <c r="R78" s="119">
        <f>L78*(1+GROWTH_RATE)*FMC</f>
        <v>760.136455</v>
      </c>
      <c r="S78" s="178">
        <f>S77*(1+'Pre-Calculation'!$E$27)</f>
        <v>799015.9621</v>
      </c>
      <c r="T78" s="175">
        <f>-E78+IF(A77=INPUT!$C$11*12,N78,0)</f>
        <v>0</v>
      </c>
      <c r="U78" s="175">
        <f t="shared" si="6"/>
        <v>732359.496</v>
      </c>
      <c r="V78" s="175">
        <f>U78*(1+GROWTH_RATE_H)*(1-'Pre-Calculation'!$E$31)</f>
        <v>735844.0561</v>
      </c>
      <c r="W78" s="175">
        <f>-E78+IF(A77=INPUT!$C$11*12,V78,0)</f>
        <v>0</v>
      </c>
      <c r="X78" s="179">
        <f t="array" ref="X78">NPV('Pre-Calculation'!$E$20,$E79:E$246)</f>
        <v>360393.885</v>
      </c>
      <c r="Y78" s="171">
        <f>10%*SA</f>
        <v>100000</v>
      </c>
      <c r="Z78" s="179">
        <f t="array" ref="Z78">NPV('Pre-Calculation'!$E$20,Y79:Y88)</f>
        <v>969592.8037</v>
      </c>
    </row>
    <row r="79" ht="15.75" customHeight="1">
      <c r="A79" s="171">
        <f t="shared" si="1"/>
        <v>73</v>
      </c>
      <c r="B79" s="171">
        <f t="shared" si="2"/>
        <v>7</v>
      </c>
      <c r="C79" s="176">
        <f>EDATE(RCD,A78)</f>
        <v>44742</v>
      </c>
      <c r="D79" s="171">
        <f>Age_At_Entry+'Cashflows_8% from Start'!B79-1</f>
        <v>41</v>
      </c>
      <c r="E79" s="175">
        <f>IF(AND(C79&lt;=Last_Prem,MOD(A78,Mode)=0),Mod_Prem,0)</f>
        <v>100000</v>
      </c>
      <c r="F79" s="177">
        <f>E79*VLOOKUP(B79,'Pre-Calculation'!$H$1:$I$31,2,FALSE)</f>
        <v>0</v>
      </c>
      <c r="G79" s="177">
        <f>IF(B79&lt;PT+1,VLOOKUP(B79,'Pre-Calculation'!$H$1:$L$32,3,FALSE)+VLOOKUP(B79,'Pre-Calculation'!$H$1:$L$32,4,FALSE)*'Pre-Calculation'!$D$7,0)</f>
        <v>830</v>
      </c>
      <c r="H79" s="175">
        <f>(E79-(F79+G79)*(1+Tax)+N78)</f>
        <v>774168.1319</v>
      </c>
      <c r="I79" s="175">
        <f>IF(B79&lt;PT+1,VLOOKUP(D79,'Pre-Calculation'!$N$3:$P$79,IF(INPUT!$C$4="M",2,3),FALSE)*(J79/1000)*(1/12),0)</f>
        <v>96.45330246</v>
      </c>
      <c r="J79" s="175">
        <f t="shared" si="3"/>
        <v>590831.8681</v>
      </c>
      <c r="K79" s="175">
        <f>IF('Pre-Calculation'!$D$17="Type 4 a",MAX(SA,H79,1.05*Q79),IF('Pre-Calculation'!$D$17="Type 4 c",H79,IF('Pre-Calculation'!$D$17="Type 4 d",SA+H79,IF('Pre-Calculation'!$D$17="Type 4 e",MAX(SA,H79),IF('Pre-Calculation'!$D$17="Type 4 f",SA,IF('Pre-Calculation'!$D$17="Type 4 g",1000+H79,IF('Pre-Calculation'!$D$17="Type 4 h",SA+X79,IF('Pre-Calculation'!$D$17="Type 4 i",MAX(H79,Q79),IF('Pre-Calculation'!$D$17="Type 4 k",MAX(H79,1.01*Q79),IF('Pre-Calculation'!$D$17="Type 4 m",MAX(105%*Q79,SA+H79),IF('Pre-Calculation'!$D$17="Type 4 o",MAX(SA,105%*Q79)+X79+Z79,IF('Pre-Calculation'!$D$17="Type 5",0))))))))))))</f>
        <v>1365000</v>
      </c>
      <c r="L79" s="175">
        <f>H79-I79*(1+Tax)</f>
        <v>774054.317</v>
      </c>
      <c r="M79" s="175">
        <f>L79*(1+GROWTH_RATE_H)*(1-FMC*(1+Tax))</f>
        <v>778000.9998</v>
      </c>
      <c r="N79" s="175">
        <f>M79+IF(MOD(A79,B79)=0,VLOOKUP(B79,'Pre-Calculation'!$H$1:$L$31,5,FALSE),0)*IF('Pre-Calculation'!$D$16="% OF FV",M79,IF(OR('Pre-Calculation'!$D$16="% OF AFV(24M)",'Pre-Calculation'!$D$16="% OF AFV(8Q)"),AVERAGE( $M56:$M79),IF('Pre-Calculation'!$D$16="% OF AFV(12M)",AVERAGE($M68:M79),IF('Pre-Calculation'!$D$16="% OF AFV(36M)",AVERAGE($M44:M79)))))</f>
        <v>778000.9998</v>
      </c>
      <c r="O79" s="175">
        <f t="shared" si="4"/>
        <v>778000.9998</v>
      </c>
      <c r="P79" s="175">
        <f>IF('Pre-Calculation'!$D$17="Type 4 a",MAX(SA,N79,1.05*Q79),IF('Pre-Calculation'!$D$17="Type 4 c",N79,IF('Pre-Calculation'!$D$17="Type 4 d",SA+N79,IF('Pre-Calculation'!$D$17="Type 4 e",MAX(SA,N79),IF('Pre-Calculation'!$D$17="Type 4 f",SA,IF('Pre-Calculation'!$D$17="Type 4 g",1000+N79,IF('Pre-Calculation'!$D$17="Type 4 h",SA+X79,IF('Pre-Calculation'!$D$17="Type 4 i",MAX(N79,Q79),IF('Pre-Calculation'!$D$17="Type 4 k",MAX(N79,1.01*Q79),IF('Pre-Calculation'!$D$17="Type 4 m",MAX(105%*Q79,SA+N79),IF('Pre-Calculation'!$D$17="Type 4 o",MAX(SA,105%*Q79)+X79+Z79,IF('Pre-Calculation'!$D$17="Type 5",0))))))))))))</f>
        <v>1365000</v>
      </c>
      <c r="Q79" s="175">
        <f t="shared" si="5"/>
        <v>1300000</v>
      </c>
      <c r="R79" s="119">
        <f>L79*(1+GROWTH_RATE)*FMC</f>
        <v>875.9373233</v>
      </c>
      <c r="S79" s="178">
        <f>S78*(1+'Pre-Calculation'!$E$27)</f>
        <v>801309.856</v>
      </c>
      <c r="T79" s="175">
        <f>-E79+IF(A78=INPUT!$C$11*12,N79,0)</f>
        <v>-100000</v>
      </c>
      <c r="U79" s="175">
        <f t="shared" si="6"/>
        <v>835844.0561</v>
      </c>
      <c r="V79" s="175">
        <f>U79*(1+GROWTH_RATE_H)*(1-'Pre-Calculation'!$E$31)</f>
        <v>839820.9948</v>
      </c>
      <c r="W79" s="175">
        <f>-E79+IF(A78=INPUT!$C$11*12,V79,0)</f>
        <v>-100000</v>
      </c>
      <c r="X79" s="179">
        <f t="array" ref="X79">NPV('Pre-Calculation'!$E$20,$E80:E$246)</f>
        <v>262431.6044</v>
      </c>
      <c r="Y79" s="171">
        <f>10%*SA</f>
        <v>100000</v>
      </c>
      <c r="Z79" s="179">
        <f t="array" ref="Z79">NPV('Pre-Calculation'!$E$20,Y80:Y89)</f>
        <v>969592.8037</v>
      </c>
    </row>
    <row r="80" ht="15.75" customHeight="1">
      <c r="A80" s="171">
        <f t="shared" si="1"/>
        <v>74</v>
      </c>
      <c r="B80" s="171">
        <f t="shared" si="2"/>
        <v>7</v>
      </c>
      <c r="C80" s="176">
        <f>EDATE(RCD,A79)</f>
        <v>44772</v>
      </c>
      <c r="D80" s="171">
        <f>Age_At_Entry+'Cashflows_8% from Start'!B80-1</f>
        <v>41</v>
      </c>
      <c r="E80" s="175">
        <f>IF(AND(C80&lt;=Last_Prem,MOD(A79,Mode)=0),Mod_Prem,0)</f>
        <v>0</v>
      </c>
      <c r="F80" s="177">
        <f>E80*VLOOKUP(B80,'Pre-Calculation'!$H$1:$I$31,2,FALSE)</f>
        <v>0</v>
      </c>
      <c r="G80" s="177">
        <f>IF(B80&lt;PT+1,VLOOKUP(B80,'Pre-Calculation'!$H$1:$L$32,3,FALSE)+VLOOKUP(B80,'Pre-Calculation'!$H$1:$L$32,4,FALSE)*'Pre-Calculation'!$D$7,0)</f>
        <v>830</v>
      </c>
      <c r="H80" s="175">
        <f>(E80-(F80+G80)*(1+Tax)+N79)</f>
        <v>777021.5998</v>
      </c>
      <c r="I80" s="175">
        <f>IF(B80&lt;PT+1,VLOOKUP(D80,'Pre-Calculation'!$N$3:$P$79,IF(INPUT!$C$4="M",2,3),FALSE)*(J80/1000)*(1/12),0)</f>
        <v>95.98747384</v>
      </c>
      <c r="J80" s="175">
        <f t="shared" si="3"/>
        <v>587978.4002</v>
      </c>
      <c r="K80" s="175">
        <f>IF('Pre-Calculation'!$D$17="Type 4 a",MAX(SA,H80,1.05*Q80),IF('Pre-Calculation'!$D$17="Type 4 c",H80,IF('Pre-Calculation'!$D$17="Type 4 d",SA+H80,IF('Pre-Calculation'!$D$17="Type 4 e",MAX(SA,H80),IF('Pre-Calculation'!$D$17="Type 4 f",SA,IF('Pre-Calculation'!$D$17="Type 4 g",1000+H80,IF('Pre-Calculation'!$D$17="Type 4 h",SA+X80,IF('Pre-Calculation'!$D$17="Type 4 i",MAX(H80,Q80),IF('Pre-Calculation'!$D$17="Type 4 k",MAX(H80,1.01*Q80),IF('Pre-Calculation'!$D$17="Type 4 m",MAX(105%*Q80,SA+H80),IF('Pre-Calculation'!$D$17="Type 4 o",MAX(SA,105%*Q80)+X80+Z80,IF('Pre-Calculation'!$D$17="Type 5",0))))))))))))</f>
        <v>1365000</v>
      </c>
      <c r="L80" s="175">
        <f>H80-I80*(1+Tax)</f>
        <v>776908.3345</v>
      </c>
      <c r="M80" s="175">
        <f>L80*(1+GROWTH_RATE_H)*(1-FMC*(1+Tax))</f>
        <v>780869.5691</v>
      </c>
      <c r="N80" s="175">
        <f>M80+IF(MOD(A80,B80)=0,VLOOKUP(B80,'Pre-Calculation'!$H$1:$L$31,5,FALSE),0)*IF('Pre-Calculation'!$D$16="% OF FV",M80,IF(OR('Pre-Calculation'!$D$16="% OF AFV(24M)",'Pre-Calculation'!$D$16="% OF AFV(8Q)"),AVERAGE( $M57:$M80),IF('Pre-Calculation'!$D$16="% OF AFV(12M)",AVERAGE($M69:M80),IF('Pre-Calculation'!$D$16="% OF AFV(36M)",AVERAGE($M45:M80)))))</f>
        <v>780869.5691</v>
      </c>
      <c r="O80" s="175">
        <f t="shared" si="4"/>
        <v>780869.5691</v>
      </c>
      <c r="P80" s="175">
        <f>IF('Pre-Calculation'!$D$17="Type 4 a",MAX(SA,N80,1.05*Q80),IF('Pre-Calculation'!$D$17="Type 4 c",N80,IF('Pre-Calculation'!$D$17="Type 4 d",SA+N80,IF('Pre-Calculation'!$D$17="Type 4 e",MAX(SA,N80),IF('Pre-Calculation'!$D$17="Type 4 f",SA,IF('Pre-Calculation'!$D$17="Type 4 g",1000+N80,IF('Pre-Calculation'!$D$17="Type 4 h",SA+X80,IF('Pre-Calculation'!$D$17="Type 4 i",MAX(N80,Q80),IF('Pre-Calculation'!$D$17="Type 4 k",MAX(N80,1.01*Q80),IF('Pre-Calculation'!$D$17="Type 4 m",MAX(105%*Q80,SA+N80),IF('Pre-Calculation'!$D$17="Type 4 o",MAX(SA,105%*Q80)+X80+Z80,IF('Pre-Calculation'!$D$17="Type 5",0))))))))))))</f>
        <v>1365000</v>
      </c>
      <c r="Q80" s="175">
        <f t="shared" si="5"/>
        <v>1300000</v>
      </c>
      <c r="R80" s="119">
        <f>L80*(1+GROWTH_RATE)*FMC</f>
        <v>879.1669939</v>
      </c>
      <c r="S80" s="178">
        <f>S79*(1+'Pre-Calculation'!$E$27)</f>
        <v>803610.3355</v>
      </c>
      <c r="T80" s="175">
        <f>-E80+IF(A79=INPUT!$C$11*12,N80,0)</f>
        <v>0</v>
      </c>
      <c r="U80" s="175">
        <f t="shared" si="6"/>
        <v>839820.9948</v>
      </c>
      <c r="V80" s="175">
        <f>U80*(1+GROWTH_RATE_H)*(1-'Pre-Calculation'!$E$31)</f>
        <v>843816.8557</v>
      </c>
      <c r="W80" s="175">
        <f>-E80+IF(A79=INPUT!$C$11*12,V80,0)</f>
        <v>0</v>
      </c>
      <c r="X80" s="179">
        <f t="array" ref="X80">NPV('Pre-Calculation'!$E$20,$E81:E$246)</f>
        <v>263915.4309</v>
      </c>
      <c r="Y80" s="171">
        <f>10%*SA</f>
        <v>100000</v>
      </c>
      <c r="Z80" s="179">
        <f t="array" ref="Z80">NPV('Pre-Calculation'!$E$20,Y81:Y90)</f>
        <v>969592.8037</v>
      </c>
    </row>
    <row r="81" ht="15.75" customHeight="1">
      <c r="A81" s="171">
        <f t="shared" si="1"/>
        <v>75</v>
      </c>
      <c r="B81" s="171">
        <f t="shared" si="2"/>
        <v>7</v>
      </c>
      <c r="C81" s="176">
        <f>EDATE(RCD,A80)</f>
        <v>44803</v>
      </c>
      <c r="D81" s="171">
        <f>Age_At_Entry+'Cashflows_8% from Start'!B81-1</f>
        <v>41</v>
      </c>
      <c r="E81" s="175">
        <f>IF(AND(C81&lt;=Last_Prem,MOD(A80,Mode)=0),Mod_Prem,0)</f>
        <v>0</v>
      </c>
      <c r="F81" s="177">
        <f>E81*VLOOKUP(B81,'Pre-Calculation'!$H$1:$I$31,2,FALSE)</f>
        <v>0</v>
      </c>
      <c r="G81" s="177">
        <f>IF(B81&lt;PT+1,VLOOKUP(B81,'Pre-Calculation'!$H$1:$L$32,3,FALSE)+VLOOKUP(B81,'Pre-Calculation'!$H$1:$L$32,4,FALSE)*'Pre-Calculation'!$D$7,0)</f>
        <v>830</v>
      </c>
      <c r="H81" s="175">
        <f>(E81-(F81+G81)*(1+Tax)+N80)</f>
        <v>779890.1691</v>
      </c>
      <c r="I81" s="175">
        <f>IF(B81&lt;PT+1,VLOOKUP(D81,'Pre-Calculation'!$N$3:$P$79,IF(INPUT!$C$4="M",2,3),FALSE)*(J81/1000)*(1/12),0)</f>
        <v>95.51917989</v>
      </c>
      <c r="J81" s="175">
        <f t="shared" si="3"/>
        <v>585109.8309</v>
      </c>
      <c r="K81" s="175">
        <f>IF('Pre-Calculation'!$D$17="Type 4 a",MAX(SA,H81,1.05*Q81),IF('Pre-Calculation'!$D$17="Type 4 c",H81,IF('Pre-Calculation'!$D$17="Type 4 d",SA+H81,IF('Pre-Calculation'!$D$17="Type 4 e",MAX(SA,H81),IF('Pre-Calculation'!$D$17="Type 4 f",SA,IF('Pre-Calculation'!$D$17="Type 4 g",1000+H81,IF('Pre-Calculation'!$D$17="Type 4 h",SA+X81,IF('Pre-Calculation'!$D$17="Type 4 i",MAX(H81,Q81),IF('Pre-Calculation'!$D$17="Type 4 k",MAX(H81,1.01*Q81),IF('Pre-Calculation'!$D$17="Type 4 m",MAX(105%*Q81,SA+H81),IF('Pre-Calculation'!$D$17="Type 4 o",MAX(SA,105%*Q81)+X81+Z81,IF('Pre-Calculation'!$D$17="Type 5",0))))))))))))</f>
        <v>1365000</v>
      </c>
      <c r="L81" s="175">
        <f>H81-I81*(1+Tax)</f>
        <v>779777.4565</v>
      </c>
      <c r="M81" s="175">
        <f>L81*(1+GROWTH_RATE_H)*(1-FMC*(1+Tax))</f>
        <v>783753.3199</v>
      </c>
      <c r="N81" s="175">
        <f>M81+IF(MOD(A81,B81)=0,VLOOKUP(B81,'Pre-Calculation'!$H$1:$L$31,5,FALSE),0)*IF('Pre-Calculation'!$D$16="% OF FV",M81,IF(OR('Pre-Calculation'!$D$16="% OF AFV(24M)",'Pre-Calculation'!$D$16="% OF AFV(8Q)"),AVERAGE( $M58:$M81),IF('Pre-Calculation'!$D$16="% OF AFV(12M)",AVERAGE($M70:M81),IF('Pre-Calculation'!$D$16="% OF AFV(36M)",AVERAGE($M46:M81)))))</f>
        <v>783753.3199</v>
      </c>
      <c r="O81" s="175">
        <f t="shared" si="4"/>
        <v>783753.3199</v>
      </c>
      <c r="P81" s="175">
        <f>IF('Pre-Calculation'!$D$17="Type 4 a",MAX(SA,N81,1.05*Q81),IF('Pre-Calculation'!$D$17="Type 4 c",N81,IF('Pre-Calculation'!$D$17="Type 4 d",SA+N81,IF('Pre-Calculation'!$D$17="Type 4 e",MAX(SA,N81),IF('Pre-Calculation'!$D$17="Type 4 f",SA,IF('Pre-Calculation'!$D$17="Type 4 g",1000+N81,IF('Pre-Calculation'!$D$17="Type 4 h",SA+X81,IF('Pre-Calculation'!$D$17="Type 4 i",MAX(N81,Q81),IF('Pre-Calculation'!$D$17="Type 4 k",MAX(N81,1.01*Q81),IF('Pre-Calculation'!$D$17="Type 4 m",MAX(105%*Q81,SA+N81),IF('Pre-Calculation'!$D$17="Type 4 o",MAX(SA,105%*Q81)+X81+Z81,IF('Pre-Calculation'!$D$17="Type 5",0))))))))))))</f>
        <v>1365000</v>
      </c>
      <c r="Q81" s="175">
        <f t="shared" si="5"/>
        <v>1300000</v>
      </c>
      <c r="R81" s="119">
        <f>L81*(1+GROWTH_RATE)*FMC</f>
        <v>882.413757</v>
      </c>
      <c r="S81" s="178">
        <f>S80*(1+'Pre-Calculation'!$E$27)</f>
        <v>805917.4193</v>
      </c>
      <c r="T81" s="175">
        <f>-E81+IF(A80=INPUT!$C$11*12,N81,0)</f>
        <v>0</v>
      </c>
      <c r="U81" s="175">
        <f t="shared" si="6"/>
        <v>843816.8557</v>
      </c>
      <c r="V81" s="175">
        <f>U81*(1+GROWTH_RATE_H)*(1-'Pre-Calculation'!$E$31)</f>
        <v>847831.7289</v>
      </c>
      <c r="W81" s="175">
        <f>-E81+IF(A80=INPUT!$C$11*12,V81,0)</f>
        <v>0</v>
      </c>
      <c r="X81" s="179">
        <f t="array" ref="X81">NPV('Pre-Calculation'!$E$20,$E82:E$246)</f>
        <v>265407.6471</v>
      </c>
      <c r="Y81" s="171">
        <f>10%*SA</f>
        <v>100000</v>
      </c>
      <c r="Z81" s="179">
        <f t="array" ref="Z81">NPV('Pre-Calculation'!$E$20,Y82:Y91)</f>
        <v>969592.8037</v>
      </c>
    </row>
    <row r="82" ht="15.75" customHeight="1">
      <c r="A82" s="171">
        <f t="shared" si="1"/>
        <v>76</v>
      </c>
      <c r="B82" s="171">
        <f t="shared" si="2"/>
        <v>7</v>
      </c>
      <c r="C82" s="176">
        <f>EDATE(RCD,A81)</f>
        <v>44834</v>
      </c>
      <c r="D82" s="171">
        <f>Age_At_Entry+'Cashflows_8% from Start'!B82-1</f>
        <v>41</v>
      </c>
      <c r="E82" s="175">
        <f>IF(AND(C82&lt;=Last_Prem,MOD(A81,Mode)=0),Mod_Prem,0)</f>
        <v>0</v>
      </c>
      <c r="F82" s="177">
        <f>E82*VLOOKUP(B82,'Pre-Calculation'!$H$1:$I$31,2,FALSE)</f>
        <v>0</v>
      </c>
      <c r="G82" s="177">
        <f>IF(B82&lt;PT+1,VLOOKUP(B82,'Pre-Calculation'!$H$1:$L$32,3,FALSE)+VLOOKUP(B82,'Pre-Calculation'!$H$1:$L$32,4,FALSE)*'Pre-Calculation'!$D$7,0)</f>
        <v>830</v>
      </c>
      <c r="H82" s="175">
        <f>(E82-(F82+G82)*(1+Tax)+N81)</f>
        <v>782773.9199</v>
      </c>
      <c r="I82" s="175">
        <f>IF(B82&lt;PT+1,VLOOKUP(D82,'Pre-Calculation'!$N$3:$P$79,IF(INPUT!$C$4="M",2,3),FALSE)*(J82/1000)*(1/12),0)</f>
        <v>95.04840758</v>
      </c>
      <c r="J82" s="175">
        <f t="shared" si="3"/>
        <v>582226.0801</v>
      </c>
      <c r="K82" s="175">
        <f>IF('Pre-Calculation'!$D$17="Type 4 a",MAX(SA,H82,1.05*Q82),IF('Pre-Calculation'!$D$17="Type 4 c",H82,IF('Pre-Calculation'!$D$17="Type 4 d",SA+H82,IF('Pre-Calculation'!$D$17="Type 4 e",MAX(SA,H82),IF('Pre-Calculation'!$D$17="Type 4 f",SA,IF('Pre-Calculation'!$D$17="Type 4 g",1000+H82,IF('Pre-Calculation'!$D$17="Type 4 h",SA+X82,IF('Pre-Calculation'!$D$17="Type 4 i",MAX(H82,Q82),IF('Pre-Calculation'!$D$17="Type 4 k",MAX(H82,1.01*Q82),IF('Pre-Calculation'!$D$17="Type 4 m",MAX(105%*Q82,SA+H82),IF('Pre-Calculation'!$D$17="Type 4 o",MAX(SA,105%*Q82)+X82+Z82,IF('Pre-Calculation'!$D$17="Type 5",0))))))))))))</f>
        <v>1365000</v>
      </c>
      <c r="L82" s="175">
        <f>H82-I82*(1+Tax)</f>
        <v>782661.7628</v>
      </c>
      <c r="M82" s="175">
        <f>L82*(1+GROWTH_RATE_H)*(1-FMC*(1+Tax))</f>
        <v>786652.3324</v>
      </c>
      <c r="N82" s="175">
        <f>M82+IF(MOD(A82,B82)=0,VLOOKUP(B82,'Pre-Calculation'!$H$1:$L$31,5,FALSE),0)*IF('Pre-Calculation'!$D$16="% OF FV",M82,IF(OR('Pre-Calculation'!$D$16="% OF AFV(24M)",'Pre-Calculation'!$D$16="% OF AFV(8Q)"),AVERAGE( $M59:$M82),IF('Pre-Calculation'!$D$16="% OF AFV(12M)",AVERAGE($M71:M82),IF('Pre-Calculation'!$D$16="% OF AFV(36M)",AVERAGE($M47:M82)))))</f>
        <v>786652.3324</v>
      </c>
      <c r="O82" s="175">
        <f t="shared" si="4"/>
        <v>786652.3324</v>
      </c>
      <c r="P82" s="175">
        <f>IF('Pre-Calculation'!$D$17="Type 4 a",MAX(SA,N82,1.05*Q82),IF('Pre-Calculation'!$D$17="Type 4 c",N82,IF('Pre-Calculation'!$D$17="Type 4 d",SA+N82,IF('Pre-Calculation'!$D$17="Type 4 e",MAX(SA,N82),IF('Pre-Calculation'!$D$17="Type 4 f",SA,IF('Pre-Calculation'!$D$17="Type 4 g",1000+N82,IF('Pre-Calculation'!$D$17="Type 4 h",SA+X82,IF('Pre-Calculation'!$D$17="Type 4 i",MAX(N82,Q82),IF('Pre-Calculation'!$D$17="Type 4 k",MAX(N82,1.01*Q82),IF('Pre-Calculation'!$D$17="Type 4 m",MAX(105%*Q82,SA+N82),IF('Pre-Calculation'!$D$17="Type 4 o",MAX(SA,105%*Q82)+X82+Z82,IF('Pre-Calculation'!$D$17="Type 5",0))))))))))))</f>
        <v>1365000</v>
      </c>
      <c r="Q82" s="175">
        <f t="shared" si="5"/>
        <v>1300000</v>
      </c>
      <c r="R82" s="119">
        <f>L82*(1+GROWTH_RATE)*FMC</f>
        <v>885.6777031</v>
      </c>
      <c r="S82" s="178">
        <f>S81*(1+'Pre-Calculation'!$E$27)</f>
        <v>808231.1266</v>
      </c>
      <c r="T82" s="175">
        <f>-E82+IF(A81=INPUT!$C$11*12,N82,0)</f>
        <v>0</v>
      </c>
      <c r="U82" s="175">
        <f t="shared" si="6"/>
        <v>847831.7289</v>
      </c>
      <c r="V82" s="175">
        <f>U82*(1+GROWTH_RATE_H)*(1-'Pre-Calculation'!$E$31)</f>
        <v>851865.7048</v>
      </c>
      <c r="W82" s="175">
        <f>-E82+IF(A81=INPUT!$C$11*12,V82,0)</f>
        <v>0</v>
      </c>
      <c r="X82" s="179">
        <f t="array" ref="X82">NPV('Pre-Calculation'!$E$20,$E83:E$246)</f>
        <v>266908.3005</v>
      </c>
      <c r="Y82" s="171">
        <f>10%*SA</f>
        <v>100000</v>
      </c>
      <c r="Z82" s="179">
        <f t="array" ref="Z82">NPV('Pre-Calculation'!$E$20,Y83:Y92)</f>
        <v>969592.8037</v>
      </c>
    </row>
    <row r="83" ht="15.75" customHeight="1">
      <c r="A83" s="171">
        <f t="shared" si="1"/>
        <v>77</v>
      </c>
      <c r="B83" s="171">
        <f t="shared" si="2"/>
        <v>7</v>
      </c>
      <c r="C83" s="176">
        <f>EDATE(RCD,A82)</f>
        <v>44864</v>
      </c>
      <c r="D83" s="171">
        <f>Age_At_Entry+'Cashflows_8% from Start'!B83-1</f>
        <v>41</v>
      </c>
      <c r="E83" s="175">
        <f>IF(AND(C83&lt;=Last_Prem,MOD(A82,Mode)=0),Mod_Prem,0)</f>
        <v>0</v>
      </c>
      <c r="F83" s="177">
        <f>E83*VLOOKUP(B83,'Pre-Calculation'!$H$1:$I$31,2,FALSE)</f>
        <v>0</v>
      </c>
      <c r="G83" s="177">
        <f>IF(B83&lt;PT+1,VLOOKUP(B83,'Pre-Calculation'!$H$1:$L$32,3,FALSE)+VLOOKUP(B83,'Pre-Calculation'!$H$1:$L$32,4,FALSE)*'Pre-Calculation'!$D$7,0)</f>
        <v>830</v>
      </c>
      <c r="H83" s="175">
        <f>(E83-(F83+G83)*(1+Tax)+N82)</f>
        <v>785672.9324</v>
      </c>
      <c r="I83" s="175">
        <f>IF(B83&lt;PT+1,VLOOKUP(D83,'Pre-Calculation'!$N$3:$P$79,IF(INPUT!$C$4="M",2,3),FALSE)*(J83/1000)*(1/12),0)</f>
        <v>94.57514378</v>
      </c>
      <c r="J83" s="175">
        <f t="shared" si="3"/>
        <v>579327.0676</v>
      </c>
      <c r="K83" s="175">
        <f>IF('Pre-Calculation'!$D$17="Type 4 a",MAX(SA,H83,1.05*Q83),IF('Pre-Calculation'!$D$17="Type 4 c",H83,IF('Pre-Calculation'!$D$17="Type 4 d",SA+H83,IF('Pre-Calculation'!$D$17="Type 4 e",MAX(SA,H83),IF('Pre-Calculation'!$D$17="Type 4 f",SA,IF('Pre-Calculation'!$D$17="Type 4 g",1000+H83,IF('Pre-Calculation'!$D$17="Type 4 h",SA+X83,IF('Pre-Calculation'!$D$17="Type 4 i",MAX(H83,Q83),IF('Pre-Calculation'!$D$17="Type 4 k",MAX(H83,1.01*Q83),IF('Pre-Calculation'!$D$17="Type 4 m",MAX(105%*Q83,SA+H83),IF('Pre-Calculation'!$D$17="Type 4 o",MAX(SA,105%*Q83)+X83+Z83,IF('Pre-Calculation'!$D$17="Type 5",0))))))))))))</f>
        <v>1365000</v>
      </c>
      <c r="L83" s="175">
        <f>H83-I83*(1+Tax)</f>
        <v>785561.3337</v>
      </c>
      <c r="M83" s="175">
        <f>L83*(1+GROWTH_RATE_H)*(1-FMC*(1+Tax))</f>
        <v>789566.6875</v>
      </c>
      <c r="N83" s="175">
        <f>M83+IF(MOD(A83,B83)=0,VLOOKUP(B83,'Pre-Calculation'!$H$1:$L$31,5,FALSE),0)*IF('Pre-Calculation'!$D$16="% OF FV",M83,IF(OR('Pre-Calculation'!$D$16="% OF AFV(24M)",'Pre-Calculation'!$D$16="% OF AFV(8Q)"),AVERAGE( $M60:$M83),IF('Pre-Calculation'!$D$16="% OF AFV(12M)",AVERAGE($M72:M83),IF('Pre-Calculation'!$D$16="% OF AFV(36M)",AVERAGE($M48:M83)))))</f>
        <v>789566.6875</v>
      </c>
      <c r="O83" s="175">
        <f t="shared" si="4"/>
        <v>789566.6875</v>
      </c>
      <c r="P83" s="175">
        <f>IF('Pre-Calculation'!$D$17="Type 4 a",MAX(SA,N83,1.05*Q83),IF('Pre-Calculation'!$D$17="Type 4 c",N83,IF('Pre-Calculation'!$D$17="Type 4 d",SA+N83,IF('Pre-Calculation'!$D$17="Type 4 e",MAX(SA,N83),IF('Pre-Calculation'!$D$17="Type 4 f",SA,IF('Pre-Calculation'!$D$17="Type 4 g",1000+N83,IF('Pre-Calculation'!$D$17="Type 4 h",SA+X83,IF('Pre-Calculation'!$D$17="Type 4 i",MAX(N83,Q83),IF('Pre-Calculation'!$D$17="Type 4 k",MAX(N83,1.01*Q83),IF('Pre-Calculation'!$D$17="Type 4 m",MAX(105%*Q83,SA+N83),IF('Pre-Calculation'!$D$17="Type 4 o",MAX(SA,105%*Q83)+X83+Z83,IF('Pre-Calculation'!$D$17="Type 5",0))))))))))))</f>
        <v>1365000</v>
      </c>
      <c r="Q83" s="175">
        <f t="shared" si="5"/>
        <v>1300000</v>
      </c>
      <c r="R83" s="119">
        <f>L83*(1+GROWTH_RATE)*FMC</f>
        <v>888.958923</v>
      </c>
      <c r="S83" s="178">
        <f>S82*(1+'Pre-Calculation'!$E$27)</f>
        <v>810551.4763</v>
      </c>
      <c r="T83" s="175">
        <f>-E83+IF(A82=INPUT!$C$11*12,N83,0)</f>
        <v>0</v>
      </c>
      <c r="U83" s="175">
        <f t="shared" si="6"/>
        <v>851865.7048</v>
      </c>
      <c r="V83" s="175">
        <f>U83*(1+GROWTH_RATE_H)*(1-'Pre-Calculation'!$E$31)</f>
        <v>855918.8744</v>
      </c>
      <c r="W83" s="175">
        <f>-E83+IF(A82=INPUT!$C$11*12,V83,0)</f>
        <v>0</v>
      </c>
      <c r="X83" s="179">
        <f t="array" ref="X83">NPV('Pre-Calculation'!$E$20,$E84:E$246)</f>
        <v>268417.4389</v>
      </c>
      <c r="Y83" s="171">
        <f>10%*SA</f>
        <v>100000</v>
      </c>
      <c r="Z83" s="179">
        <f t="array" ref="Z83">NPV('Pre-Calculation'!$E$20,Y84:Y93)</f>
        <v>969592.8037</v>
      </c>
    </row>
    <row r="84" ht="15.75" customHeight="1">
      <c r="A84" s="171">
        <f t="shared" si="1"/>
        <v>78</v>
      </c>
      <c r="B84" s="171">
        <f t="shared" si="2"/>
        <v>7</v>
      </c>
      <c r="C84" s="176">
        <f>EDATE(RCD,A83)</f>
        <v>44895</v>
      </c>
      <c r="D84" s="171">
        <f>Age_At_Entry+'Cashflows_8% from Start'!B84-1</f>
        <v>41</v>
      </c>
      <c r="E84" s="175">
        <f>IF(AND(C84&lt;=Last_Prem,MOD(A83,Mode)=0),Mod_Prem,0)</f>
        <v>0</v>
      </c>
      <c r="F84" s="177">
        <f>E84*VLOOKUP(B84,'Pre-Calculation'!$H$1:$I$31,2,FALSE)</f>
        <v>0</v>
      </c>
      <c r="G84" s="177">
        <f>IF(B84&lt;PT+1,VLOOKUP(B84,'Pre-Calculation'!$H$1:$L$32,3,FALSE)+VLOOKUP(B84,'Pre-Calculation'!$H$1:$L$32,4,FALSE)*'Pre-Calculation'!$D$7,0)</f>
        <v>830</v>
      </c>
      <c r="H84" s="175">
        <f>(E84-(F84+G84)*(1+Tax)+N83)</f>
        <v>788587.2875</v>
      </c>
      <c r="I84" s="175">
        <f>IF(B84&lt;PT+1,VLOOKUP(D84,'Pre-Calculation'!$N$3:$P$79,IF(INPUT!$C$4="M",2,3),FALSE)*(J84/1000)*(1/12),0)</f>
        <v>94.09937532</v>
      </c>
      <c r="J84" s="175">
        <f t="shared" si="3"/>
        <v>576412.7125</v>
      </c>
      <c r="K84" s="175">
        <f>IF('Pre-Calculation'!$D$17="Type 4 a",MAX(SA,H84,1.05*Q84),IF('Pre-Calculation'!$D$17="Type 4 c",H84,IF('Pre-Calculation'!$D$17="Type 4 d",SA+H84,IF('Pre-Calculation'!$D$17="Type 4 e",MAX(SA,H84),IF('Pre-Calculation'!$D$17="Type 4 f",SA,IF('Pre-Calculation'!$D$17="Type 4 g",1000+H84,IF('Pre-Calculation'!$D$17="Type 4 h",SA+X84,IF('Pre-Calculation'!$D$17="Type 4 i",MAX(H84,Q84),IF('Pre-Calculation'!$D$17="Type 4 k",MAX(H84,1.01*Q84),IF('Pre-Calculation'!$D$17="Type 4 m",MAX(105%*Q84,SA+H84),IF('Pre-Calculation'!$D$17="Type 4 o",MAX(SA,105%*Q84)+X84+Z84,IF('Pre-Calculation'!$D$17="Type 5",0))))))))))))</f>
        <v>1365000</v>
      </c>
      <c r="L84" s="175">
        <f>H84-I84*(1+Tax)</f>
        <v>788476.2502</v>
      </c>
      <c r="M84" s="175">
        <f>L84*(1+GROWTH_RATE_H)*(1-FMC*(1+Tax))</f>
        <v>792496.4663</v>
      </c>
      <c r="N84" s="175">
        <f>M84+IF(MOD(A84,B84)=0,VLOOKUP(B84,'Pre-Calculation'!$H$1:$L$31,5,FALSE),0)*IF('Pre-Calculation'!$D$16="% OF FV",M84,IF(OR('Pre-Calculation'!$D$16="% OF AFV(24M)",'Pre-Calculation'!$D$16="% OF AFV(8Q)"),AVERAGE( $M61:$M84),IF('Pre-Calculation'!$D$16="% OF AFV(12M)",AVERAGE($M73:M84),IF('Pre-Calculation'!$D$16="% OF AFV(36M)",AVERAGE($M49:M84)))))</f>
        <v>792496.4663</v>
      </c>
      <c r="O84" s="175">
        <f t="shared" si="4"/>
        <v>792496.4663</v>
      </c>
      <c r="P84" s="175">
        <f>IF('Pre-Calculation'!$D$17="Type 4 a",MAX(SA,N84,1.05*Q84),IF('Pre-Calculation'!$D$17="Type 4 c",N84,IF('Pre-Calculation'!$D$17="Type 4 d",SA+N84,IF('Pre-Calculation'!$D$17="Type 4 e",MAX(SA,N84),IF('Pre-Calculation'!$D$17="Type 4 f",SA,IF('Pre-Calculation'!$D$17="Type 4 g",1000+N84,IF('Pre-Calculation'!$D$17="Type 4 h",SA+X84,IF('Pre-Calculation'!$D$17="Type 4 i",MAX(N84,Q84),IF('Pre-Calculation'!$D$17="Type 4 k",MAX(N84,1.01*Q84),IF('Pre-Calculation'!$D$17="Type 4 m",MAX(105%*Q84,SA+N84),IF('Pre-Calculation'!$D$17="Type 4 o",MAX(SA,105%*Q84)+X84+Z84,IF('Pre-Calculation'!$D$17="Type 5",0))))))))))))</f>
        <v>1365000</v>
      </c>
      <c r="Q84" s="175">
        <f t="shared" si="5"/>
        <v>1300000</v>
      </c>
      <c r="R84" s="119">
        <f>L84*(1+GROWTH_RATE)*FMC</f>
        <v>892.2575082</v>
      </c>
      <c r="S84" s="178">
        <f>S83*(1+'Pre-Calculation'!$E$27)</f>
        <v>812878.4875</v>
      </c>
      <c r="T84" s="175">
        <f>-E84+IF(A83=INPUT!$C$11*12,N84,0)</f>
        <v>0</v>
      </c>
      <c r="U84" s="175">
        <f t="shared" si="6"/>
        <v>855918.8744</v>
      </c>
      <c r="V84" s="175">
        <f>U84*(1+GROWTH_RATE_H)*(1-'Pre-Calculation'!$E$31)</f>
        <v>859991.3289</v>
      </c>
      <c r="W84" s="175">
        <f>-E84+IF(A83=INPUT!$C$11*12,V84,0)</f>
        <v>0</v>
      </c>
      <c r="X84" s="179">
        <f t="array" ref="X84">NPV('Pre-Calculation'!$E$20,$E85:E$246)</f>
        <v>269935.1101</v>
      </c>
      <c r="Y84" s="171">
        <f>10%*SA</f>
        <v>100000</v>
      </c>
      <c r="Z84" s="179">
        <f t="array" ref="Z84">NPV('Pre-Calculation'!$E$20,Y85:Y94)</f>
        <v>969592.8037</v>
      </c>
    </row>
    <row r="85" ht="15.75" customHeight="1">
      <c r="A85" s="171">
        <f t="shared" si="1"/>
        <v>79</v>
      </c>
      <c r="B85" s="171">
        <f t="shared" si="2"/>
        <v>7</v>
      </c>
      <c r="C85" s="176">
        <f>EDATE(RCD,A84)</f>
        <v>44925</v>
      </c>
      <c r="D85" s="171">
        <f>Age_At_Entry+'Cashflows_8% from Start'!B85-1</f>
        <v>41</v>
      </c>
      <c r="E85" s="175">
        <f>IF(AND(C85&lt;=Last_Prem,MOD(A84,Mode)=0),Mod_Prem,0)</f>
        <v>0</v>
      </c>
      <c r="F85" s="177">
        <f>E85*VLOOKUP(B85,'Pre-Calculation'!$H$1:$I$31,2,FALSE)</f>
        <v>0</v>
      </c>
      <c r="G85" s="177">
        <f>IF(B85&lt;PT+1,VLOOKUP(B85,'Pre-Calculation'!$H$1:$L$32,3,FALSE)+VLOOKUP(B85,'Pre-Calculation'!$H$1:$L$32,4,FALSE)*'Pre-Calculation'!$D$7,0)</f>
        <v>830</v>
      </c>
      <c r="H85" s="175">
        <f>(E85-(F85+G85)*(1+Tax)+N84)</f>
        <v>791517.0663</v>
      </c>
      <c r="I85" s="175">
        <f>IF(B85&lt;PT+1,VLOOKUP(D85,'Pre-Calculation'!$N$3:$P$79,IF(INPUT!$C$4="M",2,3),FALSE)*(J85/1000)*(1/12),0)</f>
        <v>93.62108893</v>
      </c>
      <c r="J85" s="175">
        <f t="shared" si="3"/>
        <v>573482.9337</v>
      </c>
      <c r="K85" s="175">
        <f>IF('Pre-Calculation'!$D$17="Type 4 a",MAX(SA,H85,1.05*Q85),IF('Pre-Calculation'!$D$17="Type 4 c",H85,IF('Pre-Calculation'!$D$17="Type 4 d",SA+H85,IF('Pre-Calculation'!$D$17="Type 4 e",MAX(SA,H85),IF('Pre-Calculation'!$D$17="Type 4 f",SA,IF('Pre-Calculation'!$D$17="Type 4 g",1000+H85,IF('Pre-Calculation'!$D$17="Type 4 h",SA+X85,IF('Pre-Calculation'!$D$17="Type 4 i",MAX(H85,Q85),IF('Pre-Calculation'!$D$17="Type 4 k",MAX(H85,1.01*Q85),IF('Pre-Calculation'!$D$17="Type 4 m",MAX(105%*Q85,SA+H85),IF('Pre-Calculation'!$D$17="Type 4 o",MAX(SA,105%*Q85)+X85+Z85,IF('Pre-Calculation'!$D$17="Type 5",0))))))))))))</f>
        <v>1365000</v>
      </c>
      <c r="L85" s="175">
        <f>H85-I85*(1+Tax)</f>
        <v>791406.5934</v>
      </c>
      <c r="M85" s="175">
        <f>L85*(1+GROWTH_RATE_H)*(1-FMC*(1+Tax))</f>
        <v>795441.7505</v>
      </c>
      <c r="N85" s="175">
        <f>M85+IF(MOD(A85,B85)=0,VLOOKUP(B85,'Pre-Calculation'!$H$1:$L$31,5,FALSE),0)*IF('Pre-Calculation'!$D$16="% OF FV",M85,IF(OR('Pre-Calculation'!$D$16="% OF AFV(24M)",'Pre-Calculation'!$D$16="% OF AFV(8Q)"),AVERAGE( $M62:$M85),IF('Pre-Calculation'!$D$16="% OF AFV(12M)",AVERAGE($M74:M85),IF('Pre-Calculation'!$D$16="% OF AFV(36M)",AVERAGE($M50:M85)))))</f>
        <v>795441.7505</v>
      </c>
      <c r="O85" s="175">
        <f t="shared" si="4"/>
        <v>795441.7505</v>
      </c>
      <c r="P85" s="175">
        <f>IF('Pre-Calculation'!$D$17="Type 4 a",MAX(SA,N85,1.05*Q85),IF('Pre-Calculation'!$D$17="Type 4 c",N85,IF('Pre-Calculation'!$D$17="Type 4 d",SA+N85,IF('Pre-Calculation'!$D$17="Type 4 e",MAX(SA,N85),IF('Pre-Calculation'!$D$17="Type 4 f",SA,IF('Pre-Calculation'!$D$17="Type 4 g",1000+N85,IF('Pre-Calculation'!$D$17="Type 4 h",SA+X85,IF('Pre-Calculation'!$D$17="Type 4 i",MAX(N85,Q85),IF('Pre-Calculation'!$D$17="Type 4 k",MAX(N85,1.01*Q85),IF('Pre-Calculation'!$D$17="Type 4 m",MAX(105%*Q85,SA+N85),IF('Pre-Calculation'!$D$17="Type 4 o",MAX(SA,105%*Q85)+X85+Z85,IF('Pre-Calculation'!$D$17="Type 5",0))))))))))))</f>
        <v>1365000</v>
      </c>
      <c r="Q85" s="175">
        <f t="shared" si="5"/>
        <v>1300000</v>
      </c>
      <c r="R85" s="119">
        <f>L85*(1+GROWTH_RATE)*FMC</f>
        <v>895.5735507</v>
      </c>
      <c r="S85" s="178">
        <f>S84*(1+'Pre-Calculation'!$E$27)</f>
        <v>815212.1793</v>
      </c>
      <c r="T85" s="175">
        <f>-E85+IF(A84=INPUT!$C$11*12,N85,0)</f>
        <v>0</v>
      </c>
      <c r="U85" s="175">
        <f t="shared" si="6"/>
        <v>859991.3289</v>
      </c>
      <c r="V85" s="175">
        <f>U85*(1+GROWTH_RATE_H)*(1-'Pre-Calculation'!$E$31)</f>
        <v>864083.1601</v>
      </c>
      <c r="W85" s="175">
        <f>-E85+IF(A84=INPUT!$C$11*12,V85,0)</f>
        <v>0</v>
      </c>
      <c r="X85" s="179">
        <f t="array" ref="X85">NPV('Pre-Calculation'!$E$20,$E86:E$246)</f>
        <v>271461.3624</v>
      </c>
      <c r="Y85" s="171">
        <f>10%*SA</f>
        <v>100000</v>
      </c>
      <c r="Z85" s="179">
        <f t="array" ref="Z85">NPV('Pre-Calculation'!$E$20,Y86:Y95)</f>
        <v>969592.8037</v>
      </c>
    </row>
    <row r="86" ht="15.75" customHeight="1">
      <c r="A86" s="171">
        <f t="shared" si="1"/>
        <v>80</v>
      </c>
      <c r="B86" s="171">
        <f t="shared" si="2"/>
        <v>7</v>
      </c>
      <c r="C86" s="176">
        <f>EDATE(RCD,A85)</f>
        <v>44956</v>
      </c>
      <c r="D86" s="171">
        <f>Age_At_Entry+'Cashflows_8% from Start'!B86-1</f>
        <v>41</v>
      </c>
      <c r="E86" s="175">
        <f>IF(AND(C86&lt;=Last_Prem,MOD(A85,Mode)=0),Mod_Prem,0)</f>
        <v>0</v>
      </c>
      <c r="F86" s="177">
        <f>E86*VLOOKUP(B86,'Pre-Calculation'!$H$1:$I$31,2,FALSE)</f>
        <v>0</v>
      </c>
      <c r="G86" s="177">
        <f>IF(B86&lt;PT+1,VLOOKUP(B86,'Pre-Calculation'!$H$1:$L$32,3,FALSE)+VLOOKUP(B86,'Pre-Calculation'!$H$1:$L$32,4,FALSE)*'Pre-Calculation'!$D$7,0)</f>
        <v>830</v>
      </c>
      <c r="H86" s="175">
        <f>(E86-(F86+G86)*(1+Tax)+N85)</f>
        <v>794462.3505</v>
      </c>
      <c r="I86" s="175">
        <f>IF(B86&lt;PT+1,VLOOKUP(D86,'Pre-Calculation'!$N$3:$P$79,IF(INPUT!$C$4="M",2,3),FALSE)*(J86/1000)*(1/12),0)</f>
        <v>93.14027128</v>
      </c>
      <c r="J86" s="175">
        <f t="shared" si="3"/>
        <v>570537.6495</v>
      </c>
      <c r="K86" s="175">
        <f>IF('Pre-Calculation'!$D$17="Type 4 a",MAX(SA,H86,1.05*Q86),IF('Pre-Calculation'!$D$17="Type 4 c",H86,IF('Pre-Calculation'!$D$17="Type 4 d",SA+H86,IF('Pre-Calculation'!$D$17="Type 4 e",MAX(SA,H86),IF('Pre-Calculation'!$D$17="Type 4 f",SA,IF('Pre-Calculation'!$D$17="Type 4 g",1000+H86,IF('Pre-Calculation'!$D$17="Type 4 h",SA+X86,IF('Pre-Calculation'!$D$17="Type 4 i",MAX(H86,Q86),IF('Pre-Calculation'!$D$17="Type 4 k",MAX(H86,1.01*Q86),IF('Pre-Calculation'!$D$17="Type 4 m",MAX(105%*Q86,SA+H86),IF('Pre-Calculation'!$D$17="Type 4 o",MAX(SA,105%*Q86)+X86+Z86,IF('Pre-Calculation'!$D$17="Type 5",0))))))))))))</f>
        <v>1365000</v>
      </c>
      <c r="L86" s="175">
        <f>H86-I86*(1+Tax)</f>
        <v>794352.445</v>
      </c>
      <c r="M86" s="175">
        <f>L86*(1+GROWTH_RATE_H)*(1-FMC*(1+Tax))</f>
        <v>798402.6221</v>
      </c>
      <c r="N86" s="175">
        <f>M86+IF(MOD(A86,B86)=0,VLOOKUP(B86,'Pre-Calculation'!$H$1:$L$31,5,FALSE),0)*IF('Pre-Calculation'!$D$16="% OF FV",M86,IF(OR('Pre-Calculation'!$D$16="% OF AFV(24M)",'Pre-Calculation'!$D$16="% OF AFV(8Q)"),AVERAGE( $M63:$M86),IF('Pre-Calculation'!$D$16="% OF AFV(12M)",AVERAGE($M75:M86),IF('Pre-Calculation'!$D$16="% OF AFV(36M)",AVERAGE($M51:M86)))))</f>
        <v>798402.6221</v>
      </c>
      <c r="O86" s="175">
        <f t="shared" si="4"/>
        <v>798402.6221</v>
      </c>
      <c r="P86" s="175">
        <f>IF('Pre-Calculation'!$D$17="Type 4 a",MAX(SA,N86,1.05*Q86),IF('Pre-Calculation'!$D$17="Type 4 c",N86,IF('Pre-Calculation'!$D$17="Type 4 d",SA+N86,IF('Pre-Calculation'!$D$17="Type 4 e",MAX(SA,N86),IF('Pre-Calculation'!$D$17="Type 4 f",SA,IF('Pre-Calculation'!$D$17="Type 4 g",1000+N86,IF('Pre-Calculation'!$D$17="Type 4 h",SA+X86,IF('Pre-Calculation'!$D$17="Type 4 i",MAX(N86,Q86),IF('Pre-Calculation'!$D$17="Type 4 k",MAX(N86,1.01*Q86),IF('Pre-Calculation'!$D$17="Type 4 m",MAX(105%*Q86,SA+N86),IF('Pre-Calculation'!$D$17="Type 4 o",MAX(SA,105%*Q86)+X86+Z86,IF('Pre-Calculation'!$D$17="Type 5",0))))))))))))</f>
        <v>1365000</v>
      </c>
      <c r="Q86" s="175">
        <f t="shared" si="5"/>
        <v>1300000</v>
      </c>
      <c r="R86" s="119">
        <f>L86*(1+GROWTH_RATE)*FMC</f>
        <v>898.9071427</v>
      </c>
      <c r="S86" s="178">
        <f>S85*(1+'Pre-Calculation'!$E$27)</f>
        <v>817552.5709</v>
      </c>
      <c r="T86" s="175">
        <f>-E86+IF(A85=INPUT!$C$11*12,N86,0)</f>
        <v>0</v>
      </c>
      <c r="U86" s="175">
        <f t="shared" si="6"/>
        <v>864083.1601</v>
      </c>
      <c r="V86" s="175">
        <f>U86*(1+GROWTH_RATE_H)*(1-'Pre-Calculation'!$E$31)</f>
        <v>868194.4602</v>
      </c>
      <c r="W86" s="175">
        <f>-E86+IF(A85=INPUT!$C$11*12,V86,0)</f>
        <v>0</v>
      </c>
      <c r="X86" s="179">
        <f t="array" ref="X86">NPV('Pre-Calculation'!$E$20,$E87:E$246)</f>
        <v>272996.2445</v>
      </c>
      <c r="Y86" s="171">
        <f>10%*SA</f>
        <v>100000</v>
      </c>
      <c r="Z86" s="179">
        <f t="array" ref="Z86">NPV('Pre-Calculation'!$E$20,Y87:Y96)</f>
        <v>969592.8037</v>
      </c>
    </row>
    <row r="87" ht="15.75" customHeight="1">
      <c r="A87" s="171">
        <f t="shared" si="1"/>
        <v>81</v>
      </c>
      <c r="B87" s="171">
        <f t="shared" si="2"/>
        <v>7</v>
      </c>
      <c r="C87" s="176">
        <f>EDATE(RCD,A86)</f>
        <v>44985</v>
      </c>
      <c r="D87" s="171">
        <f>Age_At_Entry+'Cashflows_8% from Start'!B87-1</f>
        <v>41</v>
      </c>
      <c r="E87" s="175">
        <f>IF(AND(C87&lt;=Last_Prem,MOD(A86,Mode)=0),Mod_Prem,0)</f>
        <v>0</v>
      </c>
      <c r="F87" s="177">
        <f>E87*VLOOKUP(B87,'Pre-Calculation'!$H$1:$I$31,2,FALSE)</f>
        <v>0</v>
      </c>
      <c r="G87" s="177">
        <f>IF(B87&lt;PT+1,VLOOKUP(B87,'Pre-Calculation'!$H$1:$L$32,3,FALSE)+VLOOKUP(B87,'Pre-Calculation'!$H$1:$L$32,4,FALSE)*'Pre-Calculation'!$D$7,0)</f>
        <v>830</v>
      </c>
      <c r="H87" s="175">
        <f>(E87-(F87+G87)*(1+Tax)+N86)</f>
        <v>797423.2221</v>
      </c>
      <c r="I87" s="175">
        <f>IF(B87&lt;PT+1,VLOOKUP(D87,'Pre-Calculation'!$N$3:$P$79,IF(INPUT!$C$4="M",2,3),FALSE)*(J87/1000)*(1/12),0)</f>
        <v>92.656909</v>
      </c>
      <c r="J87" s="175">
        <f t="shared" si="3"/>
        <v>567576.7779</v>
      </c>
      <c r="K87" s="175">
        <f>IF('Pre-Calculation'!$D$17="Type 4 a",MAX(SA,H87,1.05*Q87),IF('Pre-Calculation'!$D$17="Type 4 c",H87,IF('Pre-Calculation'!$D$17="Type 4 d",SA+H87,IF('Pre-Calculation'!$D$17="Type 4 e",MAX(SA,H87),IF('Pre-Calculation'!$D$17="Type 4 f",SA,IF('Pre-Calculation'!$D$17="Type 4 g",1000+H87,IF('Pre-Calculation'!$D$17="Type 4 h",SA+X87,IF('Pre-Calculation'!$D$17="Type 4 i",MAX(H87,Q87),IF('Pre-Calculation'!$D$17="Type 4 k",MAX(H87,1.01*Q87),IF('Pre-Calculation'!$D$17="Type 4 m",MAX(105%*Q87,SA+H87),IF('Pre-Calculation'!$D$17="Type 4 o",MAX(SA,105%*Q87)+X87+Z87,IF('Pre-Calculation'!$D$17="Type 5",0))))))))))))</f>
        <v>1365000</v>
      </c>
      <c r="L87" s="175">
        <f>H87-I87*(1+Tax)</f>
        <v>797313.8869</v>
      </c>
      <c r="M87" s="175">
        <f>L87*(1+GROWTH_RATE_H)*(1-FMC*(1+Tax))</f>
        <v>801379.1636</v>
      </c>
      <c r="N87" s="175">
        <f>M87+IF(MOD(A87,B87)=0,VLOOKUP(B87,'Pre-Calculation'!$H$1:$L$31,5,FALSE),0)*IF('Pre-Calculation'!$D$16="% OF FV",M87,IF(OR('Pre-Calculation'!$D$16="% OF AFV(24M)",'Pre-Calculation'!$D$16="% OF AFV(8Q)"),AVERAGE( $M64:$M87),IF('Pre-Calculation'!$D$16="% OF AFV(12M)",AVERAGE($M76:M87),IF('Pre-Calculation'!$D$16="% OF AFV(36M)",AVERAGE($M52:M87)))))</f>
        <v>801379.1636</v>
      </c>
      <c r="O87" s="175">
        <f t="shared" si="4"/>
        <v>801379.1636</v>
      </c>
      <c r="P87" s="175">
        <f>IF('Pre-Calculation'!$D$17="Type 4 a",MAX(SA,N87,1.05*Q87),IF('Pre-Calculation'!$D$17="Type 4 c",N87,IF('Pre-Calculation'!$D$17="Type 4 d",SA+N87,IF('Pre-Calculation'!$D$17="Type 4 e",MAX(SA,N87),IF('Pre-Calculation'!$D$17="Type 4 f",SA,IF('Pre-Calculation'!$D$17="Type 4 g",1000+N87,IF('Pre-Calculation'!$D$17="Type 4 h",SA+X87,IF('Pre-Calculation'!$D$17="Type 4 i",MAX(N87,Q87),IF('Pre-Calculation'!$D$17="Type 4 k",MAX(N87,1.01*Q87),IF('Pre-Calculation'!$D$17="Type 4 m",MAX(105%*Q87,SA+N87),IF('Pre-Calculation'!$D$17="Type 4 o",MAX(SA,105%*Q87)+X87+Z87,IF('Pre-Calculation'!$D$17="Type 5",0))))))))))))</f>
        <v>1365000</v>
      </c>
      <c r="Q87" s="175">
        <f t="shared" si="5"/>
        <v>1300000</v>
      </c>
      <c r="R87" s="119">
        <f>L87*(1+GROWTH_RATE)*FMC</f>
        <v>902.2583772</v>
      </c>
      <c r="S87" s="178">
        <f>S86*(1+'Pre-Calculation'!$E$27)</f>
        <v>819899.6816</v>
      </c>
      <c r="T87" s="175">
        <f>-E87+IF(A86=INPUT!$C$11*12,N87,0)</f>
        <v>0</v>
      </c>
      <c r="U87" s="175">
        <f t="shared" si="6"/>
        <v>868194.4602</v>
      </c>
      <c r="V87" s="175">
        <f>U87*(1+GROWTH_RATE_H)*(1-'Pre-Calculation'!$E$31)</f>
        <v>872325.3218</v>
      </c>
      <c r="W87" s="175">
        <f>-E87+IF(A86=INPUT!$C$11*12,V87,0)</f>
        <v>0</v>
      </c>
      <c r="X87" s="179">
        <f t="array" ref="X87">NPV('Pre-Calculation'!$E$20,$E88:E$246)</f>
        <v>274539.8049</v>
      </c>
      <c r="Y87" s="171">
        <f>10%*SA</f>
        <v>100000</v>
      </c>
      <c r="Z87" s="179">
        <f t="array" ref="Z87">NPV('Pre-Calculation'!$E$20,Y88:Y97)</f>
        <v>969592.8037</v>
      </c>
    </row>
    <row r="88" ht="15.75" customHeight="1">
      <c r="A88" s="171">
        <f t="shared" si="1"/>
        <v>82</v>
      </c>
      <c r="B88" s="171">
        <f t="shared" si="2"/>
        <v>7</v>
      </c>
      <c r="C88" s="176">
        <f>EDATE(RCD,A87)</f>
        <v>45015</v>
      </c>
      <c r="D88" s="171">
        <f>Age_At_Entry+'Cashflows_8% from Start'!B88-1</f>
        <v>41</v>
      </c>
      <c r="E88" s="175">
        <f>IF(AND(C88&lt;=Last_Prem,MOD(A87,Mode)=0),Mod_Prem,0)</f>
        <v>0</v>
      </c>
      <c r="F88" s="177">
        <f>E88*VLOOKUP(B88,'Pre-Calculation'!$H$1:$I$31,2,FALSE)</f>
        <v>0</v>
      </c>
      <c r="G88" s="177">
        <f>IF(B88&lt;PT+1,VLOOKUP(B88,'Pre-Calculation'!$H$1:$L$32,3,FALSE)+VLOOKUP(B88,'Pre-Calculation'!$H$1:$L$32,4,FALSE)*'Pre-Calculation'!$D$7,0)</f>
        <v>830</v>
      </c>
      <c r="H88" s="175">
        <f>(E88-(F88+G88)*(1+Tax)+N87)</f>
        <v>800399.7636</v>
      </c>
      <c r="I88" s="175">
        <f>IF(B88&lt;PT+1,VLOOKUP(D88,'Pre-Calculation'!$N$3:$P$79,IF(INPUT!$C$4="M",2,3),FALSE)*(J88/1000)*(1/12),0)</f>
        <v>92.17098859</v>
      </c>
      <c r="J88" s="175">
        <f t="shared" si="3"/>
        <v>564600.2364</v>
      </c>
      <c r="K88" s="175">
        <f>IF('Pre-Calculation'!$D$17="Type 4 a",MAX(SA,H88,1.05*Q88),IF('Pre-Calculation'!$D$17="Type 4 c",H88,IF('Pre-Calculation'!$D$17="Type 4 d",SA+H88,IF('Pre-Calculation'!$D$17="Type 4 e",MAX(SA,H88),IF('Pre-Calculation'!$D$17="Type 4 f",SA,IF('Pre-Calculation'!$D$17="Type 4 g",1000+H88,IF('Pre-Calculation'!$D$17="Type 4 h",SA+X88,IF('Pre-Calculation'!$D$17="Type 4 i",MAX(H88,Q88),IF('Pre-Calculation'!$D$17="Type 4 k",MAX(H88,1.01*Q88),IF('Pre-Calculation'!$D$17="Type 4 m",MAX(105%*Q88,SA+H88),IF('Pre-Calculation'!$D$17="Type 4 o",MAX(SA,105%*Q88)+X88+Z88,IF('Pre-Calculation'!$D$17="Type 5",0))))))))))))</f>
        <v>1365000</v>
      </c>
      <c r="L88" s="175">
        <f>H88-I88*(1+Tax)</f>
        <v>800291.0018</v>
      </c>
      <c r="M88" s="175">
        <f>L88*(1+GROWTH_RATE_H)*(1-FMC*(1+Tax))</f>
        <v>804371.458</v>
      </c>
      <c r="N88" s="175">
        <f>M88+IF(MOD(A88,B88)=0,VLOOKUP(B88,'Pre-Calculation'!$H$1:$L$31,5,FALSE),0)*IF('Pre-Calculation'!$D$16="% OF FV",M88,IF(OR('Pre-Calculation'!$D$16="% OF AFV(24M)",'Pre-Calculation'!$D$16="% OF AFV(8Q)"),AVERAGE( $M65:$M88),IF('Pre-Calculation'!$D$16="% OF AFV(12M)",AVERAGE($M77:M88),IF('Pre-Calculation'!$D$16="% OF AFV(36M)",AVERAGE($M53:M88)))))</f>
        <v>804371.458</v>
      </c>
      <c r="O88" s="175">
        <f t="shared" si="4"/>
        <v>804371.458</v>
      </c>
      <c r="P88" s="175">
        <f>IF('Pre-Calculation'!$D$17="Type 4 a",MAX(SA,N88,1.05*Q88),IF('Pre-Calculation'!$D$17="Type 4 c",N88,IF('Pre-Calculation'!$D$17="Type 4 d",SA+N88,IF('Pre-Calculation'!$D$17="Type 4 e",MAX(SA,N88),IF('Pre-Calculation'!$D$17="Type 4 f",SA,IF('Pre-Calculation'!$D$17="Type 4 g",1000+N88,IF('Pre-Calculation'!$D$17="Type 4 h",SA+X88,IF('Pre-Calculation'!$D$17="Type 4 i",MAX(N88,Q88),IF('Pre-Calculation'!$D$17="Type 4 k",MAX(N88,1.01*Q88),IF('Pre-Calculation'!$D$17="Type 4 m",MAX(105%*Q88,SA+N88),IF('Pre-Calculation'!$D$17="Type 4 o",MAX(SA,105%*Q88)+X88+Z88,IF('Pre-Calculation'!$D$17="Type 5",0))))))))))))</f>
        <v>1365000</v>
      </c>
      <c r="Q88" s="175">
        <f t="shared" si="5"/>
        <v>1300000</v>
      </c>
      <c r="R88" s="119">
        <f>L88*(1+GROWTH_RATE)*FMC</f>
        <v>905.6273476</v>
      </c>
      <c r="S88" s="178">
        <f>S87*(1+'Pre-Calculation'!$E$27)</f>
        <v>822253.5305</v>
      </c>
      <c r="T88" s="175">
        <f>-E88+IF(A87=INPUT!$C$11*12,N88,0)</f>
        <v>0</v>
      </c>
      <c r="U88" s="175">
        <f t="shared" si="6"/>
        <v>872325.3218</v>
      </c>
      <c r="V88" s="175">
        <f>U88*(1+GROWTH_RATE_H)*(1-'Pre-Calculation'!$E$31)</f>
        <v>876475.838</v>
      </c>
      <c r="W88" s="175">
        <f>-E88+IF(A87=INPUT!$C$11*12,V88,0)</f>
        <v>0</v>
      </c>
      <c r="X88" s="179">
        <f t="array" ref="X88">NPV('Pre-Calculation'!$E$20,$E89:E$246)</f>
        <v>276092.0929</v>
      </c>
      <c r="Y88" s="171">
        <f>10%*SA</f>
        <v>100000</v>
      </c>
      <c r="Z88" s="179">
        <f t="array" ref="Z88">NPV('Pre-Calculation'!$E$20,Y89:Y98)</f>
        <v>969592.8037</v>
      </c>
    </row>
    <row r="89" ht="15.75" customHeight="1">
      <c r="A89" s="171">
        <f t="shared" si="1"/>
        <v>83</v>
      </c>
      <c r="B89" s="171">
        <f t="shared" si="2"/>
        <v>7</v>
      </c>
      <c r="C89" s="176">
        <f>EDATE(RCD,A88)</f>
        <v>45046</v>
      </c>
      <c r="D89" s="171">
        <f>Age_At_Entry+'Cashflows_8% from Start'!B89-1</f>
        <v>41</v>
      </c>
      <c r="E89" s="175">
        <f>IF(AND(C89&lt;=Last_Prem,MOD(A88,Mode)=0),Mod_Prem,0)</f>
        <v>0</v>
      </c>
      <c r="F89" s="177">
        <f>E89*VLOOKUP(B89,'Pre-Calculation'!$H$1:$I$31,2,FALSE)</f>
        <v>0</v>
      </c>
      <c r="G89" s="177">
        <f>IF(B89&lt;PT+1,VLOOKUP(B89,'Pre-Calculation'!$H$1:$L$32,3,FALSE)+VLOOKUP(B89,'Pre-Calculation'!$H$1:$L$32,4,FALSE)*'Pre-Calculation'!$D$7,0)</f>
        <v>830</v>
      </c>
      <c r="H89" s="175">
        <f>(E89-(F89+G89)*(1+Tax)+N88)</f>
        <v>803392.058</v>
      </c>
      <c r="I89" s="175">
        <f>IF(B89&lt;PT+1,VLOOKUP(D89,'Pre-Calculation'!$N$3:$P$79,IF(INPUT!$C$4="M",2,3),FALSE)*(J89/1000)*(1/12),0)</f>
        <v>91.68249654</v>
      </c>
      <c r="J89" s="175">
        <f t="shared" si="3"/>
        <v>561607.942</v>
      </c>
      <c r="K89" s="175">
        <f>IF('Pre-Calculation'!$D$17="Type 4 a",MAX(SA,H89,1.05*Q89),IF('Pre-Calculation'!$D$17="Type 4 c",H89,IF('Pre-Calculation'!$D$17="Type 4 d",SA+H89,IF('Pre-Calculation'!$D$17="Type 4 e",MAX(SA,H89),IF('Pre-Calculation'!$D$17="Type 4 f",SA,IF('Pre-Calculation'!$D$17="Type 4 g",1000+H89,IF('Pre-Calculation'!$D$17="Type 4 h",SA+X89,IF('Pre-Calculation'!$D$17="Type 4 i",MAX(H89,Q89),IF('Pre-Calculation'!$D$17="Type 4 k",MAX(H89,1.01*Q89),IF('Pre-Calculation'!$D$17="Type 4 m",MAX(105%*Q89,SA+H89),IF('Pre-Calculation'!$D$17="Type 4 o",MAX(SA,105%*Q89)+X89+Z89,IF('Pre-Calculation'!$D$17="Type 5",0))))))))))))</f>
        <v>1365000</v>
      </c>
      <c r="L89" s="175">
        <f>H89-I89*(1+Tax)</f>
        <v>803283.8726</v>
      </c>
      <c r="M89" s="175">
        <f>L89*(1+GROWTH_RATE_H)*(1-FMC*(1+Tax))</f>
        <v>807379.5885</v>
      </c>
      <c r="N89" s="175">
        <f>M89+IF(MOD(A89,B89)=0,VLOOKUP(B89,'Pre-Calculation'!$H$1:$L$31,5,FALSE),0)*IF('Pre-Calculation'!$D$16="% OF FV",M89,IF(OR('Pre-Calculation'!$D$16="% OF AFV(24M)",'Pre-Calculation'!$D$16="% OF AFV(8Q)"),AVERAGE( $M66:$M89),IF('Pre-Calculation'!$D$16="% OF AFV(12M)",AVERAGE($M78:M89),IF('Pre-Calculation'!$D$16="% OF AFV(36M)",AVERAGE($M54:M89)))))</f>
        <v>807379.5885</v>
      </c>
      <c r="O89" s="175">
        <f t="shared" si="4"/>
        <v>807379.5885</v>
      </c>
      <c r="P89" s="175">
        <f>IF('Pre-Calculation'!$D$17="Type 4 a",MAX(SA,N89,1.05*Q89),IF('Pre-Calculation'!$D$17="Type 4 c",N89,IF('Pre-Calculation'!$D$17="Type 4 d",SA+N89,IF('Pre-Calculation'!$D$17="Type 4 e",MAX(SA,N89),IF('Pre-Calculation'!$D$17="Type 4 f",SA,IF('Pre-Calculation'!$D$17="Type 4 g",1000+N89,IF('Pre-Calculation'!$D$17="Type 4 h",SA+X89,IF('Pre-Calculation'!$D$17="Type 4 i",MAX(N89,Q89),IF('Pre-Calculation'!$D$17="Type 4 k",MAX(N89,1.01*Q89),IF('Pre-Calculation'!$D$17="Type 4 m",MAX(105%*Q89,SA+N89),IF('Pre-Calculation'!$D$17="Type 4 o",MAX(SA,105%*Q89)+X89+Z89,IF('Pre-Calculation'!$D$17="Type 5",0))))))))))))</f>
        <v>1365000</v>
      </c>
      <c r="Q89" s="175">
        <f t="shared" si="5"/>
        <v>1300000</v>
      </c>
      <c r="R89" s="119">
        <f>L89*(1+GROWTH_RATE)*FMC</f>
        <v>909.0141477</v>
      </c>
      <c r="S89" s="178">
        <f>S88*(1+'Pre-Calculation'!$E$27)</f>
        <v>824614.1371</v>
      </c>
      <c r="T89" s="175">
        <f>-E89+IF(A88=INPUT!$C$11*12,N89,0)</f>
        <v>0</v>
      </c>
      <c r="U89" s="175">
        <f t="shared" si="6"/>
        <v>876475.838</v>
      </c>
      <c r="V89" s="175">
        <f>U89*(1+GROWTH_RATE_H)*(1-'Pre-Calculation'!$E$31)</f>
        <v>880646.1024</v>
      </c>
      <c r="W89" s="175">
        <f>-E89+IF(A88=INPUT!$C$11*12,V89,0)</f>
        <v>0</v>
      </c>
      <c r="X89" s="179">
        <f t="array" ref="X89">NPV('Pre-Calculation'!$E$20,$E90:E$246)</f>
        <v>277653.1577</v>
      </c>
      <c r="Y89" s="171">
        <f>10%*SA</f>
        <v>100000</v>
      </c>
      <c r="Z89" s="179">
        <f t="array" ref="Z89">NPV('Pre-Calculation'!$E$20,Y90:Y99)</f>
        <v>969592.8037</v>
      </c>
    </row>
    <row r="90" ht="15.75" customHeight="1">
      <c r="A90" s="171">
        <f t="shared" si="1"/>
        <v>84</v>
      </c>
      <c r="B90" s="171">
        <f t="shared" si="2"/>
        <v>7</v>
      </c>
      <c r="C90" s="176">
        <f>EDATE(RCD,A89)</f>
        <v>45076</v>
      </c>
      <c r="D90" s="171">
        <f>Age_At_Entry+'Cashflows_8% from Start'!B90-1</f>
        <v>41</v>
      </c>
      <c r="E90" s="175">
        <f>IF(AND(C90&lt;=Last_Prem,MOD(A89,Mode)=0),Mod_Prem,0)</f>
        <v>0</v>
      </c>
      <c r="F90" s="177">
        <f>E90*VLOOKUP(B90,'Pre-Calculation'!$H$1:$I$31,2,FALSE)</f>
        <v>0</v>
      </c>
      <c r="G90" s="177">
        <f>IF(B90&lt;PT+1,VLOOKUP(B90,'Pre-Calculation'!$H$1:$L$32,3,FALSE)+VLOOKUP(B90,'Pre-Calculation'!$H$1:$L$32,4,FALSE)*'Pre-Calculation'!$D$7,0)</f>
        <v>830</v>
      </c>
      <c r="H90" s="175">
        <f>(E90-(F90+G90)*(1+Tax)+N89)</f>
        <v>806400.1885</v>
      </c>
      <c r="I90" s="175">
        <f>IF(B90&lt;PT+1,VLOOKUP(D90,'Pre-Calculation'!$N$3:$P$79,IF(INPUT!$C$4="M",2,3),FALSE)*(J90/1000)*(1/12),0)</f>
        <v>91.19141922</v>
      </c>
      <c r="J90" s="175">
        <f t="shared" si="3"/>
        <v>558599.8115</v>
      </c>
      <c r="K90" s="175">
        <f>IF('Pre-Calculation'!$D$17="Type 4 a",MAX(SA,H90,1.05*Q90),IF('Pre-Calculation'!$D$17="Type 4 c",H90,IF('Pre-Calculation'!$D$17="Type 4 d",SA+H90,IF('Pre-Calculation'!$D$17="Type 4 e",MAX(SA,H90),IF('Pre-Calculation'!$D$17="Type 4 f",SA,IF('Pre-Calculation'!$D$17="Type 4 g",1000+H90,IF('Pre-Calculation'!$D$17="Type 4 h",SA+X90,IF('Pre-Calculation'!$D$17="Type 4 i",MAX(H90,Q90),IF('Pre-Calculation'!$D$17="Type 4 k",MAX(H90,1.01*Q90),IF('Pre-Calculation'!$D$17="Type 4 m",MAX(105%*Q90,SA+H90),IF('Pre-Calculation'!$D$17="Type 4 o",MAX(SA,105%*Q90)+X90+Z90,IF('Pre-Calculation'!$D$17="Type 5",0))))))))))))</f>
        <v>1365000</v>
      </c>
      <c r="L90" s="175">
        <f>H90-I90*(1+Tax)</f>
        <v>806292.5827</v>
      </c>
      <c r="M90" s="175">
        <f>L90*(1+GROWTH_RATE_H)*(1-FMC*(1+Tax))</f>
        <v>810403.6392</v>
      </c>
      <c r="N90" s="175">
        <f>M90+IF(MOD(A90,B90)=0,VLOOKUP(B90,'Pre-Calculation'!$H$1:$L$31,5,FALSE),0)*IF('Pre-Calculation'!$D$16="% OF FV",M90,IF(OR('Pre-Calculation'!$D$16="% OF AFV(24M)",'Pre-Calculation'!$D$16="% OF AFV(8Q)"),AVERAGE( $M67:$M90),IF('Pre-Calculation'!$D$16="% OF AFV(12M)",AVERAGE($M79:M90),IF('Pre-Calculation'!$D$16="% OF AFV(36M)",AVERAGE($M55:M90)))))</f>
        <v>810403.6392</v>
      </c>
      <c r="O90" s="175">
        <f t="shared" si="4"/>
        <v>810403.6392</v>
      </c>
      <c r="P90" s="175">
        <f>IF('Pre-Calculation'!$D$17="Type 4 a",MAX(SA,N90,1.05*Q90),IF('Pre-Calculation'!$D$17="Type 4 c",N90,IF('Pre-Calculation'!$D$17="Type 4 d",SA+N90,IF('Pre-Calculation'!$D$17="Type 4 e",MAX(SA,N90),IF('Pre-Calculation'!$D$17="Type 4 f",SA,IF('Pre-Calculation'!$D$17="Type 4 g",1000+N90,IF('Pre-Calculation'!$D$17="Type 4 h",SA+X90,IF('Pre-Calculation'!$D$17="Type 4 i",MAX(N90,Q90),IF('Pre-Calculation'!$D$17="Type 4 k",MAX(N90,1.01*Q90),IF('Pre-Calculation'!$D$17="Type 4 m",MAX(105%*Q90,SA+N90),IF('Pre-Calculation'!$D$17="Type 4 o",MAX(SA,105%*Q90)+X90+Z90,IF('Pre-Calculation'!$D$17="Type 5",0))))))))))))</f>
        <v>1365000</v>
      </c>
      <c r="Q90" s="175">
        <f t="shared" si="5"/>
        <v>1300000</v>
      </c>
      <c r="R90" s="119">
        <f>L90*(1+GROWTH_RATE)*FMC</f>
        <v>912.4188719</v>
      </c>
      <c r="S90" s="178">
        <f>S89*(1+'Pre-Calculation'!$E$27)</f>
        <v>826981.5208</v>
      </c>
      <c r="T90" s="175">
        <f>-E90+IF(A89=INPUT!$C$11*12,N90,0)</f>
        <v>0</v>
      </c>
      <c r="U90" s="175">
        <f t="shared" si="6"/>
        <v>880646.1024</v>
      </c>
      <c r="V90" s="175">
        <f>U90*(1+GROWTH_RATE_H)*(1-'Pre-Calculation'!$E$31)</f>
        <v>884836.2088</v>
      </c>
      <c r="W90" s="175">
        <f>-E90+IF(A89=INPUT!$C$11*12,V90,0)</f>
        <v>0</v>
      </c>
      <c r="X90" s="179">
        <f t="array" ref="X90">NPV('Pre-Calculation'!$E$20,$E91:E$246)</f>
        <v>279223.049</v>
      </c>
      <c r="Y90" s="171">
        <f>10%*SA</f>
        <v>100000</v>
      </c>
      <c r="Z90" s="179">
        <f t="array" ref="Z90">NPV('Pre-Calculation'!$E$20,Y91:Y100)</f>
        <v>969592.8037</v>
      </c>
    </row>
    <row r="91" ht="15.75" customHeight="1">
      <c r="A91" s="171">
        <f t="shared" si="1"/>
        <v>85</v>
      </c>
      <c r="B91" s="171">
        <f t="shared" si="2"/>
        <v>8</v>
      </c>
      <c r="C91" s="176">
        <f>EDATE(RCD,A90)</f>
        <v>45107</v>
      </c>
      <c r="D91" s="171">
        <f>Age_At_Entry+'Cashflows_8% from Start'!B91-1</f>
        <v>42</v>
      </c>
      <c r="E91" s="175">
        <f>IF(AND(C91&lt;=Last_Prem,MOD(A90,Mode)=0),Mod_Prem,0)</f>
        <v>100000</v>
      </c>
      <c r="F91" s="177">
        <f>E91*VLOOKUP(B91,'Pre-Calculation'!$H$1:$I$31,2,FALSE)</f>
        <v>0</v>
      </c>
      <c r="G91" s="177">
        <f>IF(B91&lt;PT+1,VLOOKUP(B91,'Pre-Calculation'!$H$1:$L$32,3,FALSE)+VLOOKUP(B91,'Pre-Calculation'!$H$1:$L$32,4,FALSE)*'Pre-Calculation'!$D$7,0)</f>
        <v>830</v>
      </c>
      <c r="H91" s="175">
        <f>(E91-(F91+G91)*(1+Tax)+N90)</f>
        <v>909424.2392</v>
      </c>
      <c r="I91" s="175">
        <f>IF(B91&lt;PT+1,VLOOKUP(D91,'Pre-Calculation'!$N$3:$P$79,IF(INPUT!$C$4="M",2,3),FALSE)*(J91/1000)*(1/12),0)</f>
        <v>99.96934402</v>
      </c>
      <c r="J91" s="175">
        <f t="shared" si="3"/>
        <v>560575.7608</v>
      </c>
      <c r="K91" s="175">
        <f>IF('Pre-Calculation'!$D$17="Type 4 a",MAX(SA,H91,1.05*Q91),IF('Pre-Calculation'!$D$17="Type 4 c",H91,IF('Pre-Calculation'!$D$17="Type 4 d",SA+H91,IF('Pre-Calculation'!$D$17="Type 4 e",MAX(SA,H91),IF('Pre-Calculation'!$D$17="Type 4 f",SA,IF('Pre-Calculation'!$D$17="Type 4 g",1000+H91,IF('Pre-Calculation'!$D$17="Type 4 h",SA+X91,IF('Pre-Calculation'!$D$17="Type 4 i",MAX(H91,Q91),IF('Pre-Calculation'!$D$17="Type 4 k",MAX(H91,1.01*Q91),IF('Pre-Calculation'!$D$17="Type 4 m",MAX(105%*Q91,SA+H91),IF('Pre-Calculation'!$D$17="Type 4 o",MAX(SA,105%*Q91)+X91+Z91,IF('Pre-Calculation'!$D$17="Type 5",0))))))))))))</f>
        <v>1470000</v>
      </c>
      <c r="L91" s="175">
        <f>H91-I91*(1+Tax)</f>
        <v>909306.2753</v>
      </c>
      <c r="M91" s="175">
        <f>L91*(1+GROWTH_RATE_H)*(1-FMC*(1+Tax))</f>
        <v>913942.5693</v>
      </c>
      <c r="N91" s="175">
        <f>M91+IF(MOD(A91,B91)=0,VLOOKUP(B91,'Pre-Calculation'!$H$1:$L$31,5,FALSE),0)*IF('Pre-Calculation'!$D$16="% OF FV",M91,IF(OR('Pre-Calculation'!$D$16="% OF AFV(24M)",'Pre-Calculation'!$D$16="% OF AFV(8Q)"),AVERAGE( $M68:$M91),IF('Pre-Calculation'!$D$16="% OF AFV(12M)",AVERAGE($M80:M91),IF('Pre-Calculation'!$D$16="% OF AFV(36M)",AVERAGE($M56:M91)))))</f>
        <v>913942.5693</v>
      </c>
      <c r="O91" s="175">
        <f t="shared" si="4"/>
        <v>913942.5693</v>
      </c>
      <c r="P91" s="175">
        <f>IF('Pre-Calculation'!$D$17="Type 4 a",MAX(SA,N91,1.05*Q91),IF('Pre-Calculation'!$D$17="Type 4 c",N91,IF('Pre-Calculation'!$D$17="Type 4 d",SA+N91,IF('Pre-Calculation'!$D$17="Type 4 e",MAX(SA,N91),IF('Pre-Calculation'!$D$17="Type 4 f",SA,IF('Pre-Calculation'!$D$17="Type 4 g",1000+N91,IF('Pre-Calculation'!$D$17="Type 4 h",SA+X91,IF('Pre-Calculation'!$D$17="Type 4 i",MAX(N91,Q91),IF('Pre-Calculation'!$D$17="Type 4 k",MAX(N91,1.01*Q91),IF('Pre-Calculation'!$D$17="Type 4 m",MAX(105%*Q91,SA+N91),IF('Pre-Calculation'!$D$17="Type 4 o",MAX(SA,105%*Q91)+X91+Z91,IF('Pre-Calculation'!$D$17="Type 5",0))))))))))))</f>
        <v>1470000</v>
      </c>
      <c r="Q91" s="175">
        <f t="shared" si="5"/>
        <v>1400000</v>
      </c>
      <c r="R91" s="119">
        <f>L91*(1+GROWTH_RATE)*FMC</f>
        <v>1028.99149</v>
      </c>
      <c r="S91" s="178">
        <f>S90*(1+'Pre-Calculation'!$E$27)</f>
        <v>829355.701</v>
      </c>
      <c r="T91" s="175">
        <f>-E91+IF(A90=INPUT!$C$11*12,N91,0)</f>
        <v>-100000</v>
      </c>
      <c r="U91" s="175">
        <f t="shared" si="6"/>
        <v>984836.2088</v>
      </c>
      <c r="V91" s="175">
        <f>U91*(1+GROWTH_RATE_H)*(1-'Pre-Calculation'!$E$31)</f>
        <v>989522.0508</v>
      </c>
      <c r="W91" s="175">
        <f>-E91+IF(A90=INPUT!$C$11*12,V91,0)</f>
        <v>-100000</v>
      </c>
      <c r="X91" s="179">
        <f t="array" ref="X91">NPV('Pre-Calculation'!$E$20,$E92:E$246)</f>
        <v>180801.8168</v>
      </c>
      <c r="Y91" s="171">
        <f>10%*SA</f>
        <v>100000</v>
      </c>
      <c r="Z91" s="179">
        <f t="array" ref="Z91">NPV('Pre-Calculation'!$E$20,Y92:Y101)</f>
        <v>969592.8037</v>
      </c>
    </row>
    <row r="92" ht="15.75" customHeight="1">
      <c r="A92" s="171">
        <f t="shared" si="1"/>
        <v>86</v>
      </c>
      <c r="B92" s="171">
        <f t="shared" si="2"/>
        <v>8</v>
      </c>
      <c r="C92" s="176">
        <f>EDATE(RCD,A91)</f>
        <v>45137</v>
      </c>
      <c r="D92" s="171">
        <f>Age_At_Entry+'Cashflows_8% from Start'!B92-1</f>
        <v>42</v>
      </c>
      <c r="E92" s="175">
        <f>IF(AND(C92&lt;=Last_Prem,MOD(A91,Mode)=0),Mod_Prem,0)</f>
        <v>0</v>
      </c>
      <c r="F92" s="177">
        <f>E92*VLOOKUP(B92,'Pre-Calculation'!$H$1:$I$31,2,FALSE)</f>
        <v>0</v>
      </c>
      <c r="G92" s="177">
        <f>IF(B92&lt;PT+1,VLOOKUP(B92,'Pre-Calculation'!$H$1:$L$32,3,FALSE)+VLOOKUP(B92,'Pre-Calculation'!$H$1:$L$32,4,FALSE)*'Pre-Calculation'!$D$7,0)</f>
        <v>830</v>
      </c>
      <c r="H92" s="175">
        <f>(E92-(F92+G92)*(1+Tax)+N91)</f>
        <v>912963.1693</v>
      </c>
      <c r="I92" s="175">
        <f>IF(B92&lt;PT+1,VLOOKUP(D92,'Pre-Calculation'!$N$3:$P$79,IF(INPUT!$C$4="M",2,3),FALSE)*(J92/1000)*(1/12),0)</f>
        <v>99.3382348</v>
      </c>
      <c r="J92" s="175">
        <f t="shared" si="3"/>
        <v>557036.8307</v>
      </c>
      <c r="K92" s="175">
        <f>IF('Pre-Calculation'!$D$17="Type 4 a",MAX(SA,H92,1.05*Q92),IF('Pre-Calculation'!$D$17="Type 4 c",H92,IF('Pre-Calculation'!$D$17="Type 4 d",SA+H92,IF('Pre-Calculation'!$D$17="Type 4 e",MAX(SA,H92),IF('Pre-Calculation'!$D$17="Type 4 f",SA,IF('Pre-Calculation'!$D$17="Type 4 g",1000+H92,IF('Pre-Calculation'!$D$17="Type 4 h",SA+X92,IF('Pre-Calculation'!$D$17="Type 4 i",MAX(H92,Q92),IF('Pre-Calculation'!$D$17="Type 4 k",MAX(H92,1.01*Q92),IF('Pre-Calculation'!$D$17="Type 4 m",MAX(105%*Q92,SA+H92),IF('Pre-Calculation'!$D$17="Type 4 o",MAX(SA,105%*Q92)+X92+Z92,IF('Pre-Calculation'!$D$17="Type 5",0))))))))))))</f>
        <v>1470000</v>
      </c>
      <c r="L92" s="175">
        <f>H92-I92*(1+Tax)</f>
        <v>912845.9502</v>
      </c>
      <c r="M92" s="175">
        <f>L92*(1+GROWTH_RATE_H)*(1-FMC*(1+Tax))</f>
        <v>917500.292</v>
      </c>
      <c r="N92" s="175">
        <f>M92+IF(MOD(A92,B92)=0,VLOOKUP(B92,'Pre-Calculation'!$H$1:$L$31,5,FALSE),0)*IF('Pre-Calculation'!$D$16="% OF FV",M92,IF(OR('Pre-Calculation'!$D$16="% OF AFV(24M)",'Pre-Calculation'!$D$16="% OF AFV(8Q)"),AVERAGE( $M69:$M92),IF('Pre-Calculation'!$D$16="% OF AFV(12M)",AVERAGE($M81:M92),IF('Pre-Calculation'!$D$16="% OF AFV(36M)",AVERAGE($M57:M92)))))</f>
        <v>917500.292</v>
      </c>
      <c r="O92" s="175">
        <f t="shared" si="4"/>
        <v>917500.292</v>
      </c>
      <c r="P92" s="175">
        <f>IF('Pre-Calculation'!$D$17="Type 4 a",MAX(SA,N92,1.05*Q92),IF('Pre-Calculation'!$D$17="Type 4 c",N92,IF('Pre-Calculation'!$D$17="Type 4 d",SA+N92,IF('Pre-Calculation'!$D$17="Type 4 e",MAX(SA,N92),IF('Pre-Calculation'!$D$17="Type 4 f",SA,IF('Pre-Calculation'!$D$17="Type 4 g",1000+N92,IF('Pre-Calculation'!$D$17="Type 4 h",SA+X92,IF('Pre-Calculation'!$D$17="Type 4 i",MAX(N92,Q92),IF('Pre-Calculation'!$D$17="Type 4 k",MAX(N92,1.01*Q92),IF('Pre-Calculation'!$D$17="Type 4 m",MAX(105%*Q92,SA+N92),IF('Pre-Calculation'!$D$17="Type 4 o",MAX(SA,105%*Q92)+X92+Z92,IF('Pre-Calculation'!$D$17="Type 5",0))))))))))))</f>
        <v>1470000</v>
      </c>
      <c r="Q92" s="175">
        <f t="shared" si="5"/>
        <v>1400000</v>
      </c>
      <c r="R92" s="119">
        <f>L92*(1+GROWTH_RATE)*FMC</f>
        <v>1032.997066</v>
      </c>
      <c r="S92" s="178">
        <f>S91*(1+'Pre-Calculation'!$E$27)</f>
        <v>831736.6972</v>
      </c>
      <c r="T92" s="175">
        <f>-E92+IF(A91=INPUT!$C$11*12,N92,0)</f>
        <v>0</v>
      </c>
      <c r="U92" s="175">
        <f t="shared" si="6"/>
        <v>989522.0508</v>
      </c>
      <c r="V92" s="175">
        <f>U92*(1+GROWTH_RATE_H)*(1-'Pre-Calculation'!$E$31)</f>
        <v>994230.1881</v>
      </c>
      <c r="W92" s="175">
        <f>-E92+IF(A91=INPUT!$C$11*12,V92,0)</f>
        <v>0</v>
      </c>
      <c r="X92" s="179">
        <f t="array" ref="X92">NPV('Pre-Calculation'!$E$20,$E93:E$246)</f>
        <v>181824.0965</v>
      </c>
      <c r="Y92" s="171">
        <f>10%*SA</f>
        <v>100000</v>
      </c>
      <c r="Z92" s="179">
        <f t="array" ref="Z92">NPV('Pre-Calculation'!$E$20,Y93:Y102)</f>
        <v>969592.8037</v>
      </c>
    </row>
    <row r="93" ht="15.75" customHeight="1">
      <c r="A93" s="171">
        <f t="shared" si="1"/>
        <v>87</v>
      </c>
      <c r="B93" s="171">
        <f t="shared" si="2"/>
        <v>8</v>
      </c>
      <c r="C93" s="176">
        <f>EDATE(RCD,A92)</f>
        <v>45168</v>
      </c>
      <c r="D93" s="171">
        <f>Age_At_Entry+'Cashflows_8% from Start'!B93-1</f>
        <v>42</v>
      </c>
      <c r="E93" s="175">
        <f>IF(AND(C93&lt;=Last_Prem,MOD(A92,Mode)=0),Mod_Prem,0)</f>
        <v>0</v>
      </c>
      <c r="F93" s="177">
        <f>E93*VLOOKUP(B93,'Pre-Calculation'!$H$1:$I$31,2,FALSE)</f>
        <v>0</v>
      </c>
      <c r="G93" s="177">
        <f>IF(B93&lt;PT+1,VLOOKUP(B93,'Pre-Calculation'!$H$1:$L$32,3,FALSE)+VLOOKUP(B93,'Pre-Calculation'!$H$1:$L$32,4,FALSE)*'Pre-Calculation'!$D$7,0)</f>
        <v>830</v>
      </c>
      <c r="H93" s="175">
        <f>(E93-(F93+G93)*(1+Tax)+N92)</f>
        <v>916520.892</v>
      </c>
      <c r="I93" s="175">
        <f>IF(B93&lt;PT+1,VLOOKUP(D93,'Pre-Calculation'!$N$3:$P$79,IF(INPUT!$C$4="M",2,3),FALSE)*(J93/1000)*(1/12),0)</f>
        <v>98.70377426</v>
      </c>
      <c r="J93" s="175">
        <f t="shared" si="3"/>
        <v>553479.108</v>
      </c>
      <c r="K93" s="175">
        <f>IF('Pre-Calculation'!$D$17="Type 4 a",MAX(SA,H93,1.05*Q93),IF('Pre-Calculation'!$D$17="Type 4 c",H93,IF('Pre-Calculation'!$D$17="Type 4 d",SA+H93,IF('Pre-Calculation'!$D$17="Type 4 e",MAX(SA,H93),IF('Pre-Calculation'!$D$17="Type 4 f",SA,IF('Pre-Calculation'!$D$17="Type 4 g",1000+H93,IF('Pre-Calculation'!$D$17="Type 4 h",SA+X93,IF('Pre-Calculation'!$D$17="Type 4 i",MAX(H93,Q93),IF('Pre-Calculation'!$D$17="Type 4 k",MAX(H93,1.01*Q93),IF('Pre-Calculation'!$D$17="Type 4 m",MAX(105%*Q93,SA+H93),IF('Pre-Calculation'!$D$17="Type 4 o",MAX(SA,105%*Q93)+X93+Z93,IF('Pre-Calculation'!$D$17="Type 5",0))))))))))))</f>
        <v>1470000</v>
      </c>
      <c r="L93" s="175">
        <f>H93-I93*(1+Tax)</f>
        <v>916404.4215</v>
      </c>
      <c r="M93" s="175">
        <f>L93*(1+GROWTH_RATE_H)*(1-FMC*(1+Tax))</f>
        <v>921076.907</v>
      </c>
      <c r="N93" s="175">
        <f>M93+IF(MOD(A93,B93)=0,VLOOKUP(B93,'Pre-Calculation'!$H$1:$L$31,5,FALSE),0)*IF('Pre-Calculation'!$D$16="% OF FV",M93,IF(OR('Pre-Calculation'!$D$16="% OF AFV(24M)",'Pre-Calculation'!$D$16="% OF AFV(8Q)"),AVERAGE( $M70:$M93),IF('Pre-Calculation'!$D$16="% OF AFV(12M)",AVERAGE($M82:M93),IF('Pre-Calculation'!$D$16="% OF AFV(36M)",AVERAGE($M58:M93)))))</f>
        <v>921076.907</v>
      </c>
      <c r="O93" s="175">
        <f t="shared" si="4"/>
        <v>921076.907</v>
      </c>
      <c r="P93" s="175">
        <f>IF('Pre-Calculation'!$D$17="Type 4 a",MAX(SA,N93,1.05*Q93),IF('Pre-Calculation'!$D$17="Type 4 c",N93,IF('Pre-Calculation'!$D$17="Type 4 d",SA+N93,IF('Pre-Calculation'!$D$17="Type 4 e",MAX(SA,N93),IF('Pre-Calculation'!$D$17="Type 4 f",SA,IF('Pre-Calculation'!$D$17="Type 4 g",1000+N93,IF('Pre-Calculation'!$D$17="Type 4 h",SA+X93,IF('Pre-Calculation'!$D$17="Type 4 i",MAX(N93,Q93),IF('Pre-Calculation'!$D$17="Type 4 k",MAX(N93,1.01*Q93),IF('Pre-Calculation'!$D$17="Type 4 m",MAX(105%*Q93,SA+N93),IF('Pre-Calculation'!$D$17="Type 4 o",MAX(SA,105%*Q93)+X93+Z93,IF('Pre-Calculation'!$D$17="Type 5",0))))))))))))</f>
        <v>1470000</v>
      </c>
      <c r="Q93" s="175">
        <f t="shared" si="5"/>
        <v>1400000</v>
      </c>
      <c r="R93" s="119">
        <f>L93*(1+GROWTH_RATE)*FMC</f>
        <v>1037.023912</v>
      </c>
      <c r="S93" s="178">
        <f>S92*(1+'Pre-Calculation'!$E$27)</f>
        <v>834124.529</v>
      </c>
      <c r="T93" s="175">
        <f>-E93+IF(A92=INPUT!$C$11*12,N93,0)</f>
        <v>0</v>
      </c>
      <c r="U93" s="175">
        <f t="shared" si="6"/>
        <v>994230.1881</v>
      </c>
      <c r="V93" s="175">
        <f>U93*(1+GROWTH_RATE_H)*(1-'Pre-Calculation'!$E$31)</f>
        <v>998960.7266</v>
      </c>
      <c r="W93" s="175">
        <f>-E93+IF(A92=INPUT!$C$11*12,V93,0)</f>
        <v>0</v>
      </c>
      <c r="X93" s="179">
        <f t="array" ref="X93">NPV('Pre-Calculation'!$E$20,$E94:E$246)</f>
        <v>182852.1564</v>
      </c>
      <c r="Y93" s="171">
        <f>10%*SA</f>
        <v>100000</v>
      </c>
      <c r="Z93" s="179">
        <f t="array" ref="Z93">NPV('Pre-Calculation'!$E$20,Y94:Y103)</f>
        <v>969592.8037</v>
      </c>
    </row>
    <row r="94" ht="15.75" customHeight="1">
      <c r="A94" s="171">
        <f t="shared" si="1"/>
        <v>88</v>
      </c>
      <c r="B94" s="171">
        <f t="shared" si="2"/>
        <v>8</v>
      </c>
      <c r="C94" s="176">
        <f>EDATE(RCD,A93)</f>
        <v>45199</v>
      </c>
      <c r="D94" s="171">
        <f>Age_At_Entry+'Cashflows_8% from Start'!B94-1</f>
        <v>42</v>
      </c>
      <c r="E94" s="175">
        <f>IF(AND(C94&lt;=Last_Prem,MOD(A93,Mode)=0),Mod_Prem,0)</f>
        <v>0</v>
      </c>
      <c r="F94" s="177">
        <f>E94*VLOOKUP(B94,'Pre-Calculation'!$H$1:$I$31,2,FALSE)</f>
        <v>0</v>
      </c>
      <c r="G94" s="177">
        <f>IF(B94&lt;PT+1,VLOOKUP(B94,'Pre-Calculation'!$H$1:$L$32,3,FALSE)+VLOOKUP(B94,'Pre-Calculation'!$H$1:$L$32,4,FALSE)*'Pre-Calculation'!$D$7,0)</f>
        <v>830</v>
      </c>
      <c r="H94" s="175">
        <f>(E94-(F94+G94)*(1+Tax)+N93)</f>
        <v>920097.507</v>
      </c>
      <c r="I94" s="175">
        <f>IF(B94&lt;PT+1,VLOOKUP(D94,'Pre-Calculation'!$N$3:$P$79,IF(INPUT!$C$4="M",2,3),FALSE)*(J94/1000)*(1/12),0)</f>
        <v>98.06594459</v>
      </c>
      <c r="J94" s="175">
        <f t="shared" si="3"/>
        <v>549902.493</v>
      </c>
      <c r="K94" s="175">
        <f>IF('Pre-Calculation'!$D$17="Type 4 a",MAX(SA,H94,1.05*Q94),IF('Pre-Calculation'!$D$17="Type 4 c",H94,IF('Pre-Calculation'!$D$17="Type 4 d",SA+H94,IF('Pre-Calculation'!$D$17="Type 4 e",MAX(SA,H94),IF('Pre-Calculation'!$D$17="Type 4 f",SA,IF('Pre-Calculation'!$D$17="Type 4 g",1000+H94,IF('Pre-Calculation'!$D$17="Type 4 h",SA+X94,IF('Pre-Calculation'!$D$17="Type 4 i",MAX(H94,Q94),IF('Pre-Calculation'!$D$17="Type 4 k",MAX(H94,1.01*Q94),IF('Pre-Calculation'!$D$17="Type 4 m",MAX(105%*Q94,SA+H94),IF('Pre-Calculation'!$D$17="Type 4 o",MAX(SA,105%*Q94)+X94+Z94,IF('Pre-Calculation'!$D$17="Type 5",0))))))))))))</f>
        <v>1470000</v>
      </c>
      <c r="L94" s="175">
        <f>H94-I94*(1+Tax)</f>
        <v>919981.7892</v>
      </c>
      <c r="M94" s="175">
        <f>L94*(1+GROWTH_RATE_H)*(1-FMC*(1+Tax))</f>
        <v>924672.5146</v>
      </c>
      <c r="N94" s="175">
        <f>M94+IF(MOD(A94,B94)=0,VLOOKUP(B94,'Pre-Calculation'!$H$1:$L$31,5,FALSE),0)*IF('Pre-Calculation'!$D$16="% OF FV",M94,IF(OR('Pre-Calculation'!$D$16="% OF AFV(24M)",'Pre-Calculation'!$D$16="% OF AFV(8Q)"),AVERAGE( $M71:$M94),IF('Pre-Calculation'!$D$16="% OF AFV(12M)",AVERAGE($M83:M94),IF('Pre-Calculation'!$D$16="% OF AFV(36M)",AVERAGE($M59:M94)))))</f>
        <v>924672.5146</v>
      </c>
      <c r="O94" s="175">
        <f t="shared" si="4"/>
        <v>924672.5146</v>
      </c>
      <c r="P94" s="175">
        <f>IF('Pre-Calculation'!$D$17="Type 4 a",MAX(SA,N94,1.05*Q94),IF('Pre-Calculation'!$D$17="Type 4 c",N94,IF('Pre-Calculation'!$D$17="Type 4 d",SA+N94,IF('Pre-Calculation'!$D$17="Type 4 e",MAX(SA,N94),IF('Pre-Calculation'!$D$17="Type 4 f",SA,IF('Pre-Calculation'!$D$17="Type 4 g",1000+N94,IF('Pre-Calculation'!$D$17="Type 4 h",SA+X94,IF('Pre-Calculation'!$D$17="Type 4 i",MAX(N94,Q94),IF('Pre-Calculation'!$D$17="Type 4 k",MAX(N94,1.01*Q94),IF('Pre-Calculation'!$D$17="Type 4 m",MAX(105%*Q94,SA+N94),IF('Pre-Calculation'!$D$17="Type 4 o",MAX(SA,105%*Q94)+X94+Z94,IF('Pre-Calculation'!$D$17="Type 5",0))))))))))))</f>
        <v>1470000</v>
      </c>
      <c r="Q94" s="175">
        <f t="shared" si="5"/>
        <v>1400000</v>
      </c>
      <c r="R94" s="119">
        <f>L94*(1+GROWTH_RATE)*FMC</f>
        <v>1041.072142</v>
      </c>
      <c r="S94" s="178">
        <f>S93*(1+'Pre-Calculation'!$E$27)</f>
        <v>836519.2161</v>
      </c>
      <c r="T94" s="175">
        <f>-E94+IF(A93=INPUT!$C$11*12,N94,0)</f>
        <v>0</v>
      </c>
      <c r="U94" s="175">
        <f t="shared" si="6"/>
        <v>998960.7266</v>
      </c>
      <c r="V94" s="175">
        <f>U94*(1+GROWTH_RATE_H)*(1-'Pre-Calculation'!$E$31)</f>
        <v>1003713.773</v>
      </c>
      <c r="W94" s="175">
        <f>-E94+IF(A93=INPUT!$C$11*12,V94,0)</f>
        <v>0</v>
      </c>
      <c r="X94" s="179">
        <f t="array" ref="X94">NPV('Pre-Calculation'!$E$20,$E95:E$246)</f>
        <v>183886.0291</v>
      </c>
      <c r="Y94" s="171">
        <f>10%*SA</f>
        <v>100000</v>
      </c>
      <c r="Z94" s="179">
        <f t="array" ref="Z94">NPV('Pre-Calculation'!$E$20,Y95:Y104)</f>
        <v>969592.8037</v>
      </c>
    </row>
    <row r="95" ht="15.75" customHeight="1">
      <c r="A95" s="171">
        <f t="shared" si="1"/>
        <v>89</v>
      </c>
      <c r="B95" s="171">
        <f t="shared" si="2"/>
        <v>8</v>
      </c>
      <c r="C95" s="176">
        <f>EDATE(RCD,A94)</f>
        <v>45229</v>
      </c>
      <c r="D95" s="171">
        <f>Age_At_Entry+'Cashflows_8% from Start'!B95-1</f>
        <v>42</v>
      </c>
      <c r="E95" s="175">
        <f>IF(AND(C95&lt;=Last_Prem,MOD(A94,Mode)=0),Mod_Prem,0)</f>
        <v>0</v>
      </c>
      <c r="F95" s="177">
        <f>E95*VLOOKUP(B95,'Pre-Calculation'!$H$1:$I$31,2,FALSE)</f>
        <v>0</v>
      </c>
      <c r="G95" s="177">
        <f>IF(B95&lt;PT+1,VLOOKUP(B95,'Pre-Calculation'!$H$1:$L$32,3,FALSE)+VLOOKUP(B95,'Pre-Calculation'!$H$1:$L$32,4,FALSE)*'Pre-Calculation'!$D$7,0)</f>
        <v>830</v>
      </c>
      <c r="H95" s="175">
        <f>(E95-(F95+G95)*(1+Tax)+N94)</f>
        <v>923693.1146</v>
      </c>
      <c r="I95" s="175">
        <f>IF(B95&lt;PT+1,VLOOKUP(D95,'Pre-Calculation'!$N$3:$P$79,IF(INPUT!$C$4="M",2,3),FALSE)*(J95/1000)*(1/12),0)</f>
        <v>97.4247279</v>
      </c>
      <c r="J95" s="175">
        <f t="shared" si="3"/>
        <v>546306.8854</v>
      </c>
      <c r="K95" s="175">
        <f>IF('Pre-Calculation'!$D$17="Type 4 a",MAX(SA,H95,1.05*Q95),IF('Pre-Calculation'!$D$17="Type 4 c",H95,IF('Pre-Calculation'!$D$17="Type 4 d",SA+H95,IF('Pre-Calculation'!$D$17="Type 4 e",MAX(SA,H95),IF('Pre-Calculation'!$D$17="Type 4 f",SA,IF('Pre-Calculation'!$D$17="Type 4 g",1000+H95,IF('Pre-Calculation'!$D$17="Type 4 h",SA+X95,IF('Pre-Calculation'!$D$17="Type 4 i",MAX(H95,Q95),IF('Pre-Calculation'!$D$17="Type 4 k",MAX(H95,1.01*Q95),IF('Pre-Calculation'!$D$17="Type 4 m",MAX(105%*Q95,SA+H95),IF('Pre-Calculation'!$D$17="Type 4 o",MAX(SA,105%*Q95)+X95+Z95,IF('Pre-Calculation'!$D$17="Type 5",0))))))))))))</f>
        <v>1470000</v>
      </c>
      <c r="L95" s="175">
        <f>H95-I95*(1+Tax)</f>
        <v>923578.1534</v>
      </c>
      <c r="M95" s="175">
        <f>L95*(1+GROWTH_RATE_H)*(1-FMC*(1+Tax))</f>
        <v>928287.2156</v>
      </c>
      <c r="N95" s="175">
        <f>M95+IF(MOD(A95,B95)=0,VLOOKUP(B95,'Pre-Calculation'!$H$1:$L$31,5,FALSE),0)*IF('Pre-Calculation'!$D$16="% OF FV",M95,IF(OR('Pre-Calculation'!$D$16="% OF AFV(24M)",'Pre-Calculation'!$D$16="% OF AFV(8Q)"),AVERAGE( $M72:$M95),IF('Pre-Calculation'!$D$16="% OF AFV(12M)",AVERAGE($M84:M95),IF('Pre-Calculation'!$D$16="% OF AFV(36M)",AVERAGE($M60:M95)))))</f>
        <v>928287.2156</v>
      </c>
      <c r="O95" s="175">
        <f t="shared" si="4"/>
        <v>928287.2156</v>
      </c>
      <c r="P95" s="175">
        <f>IF('Pre-Calculation'!$D$17="Type 4 a",MAX(SA,N95,1.05*Q95),IF('Pre-Calculation'!$D$17="Type 4 c",N95,IF('Pre-Calculation'!$D$17="Type 4 d",SA+N95,IF('Pre-Calculation'!$D$17="Type 4 e",MAX(SA,N95),IF('Pre-Calculation'!$D$17="Type 4 f",SA,IF('Pre-Calculation'!$D$17="Type 4 g",1000+N95,IF('Pre-Calculation'!$D$17="Type 4 h",SA+X95,IF('Pre-Calculation'!$D$17="Type 4 i",MAX(N95,Q95),IF('Pre-Calculation'!$D$17="Type 4 k",MAX(N95,1.01*Q95),IF('Pre-Calculation'!$D$17="Type 4 m",MAX(105%*Q95,SA+N95),IF('Pre-Calculation'!$D$17="Type 4 o",MAX(SA,105%*Q95)+X95+Z95,IF('Pre-Calculation'!$D$17="Type 5",0))))))))))))</f>
        <v>1470000</v>
      </c>
      <c r="Q95" s="175">
        <f t="shared" si="5"/>
        <v>1400000</v>
      </c>
      <c r="R95" s="119">
        <f>L95*(1+GROWTH_RATE)*FMC</f>
        <v>1045.141869</v>
      </c>
      <c r="S95" s="178">
        <f>S94*(1+'Pre-Calculation'!$E$27)</f>
        <v>838920.778</v>
      </c>
      <c r="T95" s="175">
        <f>-E95+IF(A94=INPUT!$C$11*12,N95,0)</f>
        <v>0</v>
      </c>
      <c r="U95" s="175">
        <f t="shared" si="6"/>
        <v>1003713.773</v>
      </c>
      <c r="V95" s="175">
        <f>U95*(1+GROWTH_RATE_H)*(1-'Pre-Calculation'!$E$31)</f>
        <v>1008489.434</v>
      </c>
      <c r="W95" s="175">
        <f>-E95+IF(A94=INPUT!$C$11*12,V95,0)</f>
        <v>0</v>
      </c>
      <c r="X95" s="179">
        <f t="array" ref="X95">NPV('Pre-Calculation'!$E$20,$E96:E$246)</f>
        <v>184925.7474</v>
      </c>
      <c r="Y95" s="171">
        <f>10%*SA</f>
        <v>100000</v>
      </c>
      <c r="Z95" s="179">
        <f t="array" ref="Z95">NPV('Pre-Calculation'!$E$20,Y96:Y105)</f>
        <v>969592.8037</v>
      </c>
    </row>
    <row r="96" ht="15.75" customHeight="1">
      <c r="A96" s="171">
        <f t="shared" si="1"/>
        <v>90</v>
      </c>
      <c r="B96" s="171">
        <f t="shared" si="2"/>
        <v>8</v>
      </c>
      <c r="C96" s="176">
        <f>EDATE(RCD,A95)</f>
        <v>45260</v>
      </c>
      <c r="D96" s="171">
        <f>Age_At_Entry+'Cashflows_8% from Start'!B96-1</f>
        <v>42</v>
      </c>
      <c r="E96" s="175">
        <f>IF(AND(C96&lt;=Last_Prem,MOD(A95,Mode)=0),Mod_Prem,0)</f>
        <v>0</v>
      </c>
      <c r="F96" s="177">
        <f>E96*VLOOKUP(B96,'Pre-Calculation'!$H$1:$I$31,2,FALSE)</f>
        <v>0</v>
      </c>
      <c r="G96" s="177">
        <f>IF(B96&lt;PT+1,VLOOKUP(B96,'Pre-Calculation'!$H$1:$L$32,3,FALSE)+VLOOKUP(B96,'Pre-Calculation'!$H$1:$L$32,4,FALSE)*'Pre-Calculation'!$D$7,0)</f>
        <v>830</v>
      </c>
      <c r="H96" s="175">
        <f>(E96-(F96+G96)*(1+Tax)+N95)</f>
        <v>927307.8156</v>
      </c>
      <c r="I96" s="175">
        <f>IF(B96&lt;PT+1,VLOOKUP(D96,'Pre-Calculation'!$N$3:$P$79,IF(INPUT!$C$4="M",2,3),FALSE)*(J96/1000)*(1/12),0)</f>
        <v>96.78010621</v>
      </c>
      <c r="J96" s="175">
        <f t="shared" si="3"/>
        <v>542692.1844</v>
      </c>
      <c r="K96" s="175">
        <f>IF('Pre-Calculation'!$D$17="Type 4 a",MAX(SA,H96,1.05*Q96),IF('Pre-Calculation'!$D$17="Type 4 c",H96,IF('Pre-Calculation'!$D$17="Type 4 d",SA+H96,IF('Pre-Calculation'!$D$17="Type 4 e",MAX(SA,H96),IF('Pre-Calculation'!$D$17="Type 4 f",SA,IF('Pre-Calculation'!$D$17="Type 4 g",1000+H96,IF('Pre-Calculation'!$D$17="Type 4 h",SA+X96,IF('Pre-Calculation'!$D$17="Type 4 i",MAX(H96,Q96),IF('Pre-Calculation'!$D$17="Type 4 k",MAX(H96,1.01*Q96),IF('Pre-Calculation'!$D$17="Type 4 m",MAX(105%*Q96,SA+H96),IF('Pre-Calculation'!$D$17="Type 4 o",MAX(SA,105%*Q96)+X96+Z96,IF('Pre-Calculation'!$D$17="Type 5",0))))))))))))</f>
        <v>1470000</v>
      </c>
      <c r="L96" s="175">
        <f>H96-I96*(1+Tax)</f>
        <v>927193.6151</v>
      </c>
      <c r="M96" s="175">
        <f>L96*(1+GROWTH_RATE_H)*(1-FMC*(1+Tax))</f>
        <v>931921.1116</v>
      </c>
      <c r="N96" s="175">
        <f>M96+IF(MOD(A96,B96)=0,VLOOKUP(B96,'Pre-Calculation'!$H$1:$L$31,5,FALSE),0)*IF('Pre-Calculation'!$D$16="% OF FV",M96,IF(OR('Pre-Calculation'!$D$16="% OF AFV(24M)",'Pre-Calculation'!$D$16="% OF AFV(8Q)"),AVERAGE( $M73:$M96),IF('Pre-Calculation'!$D$16="% OF AFV(12M)",AVERAGE($M85:M96),IF('Pre-Calculation'!$D$16="% OF AFV(36M)",AVERAGE($M61:M96)))))</f>
        <v>931921.1116</v>
      </c>
      <c r="O96" s="175">
        <f t="shared" si="4"/>
        <v>931921.1116</v>
      </c>
      <c r="P96" s="175">
        <f>IF('Pre-Calculation'!$D$17="Type 4 a",MAX(SA,N96,1.05*Q96),IF('Pre-Calculation'!$D$17="Type 4 c",N96,IF('Pre-Calculation'!$D$17="Type 4 d",SA+N96,IF('Pre-Calculation'!$D$17="Type 4 e",MAX(SA,N96),IF('Pre-Calculation'!$D$17="Type 4 f",SA,IF('Pre-Calculation'!$D$17="Type 4 g",1000+N96,IF('Pre-Calculation'!$D$17="Type 4 h",SA+X96,IF('Pre-Calculation'!$D$17="Type 4 i",MAX(N96,Q96),IF('Pre-Calculation'!$D$17="Type 4 k",MAX(N96,1.01*Q96),IF('Pre-Calculation'!$D$17="Type 4 m",MAX(105%*Q96,SA+N96),IF('Pre-Calculation'!$D$17="Type 4 o",MAX(SA,105%*Q96)+X96+Z96,IF('Pre-Calculation'!$D$17="Type 5",0))))))))))))</f>
        <v>1470000</v>
      </c>
      <c r="Q96" s="175">
        <f t="shared" si="5"/>
        <v>1400000</v>
      </c>
      <c r="R96" s="119">
        <f>L96*(1+GROWTH_RATE)*FMC</f>
        <v>1049.233207</v>
      </c>
      <c r="S96" s="178">
        <f>S95*(1+'Pre-Calculation'!$E$27)</f>
        <v>841329.2346</v>
      </c>
      <c r="T96" s="175">
        <f>-E96+IF(A95=INPUT!$C$11*12,N96,0)</f>
        <v>0</v>
      </c>
      <c r="U96" s="175">
        <f t="shared" si="6"/>
        <v>1008489.434</v>
      </c>
      <c r="V96" s="175">
        <f>U96*(1+GROWTH_RATE_H)*(1-'Pre-Calculation'!$E$31)</f>
        <v>1013287.818</v>
      </c>
      <c r="W96" s="175">
        <f>-E96+IF(A95=INPUT!$C$11*12,V96,0)</f>
        <v>0</v>
      </c>
      <c r="X96" s="179">
        <f t="array" ref="X96">NPV('Pre-Calculation'!$E$20,$E97:E$246)</f>
        <v>185971.3445</v>
      </c>
      <c r="Y96" s="171">
        <f>10%*SA</f>
        <v>100000</v>
      </c>
      <c r="Z96" s="179">
        <f t="array" ref="Z96">NPV('Pre-Calculation'!$E$20,Y97:Y106)</f>
        <v>969592.8037</v>
      </c>
    </row>
    <row r="97" ht="15.75" customHeight="1">
      <c r="A97" s="171">
        <f t="shared" si="1"/>
        <v>91</v>
      </c>
      <c r="B97" s="171">
        <f t="shared" si="2"/>
        <v>8</v>
      </c>
      <c r="C97" s="176">
        <f>EDATE(RCD,A96)</f>
        <v>45290</v>
      </c>
      <c r="D97" s="171">
        <f>Age_At_Entry+'Cashflows_8% from Start'!B97-1</f>
        <v>42</v>
      </c>
      <c r="E97" s="175">
        <f>IF(AND(C97&lt;=Last_Prem,MOD(A96,Mode)=0),Mod_Prem,0)</f>
        <v>0</v>
      </c>
      <c r="F97" s="177">
        <f>E97*VLOOKUP(B97,'Pre-Calculation'!$H$1:$I$31,2,FALSE)</f>
        <v>0</v>
      </c>
      <c r="G97" s="177">
        <f>IF(B97&lt;PT+1,VLOOKUP(B97,'Pre-Calculation'!$H$1:$L$32,3,FALSE)+VLOOKUP(B97,'Pre-Calculation'!$H$1:$L$32,4,FALSE)*'Pre-Calculation'!$D$7,0)</f>
        <v>830</v>
      </c>
      <c r="H97" s="175">
        <f>(E97-(F97+G97)*(1+Tax)+N96)</f>
        <v>930941.7116</v>
      </c>
      <c r="I97" s="175">
        <f>IF(B97&lt;PT+1,VLOOKUP(D97,'Pre-Calculation'!$N$3:$P$79,IF(INPUT!$C$4="M",2,3),FALSE)*(J97/1000)*(1/12),0)</f>
        <v>96.13206144</v>
      </c>
      <c r="J97" s="175">
        <f t="shared" si="3"/>
        <v>539058.2884</v>
      </c>
      <c r="K97" s="175">
        <f>IF('Pre-Calculation'!$D$17="Type 4 a",MAX(SA,H97,1.05*Q97),IF('Pre-Calculation'!$D$17="Type 4 c",H97,IF('Pre-Calculation'!$D$17="Type 4 d",SA+H97,IF('Pre-Calculation'!$D$17="Type 4 e",MAX(SA,H97),IF('Pre-Calculation'!$D$17="Type 4 f",SA,IF('Pre-Calculation'!$D$17="Type 4 g",1000+H97,IF('Pre-Calculation'!$D$17="Type 4 h",SA+X97,IF('Pre-Calculation'!$D$17="Type 4 i",MAX(H97,Q97),IF('Pre-Calculation'!$D$17="Type 4 k",MAX(H97,1.01*Q97),IF('Pre-Calculation'!$D$17="Type 4 m",MAX(105%*Q97,SA+H97),IF('Pre-Calculation'!$D$17="Type 4 o",MAX(SA,105%*Q97)+X97+Z97,IF('Pre-Calculation'!$D$17="Type 5",0))))))))))))</f>
        <v>1470000</v>
      </c>
      <c r="L97" s="175">
        <f>H97-I97*(1+Tax)</f>
        <v>930828.2757</v>
      </c>
      <c r="M97" s="175">
        <f>L97*(1+GROWTH_RATE_H)*(1-FMC*(1+Tax))</f>
        <v>935574.3043</v>
      </c>
      <c r="N97" s="175">
        <f>M97+IF(MOD(A97,B97)=0,VLOOKUP(B97,'Pre-Calculation'!$H$1:$L$31,5,FALSE),0)*IF('Pre-Calculation'!$D$16="% OF FV",M97,IF(OR('Pre-Calculation'!$D$16="% OF AFV(24M)",'Pre-Calculation'!$D$16="% OF AFV(8Q)"),AVERAGE( $M74:$M97),IF('Pre-Calculation'!$D$16="% OF AFV(12M)",AVERAGE($M86:M97),IF('Pre-Calculation'!$D$16="% OF AFV(36M)",AVERAGE($M62:M97)))))</f>
        <v>935574.3043</v>
      </c>
      <c r="O97" s="175">
        <f t="shared" si="4"/>
        <v>935574.3043</v>
      </c>
      <c r="P97" s="175">
        <f>IF('Pre-Calculation'!$D$17="Type 4 a",MAX(SA,N97,1.05*Q97),IF('Pre-Calculation'!$D$17="Type 4 c",N97,IF('Pre-Calculation'!$D$17="Type 4 d",SA+N97,IF('Pre-Calculation'!$D$17="Type 4 e",MAX(SA,N97),IF('Pre-Calculation'!$D$17="Type 4 f",SA,IF('Pre-Calculation'!$D$17="Type 4 g",1000+N97,IF('Pre-Calculation'!$D$17="Type 4 h",SA+X97,IF('Pre-Calculation'!$D$17="Type 4 i",MAX(N97,Q97),IF('Pre-Calculation'!$D$17="Type 4 k",MAX(N97,1.01*Q97),IF('Pre-Calculation'!$D$17="Type 4 m",MAX(105%*Q97,SA+N97),IF('Pre-Calculation'!$D$17="Type 4 o",MAX(SA,105%*Q97)+X97+Z97,IF('Pre-Calculation'!$D$17="Type 5",0))))))))))))</f>
        <v>1470000</v>
      </c>
      <c r="Q97" s="175">
        <f t="shared" si="5"/>
        <v>1400000</v>
      </c>
      <c r="R97" s="119">
        <f>L97*(1+GROWTH_RATE)*FMC</f>
        <v>1053.346271</v>
      </c>
      <c r="S97" s="178">
        <f>S96*(1+'Pre-Calculation'!$E$27)</f>
        <v>843744.6056</v>
      </c>
      <c r="T97" s="175">
        <f>-E97+IF(A96=INPUT!$C$11*12,N97,0)</f>
        <v>0</v>
      </c>
      <c r="U97" s="175">
        <f t="shared" si="6"/>
        <v>1013287.818</v>
      </c>
      <c r="V97" s="175">
        <f>U97*(1+GROWTH_RATE_H)*(1-'Pre-Calculation'!$E$31)</f>
        <v>1018109.033</v>
      </c>
      <c r="W97" s="175">
        <f>-E97+IF(A96=INPUT!$C$11*12,V97,0)</f>
        <v>0</v>
      </c>
      <c r="X97" s="179">
        <f t="array" ref="X97">NPV('Pre-Calculation'!$E$20,$E98:E$246)</f>
        <v>187022.8535</v>
      </c>
      <c r="Y97" s="171">
        <f>10%*SA</f>
        <v>100000</v>
      </c>
      <c r="Z97" s="179">
        <f t="array" ref="Z97">NPV('Pre-Calculation'!$E$20,Y98:Y107)</f>
        <v>969592.8037</v>
      </c>
    </row>
    <row r="98" ht="15.75" customHeight="1">
      <c r="A98" s="171">
        <f t="shared" si="1"/>
        <v>92</v>
      </c>
      <c r="B98" s="171">
        <f t="shared" si="2"/>
        <v>8</v>
      </c>
      <c r="C98" s="176">
        <f>EDATE(RCD,A97)</f>
        <v>45321</v>
      </c>
      <c r="D98" s="171">
        <f>Age_At_Entry+'Cashflows_8% from Start'!B98-1</f>
        <v>42</v>
      </c>
      <c r="E98" s="175">
        <f>IF(AND(C98&lt;=Last_Prem,MOD(A97,Mode)=0),Mod_Prem,0)</f>
        <v>0</v>
      </c>
      <c r="F98" s="177">
        <f>E98*VLOOKUP(B98,'Pre-Calculation'!$H$1:$I$31,2,FALSE)</f>
        <v>0</v>
      </c>
      <c r="G98" s="177">
        <f>IF(B98&lt;PT+1,VLOOKUP(B98,'Pre-Calculation'!$H$1:$L$32,3,FALSE)+VLOOKUP(B98,'Pre-Calculation'!$H$1:$L$32,4,FALSE)*'Pre-Calculation'!$D$7,0)</f>
        <v>830</v>
      </c>
      <c r="H98" s="175">
        <f>(E98-(F98+G98)*(1+Tax)+N97)</f>
        <v>934594.9043</v>
      </c>
      <c r="I98" s="175">
        <f>IF(B98&lt;PT+1,VLOOKUP(D98,'Pre-Calculation'!$N$3:$P$79,IF(INPUT!$C$4="M",2,3),FALSE)*(J98/1000)*(1/12),0)</f>
        <v>95.4805754</v>
      </c>
      <c r="J98" s="175">
        <f t="shared" si="3"/>
        <v>535405.0957</v>
      </c>
      <c r="K98" s="175">
        <f>IF('Pre-Calculation'!$D$17="Type 4 a",MAX(SA,H98,1.05*Q98),IF('Pre-Calculation'!$D$17="Type 4 c",H98,IF('Pre-Calculation'!$D$17="Type 4 d",SA+H98,IF('Pre-Calculation'!$D$17="Type 4 e",MAX(SA,H98),IF('Pre-Calculation'!$D$17="Type 4 f",SA,IF('Pre-Calculation'!$D$17="Type 4 g",1000+H98,IF('Pre-Calculation'!$D$17="Type 4 h",SA+X98,IF('Pre-Calculation'!$D$17="Type 4 i",MAX(H98,Q98),IF('Pre-Calculation'!$D$17="Type 4 k",MAX(H98,1.01*Q98),IF('Pre-Calculation'!$D$17="Type 4 m",MAX(105%*Q98,SA+H98),IF('Pre-Calculation'!$D$17="Type 4 o",MAX(SA,105%*Q98)+X98+Z98,IF('Pre-Calculation'!$D$17="Type 5",0))))))))))))</f>
        <v>1470000</v>
      </c>
      <c r="L98" s="175">
        <f>H98-I98*(1+Tax)</f>
        <v>934482.2372</v>
      </c>
      <c r="M98" s="175">
        <f>L98*(1+GROWTH_RATE_H)*(1-FMC*(1+Tax))</f>
        <v>939246.8963</v>
      </c>
      <c r="N98" s="175">
        <f>M98+IF(MOD(A98,B98)=0,VLOOKUP(B98,'Pre-Calculation'!$H$1:$L$31,5,FALSE),0)*IF('Pre-Calculation'!$D$16="% OF FV",M98,IF(OR('Pre-Calculation'!$D$16="% OF AFV(24M)",'Pre-Calculation'!$D$16="% OF AFV(8Q)"),AVERAGE( $M75:$M98),IF('Pre-Calculation'!$D$16="% OF AFV(12M)",AVERAGE($M87:M98),IF('Pre-Calculation'!$D$16="% OF AFV(36M)",AVERAGE($M63:M98)))))</f>
        <v>939246.8963</v>
      </c>
      <c r="O98" s="175">
        <f t="shared" si="4"/>
        <v>939246.8963</v>
      </c>
      <c r="P98" s="175">
        <f>IF('Pre-Calculation'!$D$17="Type 4 a",MAX(SA,N98,1.05*Q98),IF('Pre-Calculation'!$D$17="Type 4 c",N98,IF('Pre-Calculation'!$D$17="Type 4 d",SA+N98,IF('Pre-Calculation'!$D$17="Type 4 e",MAX(SA,N98),IF('Pre-Calculation'!$D$17="Type 4 f",SA,IF('Pre-Calculation'!$D$17="Type 4 g",1000+N98,IF('Pre-Calculation'!$D$17="Type 4 h",SA+X98,IF('Pre-Calculation'!$D$17="Type 4 i",MAX(N98,Q98),IF('Pre-Calculation'!$D$17="Type 4 k",MAX(N98,1.01*Q98),IF('Pre-Calculation'!$D$17="Type 4 m",MAX(105%*Q98,SA+N98),IF('Pre-Calculation'!$D$17="Type 4 o",MAX(SA,105%*Q98)+X98+Z98,IF('Pre-Calculation'!$D$17="Type 5",0))))))))))))</f>
        <v>1470000</v>
      </c>
      <c r="Q98" s="175">
        <f t="shared" si="5"/>
        <v>1400000</v>
      </c>
      <c r="R98" s="119">
        <f>L98*(1+GROWTH_RATE)*FMC</f>
        <v>1057.481176</v>
      </c>
      <c r="S98" s="178">
        <f>S97*(1+'Pre-Calculation'!$E$27)</f>
        <v>846166.9109</v>
      </c>
      <c r="T98" s="175">
        <f>-E98+IF(A97=INPUT!$C$11*12,N98,0)</f>
        <v>0</v>
      </c>
      <c r="U98" s="175">
        <f t="shared" si="6"/>
        <v>1018109.033</v>
      </c>
      <c r="V98" s="175">
        <f>U98*(1+GROWTH_RATE_H)*(1-'Pre-Calculation'!$E$31)</f>
        <v>1022953.187</v>
      </c>
      <c r="W98" s="175">
        <f>-E98+IF(A97=INPUT!$C$11*12,V98,0)</f>
        <v>0</v>
      </c>
      <c r="X98" s="179">
        <f t="array" ref="X98">NPV('Pre-Calculation'!$E$20,$E99:E$246)</f>
        <v>188080.3079</v>
      </c>
      <c r="Y98" s="171">
        <f>10%*SA</f>
        <v>100000</v>
      </c>
      <c r="Z98" s="179">
        <f t="array" ref="Z98">NPV('Pre-Calculation'!$E$20,Y99:Y108)</f>
        <v>969592.8037</v>
      </c>
    </row>
    <row r="99" ht="15.75" customHeight="1">
      <c r="A99" s="171">
        <f t="shared" si="1"/>
        <v>93</v>
      </c>
      <c r="B99" s="171">
        <f t="shared" si="2"/>
        <v>8</v>
      </c>
      <c r="C99" s="176">
        <f>EDATE(RCD,A98)</f>
        <v>45351</v>
      </c>
      <c r="D99" s="171">
        <f>Age_At_Entry+'Cashflows_8% from Start'!B99-1</f>
        <v>42</v>
      </c>
      <c r="E99" s="175">
        <f>IF(AND(C99&lt;=Last_Prem,MOD(A98,Mode)=0),Mod_Prem,0)</f>
        <v>0</v>
      </c>
      <c r="F99" s="177">
        <f>E99*VLOOKUP(B99,'Pre-Calculation'!$H$1:$I$31,2,FALSE)</f>
        <v>0</v>
      </c>
      <c r="G99" s="177">
        <f>IF(B99&lt;PT+1,VLOOKUP(B99,'Pre-Calculation'!$H$1:$L$32,3,FALSE)+VLOOKUP(B99,'Pre-Calculation'!$H$1:$L$32,4,FALSE)*'Pre-Calculation'!$D$7,0)</f>
        <v>830</v>
      </c>
      <c r="H99" s="175">
        <f>(E99-(F99+G99)*(1+Tax)+N98)</f>
        <v>938267.4963</v>
      </c>
      <c r="I99" s="175">
        <f>IF(B99&lt;PT+1,VLOOKUP(D99,'Pre-Calculation'!$N$3:$P$79,IF(INPUT!$C$4="M",2,3),FALSE)*(J99/1000)*(1/12),0)</f>
        <v>94.82562983</v>
      </c>
      <c r="J99" s="175">
        <f t="shared" si="3"/>
        <v>531732.5037</v>
      </c>
      <c r="K99" s="175">
        <f>IF('Pre-Calculation'!$D$17="Type 4 a",MAX(SA,H99,1.05*Q99),IF('Pre-Calculation'!$D$17="Type 4 c",H99,IF('Pre-Calculation'!$D$17="Type 4 d",SA+H99,IF('Pre-Calculation'!$D$17="Type 4 e",MAX(SA,H99),IF('Pre-Calculation'!$D$17="Type 4 f",SA,IF('Pre-Calculation'!$D$17="Type 4 g",1000+H99,IF('Pre-Calculation'!$D$17="Type 4 h",SA+X99,IF('Pre-Calculation'!$D$17="Type 4 i",MAX(H99,Q99),IF('Pre-Calculation'!$D$17="Type 4 k",MAX(H99,1.01*Q99),IF('Pre-Calculation'!$D$17="Type 4 m",MAX(105%*Q99,SA+H99),IF('Pre-Calculation'!$D$17="Type 4 o",MAX(SA,105%*Q99)+X99+Z99,IF('Pre-Calculation'!$D$17="Type 5",0))))))))))))</f>
        <v>1470000</v>
      </c>
      <c r="L99" s="175">
        <f>H99-I99*(1+Tax)</f>
        <v>938155.602</v>
      </c>
      <c r="M99" s="175">
        <f>L99*(1+GROWTH_RATE_H)*(1-FMC*(1+Tax))</f>
        <v>942938.9905</v>
      </c>
      <c r="N99" s="175">
        <f>M99+IF(MOD(A99,B99)=0,VLOOKUP(B99,'Pre-Calculation'!$H$1:$L$31,5,FALSE),0)*IF('Pre-Calculation'!$D$16="% OF FV",M99,IF(OR('Pre-Calculation'!$D$16="% OF AFV(24M)",'Pre-Calculation'!$D$16="% OF AFV(8Q)"),AVERAGE( $M76:$M99),IF('Pre-Calculation'!$D$16="% OF AFV(12M)",AVERAGE($M88:M99),IF('Pre-Calculation'!$D$16="% OF AFV(36M)",AVERAGE($M64:M99)))))</f>
        <v>942938.9905</v>
      </c>
      <c r="O99" s="175">
        <f t="shared" si="4"/>
        <v>942938.9905</v>
      </c>
      <c r="P99" s="175">
        <f>IF('Pre-Calculation'!$D$17="Type 4 a",MAX(SA,N99,1.05*Q99),IF('Pre-Calculation'!$D$17="Type 4 c",N99,IF('Pre-Calculation'!$D$17="Type 4 d",SA+N99,IF('Pre-Calculation'!$D$17="Type 4 e",MAX(SA,N99),IF('Pre-Calculation'!$D$17="Type 4 f",SA,IF('Pre-Calculation'!$D$17="Type 4 g",1000+N99,IF('Pre-Calculation'!$D$17="Type 4 h",SA+X99,IF('Pre-Calculation'!$D$17="Type 4 i",MAX(N99,Q99),IF('Pre-Calculation'!$D$17="Type 4 k",MAX(N99,1.01*Q99),IF('Pre-Calculation'!$D$17="Type 4 m",MAX(105%*Q99,SA+N99),IF('Pre-Calculation'!$D$17="Type 4 o",MAX(SA,105%*Q99)+X99+Z99,IF('Pre-Calculation'!$D$17="Type 5",0))))))))))))</f>
        <v>1470000</v>
      </c>
      <c r="Q99" s="175">
        <f t="shared" si="5"/>
        <v>1400000</v>
      </c>
      <c r="R99" s="119">
        <f>L99*(1+GROWTH_RATE)*FMC</f>
        <v>1061.638039</v>
      </c>
      <c r="S99" s="178">
        <f>S98*(1+'Pre-Calculation'!$E$27)</f>
        <v>848596.1704</v>
      </c>
      <c r="T99" s="175">
        <f>-E99+IF(A98=INPUT!$C$11*12,N99,0)</f>
        <v>0</v>
      </c>
      <c r="U99" s="175">
        <f t="shared" si="6"/>
        <v>1022953.187</v>
      </c>
      <c r="V99" s="175">
        <f>U99*(1+GROWTH_RATE_H)*(1-'Pre-Calculation'!$E$31)</f>
        <v>1027820.389</v>
      </c>
      <c r="W99" s="175">
        <f>-E99+IF(A98=INPUT!$C$11*12,V99,0)</f>
        <v>0</v>
      </c>
      <c r="X99" s="179">
        <f t="array" ref="X99">NPV('Pre-Calculation'!$E$20,$E100:E$246)</f>
        <v>189143.7413</v>
      </c>
      <c r="Y99" s="171">
        <f>10%*SA</f>
        <v>100000</v>
      </c>
      <c r="Z99" s="179">
        <f t="array" ref="Z99">NPV('Pre-Calculation'!$E$20,Y100:Y109)</f>
        <v>969592.8037</v>
      </c>
    </row>
    <row r="100" ht="15.75" customHeight="1">
      <c r="A100" s="171">
        <f t="shared" si="1"/>
        <v>94</v>
      </c>
      <c r="B100" s="171">
        <f t="shared" si="2"/>
        <v>8</v>
      </c>
      <c r="C100" s="176">
        <f>EDATE(RCD,A99)</f>
        <v>45381</v>
      </c>
      <c r="D100" s="171">
        <f>Age_At_Entry+'Cashflows_8% from Start'!B100-1</f>
        <v>42</v>
      </c>
      <c r="E100" s="175">
        <f>IF(AND(C100&lt;=Last_Prem,MOD(A99,Mode)=0),Mod_Prem,0)</f>
        <v>0</v>
      </c>
      <c r="F100" s="177">
        <f>E100*VLOOKUP(B100,'Pre-Calculation'!$H$1:$I$31,2,FALSE)</f>
        <v>0</v>
      </c>
      <c r="G100" s="177">
        <f>IF(B100&lt;PT+1,VLOOKUP(B100,'Pre-Calculation'!$H$1:$L$32,3,FALSE)+VLOOKUP(B100,'Pre-Calculation'!$H$1:$L$32,4,FALSE)*'Pre-Calculation'!$D$7,0)</f>
        <v>830</v>
      </c>
      <c r="H100" s="175">
        <f>(E100-(F100+G100)*(1+Tax)+N99)</f>
        <v>941959.5905</v>
      </c>
      <c r="I100" s="175">
        <f>IF(B100&lt;PT+1,VLOOKUP(D100,'Pre-Calculation'!$N$3:$P$79,IF(INPUT!$C$4="M",2,3),FALSE)*(J100/1000)*(1/12),0)</f>
        <v>94.16720636</v>
      </c>
      <c r="J100" s="175">
        <f t="shared" si="3"/>
        <v>528040.4095</v>
      </c>
      <c r="K100" s="175">
        <f>IF('Pre-Calculation'!$D$17="Type 4 a",MAX(SA,H100,1.05*Q100),IF('Pre-Calculation'!$D$17="Type 4 c",H100,IF('Pre-Calculation'!$D$17="Type 4 d",SA+H100,IF('Pre-Calculation'!$D$17="Type 4 e",MAX(SA,H100),IF('Pre-Calculation'!$D$17="Type 4 f",SA,IF('Pre-Calculation'!$D$17="Type 4 g",1000+H100,IF('Pre-Calculation'!$D$17="Type 4 h",SA+X100,IF('Pre-Calculation'!$D$17="Type 4 i",MAX(H100,Q100),IF('Pre-Calculation'!$D$17="Type 4 k",MAX(H100,1.01*Q100),IF('Pre-Calculation'!$D$17="Type 4 m",MAX(105%*Q100,SA+H100),IF('Pre-Calculation'!$D$17="Type 4 o",MAX(SA,105%*Q100)+X100+Z100,IF('Pre-Calculation'!$D$17="Type 5",0))))))))))))</f>
        <v>1470000</v>
      </c>
      <c r="L100" s="175">
        <f>H100-I100*(1+Tax)</f>
        <v>941848.4732</v>
      </c>
      <c r="M100" s="175">
        <f>L100*(1+GROWTH_RATE_H)*(1-FMC*(1+Tax))</f>
        <v>946650.6906</v>
      </c>
      <c r="N100" s="175">
        <f>M100+IF(MOD(A100,B100)=0,VLOOKUP(B100,'Pre-Calculation'!$H$1:$L$31,5,FALSE),0)*IF('Pre-Calculation'!$D$16="% OF FV",M100,IF(OR('Pre-Calculation'!$D$16="% OF AFV(24M)",'Pre-Calculation'!$D$16="% OF AFV(8Q)"),AVERAGE( $M77:$M100),IF('Pre-Calculation'!$D$16="% OF AFV(12M)",AVERAGE($M89:M100),IF('Pre-Calculation'!$D$16="% OF AFV(36M)",AVERAGE($M65:M100)))))</f>
        <v>946650.6906</v>
      </c>
      <c r="O100" s="175">
        <f t="shared" si="4"/>
        <v>946650.6906</v>
      </c>
      <c r="P100" s="175">
        <f>IF('Pre-Calculation'!$D$17="Type 4 a",MAX(SA,N100,1.05*Q100),IF('Pre-Calculation'!$D$17="Type 4 c",N100,IF('Pre-Calculation'!$D$17="Type 4 d",SA+N100,IF('Pre-Calculation'!$D$17="Type 4 e",MAX(SA,N100),IF('Pre-Calculation'!$D$17="Type 4 f",SA,IF('Pre-Calculation'!$D$17="Type 4 g",1000+N100,IF('Pre-Calculation'!$D$17="Type 4 h",SA+X100,IF('Pre-Calculation'!$D$17="Type 4 i",MAX(N100,Q100),IF('Pre-Calculation'!$D$17="Type 4 k",MAX(N100,1.01*Q100),IF('Pre-Calculation'!$D$17="Type 4 m",MAX(105%*Q100,SA+N100),IF('Pre-Calculation'!$D$17="Type 4 o",MAX(SA,105%*Q100)+X100+Z100,IF('Pre-Calculation'!$D$17="Type 5",0))))))))))))</f>
        <v>1470000</v>
      </c>
      <c r="Q100" s="175">
        <f t="shared" si="5"/>
        <v>1400000</v>
      </c>
      <c r="R100" s="119">
        <f>L100*(1+GROWTH_RATE)*FMC</f>
        <v>1065.816975</v>
      </c>
      <c r="S100" s="178">
        <f>S99*(1+'Pre-Calculation'!$E$27)</f>
        <v>851032.4041</v>
      </c>
      <c r="T100" s="175">
        <f>-E100+IF(A99=INPUT!$C$11*12,N100,0)</f>
        <v>0</v>
      </c>
      <c r="U100" s="175">
        <f t="shared" si="6"/>
        <v>1027820.389</v>
      </c>
      <c r="V100" s="175">
        <f>U100*(1+GROWTH_RATE_H)*(1-'Pre-Calculation'!$E$31)</f>
        <v>1032710.749</v>
      </c>
      <c r="W100" s="175">
        <f>-E100+IF(A99=INPUT!$C$11*12,V100,0)</f>
        <v>0</v>
      </c>
      <c r="X100" s="179">
        <f t="array" ref="X100">NPV('Pre-Calculation'!$E$20,$E101:E$246)</f>
        <v>190213.1875</v>
      </c>
      <c r="Y100" s="171">
        <f>10%*SA</f>
        <v>100000</v>
      </c>
      <c r="Z100" s="179">
        <f t="array" ref="Z100">NPV('Pre-Calculation'!$E$20,Y101:Y110)</f>
        <v>969592.8037</v>
      </c>
    </row>
    <row r="101" ht="15.75" customHeight="1">
      <c r="A101" s="171">
        <f t="shared" si="1"/>
        <v>95</v>
      </c>
      <c r="B101" s="171">
        <f t="shared" si="2"/>
        <v>8</v>
      </c>
      <c r="C101" s="176">
        <f>EDATE(RCD,A100)</f>
        <v>45412</v>
      </c>
      <c r="D101" s="171">
        <f>Age_At_Entry+'Cashflows_8% from Start'!B101-1</f>
        <v>42</v>
      </c>
      <c r="E101" s="175">
        <f>IF(AND(C101&lt;=Last_Prem,MOD(A100,Mode)=0),Mod_Prem,0)</f>
        <v>0</v>
      </c>
      <c r="F101" s="177">
        <f>E101*VLOOKUP(B101,'Pre-Calculation'!$H$1:$I$31,2,FALSE)</f>
        <v>0</v>
      </c>
      <c r="G101" s="177">
        <f>IF(B101&lt;PT+1,VLOOKUP(B101,'Pre-Calculation'!$H$1:$L$32,3,FALSE)+VLOOKUP(B101,'Pre-Calculation'!$H$1:$L$32,4,FALSE)*'Pre-Calculation'!$D$7,0)</f>
        <v>830</v>
      </c>
      <c r="H101" s="175">
        <f>(E101-(F101+G101)*(1+Tax)+N100)</f>
        <v>945671.2906</v>
      </c>
      <c r="I101" s="175">
        <f>IF(B101&lt;PT+1,VLOOKUP(D101,'Pre-Calculation'!$N$3:$P$79,IF(INPUT!$C$4="M",2,3),FALSE)*(J101/1000)*(1/12),0)</f>
        <v>93.50528651</v>
      </c>
      <c r="J101" s="175">
        <f t="shared" si="3"/>
        <v>524328.7094</v>
      </c>
      <c r="K101" s="175">
        <f>IF('Pre-Calculation'!$D$17="Type 4 a",MAX(SA,H101,1.05*Q101),IF('Pre-Calculation'!$D$17="Type 4 c",H101,IF('Pre-Calculation'!$D$17="Type 4 d",SA+H101,IF('Pre-Calculation'!$D$17="Type 4 e",MAX(SA,H101),IF('Pre-Calculation'!$D$17="Type 4 f",SA,IF('Pre-Calculation'!$D$17="Type 4 g",1000+H101,IF('Pre-Calculation'!$D$17="Type 4 h",SA+X101,IF('Pre-Calculation'!$D$17="Type 4 i",MAX(H101,Q101),IF('Pre-Calculation'!$D$17="Type 4 k",MAX(H101,1.01*Q101),IF('Pre-Calculation'!$D$17="Type 4 m",MAX(105%*Q101,SA+H101),IF('Pre-Calculation'!$D$17="Type 4 o",MAX(SA,105%*Q101)+X101+Z101,IF('Pre-Calculation'!$D$17="Type 5",0))))))))))))</f>
        <v>1470000</v>
      </c>
      <c r="L101" s="175">
        <f>H101-I101*(1+Tax)</f>
        <v>945560.9544</v>
      </c>
      <c r="M101" s="175">
        <f>L101*(1+GROWTH_RATE_H)*(1-FMC*(1+Tax))</f>
        <v>950382.1007</v>
      </c>
      <c r="N101" s="175">
        <f>M101+IF(MOD(A101,B101)=0,VLOOKUP(B101,'Pre-Calculation'!$H$1:$L$31,5,FALSE),0)*IF('Pre-Calculation'!$D$16="% OF FV",M101,IF(OR('Pre-Calculation'!$D$16="% OF AFV(24M)",'Pre-Calculation'!$D$16="% OF AFV(8Q)"),AVERAGE( $M78:$M101),IF('Pre-Calculation'!$D$16="% OF AFV(12M)",AVERAGE($M90:M101),IF('Pre-Calculation'!$D$16="% OF AFV(36M)",AVERAGE($M66:M101)))))</f>
        <v>950382.1007</v>
      </c>
      <c r="O101" s="175">
        <f t="shared" si="4"/>
        <v>950382.1007</v>
      </c>
      <c r="P101" s="175">
        <f>IF('Pre-Calculation'!$D$17="Type 4 a",MAX(SA,N101,1.05*Q101),IF('Pre-Calculation'!$D$17="Type 4 c",N101,IF('Pre-Calculation'!$D$17="Type 4 d",SA+N101,IF('Pre-Calculation'!$D$17="Type 4 e",MAX(SA,N101),IF('Pre-Calculation'!$D$17="Type 4 f",SA,IF('Pre-Calculation'!$D$17="Type 4 g",1000+N101,IF('Pre-Calculation'!$D$17="Type 4 h",SA+X101,IF('Pre-Calculation'!$D$17="Type 4 i",MAX(N101,Q101),IF('Pre-Calculation'!$D$17="Type 4 k",MAX(N101,1.01*Q101),IF('Pre-Calculation'!$D$17="Type 4 m",MAX(105%*Q101,SA+N101),IF('Pre-Calculation'!$D$17="Type 4 o",MAX(SA,105%*Q101)+X101+Z101,IF('Pre-Calculation'!$D$17="Type 5",0))))))))))))</f>
        <v>1470000</v>
      </c>
      <c r="Q101" s="175">
        <f t="shared" si="5"/>
        <v>1400000</v>
      </c>
      <c r="R101" s="119">
        <f>L101*(1+GROWTH_RATE)*FMC</f>
        <v>1070.018102</v>
      </c>
      <c r="S101" s="178">
        <f>S100*(1+'Pre-Calculation'!$E$27)</f>
        <v>853475.6319</v>
      </c>
      <c r="T101" s="175">
        <f>-E101+IF(A100=INPUT!$C$11*12,N101,0)</f>
        <v>0</v>
      </c>
      <c r="U101" s="175">
        <f t="shared" si="6"/>
        <v>1032710.749</v>
      </c>
      <c r="V101" s="175">
        <f>U101*(1+GROWTH_RATE_H)*(1-'Pre-Calculation'!$E$31)</f>
        <v>1037624.378</v>
      </c>
      <c r="W101" s="175">
        <f>-E101+IF(A100=INPUT!$C$11*12,V101,0)</f>
        <v>0</v>
      </c>
      <c r="X101" s="179">
        <f t="array" ref="X101">NPV('Pre-Calculation'!$E$20,$E102:E$246)</f>
        <v>191288.6805</v>
      </c>
      <c r="Y101" s="171">
        <f>10%*SA</f>
        <v>100000</v>
      </c>
      <c r="Z101" s="179">
        <f t="array" ref="Z101">NPV('Pre-Calculation'!$E$20,Y102:Y111)</f>
        <v>969592.8037</v>
      </c>
    </row>
    <row r="102" ht="15.75" customHeight="1">
      <c r="A102" s="171">
        <f t="shared" si="1"/>
        <v>96</v>
      </c>
      <c r="B102" s="171">
        <f t="shared" si="2"/>
        <v>8</v>
      </c>
      <c r="C102" s="176">
        <f>EDATE(RCD,A101)</f>
        <v>45442</v>
      </c>
      <c r="D102" s="171">
        <f>Age_At_Entry+'Cashflows_8% from Start'!B102-1</f>
        <v>42</v>
      </c>
      <c r="E102" s="175">
        <f>IF(AND(C102&lt;=Last_Prem,MOD(A101,Mode)=0),Mod_Prem,0)</f>
        <v>0</v>
      </c>
      <c r="F102" s="177">
        <f>E102*VLOOKUP(B102,'Pre-Calculation'!$H$1:$I$31,2,FALSE)</f>
        <v>0</v>
      </c>
      <c r="G102" s="177">
        <f>IF(B102&lt;PT+1,VLOOKUP(B102,'Pre-Calculation'!$H$1:$L$32,3,FALSE)+VLOOKUP(B102,'Pre-Calculation'!$H$1:$L$32,4,FALSE)*'Pre-Calculation'!$D$7,0)</f>
        <v>830</v>
      </c>
      <c r="H102" s="175">
        <f>(E102-(F102+G102)*(1+Tax)+N101)</f>
        <v>949402.7007</v>
      </c>
      <c r="I102" s="175">
        <f>IF(B102&lt;PT+1,VLOOKUP(D102,'Pre-Calculation'!$N$3:$P$79,IF(INPUT!$C$4="M",2,3),FALSE)*(J102/1000)*(1/12),0)</f>
        <v>92.83985171</v>
      </c>
      <c r="J102" s="175">
        <f t="shared" si="3"/>
        <v>520597.2993</v>
      </c>
      <c r="K102" s="175">
        <f>IF('Pre-Calculation'!$D$17="Type 4 a",MAX(SA,H102,1.05*Q102),IF('Pre-Calculation'!$D$17="Type 4 c",H102,IF('Pre-Calculation'!$D$17="Type 4 d",SA+H102,IF('Pre-Calculation'!$D$17="Type 4 e",MAX(SA,H102),IF('Pre-Calculation'!$D$17="Type 4 f",SA,IF('Pre-Calculation'!$D$17="Type 4 g",1000+H102,IF('Pre-Calculation'!$D$17="Type 4 h",SA+X102,IF('Pre-Calculation'!$D$17="Type 4 i",MAX(H102,Q102),IF('Pre-Calculation'!$D$17="Type 4 k",MAX(H102,1.01*Q102),IF('Pre-Calculation'!$D$17="Type 4 m",MAX(105%*Q102,SA+H102),IF('Pre-Calculation'!$D$17="Type 4 o",MAX(SA,105%*Q102)+X102+Z102,IF('Pre-Calculation'!$D$17="Type 5",0))))))))))))</f>
        <v>1470000</v>
      </c>
      <c r="L102" s="175">
        <f>H102-I102*(1+Tax)</f>
        <v>949293.1497</v>
      </c>
      <c r="M102" s="175">
        <f>L102*(1+GROWTH_RATE_H)*(1-FMC*(1+Tax))</f>
        <v>954133.3253</v>
      </c>
      <c r="N102" s="175">
        <f>M102+IF(MOD(A102,B102)=0,VLOOKUP(B102,'Pre-Calculation'!$H$1:$L$31,5,FALSE),0)*IF('Pre-Calculation'!$D$16="% OF FV",M102,IF(OR('Pre-Calculation'!$D$16="% OF AFV(24M)",'Pre-Calculation'!$D$16="% OF AFV(8Q)"),AVERAGE( $M79:$M102),IF('Pre-Calculation'!$D$16="% OF AFV(12M)",AVERAGE($M91:M102),IF('Pre-Calculation'!$D$16="% OF AFV(36M)",AVERAGE($M67:M102)))))</f>
        <v>954133.3253</v>
      </c>
      <c r="O102" s="175">
        <f t="shared" si="4"/>
        <v>954133.3253</v>
      </c>
      <c r="P102" s="175">
        <f>IF('Pre-Calculation'!$D$17="Type 4 a",MAX(SA,N102,1.05*Q102),IF('Pre-Calculation'!$D$17="Type 4 c",N102,IF('Pre-Calculation'!$D$17="Type 4 d",SA+N102,IF('Pre-Calculation'!$D$17="Type 4 e",MAX(SA,N102),IF('Pre-Calculation'!$D$17="Type 4 f",SA,IF('Pre-Calculation'!$D$17="Type 4 g",1000+N102,IF('Pre-Calculation'!$D$17="Type 4 h",SA+X102,IF('Pre-Calculation'!$D$17="Type 4 i",MAX(N102,Q102),IF('Pre-Calculation'!$D$17="Type 4 k",MAX(N102,1.01*Q102),IF('Pre-Calculation'!$D$17="Type 4 m",MAX(105%*Q102,SA+N102),IF('Pre-Calculation'!$D$17="Type 4 o",MAX(SA,105%*Q102)+X102+Z102,IF('Pre-Calculation'!$D$17="Type 5",0))))))))))))</f>
        <v>1470000</v>
      </c>
      <c r="Q102" s="175">
        <f t="shared" si="5"/>
        <v>1400000</v>
      </c>
      <c r="R102" s="119">
        <f>L102*(1+GROWTH_RATE)*FMC</f>
        <v>1074.241539</v>
      </c>
      <c r="S102" s="178">
        <f>S101*(1+'Pre-Calculation'!$E$27)</f>
        <v>855925.874</v>
      </c>
      <c r="T102" s="175">
        <f>-E102+IF(A101=INPUT!$C$11*12,N102,0)</f>
        <v>0</v>
      </c>
      <c r="U102" s="175">
        <f t="shared" si="6"/>
        <v>1037624.378</v>
      </c>
      <c r="V102" s="175">
        <f>U102*(1+GROWTH_RATE_H)*(1-'Pre-Calculation'!$E$31)</f>
        <v>1042561.386</v>
      </c>
      <c r="W102" s="175">
        <f>-E102+IF(A101=INPUT!$C$11*12,V102,0)</f>
        <v>0</v>
      </c>
      <c r="X102" s="179">
        <f t="array" ref="X102">NPV('Pre-Calculation'!$E$20,$E103:E$246)</f>
        <v>192370.2545</v>
      </c>
      <c r="Y102" s="171">
        <f>10%*SA</f>
        <v>100000</v>
      </c>
      <c r="Z102" s="179">
        <f t="array" ref="Z102">NPV('Pre-Calculation'!$E$20,Y103:Y112)</f>
        <v>969592.8037</v>
      </c>
    </row>
    <row r="103" ht="15.75" customHeight="1">
      <c r="A103" s="171">
        <f t="shared" si="1"/>
        <v>97</v>
      </c>
      <c r="B103" s="171">
        <f t="shared" si="2"/>
        <v>9</v>
      </c>
      <c r="C103" s="176">
        <f>EDATE(RCD,A102)</f>
        <v>45473</v>
      </c>
      <c r="D103" s="171">
        <f>Age_At_Entry+'Cashflows_8% from Start'!B103-1</f>
        <v>43</v>
      </c>
      <c r="E103" s="175">
        <f>IF(AND(C103&lt;=Last_Prem,MOD(A102,Mode)=0),Mod_Prem,0)</f>
        <v>100000</v>
      </c>
      <c r="F103" s="177">
        <f>E103*VLOOKUP(B103,'Pre-Calculation'!$H$1:$I$31,2,FALSE)</f>
        <v>0</v>
      </c>
      <c r="G103" s="177">
        <f>IF(B103&lt;PT+1,VLOOKUP(B103,'Pre-Calculation'!$H$1:$L$32,3,FALSE)+VLOOKUP(B103,'Pre-Calculation'!$H$1:$L$32,4,FALSE)*'Pre-Calculation'!$D$7,0)</f>
        <v>830</v>
      </c>
      <c r="H103" s="175">
        <f>(E103-(F103+G103)*(1+Tax)+N102)</f>
        <v>1053153.925</v>
      </c>
      <c r="I103" s="175">
        <f>IF(B103&lt;PT+1,VLOOKUP(D103,'Pre-Calculation'!$N$3:$P$79,IF(INPUT!$C$4="M",2,3),FALSE)*(J103/1000)*(1/12),0)</f>
        <v>102.1731127</v>
      </c>
      <c r="J103" s="175">
        <f t="shared" si="3"/>
        <v>521846.0747</v>
      </c>
      <c r="K103" s="175">
        <f>IF('Pre-Calculation'!$D$17="Type 4 a",MAX(SA,H103,1.05*Q103),IF('Pre-Calculation'!$D$17="Type 4 c",H103,IF('Pre-Calculation'!$D$17="Type 4 d",SA+H103,IF('Pre-Calculation'!$D$17="Type 4 e",MAX(SA,H103),IF('Pre-Calculation'!$D$17="Type 4 f",SA,IF('Pre-Calculation'!$D$17="Type 4 g",1000+H103,IF('Pre-Calculation'!$D$17="Type 4 h",SA+X103,IF('Pre-Calculation'!$D$17="Type 4 i",MAX(H103,Q103),IF('Pre-Calculation'!$D$17="Type 4 k",MAX(H103,1.01*Q103),IF('Pre-Calculation'!$D$17="Type 4 m",MAX(105%*Q103,SA+H103),IF('Pre-Calculation'!$D$17="Type 4 o",MAX(SA,105%*Q103)+X103+Z103,IF('Pre-Calculation'!$D$17="Type 5",0))))))))))))</f>
        <v>1575000</v>
      </c>
      <c r="L103" s="175">
        <f>H103-I103*(1+Tax)</f>
        <v>1053033.361</v>
      </c>
      <c r="M103" s="175">
        <f>L103*(1+GROWTH_RATE_H)*(1-FMC*(1+Tax))</f>
        <v>1058402.479</v>
      </c>
      <c r="N103" s="175">
        <f>M103+IF(MOD(A103,B103)=0,VLOOKUP(B103,'Pre-Calculation'!$H$1:$L$31,5,FALSE),0)*IF('Pre-Calculation'!$D$16="% OF FV",M103,IF(OR('Pre-Calculation'!$D$16="% OF AFV(24M)",'Pre-Calculation'!$D$16="% OF AFV(8Q)"),AVERAGE( $M80:$M103),IF('Pre-Calculation'!$D$16="% OF AFV(12M)",AVERAGE($M92:M103),IF('Pre-Calculation'!$D$16="% OF AFV(36M)",AVERAGE($M68:M103)))))</f>
        <v>1058402.479</v>
      </c>
      <c r="O103" s="175">
        <f t="shared" si="4"/>
        <v>1058402.479</v>
      </c>
      <c r="P103" s="175">
        <f>IF('Pre-Calculation'!$D$17="Type 4 a",MAX(SA,N103,1.05*Q103),IF('Pre-Calculation'!$D$17="Type 4 c",N103,IF('Pre-Calculation'!$D$17="Type 4 d",SA+N103,IF('Pre-Calculation'!$D$17="Type 4 e",MAX(SA,N103),IF('Pre-Calculation'!$D$17="Type 4 f",SA,IF('Pre-Calculation'!$D$17="Type 4 g",1000+N103,IF('Pre-Calculation'!$D$17="Type 4 h",SA+X103,IF('Pre-Calculation'!$D$17="Type 4 i",MAX(N103,Q103),IF('Pre-Calculation'!$D$17="Type 4 k",MAX(N103,1.01*Q103),IF('Pre-Calculation'!$D$17="Type 4 m",MAX(105%*Q103,SA+N103),IF('Pre-Calculation'!$D$17="Type 4 o",MAX(SA,105%*Q103)+X103+Z103,IF('Pre-Calculation'!$D$17="Type 5",0))))))))))))</f>
        <v>1575000</v>
      </c>
      <c r="Q103" s="175">
        <f t="shared" si="5"/>
        <v>1500000</v>
      </c>
      <c r="R103" s="119">
        <f>L103*(1+GROWTH_RATE)*FMC</f>
        <v>1191.636302</v>
      </c>
      <c r="S103" s="178">
        <f>S102*(1+'Pre-Calculation'!$E$27)</f>
        <v>858383.1505</v>
      </c>
      <c r="T103" s="175">
        <f>-E103+IF(A102=INPUT!$C$11*12,N103,0)</f>
        <v>-100000</v>
      </c>
      <c r="U103" s="175">
        <f t="shared" si="6"/>
        <v>1142561.386</v>
      </c>
      <c r="V103" s="175">
        <f>U103*(1+GROWTH_RATE_H)*(1-'Pre-Calculation'!$E$31)</f>
        <v>1147997.683</v>
      </c>
      <c r="W103" s="175">
        <f>-E103+IF(A102=INPUT!$C$11*12,V103,0)</f>
        <v>-100000</v>
      </c>
      <c r="X103" s="179">
        <f t="array" ref="X103">NPV('Pre-Calculation'!$E$20,$E104:E$246)</f>
        <v>93457.94393</v>
      </c>
      <c r="Y103" s="171">
        <f>10%*SA</f>
        <v>100000</v>
      </c>
      <c r="Z103" s="179">
        <f t="array" ref="Z103">NPV('Pre-Calculation'!$E$20,Y104:Y113)</f>
        <v>969592.8037</v>
      </c>
    </row>
    <row r="104" ht="15.75" customHeight="1">
      <c r="A104" s="171">
        <f t="shared" si="1"/>
        <v>98</v>
      </c>
      <c r="B104" s="171">
        <f t="shared" si="2"/>
        <v>9</v>
      </c>
      <c r="C104" s="176">
        <f>EDATE(RCD,A103)</f>
        <v>45503</v>
      </c>
      <c r="D104" s="171">
        <f>Age_At_Entry+'Cashflows_8% from Start'!B104-1</f>
        <v>43</v>
      </c>
      <c r="E104" s="175">
        <f>IF(AND(C104&lt;=Last_Prem,MOD(A103,Mode)=0),Mod_Prem,0)</f>
        <v>0</v>
      </c>
      <c r="F104" s="177">
        <f>E104*VLOOKUP(B104,'Pre-Calculation'!$H$1:$I$31,2,FALSE)</f>
        <v>0</v>
      </c>
      <c r="G104" s="177">
        <f>IF(B104&lt;PT+1,VLOOKUP(B104,'Pre-Calculation'!$H$1:$L$32,3,FALSE)+VLOOKUP(B104,'Pre-Calculation'!$H$1:$L$32,4,FALSE)*'Pre-Calculation'!$D$7,0)</f>
        <v>830</v>
      </c>
      <c r="H104" s="175">
        <f>(E104-(F104+G104)*(1+Tax)+N103)</f>
        <v>1057423.079</v>
      </c>
      <c r="I104" s="175">
        <f>IF(B104&lt;PT+1,VLOOKUP(D104,'Pre-Calculation'!$N$3:$P$79,IF(INPUT!$C$4="M",2,3),FALSE)*(J104/1000)*(1/12),0)</f>
        <v>101.3372481</v>
      </c>
      <c r="J104" s="175">
        <f t="shared" si="3"/>
        <v>517576.9214</v>
      </c>
      <c r="K104" s="175">
        <f>IF('Pre-Calculation'!$D$17="Type 4 a",MAX(SA,H104,1.05*Q104),IF('Pre-Calculation'!$D$17="Type 4 c",H104,IF('Pre-Calculation'!$D$17="Type 4 d",SA+H104,IF('Pre-Calculation'!$D$17="Type 4 e",MAX(SA,H104),IF('Pre-Calculation'!$D$17="Type 4 f",SA,IF('Pre-Calculation'!$D$17="Type 4 g",1000+H104,IF('Pre-Calculation'!$D$17="Type 4 h",SA+X104,IF('Pre-Calculation'!$D$17="Type 4 i",MAX(H104,Q104),IF('Pre-Calculation'!$D$17="Type 4 k",MAX(H104,1.01*Q104),IF('Pre-Calculation'!$D$17="Type 4 m",MAX(105%*Q104,SA+H104),IF('Pre-Calculation'!$D$17="Type 4 o",MAX(SA,105%*Q104)+X104+Z104,IF('Pre-Calculation'!$D$17="Type 5",0))))))))))))</f>
        <v>1575000</v>
      </c>
      <c r="L104" s="175">
        <f>H104-I104*(1+Tax)</f>
        <v>1057303.501</v>
      </c>
      <c r="M104" s="175">
        <f>L104*(1+GROWTH_RATE_H)*(1-FMC*(1+Tax))</f>
        <v>1062694.39</v>
      </c>
      <c r="N104" s="175">
        <f>M104+IF(MOD(A104,B104)=0,VLOOKUP(B104,'Pre-Calculation'!$H$1:$L$31,5,FALSE),0)*IF('Pre-Calculation'!$D$16="% OF FV",M104,IF(OR('Pre-Calculation'!$D$16="% OF AFV(24M)",'Pre-Calculation'!$D$16="% OF AFV(8Q)"),AVERAGE( $M81:$M104),IF('Pre-Calculation'!$D$16="% OF AFV(12M)",AVERAGE($M93:M104),IF('Pre-Calculation'!$D$16="% OF AFV(36M)",AVERAGE($M69:M104)))))</f>
        <v>1062694.39</v>
      </c>
      <c r="O104" s="175">
        <f t="shared" si="4"/>
        <v>1062694.39</v>
      </c>
      <c r="P104" s="175">
        <f>IF('Pre-Calculation'!$D$17="Type 4 a",MAX(SA,N104,1.05*Q104),IF('Pre-Calculation'!$D$17="Type 4 c",N104,IF('Pre-Calculation'!$D$17="Type 4 d",SA+N104,IF('Pre-Calculation'!$D$17="Type 4 e",MAX(SA,N104),IF('Pre-Calculation'!$D$17="Type 4 f",SA,IF('Pre-Calculation'!$D$17="Type 4 g",1000+N104,IF('Pre-Calculation'!$D$17="Type 4 h",SA+X104,IF('Pre-Calculation'!$D$17="Type 4 i",MAX(N104,Q104),IF('Pre-Calculation'!$D$17="Type 4 k",MAX(N104,1.01*Q104),IF('Pre-Calculation'!$D$17="Type 4 m",MAX(105%*Q104,SA+N104),IF('Pre-Calculation'!$D$17="Type 4 o",MAX(SA,105%*Q104)+X104+Z104,IF('Pre-Calculation'!$D$17="Type 5",0))))))))))))</f>
        <v>1575000</v>
      </c>
      <c r="Q104" s="175">
        <f t="shared" si="5"/>
        <v>1500000</v>
      </c>
      <c r="R104" s="119">
        <f>L104*(1+GROWTH_RATE)*FMC</f>
        <v>1196.468488</v>
      </c>
      <c r="S104" s="178">
        <f>S103*(1+'Pre-Calculation'!$E$27)</f>
        <v>860847.4816</v>
      </c>
      <c r="T104" s="175">
        <f>-E104+IF(A103=INPUT!$C$11*12,N104,0)</f>
        <v>0</v>
      </c>
      <c r="U104" s="175">
        <f t="shared" si="6"/>
        <v>1147997.683</v>
      </c>
      <c r="V104" s="175">
        <f>U104*(1+GROWTH_RATE_H)*(1-'Pre-Calculation'!$E$31)</f>
        <v>1153459.846</v>
      </c>
      <c r="W104" s="175">
        <f>-E104+IF(A103=INPUT!$C$11*12,V104,0)</f>
        <v>0</v>
      </c>
      <c r="X104" s="179">
        <f t="array" ref="X104">NPV('Pre-Calculation'!$E$20,$E105:E$246)</f>
        <v>93986.36873</v>
      </c>
      <c r="Y104" s="171">
        <f>10%*SA</f>
        <v>100000</v>
      </c>
      <c r="Z104" s="179">
        <f t="array" ref="Z104">NPV('Pre-Calculation'!$E$20,Y105:Y114)</f>
        <v>969592.8037</v>
      </c>
    </row>
    <row r="105" ht="15.75" customHeight="1">
      <c r="A105" s="171">
        <f t="shared" si="1"/>
        <v>99</v>
      </c>
      <c r="B105" s="171">
        <f t="shared" si="2"/>
        <v>9</v>
      </c>
      <c r="C105" s="176">
        <f>EDATE(RCD,A104)</f>
        <v>45534</v>
      </c>
      <c r="D105" s="171">
        <f>Age_At_Entry+'Cashflows_8% from Start'!B105-1</f>
        <v>43</v>
      </c>
      <c r="E105" s="175">
        <f>IF(AND(C105&lt;=Last_Prem,MOD(A104,Mode)=0),Mod_Prem,0)</f>
        <v>0</v>
      </c>
      <c r="F105" s="177">
        <f>E105*VLOOKUP(B105,'Pre-Calculation'!$H$1:$I$31,2,FALSE)</f>
        <v>0</v>
      </c>
      <c r="G105" s="177">
        <f>IF(B105&lt;PT+1,VLOOKUP(B105,'Pre-Calculation'!$H$1:$L$32,3,FALSE)+VLOOKUP(B105,'Pre-Calculation'!$H$1:$L$32,4,FALSE)*'Pre-Calculation'!$D$7,0)</f>
        <v>830</v>
      </c>
      <c r="H105" s="175">
        <f>(E105-(F105+G105)*(1+Tax)+N104)</f>
        <v>1061714.99</v>
      </c>
      <c r="I105" s="175">
        <f>IF(B105&lt;PT+1,VLOOKUP(D105,'Pre-Calculation'!$N$3:$P$79,IF(INPUT!$C$4="M",2,3),FALSE)*(J105/1000)*(1/12),0)</f>
        <v>100.4969275</v>
      </c>
      <c r="J105" s="175">
        <f t="shared" si="3"/>
        <v>513285.0096</v>
      </c>
      <c r="K105" s="175">
        <f>IF('Pre-Calculation'!$D$17="Type 4 a",MAX(SA,H105,1.05*Q105),IF('Pre-Calculation'!$D$17="Type 4 c",H105,IF('Pre-Calculation'!$D$17="Type 4 d",SA+H105,IF('Pre-Calculation'!$D$17="Type 4 e",MAX(SA,H105),IF('Pre-Calculation'!$D$17="Type 4 f",SA,IF('Pre-Calculation'!$D$17="Type 4 g",1000+H105,IF('Pre-Calculation'!$D$17="Type 4 h",SA+X105,IF('Pre-Calculation'!$D$17="Type 4 i",MAX(H105,Q105),IF('Pre-Calculation'!$D$17="Type 4 k",MAX(H105,1.01*Q105),IF('Pre-Calculation'!$D$17="Type 4 m",MAX(105%*Q105,SA+H105),IF('Pre-Calculation'!$D$17="Type 4 o",MAX(SA,105%*Q105)+X105+Z105,IF('Pre-Calculation'!$D$17="Type 5",0))))))))))))</f>
        <v>1575000</v>
      </c>
      <c r="L105" s="175">
        <f>H105-I105*(1+Tax)</f>
        <v>1061596.404</v>
      </c>
      <c r="M105" s="175">
        <f>L105*(1+GROWTH_RATE_H)*(1-FMC*(1+Tax))</f>
        <v>1067009.182</v>
      </c>
      <c r="N105" s="175">
        <f>M105+IF(MOD(A105,B105)=0,VLOOKUP(B105,'Pre-Calculation'!$H$1:$L$31,5,FALSE),0)*IF('Pre-Calculation'!$D$16="% OF FV",M105,IF(OR('Pre-Calculation'!$D$16="% OF AFV(24M)",'Pre-Calculation'!$D$16="% OF AFV(8Q)"),AVERAGE( $M82:$M105),IF('Pre-Calculation'!$D$16="% OF AFV(12M)",AVERAGE($M94:M105),IF('Pre-Calculation'!$D$16="% OF AFV(36M)",AVERAGE($M70:M105)))))</f>
        <v>1067009.182</v>
      </c>
      <c r="O105" s="175">
        <f t="shared" si="4"/>
        <v>1067009.182</v>
      </c>
      <c r="P105" s="175">
        <f>IF('Pre-Calculation'!$D$17="Type 4 a",MAX(SA,N105,1.05*Q105),IF('Pre-Calculation'!$D$17="Type 4 c",N105,IF('Pre-Calculation'!$D$17="Type 4 d",SA+N105,IF('Pre-Calculation'!$D$17="Type 4 e",MAX(SA,N105),IF('Pre-Calculation'!$D$17="Type 4 f",SA,IF('Pre-Calculation'!$D$17="Type 4 g",1000+N105,IF('Pre-Calculation'!$D$17="Type 4 h",SA+X105,IF('Pre-Calculation'!$D$17="Type 4 i",MAX(N105,Q105),IF('Pre-Calculation'!$D$17="Type 4 k",MAX(N105,1.01*Q105),IF('Pre-Calculation'!$D$17="Type 4 m",MAX(105%*Q105,SA+N105),IF('Pre-Calculation'!$D$17="Type 4 o",MAX(SA,105%*Q105)+X105+Z105,IF('Pre-Calculation'!$D$17="Type 5",0))))))))))))</f>
        <v>1575000</v>
      </c>
      <c r="Q105" s="175">
        <f t="shared" si="5"/>
        <v>1500000</v>
      </c>
      <c r="R105" s="119">
        <f>L105*(1+GROWTH_RATE)*FMC</f>
        <v>1201.326434</v>
      </c>
      <c r="S105" s="178">
        <f>S104*(1+'Pre-Calculation'!$E$27)</f>
        <v>863318.8875</v>
      </c>
      <c r="T105" s="175">
        <f>-E105+IF(A104=INPUT!$C$11*12,N105,0)</f>
        <v>0</v>
      </c>
      <c r="U105" s="175">
        <f t="shared" si="6"/>
        <v>1153459.846</v>
      </c>
      <c r="V105" s="175">
        <f>U105*(1+GROWTH_RATE_H)*(1-'Pre-Calculation'!$E$31)</f>
        <v>1158947.997</v>
      </c>
      <c r="W105" s="175">
        <f>-E105+IF(A104=INPUT!$C$11*12,V105,0)</f>
        <v>0</v>
      </c>
      <c r="X105" s="179">
        <f t="array" ref="X105">NPV('Pre-Calculation'!$E$20,$E106:E$246)</f>
        <v>94517.78132</v>
      </c>
      <c r="Y105" s="171">
        <f>10%*SA</f>
        <v>100000</v>
      </c>
      <c r="Z105" s="179">
        <f t="array" ref="Z105">NPV('Pre-Calculation'!$E$20,Y106:Y115)</f>
        <v>969592.8037</v>
      </c>
    </row>
    <row r="106" ht="15.75" customHeight="1">
      <c r="A106" s="171">
        <f t="shared" si="1"/>
        <v>100</v>
      </c>
      <c r="B106" s="171">
        <f t="shared" si="2"/>
        <v>9</v>
      </c>
      <c r="C106" s="176">
        <f>EDATE(RCD,A105)</f>
        <v>45565</v>
      </c>
      <c r="D106" s="171">
        <f>Age_At_Entry+'Cashflows_8% from Start'!B106-1</f>
        <v>43</v>
      </c>
      <c r="E106" s="175">
        <f>IF(AND(C106&lt;=Last_Prem,MOD(A105,Mode)=0),Mod_Prem,0)</f>
        <v>0</v>
      </c>
      <c r="F106" s="177">
        <f>E106*VLOOKUP(B106,'Pre-Calculation'!$H$1:$I$31,2,FALSE)</f>
        <v>0</v>
      </c>
      <c r="G106" s="177">
        <f>IF(B106&lt;PT+1,VLOOKUP(B106,'Pre-Calculation'!$H$1:$L$32,3,FALSE)+VLOOKUP(B106,'Pre-Calculation'!$H$1:$L$32,4,FALSE)*'Pre-Calculation'!$D$7,0)</f>
        <v>830</v>
      </c>
      <c r="H106" s="175">
        <f>(E106-(F106+G106)*(1+Tax)+N105)</f>
        <v>1066029.782</v>
      </c>
      <c r="I106" s="175">
        <f>IF(B106&lt;PT+1,VLOOKUP(D106,'Pre-Calculation'!$N$3:$P$79,IF(INPUT!$C$4="M",2,3),FALSE)*(J106/1000)*(1/12),0)</f>
        <v>99.65212726</v>
      </c>
      <c r="J106" s="175">
        <f t="shared" si="3"/>
        <v>508970.218</v>
      </c>
      <c r="K106" s="175">
        <f>IF('Pre-Calculation'!$D$17="Type 4 a",MAX(SA,H106,1.05*Q106),IF('Pre-Calculation'!$D$17="Type 4 c",H106,IF('Pre-Calculation'!$D$17="Type 4 d",SA+H106,IF('Pre-Calculation'!$D$17="Type 4 e",MAX(SA,H106),IF('Pre-Calculation'!$D$17="Type 4 f",SA,IF('Pre-Calculation'!$D$17="Type 4 g",1000+H106,IF('Pre-Calculation'!$D$17="Type 4 h",SA+X106,IF('Pre-Calculation'!$D$17="Type 4 i",MAX(H106,Q106),IF('Pre-Calculation'!$D$17="Type 4 k",MAX(H106,1.01*Q106),IF('Pre-Calculation'!$D$17="Type 4 m",MAX(105%*Q106,SA+H106),IF('Pre-Calculation'!$D$17="Type 4 o",MAX(SA,105%*Q106)+X106+Z106,IF('Pre-Calculation'!$D$17="Type 5",0))))))))))))</f>
        <v>1575000</v>
      </c>
      <c r="L106" s="175">
        <f>H106-I106*(1+Tax)</f>
        <v>1065912.193</v>
      </c>
      <c r="M106" s="175">
        <f>L106*(1+GROWTH_RATE_H)*(1-FMC*(1+Tax))</f>
        <v>1071346.976</v>
      </c>
      <c r="N106" s="175">
        <f>M106+IF(MOD(A106,B106)=0,VLOOKUP(B106,'Pre-Calculation'!$H$1:$L$31,5,FALSE),0)*IF('Pre-Calculation'!$D$16="% OF FV",M106,IF(OR('Pre-Calculation'!$D$16="% OF AFV(24M)",'Pre-Calculation'!$D$16="% OF AFV(8Q)"),AVERAGE( $M83:$M106),IF('Pre-Calculation'!$D$16="% OF AFV(12M)",AVERAGE($M95:M106),IF('Pre-Calculation'!$D$16="% OF AFV(36M)",AVERAGE($M71:M106)))))</f>
        <v>1071346.976</v>
      </c>
      <c r="O106" s="175">
        <f t="shared" si="4"/>
        <v>1071346.976</v>
      </c>
      <c r="P106" s="175">
        <f>IF('Pre-Calculation'!$D$17="Type 4 a",MAX(SA,N106,1.05*Q106),IF('Pre-Calculation'!$D$17="Type 4 c",N106,IF('Pre-Calculation'!$D$17="Type 4 d",SA+N106,IF('Pre-Calculation'!$D$17="Type 4 e",MAX(SA,N106),IF('Pre-Calculation'!$D$17="Type 4 f",SA,IF('Pre-Calculation'!$D$17="Type 4 g",1000+N106,IF('Pre-Calculation'!$D$17="Type 4 h",SA+X106,IF('Pre-Calculation'!$D$17="Type 4 i",MAX(N106,Q106),IF('Pre-Calculation'!$D$17="Type 4 k",MAX(N106,1.01*Q106),IF('Pre-Calculation'!$D$17="Type 4 m",MAX(105%*Q106,SA+N106),IF('Pre-Calculation'!$D$17="Type 4 o",MAX(SA,105%*Q106)+X106+Z106,IF('Pre-Calculation'!$D$17="Type 5",0))))))))))))</f>
        <v>1575000</v>
      </c>
      <c r="Q106" s="175">
        <f t="shared" si="5"/>
        <v>1500000</v>
      </c>
      <c r="R106" s="119">
        <f>L106*(1+GROWTH_RATE)*FMC</f>
        <v>1206.210278</v>
      </c>
      <c r="S106" s="178">
        <f>S105*(1+'Pre-Calculation'!$E$27)</f>
        <v>865797.3886</v>
      </c>
      <c r="T106" s="175">
        <f>-E106+IF(A105=INPUT!$C$11*12,N106,0)</f>
        <v>0</v>
      </c>
      <c r="U106" s="175">
        <f t="shared" si="6"/>
        <v>1158947.997</v>
      </c>
      <c r="V106" s="175">
        <f>U106*(1+GROWTH_RATE_H)*(1-'Pre-Calculation'!$E$31)</f>
        <v>1164462.262</v>
      </c>
      <c r="W106" s="175">
        <f>-E106+IF(A105=INPUT!$C$11*12,V106,0)</f>
        <v>0</v>
      </c>
      <c r="X106" s="179">
        <f t="array" ref="X106">NPV('Pre-Calculation'!$E$20,$E107:E$246)</f>
        <v>95052.1986</v>
      </c>
      <c r="Y106" s="171">
        <f>10%*SA</f>
        <v>100000</v>
      </c>
      <c r="Z106" s="179">
        <f t="array" ref="Z106">NPV('Pre-Calculation'!$E$20,Y107:Y116)</f>
        <v>969592.8037</v>
      </c>
    </row>
    <row r="107" ht="15.75" customHeight="1">
      <c r="A107" s="171">
        <f t="shared" si="1"/>
        <v>101</v>
      </c>
      <c r="B107" s="171">
        <f t="shared" si="2"/>
        <v>9</v>
      </c>
      <c r="C107" s="176">
        <f>EDATE(RCD,A106)</f>
        <v>45595</v>
      </c>
      <c r="D107" s="171">
        <f>Age_At_Entry+'Cashflows_8% from Start'!B107-1</f>
        <v>43</v>
      </c>
      <c r="E107" s="175">
        <f>IF(AND(C107&lt;=Last_Prem,MOD(A106,Mode)=0),Mod_Prem,0)</f>
        <v>0</v>
      </c>
      <c r="F107" s="177">
        <f>E107*VLOOKUP(B107,'Pre-Calculation'!$H$1:$I$31,2,FALSE)</f>
        <v>0</v>
      </c>
      <c r="G107" s="177">
        <f>IF(B107&lt;PT+1,VLOOKUP(B107,'Pre-Calculation'!$H$1:$L$32,3,FALSE)+VLOOKUP(B107,'Pre-Calculation'!$H$1:$L$32,4,FALSE)*'Pre-Calculation'!$D$7,0)</f>
        <v>830</v>
      </c>
      <c r="H107" s="175">
        <f>(E107-(F107+G107)*(1+Tax)+N106)</f>
        <v>1070367.576</v>
      </c>
      <c r="I107" s="175">
        <f>IF(B107&lt;PT+1,VLOOKUP(D107,'Pre-Calculation'!$N$3:$P$79,IF(INPUT!$C$4="M",2,3),FALSE)*(J107/1000)*(1/12),0)</f>
        <v>98.80282344</v>
      </c>
      <c r="J107" s="175">
        <f t="shared" si="3"/>
        <v>504632.4245</v>
      </c>
      <c r="K107" s="175">
        <f>IF('Pre-Calculation'!$D$17="Type 4 a",MAX(SA,H107,1.05*Q107),IF('Pre-Calculation'!$D$17="Type 4 c",H107,IF('Pre-Calculation'!$D$17="Type 4 d",SA+H107,IF('Pre-Calculation'!$D$17="Type 4 e",MAX(SA,H107),IF('Pre-Calculation'!$D$17="Type 4 f",SA,IF('Pre-Calculation'!$D$17="Type 4 g",1000+H107,IF('Pre-Calculation'!$D$17="Type 4 h",SA+X107,IF('Pre-Calculation'!$D$17="Type 4 i",MAX(H107,Q107),IF('Pre-Calculation'!$D$17="Type 4 k",MAX(H107,1.01*Q107),IF('Pre-Calculation'!$D$17="Type 4 m",MAX(105%*Q107,SA+H107),IF('Pre-Calculation'!$D$17="Type 4 o",MAX(SA,105%*Q107)+X107+Z107,IF('Pre-Calculation'!$D$17="Type 5",0))))))))))))</f>
        <v>1575000</v>
      </c>
      <c r="L107" s="175">
        <f>H107-I107*(1+Tax)</f>
        <v>1070250.988</v>
      </c>
      <c r="M107" s="175">
        <f>L107*(1+GROWTH_RATE_H)*(1-FMC*(1+Tax))</f>
        <v>1075707.894</v>
      </c>
      <c r="N107" s="175">
        <f>M107+IF(MOD(A107,B107)=0,VLOOKUP(B107,'Pre-Calculation'!$H$1:$L$31,5,FALSE),0)*IF('Pre-Calculation'!$D$16="% OF FV",M107,IF(OR('Pre-Calculation'!$D$16="% OF AFV(24M)",'Pre-Calculation'!$D$16="% OF AFV(8Q)"),AVERAGE( $M84:$M107),IF('Pre-Calculation'!$D$16="% OF AFV(12M)",AVERAGE($M96:M107),IF('Pre-Calculation'!$D$16="% OF AFV(36M)",AVERAGE($M72:M107)))))</f>
        <v>1075707.894</v>
      </c>
      <c r="O107" s="175">
        <f t="shared" si="4"/>
        <v>1075707.894</v>
      </c>
      <c r="P107" s="175">
        <f>IF('Pre-Calculation'!$D$17="Type 4 a",MAX(SA,N107,1.05*Q107),IF('Pre-Calculation'!$D$17="Type 4 c",N107,IF('Pre-Calculation'!$D$17="Type 4 d",SA+N107,IF('Pre-Calculation'!$D$17="Type 4 e",MAX(SA,N107),IF('Pre-Calculation'!$D$17="Type 4 f",SA,IF('Pre-Calculation'!$D$17="Type 4 g",1000+N107,IF('Pre-Calculation'!$D$17="Type 4 h",SA+X107,IF('Pre-Calculation'!$D$17="Type 4 i",MAX(N107,Q107),IF('Pre-Calculation'!$D$17="Type 4 k",MAX(N107,1.01*Q107),IF('Pre-Calculation'!$D$17="Type 4 m",MAX(105%*Q107,SA+N107),IF('Pre-Calculation'!$D$17="Type 4 o",MAX(SA,105%*Q107)+X107+Z107,IF('Pre-Calculation'!$D$17="Type 5",0))))))))))))</f>
        <v>1575000</v>
      </c>
      <c r="Q107" s="175">
        <f t="shared" si="5"/>
        <v>1500000</v>
      </c>
      <c r="R107" s="119">
        <f>L107*(1+GROWTH_RATE)*FMC</f>
        <v>1211.120157</v>
      </c>
      <c r="S107" s="178">
        <f>S106*(1+'Pre-Calculation'!$E$27)</f>
        <v>868283.0052</v>
      </c>
      <c r="T107" s="175">
        <f>-E107+IF(A106=INPUT!$C$11*12,N107,0)</f>
        <v>0</v>
      </c>
      <c r="U107" s="175">
        <f t="shared" si="6"/>
        <v>1164462.262</v>
      </c>
      <c r="V107" s="175">
        <f>U107*(1+GROWTH_RATE_H)*(1-'Pre-Calculation'!$E$31)</f>
        <v>1170002.763</v>
      </c>
      <c r="W107" s="175">
        <f>-E107+IF(A106=INPUT!$C$11*12,V107,0)</f>
        <v>0</v>
      </c>
      <c r="X107" s="179">
        <f t="array" ref="X107">NPV('Pre-Calculation'!$E$20,$E108:E$246)</f>
        <v>95589.63755</v>
      </c>
      <c r="Y107" s="171">
        <f>10%*SA</f>
        <v>100000</v>
      </c>
      <c r="Z107" s="179">
        <f t="array" ref="Z107">NPV('Pre-Calculation'!$E$20,Y108:Y117)</f>
        <v>969592.8037</v>
      </c>
    </row>
    <row r="108" ht="15.75" customHeight="1">
      <c r="A108" s="171">
        <f t="shared" si="1"/>
        <v>102</v>
      </c>
      <c r="B108" s="171">
        <f t="shared" si="2"/>
        <v>9</v>
      </c>
      <c r="C108" s="176">
        <f>EDATE(RCD,A107)</f>
        <v>45626</v>
      </c>
      <c r="D108" s="171">
        <f>Age_At_Entry+'Cashflows_8% from Start'!B108-1</f>
        <v>43</v>
      </c>
      <c r="E108" s="175">
        <f>IF(AND(C108&lt;=Last_Prem,MOD(A107,Mode)=0),Mod_Prem,0)</f>
        <v>0</v>
      </c>
      <c r="F108" s="177">
        <f>E108*VLOOKUP(B108,'Pre-Calculation'!$H$1:$I$31,2,FALSE)</f>
        <v>0</v>
      </c>
      <c r="G108" s="177">
        <f>IF(B108&lt;PT+1,VLOOKUP(B108,'Pre-Calculation'!$H$1:$L$32,3,FALSE)+VLOOKUP(B108,'Pre-Calculation'!$H$1:$L$32,4,FALSE)*'Pre-Calculation'!$D$7,0)</f>
        <v>830</v>
      </c>
      <c r="H108" s="175">
        <f>(E108-(F108+G108)*(1+Tax)+N107)</f>
        <v>1074728.494</v>
      </c>
      <c r="I108" s="175">
        <f>IF(B108&lt;PT+1,VLOOKUP(D108,'Pre-Calculation'!$N$3:$P$79,IF(INPUT!$C$4="M",2,3),FALSE)*(J108/1000)*(1/12),0)</f>
        <v>97.94899204</v>
      </c>
      <c r="J108" s="175">
        <f t="shared" si="3"/>
        <v>500271.5065</v>
      </c>
      <c r="K108" s="175">
        <f>IF('Pre-Calculation'!$D$17="Type 4 a",MAX(SA,H108,1.05*Q108),IF('Pre-Calculation'!$D$17="Type 4 c",H108,IF('Pre-Calculation'!$D$17="Type 4 d",SA+H108,IF('Pre-Calculation'!$D$17="Type 4 e",MAX(SA,H108),IF('Pre-Calculation'!$D$17="Type 4 f",SA,IF('Pre-Calculation'!$D$17="Type 4 g",1000+H108,IF('Pre-Calculation'!$D$17="Type 4 h",SA+X108,IF('Pre-Calculation'!$D$17="Type 4 i",MAX(H108,Q108),IF('Pre-Calculation'!$D$17="Type 4 k",MAX(H108,1.01*Q108),IF('Pre-Calculation'!$D$17="Type 4 m",MAX(105%*Q108,SA+H108),IF('Pre-Calculation'!$D$17="Type 4 o",MAX(SA,105%*Q108)+X108+Z108,IF('Pre-Calculation'!$D$17="Type 5",0))))))))))))</f>
        <v>1575000</v>
      </c>
      <c r="L108" s="175">
        <f>H108-I108*(1+Tax)</f>
        <v>1074612.914</v>
      </c>
      <c r="M108" s="175">
        <f>L108*(1+GROWTH_RATE_H)*(1-FMC*(1+Tax))</f>
        <v>1080092.059</v>
      </c>
      <c r="N108" s="175">
        <f>M108+IF(MOD(A108,B108)=0,VLOOKUP(B108,'Pre-Calculation'!$H$1:$L$31,5,FALSE),0)*IF('Pre-Calculation'!$D$16="% OF FV",M108,IF(OR('Pre-Calculation'!$D$16="% OF AFV(24M)",'Pre-Calculation'!$D$16="% OF AFV(8Q)"),AVERAGE( $M85:$M108),IF('Pre-Calculation'!$D$16="% OF AFV(12M)",AVERAGE($M97:M108),IF('Pre-Calculation'!$D$16="% OF AFV(36M)",AVERAGE($M73:M108)))))</f>
        <v>1080092.059</v>
      </c>
      <c r="O108" s="175">
        <f t="shared" si="4"/>
        <v>1080092.059</v>
      </c>
      <c r="P108" s="175">
        <f>IF('Pre-Calculation'!$D$17="Type 4 a",MAX(SA,N108,1.05*Q108),IF('Pre-Calculation'!$D$17="Type 4 c",N108,IF('Pre-Calculation'!$D$17="Type 4 d",SA+N108,IF('Pre-Calculation'!$D$17="Type 4 e",MAX(SA,N108),IF('Pre-Calculation'!$D$17="Type 4 f",SA,IF('Pre-Calculation'!$D$17="Type 4 g",1000+N108,IF('Pre-Calculation'!$D$17="Type 4 h",SA+X108,IF('Pre-Calculation'!$D$17="Type 4 i",MAX(N108,Q108),IF('Pre-Calculation'!$D$17="Type 4 k",MAX(N108,1.01*Q108),IF('Pre-Calculation'!$D$17="Type 4 m",MAX(105%*Q108,SA+N108),IF('Pre-Calculation'!$D$17="Type 4 o",MAX(SA,105%*Q108)+X108+Z108,IF('Pre-Calculation'!$D$17="Type 5",0))))))))))))</f>
        <v>1575000</v>
      </c>
      <c r="Q108" s="175">
        <f t="shared" si="5"/>
        <v>1500000</v>
      </c>
      <c r="R108" s="119">
        <f>L108*(1+GROWTH_RATE)*FMC</f>
        <v>1216.05621</v>
      </c>
      <c r="S108" s="178">
        <f>S107*(1+'Pre-Calculation'!$E$27)</f>
        <v>870775.7578</v>
      </c>
      <c r="T108" s="175">
        <f>-E108+IF(A107=INPUT!$C$11*12,N108,0)</f>
        <v>0</v>
      </c>
      <c r="U108" s="175">
        <f t="shared" si="6"/>
        <v>1170002.763</v>
      </c>
      <c r="V108" s="175">
        <f>U108*(1+GROWTH_RATE_H)*(1-'Pre-Calculation'!$E$31)</f>
        <v>1175569.626</v>
      </c>
      <c r="W108" s="175">
        <f>-E108+IF(A107=INPUT!$C$11*12,V108,0)</f>
        <v>0</v>
      </c>
      <c r="X108" s="179">
        <f t="array" ref="X108">NPV('Pre-Calculation'!$E$20,$E109:E$246)</f>
        <v>96130.11526</v>
      </c>
      <c r="Y108" s="171">
        <f>10%*SA</f>
        <v>100000</v>
      </c>
      <c r="Z108" s="179">
        <f t="array" ref="Z108">NPV('Pre-Calculation'!$E$20,Y109:Y118)</f>
        <v>969592.8037</v>
      </c>
    </row>
    <row r="109" ht="15.75" customHeight="1">
      <c r="A109" s="171">
        <f t="shared" si="1"/>
        <v>103</v>
      </c>
      <c r="B109" s="171">
        <f t="shared" si="2"/>
        <v>9</v>
      </c>
      <c r="C109" s="176">
        <f>EDATE(RCD,A108)</f>
        <v>45656</v>
      </c>
      <c r="D109" s="171">
        <f>Age_At_Entry+'Cashflows_8% from Start'!B109-1</f>
        <v>43</v>
      </c>
      <c r="E109" s="175">
        <f>IF(AND(C109&lt;=Last_Prem,MOD(A108,Mode)=0),Mod_Prem,0)</f>
        <v>0</v>
      </c>
      <c r="F109" s="177">
        <f>E109*VLOOKUP(B109,'Pre-Calculation'!$H$1:$I$31,2,FALSE)</f>
        <v>0</v>
      </c>
      <c r="G109" s="177">
        <f>IF(B109&lt;PT+1,VLOOKUP(B109,'Pre-Calculation'!$H$1:$L$32,3,FALSE)+VLOOKUP(B109,'Pre-Calculation'!$H$1:$L$32,4,FALSE)*'Pre-Calculation'!$D$7,0)</f>
        <v>830</v>
      </c>
      <c r="H109" s="175">
        <f>(E109-(F109+G109)*(1+Tax)+N108)</f>
        <v>1079112.659</v>
      </c>
      <c r="I109" s="175">
        <f>IF(B109&lt;PT+1,VLOOKUP(D109,'Pre-Calculation'!$N$3:$P$79,IF(INPUT!$C$4="M",2,3),FALSE)*(J109/1000)*(1/12),0)</f>
        <v>97.09060893</v>
      </c>
      <c r="J109" s="175">
        <f t="shared" si="3"/>
        <v>495887.3408</v>
      </c>
      <c r="K109" s="175">
        <f>IF('Pre-Calculation'!$D$17="Type 4 a",MAX(SA,H109,1.05*Q109),IF('Pre-Calculation'!$D$17="Type 4 c",H109,IF('Pre-Calculation'!$D$17="Type 4 d",SA+H109,IF('Pre-Calculation'!$D$17="Type 4 e",MAX(SA,H109),IF('Pre-Calculation'!$D$17="Type 4 f",SA,IF('Pre-Calculation'!$D$17="Type 4 g",1000+H109,IF('Pre-Calculation'!$D$17="Type 4 h",SA+X109,IF('Pre-Calculation'!$D$17="Type 4 i",MAX(H109,Q109),IF('Pre-Calculation'!$D$17="Type 4 k",MAX(H109,1.01*Q109),IF('Pre-Calculation'!$D$17="Type 4 m",MAX(105%*Q109,SA+H109),IF('Pre-Calculation'!$D$17="Type 4 o",MAX(SA,105%*Q109)+X109+Z109,IF('Pre-Calculation'!$D$17="Type 5",0))))))))))))</f>
        <v>1575000</v>
      </c>
      <c r="L109" s="175">
        <f>H109-I109*(1+Tax)</f>
        <v>1078998.092</v>
      </c>
      <c r="M109" s="175">
        <f>L109*(1+GROWTH_RATE_H)*(1-FMC*(1+Tax))</f>
        <v>1084499.597</v>
      </c>
      <c r="N109" s="175">
        <f>M109+IF(MOD(A109,B109)=0,VLOOKUP(B109,'Pre-Calculation'!$H$1:$L$31,5,FALSE),0)*IF('Pre-Calculation'!$D$16="% OF FV",M109,IF(OR('Pre-Calculation'!$D$16="% OF AFV(24M)",'Pre-Calculation'!$D$16="% OF AFV(8Q)"),AVERAGE( $M86:$M109),IF('Pre-Calculation'!$D$16="% OF AFV(12M)",AVERAGE($M98:M109),IF('Pre-Calculation'!$D$16="% OF AFV(36M)",AVERAGE($M74:M109)))))</f>
        <v>1084499.597</v>
      </c>
      <c r="O109" s="175">
        <f t="shared" si="4"/>
        <v>1084499.597</v>
      </c>
      <c r="P109" s="175">
        <f>IF('Pre-Calculation'!$D$17="Type 4 a",MAX(SA,N109,1.05*Q109),IF('Pre-Calculation'!$D$17="Type 4 c",N109,IF('Pre-Calculation'!$D$17="Type 4 d",SA+N109,IF('Pre-Calculation'!$D$17="Type 4 e",MAX(SA,N109),IF('Pre-Calculation'!$D$17="Type 4 f",SA,IF('Pre-Calculation'!$D$17="Type 4 g",1000+N109,IF('Pre-Calculation'!$D$17="Type 4 h",SA+X109,IF('Pre-Calculation'!$D$17="Type 4 i",MAX(N109,Q109),IF('Pre-Calculation'!$D$17="Type 4 k",MAX(N109,1.01*Q109),IF('Pre-Calculation'!$D$17="Type 4 m",MAX(105%*Q109,SA+N109),IF('Pre-Calculation'!$D$17="Type 4 o",MAX(SA,105%*Q109)+X109+Z109,IF('Pre-Calculation'!$D$17="Type 5",0))))))))))))</f>
        <v>1575000</v>
      </c>
      <c r="Q109" s="175">
        <f t="shared" si="5"/>
        <v>1500000</v>
      </c>
      <c r="R109" s="119">
        <f>L109*(1+GROWTH_RATE)*FMC</f>
        <v>1221.018577</v>
      </c>
      <c r="S109" s="178">
        <f>S108*(1+'Pre-Calculation'!$E$27)</f>
        <v>873275.6668</v>
      </c>
      <c r="T109" s="175">
        <f>-E109+IF(A108=INPUT!$C$11*12,N109,0)</f>
        <v>0</v>
      </c>
      <c r="U109" s="175">
        <f t="shared" si="6"/>
        <v>1175569.626</v>
      </c>
      <c r="V109" s="175">
        <f>U109*(1+GROWTH_RATE_H)*(1-'Pre-Calculation'!$E$31)</f>
        <v>1181162.976</v>
      </c>
      <c r="W109" s="175">
        <f>-E109+IF(A108=INPUT!$C$11*12,V109,0)</f>
        <v>0</v>
      </c>
      <c r="X109" s="179">
        <f t="array" ref="X109">NPV('Pre-Calculation'!$E$20,$E110:E$246)</f>
        <v>96673.6489</v>
      </c>
      <c r="Y109" s="171">
        <f>10%*SA</f>
        <v>100000</v>
      </c>
      <c r="Z109" s="179">
        <f t="array" ref="Z109">NPV('Pre-Calculation'!$E$20,Y110:Y119)</f>
        <v>969592.8037</v>
      </c>
    </row>
    <row r="110" ht="15.75" customHeight="1">
      <c r="A110" s="171">
        <f t="shared" si="1"/>
        <v>104</v>
      </c>
      <c r="B110" s="171">
        <f t="shared" si="2"/>
        <v>9</v>
      </c>
      <c r="C110" s="176">
        <f>EDATE(RCD,A109)</f>
        <v>45687</v>
      </c>
      <c r="D110" s="171">
        <f>Age_At_Entry+'Cashflows_8% from Start'!B110-1</f>
        <v>43</v>
      </c>
      <c r="E110" s="175">
        <f>IF(AND(C110&lt;=Last_Prem,MOD(A109,Mode)=0),Mod_Prem,0)</f>
        <v>0</v>
      </c>
      <c r="F110" s="177">
        <f>E110*VLOOKUP(B110,'Pre-Calculation'!$H$1:$I$31,2,FALSE)</f>
        <v>0</v>
      </c>
      <c r="G110" s="177">
        <f>IF(B110&lt;PT+1,VLOOKUP(B110,'Pre-Calculation'!$H$1:$L$32,3,FALSE)+VLOOKUP(B110,'Pre-Calculation'!$H$1:$L$32,4,FALSE)*'Pre-Calculation'!$D$7,0)</f>
        <v>830</v>
      </c>
      <c r="H110" s="175">
        <f>(E110-(F110+G110)*(1+Tax)+N109)</f>
        <v>1083520.197</v>
      </c>
      <c r="I110" s="175">
        <f>IF(B110&lt;PT+1,VLOOKUP(D110,'Pre-Calculation'!$N$3:$P$79,IF(INPUT!$C$4="M",2,3),FALSE)*(J110/1000)*(1/12),0)</f>
        <v>96.22764984</v>
      </c>
      <c r="J110" s="175">
        <f t="shared" si="3"/>
        <v>491479.8034</v>
      </c>
      <c r="K110" s="175">
        <f>IF('Pre-Calculation'!$D$17="Type 4 a",MAX(SA,H110,1.05*Q110),IF('Pre-Calculation'!$D$17="Type 4 c",H110,IF('Pre-Calculation'!$D$17="Type 4 d",SA+H110,IF('Pre-Calculation'!$D$17="Type 4 e",MAX(SA,H110),IF('Pre-Calculation'!$D$17="Type 4 f",SA,IF('Pre-Calculation'!$D$17="Type 4 g",1000+H110,IF('Pre-Calculation'!$D$17="Type 4 h",SA+X110,IF('Pre-Calculation'!$D$17="Type 4 i",MAX(H110,Q110),IF('Pre-Calculation'!$D$17="Type 4 k",MAX(H110,1.01*Q110),IF('Pre-Calculation'!$D$17="Type 4 m",MAX(105%*Q110,SA+H110),IF('Pre-Calculation'!$D$17="Type 4 o",MAX(SA,105%*Q110)+X110+Z110,IF('Pre-Calculation'!$D$17="Type 5",0))))))))))))</f>
        <v>1575000</v>
      </c>
      <c r="L110" s="175">
        <f>H110-I110*(1+Tax)</f>
        <v>1083406.648</v>
      </c>
      <c r="M110" s="175">
        <f>L110*(1+GROWTH_RATE_H)*(1-FMC*(1+Tax))</f>
        <v>1088930.63</v>
      </c>
      <c r="N110" s="175">
        <f>M110+IF(MOD(A110,B110)=0,VLOOKUP(B110,'Pre-Calculation'!$H$1:$L$31,5,FALSE),0)*IF('Pre-Calculation'!$D$16="% OF FV",M110,IF(OR('Pre-Calculation'!$D$16="% OF AFV(24M)",'Pre-Calculation'!$D$16="% OF AFV(8Q)"),AVERAGE( $M87:$M110),IF('Pre-Calculation'!$D$16="% OF AFV(12M)",AVERAGE($M99:M110),IF('Pre-Calculation'!$D$16="% OF AFV(36M)",AVERAGE($M75:M110)))))</f>
        <v>1088930.63</v>
      </c>
      <c r="O110" s="175">
        <f t="shared" si="4"/>
        <v>1088930.63</v>
      </c>
      <c r="P110" s="175">
        <f>IF('Pre-Calculation'!$D$17="Type 4 a",MAX(SA,N110,1.05*Q110),IF('Pre-Calculation'!$D$17="Type 4 c",N110,IF('Pre-Calculation'!$D$17="Type 4 d",SA+N110,IF('Pre-Calculation'!$D$17="Type 4 e",MAX(SA,N110),IF('Pre-Calculation'!$D$17="Type 4 f",SA,IF('Pre-Calculation'!$D$17="Type 4 g",1000+N110,IF('Pre-Calculation'!$D$17="Type 4 h",SA+X110,IF('Pre-Calculation'!$D$17="Type 4 i",MAX(N110,Q110),IF('Pre-Calculation'!$D$17="Type 4 k",MAX(N110,1.01*Q110),IF('Pre-Calculation'!$D$17="Type 4 m",MAX(105%*Q110,SA+N110),IF('Pre-Calculation'!$D$17="Type 4 o",MAX(SA,105%*Q110)+X110+Z110,IF('Pre-Calculation'!$D$17="Type 5",0))))))))))))</f>
        <v>1575000</v>
      </c>
      <c r="Q110" s="175">
        <f t="shared" si="5"/>
        <v>1500000</v>
      </c>
      <c r="R110" s="119">
        <f>L110*(1+GROWTH_RATE)*FMC</f>
        <v>1226.007398</v>
      </c>
      <c r="S110" s="178">
        <f>S109*(1+'Pre-Calculation'!$E$27)</f>
        <v>875782.7528</v>
      </c>
      <c r="T110" s="175">
        <f>-E110+IF(A109=INPUT!$C$11*12,N110,0)</f>
        <v>0</v>
      </c>
      <c r="U110" s="175">
        <f t="shared" si="6"/>
        <v>1181162.976</v>
      </c>
      <c r="V110" s="175">
        <f>U110*(1+GROWTH_RATE_H)*(1-'Pre-Calculation'!$E$31)</f>
        <v>1186782.939</v>
      </c>
      <c r="W110" s="175">
        <f>-E110+IF(A109=INPUT!$C$11*12,V110,0)</f>
        <v>0</v>
      </c>
      <c r="X110" s="179">
        <f t="array" ref="X110">NPV('Pre-Calculation'!$E$20,$E111:E$246)</f>
        <v>97220.25577</v>
      </c>
      <c r="Y110" s="171">
        <f>10%*SA</f>
        <v>100000</v>
      </c>
      <c r="Z110" s="179">
        <f t="array" ref="Z110">NPV('Pre-Calculation'!$E$20,Y111:Y120)</f>
        <v>969592.8037</v>
      </c>
    </row>
    <row r="111" ht="15.75" customHeight="1">
      <c r="A111" s="171">
        <f t="shared" si="1"/>
        <v>105</v>
      </c>
      <c r="B111" s="171">
        <f t="shared" si="2"/>
        <v>9</v>
      </c>
      <c r="C111" s="176">
        <f>EDATE(RCD,A110)</f>
        <v>45716</v>
      </c>
      <c r="D111" s="171">
        <f>Age_At_Entry+'Cashflows_8% from Start'!B111-1</f>
        <v>43</v>
      </c>
      <c r="E111" s="175">
        <f>IF(AND(C111&lt;=Last_Prem,MOD(A110,Mode)=0),Mod_Prem,0)</f>
        <v>0</v>
      </c>
      <c r="F111" s="177">
        <f>E111*VLOOKUP(B111,'Pre-Calculation'!$H$1:$I$31,2,FALSE)</f>
        <v>0</v>
      </c>
      <c r="G111" s="177">
        <f>IF(B111&lt;PT+1,VLOOKUP(B111,'Pre-Calculation'!$H$1:$L$32,3,FALSE)+VLOOKUP(B111,'Pre-Calculation'!$H$1:$L$32,4,FALSE)*'Pre-Calculation'!$D$7,0)</f>
        <v>830</v>
      </c>
      <c r="H111" s="175">
        <f>(E111-(F111+G111)*(1+Tax)+N110)</f>
        <v>1087951.23</v>
      </c>
      <c r="I111" s="175">
        <f>IF(B111&lt;PT+1,VLOOKUP(D111,'Pre-Calculation'!$N$3:$P$79,IF(INPUT!$C$4="M",2,3),FALSE)*(J111/1000)*(1/12),0)</f>
        <v>95.36009038</v>
      </c>
      <c r="J111" s="175">
        <f t="shared" si="3"/>
        <v>487048.7698</v>
      </c>
      <c r="K111" s="175">
        <f>IF('Pre-Calculation'!$D$17="Type 4 a",MAX(SA,H111,1.05*Q111),IF('Pre-Calculation'!$D$17="Type 4 c",H111,IF('Pre-Calculation'!$D$17="Type 4 d",SA+H111,IF('Pre-Calculation'!$D$17="Type 4 e",MAX(SA,H111),IF('Pre-Calculation'!$D$17="Type 4 f",SA,IF('Pre-Calculation'!$D$17="Type 4 g",1000+H111,IF('Pre-Calculation'!$D$17="Type 4 h",SA+X111,IF('Pre-Calculation'!$D$17="Type 4 i",MAX(H111,Q111),IF('Pre-Calculation'!$D$17="Type 4 k",MAX(H111,1.01*Q111),IF('Pre-Calculation'!$D$17="Type 4 m",MAX(105%*Q111,SA+H111),IF('Pre-Calculation'!$D$17="Type 4 o",MAX(SA,105%*Q111)+X111+Z111,IF('Pre-Calculation'!$D$17="Type 5",0))))))))))))</f>
        <v>1575000</v>
      </c>
      <c r="L111" s="175">
        <f>H111-I111*(1+Tax)</f>
        <v>1087838.705</v>
      </c>
      <c r="M111" s="175">
        <f>L111*(1+GROWTH_RATE_H)*(1-FMC*(1+Tax))</f>
        <v>1093385.285</v>
      </c>
      <c r="N111" s="175">
        <f>M111+IF(MOD(A111,B111)=0,VLOOKUP(B111,'Pre-Calculation'!$H$1:$L$31,5,FALSE),0)*IF('Pre-Calculation'!$D$16="% OF FV",M111,IF(OR('Pre-Calculation'!$D$16="% OF AFV(24M)",'Pre-Calculation'!$D$16="% OF AFV(8Q)"),AVERAGE( $M88:$M111),IF('Pre-Calculation'!$D$16="% OF AFV(12M)",AVERAGE($M100:M111),IF('Pre-Calculation'!$D$16="% OF AFV(36M)",AVERAGE($M76:M111)))))</f>
        <v>1093385.285</v>
      </c>
      <c r="O111" s="175">
        <f t="shared" si="4"/>
        <v>1093385.285</v>
      </c>
      <c r="P111" s="175">
        <f>IF('Pre-Calculation'!$D$17="Type 4 a",MAX(SA,N111,1.05*Q111),IF('Pre-Calculation'!$D$17="Type 4 c",N111,IF('Pre-Calculation'!$D$17="Type 4 d",SA+N111,IF('Pre-Calculation'!$D$17="Type 4 e",MAX(SA,N111),IF('Pre-Calculation'!$D$17="Type 4 f",SA,IF('Pre-Calculation'!$D$17="Type 4 g",1000+N111,IF('Pre-Calculation'!$D$17="Type 4 h",SA+X111,IF('Pre-Calculation'!$D$17="Type 4 i",MAX(N111,Q111),IF('Pre-Calculation'!$D$17="Type 4 k",MAX(N111,1.01*Q111),IF('Pre-Calculation'!$D$17="Type 4 m",MAX(105%*Q111,SA+N111),IF('Pre-Calculation'!$D$17="Type 4 o",MAX(SA,105%*Q111)+X111+Z111,IF('Pre-Calculation'!$D$17="Type 5",0))))))))))))</f>
        <v>1575000</v>
      </c>
      <c r="Q111" s="175">
        <f t="shared" si="5"/>
        <v>1500000</v>
      </c>
      <c r="R111" s="119">
        <f>L111*(1+GROWTH_RATE)*FMC</f>
        <v>1231.022814</v>
      </c>
      <c r="S111" s="178">
        <f>S110*(1+'Pre-Calculation'!$E$27)</f>
        <v>878297.0364</v>
      </c>
      <c r="T111" s="175">
        <f>-E111+IF(A110=INPUT!$C$11*12,N111,0)</f>
        <v>0</v>
      </c>
      <c r="U111" s="175">
        <f t="shared" si="6"/>
        <v>1186782.939</v>
      </c>
      <c r="V111" s="175">
        <f>U111*(1+GROWTH_RATE_H)*(1-'Pre-Calculation'!$E$31)</f>
        <v>1192429.642</v>
      </c>
      <c r="W111" s="175">
        <f>-E111+IF(A110=INPUT!$C$11*12,V111,0)</f>
        <v>0</v>
      </c>
      <c r="X111" s="179">
        <f t="array" ref="X111">NPV('Pre-Calculation'!$E$20,$E112:E$246)</f>
        <v>97769.95323</v>
      </c>
      <c r="Y111" s="171">
        <f>10%*SA</f>
        <v>100000</v>
      </c>
      <c r="Z111" s="179">
        <f t="array" ref="Z111">NPV('Pre-Calculation'!$E$20,Y112:Y121)</f>
        <v>969592.8037</v>
      </c>
    </row>
    <row r="112" ht="15.75" customHeight="1">
      <c r="A112" s="171">
        <f t="shared" si="1"/>
        <v>106</v>
      </c>
      <c r="B112" s="171">
        <f t="shared" si="2"/>
        <v>9</v>
      </c>
      <c r="C112" s="176">
        <f>EDATE(RCD,A111)</f>
        <v>45746</v>
      </c>
      <c r="D112" s="171">
        <f>Age_At_Entry+'Cashflows_8% from Start'!B112-1</f>
        <v>43</v>
      </c>
      <c r="E112" s="175">
        <f>IF(AND(C112&lt;=Last_Prem,MOD(A111,Mode)=0),Mod_Prem,0)</f>
        <v>0</v>
      </c>
      <c r="F112" s="177">
        <f>E112*VLOOKUP(B112,'Pre-Calculation'!$H$1:$I$31,2,FALSE)</f>
        <v>0</v>
      </c>
      <c r="G112" s="177">
        <f>IF(B112&lt;PT+1,VLOOKUP(B112,'Pre-Calculation'!$H$1:$L$32,3,FALSE)+VLOOKUP(B112,'Pre-Calculation'!$H$1:$L$32,4,FALSE)*'Pre-Calculation'!$D$7,0)</f>
        <v>830</v>
      </c>
      <c r="H112" s="175">
        <f>(E112-(F112+G112)*(1+Tax)+N111)</f>
        <v>1092405.885</v>
      </c>
      <c r="I112" s="175">
        <f>IF(B112&lt;PT+1,VLOOKUP(D112,'Pre-Calculation'!$N$3:$P$79,IF(INPUT!$C$4="M",2,3),FALSE)*(J112/1000)*(1/12),0)</f>
        <v>94.48790602</v>
      </c>
      <c r="J112" s="175">
        <f t="shared" si="3"/>
        <v>482594.1146</v>
      </c>
      <c r="K112" s="175">
        <f>IF('Pre-Calculation'!$D$17="Type 4 a",MAX(SA,H112,1.05*Q112),IF('Pre-Calculation'!$D$17="Type 4 c",H112,IF('Pre-Calculation'!$D$17="Type 4 d",SA+H112,IF('Pre-Calculation'!$D$17="Type 4 e",MAX(SA,H112),IF('Pre-Calculation'!$D$17="Type 4 f",SA,IF('Pre-Calculation'!$D$17="Type 4 g",1000+H112,IF('Pre-Calculation'!$D$17="Type 4 h",SA+X112,IF('Pre-Calculation'!$D$17="Type 4 i",MAX(H112,Q112),IF('Pre-Calculation'!$D$17="Type 4 k",MAX(H112,1.01*Q112),IF('Pre-Calculation'!$D$17="Type 4 m",MAX(105%*Q112,SA+H112),IF('Pre-Calculation'!$D$17="Type 4 o",MAX(SA,105%*Q112)+X112+Z112,IF('Pre-Calculation'!$D$17="Type 5",0))))))))))))</f>
        <v>1575000</v>
      </c>
      <c r="L112" s="175">
        <f>H112-I112*(1+Tax)</f>
        <v>1092294.39</v>
      </c>
      <c r="M112" s="175">
        <f>L112*(1+GROWTH_RATE_H)*(1-FMC*(1+Tax))</f>
        <v>1097863.688</v>
      </c>
      <c r="N112" s="175">
        <f>M112+IF(MOD(A112,B112)=0,VLOOKUP(B112,'Pre-Calculation'!$H$1:$L$31,5,FALSE),0)*IF('Pre-Calculation'!$D$16="% OF FV",M112,IF(OR('Pre-Calculation'!$D$16="% OF AFV(24M)",'Pre-Calculation'!$D$16="% OF AFV(8Q)"),AVERAGE( $M89:$M112),IF('Pre-Calculation'!$D$16="% OF AFV(12M)",AVERAGE($M101:M112),IF('Pre-Calculation'!$D$16="% OF AFV(36M)",AVERAGE($M77:M112)))))</f>
        <v>1097863.688</v>
      </c>
      <c r="O112" s="175">
        <f t="shared" si="4"/>
        <v>1097863.688</v>
      </c>
      <c r="P112" s="175">
        <f>IF('Pre-Calculation'!$D$17="Type 4 a",MAX(SA,N112,1.05*Q112),IF('Pre-Calculation'!$D$17="Type 4 c",N112,IF('Pre-Calculation'!$D$17="Type 4 d",SA+N112,IF('Pre-Calculation'!$D$17="Type 4 e",MAX(SA,N112),IF('Pre-Calculation'!$D$17="Type 4 f",SA,IF('Pre-Calculation'!$D$17="Type 4 g",1000+N112,IF('Pre-Calculation'!$D$17="Type 4 h",SA+X112,IF('Pre-Calculation'!$D$17="Type 4 i",MAX(N112,Q112),IF('Pre-Calculation'!$D$17="Type 4 k",MAX(N112,1.01*Q112),IF('Pre-Calculation'!$D$17="Type 4 m",MAX(105%*Q112,SA+N112),IF('Pre-Calculation'!$D$17="Type 4 o",MAX(SA,105%*Q112)+X112+Z112,IF('Pre-Calculation'!$D$17="Type 5",0))))))))))))</f>
        <v>1575000</v>
      </c>
      <c r="Q112" s="175">
        <f t="shared" si="5"/>
        <v>1500000</v>
      </c>
      <c r="R112" s="119">
        <f>L112*(1+GROWTH_RATE)*FMC</f>
        <v>1236.064967</v>
      </c>
      <c r="S112" s="178">
        <f>S111*(1+'Pre-Calculation'!$E$27)</f>
        <v>880818.5382</v>
      </c>
      <c r="T112" s="175">
        <f>-E112+IF(A111=INPUT!$C$11*12,N112,0)</f>
        <v>0</v>
      </c>
      <c r="U112" s="175">
        <f t="shared" si="6"/>
        <v>1192429.642</v>
      </c>
      <c r="V112" s="175">
        <f>U112*(1+GROWTH_RATE_H)*(1-'Pre-Calculation'!$E$31)</f>
        <v>1198103.212</v>
      </c>
      <c r="W112" s="175">
        <f>-E112+IF(A111=INPUT!$C$11*12,V112,0)</f>
        <v>0</v>
      </c>
      <c r="X112" s="179">
        <f t="array" ref="X112">NPV('Pre-Calculation'!$E$20,$E113:E$246)</f>
        <v>98322.75876</v>
      </c>
      <c r="Y112" s="171">
        <f>10%*SA</f>
        <v>100000</v>
      </c>
      <c r="Z112" s="179">
        <f t="array" ref="Z112">NPV('Pre-Calculation'!$E$20,Y113:Y122)</f>
        <v>969592.8037</v>
      </c>
    </row>
    <row r="113" ht="15.75" customHeight="1">
      <c r="A113" s="171">
        <f t="shared" si="1"/>
        <v>107</v>
      </c>
      <c r="B113" s="171">
        <f t="shared" si="2"/>
        <v>9</v>
      </c>
      <c r="C113" s="176">
        <f>EDATE(RCD,A112)</f>
        <v>45777</v>
      </c>
      <c r="D113" s="171">
        <f>Age_At_Entry+'Cashflows_8% from Start'!B113-1</f>
        <v>43</v>
      </c>
      <c r="E113" s="175">
        <f>IF(AND(C113&lt;=Last_Prem,MOD(A112,Mode)=0),Mod_Prem,0)</f>
        <v>0</v>
      </c>
      <c r="F113" s="177">
        <f>E113*VLOOKUP(B113,'Pre-Calculation'!$H$1:$I$31,2,FALSE)</f>
        <v>0</v>
      </c>
      <c r="G113" s="177">
        <f>IF(B113&lt;PT+1,VLOOKUP(B113,'Pre-Calculation'!$H$1:$L$32,3,FALSE)+VLOOKUP(B113,'Pre-Calculation'!$H$1:$L$32,4,FALSE)*'Pre-Calculation'!$D$7,0)</f>
        <v>830</v>
      </c>
      <c r="H113" s="175">
        <f>(E113-(F113+G113)*(1+Tax)+N112)</f>
        <v>1096884.288</v>
      </c>
      <c r="I113" s="175">
        <f>IF(B113&lt;PT+1,VLOOKUP(D113,'Pre-Calculation'!$N$3:$P$79,IF(INPUT!$C$4="M",2,3),FALSE)*(J113/1000)*(1/12),0)</f>
        <v>93.61107212</v>
      </c>
      <c r="J113" s="175">
        <f t="shared" si="3"/>
        <v>478115.712</v>
      </c>
      <c r="K113" s="175">
        <f>IF('Pre-Calculation'!$D$17="Type 4 a",MAX(SA,H113,1.05*Q113),IF('Pre-Calculation'!$D$17="Type 4 c",H113,IF('Pre-Calculation'!$D$17="Type 4 d",SA+H113,IF('Pre-Calculation'!$D$17="Type 4 e",MAX(SA,H113),IF('Pre-Calculation'!$D$17="Type 4 f",SA,IF('Pre-Calculation'!$D$17="Type 4 g",1000+H113,IF('Pre-Calculation'!$D$17="Type 4 h",SA+X113,IF('Pre-Calculation'!$D$17="Type 4 i",MAX(H113,Q113),IF('Pre-Calculation'!$D$17="Type 4 k",MAX(H113,1.01*Q113),IF('Pre-Calculation'!$D$17="Type 4 m",MAX(105%*Q113,SA+H113),IF('Pre-Calculation'!$D$17="Type 4 o",MAX(SA,105%*Q113)+X113+Z113,IF('Pre-Calculation'!$D$17="Type 5",0))))))))))))</f>
        <v>1575000</v>
      </c>
      <c r="L113" s="175">
        <f>H113-I113*(1+Tax)</f>
        <v>1096773.827</v>
      </c>
      <c r="M113" s="175">
        <f>L113*(1+GROWTH_RATE_H)*(1-FMC*(1+Tax))</f>
        <v>1102365.965</v>
      </c>
      <c r="N113" s="175">
        <f>M113+IF(MOD(A113,B113)=0,VLOOKUP(B113,'Pre-Calculation'!$H$1:$L$31,5,FALSE),0)*IF('Pre-Calculation'!$D$16="% OF FV",M113,IF(OR('Pre-Calculation'!$D$16="% OF AFV(24M)",'Pre-Calculation'!$D$16="% OF AFV(8Q)"),AVERAGE( $M90:$M113),IF('Pre-Calculation'!$D$16="% OF AFV(12M)",AVERAGE($M102:M113),IF('Pre-Calculation'!$D$16="% OF AFV(36M)",AVERAGE($M78:M113)))))</f>
        <v>1102365.965</v>
      </c>
      <c r="O113" s="175">
        <f t="shared" si="4"/>
        <v>1102365.965</v>
      </c>
      <c r="P113" s="175">
        <f>IF('Pre-Calculation'!$D$17="Type 4 a",MAX(SA,N113,1.05*Q113),IF('Pre-Calculation'!$D$17="Type 4 c",N113,IF('Pre-Calculation'!$D$17="Type 4 d",SA+N113,IF('Pre-Calculation'!$D$17="Type 4 e",MAX(SA,N113),IF('Pre-Calculation'!$D$17="Type 4 f",SA,IF('Pre-Calculation'!$D$17="Type 4 g",1000+N113,IF('Pre-Calculation'!$D$17="Type 4 h",SA+X113,IF('Pre-Calculation'!$D$17="Type 4 i",MAX(N113,Q113),IF('Pre-Calculation'!$D$17="Type 4 k",MAX(N113,1.01*Q113),IF('Pre-Calculation'!$D$17="Type 4 m",MAX(105%*Q113,SA+N113),IF('Pre-Calculation'!$D$17="Type 4 o",MAX(SA,105%*Q113)+X113+Z113,IF('Pre-Calculation'!$D$17="Type 5",0))))))))))))</f>
        <v>1575000</v>
      </c>
      <c r="Q113" s="175">
        <f t="shared" si="5"/>
        <v>1500000</v>
      </c>
      <c r="R113" s="119">
        <f>L113*(1+GROWTH_RATE)*FMC</f>
        <v>1241.133999</v>
      </c>
      <c r="S113" s="178">
        <f>S112*(1+'Pre-Calculation'!$E$27)</f>
        <v>883347.279</v>
      </c>
      <c r="T113" s="175">
        <f>-E113+IF(A112=INPUT!$C$11*12,N113,0)</f>
        <v>0</v>
      </c>
      <c r="U113" s="175">
        <f t="shared" si="6"/>
        <v>1198103.212</v>
      </c>
      <c r="V113" s="175">
        <f>U113*(1+GROWTH_RATE_H)*(1-'Pre-Calculation'!$E$31)</f>
        <v>1203803.776</v>
      </c>
      <c r="W113" s="175">
        <f>-E113+IF(A112=INPUT!$C$11*12,V113,0)</f>
        <v>0</v>
      </c>
      <c r="X113" s="179">
        <f t="array" ref="X113">NPV('Pre-Calculation'!$E$20,$E114:E$246)</f>
        <v>98878.68993</v>
      </c>
      <c r="Y113" s="171">
        <f>10%*SA</f>
        <v>100000</v>
      </c>
      <c r="Z113" s="179">
        <f t="array" ref="Z113">NPV('Pre-Calculation'!$E$20,Y114:Y123)</f>
        <v>969592.8037</v>
      </c>
    </row>
    <row r="114" ht="15.75" customHeight="1">
      <c r="A114" s="171">
        <f t="shared" si="1"/>
        <v>108</v>
      </c>
      <c r="B114" s="171">
        <f t="shared" si="2"/>
        <v>9</v>
      </c>
      <c r="C114" s="176">
        <f>EDATE(RCD,A113)</f>
        <v>45807</v>
      </c>
      <c r="D114" s="171">
        <f>Age_At_Entry+'Cashflows_8% from Start'!B114-1</f>
        <v>43</v>
      </c>
      <c r="E114" s="175">
        <f>IF(AND(C114&lt;=Last_Prem,MOD(A113,Mode)=0),Mod_Prem,0)</f>
        <v>0</v>
      </c>
      <c r="F114" s="177">
        <f>E114*VLOOKUP(B114,'Pre-Calculation'!$H$1:$I$31,2,FALSE)</f>
        <v>0</v>
      </c>
      <c r="G114" s="177">
        <f>IF(B114&lt;PT+1,VLOOKUP(B114,'Pre-Calculation'!$H$1:$L$32,3,FALSE)+VLOOKUP(B114,'Pre-Calculation'!$H$1:$L$32,4,FALSE)*'Pre-Calculation'!$D$7,0)</f>
        <v>830</v>
      </c>
      <c r="H114" s="175">
        <f>(E114-(F114+G114)*(1+Tax)+N113)</f>
        <v>1101386.565</v>
      </c>
      <c r="I114" s="175">
        <f>IF(B114&lt;PT+1,VLOOKUP(D114,'Pre-Calculation'!$N$3:$P$79,IF(INPUT!$C$4="M",2,3),FALSE)*(J114/1000)*(1/12),0)</f>
        <v>92.72956387</v>
      </c>
      <c r="J114" s="175">
        <f t="shared" si="3"/>
        <v>473613.4354</v>
      </c>
      <c r="K114" s="175">
        <f>IF('Pre-Calculation'!$D$17="Type 4 a",MAX(SA,H114,1.05*Q114),IF('Pre-Calculation'!$D$17="Type 4 c",H114,IF('Pre-Calculation'!$D$17="Type 4 d",SA+H114,IF('Pre-Calculation'!$D$17="Type 4 e",MAX(SA,H114),IF('Pre-Calculation'!$D$17="Type 4 f",SA,IF('Pre-Calculation'!$D$17="Type 4 g",1000+H114,IF('Pre-Calculation'!$D$17="Type 4 h",SA+X114,IF('Pre-Calculation'!$D$17="Type 4 i",MAX(H114,Q114),IF('Pre-Calculation'!$D$17="Type 4 k",MAX(H114,1.01*Q114),IF('Pre-Calculation'!$D$17="Type 4 m",MAX(105%*Q114,SA+H114),IF('Pre-Calculation'!$D$17="Type 4 o",MAX(SA,105%*Q114)+X114+Z114,IF('Pre-Calculation'!$D$17="Type 5",0))))))))))))</f>
        <v>1575000</v>
      </c>
      <c r="L114" s="175">
        <f>H114-I114*(1+Tax)</f>
        <v>1101277.144</v>
      </c>
      <c r="M114" s="175">
        <f>L114*(1+GROWTH_RATE_H)*(1-FMC*(1+Tax))</f>
        <v>1106892.243</v>
      </c>
      <c r="N114" s="175">
        <f>M114+IF(MOD(A114,B114)=0,VLOOKUP(B114,'Pre-Calculation'!$H$1:$L$31,5,FALSE),0)*IF('Pre-Calculation'!$D$16="% OF FV",M114,IF(OR('Pre-Calculation'!$D$16="% OF AFV(24M)",'Pre-Calculation'!$D$16="% OF AFV(8Q)"),AVERAGE( $M91:$M114),IF('Pre-Calculation'!$D$16="% OF AFV(12M)",AVERAGE($M103:M114),IF('Pre-Calculation'!$D$16="% OF AFV(36M)",AVERAGE($M79:M114)))))</f>
        <v>1106892.243</v>
      </c>
      <c r="O114" s="175">
        <f t="shared" si="4"/>
        <v>1106892.243</v>
      </c>
      <c r="P114" s="175">
        <f>IF('Pre-Calculation'!$D$17="Type 4 a",MAX(SA,N114,1.05*Q114),IF('Pre-Calculation'!$D$17="Type 4 c",N114,IF('Pre-Calculation'!$D$17="Type 4 d",SA+N114,IF('Pre-Calculation'!$D$17="Type 4 e",MAX(SA,N114),IF('Pre-Calculation'!$D$17="Type 4 f",SA,IF('Pre-Calculation'!$D$17="Type 4 g",1000+N114,IF('Pre-Calculation'!$D$17="Type 4 h",SA+X114,IF('Pre-Calculation'!$D$17="Type 4 i",MAX(N114,Q114),IF('Pre-Calculation'!$D$17="Type 4 k",MAX(N114,1.01*Q114),IF('Pre-Calculation'!$D$17="Type 4 m",MAX(105%*Q114,SA+N114),IF('Pre-Calculation'!$D$17="Type 4 o",MAX(SA,105%*Q114)+X114+Z114,IF('Pre-Calculation'!$D$17="Type 5",0))))))))))))</f>
        <v>1575000</v>
      </c>
      <c r="Q114" s="175">
        <f t="shared" si="5"/>
        <v>1500000</v>
      </c>
      <c r="R114" s="119">
        <f>L114*(1+GROWTH_RATE)*FMC</f>
        <v>1246.230054</v>
      </c>
      <c r="S114" s="178">
        <f>S113*(1+'Pre-Calculation'!$E$27)</f>
        <v>885883.2796</v>
      </c>
      <c r="T114" s="175">
        <f>-E114+IF(A113=INPUT!$C$11*12,N114,0)</f>
        <v>0</v>
      </c>
      <c r="U114" s="175">
        <f t="shared" si="6"/>
        <v>1203803.776</v>
      </c>
      <c r="V114" s="175">
        <f>U114*(1+GROWTH_RATE_H)*(1-'Pre-Calculation'!$E$31)</f>
        <v>1209531.464</v>
      </c>
      <c r="W114" s="175">
        <f>-E114+IF(A113=INPUT!$C$11*12,V114,0)</f>
        <v>0</v>
      </c>
      <c r="X114" s="179">
        <f t="array" ref="X114">NPV('Pre-Calculation'!$E$20,$E115:E$246)</f>
        <v>99437.76442</v>
      </c>
      <c r="Y114" s="171">
        <f>10%*SA</f>
        <v>100000</v>
      </c>
      <c r="Z114" s="179">
        <f t="array" ref="Z114">NPV('Pre-Calculation'!$E$20,Y115:Y124)</f>
        <v>969592.8037</v>
      </c>
    </row>
    <row r="115" ht="15.75" customHeight="1">
      <c r="A115" s="171">
        <f t="shared" si="1"/>
        <v>109</v>
      </c>
      <c r="B115" s="171">
        <f t="shared" si="2"/>
        <v>10</v>
      </c>
      <c r="C115" s="176">
        <f>EDATE(RCD,A114)</f>
        <v>45838</v>
      </c>
      <c r="D115" s="171">
        <f>Age_At_Entry+'Cashflows_8% from Start'!B115-1</f>
        <v>44</v>
      </c>
      <c r="E115" s="175">
        <f>IF(AND(C115&lt;=Last_Prem,MOD(A114,Mode)=0),Mod_Prem,0)</f>
        <v>100000</v>
      </c>
      <c r="F115" s="177">
        <f>E115*VLOOKUP(B115,'Pre-Calculation'!$H$1:$I$31,2,FALSE)</f>
        <v>0</v>
      </c>
      <c r="G115" s="177">
        <f>IF(B115&lt;PT+1,VLOOKUP(B115,'Pre-Calculation'!$H$1:$L$32,3,FALSE)+VLOOKUP(B115,'Pre-Calculation'!$H$1:$L$32,4,FALSE)*'Pre-Calculation'!$D$7,0)</f>
        <v>830</v>
      </c>
      <c r="H115" s="175">
        <f>(E115-(F115+G115)*(1+Tax)+N114)</f>
        <v>1205912.843</v>
      </c>
      <c r="I115" s="175">
        <f>IF(B115&lt;PT+1,VLOOKUP(D115,'Pre-Calculation'!$N$3:$P$79,IF(INPUT!$C$4="M",2,3),FALSE)*(J115/1000)*(1/12),0)</f>
        <v>102.4225796</v>
      </c>
      <c r="J115" s="175">
        <f t="shared" si="3"/>
        <v>474087.1574</v>
      </c>
      <c r="K115" s="175">
        <f>IF('Pre-Calculation'!$D$17="Type 4 a",MAX(SA,H115,1.05*Q115),IF('Pre-Calculation'!$D$17="Type 4 c",H115,IF('Pre-Calculation'!$D$17="Type 4 d",SA+H115,IF('Pre-Calculation'!$D$17="Type 4 e",MAX(SA,H115),IF('Pre-Calculation'!$D$17="Type 4 f",SA,IF('Pre-Calculation'!$D$17="Type 4 g",1000+H115,IF('Pre-Calculation'!$D$17="Type 4 h",SA+X115,IF('Pre-Calculation'!$D$17="Type 4 i",MAX(H115,Q115),IF('Pre-Calculation'!$D$17="Type 4 k",MAX(H115,1.01*Q115),IF('Pre-Calculation'!$D$17="Type 4 m",MAX(105%*Q115,SA+H115),IF('Pre-Calculation'!$D$17="Type 4 o",MAX(SA,105%*Q115)+X115+Z115,IF('Pre-Calculation'!$D$17="Type 5",0))))))))))))</f>
        <v>1680000</v>
      </c>
      <c r="L115" s="175">
        <f>H115-I115*(1+Tax)</f>
        <v>1205791.984</v>
      </c>
      <c r="M115" s="175">
        <f>L115*(1+GROWTH_RATE_H)*(1-FMC*(1+Tax))</f>
        <v>1211939.974</v>
      </c>
      <c r="N115" s="175">
        <f>M115+IF(MOD(A115,B115)=0,VLOOKUP(B115,'Pre-Calculation'!$H$1:$L$31,5,FALSE),0)*IF('Pre-Calculation'!$D$16="% OF FV",M115,IF(OR('Pre-Calculation'!$D$16="% OF AFV(24M)",'Pre-Calculation'!$D$16="% OF AFV(8Q)"),AVERAGE( $M92:$M115),IF('Pre-Calculation'!$D$16="% OF AFV(12M)",AVERAGE($M104:M115),IF('Pre-Calculation'!$D$16="% OF AFV(36M)",AVERAGE($M80:M115)))))</f>
        <v>1211939.974</v>
      </c>
      <c r="O115" s="175">
        <f t="shared" si="4"/>
        <v>1211939.974</v>
      </c>
      <c r="P115" s="175">
        <f>IF('Pre-Calculation'!$D$17="Type 4 a",MAX(SA,N115,1.05*Q115),IF('Pre-Calculation'!$D$17="Type 4 c",N115,IF('Pre-Calculation'!$D$17="Type 4 d",SA+N115,IF('Pre-Calculation'!$D$17="Type 4 e",MAX(SA,N115),IF('Pre-Calculation'!$D$17="Type 4 f",SA,IF('Pre-Calculation'!$D$17="Type 4 g",1000+N115,IF('Pre-Calculation'!$D$17="Type 4 h",SA+X115,IF('Pre-Calculation'!$D$17="Type 4 i",MAX(N115,Q115),IF('Pre-Calculation'!$D$17="Type 4 k",MAX(N115,1.01*Q115),IF('Pre-Calculation'!$D$17="Type 4 m",MAX(105%*Q115,SA+N115),IF('Pre-Calculation'!$D$17="Type 4 o",MAX(SA,105%*Q115)+X115+Z115,IF('Pre-Calculation'!$D$17="Type 5",0))))))))))))</f>
        <v>1680000</v>
      </c>
      <c r="Q115" s="175">
        <f t="shared" si="5"/>
        <v>1600000</v>
      </c>
      <c r="R115" s="119">
        <f>L115*(1+GROWTH_RATE)*FMC</f>
        <v>1364.501405</v>
      </c>
      <c r="S115" s="178">
        <f>S114*(1+'Pre-Calculation'!$E$27)</f>
        <v>888426.5608</v>
      </c>
      <c r="T115" s="175">
        <f>-E115+IF(A114=INPUT!$C$11*12,N115,0)</f>
        <v>-100000</v>
      </c>
      <c r="U115" s="175">
        <f t="shared" si="6"/>
        <v>1309531.464</v>
      </c>
      <c r="V115" s="175">
        <f>U115*(1+GROWTH_RATE_H)*(1-'Pre-Calculation'!$E$31)</f>
        <v>1315762.203</v>
      </c>
      <c r="W115" s="175">
        <f>-E115+IF(A114=INPUT!$C$11*12,V115,0)</f>
        <v>-100000</v>
      </c>
      <c r="X115" s="179">
        <f t="array" ref="X115">NPV('Pre-Calculation'!$E$20,$E116:E$246)</f>
        <v>0</v>
      </c>
      <c r="Y115" s="171">
        <f>10%*SA</f>
        <v>100000</v>
      </c>
      <c r="Z115" s="179">
        <f t="array" ref="Z115">NPV('Pre-Calculation'!$E$20,Y116:Y125)</f>
        <v>969592.8037</v>
      </c>
    </row>
    <row r="116" ht="15.75" customHeight="1">
      <c r="A116" s="171">
        <f t="shared" si="1"/>
        <v>110</v>
      </c>
      <c r="B116" s="171">
        <f t="shared" si="2"/>
        <v>10</v>
      </c>
      <c r="C116" s="176">
        <f>EDATE(RCD,A115)</f>
        <v>45868</v>
      </c>
      <c r="D116" s="171">
        <f>Age_At_Entry+'Cashflows_8% from Start'!B116-1</f>
        <v>44</v>
      </c>
      <c r="E116" s="175">
        <f>IF(AND(C116&lt;=Last_Prem,MOD(A115,Mode)=0),Mod_Prem,0)</f>
        <v>0</v>
      </c>
      <c r="F116" s="177">
        <f>E116*VLOOKUP(B116,'Pre-Calculation'!$H$1:$I$31,2,FALSE)</f>
        <v>0</v>
      </c>
      <c r="G116" s="177">
        <f>IF(B116&lt;PT+1,VLOOKUP(B116,'Pre-Calculation'!$H$1:$L$32,3,FALSE)+VLOOKUP(B116,'Pre-Calculation'!$H$1:$L$32,4,FALSE)*'Pre-Calculation'!$D$7,0)</f>
        <v>830</v>
      </c>
      <c r="H116" s="175">
        <f>(E116-(F116+G116)*(1+Tax)+N115)</f>
        <v>1210960.574</v>
      </c>
      <c r="I116" s="175">
        <f>IF(B116&lt;PT+1,VLOOKUP(D116,'Pre-Calculation'!$N$3:$P$79,IF(INPUT!$C$4="M",2,3),FALSE)*(J116/1000)*(1/12),0)</f>
        <v>101.3320593</v>
      </c>
      <c r="J116" s="175">
        <f t="shared" si="3"/>
        <v>469039.4258</v>
      </c>
      <c r="K116" s="175">
        <f>IF('Pre-Calculation'!$D$17="Type 4 a",MAX(SA,H116,1.05*Q116),IF('Pre-Calculation'!$D$17="Type 4 c",H116,IF('Pre-Calculation'!$D$17="Type 4 d",SA+H116,IF('Pre-Calculation'!$D$17="Type 4 e",MAX(SA,H116),IF('Pre-Calculation'!$D$17="Type 4 f",SA,IF('Pre-Calculation'!$D$17="Type 4 g",1000+H116,IF('Pre-Calculation'!$D$17="Type 4 h",SA+X116,IF('Pre-Calculation'!$D$17="Type 4 i",MAX(H116,Q116),IF('Pre-Calculation'!$D$17="Type 4 k",MAX(H116,1.01*Q116),IF('Pre-Calculation'!$D$17="Type 4 m",MAX(105%*Q116,SA+H116),IF('Pre-Calculation'!$D$17="Type 4 o",MAX(SA,105%*Q116)+X116+Z116,IF('Pre-Calculation'!$D$17="Type 5",0))))))))))))</f>
        <v>1680000</v>
      </c>
      <c r="L116" s="175">
        <f>H116-I116*(1+Tax)</f>
        <v>1210841.002</v>
      </c>
      <c r="M116" s="175">
        <f>L116*(1+GROWTH_RATE_H)*(1-FMC*(1+Tax))</f>
        <v>1217014.736</v>
      </c>
      <c r="N116" s="175">
        <f>M116+IF(MOD(A116,B116)=0,VLOOKUP(B116,'Pre-Calculation'!$H$1:$L$31,5,FALSE),0)*IF('Pre-Calculation'!$D$16="% OF FV",M116,IF(OR('Pre-Calculation'!$D$16="% OF AFV(24M)",'Pre-Calculation'!$D$16="% OF AFV(8Q)"),AVERAGE( $M93:$M116),IF('Pre-Calculation'!$D$16="% OF AFV(12M)",AVERAGE($M105:M116),IF('Pre-Calculation'!$D$16="% OF AFV(36M)",AVERAGE($M81:M116)))))</f>
        <v>1217014.736</v>
      </c>
      <c r="O116" s="175">
        <f t="shared" si="4"/>
        <v>1217014.736</v>
      </c>
      <c r="P116" s="175">
        <f>IF('Pre-Calculation'!$D$17="Type 4 a",MAX(SA,N116,1.05*Q116),IF('Pre-Calculation'!$D$17="Type 4 c",N116,IF('Pre-Calculation'!$D$17="Type 4 d",SA+N116,IF('Pre-Calculation'!$D$17="Type 4 e",MAX(SA,N116),IF('Pre-Calculation'!$D$17="Type 4 f",SA,IF('Pre-Calculation'!$D$17="Type 4 g",1000+N116,IF('Pre-Calculation'!$D$17="Type 4 h",SA+X116,IF('Pre-Calculation'!$D$17="Type 4 i",MAX(N116,Q116),IF('Pre-Calculation'!$D$17="Type 4 k",MAX(N116,1.01*Q116),IF('Pre-Calculation'!$D$17="Type 4 m",MAX(105%*Q116,SA+N116),IF('Pre-Calculation'!$D$17="Type 4 o",MAX(SA,105%*Q116)+X116+Z116,IF('Pre-Calculation'!$D$17="Type 5",0))))))))))))</f>
        <v>1680000</v>
      </c>
      <c r="Q116" s="175">
        <f t="shared" si="5"/>
        <v>1600000</v>
      </c>
      <c r="R116" s="119">
        <f>L116*(1+GROWTH_RATE)*FMC</f>
        <v>1370.214988</v>
      </c>
      <c r="S116" s="178">
        <f>S115*(1+'Pre-Calculation'!$E$27)</f>
        <v>890977.1435</v>
      </c>
      <c r="T116" s="175">
        <f>-E116+IF(A115=INPUT!$C$11*12,N116,0)</f>
        <v>0</v>
      </c>
      <c r="U116" s="175">
        <f t="shared" si="6"/>
        <v>1315762.203</v>
      </c>
      <c r="V116" s="175">
        <f>U116*(1+GROWTH_RATE_H)*(1-'Pre-Calculation'!$E$31)</f>
        <v>1322022.588</v>
      </c>
      <c r="W116" s="175">
        <f>-E116+IF(A115=INPUT!$C$11*12,V116,0)</f>
        <v>0</v>
      </c>
      <c r="X116" s="179">
        <f t="array" ref="X116">NPV('Pre-Calculation'!$E$20,$E117:E$246)</f>
        <v>0</v>
      </c>
      <c r="Y116" s="171">
        <f>10%*SA</f>
        <v>100000</v>
      </c>
      <c r="Z116" s="179">
        <f t="array" ref="Z116">NPV('Pre-Calculation'!$E$20,Y117:Y126)</f>
        <v>969592.8037</v>
      </c>
    </row>
    <row r="117" ht="15.75" customHeight="1">
      <c r="A117" s="171">
        <f t="shared" si="1"/>
        <v>111</v>
      </c>
      <c r="B117" s="171">
        <f t="shared" si="2"/>
        <v>10</v>
      </c>
      <c r="C117" s="176">
        <f>EDATE(RCD,A116)</f>
        <v>45899</v>
      </c>
      <c r="D117" s="171">
        <f>Age_At_Entry+'Cashflows_8% from Start'!B117-1</f>
        <v>44</v>
      </c>
      <c r="E117" s="175">
        <f>IF(AND(C117&lt;=Last_Prem,MOD(A116,Mode)=0),Mod_Prem,0)</f>
        <v>0</v>
      </c>
      <c r="F117" s="177">
        <f>E117*VLOOKUP(B117,'Pre-Calculation'!$H$1:$I$31,2,FALSE)</f>
        <v>0</v>
      </c>
      <c r="G117" s="177">
        <f>IF(B117&lt;PT+1,VLOOKUP(B117,'Pre-Calculation'!$H$1:$L$32,3,FALSE)+VLOOKUP(B117,'Pre-Calculation'!$H$1:$L$32,4,FALSE)*'Pre-Calculation'!$D$7,0)</f>
        <v>830</v>
      </c>
      <c r="H117" s="175">
        <f>(E117-(F117+G117)*(1+Tax)+N116)</f>
        <v>1216035.336</v>
      </c>
      <c r="I117" s="175">
        <f>IF(B117&lt;PT+1,VLOOKUP(D117,'Pre-Calculation'!$N$3:$P$79,IF(INPUT!$C$4="M",2,3),FALSE)*(J117/1000)*(1/12),0)</f>
        <v>100.2356993</v>
      </c>
      <c r="J117" s="175">
        <f t="shared" si="3"/>
        <v>463964.6638</v>
      </c>
      <c r="K117" s="175">
        <f>IF('Pre-Calculation'!$D$17="Type 4 a",MAX(SA,H117,1.05*Q117),IF('Pre-Calculation'!$D$17="Type 4 c",H117,IF('Pre-Calculation'!$D$17="Type 4 d",SA+H117,IF('Pre-Calculation'!$D$17="Type 4 e",MAX(SA,H117),IF('Pre-Calculation'!$D$17="Type 4 f",SA,IF('Pre-Calculation'!$D$17="Type 4 g",1000+H117,IF('Pre-Calculation'!$D$17="Type 4 h",SA+X117,IF('Pre-Calculation'!$D$17="Type 4 i",MAX(H117,Q117),IF('Pre-Calculation'!$D$17="Type 4 k",MAX(H117,1.01*Q117),IF('Pre-Calculation'!$D$17="Type 4 m",MAX(105%*Q117,SA+H117),IF('Pre-Calculation'!$D$17="Type 4 o",MAX(SA,105%*Q117)+X117+Z117,IF('Pre-Calculation'!$D$17="Type 5",0))))))))))))</f>
        <v>1680000</v>
      </c>
      <c r="L117" s="175">
        <f>H117-I117*(1+Tax)</f>
        <v>1215917.058</v>
      </c>
      <c r="M117" s="175">
        <f>L117*(1+GROWTH_RATE_H)*(1-FMC*(1+Tax))</f>
        <v>1222116.673</v>
      </c>
      <c r="N117" s="175">
        <f>M117+IF(MOD(A117,B117)=0,VLOOKUP(B117,'Pre-Calculation'!$H$1:$L$31,5,FALSE),0)*IF('Pre-Calculation'!$D$16="% OF FV",M117,IF(OR('Pre-Calculation'!$D$16="% OF AFV(24M)",'Pre-Calculation'!$D$16="% OF AFV(8Q)"),AVERAGE( $M94:$M117),IF('Pre-Calculation'!$D$16="% OF AFV(12M)",AVERAGE($M106:M117),IF('Pre-Calculation'!$D$16="% OF AFV(36M)",AVERAGE($M82:M117)))))</f>
        <v>1222116.673</v>
      </c>
      <c r="O117" s="175">
        <f t="shared" si="4"/>
        <v>1222116.673</v>
      </c>
      <c r="P117" s="175">
        <f>IF('Pre-Calculation'!$D$17="Type 4 a",MAX(SA,N117,1.05*Q117),IF('Pre-Calculation'!$D$17="Type 4 c",N117,IF('Pre-Calculation'!$D$17="Type 4 d",SA+N117,IF('Pre-Calculation'!$D$17="Type 4 e",MAX(SA,N117),IF('Pre-Calculation'!$D$17="Type 4 f",SA,IF('Pre-Calculation'!$D$17="Type 4 g",1000+N117,IF('Pre-Calculation'!$D$17="Type 4 h",SA+X117,IF('Pre-Calculation'!$D$17="Type 4 i",MAX(N117,Q117),IF('Pre-Calculation'!$D$17="Type 4 k",MAX(N117,1.01*Q117),IF('Pre-Calculation'!$D$17="Type 4 m",MAX(105%*Q117,SA+N117),IF('Pre-Calculation'!$D$17="Type 4 o",MAX(SA,105%*Q117)+X117+Z117,IF('Pre-Calculation'!$D$17="Type 5",0))))))))))))</f>
        <v>1680000</v>
      </c>
      <c r="Q117" s="175">
        <f t="shared" si="5"/>
        <v>1600000</v>
      </c>
      <c r="R117" s="119">
        <f>L117*(1+GROWTH_RATE)*FMC</f>
        <v>1375.959167</v>
      </c>
      <c r="S117" s="178">
        <f>S116*(1+'Pre-Calculation'!$E$27)</f>
        <v>893535.0486</v>
      </c>
      <c r="T117" s="175">
        <f>-E117+IF(A116=INPUT!$C$11*12,N117,0)</f>
        <v>0</v>
      </c>
      <c r="U117" s="175">
        <f t="shared" si="6"/>
        <v>1322022.588</v>
      </c>
      <c r="V117" s="175">
        <f>U117*(1+GROWTH_RATE_H)*(1-'Pre-Calculation'!$E$31)</f>
        <v>1328312.76</v>
      </c>
      <c r="W117" s="175">
        <f>-E117+IF(A116=INPUT!$C$11*12,V117,0)</f>
        <v>0</v>
      </c>
      <c r="X117" s="179">
        <f t="array" ref="X117">NPV('Pre-Calculation'!$E$20,$E118:E$246)</f>
        <v>0</v>
      </c>
      <c r="Y117" s="171">
        <f>10%*SA</f>
        <v>100000</v>
      </c>
      <c r="Z117" s="179">
        <f t="array" ref="Z117">NPV('Pre-Calculation'!$E$20,Y118:Y127)</f>
        <v>969592.8037</v>
      </c>
    </row>
    <row r="118" ht="15.75" customHeight="1">
      <c r="A118" s="171">
        <f t="shared" si="1"/>
        <v>112</v>
      </c>
      <c r="B118" s="171">
        <f t="shared" si="2"/>
        <v>10</v>
      </c>
      <c r="C118" s="176">
        <f>EDATE(RCD,A117)</f>
        <v>45930</v>
      </c>
      <c r="D118" s="171">
        <f>Age_At_Entry+'Cashflows_8% from Start'!B118-1</f>
        <v>44</v>
      </c>
      <c r="E118" s="175">
        <f>IF(AND(C118&lt;=Last_Prem,MOD(A117,Mode)=0),Mod_Prem,0)</f>
        <v>0</v>
      </c>
      <c r="F118" s="177">
        <f>E118*VLOOKUP(B118,'Pre-Calculation'!$H$1:$I$31,2,FALSE)</f>
        <v>0</v>
      </c>
      <c r="G118" s="177">
        <f>IF(B118&lt;PT+1,VLOOKUP(B118,'Pre-Calculation'!$H$1:$L$32,3,FALSE)+VLOOKUP(B118,'Pre-Calculation'!$H$1:$L$32,4,FALSE)*'Pre-Calculation'!$D$7,0)</f>
        <v>830</v>
      </c>
      <c r="H118" s="175">
        <f>(E118-(F118+G118)*(1+Tax)+N117)</f>
        <v>1221137.273</v>
      </c>
      <c r="I118" s="175">
        <f>IF(B118&lt;PT+1,VLOOKUP(D118,'Pre-Calculation'!$N$3:$P$79,IF(INPUT!$C$4="M",2,3),FALSE)*(J118/1000)*(1/12),0)</f>
        <v>99.13346827</v>
      </c>
      <c r="J118" s="175">
        <f t="shared" si="3"/>
        <v>458862.7268</v>
      </c>
      <c r="K118" s="175">
        <f>IF('Pre-Calculation'!$D$17="Type 4 a",MAX(SA,H118,1.05*Q118),IF('Pre-Calculation'!$D$17="Type 4 c",H118,IF('Pre-Calculation'!$D$17="Type 4 d",SA+H118,IF('Pre-Calculation'!$D$17="Type 4 e",MAX(SA,H118),IF('Pre-Calculation'!$D$17="Type 4 f",SA,IF('Pre-Calculation'!$D$17="Type 4 g",1000+H118,IF('Pre-Calculation'!$D$17="Type 4 h",SA+X118,IF('Pre-Calculation'!$D$17="Type 4 i",MAX(H118,Q118),IF('Pre-Calculation'!$D$17="Type 4 k",MAX(H118,1.01*Q118),IF('Pre-Calculation'!$D$17="Type 4 m",MAX(105%*Q118,SA+H118),IF('Pre-Calculation'!$D$17="Type 4 o",MAX(SA,105%*Q118)+X118+Z118,IF('Pre-Calculation'!$D$17="Type 5",0))))))))))))</f>
        <v>1680000</v>
      </c>
      <c r="L118" s="175">
        <f>H118-I118*(1+Tax)</f>
        <v>1221020.296</v>
      </c>
      <c r="M118" s="175">
        <f>L118*(1+GROWTH_RATE_H)*(1-FMC*(1+Tax))</f>
        <v>1227245.931</v>
      </c>
      <c r="N118" s="175">
        <f>M118+IF(MOD(A118,B118)=0,VLOOKUP(B118,'Pre-Calculation'!$H$1:$L$31,5,FALSE),0)*IF('Pre-Calculation'!$D$16="% OF FV",M118,IF(OR('Pre-Calculation'!$D$16="% OF AFV(24M)",'Pre-Calculation'!$D$16="% OF AFV(8Q)"),AVERAGE( $M95:$M118),IF('Pre-Calculation'!$D$16="% OF AFV(12M)",AVERAGE($M107:M118),IF('Pre-Calculation'!$D$16="% OF AFV(36M)",AVERAGE($M83:M118)))))</f>
        <v>1227245.931</v>
      </c>
      <c r="O118" s="175">
        <f t="shared" si="4"/>
        <v>1227245.931</v>
      </c>
      <c r="P118" s="175">
        <f>IF('Pre-Calculation'!$D$17="Type 4 a",MAX(SA,N118,1.05*Q118),IF('Pre-Calculation'!$D$17="Type 4 c",N118,IF('Pre-Calculation'!$D$17="Type 4 d",SA+N118,IF('Pre-Calculation'!$D$17="Type 4 e",MAX(SA,N118),IF('Pre-Calculation'!$D$17="Type 4 f",SA,IF('Pre-Calculation'!$D$17="Type 4 g",1000+N118,IF('Pre-Calculation'!$D$17="Type 4 h",SA+X118,IF('Pre-Calculation'!$D$17="Type 4 i",MAX(N118,Q118),IF('Pre-Calculation'!$D$17="Type 4 k",MAX(N118,1.01*Q118),IF('Pre-Calculation'!$D$17="Type 4 m",MAX(105%*Q118,SA+N118),IF('Pre-Calculation'!$D$17="Type 4 o",MAX(SA,105%*Q118)+X118+Z118,IF('Pre-Calculation'!$D$17="Type 5",0))))))))))))</f>
        <v>1680000</v>
      </c>
      <c r="Q118" s="175">
        <f t="shared" si="5"/>
        <v>1600000</v>
      </c>
      <c r="R118" s="119">
        <f>L118*(1+GROWTH_RATE)*FMC</f>
        <v>1381.734106</v>
      </c>
      <c r="S118" s="178">
        <f>S117*(1+'Pre-Calculation'!$E$27)</f>
        <v>896100.2972</v>
      </c>
      <c r="T118" s="175">
        <f>-E118+IF(A117=INPUT!$C$11*12,N118,0)</f>
        <v>0</v>
      </c>
      <c r="U118" s="175">
        <f t="shared" si="6"/>
        <v>1328312.76</v>
      </c>
      <c r="V118" s="175">
        <f>U118*(1+GROWTH_RATE_H)*(1-'Pre-Calculation'!$E$31)</f>
        <v>1334632.86</v>
      </c>
      <c r="W118" s="175">
        <f>-E118+IF(A117=INPUT!$C$11*12,V118,0)</f>
        <v>0</v>
      </c>
      <c r="X118" s="179">
        <f t="array" ref="X118">NPV('Pre-Calculation'!$E$20,$E119:E$246)</f>
        <v>0</v>
      </c>
      <c r="Y118" s="171">
        <f>10%*SA</f>
        <v>100000</v>
      </c>
      <c r="Z118" s="179">
        <f t="array" ref="Z118">NPV('Pre-Calculation'!$E$20,Y119:Y128)</f>
        <v>969592.8037</v>
      </c>
    </row>
    <row r="119" ht="15.75" customHeight="1">
      <c r="A119" s="171">
        <f t="shared" si="1"/>
        <v>113</v>
      </c>
      <c r="B119" s="171">
        <f t="shared" si="2"/>
        <v>10</v>
      </c>
      <c r="C119" s="176">
        <f>EDATE(RCD,A118)</f>
        <v>45960</v>
      </c>
      <c r="D119" s="171">
        <f>Age_At_Entry+'Cashflows_8% from Start'!B119-1</f>
        <v>44</v>
      </c>
      <c r="E119" s="175">
        <f>IF(AND(C119&lt;=Last_Prem,MOD(A118,Mode)=0),Mod_Prem,0)</f>
        <v>0</v>
      </c>
      <c r="F119" s="177">
        <f>E119*VLOOKUP(B119,'Pre-Calculation'!$H$1:$I$31,2,FALSE)</f>
        <v>0</v>
      </c>
      <c r="G119" s="177">
        <f>IF(B119&lt;PT+1,VLOOKUP(B119,'Pre-Calculation'!$H$1:$L$32,3,FALSE)+VLOOKUP(B119,'Pre-Calculation'!$H$1:$L$32,4,FALSE)*'Pre-Calculation'!$D$7,0)</f>
        <v>830</v>
      </c>
      <c r="H119" s="175">
        <f>(E119-(F119+G119)*(1+Tax)+N118)</f>
        <v>1226266.531</v>
      </c>
      <c r="I119" s="175">
        <f>IF(B119&lt;PT+1,VLOOKUP(D119,'Pre-Calculation'!$N$3:$P$79,IF(INPUT!$C$4="M",2,3),FALSE)*(J119/1000)*(1/12),0)</f>
        <v>98.02533491</v>
      </c>
      <c r="J119" s="175">
        <f t="shared" si="3"/>
        <v>453733.4692</v>
      </c>
      <c r="K119" s="175">
        <f>IF('Pre-Calculation'!$D$17="Type 4 a",MAX(SA,H119,1.05*Q119),IF('Pre-Calculation'!$D$17="Type 4 c",H119,IF('Pre-Calculation'!$D$17="Type 4 d",SA+H119,IF('Pre-Calculation'!$D$17="Type 4 e",MAX(SA,H119),IF('Pre-Calculation'!$D$17="Type 4 f",SA,IF('Pre-Calculation'!$D$17="Type 4 g",1000+H119,IF('Pre-Calculation'!$D$17="Type 4 h",SA+X119,IF('Pre-Calculation'!$D$17="Type 4 i",MAX(H119,Q119),IF('Pre-Calculation'!$D$17="Type 4 k",MAX(H119,1.01*Q119),IF('Pre-Calculation'!$D$17="Type 4 m",MAX(105%*Q119,SA+H119),IF('Pre-Calculation'!$D$17="Type 4 o",MAX(SA,105%*Q119)+X119+Z119,IF('Pre-Calculation'!$D$17="Type 5",0))))))))))))</f>
        <v>1680000</v>
      </c>
      <c r="L119" s="175">
        <f>H119-I119*(1+Tax)</f>
        <v>1226150.861</v>
      </c>
      <c r="M119" s="175">
        <f>L119*(1+GROWTH_RATE_H)*(1-FMC*(1+Tax))</f>
        <v>1232402.655</v>
      </c>
      <c r="N119" s="175">
        <f>M119+IF(MOD(A119,B119)=0,VLOOKUP(B119,'Pre-Calculation'!$H$1:$L$31,5,FALSE),0)*IF('Pre-Calculation'!$D$16="% OF FV",M119,IF(OR('Pre-Calculation'!$D$16="% OF AFV(24M)",'Pre-Calculation'!$D$16="% OF AFV(8Q)"),AVERAGE( $M96:$M119),IF('Pre-Calculation'!$D$16="% OF AFV(12M)",AVERAGE($M108:M119),IF('Pre-Calculation'!$D$16="% OF AFV(36M)",AVERAGE($M84:M119)))))</f>
        <v>1232402.655</v>
      </c>
      <c r="O119" s="175">
        <f t="shared" si="4"/>
        <v>1232402.655</v>
      </c>
      <c r="P119" s="175">
        <f>IF('Pre-Calculation'!$D$17="Type 4 a",MAX(SA,N119,1.05*Q119),IF('Pre-Calculation'!$D$17="Type 4 c",N119,IF('Pre-Calculation'!$D$17="Type 4 d",SA+N119,IF('Pre-Calculation'!$D$17="Type 4 e",MAX(SA,N119),IF('Pre-Calculation'!$D$17="Type 4 f",SA,IF('Pre-Calculation'!$D$17="Type 4 g",1000+N119,IF('Pre-Calculation'!$D$17="Type 4 h",SA+X119,IF('Pre-Calculation'!$D$17="Type 4 i",MAX(N119,Q119),IF('Pre-Calculation'!$D$17="Type 4 k",MAX(N119,1.01*Q119),IF('Pre-Calculation'!$D$17="Type 4 m",MAX(105%*Q119,SA+N119),IF('Pre-Calculation'!$D$17="Type 4 o",MAX(SA,105%*Q119)+X119+Z119,IF('Pre-Calculation'!$D$17="Type 5",0))))))))))))</f>
        <v>1680000</v>
      </c>
      <c r="Q119" s="175">
        <f t="shared" si="5"/>
        <v>1600000</v>
      </c>
      <c r="R119" s="119">
        <f>L119*(1+GROWTH_RATE)*FMC</f>
        <v>1387.539969</v>
      </c>
      <c r="S119" s="178">
        <f>S118*(1+'Pre-Calculation'!$E$27)</f>
        <v>898672.9104</v>
      </c>
      <c r="T119" s="175">
        <f>-E119+IF(A118=INPUT!$C$11*12,N119,0)</f>
        <v>0</v>
      </c>
      <c r="U119" s="175">
        <f t="shared" si="6"/>
        <v>1334632.86</v>
      </c>
      <c r="V119" s="175">
        <f>U119*(1+GROWTH_RATE_H)*(1-'Pre-Calculation'!$E$31)</f>
        <v>1340983.032</v>
      </c>
      <c r="W119" s="175">
        <f>-E119+IF(A118=INPUT!$C$11*12,V119,0)</f>
        <v>0</v>
      </c>
      <c r="X119" s="179">
        <f t="array" ref="X119">NPV('Pre-Calculation'!$E$20,$E120:E$246)</f>
        <v>0</v>
      </c>
      <c r="Y119" s="171">
        <f>10%*SA</f>
        <v>100000</v>
      </c>
      <c r="Z119" s="179">
        <f t="array" ref="Z119">NPV('Pre-Calculation'!$E$20,Y120:Y129)</f>
        <v>969592.8037</v>
      </c>
    </row>
    <row r="120" ht="15.75" customHeight="1">
      <c r="A120" s="171">
        <f t="shared" si="1"/>
        <v>114</v>
      </c>
      <c r="B120" s="171">
        <f t="shared" si="2"/>
        <v>10</v>
      </c>
      <c r="C120" s="176">
        <f>EDATE(RCD,A119)</f>
        <v>45991</v>
      </c>
      <c r="D120" s="171">
        <f>Age_At_Entry+'Cashflows_8% from Start'!B120-1</f>
        <v>44</v>
      </c>
      <c r="E120" s="175">
        <f>IF(AND(C120&lt;=Last_Prem,MOD(A119,Mode)=0),Mod_Prem,0)</f>
        <v>0</v>
      </c>
      <c r="F120" s="177">
        <f>E120*VLOOKUP(B120,'Pre-Calculation'!$H$1:$I$31,2,FALSE)</f>
        <v>0</v>
      </c>
      <c r="G120" s="177">
        <f>IF(B120&lt;PT+1,VLOOKUP(B120,'Pre-Calculation'!$H$1:$L$32,3,FALSE)+VLOOKUP(B120,'Pre-Calculation'!$H$1:$L$32,4,FALSE)*'Pre-Calculation'!$D$7,0)</f>
        <v>830</v>
      </c>
      <c r="H120" s="175">
        <f>(E120-(F120+G120)*(1+Tax)+N119)</f>
        <v>1231423.255</v>
      </c>
      <c r="I120" s="175">
        <f>IF(B120&lt;PT+1,VLOOKUP(D120,'Pre-Calculation'!$N$3:$P$79,IF(INPUT!$C$4="M",2,3),FALSE)*(J120/1000)*(1/12),0)</f>
        <v>96.91126755</v>
      </c>
      <c r="J120" s="175">
        <f t="shared" si="3"/>
        <v>448576.7447</v>
      </c>
      <c r="K120" s="175">
        <f>IF('Pre-Calculation'!$D$17="Type 4 a",MAX(SA,H120,1.05*Q120),IF('Pre-Calculation'!$D$17="Type 4 c",H120,IF('Pre-Calculation'!$D$17="Type 4 d",SA+H120,IF('Pre-Calculation'!$D$17="Type 4 e",MAX(SA,H120),IF('Pre-Calculation'!$D$17="Type 4 f",SA,IF('Pre-Calculation'!$D$17="Type 4 g",1000+H120,IF('Pre-Calculation'!$D$17="Type 4 h",SA+X120,IF('Pre-Calculation'!$D$17="Type 4 i",MAX(H120,Q120),IF('Pre-Calculation'!$D$17="Type 4 k",MAX(H120,1.01*Q120),IF('Pre-Calculation'!$D$17="Type 4 m",MAX(105%*Q120,SA+H120),IF('Pre-Calculation'!$D$17="Type 4 o",MAX(SA,105%*Q120)+X120+Z120,IF('Pre-Calculation'!$D$17="Type 5",0))))))))))))</f>
        <v>1680000</v>
      </c>
      <c r="L120" s="175">
        <f>H120-I120*(1+Tax)</f>
        <v>1231308.9</v>
      </c>
      <c r="M120" s="175">
        <f>L120*(1+GROWTH_RATE_H)*(1-FMC*(1+Tax))</f>
        <v>1237586.994</v>
      </c>
      <c r="N120" s="175">
        <f>M120+IF(MOD(A120,B120)=0,VLOOKUP(B120,'Pre-Calculation'!$H$1:$L$31,5,FALSE),0)*IF('Pre-Calculation'!$D$16="% OF FV",M120,IF(OR('Pre-Calculation'!$D$16="% OF AFV(24M)",'Pre-Calculation'!$D$16="% OF AFV(8Q)"),AVERAGE( $M97:$M120),IF('Pre-Calculation'!$D$16="% OF AFV(12M)",AVERAGE($M109:M120),IF('Pre-Calculation'!$D$16="% OF AFV(36M)",AVERAGE($M85:M120)))))</f>
        <v>1237586.994</v>
      </c>
      <c r="O120" s="175">
        <f t="shared" si="4"/>
        <v>1237586.994</v>
      </c>
      <c r="P120" s="175">
        <f>IF('Pre-Calculation'!$D$17="Type 4 a",MAX(SA,N120,1.05*Q120),IF('Pre-Calculation'!$D$17="Type 4 c",N120,IF('Pre-Calculation'!$D$17="Type 4 d",SA+N120,IF('Pre-Calculation'!$D$17="Type 4 e",MAX(SA,N120),IF('Pre-Calculation'!$D$17="Type 4 f",SA,IF('Pre-Calculation'!$D$17="Type 4 g",1000+N120,IF('Pre-Calculation'!$D$17="Type 4 h",SA+X120,IF('Pre-Calculation'!$D$17="Type 4 i",MAX(N120,Q120),IF('Pre-Calculation'!$D$17="Type 4 k",MAX(N120,1.01*Q120),IF('Pre-Calculation'!$D$17="Type 4 m",MAX(105%*Q120,SA+N120),IF('Pre-Calculation'!$D$17="Type 4 o",MAX(SA,105%*Q120)+X120+Z120,IF('Pre-Calculation'!$D$17="Type 5",0))))))))))))</f>
        <v>1680000</v>
      </c>
      <c r="Q120" s="175">
        <f t="shared" si="5"/>
        <v>1600000</v>
      </c>
      <c r="R120" s="119">
        <f>L120*(1+GROWTH_RATE)*FMC</f>
        <v>1393.376922</v>
      </c>
      <c r="S120" s="178">
        <f>S119*(1+'Pre-Calculation'!$E$27)</f>
        <v>901252.9093</v>
      </c>
      <c r="T120" s="175">
        <f>-E120+IF(A119=INPUT!$C$11*12,N120,0)</f>
        <v>0</v>
      </c>
      <c r="U120" s="175">
        <f t="shared" si="6"/>
        <v>1340983.032</v>
      </c>
      <c r="V120" s="175">
        <f>U120*(1+GROWTH_RATE_H)*(1-'Pre-Calculation'!$E$31)</f>
        <v>1347363.417</v>
      </c>
      <c r="W120" s="175">
        <f>-E120+IF(A119=INPUT!$C$11*12,V120,0)</f>
        <v>0</v>
      </c>
      <c r="X120" s="179">
        <f t="array" ref="X120">NPV('Pre-Calculation'!$E$20,$E121:E$246)</f>
        <v>0</v>
      </c>
      <c r="Y120" s="171">
        <f>10%*SA</f>
        <v>100000</v>
      </c>
      <c r="Z120" s="179">
        <f t="array" ref="Z120">NPV('Pre-Calculation'!$E$20,Y121:Y130)</f>
        <v>969592.8037</v>
      </c>
    </row>
    <row r="121" ht="15.75" customHeight="1">
      <c r="A121" s="171">
        <f t="shared" si="1"/>
        <v>115</v>
      </c>
      <c r="B121" s="171">
        <f t="shared" si="2"/>
        <v>10</v>
      </c>
      <c r="C121" s="176">
        <f>EDATE(RCD,A120)</f>
        <v>46021</v>
      </c>
      <c r="D121" s="171">
        <f>Age_At_Entry+'Cashflows_8% from Start'!B121-1</f>
        <v>44</v>
      </c>
      <c r="E121" s="175">
        <f>IF(AND(C121&lt;=Last_Prem,MOD(A120,Mode)=0),Mod_Prem,0)</f>
        <v>0</v>
      </c>
      <c r="F121" s="177">
        <f>E121*VLOOKUP(B121,'Pre-Calculation'!$H$1:$I$31,2,FALSE)</f>
        <v>0</v>
      </c>
      <c r="G121" s="177">
        <f>IF(B121&lt;PT+1,VLOOKUP(B121,'Pre-Calculation'!$H$1:$L$32,3,FALSE)+VLOOKUP(B121,'Pre-Calculation'!$H$1:$L$32,4,FALSE)*'Pre-Calculation'!$D$7,0)</f>
        <v>830</v>
      </c>
      <c r="H121" s="175">
        <f>(E121-(F121+G121)*(1+Tax)+N120)</f>
        <v>1236607.594</v>
      </c>
      <c r="I121" s="175">
        <f>IF(B121&lt;PT+1,VLOOKUP(D121,'Pre-Calculation'!$N$3:$P$79,IF(INPUT!$C$4="M",2,3),FALSE)*(J121/1000)*(1/12),0)</f>
        <v>95.79123443</v>
      </c>
      <c r="J121" s="175">
        <f t="shared" si="3"/>
        <v>443392.4062</v>
      </c>
      <c r="K121" s="175">
        <f>IF('Pre-Calculation'!$D$17="Type 4 a",MAX(SA,H121,1.05*Q121),IF('Pre-Calculation'!$D$17="Type 4 c",H121,IF('Pre-Calculation'!$D$17="Type 4 d",SA+H121,IF('Pre-Calculation'!$D$17="Type 4 e",MAX(SA,H121),IF('Pre-Calculation'!$D$17="Type 4 f",SA,IF('Pre-Calculation'!$D$17="Type 4 g",1000+H121,IF('Pre-Calculation'!$D$17="Type 4 h",SA+X121,IF('Pre-Calculation'!$D$17="Type 4 i",MAX(H121,Q121),IF('Pre-Calculation'!$D$17="Type 4 k",MAX(H121,1.01*Q121),IF('Pre-Calculation'!$D$17="Type 4 m",MAX(105%*Q121,SA+H121),IF('Pre-Calculation'!$D$17="Type 4 o",MAX(SA,105%*Q121)+X121+Z121,IF('Pre-Calculation'!$D$17="Type 5",0))))))))))))</f>
        <v>1680000</v>
      </c>
      <c r="L121" s="175">
        <f>H121-I121*(1+Tax)</f>
        <v>1236494.56</v>
      </c>
      <c r="M121" s="175">
        <f>L121*(1+GROWTH_RATE_H)*(1-FMC*(1+Tax))</f>
        <v>1242799.094</v>
      </c>
      <c r="N121" s="175">
        <f>M121+IF(MOD(A121,B121)=0,VLOOKUP(B121,'Pre-Calculation'!$H$1:$L$31,5,FALSE),0)*IF('Pre-Calculation'!$D$16="% OF FV",M121,IF(OR('Pre-Calculation'!$D$16="% OF AFV(24M)",'Pre-Calculation'!$D$16="% OF AFV(8Q)"),AVERAGE( $M98:$M121),IF('Pre-Calculation'!$D$16="% OF AFV(12M)",AVERAGE($M110:M121),IF('Pre-Calculation'!$D$16="% OF AFV(36M)",AVERAGE($M86:M121)))))</f>
        <v>1242799.094</v>
      </c>
      <c r="O121" s="175">
        <f t="shared" si="4"/>
        <v>1242799.094</v>
      </c>
      <c r="P121" s="175">
        <f>IF('Pre-Calculation'!$D$17="Type 4 a",MAX(SA,N121,1.05*Q121),IF('Pre-Calculation'!$D$17="Type 4 c",N121,IF('Pre-Calculation'!$D$17="Type 4 d",SA+N121,IF('Pre-Calculation'!$D$17="Type 4 e",MAX(SA,N121),IF('Pre-Calculation'!$D$17="Type 4 f",SA,IF('Pre-Calculation'!$D$17="Type 4 g",1000+N121,IF('Pre-Calculation'!$D$17="Type 4 h",SA+X121,IF('Pre-Calculation'!$D$17="Type 4 i",MAX(N121,Q121),IF('Pre-Calculation'!$D$17="Type 4 k",MAX(N121,1.01*Q121),IF('Pre-Calculation'!$D$17="Type 4 m",MAX(105%*Q121,SA+N121),IF('Pre-Calculation'!$D$17="Type 4 o",MAX(SA,105%*Q121)+X121+Z121,IF('Pre-Calculation'!$D$17="Type 5",0))))))))))))</f>
        <v>1680000</v>
      </c>
      <c r="Q121" s="175">
        <f t="shared" si="5"/>
        <v>1600000</v>
      </c>
      <c r="R121" s="119">
        <f>L121*(1+GROWTH_RATE)*FMC</f>
        <v>1399.245132</v>
      </c>
      <c r="S121" s="178">
        <f>S120*(1+'Pre-Calculation'!$E$27)</f>
        <v>903840.3152</v>
      </c>
      <c r="T121" s="175">
        <f>-E121+IF(A120=INPUT!$C$11*12,N121,0)</f>
        <v>0</v>
      </c>
      <c r="U121" s="175">
        <f t="shared" si="6"/>
        <v>1347363.417</v>
      </c>
      <c r="V121" s="175">
        <f>U121*(1+GROWTH_RATE_H)*(1-'Pre-Calculation'!$E$31)</f>
        <v>1353774.161</v>
      </c>
      <c r="W121" s="175">
        <f>-E121+IF(A120=INPUT!$C$11*12,V121,0)</f>
        <v>0</v>
      </c>
      <c r="X121" s="179">
        <f t="array" ref="X121">NPV('Pre-Calculation'!$E$20,$E122:E$246)</f>
        <v>0</v>
      </c>
      <c r="Y121" s="171">
        <f>10%*SA</f>
        <v>100000</v>
      </c>
      <c r="Z121" s="179">
        <f t="array" ref="Z121">NPV('Pre-Calculation'!$E$20,Y122:Y131)</f>
        <v>969592.8037</v>
      </c>
    </row>
    <row r="122" ht="15.75" customHeight="1">
      <c r="A122" s="171">
        <f t="shared" si="1"/>
        <v>116</v>
      </c>
      <c r="B122" s="171">
        <f t="shared" si="2"/>
        <v>10</v>
      </c>
      <c r="C122" s="176">
        <f>EDATE(RCD,A121)</f>
        <v>46052</v>
      </c>
      <c r="D122" s="171">
        <f>Age_At_Entry+'Cashflows_8% from Start'!B122-1</f>
        <v>44</v>
      </c>
      <c r="E122" s="175">
        <f>IF(AND(C122&lt;=Last_Prem,MOD(A121,Mode)=0),Mod_Prem,0)</f>
        <v>0</v>
      </c>
      <c r="F122" s="177">
        <f>E122*VLOOKUP(B122,'Pre-Calculation'!$H$1:$I$31,2,FALSE)</f>
        <v>0</v>
      </c>
      <c r="G122" s="177">
        <f>IF(B122&lt;PT+1,VLOOKUP(B122,'Pre-Calculation'!$H$1:$L$32,3,FALSE)+VLOOKUP(B122,'Pre-Calculation'!$H$1:$L$32,4,FALSE)*'Pre-Calculation'!$D$7,0)</f>
        <v>830</v>
      </c>
      <c r="H122" s="175">
        <f>(E122-(F122+G122)*(1+Tax)+N121)</f>
        <v>1241819.694</v>
      </c>
      <c r="I122" s="175">
        <f>IF(B122&lt;PT+1,VLOOKUP(D122,'Pre-Calculation'!$N$3:$P$79,IF(INPUT!$C$4="M",2,3),FALSE)*(J122/1000)*(1/12),0)</f>
        <v>94.66520359</v>
      </c>
      <c r="J122" s="175">
        <f t="shared" si="3"/>
        <v>438180.3059</v>
      </c>
      <c r="K122" s="175">
        <f>IF('Pre-Calculation'!$D$17="Type 4 a",MAX(SA,H122,1.05*Q122),IF('Pre-Calculation'!$D$17="Type 4 c",H122,IF('Pre-Calculation'!$D$17="Type 4 d",SA+H122,IF('Pre-Calculation'!$D$17="Type 4 e",MAX(SA,H122),IF('Pre-Calculation'!$D$17="Type 4 f",SA,IF('Pre-Calculation'!$D$17="Type 4 g",1000+H122,IF('Pre-Calculation'!$D$17="Type 4 h",SA+X122,IF('Pre-Calculation'!$D$17="Type 4 i",MAX(H122,Q122),IF('Pre-Calculation'!$D$17="Type 4 k",MAX(H122,1.01*Q122),IF('Pre-Calculation'!$D$17="Type 4 m",MAX(105%*Q122,SA+H122),IF('Pre-Calculation'!$D$17="Type 4 o",MAX(SA,105%*Q122)+X122+Z122,IF('Pre-Calculation'!$D$17="Type 5",0))))))))))))</f>
        <v>1680000</v>
      </c>
      <c r="L122" s="175">
        <f>H122-I122*(1+Tax)</f>
        <v>1241707.989</v>
      </c>
      <c r="M122" s="175">
        <f>L122*(1+GROWTH_RATE_H)*(1-FMC*(1+Tax))</f>
        <v>1248039.105</v>
      </c>
      <c r="N122" s="175">
        <f>M122+IF(MOD(A122,B122)=0,VLOOKUP(B122,'Pre-Calculation'!$H$1:$L$31,5,FALSE),0)*IF('Pre-Calculation'!$D$16="% OF FV",M122,IF(OR('Pre-Calculation'!$D$16="% OF AFV(24M)",'Pre-Calculation'!$D$16="% OF AFV(8Q)"),AVERAGE( $M99:$M122),IF('Pre-Calculation'!$D$16="% OF AFV(12M)",AVERAGE($M111:M122),IF('Pre-Calculation'!$D$16="% OF AFV(36M)",AVERAGE($M87:M122)))))</f>
        <v>1248039.105</v>
      </c>
      <c r="O122" s="175">
        <f t="shared" si="4"/>
        <v>1248039.105</v>
      </c>
      <c r="P122" s="175">
        <f>IF('Pre-Calculation'!$D$17="Type 4 a",MAX(SA,N122,1.05*Q122),IF('Pre-Calculation'!$D$17="Type 4 c",N122,IF('Pre-Calculation'!$D$17="Type 4 d",SA+N122,IF('Pre-Calculation'!$D$17="Type 4 e",MAX(SA,N122),IF('Pre-Calculation'!$D$17="Type 4 f",SA,IF('Pre-Calculation'!$D$17="Type 4 g",1000+N122,IF('Pre-Calculation'!$D$17="Type 4 h",SA+X122,IF('Pre-Calculation'!$D$17="Type 4 i",MAX(N122,Q122),IF('Pre-Calculation'!$D$17="Type 4 k",MAX(N122,1.01*Q122),IF('Pre-Calculation'!$D$17="Type 4 m",MAX(105%*Q122,SA+N122),IF('Pre-Calculation'!$D$17="Type 4 o",MAX(SA,105%*Q122)+X122+Z122,IF('Pre-Calculation'!$D$17="Type 5",0))))))))))))</f>
        <v>1680000</v>
      </c>
      <c r="Q122" s="175">
        <f t="shared" si="5"/>
        <v>1600000</v>
      </c>
      <c r="R122" s="119">
        <f>L122*(1+GROWTH_RATE)*FMC</f>
        <v>1405.144766</v>
      </c>
      <c r="S122" s="178">
        <f>S121*(1+'Pre-Calculation'!$E$27)</f>
        <v>906435.1492</v>
      </c>
      <c r="T122" s="175">
        <f>-E122+IF(A121=INPUT!$C$11*12,N122,0)</f>
        <v>0</v>
      </c>
      <c r="U122" s="175">
        <f t="shared" si="6"/>
        <v>1353774.161</v>
      </c>
      <c r="V122" s="175">
        <f>U122*(1+GROWTH_RATE_H)*(1-'Pre-Calculation'!$E$31)</f>
        <v>1360215.406</v>
      </c>
      <c r="W122" s="175">
        <f>-E122+IF(A121=INPUT!$C$11*12,V122,0)</f>
        <v>0</v>
      </c>
      <c r="X122" s="179">
        <f t="array" ref="X122">NPV('Pre-Calculation'!$E$20,$E123:E$246)</f>
        <v>0</v>
      </c>
      <c r="Y122" s="171">
        <f>10%*SA</f>
        <v>100000</v>
      </c>
      <c r="Z122" s="179">
        <f t="array" ref="Z122">NPV('Pre-Calculation'!$E$20,Y123:Y132)</f>
        <v>969592.8037</v>
      </c>
    </row>
    <row r="123" ht="15.75" customHeight="1">
      <c r="A123" s="171">
        <f t="shared" si="1"/>
        <v>117</v>
      </c>
      <c r="B123" s="171">
        <f t="shared" si="2"/>
        <v>10</v>
      </c>
      <c r="C123" s="176">
        <f>EDATE(RCD,A122)</f>
        <v>46081</v>
      </c>
      <c r="D123" s="171">
        <f>Age_At_Entry+'Cashflows_8% from Start'!B123-1</f>
        <v>44</v>
      </c>
      <c r="E123" s="175">
        <f>IF(AND(C123&lt;=Last_Prem,MOD(A122,Mode)=0),Mod_Prem,0)</f>
        <v>0</v>
      </c>
      <c r="F123" s="177">
        <f>E123*VLOOKUP(B123,'Pre-Calculation'!$H$1:$I$31,2,FALSE)</f>
        <v>0</v>
      </c>
      <c r="G123" s="177">
        <f>IF(B123&lt;PT+1,VLOOKUP(B123,'Pre-Calculation'!$H$1:$L$32,3,FALSE)+VLOOKUP(B123,'Pre-Calculation'!$H$1:$L$32,4,FALSE)*'Pre-Calculation'!$D$7,0)</f>
        <v>830</v>
      </c>
      <c r="H123" s="175">
        <f>(E123-(F123+G123)*(1+Tax)+N122)</f>
        <v>1247059.705</v>
      </c>
      <c r="I123" s="175">
        <f>IF(B123&lt;PT+1,VLOOKUP(D123,'Pre-Calculation'!$N$3:$P$79,IF(INPUT!$C$4="M",2,3),FALSE)*(J123/1000)*(1/12),0)</f>
        <v>93.53314292</v>
      </c>
      <c r="J123" s="175">
        <f t="shared" si="3"/>
        <v>432940.2951</v>
      </c>
      <c r="K123" s="175">
        <f>IF('Pre-Calculation'!$D$17="Type 4 a",MAX(SA,H123,1.05*Q123),IF('Pre-Calculation'!$D$17="Type 4 c",H123,IF('Pre-Calculation'!$D$17="Type 4 d",SA+H123,IF('Pre-Calculation'!$D$17="Type 4 e",MAX(SA,H123),IF('Pre-Calculation'!$D$17="Type 4 f",SA,IF('Pre-Calculation'!$D$17="Type 4 g",1000+H123,IF('Pre-Calculation'!$D$17="Type 4 h",SA+X123,IF('Pre-Calculation'!$D$17="Type 4 i",MAX(H123,Q123),IF('Pre-Calculation'!$D$17="Type 4 k",MAX(H123,1.01*Q123),IF('Pre-Calculation'!$D$17="Type 4 m",MAX(105%*Q123,SA+H123),IF('Pre-Calculation'!$D$17="Type 4 o",MAX(SA,105%*Q123)+X123+Z123,IF('Pre-Calculation'!$D$17="Type 5",0))))))))))))</f>
        <v>1680000</v>
      </c>
      <c r="L123" s="175">
        <f>H123-I123*(1+Tax)</f>
        <v>1246949.336</v>
      </c>
      <c r="M123" s="175">
        <f>L123*(1+GROWTH_RATE_H)*(1-FMC*(1+Tax))</f>
        <v>1253307.176</v>
      </c>
      <c r="N123" s="175">
        <f>M123+IF(MOD(A123,B123)=0,VLOOKUP(B123,'Pre-Calculation'!$H$1:$L$31,5,FALSE),0)*IF('Pre-Calculation'!$D$16="% OF FV",M123,IF(OR('Pre-Calculation'!$D$16="% OF AFV(24M)",'Pre-Calculation'!$D$16="% OF AFV(8Q)"),AVERAGE( $M100:$M123),IF('Pre-Calculation'!$D$16="% OF AFV(12M)",AVERAGE($M112:M123),IF('Pre-Calculation'!$D$16="% OF AFV(36M)",AVERAGE($M88:M123)))))</f>
        <v>1253307.176</v>
      </c>
      <c r="O123" s="175">
        <f t="shared" si="4"/>
        <v>1253307.176</v>
      </c>
      <c r="P123" s="175">
        <f>IF('Pre-Calculation'!$D$17="Type 4 a",MAX(SA,N123,1.05*Q123),IF('Pre-Calculation'!$D$17="Type 4 c",N123,IF('Pre-Calculation'!$D$17="Type 4 d",SA+N123,IF('Pre-Calculation'!$D$17="Type 4 e",MAX(SA,N123),IF('Pre-Calculation'!$D$17="Type 4 f",SA,IF('Pre-Calculation'!$D$17="Type 4 g",1000+N123,IF('Pre-Calculation'!$D$17="Type 4 h",SA+X123,IF('Pre-Calculation'!$D$17="Type 4 i",MAX(N123,Q123),IF('Pre-Calculation'!$D$17="Type 4 k",MAX(N123,1.01*Q123),IF('Pre-Calculation'!$D$17="Type 4 m",MAX(105%*Q123,SA+N123),IF('Pre-Calculation'!$D$17="Type 4 o",MAX(SA,105%*Q123)+X123+Z123,IF('Pre-Calculation'!$D$17="Type 5",0))))))))))))</f>
        <v>1680000</v>
      </c>
      <c r="Q123" s="175">
        <f t="shared" si="5"/>
        <v>1600000</v>
      </c>
      <c r="R123" s="119">
        <f>L123*(1+GROWTH_RATE)*FMC</f>
        <v>1411.075992</v>
      </c>
      <c r="S123" s="178">
        <f>S122*(1+'Pre-Calculation'!$E$27)</f>
        <v>909037.4327</v>
      </c>
      <c r="T123" s="175">
        <f>-E123+IF(A122=INPUT!$C$11*12,N123,0)</f>
        <v>0</v>
      </c>
      <c r="U123" s="175">
        <f t="shared" si="6"/>
        <v>1360215.406</v>
      </c>
      <c r="V123" s="175">
        <f>U123*(1+GROWTH_RATE_H)*(1-'Pre-Calculation'!$E$31)</f>
        <v>1366687.299</v>
      </c>
      <c r="W123" s="175">
        <f>-E123+IF(A122=INPUT!$C$11*12,V123,0)</f>
        <v>0</v>
      </c>
      <c r="X123" s="179">
        <f t="array" ref="X123">NPV('Pre-Calculation'!$E$20,$E124:E$246)</f>
        <v>0</v>
      </c>
      <c r="Y123" s="171">
        <f>10%*SA</f>
        <v>100000</v>
      </c>
      <c r="Z123" s="179">
        <f t="array" ref="Z123">NPV('Pre-Calculation'!$E$20,Y124:Y133)</f>
        <v>969592.8037</v>
      </c>
    </row>
    <row r="124" ht="15.75" customHeight="1">
      <c r="A124" s="171">
        <f t="shared" si="1"/>
        <v>118</v>
      </c>
      <c r="B124" s="171">
        <f t="shared" si="2"/>
        <v>10</v>
      </c>
      <c r="C124" s="176">
        <f>EDATE(RCD,A123)</f>
        <v>46111</v>
      </c>
      <c r="D124" s="171">
        <f>Age_At_Entry+'Cashflows_8% from Start'!B124-1</f>
        <v>44</v>
      </c>
      <c r="E124" s="175">
        <f>IF(AND(C124&lt;=Last_Prem,MOD(A123,Mode)=0),Mod_Prem,0)</f>
        <v>0</v>
      </c>
      <c r="F124" s="177">
        <f>E124*VLOOKUP(B124,'Pre-Calculation'!$H$1:$I$31,2,FALSE)</f>
        <v>0</v>
      </c>
      <c r="G124" s="177">
        <f>IF(B124&lt;PT+1,VLOOKUP(B124,'Pre-Calculation'!$H$1:$L$32,3,FALSE)+VLOOKUP(B124,'Pre-Calculation'!$H$1:$L$32,4,FALSE)*'Pre-Calculation'!$D$7,0)</f>
        <v>830</v>
      </c>
      <c r="H124" s="175">
        <f>(E124-(F124+G124)*(1+Tax)+N123)</f>
        <v>1252327.776</v>
      </c>
      <c r="I124" s="175">
        <f>IF(B124&lt;PT+1,VLOOKUP(D124,'Pre-Calculation'!$N$3:$P$79,IF(INPUT!$C$4="M",2,3),FALSE)*(J124/1000)*(1/12),0)</f>
        <v>92.39502012</v>
      </c>
      <c r="J124" s="175">
        <f t="shared" si="3"/>
        <v>427672.2243</v>
      </c>
      <c r="K124" s="175">
        <f>IF('Pre-Calculation'!$D$17="Type 4 a",MAX(SA,H124,1.05*Q124),IF('Pre-Calculation'!$D$17="Type 4 c",H124,IF('Pre-Calculation'!$D$17="Type 4 d",SA+H124,IF('Pre-Calculation'!$D$17="Type 4 e",MAX(SA,H124),IF('Pre-Calculation'!$D$17="Type 4 f",SA,IF('Pre-Calculation'!$D$17="Type 4 g",1000+H124,IF('Pre-Calculation'!$D$17="Type 4 h",SA+X124,IF('Pre-Calculation'!$D$17="Type 4 i",MAX(H124,Q124),IF('Pre-Calculation'!$D$17="Type 4 k",MAX(H124,1.01*Q124),IF('Pre-Calculation'!$D$17="Type 4 m",MAX(105%*Q124,SA+H124),IF('Pre-Calculation'!$D$17="Type 4 o",MAX(SA,105%*Q124)+X124+Z124,IF('Pre-Calculation'!$D$17="Type 5",0))))))))))))</f>
        <v>1680000</v>
      </c>
      <c r="L124" s="175">
        <f>H124-I124*(1+Tax)</f>
        <v>1252218.75</v>
      </c>
      <c r="M124" s="175">
        <f>L124*(1+GROWTH_RATE_H)*(1-FMC*(1+Tax))</f>
        <v>1258603.457</v>
      </c>
      <c r="N124" s="175">
        <f>M124+IF(MOD(A124,B124)=0,VLOOKUP(B124,'Pre-Calculation'!$H$1:$L$31,5,FALSE),0)*IF('Pre-Calculation'!$D$16="% OF FV",M124,IF(OR('Pre-Calculation'!$D$16="% OF AFV(24M)",'Pre-Calculation'!$D$16="% OF AFV(8Q)"),AVERAGE( $M101:$M124),IF('Pre-Calculation'!$D$16="% OF AFV(12M)",AVERAGE($M113:M124),IF('Pre-Calculation'!$D$16="% OF AFV(36M)",AVERAGE($M89:M124)))))</f>
        <v>1258603.457</v>
      </c>
      <c r="O124" s="175">
        <f t="shared" si="4"/>
        <v>1258603.457</v>
      </c>
      <c r="P124" s="175">
        <f>IF('Pre-Calculation'!$D$17="Type 4 a",MAX(SA,N124,1.05*Q124),IF('Pre-Calculation'!$D$17="Type 4 c",N124,IF('Pre-Calculation'!$D$17="Type 4 d",SA+N124,IF('Pre-Calculation'!$D$17="Type 4 e",MAX(SA,N124),IF('Pre-Calculation'!$D$17="Type 4 f",SA,IF('Pre-Calculation'!$D$17="Type 4 g",1000+N124,IF('Pre-Calculation'!$D$17="Type 4 h",SA+X124,IF('Pre-Calculation'!$D$17="Type 4 i",MAX(N124,Q124),IF('Pre-Calculation'!$D$17="Type 4 k",MAX(N124,1.01*Q124),IF('Pre-Calculation'!$D$17="Type 4 m",MAX(105%*Q124,SA+N124),IF('Pre-Calculation'!$D$17="Type 4 o",MAX(SA,105%*Q124)+X124+Z124,IF('Pre-Calculation'!$D$17="Type 5",0))))))))))))</f>
        <v>1680000</v>
      </c>
      <c r="Q124" s="175">
        <f t="shared" si="5"/>
        <v>1600000</v>
      </c>
      <c r="R124" s="119">
        <f>L124*(1+GROWTH_RATE)*FMC</f>
        <v>1417.03898</v>
      </c>
      <c r="S124" s="178">
        <f>S123*(1+'Pre-Calculation'!$E$27)</f>
        <v>911647.1871</v>
      </c>
      <c r="T124" s="175">
        <f>-E124+IF(A123=INPUT!$C$11*12,N124,0)</f>
        <v>0</v>
      </c>
      <c r="U124" s="175">
        <f t="shared" si="6"/>
        <v>1366687.299</v>
      </c>
      <c r="V124" s="175">
        <f>U124*(1+GROWTH_RATE_H)*(1-'Pre-Calculation'!$E$31)</f>
        <v>1373189.985</v>
      </c>
      <c r="W124" s="175">
        <f>-E124+IF(A123=INPUT!$C$11*12,V124,0)</f>
        <v>0</v>
      </c>
      <c r="X124" s="179">
        <f t="array" ref="X124">NPV('Pre-Calculation'!$E$20,$E125:E$246)</f>
        <v>0</v>
      </c>
      <c r="Y124" s="171">
        <f>10%*SA</f>
        <v>100000</v>
      </c>
      <c r="Z124" s="179">
        <f t="array" ref="Z124">NPV('Pre-Calculation'!$E$20,Y125:Y134)</f>
        <v>969592.8037</v>
      </c>
    </row>
    <row r="125" ht="15.75" customHeight="1">
      <c r="A125" s="171">
        <f t="shared" si="1"/>
        <v>119</v>
      </c>
      <c r="B125" s="171">
        <f t="shared" si="2"/>
        <v>10</v>
      </c>
      <c r="C125" s="176">
        <f>EDATE(RCD,A124)</f>
        <v>46142</v>
      </c>
      <c r="D125" s="171">
        <f>Age_At_Entry+'Cashflows_8% from Start'!B125-1</f>
        <v>44</v>
      </c>
      <c r="E125" s="175">
        <f>IF(AND(C125&lt;=Last_Prem,MOD(A124,Mode)=0),Mod_Prem,0)</f>
        <v>0</v>
      </c>
      <c r="F125" s="177">
        <f>E125*VLOOKUP(B125,'Pre-Calculation'!$H$1:$I$31,2,FALSE)</f>
        <v>0</v>
      </c>
      <c r="G125" s="177">
        <f>IF(B125&lt;PT+1,VLOOKUP(B125,'Pre-Calculation'!$H$1:$L$32,3,FALSE)+VLOOKUP(B125,'Pre-Calculation'!$H$1:$L$32,4,FALSE)*'Pre-Calculation'!$D$7,0)</f>
        <v>830</v>
      </c>
      <c r="H125" s="175">
        <f>(E125-(F125+G125)*(1+Tax)+N124)</f>
        <v>1257624.057</v>
      </c>
      <c r="I125" s="175">
        <f>IF(B125&lt;PT+1,VLOOKUP(D125,'Pre-Calculation'!$N$3:$P$79,IF(INPUT!$C$4="M",2,3),FALSE)*(J125/1000)*(1/12),0)</f>
        <v>91.25080275</v>
      </c>
      <c r="J125" s="175">
        <f t="shared" si="3"/>
        <v>422375.9433</v>
      </c>
      <c r="K125" s="175">
        <f>IF('Pre-Calculation'!$D$17="Type 4 a",MAX(SA,H125,1.05*Q125),IF('Pre-Calculation'!$D$17="Type 4 c",H125,IF('Pre-Calculation'!$D$17="Type 4 d",SA+H125,IF('Pre-Calculation'!$D$17="Type 4 e",MAX(SA,H125),IF('Pre-Calculation'!$D$17="Type 4 f",SA,IF('Pre-Calculation'!$D$17="Type 4 g",1000+H125,IF('Pre-Calculation'!$D$17="Type 4 h",SA+X125,IF('Pre-Calculation'!$D$17="Type 4 i",MAX(H125,Q125),IF('Pre-Calculation'!$D$17="Type 4 k",MAX(H125,1.01*Q125),IF('Pre-Calculation'!$D$17="Type 4 m",MAX(105%*Q125,SA+H125),IF('Pre-Calculation'!$D$17="Type 4 o",MAX(SA,105%*Q125)+X125+Z125,IF('Pre-Calculation'!$D$17="Type 5",0))))))))))))</f>
        <v>1680000</v>
      </c>
      <c r="L125" s="175">
        <f>H125-I125*(1+Tax)</f>
        <v>1257516.381</v>
      </c>
      <c r="M125" s="175">
        <f>L125*(1+GROWTH_RATE_H)*(1-FMC*(1+Tax))</f>
        <v>1263928.099</v>
      </c>
      <c r="N125" s="175">
        <f>M125+IF(MOD(A125,B125)=0,VLOOKUP(B125,'Pre-Calculation'!$H$1:$L$31,5,FALSE),0)*IF('Pre-Calculation'!$D$16="% OF FV",M125,IF(OR('Pre-Calculation'!$D$16="% OF AFV(24M)",'Pre-Calculation'!$D$16="% OF AFV(8Q)"),AVERAGE( $M102:$M125),IF('Pre-Calculation'!$D$16="% OF AFV(12M)",AVERAGE($M114:M125),IF('Pre-Calculation'!$D$16="% OF AFV(36M)",AVERAGE($M90:M125)))))</f>
        <v>1263928.099</v>
      </c>
      <c r="O125" s="175">
        <f t="shared" si="4"/>
        <v>1263928.099</v>
      </c>
      <c r="P125" s="175">
        <f>IF('Pre-Calculation'!$D$17="Type 4 a",MAX(SA,N125,1.05*Q125),IF('Pre-Calculation'!$D$17="Type 4 c",N125,IF('Pre-Calculation'!$D$17="Type 4 d",SA+N125,IF('Pre-Calculation'!$D$17="Type 4 e",MAX(SA,N125),IF('Pre-Calculation'!$D$17="Type 4 f",SA,IF('Pre-Calculation'!$D$17="Type 4 g",1000+N125,IF('Pre-Calculation'!$D$17="Type 4 h",SA+X125,IF('Pre-Calculation'!$D$17="Type 4 i",MAX(N125,Q125),IF('Pre-Calculation'!$D$17="Type 4 k",MAX(N125,1.01*Q125),IF('Pre-Calculation'!$D$17="Type 4 m",MAX(105%*Q125,SA+N125),IF('Pre-Calculation'!$D$17="Type 4 o",MAX(SA,105%*Q125)+X125+Z125,IF('Pre-Calculation'!$D$17="Type 5",0))))))))))))</f>
        <v>1680000</v>
      </c>
      <c r="Q125" s="175">
        <f t="shared" si="5"/>
        <v>1600000</v>
      </c>
      <c r="R125" s="119">
        <f>L125*(1+GROWTH_RATE)*FMC</f>
        <v>1423.033899</v>
      </c>
      <c r="S125" s="178">
        <f>S124*(1+'Pre-Calculation'!$E$27)</f>
        <v>914264.4338</v>
      </c>
      <c r="T125" s="175">
        <f>-E125+IF(A124=INPUT!$C$11*12,N125,0)</f>
        <v>0</v>
      </c>
      <c r="U125" s="175">
        <f t="shared" si="6"/>
        <v>1373189.985</v>
      </c>
      <c r="V125" s="175">
        <f>U125*(1+GROWTH_RATE_H)*(1-'Pre-Calculation'!$E$31)</f>
        <v>1379723.611</v>
      </c>
      <c r="W125" s="175">
        <f>-E125+IF(A124=INPUT!$C$11*12,V125,0)</f>
        <v>0</v>
      </c>
      <c r="X125" s="179">
        <f t="array" ref="X125">NPV('Pre-Calculation'!$E$20,$E126:E$246)</f>
        <v>0</v>
      </c>
      <c r="Y125" s="171">
        <f>10%*SA</f>
        <v>100000</v>
      </c>
      <c r="Z125" s="179">
        <f t="array" ref="Z125">NPV('Pre-Calculation'!$E$20,Y126:Y135)</f>
        <v>969592.8037</v>
      </c>
    </row>
    <row r="126" ht="15.75" customHeight="1">
      <c r="A126" s="171">
        <f t="shared" si="1"/>
        <v>120</v>
      </c>
      <c r="B126" s="171">
        <f t="shared" si="2"/>
        <v>10</v>
      </c>
      <c r="C126" s="176">
        <f>EDATE(RCD,A125)</f>
        <v>46172</v>
      </c>
      <c r="D126" s="171">
        <f>Age_At_Entry+'Cashflows_8% from Start'!B126-1</f>
        <v>44</v>
      </c>
      <c r="E126" s="175">
        <f>IF(AND(C126&lt;=Last_Prem,MOD(A125,Mode)=0),Mod_Prem,0)</f>
        <v>0</v>
      </c>
      <c r="F126" s="177">
        <f>E126*VLOOKUP(B126,'Pre-Calculation'!$H$1:$I$31,2,FALSE)</f>
        <v>0</v>
      </c>
      <c r="G126" s="177">
        <f>IF(B126&lt;PT+1,VLOOKUP(B126,'Pre-Calculation'!$H$1:$L$32,3,FALSE)+VLOOKUP(B126,'Pre-Calculation'!$H$1:$L$32,4,FALSE)*'Pre-Calculation'!$D$7,0)</f>
        <v>830</v>
      </c>
      <c r="H126" s="175">
        <f>(E126-(F126+G126)*(1+Tax)+N125)</f>
        <v>1262948.699</v>
      </c>
      <c r="I126" s="175">
        <f>IF(B126&lt;PT+1,VLOOKUP(D126,'Pre-Calculation'!$N$3:$P$79,IF(INPUT!$C$4="M",2,3),FALSE)*(J126/1000)*(1/12),0)</f>
        <v>90.10045815</v>
      </c>
      <c r="J126" s="175">
        <f t="shared" si="3"/>
        <v>417051.301</v>
      </c>
      <c r="K126" s="175">
        <f>IF('Pre-Calculation'!$D$17="Type 4 a",MAX(SA,H126,1.05*Q126),IF('Pre-Calculation'!$D$17="Type 4 c",H126,IF('Pre-Calculation'!$D$17="Type 4 d",SA+H126,IF('Pre-Calculation'!$D$17="Type 4 e",MAX(SA,H126),IF('Pre-Calculation'!$D$17="Type 4 f",SA,IF('Pre-Calculation'!$D$17="Type 4 g",1000+H126,IF('Pre-Calculation'!$D$17="Type 4 h",SA+X126,IF('Pre-Calculation'!$D$17="Type 4 i",MAX(H126,Q126),IF('Pre-Calculation'!$D$17="Type 4 k",MAX(H126,1.01*Q126),IF('Pre-Calculation'!$D$17="Type 4 m",MAX(105%*Q126,SA+H126),IF('Pre-Calculation'!$D$17="Type 4 o",MAX(SA,105%*Q126)+X126+Z126,IF('Pre-Calculation'!$D$17="Type 5",0))))))))))))</f>
        <v>1680000</v>
      </c>
      <c r="L126" s="175">
        <f>H126-I126*(1+Tax)</f>
        <v>1262842.38</v>
      </c>
      <c r="M126" s="175">
        <f>L126*(1+GROWTH_RATE_H)*(1-FMC*(1+Tax))</f>
        <v>1269281.255</v>
      </c>
      <c r="N126" s="175">
        <f>M126+IF(MOD(A126,B126)=0,VLOOKUP(B126,'Pre-Calculation'!$H$1:$L$31,5,FALSE),0)*IF('Pre-Calculation'!$D$16="% OF FV",M126,IF(OR('Pre-Calculation'!$D$16="% OF AFV(24M)",'Pre-Calculation'!$D$16="% OF AFV(8Q)"),AVERAGE( $M103:$M126),IF('Pre-Calculation'!$D$16="% OF AFV(12M)",AVERAGE($M115:M126),IF('Pre-Calculation'!$D$16="% OF AFV(36M)",AVERAGE($M91:M126)))))</f>
        <v>1269281.255</v>
      </c>
      <c r="O126" s="175">
        <f t="shared" si="4"/>
        <v>1269281.255</v>
      </c>
      <c r="P126" s="175">
        <f>IF('Pre-Calculation'!$D$17="Type 4 a",MAX(SA,N126,1.05*Q126),IF('Pre-Calculation'!$D$17="Type 4 c",N126,IF('Pre-Calculation'!$D$17="Type 4 d",SA+N126,IF('Pre-Calculation'!$D$17="Type 4 e",MAX(SA,N126),IF('Pre-Calculation'!$D$17="Type 4 f",SA,IF('Pre-Calculation'!$D$17="Type 4 g",1000+N126,IF('Pre-Calculation'!$D$17="Type 4 h",SA+X126,IF('Pre-Calculation'!$D$17="Type 4 i",MAX(N126,Q126),IF('Pre-Calculation'!$D$17="Type 4 k",MAX(N126,1.01*Q126),IF('Pre-Calculation'!$D$17="Type 4 m",MAX(105%*Q126,SA+N126),IF('Pre-Calculation'!$D$17="Type 4 o",MAX(SA,105%*Q126)+X126+Z126,IF('Pre-Calculation'!$D$17="Type 5",0))))))))))))</f>
        <v>1680000</v>
      </c>
      <c r="Q126" s="175">
        <f t="shared" si="5"/>
        <v>1600000</v>
      </c>
      <c r="R126" s="119">
        <f>L126*(1+GROWTH_RATE)*FMC</f>
        <v>1429.06092</v>
      </c>
      <c r="S126" s="178">
        <f>S125*(1+'Pre-Calculation'!$E$27)</f>
        <v>916889.1944</v>
      </c>
      <c r="T126" s="175">
        <f>-E126+IF(A125=INPUT!$C$11*12,N126,0)</f>
        <v>0</v>
      </c>
      <c r="U126" s="175">
        <f t="shared" si="6"/>
        <v>1379723.611</v>
      </c>
      <c r="V126" s="175">
        <f>U126*(1+GROWTH_RATE_H)*(1-'Pre-Calculation'!$E$31)</f>
        <v>1386288.324</v>
      </c>
      <c r="W126" s="175">
        <f>-E126+IF(A125=INPUT!$C$11*12,V126,0)</f>
        <v>0</v>
      </c>
      <c r="X126" s="179">
        <f t="array" ref="X126">NPV('Pre-Calculation'!$E$20,$E127:E$246)</f>
        <v>0</v>
      </c>
      <c r="Y126" s="171">
        <f>10%*SA</f>
        <v>100000</v>
      </c>
      <c r="Z126" s="179">
        <f t="array" ref="Z126">NPV('Pre-Calculation'!$E$20,Y127:Y136)</f>
        <v>969592.8037</v>
      </c>
    </row>
    <row r="127" ht="15.75" customHeight="1">
      <c r="A127" s="171">
        <f t="shared" si="1"/>
        <v>121</v>
      </c>
      <c r="B127" s="171">
        <f t="shared" si="2"/>
        <v>11</v>
      </c>
      <c r="C127" s="176">
        <f>EDATE(RCD,A126)</f>
        <v>46203</v>
      </c>
      <c r="D127" s="171">
        <f>Age_At_Entry+'Cashflows_8% from Start'!B127-1</f>
        <v>45</v>
      </c>
      <c r="E127" s="175">
        <f>IF(AND(C127&lt;=Last_Prem,MOD(A126,Mode)=0),Mod_Prem,0)</f>
        <v>0</v>
      </c>
      <c r="F127" s="177">
        <f>E127*VLOOKUP(B127,'Pre-Calculation'!$H$1:$I$31,2,FALSE)</f>
        <v>0</v>
      </c>
      <c r="G127" s="177">
        <f>IF(B127&lt;PT+1,VLOOKUP(B127,'Pre-Calculation'!$H$1:$L$32,3,FALSE)+VLOOKUP(B127,'Pre-Calculation'!$H$1:$L$32,4,FALSE)*'Pre-Calculation'!$D$7,0)</f>
        <v>0</v>
      </c>
      <c r="H127" s="175">
        <f>(E127-(F127+G127)*(1+Tax)+N126)</f>
        <v>1269281.255</v>
      </c>
      <c r="I127" s="175">
        <f>IF(B127&lt;PT+1,VLOOKUP(D127,'Pre-Calculation'!$N$3:$P$79,IF(INPUT!$C$4="M",2,3),FALSE)*(J127/1000)*(1/12),0)</f>
        <v>0</v>
      </c>
      <c r="J127" s="175">
        <f t="shared" si="3"/>
        <v>410718.7455</v>
      </c>
      <c r="K127" s="175">
        <f>IF('Pre-Calculation'!$D$17="Type 4 a",MAX(SA,H127,1.05*Q127),IF('Pre-Calculation'!$D$17="Type 4 c",H127,IF('Pre-Calculation'!$D$17="Type 4 d",SA+H127,IF('Pre-Calculation'!$D$17="Type 4 e",MAX(SA,H127),IF('Pre-Calculation'!$D$17="Type 4 f",SA,IF('Pre-Calculation'!$D$17="Type 4 g",1000+H127,IF('Pre-Calculation'!$D$17="Type 4 h",SA+X127,IF('Pre-Calculation'!$D$17="Type 4 i",MAX(H127,Q127),IF('Pre-Calculation'!$D$17="Type 4 k",MAX(H127,1.01*Q127),IF('Pre-Calculation'!$D$17="Type 4 m",MAX(105%*Q127,SA+H127),IF('Pre-Calculation'!$D$17="Type 4 o",MAX(SA,105%*Q127)+X127+Z127,IF('Pre-Calculation'!$D$17="Type 5",0))))))))))))</f>
        <v>1680000</v>
      </c>
      <c r="L127" s="175">
        <f>H127-I127*(1+Tax)</f>
        <v>1269281.255</v>
      </c>
      <c r="M127" s="175">
        <f>L127*(1+GROWTH_RATE_H)*(1-FMC*(1+Tax))</f>
        <v>1275752.959</v>
      </c>
      <c r="N127" s="175">
        <f>M127+IF(MOD(A127,B127)=0,VLOOKUP(B127,'Pre-Calculation'!$H$1:$L$31,5,FALSE),0)*IF('Pre-Calculation'!$D$16="% OF FV",M127,IF(OR('Pre-Calculation'!$D$16="% OF AFV(24M)",'Pre-Calculation'!$D$16="% OF AFV(8Q)"),AVERAGE( $M104:$M127),IF('Pre-Calculation'!$D$16="% OF AFV(12M)",AVERAGE($M116:M127),IF('Pre-Calculation'!$D$16="% OF AFV(36M)",AVERAGE($M92:M127)))))</f>
        <v>1275752.959</v>
      </c>
      <c r="O127" s="175">
        <f t="shared" si="4"/>
        <v>1275752.959</v>
      </c>
      <c r="P127" s="175">
        <f>IF('Pre-Calculation'!$D$17="Type 4 a",MAX(SA,N127,1.05*Q127),IF('Pre-Calculation'!$D$17="Type 4 c",N127,IF('Pre-Calculation'!$D$17="Type 4 d",SA+N127,IF('Pre-Calculation'!$D$17="Type 4 e",MAX(SA,N127),IF('Pre-Calculation'!$D$17="Type 4 f",SA,IF('Pre-Calculation'!$D$17="Type 4 g",1000+N127,IF('Pre-Calculation'!$D$17="Type 4 h",SA+X127,IF('Pre-Calculation'!$D$17="Type 4 i",MAX(N127,Q127),IF('Pre-Calculation'!$D$17="Type 4 k",MAX(N127,1.01*Q127),IF('Pre-Calculation'!$D$17="Type 4 m",MAX(105%*Q127,SA+N127),IF('Pre-Calculation'!$D$17="Type 4 o",MAX(SA,105%*Q127)+X127+Z127,IF('Pre-Calculation'!$D$17="Type 5",0))))))))))))</f>
        <v>1680000</v>
      </c>
      <c r="Q127" s="175">
        <f t="shared" si="5"/>
        <v>1600000</v>
      </c>
      <c r="R127" s="119">
        <f>L127*(1+GROWTH_RATE)*FMC</f>
        <v>1436.347295</v>
      </c>
      <c r="S127" s="178">
        <f>S126*(1+'Pre-Calculation'!$E$27)</f>
        <v>919521.4904</v>
      </c>
      <c r="T127" s="175">
        <f>-E127+IF(A126=INPUT!$C$11*12,N127,0)</f>
        <v>1275752.959</v>
      </c>
      <c r="U127" s="175">
        <f t="shared" si="6"/>
        <v>1386288.324</v>
      </c>
      <c r="V127" s="175">
        <f>U127*(1+GROWTH_RATE_H)*(1-'Pre-Calculation'!$E$31)</f>
        <v>1392884.272</v>
      </c>
      <c r="W127" s="175">
        <f>-E127+IF(A126=INPUT!$C$11*12,V127,0)</f>
        <v>1392884.272</v>
      </c>
      <c r="X127" s="179">
        <f t="array" ref="X127">NPV('Pre-Calculation'!$E$20,$E128:E$246)</f>
        <v>0</v>
      </c>
      <c r="Y127" s="171">
        <f>10%*SA</f>
        <v>100000</v>
      </c>
      <c r="Z127" s="179">
        <f t="array" ref="Z127">NPV('Pre-Calculation'!$E$20,Y128:Y137)</f>
        <v>969592.8037</v>
      </c>
    </row>
    <row r="128" ht="15.75" customHeight="1">
      <c r="A128" s="171">
        <f t="shared" si="1"/>
        <v>122</v>
      </c>
      <c r="B128" s="171">
        <f t="shared" si="2"/>
        <v>11</v>
      </c>
      <c r="C128" s="176">
        <f>EDATE(RCD,A127)</f>
        <v>46233</v>
      </c>
      <c r="D128" s="171">
        <f>Age_At_Entry+'Cashflows_8% from Start'!B128-1</f>
        <v>45</v>
      </c>
      <c r="E128" s="175">
        <f>IF(AND(C128&lt;=Last_Prem,MOD(A127,Mode)=0),Mod_Prem,0)</f>
        <v>0</v>
      </c>
      <c r="F128" s="177">
        <f>E128*VLOOKUP(B128,'Pre-Calculation'!$H$1:$I$31,2,FALSE)</f>
        <v>0</v>
      </c>
      <c r="G128" s="177">
        <f>IF(B128&lt;PT+1,VLOOKUP(B128,'Pre-Calculation'!$H$1:$L$32,3,FALSE)+VLOOKUP(B128,'Pre-Calculation'!$H$1:$L$32,4,FALSE)*'Pre-Calculation'!$D$7,0)</f>
        <v>0</v>
      </c>
      <c r="H128" s="175">
        <f>(E128-(F128+G128)*(1+Tax)+N127)</f>
        <v>1275752.959</v>
      </c>
      <c r="I128" s="175">
        <f>IF(B128&lt;PT+1,VLOOKUP(D128,'Pre-Calculation'!$N$3:$P$79,IF(INPUT!$C$4="M",2,3),FALSE)*(J128/1000)*(1/12),0)</f>
        <v>0</v>
      </c>
      <c r="J128" s="175">
        <f t="shared" si="3"/>
        <v>404247.0415</v>
      </c>
      <c r="K128" s="175">
        <f>IF('Pre-Calculation'!$D$17="Type 4 a",MAX(SA,H128,1.05*Q128),IF('Pre-Calculation'!$D$17="Type 4 c",H128,IF('Pre-Calculation'!$D$17="Type 4 d",SA+H128,IF('Pre-Calculation'!$D$17="Type 4 e",MAX(SA,H128),IF('Pre-Calculation'!$D$17="Type 4 f",SA,IF('Pre-Calculation'!$D$17="Type 4 g",1000+H128,IF('Pre-Calculation'!$D$17="Type 4 h",SA+X128,IF('Pre-Calculation'!$D$17="Type 4 i",MAX(H128,Q128),IF('Pre-Calculation'!$D$17="Type 4 k",MAX(H128,1.01*Q128),IF('Pre-Calculation'!$D$17="Type 4 m",MAX(105%*Q128,SA+H128),IF('Pre-Calculation'!$D$17="Type 4 o",MAX(SA,105%*Q128)+X128+Z128,IF('Pre-Calculation'!$D$17="Type 5",0))))))))))))</f>
        <v>1680000</v>
      </c>
      <c r="L128" s="175">
        <f>H128-I128*(1+Tax)</f>
        <v>1275752.959</v>
      </c>
      <c r="M128" s="175">
        <f>L128*(1+GROWTH_RATE_H)*(1-FMC*(1+Tax))</f>
        <v>1282257.66</v>
      </c>
      <c r="N128" s="175">
        <f>M128+IF(MOD(A128,B128)=0,VLOOKUP(B128,'Pre-Calculation'!$H$1:$L$31,5,FALSE),0)*IF('Pre-Calculation'!$D$16="% OF FV",M128,IF(OR('Pre-Calculation'!$D$16="% OF AFV(24M)",'Pre-Calculation'!$D$16="% OF AFV(8Q)"),AVERAGE( $M105:$M128),IF('Pre-Calculation'!$D$16="% OF AFV(12M)",AVERAGE($M117:M128),IF('Pre-Calculation'!$D$16="% OF AFV(36M)",AVERAGE($M93:M128)))))</f>
        <v>1282257.66</v>
      </c>
      <c r="O128" s="175">
        <f t="shared" si="4"/>
        <v>1282257.66</v>
      </c>
      <c r="P128" s="175">
        <f>IF('Pre-Calculation'!$D$17="Type 4 a",MAX(SA,N128,1.05*Q128),IF('Pre-Calculation'!$D$17="Type 4 c",N128,IF('Pre-Calculation'!$D$17="Type 4 d",SA+N128,IF('Pre-Calculation'!$D$17="Type 4 e",MAX(SA,N128),IF('Pre-Calculation'!$D$17="Type 4 f",SA,IF('Pre-Calculation'!$D$17="Type 4 g",1000+N128,IF('Pre-Calculation'!$D$17="Type 4 h",SA+X128,IF('Pre-Calculation'!$D$17="Type 4 i",MAX(N128,Q128),IF('Pre-Calculation'!$D$17="Type 4 k",MAX(N128,1.01*Q128),IF('Pre-Calculation'!$D$17="Type 4 m",MAX(105%*Q128,SA+N128),IF('Pre-Calculation'!$D$17="Type 4 o",MAX(SA,105%*Q128)+X128+Z128,IF('Pre-Calculation'!$D$17="Type 5",0))))))))))))</f>
        <v>1680000</v>
      </c>
      <c r="Q128" s="175">
        <f t="shared" si="5"/>
        <v>1600000</v>
      </c>
      <c r="R128" s="119">
        <f>L128*(1+GROWTH_RATE)*FMC</f>
        <v>1443.670821</v>
      </c>
      <c r="S128" s="178">
        <f>S127*(1+'Pre-Calculation'!$E$27)</f>
        <v>922161.3435</v>
      </c>
      <c r="T128" s="175">
        <f>-E128+IF(A127=INPUT!$C$11*12,N128,0)</f>
        <v>0</v>
      </c>
      <c r="U128" s="175">
        <f t="shared" si="6"/>
        <v>1392884.272</v>
      </c>
      <c r="V128" s="175">
        <f>U128*(1+GROWTH_RATE_H)*(1-'Pre-Calculation'!$E$31)</f>
        <v>1399511.603</v>
      </c>
      <c r="W128" s="175">
        <f>-E128+IF(A127=INPUT!$C$11*12,V128,0)</f>
        <v>0</v>
      </c>
      <c r="X128" s="179">
        <f t="array" ref="X128">NPV('Pre-Calculation'!$E$20,$E129:E$246)</f>
        <v>0</v>
      </c>
      <c r="Y128" s="171">
        <f>10%*SA</f>
        <v>100000</v>
      </c>
      <c r="Z128" s="179">
        <f t="array" ref="Z128">NPV('Pre-Calculation'!$E$20,Y129:Y138)</f>
        <v>969592.8037</v>
      </c>
    </row>
    <row r="129" ht="15.75" customHeight="1">
      <c r="A129" s="171">
        <f t="shared" si="1"/>
        <v>123</v>
      </c>
      <c r="B129" s="171">
        <f t="shared" si="2"/>
        <v>11</v>
      </c>
      <c r="C129" s="176">
        <f>EDATE(RCD,A128)</f>
        <v>46264</v>
      </c>
      <c r="D129" s="171">
        <f>Age_At_Entry+'Cashflows_8% from Start'!B129-1</f>
        <v>45</v>
      </c>
      <c r="E129" s="175">
        <f>IF(AND(C129&lt;=Last_Prem,MOD(A128,Mode)=0),Mod_Prem,0)</f>
        <v>0</v>
      </c>
      <c r="F129" s="177">
        <f>E129*VLOOKUP(B129,'Pre-Calculation'!$H$1:$I$31,2,FALSE)</f>
        <v>0</v>
      </c>
      <c r="G129" s="177">
        <f>IF(B129&lt;PT+1,VLOOKUP(B129,'Pre-Calculation'!$H$1:$L$32,3,FALSE)+VLOOKUP(B129,'Pre-Calculation'!$H$1:$L$32,4,FALSE)*'Pre-Calculation'!$D$7,0)</f>
        <v>0</v>
      </c>
      <c r="H129" s="175">
        <f>(E129-(F129+G129)*(1+Tax)+N128)</f>
        <v>1282257.66</v>
      </c>
      <c r="I129" s="175">
        <f>IF(B129&lt;PT+1,VLOOKUP(D129,'Pre-Calculation'!$N$3:$P$79,IF(INPUT!$C$4="M",2,3),FALSE)*(J129/1000)*(1/12),0)</f>
        <v>0</v>
      </c>
      <c r="J129" s="175">
        <f t="shared" si="3"/>
        <v>397742.3401</v>
      </c>
      <c r="K129" s="175">
        <f>IF('Pre-Calculation'!$D$17="Type 4 a",MAX(SA,H129,1.05*Q129),IF('Pre-Calculation'!$D$17="Type 4 c",H129,IF('Pre-Calculation'!$D$17="Type 4 d",SA+H129,IF('Pre-Calculation'!$D$17="Type 4 e",MAX(SA,H129),IF('Pre-Calculation'!$D$17="Type 4 f",SA,IF('Pre-Calculation'!$D$17="Type 4 g",1000+H129,IF('Pre-Calculation'!$D$17="Type 4 h",SA+X129,IF('Pre-Calculation'!$D$17="Type 4 i",MAX(H129,Q129),IF('Pre-Calculation'!$D$17="Type 4 k",MAX(H129,1.01*Q129),IF('Pre-Calculation'!$D$17="Type 4 m",MAX(105%*Q129,SA+H129),IF('Pre-Calculation'!$D$17="Type 4 o",MAX(SA,105%*Q129)+X129+Z129,IF('Pre-Calculation'!$D$17="Type 5",0))))))))))))</f>
        <v>1680000</v>
      </c>
      <c r="L129" s="175">
        <f>H129-I129*(1+Tax)</f>
        <v>1282257.66</v>
      </c>
      <c r="M129" s="175">
        <f>L129*(1+GROWTH_RATE_H)*(1-FMC*(1+Tax))</f>
        <v>1288795.527</v>
      </c>
      <c r="N129" s="175">
        <f>M129+IF(MOD(A129,B129)=0,VLOOKUP(B129,'Pre-Calculation'!$H$1:$L$31,5,FALSE),0)*IF('Pre-Calculation'!$D$16="% OF FV",M129,IF(OR('Pre-Calculation'!$D$16="% OF AFV(24M)",'Pre-Calculation'!$D$16="% OF AFV(8Q)"),AVERAGE( $M106:$M129),IF('Pre-Calculation'!$D$16="% OF AFV(12M)",AVERAGE($M118:M129),IF('Pre-Calculation'!$D$16="% OF AFV(36M)",AVERAGE($M94:M129)))))</f>
        <v>1288795.527</v>
      </c>
      <c r="O129" s="175">
        <f t="shared" si="4"/>
        <v>1288795.527</v>
      </c>
      <c r="P129" s="175">
        <f>IF('Pre-Calculation'!$D$17="Type 4 a",MAX(SA,N129,1.05*Q129),IF('Pre-Calculation'!$D$17="Type 4 c",N129,IF('Pre-Calculation'!$D$17="Type 4 d",SA+N129,IF('Pre-Calculation'!$D$17="Type 4 e",MAX(SA,N129),IF('Pre-Calculation'!$D$17="Type 4 f",SA,IF('Pre-Calculation'!$D$17="Type 4 g",1000+N129,IF('Pre-Calculation'!$D$17="Type 4 h",SA+X129,IF('Pre-Calculation'!$D$17="Type 4 i",MAX(N129,Q129),IF('Pre-Calculation'!$D$17="Type 4 k",MAX(N129,1.01*Q129),IF('Pre-Calculation'!$D$17="Type 4 m",MAX(105%*Q129,SA+N129),IF('Pre-Calculation'!$D$17="Type 4 o",MAX(SA,105%*Q129)+X129+Z129,IF('Pre-Calculation'!$D$17="Type 5",0))))))))))))</f>
        <v>1680000</v>
      </c>
      <c r="Q129" s="175">
        <f t="shared" si="5"/>
        <v>1600000</v>
      </c>
      <c r="R129" s="119">
        <f>L129*(1+GROWTH_RATE)*FMC</f>
        <v>1451.031688</v>
      </c>
      <c r="S129" s="178">
        <f>S128*(1+'Pre-Calculation'!$E$27)</f>
        <v>924808.7753</v>
      </c>
      <c r="T129" s="175">
        <f>-E129+IF(A128=INPUT!$C$11*12,N129,0)</f>
        <v>0</v>
      </c>
      <c r="U129" s="175">
        <f t="shared" si="6"/>
        <v>1399511.603</v>
      </c>
      <c r="V129" s="175">
        <f>U129*(1+GROWTH_RATE_H)*(1-'Pre-Calculation'!$E$31)</f>
        <v>1406170.467</v>
      </c>
      <c r="W129" s="175">
        <f>-E129+IF(A128=INPUT!$C$11*12,V129,0)</f>
        <v>0</v>
      </c>
      <c r="X129" s="179">
        <f t="array" ref="X129">NPV('Pre-Calculation'!$E$20,$E130:E$246)</f>
        <v>0</v>
      </c>
      <c r="Y129" s="171">
        <f>10%*SA</f>
        <v>100000</v>
      </c>
      <c r="Z129" s="179">
        <f t="array" ref="Z129">NPV('Pre-Calculation'!$E$20,Y130:Y139)</f>
        <v>969592.8037</v>
      </c>
    </row>
    <row r="130" ht="15.75" customHeight="1">
      <c r="A130" s="171">
        <f t="shared" si="1"/>
        <v>124</v>
      </c>
      <c r="B130" s="171">
        <f t="shared" si="2"/>
        <v>11</v>
      </c>
      <c r="C130" s="176">
        <f>EDATE(RCD,A129)</f>
        <v>46295</v>
      </c>
      <c r="D130" s="171">
        <f>Age_At_Entry+'Cashflows_8% from Start'!B130-1</f>
        <v>45</v>
      </c>
      <c r="E130" s="175">
        <f>IF(AND(C130&lt;=Last_Prem,MOD(A129,Mode)=0),Mod_Prem,0)</f>
        <v>0</v>
      </c>
      <c r="F130" s="177">
        <f>E130*VLOOKUP(B130,'Pre-Calculation'!$H$1:$I$31,2,FALSE)</f>
        <v>0</v>
      </c>
      <c r="G130" s="177">
        <f>IF(B130&lt;PT+1,VLOOKUP(B130,'Pre-Calculation'!$H$1:$L$32,3,FALSE)+VLOOKUP(B130,'Pre-Calculation'!$H$1:$L$32,4,FALSE)*'Pre-Calculation'!$D$7,0)</f>
        <v>0</v>
      </c>
      <c r="H130" s="175">
        <f>(E130-(F130+G130)*(1+Tax)+N129)</f>
        <v>1288795.527</v>
      </c>
      <c r="I130" s="175">
        <f>IF(B130&lt;PT+1,VLOOKUP(D130,'Pre-Calculation'!$N$3:$P$79,IF(INPUT!$C$4="M",2,3),FALSE)*(J130/1000)*(1/12),0)</f>
        <v>0</v>
      </c>
      <c r="J130" s="175">
        <f t="shared" si="3"/>
        <v>391204.4731</v>
      </c>
      <c r="K130" s="175">
        <f>IF('Pre-Calculation'!$D$17="Type 4 a",MAX(SA,H130,1.05*Q130),IF('Pre-Calculation'!$D$17="Type 4 c",H130,IF('Pre-Calculation'!$D$17="Type 4 d",SA+H130,IF('Pre-Calculation'!$D$17="Type 4 e",MAX(SA,H130),IF('Pre-Calculation'!$D$17="Type 4 f",SA,IF('Pre-Calculation'!$D$17="Type 4 g",1000+H130,IF('Pre-Calculation'!$D$17="Type 4 h",SA+X130,IF('Pre-Calculation'!$D$17="Type 4 i",MAX(H130,Q130),IF('Pre-Calculation'!$D$17="Type 4 k",MAX(H130,1.01*Q130),IF('Pre-Calculation'!$D$17="Type 4 m",MAX(105%*Q130,SA+H130),IF('Pre-Calculation'!$D$17="Type 4 o",MAX(SA,105%*Q130)+X130+Z130,IF('Pre-Calculation'!$D$17="Type 5",0))))))))))))</f>
        <v>1680000</v>
      </c>
      <c r="L130" s="175">
        <f>H130-I130*(1+Tax)</f>
        <v>1288795.527</v>
      </c>
      <c r="M130" s="175">
        <f>L130*(1+GROWTH_RATE_H)*(1-FMC*(1+Tax))</f>
        <v>1295366.729</v>
      </c>
      <c r="N130" s="175">
        <f>M130+IF(MOD(A130,B130)=0,VLOOKUP(B130,'Pre-Calculation'!$H$1:$L$31,5,FALSE),0)*IF('Pre-Calculation'!$D$16="% OF FV",M130,IF(OR('Pre-Calculation'!$D$16="% OF AFV(24M)",'Pre-Calculation'!$D$16="% OF AFV(8Q)"),AVERAGE( $M107:$M130),IF('Pre-Calculation'!$D$16="% OF AFV(12M)",AVERAGE($M119:M130),IF('Pre-Calculation'!$D$16="% OF AFV(36M)",AVERAGE($M95:M130)))))</f>
        <v>1295366.729</v>
      </c>
      <c r="O130" s="175">
        <f t="shared" si="4"/>
        <v>1295366.729</v>
      </c>
      <c r="P130" s="175">
        <f>IF('Pre-Calculation'!$D$17="Type 4 a",MAX(SA,N130,1.05*Q130),IF('Pre-Calculation'!$D$17="Type 4 c",N130,IF('Pre-Calculation'!$D$17="Type 4 d",SA+N130,IF('Pre-Calculation'!$D$17="Type 4 e",MAX(SA,N130),IF('Pre-Calculation'!$D$17="Type 4 f",SA,IF('Pre-Calculation'!$D$17="Type 4 g",1000+N130,IF('Pre-Calculation'!$D$17="Type 4 h",SA+X130,IF('Pre-Calculation'!$D$17="Type 4 i",MAX(N130,Q130),IF('Pre-Calculation'!$D$17="Type 4 k",MAX(N130,1.01*Q130),IF('Pre-Calculation'!$D$17="Type 4 m",MAX(105%*Q130,SA+N130),IF('Pre-Calculation'!$D$17="Type 4 o",MAX(SA,105%*Q130)+X130+Z130,IF('Pre-Calculation'!$D$17="Type 5",0))))))))))))</f>
        <v>1680000</v>
      </c>
      <c r="Q130" s="175">
        <f t="shared" si="5"/>
        <v>1600000</v>
      </c>
      <c r="R130" s="119">
        <f>L130*(1+GROWTH_RATE)*FMC</f>
        <v>1458.430086</v>
      </c>
      <c r="S130" s="178">
        <f>S129*(1+'Pre-Calculation'!$E$27)</f>
        <v>927463.8076</v>
      </c>
      <c r="T130" s="175">
        <f>-E130+IF(A129=INPUT!$C$11*12,N130,0)</f>
        <v>0</v>
      </c>
      <c r="U130" s="175">
        <f t="shared" si="6"/>
        <v>1406170.467</v>
      </c>
      <c r="V130" s="175">
        <f>U130*(1+GROWTH_RATE_H)*(1-'Pre-Calculation'!$E$31)</f>
        <v>1412861.014</v>
      </c>
      <c r="W130" s="175">
        <f>-E130+IF(A129=INPUT!$C$11*12,V130,0)</f>
        <v>0</v>
      </c>
      <c r="X130" s="179">
        <f t="array" ref="X130">NPV('Pre-Calculation'!$E$20,$E131:E$246)</f>
        <v>0</v>
      </c>
      <c r="Y130" s="171">
        <f>10%*SA</f>
        <v>100000</v>
      </c>
      <c r="Z130" s="179">
        <f t="array" ref="Z130">NPV('Pre-Calculation'!$E$20,Y131:Y140)</f>
        <v>969592.8037</v>
      </c>
    </row>
    <row r="131" ht="15.75" customHeight="1">
      <c r="A131" s="171">
        <f t="shared" si="1"/>
        <v>125</v>
      </c>
      <c r="B131" s="171">
        <f t="shared" si="2"/>
        <v>11</v>
      </c>
      <c r="C131" s="176">
        <f>EDATE(RCD,A130)</f>
        <v>46325</v>
      </c>
      <c r="D131" s="171">
        <f>Age_At_Entry+'Cashflows_8% from Start'!B131-1</f>
        <v>45</v>
      </c>
      <c r="E131" s="175">
        <f>IF(AND(C131&lt;=Last_Prem,MOD(A130,Mode)=0),Mod_Prem,0)</f>
        <v>0</v>
      </c>
      <c r="F131" s="177">
        <f>E131*VLOOKUP(B131,'Pre-Calculation'!$H$1:$I$31,2,FALSE)</f>
        <v>0</v>
      </c>
      <c r="G131" s="177">
        <f>IF(B131&lt;PT+1,VLOOKUP(B131,'Pre-Calculation'!$H$1:$L$32,3,FALSE)+VLOOKUP(B131,'Pre-Calculation'!$H$1:$L$32,4,FALSE)*'Pre-Calculation'!$D$7,0)</f>
        <v>0</v>
      </c>
      <c r="H131" s="175">
        <f>(E131-(F131+G131)*(1+Tax)+N130)</f>
        <v>1295366.729</v>
      </c>
      <c r="I131" s="175">
        <f>IF(B131&lt;PT+1,VLOOKUP(D131,'Pre-Calculation'!$N$3:$P$79,IF(INPUT!$C$4="M",2,3),FALSE)*(J131/1000)*(1/12),0)</f>
        <v>0</v>
      </c>
      <c r="J131" s="175">
        <f t="shared" si="3"/>
        <v>384633.2714</v>
      </c>
      <c r="K131" s="175">
        <f>IF('Pre-Calculation'!$D$17="Type 4 a",MAX(SA,H131,1.05*Q131),IF('Pre-Calculation'!$D$17="Type 4 c",H131,IF('Pre-Calculation'!$D$17="Type 4 d",SA+H131,IF('Pre-Calculation'!$D$17="Type 4 e",MAX(SA,H131),IF('Pre-Calculation'!$D$17="Type 4 f",SA,IF('Pre-Calculation'!$D$17="Type 4 g",1000+H131,IF('Pre-Calculation'!$D$17="Type 4 h",SA+X131,IF('Pre-Calculation'!$D$17="Type 4 i",MAX(H131,Q131),IF('Pre-Calculation'!$D$17="Type 4 k",MAX(H131,1.01*Q131),IF('Pre-Calculation'!$D$17="Type 4 m",MAX(105%*Q131,SA+H131),IF('Pre-Calculation'!$D$17="Type 4 o",MAX(SA,105%*Q131)+X131+Z131,IF('Pre-Calculation'!$D$17="Type 5",0))))))))))))</f>
        <v>1680000</v>
      </c>
      <c r="L131" s="175">
        <f>H131-I131*(1+Tax)</f>
        <v>1295366.729</v>
      </c>
      <c r="M131" s="175">
        <f>L131*(1+GROWTH_RATE_H)*(1-FMC*(1+Tax))</f>
        <v>1301971.435</v>
      </c>
      <c r="N131" s="175">
        <f>M131+IF(MOD(A131,B131)=0,VLOOKUP(B131,'Pre-Calculation'!$H$1:$L$31,5,FALSE),0)*IF('Pre-Calculation'!$D$16="% OF FV",M131,IF(OR('Pre-Calculation'!$D$16="% OF AFV(24M)",'Pre-Calculation'!$D$16="% OF AFV(8Q)"),AVERAGE( $M108:$M131),IF('Pre-Calculation'!$D$16="% OF AFV(12M)",AVERAGE($M120:M131),IF('Pre-Calculation'!$D$16="% OF AFV(36M)",AVERAGE($M96:M131)))))</f>
        <v>1301971.435</v>
      </c>
      <c r="O131" s="175">
        <f t="shared" si="4"/>
        <v>1301971.435</v>
      </c>
      <c r="P131" s="175">
        <f>IF('Pre-Calculation'!$D$17="Type 4 a",MAX(SA,N131,1.05*Q131),IF('Pre-Calculation'!$D$17="Type 4 c",N131,IF('Pre-Calculation'!$D$17="Type 4 d",SA+N131,IF('Pre-Calculation'!$D$17="Type 4 e",MAX(SA,N131),IF('Pre-Calculation'!$D$17="Type 4 f",SA,IF('Pre-Calculation'!$D$17="Type 4 g",1000+N131,IF('Pre-Calculation'!$D$17="Type 4 h",SA+X131,IF('Pre-Calculation'!$D$17="Type 4 i",MAX(N131,Q131),IF('Pre-Calculation'!$D$17="Type 4 k",MAX(N131,1.01*Q131),IF('Pre-Calculation'!$D$17="Type 4 m",MAX(105%*Q131,SA+N131),IF('Pre-Calculation'!$D$17="Type 4 o",MAX(SA,105%*Q131)+X131+Z131,IF('Pre-Calculation'!$D$17="Type 5",0))))))))))))</f>
        <v>1680000</v>
      </c>
      <c r="Q131" s="175">
        <f t="shared" si="5"/>
        <v>1600000</v>
      </c>
      <c r="R131" s="119">
        <f>L131*(1+GROWTH_RATE)*FMC</f>
        <v>1465.866206</v>
      </c>
      <c r="S131" s="178">
        <f>S130*(1+'Pre-Calculation'!$E$27)</f>
        <v>930126.4623</v>
      </c>
      <c r="T131" s="175">
        <f>-E131+IF(A130=INPUT!$C$11*12,N131,0)</f>
        <v>0</v>
      </c>
      <c r="U131" s="175">
        <f t="shared" si="6"/>
        <v>1412861.014</v>
      </c>
      <c r="V131" s="175">
        <f>U131*(1+GROWTH_RATE_H)*(1-'Pre-Calculation'!$E$31)</f>
        <v>1419583.394</v>
      </c>
      <c r="W131" s="175">
        <f>-E131+IF(A130=INPUT!$C$11*12,V131,0)</f>
        <v>0</v>
      </c>
      <c r="X131" s="179">
        <f t="array" ref="X131">NPV('Pre-Calculation'!$E$20,$E132:E$246)</f>
        <v>0</v>
      </c>
      <c r="Y131" s="171">
        <f>10%*SA</f>
        <v>100000</v>
      </c>
      <c r="Z131" s="179">
        <f t="array" ref="Z131">NPV('Pre-Calculation'!$E$20,Y132:Y141)</f>
        <v>969592.8037</v>
      </c>
    </row>
    <row r="132" ht="15.75" customHeight="1">
      <c r="A132" s="171">
        <f t="shared" si="1"/>
        <v>126</v>
      </c>
      <c r="B132" s="171">
        <f t="shared" si="2"/>
        <v>11</v>
      </c>
      <c r="C132" s="176">
        <f>EDATE(RCD,A131)</f>
        <v>46356</v>
      </c>
      <c r="D132" s="171">
        <f>Age_At_Entry+'Cashflows_8% from Start'!B132-1</f>
        <v>45</v>
      </c>
      <c r="E132" s="175">
        <f>IF(AND(C132&lt;=Last_Prem,MOD(A131,Mode)=0),Mod_Prem,0)</f>
        <v>0</v>
      </c>
      <c r="F132" s="177">
        <f>E132*VLOOKUP(B132,'Pre-Calculation'!$H$1:$I$31,2,FALSE)</f>
        <v>0</v>
      </c>
      <c r="G132" s="177">
        <f>IF(B132&lt;PT+1,VLOOKUP(B132,'Pre-Calculation'!$H$1:$L$32,3,FALSE)+VLOOKUP(B132,'Pre-Calculation'!$H$1:$L$32,4,FALSE)*'Pre-Calculation'!$D$7,0)</f>
        <v>0</v>
      </c>
      <c r="H132" s="175">
        <f>(E132-(F132+G132)*(1+Tax)+N131)</f>
        <v>1301971.435</v>
      </c>
      <c r="I132" s="175">
        <f>IF(B132&lt;PT+1,VLOOKUP(D132,'Pre-Calculation'!$N$3:$P$79,IF(INPUT!$C$4="M",2,3),FALSE)*(J132/1000)*(1/12),0)</f>
        <v>0</v>
      </c>
      <c r="J132" s="175">
        <f t="shared" si="3"/>
        <v>378028.565</v>
      </c>
      <c r="K132" s="175">
        <f>IF('Pre-Calculation'!$D$17="Type 4 a",MAX(SA,H132,1.05*Q132),IF('Pre-Calculation'!$D$17="Type 4 c",H132,IF('Pre-Calculation'!$D$17="Type 4 d",SA+H132,IF('Pre-Calculation'!$D$17="Type 4 e",MAX(SA,H132),IF('Pre-Calculation'!$D$17="Type 4 f",SA,IF('Pre-Calculation'!$D$17="Type 4 g",1000+H132,IF('Pre-Calculation'!$D$17="Type 4 h",SA+X132,IF('Pre-Calculation'!$D$17="Type 4 i",MAX(H132,Q132),IF('Pre-Calculation'!$D$17="Type 4 k",MAX(H132,1.01*Q132),IF('Pre-Calculation'!$D$17="Type 4 m",MAX(105%*Q132,SA+H132),IF('Pre-Calculation'!$D$17="Type 4 o",MAX(SA,105%*Q132)+X132+Z132,IF('Pre-Calculation'!$D$17="Type 5",0))))))))))))</f>
        <v>1680000</v>
      </c>
      <c r="L132" s="175">
        <f>H132-I132*(1+Tax)</f>
        <v>1301971.435</v>
      </c>
      <c r="M132" s="175">
        <f>L132*(1+GROWTH_RATE_H)*(1-FMC*(1+Tax))</f>
        <v>1308609.817</v>
      </c>
      <c r="N132" s="175">
        <f>M132+IF(MOD(A132,B132)=0,VLOOKUP(B132,'Pre-Calculation'!$H$1:$L$31,5,FALSE),0)*IF('Pre-Calculation'!$D$16="% OF FV",M132,IF(OR('Pre-Calculation'!$D$16="% OF AFV(24M)",'Pre-Calculation'!$D$16="% OF AFV(8Q)"),AVERAGE( $M109:$M132),IF('Pre-Calculation'!$D$16="% OF AFV(12M)",AVERAGE($M121:M132),IF('Pre-Calculation'!$D$16="% OF AFV(36M)",AVERAGE($M97:M132)))))</f>
        <v>1308609.817</v>
      </c>
      <c r="O132" s="175">
        <f t="shared" si="4"/>
        <v>1308609.817</v>
      </c>
      <c r="P132" s="175">
        <f>IF('Pre-Calculation'!$D$17="Type 4 a",MAX(SA,N132,1.05*Q132),IF('Pre-Calculation'!$D$17="Type 4 c",N132,IF('Pre-Calculation'!$D$17="Type 4 d",SA+N132,IF('Pre-Calculation'!$D$17="Type 4 e",MAX(SA,N132),IF('Pre-Calculation'!$D$17="Type 4 f",SA,IF('Pre-Calculation'!$D$17="Type 4 g",1000+N132,IF('Pre-Calculation'!$D$17="Type 4 h",SA+X132,IF('Pre-Calculation'!$D$17="Type 4 i",MAX(N132,Q132),IF('Pre-Calculation'!$D$17="Type 4 k",MAX(N132,1.01*Q132),IF('Pre-Calculation'!$D$17="Type 4 m",MAX(105%*Q132,SA+N132),IF('Pre-Calculation'!$D$17="Type 4 o",MAX(SA,105%*Q132)+X132+Z132,IF('Pre-Calculation'!$D$17="Type 5",0))))))))))))</f>
        <v>1680000</v>
      </c>
      <c r="Q132" s="175">
        <f t="shared" si="5"/>
        <v>1600000</v>
      </c>
      <c r="R132" s="119">
        <f>L132*(1+GROWTH_RATE)*FMC</f>
        <v>1473.340241</v>
      </c>
      <c r="S132" s="178">
        <f>S131*(1+'Pre-Calculation'!$E$27)</f>
        <v>932796.7612</v>
      </c>
      <c r="T132" s="175">
        <f>-E132+IF(A131=INPUT!$C$11*12,N132,0)</f>
        <v>0</v>
      </c>
      <c r="U132" s="175">
        <f t="shared" si="6"/>
        <v>1419583.394</v>
      </c>
      <c r="V132" s="175">
        <f>U132*(1+GROWTH_RATE_H)*(1-'Pre-Calculation'!$E$31)</f>
        <v>1426337.759</v>
      </c>
      <c r="W132" s="175">
        <f>-E132+IF(A131=INPUT!$C$11*12,V132,0)</f>
        <v>0</v>
      </c>
      <c r="X132" s="179">
        <f t="array" ref="X132">NPV('Pre-Calculation'!$E$20,$E133:E$246)</f>
        <v>0</v>
      </c>
      <c r="Y132" s="171">
        <f>10%*SA</f>
        <v>100000</v>
      </c>
      <c r="Z132" s="179">
        <f t="array" ref="Z132">NPV('Pre-Calculation'!$E$20,Y133:Y142)</f>
        <v>969592.8037</v>
      </c>
    </row>
    <row r="133" ht="15.75" customHeight="1">
      <c r="A133" s="171">
        <f t="shared" si="1"/>
        <v>127</v>
      </c>
      <c r="B133" s="171">
        <f t="shared" si="2"/>
        <v>11</v>
      </c>
      <c r="C133" s="176">
        <f>EDATE(RCD,A132)</f>
        <v>46386</v>
      </c>
      <c r="D133" s="171">
        <f>Age_At_Entry+'Cashflows_8% from Start'!B133-1</f>
        <v>45</v>
      </c>
      <c r="E133" s="175">
        <f>IF(AND(C133&lt;=Last_Prem,MOD(A132,Mode)=0),Mod_Prem,0)</f>
        <v>0</v>
      </c>
      <c r="F133" s="177">
        <f>E133*VLOOKUP(B133,'Pre-Calculation'!$H$1:$I$31,2,FALSE)</f>
        <v>0</v>
      </c>
      <c r="G133" s="177">
        <f>IF(B133&lt;PT+1,VLOOKUP(B133,'Pre-Calculation'!$H$1:$L$32,3,FALSE)+VLOOKUP(B133,'Pre-Calculation'!$H$1:$L$32,4,FALSE)*'Pre-Calculation'!$D$7,0)</f>
        <v>0</v>
      </c>
      <c r="H133" s="175">
        <f>(E133-(F133+G133)*(1+Tax)+N132)</f>
        <v>1308609.817</v>
      </c>
      <c r="I133" s="175">
        <f>IF(B133&lt;PT+1,VLOOKUP(D133,'Pre-Calculation'!$N$3:$P$79,IF(INPUT!$C$4="M",2,3),FALSE)*(J133/1000)*(1/12),0)</f>
        <v>0</v>
      </c>
      <c r="J133" s="175">
        <f t="shared" si="3"/>
        <v>371390.183</v>
      </c>
      <c r="K133" s="175">
        <f>IF('Pre-Calculation'!$D$17="Type 4 a",MAX(SA,H133,1.05*Q133),IF('Pre-Calculation'!$D$17="Type 4 c",H133,IF('Pre-Calculation'!$D$17="Type 4 d",SA+H133,IF('Pre-Calculation'!$D$17="Type 4 e",MAX(SA,H133),IF('Pre-Calculation'!$D$17="Type 4 f",SA,IF('Pre-Calculation'!$D$17="Type 4 g",1000+H133,IF('Pre-Calculation'!$D$17="Type 4 h",SA+X133,IF('Pre-Calculation'!$D$17="Type 4 i",MAX(H133,Q133),IF('Pre-Calculation'!$D$17="Type 4 k",MAX(H133,1.01*Q133),IF('Pre-Calculation'!$D$17="Type 4 m",MAX(105%*Q133,SA+H133),IF('Pre-Calculation'!$D$17="Type 4 o",MAX(SA,105%*Q133)+X133+Z133,IF('Pre-Calculation'!$D$17="Type 5",0))))))))))))</f>
        <v>1680000</v>
      </c>
      <c r="L133" s="175">
        <f>H133-I133*(1+Tax)</f>
        <v>1308609.817</v>
      </c>
      <c r="M133" s="175">
        <f>L133*(1+GROWTH_RATE_H)*(1-FMC*(1+Tax))</f>
        <v>1315282.046</v>
      </c>
      <c r="N133" s="175">
        <f>M133+IF(MOD(A133,B133)=0,VLOOKUP(B133,'Pre-Calculation'!$H$1:$L$31,5,FALSE),0)*IF('Pre-Calculation'!$D$16="% OF FV",M133,IF(OR('Pre-Calculation'!$D$16="% OF AFV(24M)",'Pre-Calculation'!$D$16="% OF AFV(8Q)"),AVERAGE( $M110:$M133),IF('Pre-Calculation'!$D$16="% OF AFV(12M)",AVERAGE($M122:M133),IF('Pre-Calculation'!$D$16="% OF AFV(36M)",AVERAGE($M98:M133)))))</f>
        <v>1315282.046</v>
      </c>
      <c r="O133" s="175">
        <f t="shared" si="4"/>
        <v>1315282.046</v>
      </c>
      <c r="P133" s="175">
        <f>IF('Pre-Calculation'!$D$17="Type 4 a",MAX(SA,N133,1.05*Q133),IF('Pre-Calculation'!$D$17="Type 4 c",N133,IF('Pre-Calculation'!$D$17="Type 4 d",SA+N133,IF('Pre-Calculation'!$D$17="Type 4 e",MAX(SA,N133),IF('Pre-Calculation'!$D$17="Type 4 f",SA,IF('Pre-Calculation'!$D$17="Type 4 g",1000+N133,IF('Pre-Calculation'!$D$17="Type 4 h",SA+X133,IF('Pre-Calculation'!$D$17="Type 4 i",MAX(N133,Q133),IF('Pre-Calculation'!$D$17="Type 4 k",MAX(N133,1.01*Q133),IF('Pre-Calculation'!$D$17="Type 4 m",MAX(105%*Q133,SA+N133),IF('Pre-Calculation'!$D$17="Type 4 o",MAX(SA,105%*Q133)+X133+Z133,IF('Pre-Calculation'!$D$17="Type 5",0))))))))))))</f>
        <v>1680000</v>
      </c>
      <c r="Q133" s="175">
        <f t="shared" si="5"/>
        <v>1600000</v>
      </c>
      <c r="R133" s="119">
        <f>L133*(1+GROWTH_RATE)*FMC</f>
        <v>1480.852384</v>
      </c>
      <c r="S133" s="178">
        <f>S132*(1+'Pre-Calculation'!$E$27)</f>
        <v>935474.7262</v>
      </c>
      <c r="T133" s="175">
        <f>-E133+IF(A132=INPUT!$C$11*12,N133,0)</f>
        <v>0</v>
      </c>
      <c r="U133" s="175">
        <f t="shared" si="6"/>
        <v>1426337.759</v>
      </c>
      <c r="V133" s="175">
        <f>U133*(1+GROWTH_RATE_H)*(1-'Pre-Calculation'!$E$31)</f>
        <v>1433124.262</v>
      </c>
      <c r="W133" s="175">
        <f>-E133+IF(A132=INPUT!$C$11*12,V133,0)</f>
        <v>0</v>
      </c>
      <c r="X133" s="179">
        <f t="array" ref="X133">NPV('Pre-Calculation'!$E$20,$E134:E$246)</f>
        <v>0</v>
      </c>
      <c r="Y133" s="171">
        <f>10%*SA</f>
        <v>100000</v>
      </c>
      <c r="Z133" s="179">
        <f t="array" ref="Z133">NPV('Pre-Calculation'!$E$20,Y134:Y143)</f>
        <v>969592.8037</v>
      </c>
    </row>
    <row r="134" ht="15.75" customHeight="1">
      <c r="A134" s="171">
        <f t="shared" si="1"/>
        <v>128</v>
      </c>
      <c r="B134" s="171">
        <f t="shared" si="2"/>
        <v>11</v>
      </c>
      <c r="C134" s="176">
        <f>EDATE(RCD,A133)</f>
        <v>46417</v>
      </c>
      <c r="D134" s="171">
        <f>Age_At_Entry+'Cashflows_8% from Start'!B134-1</f>
        <v>45</v>
      </c>
      <c r="E134" s="175">
        <f>IF(AND(C134&lt;=Last_Prem,MOD(A133,Mode)=0),Mod_Prem,0)</f>
        <v>0</v>
      </c>
      <c r="F134" s="177">
        <f>E134*VLOOKUP(B134,'Pre-Calculation'!$H$1:$I$31,2,FALSE)</f>
        <v>0</v>
      </c>
      <c r="G134" s="177">
        <f>IF(B134&lt;PT+1,VLOOKUP(B134,'Pre-Calculation'!$H$1:$L$32,3,FALSE)+VLOOKUP(B134,'Pre-Calculation'!$H$1:$L$32,4,FALSE)*'Pre-Calculation'!$D$7,0)</f>
        <v>0</v>
      </c>
      <c r="H134" s="175">
        <f>(E134-(F134+G134)*(1+Tax)+N133)</f>
        <v>1315282.046</v>
      </c>
      <c r="I134" s="175">
        <f>IF(B134&lt;PT+1,VLOOKUP(D134,'Pre-Calculation'!$N$3:$P$79,IF(INPUT!$C$4="M",2,3),FALSE)*(J134/1000)*(1/12),0)</f>
        <v>0</v>
      </c>
      <c r="J134" s="175">
        <f t="shared" si="3"/>
        <v>364717.9539</v>
      </c>
      <c r="K134" s="175">
        <f>IF('Pre-Calculation'!$D$17="Type 4 a",MAX(SA,H134,1.05*Q134),IF('Pre-Calculation'!$D$17="Type 4 c",H134,IF('Pre-Calculation'!$D$17="Type 4 d",SA+H134,IF('Pre-Calculation'!$D$17="Type 4 e",MAX(SA,H134),IF('Pre-Calculation'!$D$17="Type 4 f",SA,IF('Pre-Calculation'!$D$17="Type 4 g",1000+H134,IF('Pre-Calculation'!$D$17="Type 4 h",SA+X134,IF('Pre-Calculation'!$D$17="Type 4 i",MAX(H134,Q134),IF('Pre-Calculation'!$D$17="Type 4 k",MAX(H134,1.01*Q134),IF('Pre-Calculation'!$D$17="Type 4 m",MAX(105%*Q134,SA+H134),IF('Pre-Calculation'!$D$17="Type 4 o",MAX(SA,105%*Q134)+X134+Z134,IF('Pre-Calculation'!$D$17="Type 5",0))))))))))))</f>
        <v>1680000</v>
      </c>
      <c r="L134" s="175">
        <f>H134-I134*(1+Tax)</f>
        <v>1315282.046</v>
      </c>
      <c r="M134" s="175">
        <f>L134*(1+GROWTH_RATE_H)*(1-FMC*(1+Tax))</f>
        <v>1321988.295</v>
      </c>
      <c r="N134" s="175">
        <f>M134+IF(MOD(A134,B134)=0,VLOOKUP(B134,'Pre-Calculation'!$H$1:$L$31,5,FALSE),0)*IF('Pre-Calculation'!$D$16="% OF FV",M134,IF(OR('Pre-Calculation'!$D$16="% OF AFV(24M)",'Pre-Calculation'!$D$16="% OF AFV(8Q)"),AVERAGE( $M111:$M134),IF('Pre-Calculation'!$D$16="% OF AFV(12M)",AVERAGE($M123:M134),IF('Pre-Calculation'!$D$16="% OF AFV(36M)",AVERAGE($M99:M134)))))</f>
        <v>1321988.295</v>
      </c>
      <c r="O134" s="175">
        <f t="shared" si="4"/>
        <v>1321988.295</v>
      </c>
      <c r="P134" s="175">
        <f>IF('Pre-Calculation'!$D$17="Type 4 a",MAX(SA,N134,1.05*Q134),IF('Pre-Calculation'!$D$17="Type 4 c",N134,IF('Pre-Calculation'!$D$17="Type 4 d",SA+N134,IF('Pre-Calculation'!$D$17="Type 4 e",MAX(SA,N134),IF('Pre-Calculation'!$D$17="Type 4 f",SA,IF('Pre-Calculation'!$D$17="Type 4 g",1000+N134,IF('Pre-Calculation'!$D$17="Type 4 h",SA+X134,IF('Pre-Calculation'!$D$17="Type 4 i",MAX(N134,Q134),IF('Pre-Calculation'!$D$17="Type 4 k",MAX(N134,1.01*Q134),IF('Pre-Calculation'!$D$17="Type 4 m",MAX(105%*Q134,SA+N134),IF('Pre-Calculation'!$D$17="Type 4 o",MAX(SA,105%*Q134)+X134+Z134,IF('Pre-Calculation'!$D$17="Type 5",0))))))))))))</f>
        <v>1680000</v>
      </c>
      <c r="Q134" s="175">
        <f t="shared" si="5"/>
        <v>1600000</v>
      </c>
      <c r="R134" s="119">
        <f>L134*(1+GROWTH_RATE)*FMC</f>
        <v>1488.402829</v>
      </c>
      <c r="S134" s="178">
        <f>S133*(1+'Pre-Calculation'!$E$27)</f>
        <v>938160.3794</v>
      </c>
      <c r="T134" s="175">
        <f>-E134+IF(A133=INPUT!$C$11*12,N134,0)</f>
        <v>0</v>
      </c>
      <c r="U134" s="175">
        <f t="shared" si="6"/>
        <v>1433124.262</v>
      </c>
      <c r="V134" s="175">
        <f>U134*(1+GROWTH_RATE_H)*(1-'Pre-Calculation'!$E$31)</f>
        <v>1439943.055</v>
      </c>
      <c r="W134" s="175">
        <f>-E134+IF(A133=INPUT!$C$11*12,V134,0)</f>
        <v>0</v>
      </c>
      <c r="X134" s="179">
        <f t="array" ref="X134">NPV('Pre-Calculation'!$E$20,$E135:E$246)</f>
        <v>0</v>
      </c>
      <c r="Y134" s="171">
        <f>10%*SA</f>
        <v>100000</v>
      </c>
      <c r="Z134" s="179">
        <f t="array" ref="Z134">NPV('Pre-Calculation'!$E$20,Y135:Y144)</f>
        <v>969592.8037</v>
      </c>
    </row>
    <row r="135" ht="15.75" customHeight="1">
      <c r="A135" s="171">
        <f t="shared" si="1"/>
        <v>129</v>
      </c>
      <c r="B135" s="171">
        <f t="shared" si="2"/>
        <v>11</v>
      </c>
      <c r="C135" s="176">
        <f>EDATE(RCD,A134)</f>
        <v>46446</v>
      </c>
      <c r="D135" s="171">
        <f>Age_At_Entry+'Cashflows_8% from Start'!B135-1</f>
        <v>45</v>
      </c>
      <c r="E135" s="175">
        <f>IF(AND(C135&lt;=Last_Prem,MOD(A134,Mode)=0),Mod_Prem,0)</f>
        <v>0</v>
      </c>
      <c r="F135" s="177">
        <f>E135*VLOOKUP(B135,'Pre-Calculation'!$H$1:$I$31,2,FALSE)</f>
        <v>0</v>
      </c>
      <c r="G135" s="177">
        <f>IF(B135&lt;PT+1,VLOOKUP(B135,'Pre-Calculation'!$H$1:$L$32,3,FALSE)+VLOOKUP(B135,'Pre-Calculation'!$H$1:$L$32,4,FALSE)*'Pre-Calculation'!$D$7,0)</f>
        <v>0</v>
      </c>
      <c r="H135" s="175">
        <f>(E135-(F135+G135)*(1+Tax)+N134)</f>
        <v>1321988.295</v>
      </c>
      <c r="I135" s="175">
        <f>IF(B135&lt;PT+1,VLOOKUP(D135,'Pre-Calculation'!$N$3:$P$79,IF(INPUT!$C$4="M",2,3),FALSE)*(J135/1000)*(1/12),0)</f>
        <v>0</v>
      </c>
      <c r="J135" s="175">
        <f t="shared" si="3"/>
        <v>358011.7049</v>
      </c>
      <c r="K135" s="175">
        <f>IF('Pre-Calculation'!$D$17="Type 4 a",MAX(SA,H135,1.05*Q135),IF('Pre-Calculation'!$D$17="Type 4 c",H135,IF('Pre-Calculation'!$D$17="Type 4 d",SA+H135,IF('Pre-Calculation'!$D$17="Type 4 e",MAX(SA,H135),IF('Pre-Calculation'!$D$17="Type 4 f",SA,IF('Pre-Calculation'!$D$17="Type 4 g",1000+H135,IF('Pre-Calculation'!$D$17="Type 4 h",SA+X135,IF('Pre-Calculation'!$D$17="Type 4 i",MAX(H135,Q135),IF('Pre-Calculation'!$D$17="Type 4 k",MAX(H135,1.01*Q135),IF('Pre-Calculation'!$D$17="Type 4 m",MAX(105%*Q135,SA+H135),IF('Pre-Calculation'!$D$17="Type 4 o",MAX(SA,105%*Q135)+X135+Z135,IF('Pre-Calculation'!$D$17="Type 5",0))))))))))))</f>
        <v>1680000</v>
      </c>
      <c r="L135" s="175">
        <f>H135-I135*(1+Tax)</f>
        <v>1321988.295</v>
      </c>
      <c r="M135" s="175">
        <f>L135*(1+GROWTH_RATE_H)*(1-FMC*(1+Tax))</f>
        <v>1328728.737</v>
      </c>
      <c r="N135" s="175">
        <f>M135+IF(MOD(A135,B135)=0,VLOOKUP(B135,'Pre-Calculation'!$H$1:$L$31,5,FALSE),0)*IF('Pre-Calculation'!$D$16="% OF FV",M135,IF(OR('Pre-Calculation'!$D$16="% OF AFV(24M)",'Pre-Calculation'!$D$16="% OF AFV(8Q)"),AVERAGE( $M112:$M135),IF('Pre-Calculation'!$D$16="% OF AFV(12M)",AVERAGE($M124:M135),IF('Pre-Calculation'!$D$16="% OF AFV(36M)",AVERAGE($M100:M135)))))</f>
        <v>1328728.737</v>
      </c>
      <c r="O135" s="175">
        <f t="shared" si="4"/>
        <v>1328728.737</v>
      </c>
      <c r="P135" s="175">
        <f>IF('Pre-Calculation'!$D$17="Type 4 a",MAX(SA,N135,1.05*Q135),IF('Pre-Calculation'!$D$17="Type 4 c",N135,IF('Pre-Calculation'!$D$17="Type 4 d",SA+N135,IF('Pre-Calculation'!$D$17="Type 4 e",MAX(SA,N135),IF('Pre-Calculation'!$D$17="Type 4 f",SA,IF('Pre-Calculation'!$D$17="Type 4 g",1000+N135,IF('Pre-Calculation'!$D$17="Type 4 h",SA+X135,IF('Pre-Calculation'!$D$17="Type 4 i",MAX(N135,Q135),IF('Pre-Calculation'!$D$17="Type 4 k",MAX(N135,1.01*Q135),IF('Pre-Calculation'!$D$17="Type 4 m",MAX(105%*Q135,SA+N135),IF('Pre-Calculation'!$D$17="Type 4 o",MAX(SA,105%*Q135)+X135+Z135,IF('Pre-Calculation'!$D$17="Type 5",0))))))))))))</f>
        <v>1680000</v>
      </c>
      <c r="Q135" s="175">
        <f t="shared" si="5"/>
        <v>1600000</v>
      </c>
      <c r="R135" s="119">
        <f>L135*(1+GROWTH_RATE)*FMC</f>
        <v>1495.991771</v>
      </c>
      <c r="S135" s="178">
        <f>S134*(1+'Pre-Calculation'!$E$27)</f>
        <v>940853.7428</v>
      </c>
      <c r="T135" s="175">
        <f>-E135+IF(A134=INPUT!$C$11*12,N135,0)</f>
        <v>0</v>
      </c>
      <c r="U135" s="175">
        <f t="shared" si="6"/>
        <v>1439943.055</v>
      </c>
      <c r="V135" s="175">
        <f>U135*(1+GROWTH_RATE_H)*(1-'Pre-Calculation'!$E$31)</f>
        <v>1446794.291</v>
      </c>
      <c r="W135" s="175">
        <f>-E135+IF(A134=INPUT!$C$11*12,V135,0)</f>
        <v>0</v>
      </c>
      <c r="X135" s="179">
        <f t="array" ref="X135">NPV('Pre-Calculation'!$E$20,$E136:E$246)</f>
        <v>0</v>
      </c>
      <c r="Y135" s="171">
        <f>10%*SA</f>
        <v>100000</v>
      </c>
      <c r="Z135" s="179">
        <f t="array" ref="Z135">NPV('Pre-Calculation'!$E$20,Y136:Y145)</f>
        <v>969592.8037</v>
      </c>
    </row>
    <row r="136" ht="15.75" customHeight="1">
      <c r="A136" s="171">
        <f t="shared" si="1"/>
        <v>130</v>
      </c>
      <c r="B136" s="171">
        <f t="shared" si="2"/>
        <v>11</v>
      </c>
      <c r="C136" s="176">
        <f>EDATE(RCD,A135)</f>
        <v>46476</v>
      </c>
      <c r="D136" s="171">
        <f>Age_At_Entry+'Cashflows_8% from Start'!B136-1</f>
        <v>45</v>
      </c>
      <c r="E136" s="175">
        <f>IF(AND(C136&lt;=Last_Prem,MOD(A135,Mode)=0),Mod_Prem,0)</f>
        <v>0</v>
      </c>
      <c r="F136" s="177">
        <f>E136*VLOOKUP(B136,'Pre-Calculation'!$H$1:$I$31,2,FALSE)</f>
        <v>0</v>
      </c>
      <c r="G136" s="177">
        <f>IF(B136&lt;PT+1,VLOOKUP(B136,'Pre-Calculation'!$H$1:$L$32,3,FALSE)+VLOOKUP(B136,'Pre-Calculation'!$H$1:$L$32,4,FALSE)*'Pre-Calculation'!$D$7,0)</f>
        <v>0</v>
      </c>
      <c r="H136" s="175">
        <f>(E136-(F136+G136)*(1+Tax)+N135)</f>
        <v>1328728.737</v>
      </c>
      <c r="I136" s="175">
        <f>IF(B136&lt;PT+1,VLOOKUP(D136,'Pre-Calculation'!$N$3:$P$79,IF(INPUT!$C$4="M",2,3),FALSE)*(J136/1000)*(1/12),0)</f>
        <v>0</v>
      </c>
      <c r="J136" s="175">
        <f t="shared" si="3"/>
        <v>351271.2627</v>
      </c>
      <c r="K136" s="175">
        <f>IF('Pre-Calculation'!$D$17="Type 4 a",MAX(SA,H136,1.05*Q136),IF('Pre-Calculation'!$D$17="Type 4 c",H136,IF('Pre-Calculation'!$D$17="Type 4 d",SA+H136,IF('Pre-Calculation'!$D$17="Type 4 e",MAX(SA,H136),IF('Pre-Calculation'!$D$17="Type 4 f",SA,IF('Pre-Calculation'!$D$17="Type 4 g",1000+H136,IF('Pre-Calculation'!$D$17="Type 4 h",SA+X136,IF('Pre-Calculation'!$D$17="Type 4 i",MAX(H136,Q136),IF('Pre-Calculation'!$D$17="Type 4 k",MAX(H136,1.01*Q136),IF('Pre-Calculation'!$D$17="Type 4 m",MAX(105%*Q136,SA+H136),IF('Pre-Calculation'!$D$17="Type 4 o",MAX(SA,105%*Q136)+X136+Z136,IF('Pre-Calculation'!$D$17="Type 5",0))))))))))))</f>
        <v>1680000</v>
      </c>
      <c r="L136" s="175">
        <f>H136-I136*(1+Tax)</f>
        <v>1328728.737</v>
      </c>
      <c r="M136" s="175">
        <f>L136*(1+GROWTH_RATE_H)*(1-FMC*(1+Tax))</f>
        <v>1335503.547</v>
      </c>
      <c r="N136" s="175">
        <f>M136+IF(MOD(A136,B136)=0,VLOOKUP(B136,'Pre-Calculation'!$H$1:$L$31,5,FALSE),0)*IF('Pre-Calculation'!$D$16="% OF FV",M136,IF(OR('Pre-Calculation'!$D$16="% OF AFV(24M)",'Pre-Calculation'!$D$16="% OF AFV(8Q)"),AVERAGE( $M113:$M136),IF('Pre-Calculation'!$D$16="% OF AFV(12M)",AVERAGE($M125:M136),IF('Pre-Calculation'!$D$16="% OF AFV(36M)",AVERAGE($M101:M136)))))</f>
        <v>1335503.547</v>
      </c>
      <c r="O136" s="175">
        <f t="shared" si="4"/>
        <v>1335503.547</v>
      </c>
      <c r="P136" s="175">
        <f>IF('Pre-Calculation'!$D$17="Type 4 a",MAX(SA,N136,1.05*Q136),IF('Pre-Calculation'!$D$17="Type 4 c",N136,IF('Pre-Calculation'!$D$17="Type 4 d",SA+N136,IF('Pre-Calculation'!$D$17="Type 4 e",MAX(SA,N136),IF('Pre-Calculation'!$D$17="Type 4 f",SA,IF('Pre-Calculation'!$D$17="Type 4 g",1000+N136,IF('Pre-Calculation'!$D$17="Type 4 h",SA+X136,IF('Pre-Calculation'!$D$17="Type 4 i",MAX(N136,Q136),IF('Pre-Calculation'!$D$17="Type 4 k",MAX(N136,1.01*Q136),IF('Pre-Calculation'!$D$17="Type 4 m",MAX(105%*Q136,SA+N136),IF('Pre-Calculation'!$D$17="Type 4 o",MAX(SA,105%*Q136)+X136+Z136,IF('Pre-Calculation'!$D$17="Type 5",0))))))))))))</f>
        <v>1680000</v>
      </c>
      <c r="Q136" s="175">
        <f t="shared" si="5"/>
        <v>1600000</v>
      </c>
      <c r="R136" s="119">
        <f>L136*(1+GROWTH_RATE)*FMC</f>
        <v>1503.619408</v>
      </c>
      <c r="S136" s="178">
        <f>S135*(1+'Pre-Calculation'!$E$27)</f>
        <v>943554.8386</v>
      </c>
      <c r="T136" s="175">
        <f>-E136+IF(A135=INPUT!$C$11*12,N136,0)</f>
        <v>0</v>
      </c>
      <c r="U136" s="175">
        <f t="shared" si="6"/>
        <v>1446794.291</v>
      </c>
      <c r="V136" s="175">
        <f>U136*(1+GROWTH_RATE_H)*(1-'Pre-Calculation'!$E$31)</f>
        <v>1453678.126</v>
      </c>
      <c r="W136" s="175">
        <f>-E136+IF(A135=INPUT!$C$11*12,V136,0)</f>
        <v>0</v>
      </c>
      <c r="X136" s="179">
        <f t="array" ref="X136">NPV('Pre-Calculation'!$E$20,$E137:E$246)</f>
        <v>0</v>
      </c>
      <c r="Y136" s="171">
        <f>10%*SA</f>
        <v>100000</v>
      </c>
      <c r="Z136" s="179">
        <f t="array" ref="Z136">NPV('Pre-Calculation'!$E$20,Y137:Y146)</f>
        <v>969592.8037</v>
      </c>
    </row>
    <row r="137" ht="15.75" customHeight="1">
      <c r="A137" s="171">
        <f t="shared" si="1"/>
        <v>131</v>
      </c>
      <c r="B137" s="171">
        <f t="shared" si="2"/>
        <v>11</v>
      </c>
      <c r="C137" s="176">
        <f>EDATE(RCD,A136)</f>
        <v>46507</v>
      </c>
      <c r="D137" s="171">
        <f>Age_At_Entry+'Cashflows_8% from Start'!B137-1</f>
        <v>45</v>
      </c>
      <c r="E137" s="175">
        <f>IF(AND(C137&lt;=Last_Prem,MOD(A136,Mode)=0),Mod_Prem,0)</f>
        <v>0</v>
      </c>
      <c r="F137" s="177">
        <f>E137*VLOOKUP(B137,'Pre-Calculation'!$H$1:$I$31,2,FALSE)</f>
        <v>0</v>
      </c>
      <c r="G137" s="177">
        <f>IF(B137&lt;PT+1,VLOOKUP(B137,'Pre-Calculation'!$H$1:$L$32,3,FALSE)+VLOOKUP(B137,'Pre-Calculation'!$H$1:$L$32,4,FALSE)*'Pre-Calculation'!$D$7,0)</f>
        <v>0</v>
      </c>
      <c r="H137" s="175">
        <f>(E137-(F137+G137)*(1+Tax)+N136)</f>
        <v>1335503.547</v>
      </c>
      <c r="I137" s="175">
        <f>IF(B137&lt;PT+1,VLOOKUP(D137,'Pre-Calculation'!$N$3:$P$79,IF(INPUT!$C$4="M",2,3),FALSE)*(J137/1000)*(1/12),0)</f>
        <v>0</v>
      </c>
      <c r="J137" s="175">
        <f t="shared" si="3"/>
        <v>344496.4529</v>
      </c>
      <c r="K137" s="175">
        <f>IF('Pre-Calculation'!$D$17="Type 4 a",MAX(SA,H137,1.05*Q137),IF('Pre-Calculation'!$D$17="Type 4 c",H137,IF('Pre-Calculation'!$D$17="Type 4 d",SA+H137,IF('Pre-Calculation'!$D$17="Type 4 e",MAX(SA,H137),IF('Pre-Calculation'!$D$17="Type 4 f",SA,IF('Pre-Calculation'!$D$17="Type 4 g",1000+H137,IF('Pre-Calculation'!$D$17="Type 4 h",SA+X137,IF('Pre-Calculation'!$D$17="Type 4 i",MAX(H137,Q137),IF('Pre-Calculation'!$D$17="Type 4 k",MAX(H137,1.01*Q137),IF('Pre-Calculation'!$D$17="Type 4 m",MAX(105%*Q137,SA+H137),IF('Pre-Calculation'!$D$17="Type 4 o",MAX(SA,105%*Q137)+X137+Z137,IF('Pre-Calculation'!$D$17="Type 5",0))))))))))))</f>
        <v>1680000</v>
      </c>
      <c r="L137" s="175">
        <f>H137-I137*(1+Tax)</f>
        <v>1335503.547</v>
      </c>
      <c r="M137" s="175">
        <f>L137*(1+GROWTH_RATE_H)*(1-FMC*(1+Tax))</f>
        <v>1342312.9</v>
      </c>
      <c r="N137" s="175">
        <f>M137+IF(MOD(A137,B137)=0,VLOOKUP(B137,'Pre-Calculation'!$H$1:$L$31,5,FALSE),0)*IF('Pre-Calculation'!$D$16="% OF FV",M137,IF(OR('Pre-Calculation'!$D$16="% OF AFV(24M)",'Pre-Calculation'!$D$16="% OF AFV(8Q)"),AVERAGE( $M114:$M137),IF('Pre-Calculation'!$D$16="% OF AFV(12M)",AVERAGE($M126:M137),IF('Pre-Calculation'!$D$16="% OF AFV(36M)",AVERAGE($M102:M137)))))</f>
        <v>1342312.9</v>
      </c>
      <c r="O137" s="175">
        <f t="shared" si="4"/>
        <v>1342312.9</v>
      </c>
      <c r="P137" s="175">
        <f>IF('Pre-Calculation'!$D$17="Type 4 a",MAX(SA,N137,1.05*Q137),IF('Pre-Calculation'!$D$17="Type 4 c",N137,IF('Pre-Calculation'!$D$17="Type 4 d",SA+N137,IF('Pre-Calculation'!$D$17="Type 4 e",MAX(SA,N137),IF('Pre-Calculation'!$D$17="Type 4 f",SA,IF('Pre-Calculation'!$D$17="Type 4 g",1000+N137,IF('Pre-Calculation'!$D$17="Type 4 h",SA+X137,IF('Pre-Calculation'!$D$17="Type 4 i",MAX(N137,Q137),IF('Pre-Calculation'!$D$17="Type 4 k",MAX(N137,1.01*Q137),IF('Pre-Calculation'!$D$17="Type 4 m",MAX(105%*Q137,SA+N137),IF('Pre-Calculation'!$D$17="Type 4 o",MAX(SA,105%*Q137)+X137+Z137,IF('Pre-Calculation'!$D$17="Type 5",0))))))))))))</f>
        <v>1680000</v>
      </c>
      <c r="Q137" s="175">
        <f t="shared" si="5"/>
        <v>1600000</v>
      </c>
      <c r="R137" s="119">
        <f>L137*(1+GROWTH_RATE)*FMC</f>
        <v>1511.285935</v>
      </c>
      <c r="S137" s="178">
        <f>S136*(1+'Pre-Calculation'!$E$27)</f>
        <v>946263.689</v>
      </c>
      <c r="T137" s="175">
        <f>-E137+IF(A136=INPUT!$C$11*12,N137,0)</f>
        <v>0</v>
      </c>
      <c r="U137" s="175">
        <f t="shared" si="6"/>
        <v>1453678.126</v>
      </c>
      <c r="V137" s="175">
        <f>U137*(1+GROWTH_RATE_H)*(1-'Pre-Calculation'!$E$31)</f>
        <v>1460594.713</v>
      </c>
      <c r="W137" s="175">
        <f>-E137+IF(A136=INPUT!$C$11*12,V137,0)</f>
        <v>0</v>
      </c>
      <c r="X137" s="179">
        <f t="array" ref="X137">NPV('Pre-Calculation'!$E$20,$E138:E$246)</f>
        <v>0</v>
      </c>
      <c r="Y137" s="171">
        <f>10%*SA</f>
        <v>100000</v>
      </c>
      <c r="Z137" s="179">
        <f t="array" ref="Z137">NPV('Pre-Calculation'!$E$20,Y138:Y147)</f>
        <v>969592.8037</v>
      </c>
    </row>
    <row r="138" ht="15.75" customHeight="1">
      <c r="A138" s="171">
        <f t="shared" si="1"/>
        <v>132</v>
      </c>
      <c r="B138" s="171">
        <f t="shared" si="2"/>
        <v>11</v>
      </c>
      <c r="C138" s="176">
        <f>EDATE(RCD,A137)</f>
        <v>46537</v>
      </c>
      <c r="D138" s="171">
        <f>Age_At_Entry+'Cashflows_8% from Start'!B138-1</f>
        <v>45</v>
      </c>
      <c r="E138" s="175">
        <f>IF(AND(C138&lt;=Last_Prem,MOD(A137,Mode)=0),Mod_Prem,0)</f>
        <v>0</v>
      </c>
      <c r="F138" s="177">
        <f>E138*VLOOKUP(B138,'Pre-Calculation'!$H$1:$I$31,2,FALSE)</f>
        <v>0</v>
      </c>
      <c r="G138" s="177">
        <f>IF(B138&lt;PT+1,VLOOKUP(B138,'Pre-Calculation'!$H$1:$L$32,3,FALSE)+VLOOKUP(B138,'Pre-Calculation'!$H$1:$L$32,4,FALSE)*'Pre-Calculation'!$D$7,0)</f>
        <v>0</v>
      </c>
      <c r="H138" s="175">
        <f>(E138-(F138+G138)*(1+Tax)+N137)</f>
        <v>1342312.9</v>
      </c>
      <c r="I138" s="175">
        <f>IF(B138&lt;PT+1,VLOOKUP(D138,'Pre-Calculation'!$N$3:$P$79,IF(INPUT!$C$4="M",2,3),FALSE)*(J138/1000)*(1/12),0)</f>
        <v>0</v>
      </c>
      <c r="J138" s="175">
        <f t="shared" si="3"/>
        <v>337687.1003</v>
      </c>
      <c r="K138" s="175">
        <f>IF('Pre-Calculation'!$D$17="Type 4 a",MAX(SA,H138,1.05*Q138),IF('Pre-Calculation'!$D$17="Type 4 c",H138,IF('Pre-Calculation'!$D$17="Type 4 d",SA+H138,IF('Pre-Calculation'!$D$17="Type 4 e",MAX(SA,H138),IF('Pre-Calculation'!$D$17="Type 4 f",SA,IF('Pre-Calculation'!$D$17="Type 4 g",1000+H138,IF('Pre-Calculation'!$D$17="Type 4 h",SA+X138,IF('Pre-Calculation'!$D$17="Type 4 i",MAX(H138,Q138),IF('Pre-Calculation'!$D$17="Type 4 k",MAX(H138,1.01*Q138),IF('Pre-Calculation'!$D$17="Type 4 m",MAX(105%*Q138,SA+H138),IF('Pre-Calculation'!$D$17="Type 4 o",MAX(SA,105%*Q138)+X138+Z138,IF('Pre-Calculation'!$D$17="Type 5",0))))))))))))</f>
        <v>1680000</v>
      </c>
      <c r="L138" s="175">
        <f>H138-I138*(1+Tax)</f>
        <v>1342312.9</v>
      </c>
      <c r="M138" s="175">
        <f>L138*(1+GROWTH_RATE_H)*(1-FMC*(1+Tax))</f>
        <v>1349156.971</v>
      </c>
      <c r="N138" s="175">
        <f>M138+IF(MOD(A138,B138)=0,VLOOKUP(B138,'Pre-Calculation'!$H$1:$L$31,5,FALSE),0)*IF('Pre-Calculation'!$D$16="% OF FV",M138,IF(OR('Pre-Calculation'!$D$16="% OF AFV(24M)",'Pre-Calculation'!$D$16="% OF AFV(8Q)"),AVERAGE( $M115:$M138),IF('Pre-Calculation'!$D$16="% OF AFV(12M)",AVERAGE($M127:M138),IF('Pre-Calculation'!$D$16="% OF AFV(36M)",AVERAGE($M103:M138)))))</f>
        <v>1349156.971</v>
      </c>
      <c r="O138" s="175">
        <f t="shared" si="4"/>
        <v>1349156.971</v>
      </c>
      <c r="P138" s="175">
        <f>IF('Pre-Calculation'!$D$17="Type 4 a",MAX(SA,N138,1.05*Q138),IF('Pre-Calculation'!$D$17="Type 4 c",N138,IF('Pre-Calculation'!$D$17="Type 4 d",SA+N138,IF('Pre-Calculation'!$D$17="Type 4 e",MAX(SA,N138),IF('Pre-Calculation'!$D$17="Type 4 f",SA,IF('Pre-Calculation'!$D$17="Type 4 g",1000+N138,IF('Pre-Calculation'!$D$17="Type 4 h",SA+X138,IF('Pre-Calculation'!$D$17="Type 4 i",MAX(N138,Q138),IF('Pre-Calculation'!$D$17="Type 4 k",MAX(N138,1.01*Q138),IF('Pre-Calculation'!$D$17="Type 4 m",MAX(105%*Q138,SA+N138),IF('Pre-Calculation'!$D$17="Type 4 o",MAX(SA,105%*Q138)+X138+Z138,IF('Pre-Calculation'!$D$17="Type 5",0))))))))))))</f>
        <v>1680000</v>
      </c>
      <c r="Q138" s="175">
        <f t="shared" si="5"/>
        <v>1600000</v>
      </c>
      <c r="R138" s="119">
        <f>L138*(1+GROWTH_RATE)*FMC</f>
        <v>1518.991552</v>
      </c>
      <c r="S138" s="178">
        <f>S137*(1+'Pre-Calculation'!$E$27)</f>
        <v>948980.3162</v>
      </c>
      <c r="T138" s="175">
        <f>-E138+IF(A137=INPUT!$C$11*12,N138,0)</f>
        <v>0</v>
      </c>
      <c r="U138" s="175">
        <f t="shared" si="6"/>
        <v>1460594.713</v>
      </c>
      <c r="V138" s="175">
        <f>U138*(1+GROWTH_RATE_H)*(1-'Pre-Calculation'!$E$31)</f>
        <v>1467544.21</v>
      </c>
      <c r="W138" s="175">
        <f>-E138+IF(A137=INPUT!$C$11*12,V138,0)</f>
        <v>0</v>
      </c>
      <c r="X138" s="179">
        <f t="array" ref="X138">NPV('Pre-Calculation'!$E$20,$E139:E$246)</f>
        <v>0</v>
      </c>
      <c r="Y138" s="171">
        <f>10%*SA</f>
        <v>100000</v>
      </c>
      <c r="Z138" s="179">
        <f t="array" ref="Z138">NPV('Pre-Calculation'!$E$20,Y139:Y148)</f>
        <v>969592.8037</v>
      </c>
    </row>
    <row r="139" ht="15.75" customHeight="1">
      <c r="A139" s="171">
        <f t="shared" si="1"/>
        <v>133</v>
      </c>
      <c r="B139" s="171">
        <f t="shared" si="2"/>
        <v>12</v>
      </c>
      <c r="C139" s="176">
        <f>EDATE(RCD,A138)</f>
        <v>46568</v>
      </c>
      <c r="D139" s="171">
        <f>Age_At_Entry+'Cashflows_8% from Start'!B139-1</f>
        <v>46</v>
      </c>
      <c r="E139" s="175">
        <f>IF(AND(C139&lt;=Last_Prem,MOD(A138,Mode)=0),Mod_Prem,0)</f>
        <v>0</v>
      </c>
      <c r="F139" s="177">
        <f>E139*VLOOKUP(B139,'Pre-Calculation'!$H$1:$I$31,2,FALSE)</f>
        <v>0</v>
      </c>
      <c r="G139" s="177">
        <f>IF(B139&lt;PT+1,VLOOKUP(B139,'Pre-Calculation'!$H$1:$L$32,3,FALSE)+VLOOKUP(B139,'Pre-Calculation'!$H$1:$L$32,4,FALSE)*'Pre-Calculation'!$D$7,0)</f>
        <v>0</v>
      </c>
      <c r="H139" s="175">
        <f>(E139-(F139+G139)*(1+Tax)+N138)</f>
        <v>1349156.971</v>
      </c>
      <c r="I139" s="175">
        <f>IF(B139&lt;PT+1,VLOOKUP(D139,'Pre-Calculation'!$N$3:$P$79,IF(INPUT!$C$4="M",2,3),FALSE)*(J139/1000)*(1/12),0)</f>
        <v>0</v>
      </c>
      <c r="J139" s="175">
        <f t="shared" si="3"/>
        <v>330843.0287</v>
      </c>
      <c r="K139" s="175">
        <f>IF('Pre-Calculation'!$D$17="Type 4 a",MAX(SA,H139,1.05*Q139),IF('Pre-Calculation'!$D$17="Type 4 c",H139,IF('Pre-Calculation'!$D$17="Type 4 d",SA+H139,IF('Pre-Calculation'!$D$17="Type 4 e",MAX(SA,H139),IF('Pre-Calculation'!$D$17="Type 4 f",SA,IF('Pre-Calculation'!$D$17="Type 4 g",1000+H139,IF('Pre-Calculation'!$D$17="Type 4 h",SA+X139,IF('Pre-Calculation'!$D$17="Type 4 i",MAX(H139,Q139),IF('Pre-Calculation'!$D$17="Type 4 k",MAX(H139,1.01*Q139),IF('Pre-Calculation'!$D$17="Type 4 m",MAX(105%*Q139,SA+H139),IF('Pre-Calculation'!$D$17="Type 4 o",MAX(SA,105%*Q139)+X139+Z139,IF('Pre-Calculation'!$D$17="Type 5",0))))))))))))</f>
        <v>1680000</v>
      </c>
      <c r="L139" s="175">
        <f>H139-I139*(1+Tax)</f>
        <v>1349156.971</v>
      </c>
      <c r="M139" s="175">
        <f>L139*(1+GROWTH_RATE_H)*(1-FMC*(1+Tax))</f>
        <v>1356035.939</v>
      </c>
      <c r="N139" s="175">
        <f>M139+IF(MOD(A139,B139)=0,VLOOKUP(B139,'Pre-Calculation'!$H$1:$L$31,5,FALSE),0)*IF('Pre-Calculation'!$D$16="% OF FV",M139,IF(OR('Pre-Calculation'!$D$16="% OF AFV(24M)",'Pre-Calculation'!$D$16="% OF AFV(8Q)"),AVERAGE( $M116:$M139),IF('Pre-Calculation'!$D$16="% OF AFV(12M)",AVERAGE($M128:M139),IF('Pre-Calculation'!$D$16="% OF AFV(36M)",AVERAGE($M104:M139)))))</f>
        <v>1356035.939</v>
      </c>
      <c r="O139" s="175">
        <f t="shared" si="4"/>
        <v>1356035.939</v>
      </c>
      <c r="P139" s="175">
        <f>IF('Pre-Calculation'!$D$17="Type 4 a",MAX(SA,N139,1.05*Q139),IF('Pre-Calculation'!$D$17="Type 4 c",N139,IF('Pre-Calculation'!$D$17="Type 4 d",SA+N139,IF('Pre-Calculation'!$D$17="Type 4 e",MAX(SA,N139),IF('Pre-Calculation'!$D$17="Type 4 f",SA,IF('Pre-Calculation'!$D$17="Type 4 g",1000+N139,IF('Pre-Calculation'!$D$17="Type 4 h",SA+X139,IF('Pre-Calculation'!$D$17="Type 4 i",MAX(N139,Q139),IF('Pre-Calculation'!$D$17="Type 4 k",MAX(N139,1.01*Q139),IF('Pre-Calculation'!$D$17="Type 4 m",MAX(105%*Q139,SA+N139),IF('Pre-Calculation'!$D$17="Type 4 o",MAX(SA,105%*Q139)+X139+Z139,IF('Pre-Calculation'!$D$17="Type 5",0))))))))))))</f>
        <v>1680000</v>
      </c>
      <c r="Q139" s="175">
        <f t="shared" si="5"/>
        <v>1600000</v>
      </c>
      <c r="R139" s="119">
        <f>L139*(1+GROWTH_RATE)*FMC</f>
        <v>1526.736458</v>
      </c>
      <c r="S139" s="178">
        <f>S138*(1+'Pre-Calculation'!$E$27)</f>
        <v>951704.7426</v>
      </c>
      <c r="T139" s="175">
        <f>-E139+IF(A138=INPUT!$C$11*12,N139,0)</f>
        <v>0</v>
      </c>
      <c r="U139" s="175">
        <f t="shared" si="6"/>
        <v>1467544.21</v>
      </c>
      <c r="V139" s="175">
        <f>U139*(1+GROWTH_RATE_H)*(1-'Pre-Calculation'!$E$31)</f>
        <v>1474526.773</v>
      </c>
      <c r="W139" s="175">
        <f>-E139+IF(A138=INPUT!$C$11*12,V139,0)</f>
        <v>0</v>
      </c>
      <c r="X139" s="179">
        <f t="array" ref="X139">NPV('Pre-Calculation'!$E$20,$E140:E$246)</f>
        <v>0</v>
      </c>
      <c r="Y139" s="171">
        <f>10%*SA</f>
        <v>100000</v>
      </c>
      <c r="Z139" s="179">
        <f t="array" ref="Z139">NPV('Pre-Calculation'!$E$20,Y140:Y149)</f>
        <v>969592.8037</v>
      </c>
    </row>
    <row r="140" ht="15.75" customHeight="1">
      <c r="A140" s="171">
        <f t="shared" si="1"/>
        <v>134</v>
      </c>
      <c r="B140" s="171">
        <f t="shared" si="2"/>
        <v>12</v>
      </c>
      <c r="C140" s="176">
        <f>EDATE(RCD,A139)</f>
        <v>46598</v>
      </c>
      <c r="D140" s="171">
        <f>Age_At_Entry+'Cashflows_8% from Start'!B140-1</f>
        <v>46</v>
      </c>
      <c r="E140" s="175">
        <f>IF(AND(C140&lt;=Last_Prem,MOD(A139,Mode)=0),Mod_Prem,0)</f>
        <v>0</v>
      </c>
      <c r="F140" s="177">
        <f>E140*VLOOKUP(B140,'Pre-Calculation'!$H$1:$I$31,2,FALSE)</f>
        <v>0</v>
      </c>
      <c r="G140" s="177">
        <f>IF(B140&lt;PT+1,VLOOKUP(B140,'Pre-Calculation'!$H$1:$L$32,3,FALSE)+VLOOKUP(B140,'Pre-Calculation'!$H$1:$L$32,4,FALSE)*'Pre-Calculation'!$D$7,0)</f>
        <v>0</v>
      </c>
      <c r="H140" s="175">
        <f>(E140-(F140+G140)*(1+Tax)+N139)</f>
        <v>1356035.939</v>
      </c>
      <c r="I140" s="175">
        <f>IF(B140&lt;PT+1,VLOOKUP(D140,'Pre-Calculation'!$N$3:$P$79,IF(INPUT!$C$4="M",2,3),FALSE)*(J140/1000)*(1/12),0)</f>
        <v>0</v>
      </c>
      <c r="J140" s="175">
        <f t="shared" si="3"/>
        <v>323964.0612</v>
      </c>
      <c r="K140" s="175">
        <f>IF('Pre-Calculation'!$D$17="Type 4 a",MAX(SA,H140,1.05*Q140),IF('Pre-Calculation'!$D$17="Type 4 c",H140,IF('Pre-Calculation'!$D$17="Type 4 d",SA+H140,IF('Pre-Calculation'!$D$17="Type 4 e",MAX(SA,H140),IF('Pre-Calculation'!$D$17="Type 4 f",SA,IF('Pre-Calculation'!$D$17="Type 4 g",1000+H140,IF('Pre-Calculation'!$D$17="Type 4 h",SA+X140,IF('Pre-Calculation'!$D$17="Type 4 i",MAX(H140,Q140),IF('Pre-Calculation'!$D$17="Type 4 k",MAX(H140,1.01*Q140),IF('Pre-Calculation'!$D$17="Type 4 m",MAX(105%*Q140,SA+H140),IF('Pre-Calculation'!$D$17="Type 4 o",MAX(SA,105%*Q140)+X140+Z140,IF('Pre-Calculation'!$D$17="Type 5",0))))))))))))</f>
        <v>1680000</v>
      </c>
      <c r="L140" s="175">
        <f>H140-I140*(1+Tax)</f>
        <v>1356035.939</v>
      </c>
      <c r="M140" s="175">
        <f>L140*(1+GROWTH_RATE_H)*(1-FMC*(1+Tax))</f>
        <v>1362949.98</v>
      </c>
      <c r="N140" s="175">
        <f>M140+IF(MOD(A140,B140)=0,VLOOKUP(B140,'Pre-Calculation'!$H$1:$L$31,5,FALSE),0)*IF('Pre-Calculation'!$D$16="% OF FV",M140,IF(OR('Pre-Calculation'!$D$16="% OF AFV(24M)",'Pre-Calculation'!$D$16="% OF AFV(8Q)"),AVERAGE( $M117:$M140),IF('Pre-Calculation'!$D$16="% OF AFV(12M)",AVERAGE($M129:M140),IF('Pre-Calculation'!$D$16="% OF AFV(36M)",AVERAGE($M105:M140)))))</f>
        <v>1362949.98</v>
      </c>
      <c r="O140" s="175">
        <f t="shared" si="4"/>
        <v>1362949.98</v>
      </c>
      <c r="P140" s="175">
        <f>IF('Pre-Calculation'!$D$17="Type 4 a",MAX(SA,N140,1.05*Q140),IF('Pre-Calculation'!$D$17="Type 4 c",N140,IF('Pre-Calculation'!$D$17="Type 4 d",SA+N140,IF('Pre-Calculation'!$D$17="Type 4 e",MAX(SA,N140),IF('Pre-Calculation'!$D$17="Type 4 f",SA,IF('Pre-Calculation'!$D$17="Type 4 g",1000+N140,IF('Pre-Calculation'!$D$17="Type 4 h",SA+X140,IF('Pre-Calculation'!$D$17="Type 4 i",MAX(N140,Q140),IF('Pre-Calculation'!$D$17="Type 4 k",MAX(N140,1.01*Q140),IF('Pre-Calculation'!$D$17="Type 4 m",MAX(105%*Q140,SA+N140),IF('Pre-Calculation'!$D$17="Type 4 o",MAX(SA,105%*Q140)+X140+Z140,IF('Pre-Calculation'!$D$17="Type 5",0))))))))))))</f>
        <v>1680000</v>
      </c>
      <c r="Q140" s="175">
        <f t="shared" si="5"/>
        <v>1600000</v>
      </c>
      <c r="R140" s="119">
        <f>L140*(1+GROWTH_RATE)*FMC</f>
        <v>1534.520853</v>
      </c>
      <c r="S140" s="178">
        <f>S139*(1+'Pre-Calculation'!$E$27)</f>
        <v>954436.9905</v>
      </c>
      <c r="T140" s="175">
        <f>-E140+IF(A139=INPUT!$C$11*12,N140,0)</f>
        <v>0</v>
      </c>
      <c r="U140" s="175">
        <f t="shared" si="6"/>
        <v>1474526.773</v>
      </c>
      <c r="V140" s="175">
        <f>U140*(1+GROWTH_RATE_H)*(1-'Pre-Calculation'!$E$31)</f>
        <v>1481542.558</v>
      </c>
      <c r="W140" s="175">
        <f>-E140+IF(A139=INPUT!$C$11*12,V140,0)</f>
        <v>0</v>
      </c>
      <c r="X140" s="179">
        <f t="array" ref="X140">NPV('Pre-Calculation'!$E$20,$E141:E$246)</f>
        <v>0</v>
      </c>
      <c r="Y140" s="171">
        <f>10%*SA</f>
        <v>100000</v>
      </c>
      <c r="Z140" s="179">
        <f t="array" ref="Z140">NPV('Pre-Calculation'!$E$20,Y141:Y150)</f>
        <v>969592.8037</v>
      </c>
    </row>
    <row r="141" ht="15.75" customHeight="1">
      <c r="A141" s="171">
        <f t="shared" si="1"/>
        <v>135</v>
      </c>
      <c r="B141" s="171">
        <f t="shared" si="2"/>
        <v>12</v>
      </c>
      <c r="C141" s="176">
        <f>EDATE(RCD,A140)</f>
        <v>46629</v>
      </c>
      <c r="D141" s="171">
        <f>Age_At_Entry+'Cashflows_8% from Start'!B141-1</f>
        <v>46</v>
      </c>
      <c r="E141" s="175">
        <f>IF(AND(C141&lt;=Last_Prem,MOD(A140,Mode)=0),Mod_Prem,0)</f>
        <v>0</v>
      </c>
      <c r="F141" s="177">
        <f>E141*VLOOKUP(B141,'Pre-Calculation'!$H$1:$I$31,2,FALSE)</f>
        <v>0</v>
      </c>
      <c r="G141" s="177">
        <f>IF(B141&lt;PT+1,VLOOKUP(B141,'Pre-Calculation'!$H$1:$L$32,3,FALSE)+VLOOKUP(B141,'Pre-Calculation'!$H$1:$L$32,4,FALSE)*'Pre-Calculation'!$D$7,0)</f>
        <v>0</v>
      </c>
      <c r="H141" s="175">
        <f>(E141-(F141+G141)*(1+Tax)+N140)</f>
        <v>1362949.98</v>
      </c>
      <c r="I141" s="175">
        <f>IF(B141&lt;PT+1,VLOOKUP(D141,'Pre-Calculation'!$N$3:$P$79,IF(INPUT!$C$4="M",2,3),FALSE)*(J141/1000)*(1/12),0)</f>
        <v>0</v>
      </c>
      <c r="J141" s="175">
        <f t="shared" si="3"/>
        <v>317050.0197</v>
      </c>
      <c r="K141" s="175">
        <f>IF('Pre-Calculation'!$D$17="Type 4 a",MAX(SA,H141,1.05*Q141),IF('Pre-Calculation'!$D$17="Type 4 c",H141,IF('Pre-Calculation'!$D$17="Type 4 d",SA+H141,IF('Pre-Calculation'!$D$17="Type 4 e",MAX(SA,H141),IF('Pre-Calculation'!$D$17="Type 4 f",SA,IF('Pre-Calculation'!$D$17="Type 4 g",1000+H141,IF('Pre-Calculation'!$D$17="Type 4 h",SA+X141,IF('Pre-Calculation'!$D$17="Type 4 i",MAX(H141,Q141),IF('Pre-Calculation'!$D$17="Type 4 k",MAX(H141,1.01*Q141),IF('Pre-Calculation'!$D$17="Type 4 m",MAX(105%*Q141,SA+H141),IF('Pre-Calculation'!$D$17="Type 4 o",MAX(SA,105%*Q141)+X141+Z141,IF('Pre-Calculation'!$D$17="Type 5",0))))))))))))</f>
        <v>1680000</v>
      </c>
      <c r="L141" s="175">
        <f>H141-I141*(1+Tax)</f>
        <v>1362949.98</v>
      </c>
      <c r="M141" s="175">
        <f>L141*(1+GROWTH_RATE_H)*(1-FMC*(1+Tax))</f>
        <v>1369899.274</v>
      </c>
      <c r="N141" s="175">
        <f>M141+IF(MOD(A141,B141)=0,VLOOKUP(B141,'Pre-Calculation'!$H$1:$L$31,5,FALSE),0)*IF('Pre-Calculation'!$D$16="% OF FV",M141,IF(OR('Pre-Calculation'!$D$16="% OF AFV(24M)",'Pre-Calculation'!$D$16="% OF AFV(8Q)"),AVERAGE( $M118:$M141),IF('Pre-Calculation'!$D$16="% OF AFV(12M)",AVERAGE($M130:M141),IF('Pre-Calculation'!$D$16="% OF AFV(36M)",AVERAGE($M106:M141)))))</f>
        <v>1369899.274</v>
      </c>
      <c r="O141" s="175">
        <f t="shared" si="4"/>
        <v>1369899.274</v>
      </c>
      <c r="P141" s="175">
        <f>IF('Pre-Calculation'!$D$17="Type 4 a",MAX(SA,N141,1.05*Q141),IF('Pre-Calculation'!$D$17="Type 4 c",N141,IF('Pre-Calculation'!$D$17="Type 4 d",SA+N141,IF('Pre-Calculation'!$D$17="Type 4 e",MAX(SA,N141),IF('Pre-Calculation'!$D$17="Type 4 f",SA,IF('Pre-Calculation'!$D$17="Type 4 g",1000+N141,IF('Pre-Calculation'!$D$17="Type 4 h",SA+X141,IF('Pre-Calculation'!$D$17="Type 4 i",MAX(N141,Q141),IF('Pre-Calculation'!$D$17="Type 4 k",MAX(N141,1.01*Q141),IF('Pre-Calculation'!$D$17="Type 4 m",MAX(105%*Q141,SA+N141),IF('Pre-Calculation'!$D$17="Type 4 o",MAX(SA,105%*Q141)+X141+Z141,IF('Pre-Calculation'!$D$17="Type 5",0))))))))))))</f>
        <v>1680000</v>
      </c>
      <c r="Q141" s="175">
        <f t="shared" si="5"/>
        <v>1600000</v>
      </c>
      <c r="R141" s="119">
        <f>L141*(1+GROWTH_RATE)*FMC</f>
        <v>1542.344938</v>
      </c>
      <c r="S141" s="178">
        <f>S140*(1+'Pre-Calculation'!$E$27)</f>
        <v>957177.0824</v>
      </c>
      <c r="T141" s="175">
        <f>-E141+IF(A140=INPUT!$C$11*12,N141,0)</f>
        <v>0</v>
      </c>
      <c r="U141" s="175">
        <f t="shared" si="6"/>
        <v>1481542.558</v>
      </c>
      <c r="V141" s="175">
        <f>U141*(1+GROWTH_RATE_H)*(1-'Pre-Calculation'!$E$31)</f>
        <v>1488591.725</v>
      </c>
      <c r="W141" s="175">
        <f>-E141+IF(A140=INPUT!$C$11*12,V141,0)</f>
        <v>0</v>
      </c>
      <c r="X141" s="179">
        <f t="array" ref="X141">NPV('Pre-Calculation'!$E$20,$E142:E$246)</f>
        <v>0</v>
      </c>
      <c r="Y141" s="171">
        <f>10%*SA</f>
        <v>100000</v>
      </c>
      <c r="Z141" s="179">
        <f t="array" ref="Z141">NPV('Pre-Calculation'!$E$20,Y142:Y151)</f>
        <v>969592.8037</v>
      </c>
    </row>
    <row r="142" ht="15.75" customHeight="1">
      <c r="A142" s="171">
        <f t="shared" si="1"/>
        <v>136</v>
      </c>
      <c r="B142" s="171">
        <f t="shared" si="2"/>
        <v>12</v>
      </c>
      <c r="C142" s="176">
        <f>EDATE(RCD,A141)</f>
        <v>46660</v>
      </c>
      <c r="D142" s="171">
        <f>Age_At_Entry+'Cashflows_8% from Start'!B142-1</f>
        <v>46</v>
      </c>
      <c r="E142" s="175">
        <f>IF(AND(C142&lt;=Last_Prem,MOD(A141,Mode)=0),Mod_Prem,0)</f>
        <v>0</v>
      </c>
      <c r="F142" s="177">
        <f>E142*VLOOKUP(B142,'Pre-Calculation'!$H$1:$I$31,2,FALSE)</f>
        <v>0</v>
      </c>
      <c r="G142" s="177">
        <f>IF(B142&lt;PT+1,VLOOKUP(B142,'Pre-Calculation'!$H$1:$L$32,3,FALSE)+VLOOKUP(B142,'Pre-Calculation'!$H$1:$L$32,4,FALSE)*'Pre-Calculation'!$D$7,0)</f>
        <v>0</v>
      </c>
      <c r="H142" s="175">
        <f>(E142-(F142+G142)*(1+Tax)+N141)</f>
        <v>1369899.274</v>
      </c>
      <c r="I142" s="175">
        <f>IF(B142&lt;PT+1,VLOOKUP(D142,'Pre-Calculation'!$N$3:$P$79,IF(INPUT!$C$4="M",2,3),FALSE)*(J142/1000)*(1/12),0)</f>
        <v>0</v>
      </c>
      <c r="J142" s="175">
        <f t="shared" si="3"/>
        <v>310100.7255</v>
      </c>
      <c r="K142" s="175">
        <f>IF('Pre-Calculation'!$D$17="Type 4 a",MAX(SA,H142,1.05*Q142),IF('Pre-Calculation'!$D$17="Type 4 c",H142,IF('Pre-Calculation'!$D$17="Type 4 d",SA+H142,IF('Pre-Calculation'!$D$17="Type 4 e",MAX(SA,H142),IF('Pre-Calculation'!$D$17="Type 4 f",SA,IF('Pre-Calculation'!$D$17="Type 4 g",1000+H142,IF('Pre-Calculation'!$D$17="Type 4 h",SA+X142,IF('Pre-Calculation'!$D$17="Type 4 i",MAX(H142,Q142),IF('Pre-Calculation'!$D$17="Type 4 k",MAX(H142,1.01*Q142),IF('Pre-Calculation'!$D$17="Type 4 m",MAX(105%*Q142,SA+H142),IF('Pre-Calculation'!$D$17="Type 4 o",MAX(SA,105%*Q142)+X142+Z142,IF('Pre-Calculation'!$D$17="Type 5",0))))))))))))</f>
        <v>1680000</v>
      </c>
      <c r="L142" s="175">
        <f>H142-I142*(1+Tax)</f>
        <v>1369899.274</v>
      </c>
      <c r="M142" s="175">
        <f>L142*(1+GROWTH_RATE_H)*(1-FMC*(1+Tax))</f>
        <v>1376884.001</v>
      </c>
      <c r="N142" s="175">
        <f>M142+IF(MOD(A142,B142)=0,VLOOKUP(B142,'Pre-Calculation'!$H$1:$L$31,5,FALSE),0)*IF('Pre-Calculation'!$D$16="% OF FV",M142,IF(OR('Pre-Calculation'!$D$16="% OF AFV(24M)",'Pre-Calculation'!$D$16="% OF AFV(8Q)"),AVERAGE( $M119:$M142),IF('Pre-Calculation'!$D$16="% OF AFV(12M)",AVERAGE($M131:M142),IF('Pre-Calculation'!$D$16="% OF AFV(36M)",AVERAGE($M107:M142)))))</f>
        <v>1376884.001</v>
      </c>
      <c r="O142" s="175">
        <f t="shared" si="4"/>
        <v>1376884.001</v>
      </c>
      <c r="P142" s="175">
        <f>IF('Pre-Calculation'!$D$17="Type 4 a",MAX(SA,N142,1.05*Q142),IF('Pre-Calculation'!$D$17="Type 4 c",N142,IF('Pre-Calculation'!$D$17="Type 4 d",SA+N142,IF('Pre-Calculation'!$D$17="Type 4 e",MAX(SA,N142),IF('Pre-Calculation'!$D$17="Type 4 f",SA,IF('Pre-Calculation'!$D$17="Type 4 g",1000+N142,IF('Pre-Calculation'!$D$17="Type 4 h",SA+X142,IF('Pre-Calculation'!$D$17="Type 4 i",MAX(N142,Q142),IF('Pre-Calculation'!$D$17="Type 4 k",MAX(N142,1.01*Q142),IF('Pre-Calculation'!$D$17="Type 4 m",MAX(105%*Q142,SA+N142),IF('Pre-Calculation'!$D$17="Type 4 o",MAX(SA,105%*Q142)+X142+Z142,IF('Pre-Calculation'!$D$17="Type 5",0))))))))))))</f>
        <v>1680000</v>
      </c>
      <c r="Q142" s="175">
        <f t="shared" si="5"/>
        <v>1600000</v>
      </c>
      <c r="R142" s="119">
        <f>L142*(1+GROWTH_RATE)*FMC</f>
        <v>1550.208916</v>
      </c>
      <c r="S142" s="178">
        <f>S141*(1+'Pre-Calculation'!$E$27)</f>
        <v>959925.0409</v>
      </c>
      <c r="T142" s="175">
        <f>-E142+IF(A141=INPUT!$C$11*12,N142,0)</f>
        <v>0</v>
      </c>
      <c r="U142" s="175">
        <f t="shared" si="6"/>
        <v>1488591.725</v>
      </c>
      <c r="V142" s="175">
        <f>U142*(1+GROWTH_RATE_H)*(1-'Pre-Calculation'!$E$31)</f>
        <v>1495674.431</v>
      </c>
      <c r="W142" s="175">
        <f>-E142+IF(A141=INPUT!$C$11*12,V142,0)</f>
        <v>0</v>
      </c>
      <c r="X142" s="179">
        <f t="array" ref="X142">NPV('Pre-Calculation'!$E$20,$E143:E$246)</f>
        <v>0</v>
      </c>
      <c r="Y142" s="171">
        <f>10%*SA</f>
        <v>100000</v>
      </c>
      <c r="Z142" s="179">
        <f t="array" ref="Z142">NPV('Pre-Calculation'!$E$20,Y143:Y152)</f>
        <v>969592.8037</v>
      </c>
    </row>
    <row r="143" ht="15.75" customHeight="1">
      <c r="A143" s="171">
        <f t="shared" si="1"/>
        <v>137</v>
      </c>
      <c r="B143" s="171">
        <f t="shared" si="2"/>
        <v>12</v>
      </c>
      <c r="C143" s="176">
        <f>EDATE(RCD,A142)</f>
        <v>46690</v>
      </c>
      <c r="D143" s="171">
        <f>Age_At_Entry+'Cashflows_8% from Start'!B143-1</f>
        <v>46</v>
      </c>
      <c r="E143" s="175">
        <f>IF(AND(C143&lt;=Last_Prem,MOD(A142,Mode)=0),Mod_Prem,0)</f>
        <v>0</v>
      </c>
      <c r="F143" s="177">
        <f>E143*VLOOKUP(B143,'Pre-Calculation'!$H$1:$I$31,2,FALSE)</f>
        <v>0</v>
      </c>
      <c r="G143" s="177">
        <f>IF(B143&lt;PT+1,VLOOKUP(B143,'Pre-Calculation'!$H$1:$L$32,3,FALSE)+VLOOKUP(B143,'Pre-Calculation'!$H$1:$L$32,4,FALSE)*'Pre-Calculation'!$D$7,0)</f>
        <v>0</v>
      </c>
      <c r="H143" s="175">
        <f>(E143-(F143+G143)*(1+Tax)+N142)</f>
        <v>1376884.001</v>
      </c>
      <c r="I143" s="175">
        <f>IF(B143&lt;PT+1,VLOOKUP(D143,'Pre-Calculation'!$N$3:$P$79,IF(INPUT!$C$4="M",2,3),FALSE)*(J143/1000)*(1/12),0)</f>
        <v>0</v>
      </c>
      <c r="J143" s="175">
        <f t="shared" si="3"/>
        <v>303115.9989</v>
      </c>
      <c r="K143" s="175">
        <f>IF('Pre-Calculation'!$D$17="Type 4 a",MAX(SA,H143,1.05*Q143),IF('Pre-Calculation'!$D$17="Type 4 c",H143,IF('Pre-Calculation'!$D$17="Type 4 d",SA+H143,IF('Pre-Calculation'!$D$17="Type 4 e",MAX(SA,H143),IF('Pre-Calculation'!$D$17="Type 4 f",SA,IF('Pre-Calculation'!$D$17="Type 4 g",1000+H143,IF('Pre-Calculation'!$D$17="Type 4 h",SA+X143,IF('Pre-Calculation'!$D$17="Type 4 i",MAX(H143,Q143),IF('Pre-Calculation'!$D$17="Type 4 k",MAX(H143,1.01*Q143),IF('Pre-Calculation'!$D$17="Type 4 m",MAX(105%*Q143,SA+H143),IF('Pre-Calculation'!$D$17="Type 4 o",MAX(SA,105%*Q143)+X143+Z143,IF('Pre-Calculation'!$D$17="Type 5",0))))))))))))</f>
        <v>1680000</v>
      </c>
      <c r="L143" s="175">
        <f>H143-I143*(1+Tax)</f>
        <v>1376884.001</v>
      </c>
      <c r="M143" s="175">
        <f>L143*(1+GROWTH_RATE_H)*(1-FMC*(1+Tax))</f>
        <v>1383904.341</v>
      </c>
      <c r="N143" s="175">
        <f>M143+IF(MOD(A143,B143)=0,VLOOKUP(B143,'Pre-Calculation'!$H$1:$L$31,5,FALSE),0)*IF('Pre-Calculation'!$D$16="% OF FV",M143,IF(OR('Pre-Calculation'!$D$16="% OF AFV(24M)",'Pre-Calculation'!$D$16="% OF AFV(8Q)"),AVERAGE( $M120:$M143),IF('Pre-Calculation'!$D$16="% OF AFV(12M)",AVERAGE($M132:M143),IF('Pre-Calculation'!$D$16="% OF AFV(36M)",AVERAGE($M108:M143)))))</f>
        <v>1383904.341</v>
      </c>
      <c r="O143" s="175">
        <f t="shared" si="4"/>
        <v>1383904.341</v>
      </c>
      <c r="P143" s="175">
        <f>IF('Pre-Calculation'!$D$17="Type 4 a",MAX(SA,N143,1.05*Q143),IF('Pre-Calculation'!$D$17="Type 4 c",N143,IF('Pre-Calculation'!$D$17="Type 4 d",SA+N143,IF('Pre-Calculation'!$D$17="Type 4 e",MAX(SA,N143),IF('Pre-Calculation'!$D$17="Type 4 f",SA,IF('Pre-Calculation'!$D$17="Type 4 g",1000+N143,IF('Pre-Calculation'!$D$17="Type 4 h",SA+X143,IF('Pre-Calculation'!$D$17="Type 4 i",MAX(N143,Q143),IF('Pre-Calculation'!$D$17="Type 4 k",MAX(N143,1.01*Q143),IF('Pre-Calculation'!$D$17="Type 4 m",MAX(105%*Q143,SA+N143),IF('Pre-Calculation'!$D$17="Type 4 o",MAX(SA,105%*Q143)+X143+Z143,IF('Pre-Calculation'!$D$17="Type 5",0))))))))))))</f>
        <v>1680000</v>
      </c>
      <c r="Q143" s="175">
        <f t="shared" si="5"/>
        <v>1600000</v>
      </c>
      <c r="R143" s="119">
        <f>L143*(1+GROWTH_RATE)*FMC</f>
        <v>1558.11299</v>
      </c>
      <c r="S143" s="178">
        <f>S142*(1+'Pre-Calculation'!$E$27)</f>
        <v>962680.8885</v>
      </c>
      <c r="T143" s="175">
        <f>-E143+IF(A142=INPUT!$C$11*12,N143,0)</f>
        <v>0</v>
      </c>
      <c r="U143" s="175">
        <f t="shared" si="6"/>
        <v>1495674.431</v>
      </c>
      <c r="V143" s="175">
        <f>U143*(1+GROWTH_RATE_H)*(1-'Pre-Calculation'!$E$31)</f>
        <v>1502790.837</v>
      </c>
      <c r="W143" s="175">
        <f>-E143+IF(A142=INPUT!$C$11*12,V143,0)</f>
        <v>0</v>
      </c>
      <c r="X143" s="179">
        <f t="array" ref="X143">NPV('Pre-Calculation'!$E$20,$E144:E$246)</f>
        <v>0</v>
      </c>
      <c r="Y143" s="171">
        <f>10%*SA</f>
        <v>100000</v>
      </c>
      <c r="Z143" s="179">
        <f t="array" ref="Z143">NPV('Pre-Calculation'!$E$20,Y144:Y153)</f>
        <v>969592.8037</v>
      </c>
    </row>
    <row r="144" ht="15.75" customHeight="1">
      <c r="A144" s="171">
        <f t="shared" si="1"/>
        <v>138</v>
      </c>
      <c r="B144" s="171">
        <f t="shared" si="2"/>
        <v>12</v>
      </c>
      <c r="C144" s="176">
        <f>EDATE(RCD,A143)</f>
        <v>46721</v>
      </c>
      <c r="D144" s="171">
        <f>Age_At_Entry+'Cashflows_8% from Start'!B144-1</f>
        <v>46</v>
      </c>
      <c r="E144" s="175">
        <f>IF(AND(C144&lt;=Last_Prem,MOD(A143,Mode)=0),Mod_Prem,0)</f>
        <v>0</v>
      </c>
      <c r="F144" s="177">
        <f>E144*VLOOKUP(B144,'Pre-Calculation'!$H$1:$I$31,2,FALSE)</f>
        <v>0</v>
      </c>
      <c r="G144" s="177">
        <f>IF(B144&lt;PT+1,VLOOKUP(B144,'Pre-Calculation'!$H$1:$L$32,3,FALSE)+VLOOKUP(B144,'Pre-Calculation'!$H$1:$L$32,4,FALSE)*'Pre-Calculation'!$D$7,0)</f>
        <v>0</v>
      </c>
      <c r="H144" s="175">
        <f>(E144-(F144+G144)*(1+Tax)+N143)</f>
        <v>1383904.341</v>
      </c>
      <c r="I144" s="175">
        <f>IF(B144&lt;PT+1,VLOOKUP(D144,'Pre-Calculation'!$N$3:$P$79,IF(INPUT!$C$4="M",2,3),FALSE)*(J144/1000)*(1/12),0)</f>
        <v>0</v>
      </c>
      <c r="J144" s="175">
        <f t="shared" si="3"/>
        <v>296095.6591</v>
      </c>
      <c r="K144" s="175">
        <f>IF('Pre-Calculation'!$D$17="Type 4 a",MAX(SA,H144,1.05*Q144),IF('Pre-Calculation'!$D$17="Type 4 c",H144,IF('Pre-Calculation'!$D$17="Type 4 d",SA+H144,IF('Pre-Calculation'!$D$17="Type 4 e",MAX(SA,H144),IF('Pre-Calculation'!$D$17="Type 4 f",SA,IF('Pre-Calculation'!$D$17="Type 4 g",1000+H144,IF('Pre-Calculation'!$D$17="Type 4 h",SA+X144,IF('Pre-Calculation'!$D$17="Type 4 i",MAX(H144,Q144),IF('Pre-Calculation'!$D$17="Type 4 k",MAX(H144,1.01*Q144),IF('Pre-Calculation'!$D$17="Type 4 m",MAX(105%*Q144,SA+H144),IF('Pre-Calculation'!$D$17="Type 4 o",MAX(SA,105%*Q144)+X144+Z144,IF('Pre-Calculation'!$D$17="Type 5",0))))))))))))</f>
        <v>1680000</v>
      </c>
      <c r="L144" s="175">
        <f>H144-I144*(1+Tax)</f>
        <v>1383904.341</v>
      </c>
      <c r="M144" s="175">
        <f>L144*(1+GROWTH_RATE_H)*(1-FMC*(1+Tax))</f>
        <v>1390960.475</v>
      </c>
      <c r="N144" s="175">
        <f>M144+IF(MOD(A144,B144)=0,VLOOKUP(B144,'Pre-Calculation'!$H$1:$L$31,5,FALSE),0)*IF('Pre-Calculation'!$D$16="% OF FV",M144,IF(OR('Pre-Calculation'!$D$16="% OF AFV(24M)",'Pre-Calculation'!$D$16="% OF AFV(8Q)"),AVERAGE( $M121:$M144),IF('Pre-Calculation'!$D$16="% OF AFV(12M)",AVERAGE($M133:M144),IF('Pre-Calculation'!$D$16="% OF AFV(36M)",AVERAGE($M109:M144)))))</f>
        <v>1390960.475</v>
      </c>
      <c r="O144" s="175">
        <f t="shared" si="4"/>
        <v>1390960.475</v>
      </c>
      <c r="P144" s="175">
        <f>IF('Pre-Calculation'!$D$17="Type 4 a",MAX(SA,N144,1.05*Q144),IF('Pre-Calculation'!$D$17="Type 4 c",N144,IF('Pre-Calculation'!$D$17="Type 4 d",SA+N144,IF('Pre-Calculation'!$D$17="Type 4 e",MAX(SA,N144),IF('Pre-Calculation'!$D$17="Type 4 f",SA,IF('Pre-Calculation'!$D$17="Type 4 g",1000+N144,IF('Pre-Calculation'!$D$17="Type 4 h",SA+X144,IF('Pre-Calculation'!$D$17="Type 4 i",MAX(N144,Q144),IF('Pre-Calculation'!$D$17="Type 4 k",MAX(N144,1.01*Q144),IF('Pre-Calculation'!$D$17="Type 4 m",MAX(105%*Q144,SA+N144),IF('Pre-Calculation'!$D$17="Type 4 o",MAX(SA,105%*Q144)+X144+Z144,IF('Pre-Calculation'!$D$17="Type 5",0))))))))))))</f>
        <v>1680000</v>
      </c>
      <c r="Q144" s="175">
        <f t="shared" si="5"/>
        <v>1600000</v>
      </c>
      <c r="R144" s="119">
        <f>L144*(1+GROWTH_RATE)*FMC</f>
        <v>1566.057365</v>
      </c>
      <c r="S144" s="178">
        <f>S143*(1+'Pre-Calculation'!$E$27)</f>
        <v>965444.6478</v>
      </c>
      <c r="T144" s="175">
        <f>-E144+IF(A143=INPUT!$C$11*12,N144,0)</f>
        <v>0</v>
      </c>
      <c r="U144" s="175">
        <f t="shared" si="6"/>
        <v>1502790.837</v>
      </c>
      <c r="V144" s="175">
        <f>U144*(1+GROWTH_RATE_H)*(1-'Pre-Calculation'!$E$31)</f>
        <v>1509941.102</v>
      </c>
      <c r="W144" s="175">
        <f>-E144+IF(A143=INPUT!$C$11*12,V144,0)</f>
        <v>0</v>
      </c>
      <c r="X144" s="179">
        <f t="array" ref="X144">NPV('Pre-Calculation'!$E$20,$E145:E$246)</f>
        <v>0</v>
      </c>
      <c r="Y144" s="171">
        <f>10%*SA</f>
        <v>100000</v>
      </c>
      <c r="Z144" s="179">
        <f t="array" ref="Z144">NPV('Pre-Calculation'!$E$20,Y145:Y154)</f>
        <v>969592.8037</v>
      </c>
    </row>
    <row r="145" ht="15.75" customHeight="1">
      <c r="A145" s="171">
        <f t="shared" si="1"/>
        <v>139</v>
      </c>
      <c r="B145" s="171">
        <f t="shared" si="2"/>
        <v>12</v>
      </c>
      <c r="C145" s="176">
        <f>EDATE(RCD,A144)</f>
        <v>46751</v>
      </c>
      <c r="D145" s="171">
        <f>Age_At_Entry+'Cashflows_8% from Start'!B145-1</f>
        <v>46</v>
      </c>
      <c r="E145" s="175">
        <f>IF(AND(C145&lt;=Last_Prem,MOD(A144,Mode)=0),Mod_Prem,0)</f>
        <v>0</v>
      </c>
      <c r="F145" s="177">
        <f>E145*VLOOKUP(B145,'Pre-Calculation'!$H$1:$I$31,2,FALSE)</f>
        <v>0</v>
      </c>
      <c r="G145" s="177">
        <f>IF(B145&lt;PT+1,VLOOKUP(B145,'Pre-Calculation'!$H$1:$L$32,3,FALSE)+VLOOKUP(B145,'Pre-Calculation'!$H$1:$L$32,4,FALSE)*'Pre-Calculation'!$D$7,0)</f>
        <v>0</v>
      </c>
      <c r="H145" s="175">
        <f>(E145-(F145+G145)*(1+Tax)+N144)</f>
        <v>1390960.475</v>
      </c>
      <c r="I145" s="175">
        <f>IF(B145&lt;PT+1,VLOOKUP(D145,'Pre-Calculation'!$N$3:$P$79,IF(INPUT!$C$4="M",2,3),FALSE)*(J145/1000)*(1/12),0)</f>
        <v>0</v>
      </c>
      <c r="J145" s="175">
        <f t="shared" si="3"/>
        <v>289039.5246</v>
      </c>
      <c r="K145" s="175">
        <f>IF('Pre-Calculation'!$D$17="Type 4 a",MAX(SA,H145,1.05*Q145),IF('Pre-Calculation'!$D$17="Type 4 c",H145,IF('Pre-Calculation'!$D$17="Type 4 d",SA+H145,IF('Pre-Calculation'!$D$17="Type 4 e",MAX(SA,H145),IF('Pre-Calculation'!$D$17="Type 4 f",SA,IF('Pre-Calculation'!$D$17="Type 4 g",1000+H145,IF('Pre-Calculation'!$D$17="Type 4 h",SA+X145,IF('Pre-Calculation'!$D$17="Type 4 i",MAX(H145,Q145),IF('Pre-Calculation'!$D$17="Type 4 k",MAX(H145,1.01*Q145),IF('Pre-Calculation'!$D$17="Type 4 m",MAX(105%*Q145,SA+H145),IF('Pre-Calculation'!$D$17="Type 4 o",MAX(SA,105%*Q145)+X145+Z145,IF('Pre-Calculation'!$D$17="Type 5",0))))))))))))</f>
        <v>1680000</v>
      </c>
      <c r="L145" s="175">
        <f>H145-I145*(1+Tax)</f>
        <v>1390960.475</v>
      </c>
      <c r="M145" s="175">
        <f>L145*(1+GROWTH_RATE_H)*(1-FMC*(1+Tax))</f>
        <v>1398052.587</v>
      </c>
      <c r="N145" s="175">
        <f>M145+IF(MOD(A145,B145)=0,VLOOKUP(B145,'Pre-Calculation'!$H$1:$L$31,5,FALSE),0)*IF('Pre-Calculation'!$D$16="% OF FV",M145,IF(OR('Pre-Calculation'!$D$16="% OF AFV(24M)",'Pre-Calculation'!$D$16="% OF AFV(8Q)"),AVERAGE( $M122:$M145),IF('Pre-Calculation'!$D$16="% OF AFV(12M)",AVERAGE($M134:M145),IF('Pre-Calculation'!$D$16="% OF AFV(36M)",AVERAGE($M110:M145)))))</f>
        <v>1398052.587</v>
      </c>
      <c r="O145" s="175">
        <f t="shared" si="4"/>
        <v>1398052.587</v>
      </c>
      <c r="P145" s="175">
        <f>IF('Pre-Calculation'!$D$17="Type 4 a",MAX(SA,N145,1.05*Q145),IF('Pre-Calculation'!$D$17="Type 4 c",N145,IF('Pre-Calculation'!$D$17="Type 4 d",SA+N145,IF('Pre-Calculation'!$D$17="Type 4 e",MAX(SA,N145),IF('Pre-Calculation'!$D$17="Type 4 f",SA,IF('Pre-Calculation'!$D$17="Type 4 g",1000+N145,IF('Pre-Calculation'!$D$17="Type 4 h",SA+X145,IF('Pre-Calculation'!$D$17="Type 4 i",MAX(N145,Q145),IF('Pre-Calculation'!$D$17="Type 4 k",MAX(N145,1.01*Q145),IF('Pre-Calculation'!$D$17="Type 4 m",MAX(105%*Q145,SA+N145),IF('Pre-Calculation'!$D$17="Type 4 o",MAX(SA,105%*Q145)+X145+Z145,IF('Pre-Calculation'!$D$17="Type 5",0))))))))))))</f>
        <v>1680000</v>
      </c>
      <c r="Q145" s="175">
        <f t="shared" si="5"/>
        <v>1600000</v>
      </c>
      <c r="R145" s="119">
        <f>L145*(1+GROWTH_RATE)*FMC</f>
        <v>1574.042246</v>
      </c>
      <c r="S145" s="178">
        <f>S144*(1+'Pre-Calculation'!$E$27)</f>
        <v>968216.3416</v>
      </c>
      <c r="T145" s="175">
        <f>-E145+IF(A144=INPUT!$C$11*12,N145,0)</f>
        <v>0</v>
      </c>
      <c r="U145" s="175">
        <f t="shared" si="6"/>
        <v>1509941.102</v>
      </c>
      <c r="V145" s="175">
        <f>U145*(1+GROWTH_RATE_H)*(1-'Pre-Calculation'!$E$31)</f>
        <v>1517125.389</v>
      </c>
      <c r="W145" s="175">
        <f>-E145+IF(A144=INPUT!$C$11*12,V145,0)</f>
        <v>0</v>
      </c>
      <c r="X145" s="179">
        <f t="array" ref="X145">NPV('Pre-Calculation'!$E$20,$E146:E$246)</f>
        <v>0</v>
      </c>
      <c r="Y145" s="171">
        <f>10%*SA</f>
        <v>100000</v>
      </c>
      <c r="Z145" s="179">
        <f t="array" ref="Z145">NPV('Pre-Calculation'!$E$20,Y146:Y155)</f>
        <v>969592.8037</v>
      </c>
    </row>
    <row r="146" ht="15.75" customHeight="1">
      <c r="A146" s="171">
        <f t="shared" si="1"/>
        <v>140</v>
      </c>
      <c r="B146" s="171">
        <f t="shared" si="2"/>
        <v>12</v>
      </c>
      <c r="C146" s="176">
        <f>EDATE(RCD,A145)</f>
        <v>46782</v>
      </c>
      <c r="D146" s="171">
        <f>Age_At_Entry+'Cashflows_8% from Start'!B146-1</f>
        <v>46</v>
      </c>
      <c r="E146" s="175">
        <f>IF(AND(C146&lt;=Last_Prem,MOD(A145,Mode)=0),Mod_Prem,0)</f>
        <v>0</v>
      </c>
      <c r="F146" s="177">
        <f>E146*VLOOKUP(B146,'Pre-Calculation'!$H$1:$I$31,2,FALSE)</f>
        <v>0</v>
      </c>
      <c r="G146" s="177">
        <f>IF(B146&lt;PT+1,VLOOKUP(B146,'Pre-Calculation'!$H$1:$L$32,3,FALSE)+VLOOKUP(B146,'Pre-Calculation'!$H$1:$L$32,4,FALSE)*'Pre-Calculation'!$D$7,0)</f>
        <v>0</v>
      </c>
      <c r="H146" s="175">
        <f>(E146-(F146+G146)*(1+Tax)+N145)</f>
        <v>1398052.587</v>
      </c>
      <c r="I146" s="175">
        <f>IF(B146&lt;PT+1,VLOOKUP(D146,'Pre-Calculation'!$N$3:$P$79,IF(INPUT!$C$4="M",2,3),FALSE)*(J146/1000)*(1/12),0)</f>
        <v>0</v>
      </c>
      <c r="J146" s="175">
        <f t="shared" si="3"/>
        <v>281947.4128</v>
      </c>
      <c r="K146" s="175">
        <f>IF('Pre-Calculation'!$D$17="Type 4 a",MAX(SA,H146,1.05*Q146),IF('Pre-Calculation'!$D$17="Type 4 c",H146,IF('Pre-Calculation'!$D$17="Type 4 d",SA+H146,IF('Pre-Calculation'!$D$17="Type 4 e",MAX(SA,H146),IF('Pre-Calculation'!$D$17="Type 4 f",SA,IF('Pre-Calculation'!$D$17="Type 4 g",1000+H146,IF('Pre-Calculation'!$D$17="Type 4 h",SA+X146,IF('Pre-Calculation'!$D$17="Type 4 i",MAX(H146,Q146),IF('Pre-Calculation'!$D$17="Type 4 k",MAX(H146,1.01*Q146),IF('Pre-Calculation'!$D$17="Type 4 m",MAX(105%*Q146,SA+H146),IF('Pre-Calculation'!$D$17="Type 4 o",MAX(SA,105%*Q146)+X146+Z146,IF('Pre-Calculation'!$D$17="Type 5",0))))))))))))</f>
        <v>1680000</v>
      </c>
      <c r="L146" s="175">
        <f>H146-I146*(1+Tax)</f>
        <v>1398052.587</v>
      </c>
      <c r="M146" s="175">
        <f>L146*(1+GROWTH_RATE_H)*(1-FMC*(1+Tax))</f>
        <v>1405180.86</v>
      </c>
      <c r="N146" s="175">
        <f>M146+IF(MOD(A146,B146)=0,VLOOKUP(B146,'Pre-Calculation'!$H$1:$L$31,5,FALSE),0)*IF('Pre-Calculation'!$D$16="% OF FV",M146,IF(OR('Pre-Calculation'!$D$16="% OF AFV(24M)",'Pre-Calculation'!$D$16="% OF AFV(8Q)"),AVERAGE( $M123:$M146),IF('Pre-Calculation'!$D$16="% OF AFV(12M)",AVERAGE($M135:M146),IF('Pre-Calculation'!$D$16="% OF AFV(36M)",AVERAGE($M111:M146)))))</f>
        <v>1405180.86</v>
      </c>
      <c r="O146" s="175">
        <f t="shared" si="4"/>
        <v>1405180.86</v>
      </c>
      <c r="P146" s="175">
        <f>IF('Pre-Calculation'!$D$17="Type 4 a",MAX(SA,N146,1.05*Q146),IF('Pre-Calculation'!$D$17="Type 4 c",N146,IF('Pre-Calculation'!$D$17="Type 4 d",SA+N146,IF('Pre-Calculation'!$D$17="Type 4 e",MAX(SA,N146),IF('Pre-Calculation'!$D$17="Type 4 f",SA,IF('Pre-Calculation'!$D$17="Type 4 g",1000+N146,IF('Pre-Calculation'!$D$17="Type 4 h",SA+X146,IF('Pre-Calculation'!$D$17="Type 4 i",MAX(N146,Q146),IF('Pre-Calculation'!$D$17="Type 4 k",MAX(N146,1.01*Q146),IF('Pre-Calculation'!$D$17="Type 4 m",MAX(105%*Q146,SA+N146),IF('Pre-Calculation'!$D$17="Type 4 o",MAX(SA,105%*Q146)+X146+Z146,IF('Pre-Calculation'!$D$17="Type 5",0))))))))))))</f>
        <v>1680000</v>
      </c>
      <c r="Q146" s="175">
        <f t="shared" si="5"/>
        <v>1600000</v>
      </c>
      <c r="R146" s="119">
        <f>L146*(1+GROWTH_RATE)*FMC</f>
        <v>1582.06784</v>
      </c>
      <c r="S146" s="178">
        <f>S145*(1+'Pre-Calculation'!$E$27)</f>
        <v>970995.9927</v>
      </c>
      <c r="T146" s="175">
        <f>-E146+IF(A145=INPUT!$C$11*12,N146,0)</f>
        <v>0</v>
      </c>
      <c r="U146" s="175">
        <f t="shared" si="6"/>
        <v>1517125.389</v>
      </c>
      <c r="V146" s="175">
        <f>U146*(1+GROWTH_RATE_H)*(1-'Pre-Calculation'!$E$31)</f>
        <v>1524343.858</v>
      </c>
      <c r="W146" s="175">
        <f>-E146+IF(A145=INPUT!$C$11*12,V146,0)</f>
        <v>0</v>
      </c>
      <c r="X146" s="179">
        <f t="array" ref="X146">NPV('Pre-Calculation'!$E$20,$E147:E$246)</f>
        <v>0</v>
      </c>
      <c r="Y146" s="171">
        <f>10%*SA</f>
        <v>100000</v>
      </c>
      <c r="Z146" s="179">
        <f t="array" ref="Z146">NPV('Pre-Calculation'!$E$20,Y147:Y156)</f>
        <v>969592.8037</v>
      </c>
    </row>
    <row r="147" ht="15.75" customHeight="1">
      <c r="A147" s="171">
        <f t="shared" si="1"/>
        <v>141</v>
      </c>
      <c r="B147" s="171">
        <f t="shared" si="2"/>
        <v>12</v>
      </c>
      <c r="C147" s="176">
        <f>EDATE(RCD,A146)</f>
        <v>46812</v>
      </c>
      <c r="D147" s="171">
        <f>Age_At_Entry+'Cashflows_8% from Start'!B147-1</f>
        <v>46</v>
      </c>
      <c r="E147" s="175">
        <f>IF(AND(C147&lt;=Last_Prem,MOD(A146,Mode)=0),Mod_Prem,0)</f>
        <v>0</v>
      </c>
      <c r="F147" s="177">
        <f>E147*VLOOKUP(B147,'Pre-Calculation'!$H$1:$I$31,2,FALSE)</f>
        <v>0</v>
      </c>
      <c r="G147" s="177">
        <f>IF(B147&lt;PT+1,VLOOKUP(B147,'Pre-Calculation'!$H$1:$L$32,3,FALSE)+VLOOKUP(B147,'Pre-Calculation'!$H$1:$L$32,4,FALSE)*'Pre-Calculation'!$D$7,0)</f>
        <v>0</v>
      </c>
      <c r="H147" s="175">
        <f>(E147-(F147+G147)*(1+Tax)+N146)</f>
        <v>1405180.86</v>
      </c>
      <c r="I147" s="175">
        <f>IF(B147&lt;PT+1,VLOOKUP(D147,'Pre-Calculation'!$N$3:$P$79,IF(INPUT!$C$4="M",2,3),FALSE)*(J147/1000)*(1/12),0)</f>
        <v>0</v>
      </c>
      <c r="J147" s="175">
        <f t="shared" si="3"/>
        <v>274819.1405</v>
      </c>
      <c r="K147" s="175">
        <f>IF('Pre-Calculation'!$D$17="Type 4 a",MAX(SA,H147,1.05*Q147),IF('Pre-Calculation'!$D$17="Type 4 c",H147,IF('Pre-Calculation'!$D$17="Type 4 d",SA+H147,IF('Pre-Calculation'!$D$17="Type 4 e",MAX(SA,H147),IF('Pre-Calculation'!$D$17="Type 4 f",SA,IF('Pre-Calculation'!$D$17="Type 4 g",1000+H147,IF('Pre-Calculation'!$D$17="Type 4 h",SA+X147,IF('Pre-Calculation'!$D$17="Type 4 i",MAX(H147,Q147),IF('Pre-Calculation'!$D$17="Type 4 k",MAX(H147,1.01*Q147),IF('Pre-Calculation'!$D$17="Type 4 m",MAX(105%*Q147,SA+H147),IF('Pre-Calculation'!$D$17="Type 4 o",MAX(SA,105%*Q147)+X147+Z147,IF('Pre-Calculation'!$D$17="Type 5",0))))))))))))</f>
        <v>1680000</v>
      </c>
      <c r="L147" s="175">
        <f>H147-I147*(1+Tax)</f>
        <v>1405180.86</v>
      </c>
      <c r="M147" s="175">
        <f>L147*(1+GROWTH_RATE_H)*(1-FMC*(1+Tax))</f>
        <v>1412345.477</v>
      </c>
      <c r="N147" s="175">
        <f>M147+IF(MOD(A147,B147)=0,VLOOKUP(B147,'Pre-Calculation'!$H$1:$L$31,5,FALSE),0)*IF('Pre-Calculation'!$D$16="% OF FV",M147,IF(OR('Pre-Calculation'!$D$16="% OF AFV(24M)",'Pre-Calculation'!$D$16="% OF AFV(8Q)"),AVERAGE( $M124:$M147),IF('Pre-Calculation'!$D$16="% OF AFV(12M)",AVERAGE($M136:M147),IF('Pre-Calculation'!$D$16="% OF AFV(36M)",AVERAGE($M112:M147)))))</f>
        <v>1412345.477</v>
      </c>
      <c r="O147" s="175">
        <f t="shared" si="4"/>
        <v>1412345.477</v>
      </c>
      <c r="P147" s="175">
        <f>IF('Pre-Calculation'!$D$17="Type 4 a",MAX(SA,N147,1.05*Q147),IF('Pre-Calculation'!$D$17="Type 4 c",N147,IF('Pre-Calculation'!$D$17="Type 4 d",SA+N147,IF('Pre-Calculation'!$D$17="Type 4 e",MAX(SA,N147),IF('Pre-Calculation'!$D$17="Type 4 f",SA,IF('Pre-Calculation'!$D$17="Type 4 g",1000+N147,IF('Pre-Calculation'!$D$17="Type 4 h",SA+X147,IF('Pre-Calculation'!$D$17="Type 4 i",MAX(N147,Q147),IF('Pre-Calculation'!$D$17="Type 4 k",MAX(N147,1.01*Q147),IF('Pre-Calculation'!$D$17="Type 4 m",MAX(105%*Q147,SA+N147),IF('Pre-Calculation'!$D$17="Type 4 o",MAX(SA,105%*Q147)+X147+Z147,IF('Pre-Calculation'!$D$17="Type 5",0))))))))))))</f>
        <v>1680000</v>
      </c>
      <c r="Q147" s="175">
        <f t="shared" si="5"/>
        <v>1600000</v>
      </c>
      <c r="R147" s="119">
        <f>L147*(1+GROWTH_RATE)*FMC</f>
        <v>1590.134353</v>
      </c>
      <c r="S147" s="178">
        <f>S146*(1+'Pre-Calculation'!$E$27)</f>
        <v>973783.6238</v>
      </c>
      <c r="T147" s="175">
        <f>-E147+IF(A146=INPUT!$C$11*12,N147,0)</f>
        <v>0</v>
      </c>
      <c r="U147" s="175">
        <f t="shared" si="6"/>
        <v>1524343.858</v>
      </c>
      <c r="V147" s="175">
        <f>U147*(1+GROWTH_RATE_H)*(1-'Pre-Calculation'!$E$31)</f>
        <v>1531596.673</v>
      </c>
      <c r="W147" s="175">
        <f>-E147+IF(A146=INPUT!$C$11*12,V147,0)</f>
        <v>0</v>
      </c>
      <c r="X147" s="179">
        <f t="array" ref="X147">NPV('Pre-Calculation'!$E$20,$E148:E$246)</f>
        <v>0</v>
      </c>
      <c r="Y147" s="171">
        <f>10%*SA</f>
        <v>100000</v>
      </c>
      <c r="Z147" s="179">
        <f t="array" ref="Z147">NPV('Pre-Calculation'!$E$20,Y148:Y157)</f>
        <v>969592.8037</v>
      </c>
    </row>
    <row r="148" ht="15.75" customHeight="1">
      <c r="A148" s="171">
        <f t="shared" si="1"/>
        <v>142</v>
      </c>
      <c r="B148" s="171">
        <f t="shared" si="2"/>
        <v>12</v>
      </c>
      <c r="C148" s="176">
        <f>EDATE(RCD,A147)</f>
        <v>46842</v>
      </c>
      <c r="D148" s="171">
        <f>Age_At_Entry+'Cashflows_8% from Start'!B148-1</f>
        <v>46</v>
      </c>
      <c r="E148" s="175">
        <f>IF(AND(C148&lt;=Last_Prem,MOD(A147,Mode)=0),Mod_Prem,0)</f>
        <v>0</v>
      </c>
      <c r="F148" s="177">
        <f>E148*VLOOKUP(B148,'Pre-Calculation'!$H$1:$I$31,2,FALSE)</f>
        <v>0</v>
      </c>
      <c r="G148" s="177">
        <f>IF(B148&lt;PT+1,VLOOKUP(B148,'Pre-Calculation'!$H$1:$L$32,3,FALSE)+VLOOKUP(B148,'Pre-Calculation'!$H$1:$L$32,4,FALSE)*'Pre-Calculation'!$D$7,0)</f>
        <v>0</v>
      </c>
      <c r="H148" s="175">
        <f>(E148-(F148+G148)*(1+Tax)+N147)</f>
        <v>1412345.477</v>
      </c>
      <c r="I148" s="175">
        <f>IF(B148&lt;PT+1,VLOOKUP(D148,'Pre-Calculation'!$N$3:$P$79,IF(INPUT!$C$4="M",2,3),FALSE)*(J148/1000)*(1/12),0)</f>
        <v>0</v>
      </c>
      <c r="J148" s="175">
        <f t="shared" si="3"/>
        <v>267654.523</v>
      </c>
      <c r="K148" s="175">
        <f>IF('Pre-Calculation'!$D$17="Type 4 a",MAX(SA,H148,1.05*Q148),IF('Pre-Calculation'!$D$17="Type 4 c",H148,IF('Pre-Calculation'!$D$17="Type 4 d",SA+H148,IF('Pre-Calculation'!$D$17="Type 4 e",MAX(SA,H148),IF('Pre-Calculation'!$D$17="Type 4 f",SA,IF('Pre-Calculation'!$D$17="Type 4 g",1000+H148,IF('Pre-Calculation'!$D$17="Type 4 h",SA+X148,IF('Pre-Calculation'!$D$17="Type 4 i",MAX(H148,Q148),IF('Pre-Calculation'!$D$17="Type 4 k",MAX(H148,1.01*Q148),IF('Pre-Calculation'!$D$17="Type 4 m",MAX(105%*Q148,SA+H148),IF('Pre-Calculation'!$D$17="Type 4 o",MAX(SA,105%*Q148)+X148+Z148,IF('Pre-Calculation'!$D$17="Type 5",0))))))))))))</f>
        <v>1680000</v>
      </c>
      <c r="L148" s="175">
        <f>H148-I148*(1+Tax)</f>
        <v>1412345.477</v>
      </c>
      <c r="M148" s="175">
        <f>L148*(1+GROWTH_RATE_H)*(1-FMC*(1+Tax))</f>
        <v>1419546.625</v>
      </c>
      <c r="N148" s="175">
        <f>M148+IF(MOD(A148,B148)=0,VLOOKUP(B148,'Pre-Calculation'!$H$1:$L$31,5,FALSE),0)*IF('Pre-Calculation'!$D$16="% OF FV",M148,IF(OR('Pre-Calculation'!$D$16="% OF AFV(24M)",'Pre-Calculation'!$D$16="% OF AFV(8Q)"),AVERAGE( $M125:$M148),IF('Pre-Calculation'!$D$16="% OF AFV(12M)",AVERAGE($M137:M148),IF('Pre-Calculation'!$D$16="% OF AFV(36M)",AVERAGE($M113:M148)))))</f>
        <v>1419546.625</v>
      </c>
      <c r="O148" s="175">
        <f t="shared" si="4"/>
        <v>1419546.625</v>
      </c>
      <c r="P148" s="175">
        <f>IF('Pre-Calculation'!$D$17="Type 4 a",MAX(SA,N148,1.05*Q148),IF('Pre-Calculation'!$D$17="Type 4 c",N148,IF('Pre-Calculation'!$D$17="Type 4 d",SA+N148,IF('Pre-Calculation'!$D$17="Type 4 e",MAX(SA,N148),IF('Pre-Calculation'!$D$17="Type 4 f",SA,IF('Pre-Calculation'!$D$17="Type 4 g",1000+N148,IF('Pre-Calculation'!$D$17="Type 4 h",SA+X148,IF('Pre-Calculation'!$D$17="Type 4 i",MAX(N148,Q148),IF('Pre-Calculation'!$D$17="Type 4 k",MAX(N148,1.01*Q148),IF('Pre-Calculation'!$D$17="Type 4 m",MAX(105%*Q148,SA+N148),IF('Pre-Calculation'!$D$17="Type 4 o",MAX(SA,105%*Q148)+X148+Z148,IF('Pre-Calculation'!$D$17="Type 5",0))))))))))))</f>
        <v>1680000</v>
      </c>
      <c r="Q148" s="175">
        <f t="shared" si="5"/>
        <v>1600000</v>
      </c>
      <c r="R148" s="119">
        <f>L148*(1+GROWTH_RATE)*FMC</f>
        <v>1598.241996</v>
      </c>
      <c r="S148" s="178">
        <f>S147*(1+'Pre-Calculation'!$E$27)</f>
        <v>976579.258</v>
      </c>
      <c r="T148" s="175">
        <f>-E148+IF(A147=INPUT!$C$11*12,N148,0)</f>
        <v>0</v>
      </c>
      <c r="U148" s="175">
        <f t="shared" si="6"/>
        <v>1531596.673</v>
      </c>
      <c r="V148" s="175">
        <f>U148*(1+GROWTH_RATE_H)*(1-'Pre-Calculation'!$E$31)</f>
        <v>1538883.996</v>
      </c>
      <c r="W148" s="175">
        <f>-E148+IF(A147=INPUT!$C$11*12,V148,0)</f>
        <v>0</v>
      </c>
      <c r="X148" s="179">
        <f t="array" ref="X148">NPV('Pre-Calculation'!$E$20,$E149:E$246)</f>
        <v>0</v>
      </c>
      <c r="Y148" s="171">
        <f>10%*SA</f>
        <v>100000</v>
      </c>
      <c r="Z148" s="179">
        <f t="array" ref="Z148">NPV('Pre-Calculation'!$E$20,Y149:Y158)</f>
        <v>969592.8037</v>
      </c>
    </row>
    <row r="149" ht="15.75" customHeight="1">
      <c r="A149" s="171">
        <f t="shared" si="1"/>
        <v>143</v>
      </c>
      <c r="B149" s="171">
        <f t="shared" si="2"/>
        <v>12</v>
      </c>
      <c r="C149" s="176">
        <f>EDATE(RCD,A148)</f>
        <v>46873</v>
      </c>
      <c r="D149" s="171">
        <f>Age_At_Entry+'Cashflows_8% from Start'!B149-1</f>
        <v>46</v>
      </c>
      <c r="E149" s="175">
        <f>IF(AND(C149&lt;=Last_Prem,MOD(A148,Mode)=0),Mod_Prem,0)</f>
        <v>0</v>
      </c>
      <c r="F149" s="177">
        <f>E149*VLOOKUP(B149,'Pre-Calculation'!$H$1:$I$31,2,FALSE)</f>
        <v>0</v>
      </c>
      <c r="G149" s="177">
        <f>IF(B149&lt;PT+1,VLOOKUP(B149,'Pre-Calculation'!$H$1:$L$32,3,FALSE)+VLOOKUP(B149,'Pre-Calculation'!$H$1:$L$32,4,FALSE)*'Pre-Calculation'!$D$7,0)</f>
        <v>0</v>
      </c>
      <c r="H149" s="175">
        <f>(E149-(F149+G149)*(1+Tax)+N148)</f>
        <v>1419546.625</v>
      </c>
      <c r="I149" s="175">
        <f>IF(B149&lt;PT+1,VLOOKUP(D149,'Pre-Calculation'!$N$3:$P$79,IF(INPUT!$C$4="M",2,3),FALSE)*(J149/1000)*(1/12),0)</f>
        <v>0</v>
      </c>
      <c r="J149" s="175">
        <f t="shared" si="3"/>
        <v>260453.3753</v>
      </c>
      <c r="K149" s="175">
        <f>IF('Pre-Calculation'!$D$17="Type 4 a",MAX(SA,H149,1.05*Q149),IF('Pre-Calculation'!$D$17="Type 4 c",H149,IF('Pre-Calculation'!$D$17="Type 4 d",SA+H149,IF('Pre-Calculation'!$D$17="Type 4 e",MAX(SA,H149),IF('Pre-Calculation'!$D$17="Type 4 f",SA,IF('Pre-Calculation'!$D$17="Type 4 g",1000+H149,IF('Pre-Calculation'!$D$17="Type 4 h",SA+X149,IF('Pre-Calculation'!$D$17="Type 4 i",MAX(H149,Q149),IF('Pre-Calculation'!$D$17="Type 4 k",MAX(H149,1.01*Q149),IF('Pre-Calculation'!$D$17="Type 4 m",MAX(105%*Q149,SA+H149),IF('Pre-Calculation'!$D$17="Type 4 o",MAX(SA,105%*Q149)+X149+Z149,IF('Pre-Calculation'!$D$17="Type 5",0))))))))))))</f>
        <v>1680000</v>
      </c>
      <c r="L149" s="175">
        <f>H149-I149*(1+Tax)</f>
        <v>1419546.625</v>
      </c>
      <c r="M149" s="175">
        <f>L149*(1+GROWTH_RATE_H)*(1-FMC*(1+Tax))</f>
        <v>1426784.489</v>
      </c>
      <c r="N149" s="175">
        <f>M149+IF(MOD(A149,B149)=0,VLOOKUP(B149,'Pre-Calculation'!$H$1:$L$31,5,FALSE),0)*IF('Pre-Calculation'!$D$16="% OF FV",M149,IF(OR('Pre-Calculation'!$D$16="% OF AFV(24M)",'Pre-Calculation'!$D$16="% OF AFV(8Q)"),AVERAGE( $M126:$M149),IF('Pre-Calculation'!$D$16="% OF AFV(12M)",AVERAGE($M138:M149),IF('Pre-Calculation'!$D$16="% OF AFV(36M)",AVERAGE($M114:M149)))))</f>
        <v>1426784.489</v>
      </c>
      <c r="O149" s="175">
        <f t="shared" si="4"/>
        <v>1426784.489</v>
      </c>
      <c r="P149" s="175">
        <f>IF('Pre-Calculation'!$D$17="Type 4 a",MAX(SA,N149,1.05*Q149),IF('Pre-Calculation'!$D$17="Type 4 c",N149,IF('Pre-Calculation'!$D$17="Type 4 d",SA+N149,IF('Pre-Calculation'!$D$17="Type 4 e",MAX(SA,N149),IF('Pre-Calculation'!$D$17="Type 4 f",SA,IF('Pre-Calculation'!$D$17="Type 4 g",1000+N149,IF('Pre-Calculation'!$D$17="Type 4 h",SA+X149,IF('Pre-Calculation'!$D$17="Type 4 i",MAX(N149,Q149),IF('Pre-Calculation'!$D$17="Type 4 k",MAX(N149,1.01*Q149),IF('Pre-Calculation'!$D$17="Type 4 m",MAX(105%*Q149,SA+N149),IF('Pre-Calculation'!$D$17="Type 4 o",MAX(SA,105%*Q149)+X149+Z149,IF('Pre-Calculation'!$D$17="Type 5",0))))))))))))</f>
        <v>1680000</v>
      </c>
      <c r="Q149" s="175">
        <f t="shared" si="5"/>
        <v>1600000</v>
      </c>
      <c r="R149" s="119">
        <f>L149*(1+GROWTH_RATE)*FMC</f>
        <v>1606.390977</v>
      </c>
      <c r="S149" s="178">
        <f>S148*(1+'Pre-Calculation'!$E$27)</f>
        <v>979382.9181</v>
      </c>
      <c r="T149" s="175">
        <f>-E149+IF(A148=INPUT!$C$11*12,N149,0)</f>
        <v>0</v>
      </c>
      <c r="U149" s="175">
        <f t="shared" si="6"/>
        <v>1538883.996</v>
      </c>
      <c r="V149" s="175">
        <f>U149*(1+GROWTH_RATE_H)*(1-'Pre-Calculation'!$E$31)</f>
        <v>1546205.993</v>
      </c>
      <c r="W149" s="175">
        <f>-E149+IF(A148=INPUT!$C$11*12,V149,0)</f>
        <v>0</v>
      </c>
      <c r="X149" s="179">
        <f t="array" ref="X149">NPV('Pre-Calculation'!$E$20,$E150:E$246)</f>
        <v>0</v>
      </c>
      <c r="Y149" s="171">
        <f>10%*SA</f>
        <v>100000</v>
      </c>
      <c r="Z149" s="179">
        <f t="array" ref="Z149">NPV('Pre-Calculation'!$E$20,Y150:Y159)</f>
        <v>969592.8037</v>
      </c>
    </row>
    <row r="150" ht="15.75" customHeight="1">
      <c r="A150" s="171">
        <f t="shared" si="1"/>
        <v>144</v>
      </c>
      <c r="B150" s="171">
        <f t="shared" si="2"/>
        <v>12</v>
      </c>
      <c r="C150" s="176">
        <f>EDATE(RCD,A149)</f>
        <v>46903</v>
      </c>
      <c r="D150" s="171">
        <f>Age_At_Entry+'Cashflows_8% from Start'!B150-1</f>
        <v>46</v>
      </c>
      <c r="E150" s="175">
        <f>IF(AND(C150&lt;=Last_Prem,MOD(A149,Mode)=0),Mod_Prem,0)</f>
        <v>0</v>
      </c>
      <c r="F150" s="177">
        <f>E150*VLOOKUP(B150,'Pre-Calculation'!$H$1:$I$31,2,FALSE)</f>
        <v>0</v>
      </c>
      <c r="G150" s="177">
        <f>IF(B150&lt;PT+1,VLOOKUP(B150,'Pre-Calculation'!$H$1:$L$32,3,FALSE)+VLOOKUP(B150,'Pre-Calculation'!$H$1:$L$32,4,FALSE)*'Pre-Calculation'!$D$7,0)</f>
        <v>0</v>
      </c>
      <c r="H150" s="175">
        <f>(E150-(F150+G150)*(1+Tax)+N149)</f>
        <v>1426784.489</v>
      </c>
      <c r="I150" s="175">
        <f>IF(B150&lt;PT+1,VLOOKUP(D150,'Pre-Calculation'!$N$3:$P$79,IF(INPUT!$C$4="M",2,3),FALSE)*(J150/1000)*(1/12),0)</f>
        <v>0</v>
      </c>
      <c r="J150" s="175">
        <f t="shared" si="3"/>
        <v>253215.5109</v>
      </c>
      <c r="K150" s="175">
        <f>IF('Pre-Calculation'!$D$17="Type 4 a",MAX(SA,H150,1.05*Q150),IF('Pre-Calculation'!$D$17="Type 4 c",H150,IF('Pre-Calculation'!$D$17="Type 4 d",SA+H150,IF('Pre-Calculation'!$D$17="Type 4 e",MAX(SA,H150),IF('Pre-Calculation'!$D$17="Type 4 f",SA,IF('Pre-Calculation'!$D$17="Type 4 g",1000+H150,IF('Pre-Calculation'!$D$17="Type 4 h",SA+X150,IF('Pre-Calculation'!$D$17="Type 4 i",MAX(H150,Q150),IF('Pre-Calculation'!$D$17="Type 4 k",MAX(H150,1.01*Q150),IF('Pre-Calculation'!$D$17="Type 4 m",MAX(105%*Q150,SA+H150),IF('Pre-Calculation'!$D$17="Type 4 o",MAX(SA,105%*Q150)+X150+Z150,IF('Pre-Calculation'!$D$17="Type 5",0))))))))))))</f>
        <v>1680000</v>
      </c>
      <c r="L150" s="175">
        <f>H150-I150*(1+Tax)</f>
        <v>1426784.489</v>
      </c>
      <c r="M150" s="175">
        <f>L150*(1+GROWTH_RATE_H)*(1-FMC*(1+Tax))</f>
        <v>1434059.257</v>
      </c>
      <c r="N150" s="175">
        <f>M150+IF(MOD(A150,B150)=0,VLOOKUP(B150,'Pre-Calculation'!$H$1:$L$31,5,FALSE),0)*IF('Pre-Calculation'!$D$16="% OF FV",M150,IF(OR('Pre-Calculation'!$D$16="% OF AFV(24M)",'Pre-Calculation'!$D$16="% OF AFV(8Q)"),AVERAGE( $M127:$M150),IF('Pre-Calculation'!$D$16="% OF AFV(12M)",AVERAGE($M139:M150),IF('Pre-Calculation'!$D$16="% OF AFV(36M)",AVERAGE($M115:M150)))))</f>
        <v>1434059.257</v>
      </c>
      <c r="O150" s="175">
        <f t="shared" si="4"/>
        <v>1434059.257</v>
      </c>
      <c r="P150" s="175">
        <f>IF('Pre-Calculation'!$D$17="Type 4 a",MAX(SA,N150,1.05*Q150),IF('Pre-Calculation'!$D$17="Type 4 c",N150,IF('Pre-Calculation'!$D$17="Type 4 d",SA+N150,IF('Pre-Calculation'!$D$17="Type 4 e",MAX(SA,N150),IF('Pre-Calculation'!$D$17="Type 4 f",SA,IF('Pre-Calculation'!$D$17="Type 4 g",1000+N150,IF('Pre-Calculation'!$D$17="Type 4 h",SA+X150,IF('Pre-Calculation'!$D$17="Type 4 i",MAX(N150,Q150),IF('Pre-Calculation'!$D$17="Type 4 k",MAX(N150,1.01*Q150),IF('Pre-Calculation'!$D$17="Type 4 m",MAX(105%*Q150,SA+N150),IF('Pre-Calculation'!$D$17="Type 4 o",MAX(SA,105%*Q150)+X150+Z150,IF('Pre-Calculation'!$D$17="Type 5",0))))))))))))</f>
        <v>1680000</v>
      </c>
      <c r="Q150" s="175">
        <f t="shared" si="5"/>
        <v>1600000</v>
      </c>
      <c r="R150" s="119">
        <f>L150*(1+GROWTH_RATE)*FMC</f>
        <v>1614.581508</v>
      </c>
      <c r="S150" s="178">
        <f>S149*(1+'Pre-Calculation'!$E$27)</f>
        <v>982194.6273</v>
      </c>
      <c r="T150" s="175">
        <f>-E150+IF(A149=INPUT!$C$11*12,N150,0)</f>
        <v>0</v>
      </c>
      <c r="U150" s="175">
        <f t="shared" si="6"/>
        <v>1546205.993</v>
      </c>
      <c r="V150" s="175">
        <f>U150*(1+GROWTH_RATE_H)*(1-'Pre-Calculation'!$E$31)</f>
        <v>1553562.828</v>
      </c>
      <c r="W150" s="175">
        <f>-E150+IF(A149=INPUT!$C$11*12,V150,0)</f>
        <v>0</v>
      </c>
      <c r="X150" s="179">
        <f t="array" ref="X150">NPV('Pre-Calculation'!$E$20,$E151:E$246)</f>
        <v>0</v>
      </c>
      <c r="Y150" s="171">
        <f>10%*SA</f>
        <v>100000</v>
      </c>
      <c r="Z150" s="179">
        <f t="array" ref="Z150">NPV('Pre-Calculation'!$E$20,Y151:Y160)</f>
        <v>969592.8037</v>
      </c>
    </row>
    <row r="151" ht="15.75" customHeight="1">
      <c r="A151" s="171">
        <f t="shared" si="1"/>
        <v>145</v>
      </c>
      <c r="B151" s="171">
        <f t="shared" si="2"/>
        <v>13</v>
      </c>
      <c r="C151" s="176">
        <f>EDATE(RCD,A150)</f>
        <v>46934</v>
      </c>
      <c r="D151" s="171">
        <f>Age_At_Entry+'Cashflows_8% from Start'!B151-1</f>
        <v>47</v>
      </c>
      <c r="E151" s="175">
        <f>IF(AND(C151&lt;=Last_Prem,MOD(A150,Mode)=0),Mod_Prem,0)</f>
        <v>0</v>
      </c>
      <c r="F151" s="177">
        <f>E151*VLOOKUP(B151,'Pre-Calculation'!$H$1:$I$31,2,FALSE)</f>
        <v>0</v>
      </c>
      <c r="G151" s="177">
        <f>IF(B151&lt;PT+1,VLOOKUP(B151,'Pre-Calculation'!$H$1:$L$32,3,FALSE)+VLOOKUP(B151,'Pre-Calculation'!$H$1:$L$32,4,FALSE)*'Pre-Calculation'!$D$7,0)</f>
        <v>0</v>
      </c>
      <c r="H151" s="175">
        <f>(E151-(F151+G151)*(1+Tax)+N150)</f>
        <v>1434059.257</v>
      </c>
      <c r="I151" s="175">
        <f>IF(B151&lt;PT+1,VLOOKUP(D151,'Pre-Calculation'!$N$3:$P$79,IF(INPUT!$C$4="M",2,3),FALSE)*(J151/1000)*(1/12),0)</f>
        <v>0</v>
      </c>
      <c r="J151" s="175">
        <f t="shared" si="3"/>
        <v>245940.7427</v>
      </c>
      <c r="K151" s="175">
        <f>IF('Pre-Calculation'!$D$17="Type 4 a",MAX(SA,H151,1.05*Q151),IF('Pre-Calculation'!$D$17="Type 4 c",H151,IF('Pre-Calculation'!$D$17="Type 4 d",SA+H151,IF('Pre-Calculation'!$D$17="Type 4 e",MAX(SA,H151),IF('Pre-Calculation'!$D$17="Type 4 f",SA,IF('Pre-Calculation'!$D$17="Type 4 g",1000+H151,IF('Pre-Calculation'!$D$17="Type 4 h",SA+X151,IF('Pre-Calculation'!$D$17="Type 4 i",MAX(H151,Q151),IF('Pre-Calculation'!$D$17="Type 4 k",MAX(H151,1.01*Q151),IF('Pre-Calculation'!$D$17="Type 4 m",MAX(105%*Q151,SA+H151),IF('Pre-Calculation'!$D$17="Type 4 o",MAX(SA,105%*Q151)+X151+Z151,IF('Pre-Calculation'!$D$17="Type 5",0))))))))))))</f>
        <v>1680000</v>
      </c>
      <c r="L151" s="175">
        <f>H151-I151*(1+Tax)</f>
        <v>1434059.257</v>
      </c>
      <c r="M151" s="175">
        <f>L151*(1+GROWTH_RATE_H)*(1-FMC*(1+Tax))</f>
        <v>1441371.117</v>
      </c>
      <c r="N151" s="175">
        <f>M151+IF(MOD(A151,B151)=0,VLOOKUP(B151,'Pre-Calculation'!$H$1:$L$31,5,FALSE),0)*IF('Pre-Calculation'!$D$16="% OF FV",M151,IF(OR('Pre-Calculation'!$D$16="% OF AFV(24M)",'Pre-Calculation'!$D$16="% OF AFV(8Q)"),AVERAGE( $M128:$M151),IF('Pre-Calculation'!$D$16="% OF AFV(12M)",AVERAGE($M140:M151),IF('Pre-Calculation'!$D$16="% OF AFV(36M)",AVERAGE($M116:M151)))))</f>
        <v>1441371.117</v>
      </c>
      <c r="O151" s="175">
        <f t="shared" si="4"/>
        <v>1441371.117</v>
      </c>
      <c r="P151" s="175">
        <f>IF('Pre-Calculation'!$D$17="Type 4 a",MAX(SA,N151,1.05*Q151),IF('Pre-Calculation'!$D$17="Type 4 c",N151,IF('Pre-Calculation'!$D$17="Type 4 d",SA+N151,IF('Pre-Calculation'!$D$17="Type 4 e",MAX(SA,N151),IF('Pre-Calculation'!$D$17="Type 4 f",SA,IF('Pre-Calculation'!$D$17="Type 4 g",1000+N151,IF('Pre-Calculation'!$D$17="Type 4 h",SA+X151,IF('Pre-Calculation'!$D$17="Type 4 i",MAX(N151,Q151),IF('Pre-Calculation'!$D$17="Type 4 k",MAX(N151,1.01*Q151),IF('Pre-Calculation'!$D$17="Type 4 m",MAX(105%*Q151,SA+N151),IF('Pre-Calculation'!$D$17="Type 4 o",MAX(SA,105%*Q151)+X151+Z151,IF('Pre-Calculation'!$D$17="Type 5",0))))))))))))</f>
        <v>1680000</v>
      </c>
      <c r="Q151" s="175">
        <f t="shared" si="5"/>
        <v>1600000</v>
      </c>
      <c r="R151" s="119">
        <f>L151*(1+GROWTH_RATE)*FMC</f>
        <v>1622.8138</v>
      </c>
      <c r="S151" s="178">
        <f>S150*(1+'Pre-Calculation'!$E$27)</f>
        <v>985014.4086</v>
      </c>
      <c r="T151" s="175">
        <f>-E151+IF(A150=INPUT!$C$11*12,N151,0)</f>
        <v>0</v>
      </c>
      <c r="U151" s="175">
        <f t="shared" si="6"/>
        <v>1553562.828</v>
      </c>
      <c r="V151" s="175">
        <f>U151*(1+GROWTH_RATE_H)*(1-'Pre-Calculation'!$E$31)</f>
        <v>1560954.666</v>
      </c>
      <c r="W151" s="175">
        <f>-E151+IF(A150=INPUT!$C$11*12,V151,0)</f>
        <v>0</v>
      </c>
      <c r="X151" s="179">
        <f t="array" ref="X151">NPV('Pre-Calculation'!$E$20,$E152:E$246)</f>
        <v>0</v>
      </c>
      <c r="Y151" s="171">
        <f>10%*SA</f>
        <v>100000</v>
      </c>
      <c r="Z151" s="179">
        <f t="array" ref="Z151">NPV('Pre-Calculation'!$E$20,Y152:Y161)</f>
        <v>969592.8037</v>
      </c>
    </row>
    <row r="152" ht="15.75" customHeight="1">
      <c r="A152" s="171">
        <f t="shared" si="1"/>
        <v>146</v>
      </c>
      <c r="B152" s="171">
        <f t="shared" si="2"/>
        <v>13</v>
      </c>
      <c r="C152" s="176">
        <f>EDATE(RCD,A151)</f>
        <v>46964</v>
      </c>
      <c r="D152" s="171">
        <f>Age_At_Entry+'Cashflows_8% from Start'!B152-1</f>
        <v>47</v>
      </c>
      <c r="E152" s="175">
        <f>IF(AND(C152&lt;=Last_Prem,MOD(A151,Mode)=0),Mod_Prem,0)</f>
        <v>0</v>
      </c>
      <c r="F152" s="177">
        <f>E152*VLOOKUP(B152,'Pre-Calculation'!$H$1:$I$31,2,FALSE)</f>
        <v>0</v>
      </c>
      <c r="G152" s="177">
        <f>IF(B152&lt;PT+1,VLOOKUP(B152,'Pre-Calculation'!$H$1:$L$32,3,FALSE)+VLOOKUP(B152,'Pre-Calculation'!$H$1:$L$32,4,FALSE)*'Pre-Calculation'!$D$7,0)</f>
        <v>0</v>
      </c>
      <c r="H152" s="175">
        <f>(E152-(F152+G152)*(1+Tax)+N151)</f>
        <v>1441371.117</v>
      </c>
      <c r="I152" s="175">
        <f>IF(B152&lt;PT+1,VLOOKUP(D152,'Pre-Calculation'!$N$3:$P$79,IF(INPUT!$C$4="M",2,3),FALSE)*(J152/1000)*(1/12),0)</f>
        <v>0</v>
      </c>
      <c r="J152" s="175">
        <f t="shared" si="3"/>
        <v>238628.8825</v>
      </c>
      <c r="K152" s="175">
        <f>IF('Pre-Calculation'!$D$17="Type 4 a",MAX(SA,H152,1.05*Q152),IF('Pre-Calculation'!$D$17="Type 4 c",H152,IF('Pre-Calculation'!$D$17="Type 4 d",SA+H152,IF('Pre-Calculation'!$D$17="Type 4 e",MAX(SA,H152),IF('Pre-Calculation'!$D$17="Type 4 f",SA,IF('Pre-Calculation'!$D$17="Type 4 g",1000+H152,IF('Pre-Calculation'!$D$17="Type 4 h",SA+X152,IF('Pre-Calculation'!$D$17="Type 4 i",MAX(H152,Q152),IF('Pre-Calculation'!$D$17="Type 4 k",MAX(H152,1.01*Q152),IF('Pre-Calculation'!$D$17="Type 4 m",MAX(105%*Q152,SA+H152),IF('Pre-Calculation'!$D$17="Type 4 o",MAX(SA,105%*Q152)+X152+Z152,IF('Pre-Calculation'!$D$17="Type 5",0))))))))))))</f>
        <v>1680000</v>
      </c>
      <c r="L152" s="175">
        <f>H152-I152*(1+Tax)</f>
        <v>1441371.117</v>
      </c>
      <c r="M152" s="175">
        <f>L152*(1+GROWTH_RATE_H)*(1-FMC*(1+Tax))</f>
        <v>1448720.259</v>
      </c>
      <c r="N152" s="175">
        <f>M152+IF(MOD(A152,B152)=0,VLOOKUP(B152,'Pre-Calculation'!$H$1:$L$31,5,FALSE),0)*IF('Pre-Calculation'!$D$16="% OF FV",M152,IF(OR('Pre-Calculation'!$D$16="% OF AFV(24M)",'Pre-Calculation'!$D$16="% OF AFV(8Q)"),AVERAGE( $M129:$M152),IF('Pre-Calculation'!$D$16="% OF AFV(12M)",AVERAGE($M141:M152),IF('Pre-Calculation'!$D$16="% OF AFV(36M)",AVERAGE($M117:M152)))))</f>
        <v>1448720.259</v>
      </c>
      <c r="O152" s="175">
        <f t="shared" si="4"/>
        <v>1448720.259</v>
      </c>
      <c r="P152" s="175">
        <f>IF('Pre-Calculation'!$D$17="Type 4 a",MAX(SA,N152,1.05*Q152),IF('Pre-Calculation'!$D$17="Type 4 c",N152,IF('Pre-Calculation'!$D$17="Type 4 d",SA+N152,IF('Pre-Calculation'!$D$17="Type 4 e",MAX(SA,N152),IF('Pre-Calculation'!$D$17="Type 4 f",SA,IF('Pre-Calculation'!$D$17="Type 4 g",1000+N152,IF('Pre-Calculation'!$D$17="Type 4 h",SA+X152,IF('Pre-Calculation'!$D$17="Type 4 i",MAX(N152,Q152),IF('Pre-Calculation'!$D$17="Type 4 k",MAX(N152,1.01*Q152),IF('Pre-Calculation'!$D$17="Type 4 m",MAX(105%*Q152,SA+N152),IF('Pre-Calculation'!$D$17="Type 4 o",MAX(SA,105%*Q152)+X152+Z152,IF('Pre-Calculation'!$D$17="Type 5",0))))))))))))</f>
        <v>1680000</v>
      </c>
      <c r="Q152" s="175">
        <f t="shared" si="5"/>
        <v>1600000</v>
      </c>
      <c r="R152" s="119">
        <f>L152*(1+GROWTH_RATE)*FMC</f>
        <v>1631.088066</v>
      </c>
      <c r="S152" s="178">
        <f>S151*(1+'Pre-Calculation'!$E$27)</f>
        <v>987842.2852</v>
      </c>
      <c r="T152" s="175">
        <f>-E152+IF(A151=INPUT!$C$11*12,N152,0)</f>
        <v>0</v>
      </c>
      <c r="U152" s="175">
        <f t="shared" si="6"/>
        <v>1560954.666</v>
      </c>
      <c r="V152" s="175">
        <f>U152*(1+GROWTH_RATE_H)*(1-'Pre-Calculation'!$E$31)</f>
        <v>1568381.674</v>
      </c>
      <c r="W152" s="175">
        <f>-E152+IF(A151=INPUT!$C$11*12,V152,0)</f>
        <v>0</v>
      </c>
      <c r="X152" s="179">
        <f t="array" ref="X152">NPV('Pre-Calculation'!$E$20,$E153:E$246)</f>
        <v>0</v>
      </c>
      <c r="Y152" s="171">
        <f>10%*SA</f>
        <v>100000</v>
      </c>
      <c r="Z152" s="179">
        <f t="array" ref="Z152">NPV('Pre-Calculation'!$E$20,Y153:Y162)</f>
        <v>969592.8037</v>
      </c>
    </row>
    <row r="153" ht="15.75" customHeight="1">
      <c r="A153" s="171">
        <f t="shared" si="1"/>
        <v>147</v>
      </c>
      <c r="B153" s="171">
        <f t="shared" si="2"/>
        <v>13</v>
      </c>
      <c r="C153" s="176">
        <f>EDATE(RCD,A152)</f>
        <v>46995</v>
      </c>
      <c r="D153" s="171">
        <f>Age_At_Entry+'Cashflows_8% from Start'!B153-1</f>
        <v>47</v>
      </c>
      <c r="E153" s="175">
        <f>IF(AND(C153&lt;=Last_Prem,MOD(A152,Mode)=0),Mod_Prem,0)</f>
        <v>0</v>
      </c>
      <c r="F153" s="177">
        <f>E153*VLOOKUP(B153,'Pre-Calculation'!$H$1:$I$31,2,FALSE)</f>
        <v>0</v>
      </c>
      <c r="G153" s="177">
        <f>IF(B153&lt;PT+1,VLOOKUP(B153,'Pre-Calculation'!$H$1:$L$32,3,FALSE)+VLOOKUP(B153,'Pre-Calculation'!$H$1:$L$32,4,FALSE)*'Pre-Calculation'!$D$7,0)</f>
        <v>0</v>
      </c>
      <c r="H153" s="175">
        <f>(E153-(F153+G153)*(1+Tax)+N152)</f>
        <v>1448720.259</v>
      </c>
      <c r="I153" s="175">
        <f>IF(B153&lt;PT+1,VLOOKUP(D153,'Pre-Calculation'!$N$3:$P$79,IF(INPUT!$C$4="M",2,3),FALSE)*(J153/1000)*(1/12),0)</f>
        <v>0</v>
      </c>
      <c r="J153" s="175">
        <f t="shared" si="3"/>
        <v>231279.7413</v>
      </c>
      <c r="K153" s="175">
        <f>IF('Pre-Calculation'!$D$17="Type 4 a",MAX(SA,H153,1.05*Q153),IF('Pre-Calculation'!$D$17="Type 4 c",H153,IF('Pre-Calculation'!$D$17="Type 4 d",SA+H153,IF('Pre-Calculation'!$D$17="Type 4 e",MAX(SA,H153),IF('Pre-Calculation'!$D$17="Type 4 f",SA,IF('Pre-Calculation'!$D$17="Type 4 g",1000+H153,IF('Pre-Calculation'!$D$17="Type 4 h",SA+X153,IF('Pre-Calculation'!$D$17="Type 4 i",MAX(H153,Q153),IF('Pre-Calculation'!$D$17="Type 4 k",MAX(H153,1.01*Q153),IF('Pre-Calculation'!$D$17="Type 4 m",MAX(105%*Q153,SA+H153),IF('Pre-Calculation'!$D$17="Type 4 o",MAX(SA,105%*Q153)+X153+Z153,IF('Pre-Calculation'!$D$17="Type 5",0))))))))))))</f>
        <v>1680000</v>
      </c>
      <c r="L153" s="175">
        <f>H153-I153*(1+Tax)</f>
        <v>1448720.259</v>
      </c>
      <c r="M153" s="175">
        <f>L153*(1+GROWTH_RATE_H)*(1-FMC*(1+Tax))</f>
        <v>1456106.871</v>
      </c>
      <c r="N153" s="175">
        <f>M153+IF(MOD(A153,B153)=0,VLOOKUP(B153,'Pre-Calculation'!$H$1:$L$31,5,FALSE),0)*IF('Pre-Calculation'!$D$16="% OF FV",M153,IF(OR('Pre-Calculation'!$D$16="% OF AFV(24M)",'Pre-Calculation'!$D$16="% OF AFV(8Q)"),AVERAGE( $M130:$M153),IF('Pre-Calculation'!$D$16="% OF AFV(12M)",AVERAGE($M142:M153),IF('Pre-Calculation'!$D$16="% OF AFV(36M)",AVERAGE($M118:M153)))))</f>
        <v>1456106.871</v>
      </c>
      <c r="O153" s="175">
        <f t="shared" si="4"/>
        <v>1456106.871</v>
      </c>
      <c r="P153" s="175">
        <f>IF('Pre-Calculation'!$D$17="Type 4 a",MAX(SA,N153,1.05*Q153),IF('Pre-Calculation'!$D$17="Type 4 c",N153,IF('Pre-Calculation'!$D$17="Type 4 d",SA+N153,IF('Pre-Calculation'!$D$17="Type 4 e",MAX(SA,N153),IF('Pre-Calculation'!$D$17="Type 4 f",SA,IF('Pre-Calculation'!$D$17="Type 4 g",1000+N153,IF('Pre-Calculation'!$D$17="Type 4 h",SA+X153,IF('Pre-Calculation'!$D$17="Type 4 i",MAX(N153,Q153),IF('Pre-Calculation'!$D$17="Type 4 k",MAX(N153,1.01*Q153),IF('Pre-Calculation'!$D$17="Type 4 m",MAX(105%*Q153,SA+N153),IF('Pre-Calculation'!$D$17="Type 4 o",MAX(SA,105%*Q153)+X153+Z153,IF('Pre-Calculation'!$D$17="Type 5",0))))))))))))</f>
        <v>1680000</v>
      </c>
      <c r="Q153" s="175">
        <f t="shared" si="5"/>
        <v>1600000</v>
      </c>
      <c r="R153" s="119">
        <f>L153*(1+GROWTH_RATE)*FMC</f>
        <v>1639.40452</v>
      </c>
      <c r="S153" s="178">
        <f>S152*(1+'Pre-Calculation'!$E$27)</f>
        <v>990678.2803</v>
      </c>
      <c r="T153" s="175">
        <f>-E153+IF(A152=INPUT!$C$11*12,N153,0)</f>
        <v>0</v>
      </c>
      <c r="U153" s="175">
        <f t="shared" si="6"/>
        <v>1568381.674</v>
      </c>
      <c r="V153" s="175">
        <f>U153*(1+GROWTH_RATE_H)*(1-'Pre-Calculation'!$E$31)</f>
        <v>1575844.021</v>
      </c>
      <c r="W153" s="175">
        <f>-E153+IF(A152=INPUT!$C$11*12,V153,0)</f>
        <v>0</v>
      </c>
      <c r="X153" s="179">
        <f t="array" ref="X153">NPV('Pre-Calculation'!$E$20,$E154:E$246)</f>
        <v>0</v>
      </c>
      <c r="Y153" s="171">
        <f>10%*SA</f>
        <v>100000</v>
      </c>
      <c r="Z153" s="179">
        <f t="array" ref="Z153">NPV('Pre-Calculation'!$E$20,Y154:Y163)</f>
        <v>969592.8037</v>
      </c>
    </row>
    <row r="154" ht="15.75" customHeight="1">
      <c r="A154" s="171">
        <f t="shared" si="1"/>
        <v>148</v>
      </c>
      <c r="B154" s="171">
        <f t="shared" si="2"/>
        <v>13</v>
      </c>
      <c r="C154" s="176">
        <f>EDATE(RCD,A153)</f>
        <v>47026</v>
      </c>
      <c r="D154" s="171">
        <f>Age_At_Entry+'Cashflows_8% from Start'!B154-1</f>
        <v>47</v>
      </c>
      <c r="E154" s="175">
        <f>IF(AND(C154&lt;=Last_Prem,MOD(A153,Mode)=0),Mod_Prem,0)</f>
        <v>0</v>
      </c>
      <c r="F154" s="177">
        <f>E154*VLOOKUP(B154,'Pre-Calculation'!$H$1:$I$31,2,FALSE)</f>
        <v>0</v>
      </c>
      <c r="G154" s="177">
        <f>IF(B154&lt;PT+1,VLOOKUP(B154,'Pre-Calculation'!$H$1:$L$32,3,FALSE)+VLOOKUP(B154,'Pre-Calculation'!$H$1:$L$32,4,FALSE)*'Pre-Calculation'!$D$7,0)</f>
        <v>0</v>
      </c>
      <c r="H154" s="175">
        <f>(E154-(F154+G154)*(1+Tax)+N153)</f>
        <v>1456106.871</v>
      </c>
      <c r="I154" s="175">
        <f>IF(B154&lt;PT+1,VLOOKUP(D154,'Pre-Calculation'!$N$3:$P$79,IF(INPUT!$C$4="M",2,3),FALSE)*(J154/1000)*(1/12),0)</f>
        <v>0</v>
      </c>
      <c r="J154" s="175">
        <f t="shared" si="3"/>
        <v>223893.1289</v>
      </c>
      <c r="K154" s="175">
        <f>IF('Pre-Calculation'!$D$17="Type 4 a",MAX(SA,H154,1.05*Q154),IF('Pre-Calculation'!$D$17="Type 4 c",H154,IF('Pre-Calculation'!$D$17="Type 4 d",SA+H154,IF('Pre-Calculation'!$D$17="Type 4 e",MAX(SA,H154),IF('Pre-Calculation'!$D$17="Type 4 f",SA,IF('Pre-Calculation'!$D$17="Type 4 g",1000+H154,IF('Pre-Calculation'!$D$17="Type 4 h",SA+X154,IF('Pre-Calculation'!$D$17="Type 4 i",MAX(H154,Q154),IF('Pre-Calculation'!$D$17="Type 4 k",MAX(H154,1.01*Q154),IF('Pre-Calculation'!$D$17="Type 4 m",MAX(105%*Q154,SA+H154),IF('Pre-Calculation'!$D$17="Type 4 o",MAX(SA,105%*Q154)+X154+Z154,IF('Pre-Calculation'!$D$17="Type 5",0))))))))))))</f>
        <v>1680000</v>
      </c>
      <c r="L154" s="175">
        <f>H154-I154*(1+Tax)</f>
        <v>1456106.871</v>
      </c>
      <c r="M154" s="175">
        <f>L154*(1+GROWTH_RATE_H)*(1-FMC*(1+Tax))</f>
        <v>1463531.146</v>
      </c>
      <c r="N154" s="175">
        <f>M154+IF(MOD(A154,B154)=0,VLOOKUP(B154,'Pre-Calculation'!$H$1:$L$31,5,FALSE),0)*IF('Pre-Calculation'!$D$16="% OF FV",M154,IF(OR('Pre-Calculation'!$D$16="% OF AFV(24M)",'Pre-Calculation'!$D$16="% OF AFV(8Q)"),AVERAGE( $M131:$M154),IF('Pre-Calculation'!$D$16="% OF AFV(12M)",AVERAGE($M143:M154),IF('Pre-Calculation'!$D$16="% OF AFV(36M)",AVERAGE($M119:M154)))))</f>
        <v>1463531.146</v>
      </c>
      <c r="O154" s="175">
        <f t="shared" si="4"/>
        <v>1463531.146</v>
      </c>
      <c r="P154" s="175">
        <f>IF('Pre-Calculation'!$D$17="Type 4 a",MAX(SA,N154,1.05*Q154),IF('Pre-Calculation'!$D$17="Type 4 c",N154,IF('Pre-Calculation'!$D$17="Type 4 d",SA+N154,IF('Pre-Calculation'!$D$17="Type 4 e",MAX(SA,N154),IF('Pre-Calculation'!$D$17="Type 4 f",SA,IF('Pre-Calculation'!$D$17="Type 4 g",1000+N154,IF('Pre-Calculation'!$D$17="Type 4 h",SA+X154,IF('Pre-Calculation'!$D$17="Type 4 i",MAX(N154,Q154),IF('Pre-Calculation'!$D$17="Type 4 k",MAX(N154,1.01*Q154),IF('Pre-Calculation'!$D$17="Type 4 m",MAX(105%*Q154,SA+N154),IF('Pre-Calculation'!$D$17="Type 4 o",MAX(SA,105%*Q154)+X154+Z154,IF('Pre-Calculation'!$D$17="Type 5",0))))))))))))</f>
        <v>1680000</v>
      </c>
      <c r="Q154" s="175">
        <f t="shared" si="5"/>
        <v>1600000</v>
      </c>
      <c r="R154" s="119">
        <f>L154*(1+GROWTH_RATE)*FMC</f>
        <v>1647.763377</v>
      </c>
      <c r="S154" s="178">
        <f>S153*(1+'Pre-Calculation'!$E$27)</f>
        <v>993522.4173</v>
      </c>
      <c r="T154" s="175">
        <f>-E154+IF(A153=INPUT!$C$11*12,N154,0)</f>
        <v>0</v>
      </c>
      <c r="U154" s="175">
        <f t="shared" si="6"/>
        <v>1575844.021</v>
      </c>
      <c r="V154" s="175">
        <f>U154*(1+GROWTH_RATE_H)*(1-'Pre-Calculation'!$E$31)</f>
        <v>1583341.873</v>
      </c>
      <c r="W154" s="175">
        <f>-E154+IF(A153=INPUT!$C$11*12,V154,0)</f>
        <v>0</v>
      </c>
      <c r="X154" s="179">
        <f t="array" ref="X154">NPV('Pre-Calculation'!$E$20,$E155:E$246)</f>
        <v>0</v>
      </c>
      <c r="Y154" s="171">
        <f>10%*SA</f>
        <v>100000</v>
      </c>
      <c r="Z154" s="179">
        <f t="array" ref="Z154">NPV('Pre-Calculation'!$E$20,Y155:Y164)</f>
        <v>969592.8037</v>
      </c>
    </row>
    <row r="155" ht="15.75" customHeight="1">
      <c r="A155" s="171">
        <f t="shared" si="1"/>
        <v>149</v>
      </c>
      <c r="B155" s="171">
        <f t="shared" si="2"/>
        <v>13</v>
      </c>
      <c r="C155" s="176">
        <f>EDATE(RCD,A154)</f>
        <v>47056</v>
      </c>
      <c r="D155" s="171">
        <f>Age_At_Entry+'Cashflows_8% from Start'!B155-1</f>
        <v>47</v>
      </c>
      <c r="E155" s="175">
        <f>IF(AND(C155&lt;=Last_Prem,MOD(A154,Mode)=0),Mod_Prem,0)</f>
        <v>0</v>
      </c>
      <c r="F155" s="177">
        <f>E155*VLOOKUP(B155,'Pre-Calculation'!$H$1:$I$31,2,FALSE)</f>
        <v>0</v>
      </c>
      <c r="G155" s="177">
        <f>IF(B155&lt;PT+1,VLOOKUP(B155,'Pre-Calculation'!$H$1:$L$32,3,FALSE)+VLOOKUP(B155,'Pre-Calculation'!$H$1:$L$32,4,FALSE)*'Pre-Calculation'!$D$7,0)</f>
        <v>0</v>
      </c>
      <c r="H155" s="175">
        <f>(E155-(F155+G155)*(1+Tax)+N154)</f>
        <v>1463531.146</v>
      </c>
      <c r="I155" s="175">
        <f>IF(B155&lt;PT+1,VLOOKUP(D155,'Pre-Calculation'!$N$3:$P$79,IF(INPUT!$C$4="M",2,3),FALSE)*(J155/1000)*(1/12),0)</f>
        <v>0</v>
      </c>
      <c r="J155" s="175">
        <f t="shared" si="3"/>
        <v>216468.8542</v>
      </c>
      <c r="K155" s="175">
        <f>IF('Pre-Calculation'!$D$17="Type 4 a",MAX(SA,H155,1.05*Q155),IF('Pre-Calculation'!$D$17="Type 4 c",H155,IF('Pre-Calculation'!$D$17="Type 4 d",SA+H155,IF('Pre-Calculation'!$D$17="Type 4 e",MAX(SA,H155),IF('Pre-Calculation'!$D$17="Type 4 f",SA,IF('Pre-Calculation'!$D$17="Type 4 g",1000+H155,IF('Pre-Calculation'!$D$17="Type 4 h",SA+X155,IF('Pre-Calculation'!$D$17="Type 4 i",MAX(H155,Q155),IF('Pre-Calculation'!$D$17="Type 4 k",MAX(H155,1.01*Q155),IF('Pre-Calculation'!$D$17="Type 4 m",MAX(105%*Q155,SA+H155),IF('Pre-Calculation'!$D$17="Type 4 o",MAX(SA,105%*Q155)+X155+Z155,IF('Pre-Calculation'!$D$17="Type 5",0))))))))))))</f>
        <v>1680000</v>
      </c>
      <c r="L155" s="175">
        <f>H155-I155*(1+Tax)</f>
        <v>1463531.146</v>
      </c>
      <c r="M155" s="175">
        <f>L155*(1+GROWTH_RATE_H)*(1-FMC*(1+Tax))</f>
        <v>1470993.275</v>
      </c>
      <c r="N155" s="175">
        <f>M155+IF(MOD(A155,B155)=0,VLOOKUP(B155,'Pre-Calculation'!$H$1:$L$31,5,FALSE),0)*IF('Pre-Calculation'!$D$16="% OF FV",M155,IF(OR('Pre-Calculation'!$D$16="% OF AFV(24M)",'Pre-Calculation'!$D$16="% OF AFV(8Q)"),AVERAGE( $M132:$M155),IF('Pre-Calculation'!$D$16="% OF AFV(12M)",AVERAGE($M144:M155),IF('Pre-Calculation'!$D$16="% OF AFV(36M)",AVERAGE($M120:M155)))))</f>
        <v>1470993.275</v>
      </c>
      <c r="O155" s="175">
        <f t="shared" si="4"/>
        <v>1470993.275</v>
      </c>
      <c r="P155" s="175">
        <f>IF('Pre-Calculation'!$D$17="Type 4 a",MAX(SA,N155,1.05*Q155),IF('Pre-Calculation'!$D$17="Type 4 c",N155,IF('Pre-Calculation'!$D$17="Type 4 d",SA+N155,IF('Pre-Calculation'!$D$17="Type 4 e",MAX(SA,N155),IF('Pre-Calculation'!$D$17="Type 4 f",SA,IF('Pre-Calculation'!$D$17="Type 4 g",1000+N155,IF('Pre-Calculation'!$D$17="Type 4 h",SA+X155,IF('Pre-Calculation'!$D$17="Type 4 i",MAX(N155,Q155),IF('Pre-Calculation'!$D$17="Type 4 k",MAX(N155,1.01*Q155),IF('Pre-Calculation'!$D$17="Type 4 m",MAX(105%*Q155,SA+N155),IF('Pre-Calculation'!$D$17="Type 4 o",MAX(SA,105%*Q155)+X155+Z155,IF('Pre-Calculation'!$D$17="Type 5",0))))))))))))</f>
        <v>1680000</v>
      </c>
      <c r="Q155" s="175">
        <f t="shared" si="5"/>
        <v>1600000</v>
      </c>
      <c r="R155" s="119">
        <f>L155*(1+GROWTH_RATE)*FMC</f>
        <v>1656.164853</v>
      </c>
      <c r="S155" s="178">
        <f>S154*(1+'Pre-Calculation'!$E$27)</f>
        <v>996374.7196</v>
      </c>
      <c r="T155" s="175">
        <f>-E155+IF(A154=INPUT!$C$11*12,N155,0)</f>
        <v>0</v>
      </c>
      <c r="U155" s="175">
        <f t="shared" si="6"/>
        <v>1583341.873</v>
      </c>
      <c r="V155" s="175">
        <f>U155*(1+GROWTH_RATE_H)*(1-'Pre-Calculation'!$E$31)</f>
        <v>1590875.399</v>
      </c>
      <c r="W155" s="175">
        <f>-E155+IF(A154=INPUT!$C$11*12,V155,0)</f>
        <v>0</v>
      </c>
      <c r="X155" s="179">
        <f t="array" ref="X155">NPV('Pre-Calculation'!$E$20,$E156:E$246)</f>
        <v>0</v>
      </c>
      <c r="Y155" s="171">
        <f>10%*SA</f>
        <v>100000</v>
      </c>
      <c r="Z155" s="179">
        <f t="array" ref="Z155">NPV('Pre-Calculation'!$E$20,Y156:Y165)</f>
        <v>969592.8037</v>
      </c>
    </row>
    <row r="156" ht="15.75" customHeight="1">
      <c r="A156" s="171">
        <f t="shared" si="1"/>
        <v>150</v>
      </c>
      <c r="B156" s="171">
        <f t="shared" si="2"/>
        <v>13</v>
      </c>
      <c r="C156" s="176">
        <f>EDATE(RCD,A155)</f>
        <v>47087</v>
      </c>
      <c r="D156" s="171">
        <f>Age_At_Entry+'Cashflows_8% from Start'!B156-1</f>
        <v>47</v>
      </c>
      <c r="E156" s="175">
        <f>IF(AND(C156&lt;=Last_Prem,MOD(A155,Mode)=0),Mod_Prem,0)</f>
        <v>0</v>
      </c>
      <c r="F156" s="177">
        <f>E156*VLOOKUP(B156,'Pre-Calculation'!$H$1:$I$31,2,FALSE)</f>
        <v>0</v>
      </c>
      <c r="G156" s="177">
        <f>IF(B156&lt;PT+1,VLOOKUP(B156,'Pre-Calculation'!$H$1:$L$32,3,FALSE)+VLOOKUP(B156,'Pre-Calculation'!$H$1:$L$32,4,FALSE)*'Pre-Calculation'!$D$7,0)</f>
        <v>0</v>
      </c>
      <c r="H156" s="175">
        <f>(E156-(F156+G156)*(1+Tax)+N155)</f>
        <v>1470993.275</v>
      </c>
      <c r="I156" s="175">
        <f>IF(B156&lt;PT+1,VLOOKUP(D156,'Pre-Calculation'!$N$3:$P$79,IF(INPUT!$C$4="M",2,3),FALSE)*(J156/1000)*(1/12),0)</f>
        <v>0</v>
      </c>
      <c r="J156" s="175">
        <f t="shared" si="3"/>
        <v>209006.7253</v>
      </c>
      <c r="K156" s="175">
        <f>IF('Pre-Calculation'!$D$17="Type 4 a",MAX(SA,H156,1.05*Q156),IF('Pre-Calculation'!$D$17="Type 4 c",H156,IF('Pre-Calculation'!$D$17="Type 4 d",SA+H156,IF('Pre-Calculation'!$D$17="Type 4 e",MAX(SA,H156),IF('Pre-Calculation'!$D$17="Type 4 f",SA,IF('Pre-Calculation'!$D$17="Type 4 g",1000+H156,IF('Pre-Calculation'!$D$17="Type 4 h",SA+X156,IF('Pre-Calculation'!$D$17="Type 4 i",MAX(H156,Q156),IF('Pre-Calculation'!$D$17="Type 4 k",MAX(H156,1.01*Q156),IF('Pre-Calculation'!$D$17="Type 4 m",MAX(105%*Q156,SA+H156),IF('Pre-Calculation'!$D$17="Type 4 o",MAX(SA,105%*Q156)+X156+Z156,IF('Pre-Calculation'!$D$17="Type 5",0))))))))))))</f>
        <v>1680000</v>
      </c>
      <c r="L156" s="175">
        <f>H156-I156*(1+Tax)</f>
        <v>1470993.275</v>
      </c>
      <c r="M156" s="175">
        <f>L156*(1+GROWTH_RATE_H)*(1-FMC*(1+Tax))</f>
        <v>1478493.451</v>
      </c>
      <c r="N156" s="175">
        <f>M156+IF(MOD(A156,B156)=0,VLOOKUP(B156,'Pre-Calculation'!$H$1:$L$31,5,FALSE),0)*IF('Pre-Calculation'!$D$16="% OF FV",M156,IF(OR('Pre-Calculation'!$D$16="% OF AFV(24M)",'Pre-Calculation'!$D$16="% OF AFV(8Q)"),AVERAGE( $M133:$M156),IF('Pre-Calculation'!$D$16="% OF AFV(12M)",AVERAGE($M145:M156),IF('Pre-Calculation'!$D$16="% OF AFV(36M)",AVERAGE($M121:M156)))))</f>
        <v>1478493.451</v>
      </c>
      <c r="O156" s="175">
        <f t="shared" si="4"/>
        <v>1478493.451</v>
      </c>
      <c r="P156" s="175">
        <f>IF('Pre-Calculation'!$D$17="Type 4 a",MAX(SA,N156,1.05*Q156),IF('Pre-Calculation'!$D$17="Type 4 c",N156,IF('Pre-Calculation'!$D$17="Type 4 d",SA+N156,IF('Pre-Calculation'!$D$17="Type 4 e",MAX(SA,N156),IF('Pre-Calculation'!$D$17="Type 4 f",SA,IF('Pre-Calculation'!$D$17="Type 4 g",1000+N156,IF('Pre-Calculation'!$D$17="Type 4 h",SA+X156,IF('Pre-Calculation'!$D$17="Type 4 i",MAX(N156,Q156),IF('Pre-Calculation'!$D$17="Type 4 k",MAX(N156,1.01*Q156),IF('Pre-Calculation'!$D$17="Type 4 m",MAX(105%*Q156,SA+N156),IF('Pre-Calculation'!$D$17="Type 4 o",MAX(SA,105%*Q156)+X156+Z156,IF('Pre-Calculation'!$D$17="Type 5",0))))))))))))</f>
        <v>1680000</v>
      </c>
      <c r="Q156" s="175">
        <f t="shared" si="5"/>
        <v>1600000</v>
      </c>
      <c r="R156" s="119">
        <f>L156*(1+GROWTH_RATE)*FMC</f>
        <v>1664.609167</v>
      </c>
      <c r="S156" s="178">
        <f>S155*(1+'Pre-Calculation'!$E$27)</f>
        <v>999235.2105</v>
      </c>
      <c r="T156" s="175">
        <f>-E156+IF(A155=INPUT!$C$11*12,N156,0)</f>
        <v>0</v>
      </c>
      <c r="U156" s="175">
        <f t="shared" si="6"/>
        <v>1590875.399</v>
      </c>
      <c r="V156" s="175">
        <f>U156*(1+GROWTH_RATE_H)*(1-'Pre-Calculation'!$E$31)</f>
        <v>1598444.771</v>
      </c>
      <c r="W156" s="175">
        <f>-E156+IF(A155=INPUT!$C$11*12,V156,0)</f>
        <v>0</v>
      </c>
      <c r="X156" s="179">
        <f t="array" ref="X156">NPV('Pre-Calculation'!$E$20,$E157:E$246)</f>
        <v>0</v>
      </c>
      <c r="Y156" s="171">
        <f>10%*SA</f>
        <v>100000</v>
      </c>
      <c r="Z156" s="179">
        <f t="array" ref="Z156">NPV('Pre-Calculation'!$E$20,Y157:Y166)</f>
        <v>969592.8037</v>
      </c>
    </row>
    <row r="157" ht="15.75" customHeight="1">
      <c r="A157" s="171">
        <f t="shared" si="1"/>
        <v>151</v>
      </c>
      <c r="B157" s="171">
        <f t="shared" si="2"/>
        <v>13</v>
      </c>
      <c r="C157" s="176">
        <f>EDATE(RCD,A156)</f>
        <v>47117</v>
      </c>
      <c r="D157" s="171">
        <f>Age_At_Entry+'Cashflows_8% from Start'!B157-1</f>
        <v>47</v>
      </c>
      <c r="E157" s="175">
        <f>IF(AND(C157&lt;=Last_Prem,MOD(A156,Mode)=0),Mod_Prem,0)</f>
        <v>0</v>
      </c>
      <c r="F157" s="177">
        <f>E157*VLOOKUP(B157,'Pre-Calculation'!$H$1:$I$31,2,FALSE)</f>
        <v>0</v>
      </c>
      <c r="G157" s="177">
        <f>IF(B157&lt;PT+1,VLOOKUP(B157,'Pre-Calculation'!$H$1:$L$32,3,FALSE)+VLOOKUP(B157,'Pre-Calculation'!$H$1:$L$32,4,FALSE)*'Pre-Calculation'!$D$7,0)</f>
        <v>0</v>
      </c>
      <c r="H157" s="175">
        <f>(E157-(F157+G157)*(1+Tax)+N156)</f>
        <v>1478493.451</v>
      </c>
      <c r="I157" s="175">
        <f>IF(B157&lt;PT+1,VLOOKUP(D157,'Pre-Calculation'!$N$3:$P$79,IF(INPUT!$C$4="M",2,3),FALSE)*(J157/1000)*(1/12),0)</f>
        <v>0</v>
      </c>
      <c r="J157" s="175">
        <f t="shared" si="3"/>
        <v>201506.5491</v>
      </c>
      <c r="K157" s="175">
        <f>IF('Pre-Calculation'!$D$17="Type 4 a",MAX(SA,H157,1.05*Q157),IF('Pre-Calculation'!$D$17="Type 4 c",H157,IF('Pre-Calculation'!$D$17="Type 4 d",SA+H157,IF('Pre-Calculation'!$D$17="Type 4 e",MAX(SA,H157),IF('Pre-Calculation'!$D$17="Type 4 f",SA,IF('Pre-Calculation'!$D$17="Type 4 g",1000+H157,IF('Pre-Calculation'!$D$17="Type 4 h",SA+X157,IF('Pre-Calculation'!$D$17="Type 4 i",MAX(H157,Q157),IF('Pre-Calculation'!$D$17="Type 4 k",MAX(H157,1.01*Q157),IF('Pre-Calculation'!$D$17="Type 4 m",MAX(105%*Q157,SA+H157),IF('Pre-Calculation'!$D$17="Type 4 o",MAX(SA,105%*Q157)+X157+Z157,IF('Pre-Calculation'!$D$17="Type 5",0))))))))))))</f>
        <v>1680000</v>
      </c>
      <c r="L157" s="175">
        <f>H157-I157*(1+Tax)</f>
        <v>1478493.451</v>
      </c>
      <c r="M157" s="175">
        <f>L157*(1+GROWTH_RATE_H)*(1-FMC*(1+Tax))</f>
        <v>1486031.868</v>
      </c>
      <c r="N157" s="175">
        <f>M157+IF(MOD(A157,B157)=0,VLOOKUP(B157,'Pre-Calculation'!$H$1:$L$31,5,FALSE),0)*IF('Pre-Calculation'!$D$16="% OF FV",M157,IF(OR('Pre-Calculation'!$D$16="% OF AFV(24M)",'Pre-Calculation'!$D$16="% OF AFV(8Q)"),AVERAGE( $M134:$M157),IF('Pre-Calculation'!$D$16="% OF AFV(12M)",AVERAGE($M146:M157),IF('Pre-Calculation'!$D$16="% OF AFV(36M)",AVERAGE($M122:M157)))))</f>
        <v>1486031.868</v>
      </c>
      <c r="O157" s="175">
        <f t="shared" si="4"/>
        <v>1486031.868</v>
      </c>
      <c r="P157" s="175">
        <f>IF('Pre-Calculation'!$D$17="Type 4 a",MAX(SA,N157,1.05*Q157),IF('Pre-Calculation'!$D$17="Type 4 c",N157,IF('Pre-Calculation'!$D$17="Type 4 d",SA+N157,IF('Pre-Calculation'!$D$17="Type 4 e",MAX(SA,N157),IF('Pre-Calculation'!$D$17="Type 4 f",SA,IF('Pre-Calculation'!$D$17="Type 4 g",1000+N157,IF('Pre-Calculation'!$D$17="Type 4 h",SA+X157,IF('Pre-Calculation'!$D$17="Type 4 i",MAX(N157,Q157),IF('Pre-Calculation'!$D$17="Type 4 k",MAX(N157,1.01*Q157),IF('Pre-Calculation'!$D$17="Type 4 m",MAX(105%*Q157,SA+N157),IF('Pre-Calculation'!$D$17="Type 4 o",MAX(SA,105%*Q157)+X157+Z157,IF('Pre-Calculation'!$D$17="Type 5",0))))))))))))</f>
        <v>1680000</v>
      </c>
      <c r="Q157" s="175">
        <f t="shared" si="5"/>
        <v>1600000</v>
      </c>
      <c r="R157" s="119">
        <f>L157*(1+GROWTH_RATE)*FMC</f>
        <v>1673.096535</v>
      </c>
      <c r="S157" s="178">
        <f>S156*(1+'Pre-Calculation'!$E$27)</f>
        <v>1002103.914</v>
      </c>
      <c r="T157" s="175">
        <f>-E157+IF(A156=INPUT!$C$11*12,N157,0)</f>
        <v>0</v>
      </c>
      <c r="U157" s="175">
        <f t="shared" si="6"/>
        <v>1598444.771</v>
      </c>
      <c r="V157" s="175">
        <f>U157*(1+GROWTH_RATE_H)*(1-'Pre-Calculation'!$E$31)</f>
        <v>1606050.157</v>
      </c>
      <c r="W157" s="175">
        <f>-E157+IF(A156=INPUT!$C$11*12,V157,0)</f>
        <v>0</v>
      </c>
      <c r="X157" s="179">
        <f t="array" ref="X157">NPV('Pre-Calculation'!$E$20,$E158:E$246)</f>
        <v>0</v>
      </c>
      <c r="Y157" s="171">
        <f>10%*SA</f>
        <v>100000</v>
      </c>
      <c r="Z157" s="179">
        <f t="array" ref="Z157">NPV('Pre-Calculation'!$E$20,Y158:Y167)</f>
        <v>969592.8037</v>
      </c>
    </row>
    <row r="158" ht="15.75" customHeight="1">
      <c r="A158" s="171">
        <f t="shared" si="1"/>
        <v>152</v>
      </c>
      <c r="B158" s="171">
        <f t="shared" si="2"/>
        <v>13</v>
      </c>
      <c r="C158" s="176">
        <f>EDATE(RCD,A157)</f>
        <v>47148</v>
      </c>
      <c r="D158" s="171">
        <f>Age_At_Entry+'Cashflows_8% from Start'!B158-1</f>
        <v>47</v>
      </c>
      <c r="E158" s="175">
        <f>IF(AND(C158&lt;=Last_Prem,MOD(A157,Mode)=0),Mod_Prem,0)</f>
        <v>0</v>
      </c>
      <c r="F158" s="177">
        <f>E158*VLOOKUP(B158,'Pre-Calculation'!$H$1:$I$31,2,FALSE)</f>
        <v>0</v>
      </c>
      <c r="G158" s="177">
        <f>IF(B158&lt;PT+1,VLOOKUP(B158,'Pre-Calculation'!$H$1:$L$32,3,FALSE)+VLOOKUP(B158,'Pre-Calculation'!$H$1:$L$32,4,FALSE)*'Pre-Calculation'!$D$7,0)</f>
        <v>0</v>
      </c>
      <c r="H158" s="175">
        <f>(E158-(F158+G158)*(1+Tax)+N157)</f>
        <v>1486031.868</v>
      </c>
      <c r="I158" s="175">
        <f>IF(B158&lt;PT+1,VLOOKUP(D158,'Pre-Calculation'!$N$3:$P$79,IF(INPUT!$C$4="M",2,3),FALSE)*(J158/1000)*(1/12),0)</f>
        <v>0</v>
      </c>
      <c r="J158" s="175">
        <f t="shared" si="3"/>
        <v>193968.1316</v>
      </c>
      <c r="K158" s="175">
        <f>IF('Pre-Calculation'!$D$17="Type 4 a",MAX(SA,H158,1.05*Q158),IF('Pre-Calculation'!$D$17="Type 4 c",H158,IF('Pre-Calculation'!$D$17="Type 4 d",SA+H158,IF('Pre-Calculation'!$D$17="Type 4 e",MAX(SA,H158),IF('Pre-Calculation'!$D$17="Type 4 f",SA,IF('Pre-Calculation'!$D$17="Type 4 g",1000+H158,IF('Pre-Calculation'!$D$17="Type 4 h",SA+X158,IF('Pre-Calculation'!$D$17="Type 4 i",MAX(H158,Q158),IF('Pre-Calculation'!$D$17="Type 4 k",MAX(H158,1.01*Q158),IF('Pre-Calculation'!$D$17="Type 4 m",MAX(105%*Q158,SA+H158),IF('Pre-Calculation'!$D$17="Type 4 o",MAX(SA,105%*Q158)+X158+Z158,IF('Pre-Calculation'!$D$17="Type 5",0))))))))))))</f>
        <v>1680000</v>
      </c>
      <c r="L158" s="175">
        <f>H158-I158*(1+Tax)</f>
        <v>1486031.868</v>
      </c>
      <c r="M158" s="175">
        <f>L158*(1+GROWTH_RATE_H)*(1-FMC*(1+Tax))</f>
        <v>1493608.722</v>
      </c>
      <c r="N158" s="175">
        <f>M158+IF(MOD(A158,B158)=0,VLOOKUP(B158,'Pre-Calculation'!$H$1:$L$31,5,FALSE),0)*IF('Pre-Calculation'!$D$16="% OF FV",M158,IF(OR('Pre-Calculation'!$D$16="% OF AFV(24M)",'Pre-Calculation'!$D$16="% OF AFV(8Q)"),AVERAGE( $M135:$M158),IF('Pre-Calculation'!$D$16="% OF AFV(12M)",AVERAGE($M147:M158),IF('Pre-Calculation'!$D$16="% OF AFV(36M)",AVERAGE($M123:M158)))))</f>
        <v>1493608.722</v>
      </c>
      <c r="O158" s="175">
        <f t="shared" si="4"/>
        <v>1493608.722</v>
      </c>
      <c r="P158" s="175">
        <f>IF('Pre-Calculation'!$D$17="Type 4 a",MAX(SA,N158,1.05*Q158),IF('Pre-Calculation'!$D$17="Type 4 c",N158,IF('Pre-Calculation'!$D$17="Type 4 d",SA+N158,IF('Pre-Calculation'!$D$17="Type 4 e",MAX(SA,N158),IF('Pre-Calculation'!$D$17="Type 4 f",SA,IF('Pre-Calculation'!$D$17="Type 4 g",1000+N158,IF('Pre-Calculation'!$D$17="Type 4 h",SA+X158,IF('Pre-Calculation'!$D$17="Type 4 i",MAX(N158,Q158),IF('Pre-Calculation'!$D$17="Type 4 k",MAX(N158,1.01*Q158),IF('Pre-Calculation'!$D$17="Type 4 m",MAX(105%*Q158,SA+N158),IF('Pre-Calculation'!$D$17="Type 4 o",MAX(SA,105%*Q158)+X158+Z158,IF('Pre-Calculation'!$D$17="Type 5",0))))))))))))</f>
        <v>1680000</v>
      </c>
      <c r="Q158" s="175">
        <f t="shared" si="5"/>
        <v>1600000</v>
      </c>
      <c r="R158" s="119">
        <f>L158*(1+GROWTH_RATE)*FMC</f>
        <v>1681.627179</v>
      </c>
      <c r="S158" s="178">
        <f>S157*(1+'Pre-Calculation'!$E$27)</f>
        <v>1004980.852</v>
      </c>
      <c r="T158" s="175">
        <f>-E158+IF(A157=INPUT!$C$11*12,N158,0)</f>
        <v>0</v>
      </c>
      <c r="U158" s="175">
        <f t="shared" si="6"/>
        <v>1606050.157</v>
      </c>
      <c r="V158" s="175">
        <f>U158*(1+GROWTH_RATE_H)*(1-'Pre-Calculation'!$E$31)</f>
        <v>1613691.729</v>
      </c>
      <c r="W158" s="175">
        <f>-E158+IF(A157=INPUT!$C$11*12,V158,0)</f>
        <v>0</v>
      </c>
      <c r="X158" s="179">
        <f t="array" ref="X158">NPV('Pre-Calculation'!$E$20,$E159:E$246)</f>
        <v>0</v>
      </c>
      <c r="Y158" s="171">
        <f>10%*SA</f>
        <v>100000</v>
      </c>
      <c r="Z158" s="179">
        <f t="array" ref="Z158">NPV('Pre-Calculation'!$E$20,Y159:Y168)</f>
        <v>969592.8037</v>
      </c>
    </row>
    <row r="159" ht="15.75" customHeight="1">
      <c r="A159" s="171">
        <f t="shared" si="1"/>
        <v>153</v>
      </c>
      <c r="B159" s="171">
        <f t="shared" si="2"/>
        <v>13</v>
      </c>
      <c r="C159" s="176">
        <f>EDATE(RCD,A158)</f>
        <v>47177</v>
      </c>
      <c r="D159" s="171">
        <f>Age_At_Entry+'Cashflows_8% from Start'!B159-1</f>
        <v>47</v>
      </c>
      <c r="E159" s="175">
        <f>IF(AND(C159&lt;=Last_Prem,MOD(A158,Mode)=0),Mod_Prem,0)</f>
        <v>0</v>
      </c>
      <c r="F159" s="177">
        <f>E159*VLOOKUP(B159,'Pre-Calculation'!$H$1:$I$31,2,FALSE)</f>
        <v>0</v>
      </c>
      <c r="G159" s="177">
        <f>IF(B159&lt;PT+1,VLOOKUP(B159,'Pre-Calculation'!$H$1:$L$32,3,FALSE)+VLOOKUP(B159,'Pre-Calculation'!$H$1:$L$32,4,FALSE)*'Pre-Calculation'!$D$7,0)</f>
        <v>0</v>
      </c>
      <c r="H159" s="175">
        <f>(E159-(F159+G159)*(1+Tax)+N158)</f>
        <v>1493608.722</v>
      </c>
      <c r="I159" s="175">
        <f>IF(B159&lt;PT+1,VLOOKUP(D159,'Pre-Calculation'!$N$3:$P$79,IF(INPUT!$C$4="M",2,3),FALSE)*(J159/1000)*(1/12),0)</f>
        <v>0</v>
      </c>
      <c r="J159" s="175">
        <f t="shared" si="3"/>
        <v>186391.2779</v>
      </c>
      <c r="K159" s="175">
        <f>IF('Pre-Calculation'!$D$17="Type 4 a",MAX(SA,H159,1.05*Q159),IF('Pre-Calculation'!$D$17="Type 4 c",H159,IF('Pre-Calculation'!$D$17="Type 4 d",SA+H159,IF('Pre-Calculation'!$D$17="Type 4 e",MAX(SA,H159),IF('Pre-Calculation'!$D$17="Type 4 f",SA,IF('Pre-Calculation'!$D$17="Type 4 g",1000+H159,IF('Pre-Calculation'!$D$17="Type 4 h",SA+X159,IF('Pre-Calculation'!$D$17="Type 4 i",MAX(H159,Q159),IF('Pre-Calculation'!$D$17="Type 4 k",MAX(H159,1.01*Q159),IF('Pre-Calculation'!$D$17="Type 4 m",MAX(105%*Q159,SA+H159),IF('Pre-Calculation'!$D$17="Type 4 o",MAX(SA,105%*Q159)+X159+Z159,IF('Pre-Calculation'!$D$17="Type 5",0))))))))))))</f>
        <v>1680000</v>
      </c>
      <c r="L159" s="175">
        <f>H159-I159*(1+Tax)</f>
        <v>1493608.722</v>
      </c>
      <c r="M159" s="175">
        <f>L159*(1+GROWTH_RATE_H)*(1-FMC*(1+Tax))</f>
        <v>1501224.208</v>
      </c>
      <c r="N159" s="175">
        <f>M159+IF(MOD(A159,B159)=0,VLOOKUP(B159,'Pre-Calculation'!$H$1:$L$31,5,FALSE),0)*IF('Pre-Calculation'!$D$16="% OF FV",M159,IF(OR('Pre-Calculation'!$D$16="% OF AFV(24M)",'Pre-Calculation'!$D$16="% OF AFV(8Q)"),AVERAGE( $M136:$M159),IF('Pre-Calculation'!$D$16="% OF AFV(12M)",AVERAGE($M148:M159),IF('Pre-Calculation'!$D$16="% OF AFV(36M)",AVERAGE($M124:M159)))))</f>
        <v>1501224.208</v>
      </c>
      <c r="O159" s="175">
        <f t="shared" si="4"/>
        <v>1501224.208</v>
      </c>
      <c r="P159" s="175">
        <f>IF('Pre-Calculation'!$D$17="Type 4 a",MAX(SA,N159,1.05*Q159),IF('Pre-Calculation'!$D$17="Type 4 c",N159,IF('Pre-Calculation'!$D$17="Type 4 d",SA+N159,IF('Pre-Calculation'!$D$17="Type 4 e",MAX(SA,N159),IF('Pre-Calculation'!$D$17="Type 4 f",SA,IF('Pre-Calculation'!$D$17="Type 4 g",1000+N159,IF('Pre-Calculation'!$D$17="Type 4 h",SA+X159,IF('Pre-Calculation'!$D$17="Type 4 i",MAX(N159,Q159),IF('Pre-Calculation'!$D$17="Type 4 k",MAX(N159,1.01*Q159),IF('Pre-Calculation'!$D$17="Type 4 m",MAX(105%*Q159,SA+N159),IF('Pre-Calculation'!$D$17="Type 4 o",MAX(SA,105%*Q159)+X159+Z159,IF('Pre-Calculation'!$D$17="Type 5",0))))))))))))</f>
        <v>1680000</v>
      </c>
      <c r="Q159" s="175">
        <f t="shared" si="5"/>
        <v>1600000</v>
      </c>
      <c r="R159" s="119">
        <f>L159*(1+GROWTH_RATE)*FMC</f>
        <v>1690.201317</v>
      </c>
      <c r="S159" s="178">
        <f>S158*(1+'Pre-Calculation'!$E$27)</f>
        <v>1007866.051</v>
      </c>
      <c r="T159" s="175">
        <f>-E159+IF(A158=INPUT!$C$11*12,N159,0)</f>
        <v>0</v>
      </c>
      <c r="U159" s="175">
        <f t="shared" si="6"/>
        <v>1613691.729</v>
      </c>
      <c r="V159" s="175">
        <f>U159*(1+GROWTH_RATE_H)*(1-'Pre-Calculation'!$E$31)</f>
        <v>1621369.661</v>
      </c>
      <c r="W159" s="175">
        <f>-E159+IF(A158=INPUT!$C$11*12,V159,0)</f>
        <v>0</v>
      </c>
      <c r="X159" s="179">
        <f t="array" ref="X159">NPV('Pre-Calculation'!$E$20,$E160:E$246)</f>
        <v>0</v>
      </c>
      <c r="Y159" s="171">
        <f>10%*SA</f>
        <v>100000</v>
      </c>
      <c r="Z159" s="179">
        <f t="array" ref="Z159">NPV('Pre-Calculation'!$E$20,Y160:Y169)</f>
        <v>969592.8037</v>
      </c>
    </row>
    <row r="160" ht="15.75" customHeight="1">
      <c r="A160" s="171">
        <f t="shared" si="1"/>
        <v>154</v>
      </c>
      <c r="B160" s="171">
        <f t="shared" si="2"/>
        <v>13</v>
      </c>
      <c r="C160" s="176">
        <f>EDATE(RCD,A159)</f>
        <v>47207</v>
      </c>
      <c r="D160" s="171">
        <f>Age_At_Entry+'Cashflows_8% from Start'!B160-1</f>
        <v>47</v>
      </c>
      <c r="E160" s="175">
        <f>IF(AND(C160&lt;=Last_Prem,MOD(A159,Mode)=0),Mod_Prem,0)</f>
        <v>0</v>
      </c>
      <c r="F160" s="177">
        <f>E160*VLOOKUP(B160,'Pre-Calculation'!$H$1:$I$31,2,FALSE)</f>
        <v>0</v>
      </c>
      <c r="G160" s="177">
        <f>IF(B160&lt;PT+1,VLOOKUP(B160,'Pre-Calculation'!$H$1:$L$32,3,FALSE)+VLOOKUP(B160,'Pre-Calculation'!$H$1:$L$32,4,FALSE)*'Pre-Calculation'!$D$7,0)</f>
        <v>0</v>
      </c>
      <c r="H160" s="175">
        <f>(E160-(F160+G160)*(1+Tax)+N159)</f>
        <v>1501224.208</v>
      </c>
      <c r="I160" s="175">
        <f>IF(B160&lt;PT+1,VLOOKUP(D160,'Pre-Calculation'!$N$3:$P$79,IF(INPUT!$C$4="M",2,3),FALSE)*(J160/1000)*(1/12),0)</f>
        <v>0</v>
      </c>
      <c r="J160" s="175">
        <f t="shared" si="3"/>
        <v>178775.7919</v>
      </c>
      <c r="K160" s="175">
        <f>IF('Pre-Calculation'!$D$17="Type 4 a",MAX(SA,H160,1.05*Q160),IF('Pre-Calculation'!$D$17="Type 4 c",H160,IF('Pre-Calculation'!$D$17="Type 4 d",SA+H160,IF('Pre-Calculation'!$D$17="Type 4 e",MAX(SA,H160),IF('Pre-Calculation'!$D$17="Type 4 f",SA,IF('Pre-Calculation'!$D$17="Type 4 g",1000+H160,IF('Pre-Calculation'!$D$17="Type 4 h",SA+X160,IF('Pre-Calculation'!$D$17="Type 4 i",MAX(H160,Q160),IF('Pre-Calculation'!$D$17="Type 4 k",MAX(H160,1.01*Q160),IF('Pre-Calculation'!$D$17="Type 4 m",MAX(105%*Q160,SA+H160),IF('Pre-Calculation'!$D$17="Type 4 o",MAX(SA,105%*Q160)+X160+Z160,IF('Pre-Calculation'!$D$17="Type 5",0))))))))))))</f>
        <v>1680000</v>
      </c>
      <c r="L160" s="175">
        <f>H160-I160*(1+Tax)</f>
        <v>1501224.208</v>
      </c>
      <c r="M160" s="175">
        <f>L160*(1+GROWTH_RATE_H)*(1-FMC*(1+Tax))</f>
        <v>1508878.523</v>
      </c>
      <c r="N160" s="175">
        <f>M160+IF(MOD(A160,B160)=0,VLOOKUP(B160,'Pre-Calculation'!$H$1:$L$31,5,FALSE),0)*IF('Pre-Calculation'!$D$16="% OF FV",M160,IF(OR('Pre-Calculation'!$D$16="% OF AFV(24M)",'Pre-Calculation'!$D$16="% OF AFV(8Q)"),AVERAGE( $M137:$M160),IF('Pre-Calculation'!$D$16="% OF AFV(12M)",AVERAGE($M149:M160),IF('Pre-Calculation'!$D$16="% OF AFV(36M)",AVERAGE($M125:M160)))))</f>
        <v>1508878.523</v>
      </c>
      <c r="O160" s="175">
        <f t="shared" si="4"/>
        <v>1508878.523</v>
      </c>
      <c r="P160" s="175">
        <f>IF('Pre-Calculation'!$D$17="Type 4 a",MAX(SA,N160,1.05*Q160),IF('Pre-Calculation'!$D$17="Type 4 c",N160,IF('Pre-Calculation'!$D$17="Type 4 d",SA+N160,IF('Pre-Calculation'!$D$17="Type 4 e",MAX(SA,N160),IF('Pre-Calculation'!$D$17="Type 4 f",SA,IF('Pre-Calculation'!$D$17="Type 4 g",1000+N160,IF('Pre-Calculation'!$D$17="Type 4 h",SA+X160,IF('Pre-Calculation'!$D$17="Type 4 i",MAX(N160,Q160),IF('Pre-Calculation'!$D$17="Type 4 k",MAX(N160,1.01*Q160),IF('Pre-Calculation'!$D$17="Type 4 m",MAX(105%*Q160,SA+N160),IF('Pre-Calculation'!$D$17="Type 4 o",MAX(SA,105%*Q160)+X160+Z160,IF('Pre-Calculation'!$D$17="Type 5",0))))))))))))</f>
        <v>1680000</v>
      </c>
      <c r="Q160" s="175">
        <f t="shared" si="5"/>
        <v>1600000</v>
      </c>
      <c r="R160" s="119">
        <f>L160*(1+GROWTH_RATE)*FMC</f>
        <v>1698.819173</v>
      </c>
      <c r="S160" s="178">
        <f>S159*(1+'Pre-Calculation'!$E$27)</f>
        <v>1010759.532</v>
      </c>
      <c r="T160" s="175">
        <f>-E160+IF(A159=INPUT!$C$11*12,N160,0)</f>
        <v>0</v>
      </c>
      <c r="U160" s="175">
        <f t="shared" si="6"/>
        <v>1621369.661</v>
      </c>
      <c r="V160" s="175">
        <f>U160*(1+GROWTH_RATE_H)*(1-'Pre-Calculation'!$E$31)</f>
        <v>1629084.123</v>
      </c>
      <c r="W160" s="175">
        <f>-E160+IF(A159=INPUT!$C$11*12,V160,0)</f>
        <v>0</v>
      </c>
      <c r="X160" s="179">
        <f t="array" ref="X160">NPV('Pre-Calculation'!$E$20,$E161:E$246)</f>
        <v>0</v>
      </c>
      <c r="Y160" s="171">
        <f>10%*SA</f>
        <v>100000</v>
      </c>
      <c r="Z160" s="179">
        <f t="array" ref="Z160">NPV('Pre-Calculation'!$E$20,Y161:Y170)</f>
        <v>969592.8037</v>
      </c>
    </row>
    <row r="161" ht="15.75" customHeight="1">
      <c r="A161" s="171">
        <f t="shared" si="1"/>
        <v>155</v>
      </c>
      <c r="B161" s="171">
        <f t="shared" si="2"/>
        <v>13</v>
      </c>
      <c r="C161" s="176">
        <f>EDATE(RCD,A160)</f>
        <v>47238</v>
      </c>
      <c r="D161" s="171">
        <f>Age_At_Entry+'Cashflows_8% from Start'!B161-1</f>
        <v>47</v>
      </c>
      <c r="E161" s="175">
        <f>IF(AND(C161&lt;=Last_Prem,MOD(A160,Mode)=0),Mod_Prem,0)</f>
        <v>0</v>
      </c>
      <c r="F161" s="177">
        <f>E161*VLOOKUP(B161,'Pre-Calculation'!$H$1:$I$31,2,FALSE)</f>
        <v>0</v>
      </c>
      <c r="G161" s="177">
        <f>IF(B161&lt;PT+1,VLOOKUP(B161,'Pre-Calculation'!$H$1:$L$32,3,FALSE)+VLOOKUP(B161,'Pre-Calculation'!$H$1:$L$32,4,FALSE)*'Pre-Calculation'!$D$7,0)</f>
        <v>0</v>
      </c>
      <c r="H161" s="175">
        <f>(E161-(F161+G161)*(1+Tax)+N160)</f>
        <v>1508878.523</v>
      </c>
      <c r="I161" s="175">
        <f>IF(B161&lt;PT+1,VLOOKUP(D161,'Pre-Calculation'!$N$3:$P$79,IF(INPUT!$C$4="M",2,3),FALSE)*(J161/1000)*(1/12),0)</f>
        <v>0</v>
      </c>
      <c r="J161" s="175">
        <f t="shared" si="3"/>
        <v>171121.4768</v>
      </c>
      <c r="K161" s="175">
        <f>IF('Pre-Calculation'!$D$17="Type 4 a",MAX(SA,H161,1.05*Q161),IF('Pre-Calculation'!$D$17="Type 4 c",H161,IF('Pre-Calculation'!$D$17="Type 4 d",SA+H161,IF('Pre-Calculation'!$D$17="Type 4 e",MAX(SA,H161),IF('Pre-Calculation'!$D$17="Type 4 f",SA,IF('Pre-Calculation'!$D$17="Type 4 g",1000+H161,IF('Pre-Calculation'!$D$17="Type 4 h",SA+X161,IF('Pre-Calculation'!$D$17="Type 4 i",MAX(H161,Q161),IF('Pre-Calculation'!$D$17="Type 4 k",MAX(H161,1.01*Q161),IF('Pre-Calculation'!$D$17="Type 4 m",MAX(105%*Q161,SA+H161),IF('Pre-Calculation'!$D$17="Type 4 o",MAX(SA,105%*Q161)+X161+Z161,IF('Pre-Calculation'!$D$17="Type 5",0))))))))))))</f>
        <v>1680000</v>
      </c>
      <c r="L161" s="175">
        <f>H161-I161*(1+Tax)</f>
        <v>1508878.523</v>
      </c>
      <c r="M161" s="175">
        <f>L161*(1+GROWTH_RATE_H)*(1-FMC*(1+Tax))</f>
        <v>1516571.866</v>
      </c>
      <c r="N161" s="175">
        <f>M161+IF(MOD(A161,B161)=0,VLOOKUP(B161,'Pre-Calculation'!$H$1:$L$31,5,FALSE),0)*IF('Pre-Calculation'!$D$16="% OF FV",M161,IF(OR('Pre-Calculation'!$D$16="% OF AFV(24M)",'Pre-Calculation'!$D$16="% OF AFV(8Q)"),AVERAGE( $M138:$M161),IF('Pre-Calculation'!$D$16="% OF AFV(12M)",AVERAGE($M150:M161),IF('Pre-Calculation'!$D$16="% OF AFV(36M)",AVERAGE($M126:M161)))))</f>
        <v>1516571.866</v>
      </c>
      <c r="O161" s="175">
        <f t="shared" si="4"/>
        <v>1516571.866</v>
      </c>
      <c r="P161" s="175">
        <f>IF('Pre-Calculation'!$D$17="Type 4 a",MAX(SA,N161,1.05*Q161),IF('Pre-Calculation'!$D$17="Type 4 c",N161,IF('Pre-Calculation'!$D$17="Type 4 d",SA+N161,IF('Pre-Calculation'!$D$17="Type 4 e",MAX(SA,N161),IF('Pre-Calculation'!$D$17="Type 4 f",SA,IF('Pre-Calculation'!$D$17="Type 4 g",1000+N161,IF('Pre-Calculation'!$D$17="Type 4 h",SA+X161,IF('Pre-Calculation'!$D$17="Type 4 i",MAX(N161,Q161),IF('Pre-Calculation'!$D$17="Type 4 k",MAX(N161,1.01*Q161),IF('Pre-Calculation'!$D$17="Type 4 m",MAX(105%*Q161,SA+N161),IF('Pre-Calculation'!$D$17="Type 4 o",MAX(SA,105%*Q161)+X161+Z161,IF('Pre-Calculation'!$D$17="Type 5",0))))))))))))</f>
        <v>1680000</v>
      </c>
      <c r="Q161" s="175">
        <f t="shared" si="5"/>
        <v>1600000</v>
      </c>
      <c r="R161" s="119">
        <f>L161*(1+GROWTH_RATE)*FMC</f>
        <v>1707.480968</v>
      </c>
      <c r="S161" s="178">
        <f>S160*(1+'Pre-Calculation'!$E$27)</f>
        <v>1013661.32</v>
      </c>
      <c r="T161" s="175">
        <f>-E161+IF(A160=INPUT!$C$11*12,N161,0)</f>
        <v>0</v>
      </c>
      <c r="U161" s="175">
        <f t="shared" si="6"/>
        <v>1629084.123</v>
      </c>
      <c r="V161" s="175">
        <f>U161*(1+GROWTH_RATE_H)*(1-'Pre-Calculation'!$E$31)</f>
        <v>1636835.291</v>
      </c>
      <c r="W161" s="175">
        <f>-E161+IF(A160=INPUT!$C$11*12,V161,0)</f>
        <v>0</v>
      </c>
      <c r="X161" s="179">
        <f t="array" ref="X161">NPV('Pre-Calculation'!$E$20,$E162:E$246)</f>
        <v>0</v>
      </c>
      <c r="Y161" s="171">
        <f>10%*SA</f>
        <v>100000</v>
      </c>
      <c r="Z161" s="179">
        <f t="array" ref="Z161">NPV('Pre-Calculation'!$E$20,Y162:Y171)</f>
        <v>969592.8037</v>
      </c>
    </row>
    <row r="162" ht="15.75" customHeight="1">
      <c r="A162" s="171">
        <f t="shared" si="1"/>
        <v>156</v>
      </c>
      <c r="B162" s="171">
        <f t="shared" si="2"/>
        <v>13</v>
      </c>
      <c r="C162" s="176">
        <f>EDATE(RCD,A161)</f>
        <v>47268</v>
      </c>
      <c r="D162" s="171">
        <f>Age_At_Entry+'Cashflows_8% from Start'!B162-1</f>
        <v>47</v>
      </c>
      <c r="E162" s="175">
        <f>IF(AND(C162&lt;=Last_Prem,MOD(A161,Mode)=0),Mod_Prem,0)</f>
        <v>0</v>
      </c>
      <c r="F162" s="177">
        <f>E162*VLOOKUP(B162,'Pre-Calculation'!$H$1:$I$31,2,FALSE)</f>
        <v>0</v>
      </c>
      <c r="G162" s="177">
        <f>IF(B162&lt;PT+1,VLOOKUP(B162,'Pre-Calculation'!$H$1:$L$32,3,FALSE)+VLOOKUP(B162,'Pre-Calculation'!$H$1:$L$32,4,FALSE)*'Pre-Calculation'!$D$7,0)</f>
        <v>0</v>
      </c>
      <c r="H162" s="175">
        <f>(E162-(F162+G162)*(1+Tax)+N161)</f>
        <v>1516571.866</v>
      </c>
      <c r="I162" s="175">
        <f>IF(B162&lt;PT+1,VLOOKUP(D162,'Pre-Calculation'!$N$3:$P$79,IF(INPUT!$C$4="M",2,3),FALSE)*(J162/1000)*(1/12),0)</f>
        <v>0</v>
      </c>
      <c r="J162" s="175">
        <f t="shared" si="3"/>
        <v>163428.1345</v>
      </c>
      <c r="K162" s="175">
        <f>IF('Pre-Calculation'!$D$17="Type 4 a",MAX(SA,H162,1.05*Q162),IF('Pre-Calculation'!$D$17="Type 4 c",H162,IF('Pre-Calculation'!$D$17="Type 4 d",SA+H162,IF('Pre-Calculation'!$D$17="Type 4 e",MAX(SA,H162),IF('Pre-Calculation'!$D$17="Type 4 f",SA,IF('Pre-Calculation'!$D$17="Type 4 g",1000+H162,IF('Pre-Calculation'!$D$17="Type 4 h",SA+X162,IF('Pre-Calculation'!$D$17="Type 4 i",MAX(H162,Q162),IF('Pre-Calculation'!$D$17="Type 4 k",MAX(H162,1.01*Q162),IF('Pre-Calculation'!$D$17="Type 4 m",MAX(105%*Q162,SA+H162),IF('Pre-Calculation'!$D$17="Type 4 o",MAX(SA,105%*Q162)+X162+Z162,IF('Pre-Calculation'!$D$17="Type 5",0))))))))))))</f>
        <v>1680000</v>
      </c>
      <c r="L162" s="175">
        <f>H162-I162*(1+Tax)</f>
        <v>1516571.866</v>
      </c>
      <c r="M162" s="175">
        <f>L162*(1+GROWTH_RATE_H)*(1-FMC*(1+Tax))</f>
        <v>1524304.434</v>
      </c>
      <c r="N162" s="175">
        <f>M162+IF(MOD(A162,B162)=0,VLOOKUP(B162,'Pre-Calculation'!$H$1:$L$31,5,FALSE),0)*IF('Pre-Calculation'!$D$16="% OF FV",M162,IF(OR('Pre-Calculation'!$D$16="% OF AFV(24M)",'Pre-Calculation'!$D$16="% OF AFV(8Q)"),AVERAGE( $M139:$M162),IF('Pre-Calculation'!$D$16="% OF AFV(12M)",AVERAGE($M151:M162),IF('Pre-Calculation'!$D$16="% OF AFV(36M)",AVERAGE($M127:M162)))))</f>
        <v>1524304.434</v>
      </c>
      <c r="O162" s="175">
        <f t="shared" si="4"/>
        <v>1524304.434</v>
      </c>
      <c r="P162" s="175">
        <f>IF('Pre-Calculation'!$D$17="Type 4 a",MAX(SA,N162,1.05*Q162),IF('Pre-Calculation'!$D$17="Type 4 c",N162,IF('Pre-Calculation'!$D$17="Type 4 d",SA+N162,IF('Pre-Calculation'!$D$17="Type 4 e",MAX(SA,N162),IF('Pre-Calculation'!$D$17="Type 4 f",SA,IF('Pre-Calculation'!$D$17="Type 4 g",1000+N162,IF('Pre-Calculation'!$D$17="Type 4 h",SA+X162,IF('Pre-Calculation'!$D$17="Type 4 i",MAX(N162,Q162),IF('Pre-Calculation'!$D$17="Type 4 k",MAX(N162,1.01*Q162),IF('Pre-Calculation'!$D$17="Type 4 m",MAX(105%*Q162,SA+N162),IF('Pre-Calculation'!$D$17="Type 4 o",MAX(SA,105%*Q162)+X162+Z162,IF('Pre-Calculation'!$D$17="Type 5",0))))))))))))</f>
        <v>1680000</v>
      </c>
      <c r="Q162" s="175">
        <f t="shared" si="5"/>
        <v>1600000</v>
      </c>
      <c r="R162" s="119">
        <f>L162*(1+GROWTH_RATE)*FMC</f>
        <v>1716.186928</v>
      </c>
      <c r="S162" s="178">
        <f>S161*(1+'Pre-Calculation'!$E$27)</f>
        <v>1016571.439</v>
      </c>
      <c r="T162" s="175">
        <f>-E162+IF(A161=INPUT!$C$11*12,N162,0)</f>
        <v>0</v>
      </c>
      <c r="U162" s="175">
        <f t="shared" si="6"/>
        <v>1636835.291</v>
      </c>
      <c r="V162" s="175">
        <f>U162*(1+GROWTH_RATE_H)*(1-'Pre-Calculation'!$E$31)</f>
        <v>1644623.339</v>
      </c>
      <c r="W162" s="175">
        <f>-E162+IF(A161=INPUT!$C$11*12,V162,0)</f>
        <v>0</v>
      </c>
      <c r="X162" s="179">
        <f t="array" ref="X162">NPV('Pre-Calculation'!$E$20,$E163:E$246)</f>
        <v>0</v>
      </c>
      <c r="Y162" s="171">
        <f>10%*SA</f>
        <v>100000</v>
      </c>
      <c r="Z162" s="179">
        <f t="array" ref="Z162">NPV('Pre-Calculation'!$E$20,Y163:Y172)</f>
        <v>969592.8037</v>
      </c>
    </row>
    <row r="163" ht="15.75" customHeight="1">
      <c r="A163" s="171">
        <f t="shared" si="1"/>
        <v>157</v>
      </c>
      <c r="B163" s="171">
        <f t="shared" si="2"/>
        <v>14</v>
      </c>
      <c r="C163" s="176">
        <f>EDATE(RCD,A162)</f>
        <v>47299</v>
      </c>
      <c r="D163" s="171">
        <f>Age_At_Entry+'Cashflows_8% from Start'!B163-1</f>
        <v>48</v>
      </c>
      <c r="E163" s="175">
        <f>IF(AND(C163&lt;=Last_Prem,MOD(A162,Mode)=0),Mod_Prem,0)</f>
        <v>0</v>
      </c>
      <c r="F163" s="177">
        <f>E163*VLOOKUP(B163,'Pre-Calculation'!$H$1:$I$31,2,FALSE)</f>
        <v>0</v>
      </c>
      <c r="G163" s="177">
        <f>IF(B163&lt;PT+1,VLOOKUP(B163,'Pre-Calculation'!$H$1:$L$32,3,FALSE)+VLOOKUP(B163,'Pre-Calculation'!$H$1:$L$32,4,FALSE)*'Pre-Calculation'!$D$7,0)</f>
        <v>0</v>
      </c>
      <c r="H163" s="175">
        <f>(E163-(F163+G163)*(1+Tax)+N162)</f>
        <v>1524304.434</v>
      </c>
      <c r="I163" s="175">
        <f>IF(B163&lt;PT+1,VLOOKUP(D163,'Pre-Calculation'!$N$3:$P$79,IF(INPUT!$C$4="M",2,3),FALSE)*(J163/1000)*(1/12),0)</f>
        <v>0</v>
      </c>
      <c r="J163" s="175">
        <f t="shared" si="3"/>
        <v>155695.566</v>
      </c>
      <c r="K163" s="175">
        <f>IF('Pre-Calculation'!$D$17="Type 4 a",MAX(SA,H163,1.05*Q163),IF('Pre-Calculation'!$D$17="Type 4 c",H163,IF('Pre-Calculation'!$D$17="Type 4 d",SA+H163,IF('Pre-Calculation'!$D$17="Type 4 e",MAX(SA,H163),IF('Pre-Calculation'!$D$17="Type 4 f",SA,IF('Pre-Calculation'!$D$17="Type 4 g",1000+H163,IF('Pre-Calculation'!$D$17="Type 4 h",SA+X163,IF('Pre-Calculation'!$D$17="Type 4 i",MAX(H163,Q163),IF('Pre-Calculation'!$D$17="Type 4 k",MAX(H163,1.01*Q163),IF('Pre-Calculation'!$D$17="Type 4 m",MAX(105%*Q163,SA+H163),IF('Pre-Calculation'!$D$17="Type 4 o",MAX(SA,105%*Q163)+X163+Z163,IF('Pre-Calculation'!$D$17="Type 5",0))))))))))))</f>
        <v>1680000</v>
      </c>
      <c r="L163" s="175">
        <f>H163-I163*(1+Tax)</f>
        <v>1524304.434</v>
      </c>
      <c r="M163" s="175">
        <f>L163*(1+GROWTH_RATE_H)*(1-FMC*(1+Tax))</f>
        <v>1532076.429</v>
      </c>
      <c r="N163" s="175">
        <f>M163+IF(MOD(A163,B163)=0,VLOOKUP(B163,'Pre-Calculation'!$H$1:$L$31,5,FALSE),0)*IF('Pre-Calculation'!$D$16="% OF FV",M163,IF(OR('Pre-Calculation'!$D$16="% OF AFV(24M)",'Pre-Calculation'!$D$16="% OF AFV(8Q)"),AVERAGE( $M140:$M163),IF('Pre-Calculation'!$D$16="% OF AFV(12M)",AVERAGE($M152:M163),IF('Pre-Calculation'!$D$16="% OF AFV(36M)",AVERAGE($M128:M163)))))</f>
        <v>1532076.429</v>
      </c>
      <c r="O163" s="175">
        <f t="shared" si="4"/>
        <v>1532076.429</v>
      </c>
      <c r="P163" s="175">
        <f>IF('Pre-Calculation'!$D$17="Type 4 a",MAX(SA,N163,1.05*Q163),IF('Pre-Calculation'!$D$17="Type 4 c",N163,IF('Pre-Calculation'!$D$17="Type 4 d",SA+N163,IF('Pre-Calculation'!$D$17="Type 4 e",MAX(SA,N163),IF('Pre-Calculation'!$D$17="Type 4 f",SA,IF('Pre-Calculation'!$D$17="Type 4 g",1000+N163,IF('Pre-Calculation'!$D$17="Type 4 h",SA+X163,IF('Pre-Calculation'!$D$17="Type 4 i",MAX(N163,Q163),IF('Pre-Calculation'!$D$17="Type 4 k",MAX(N163,1.01*Q163),IF('Pre-Calculation'!$D$17="Type 4 m",MAX(105%*Q163,SA+N163),IF('Pre-Calculation'!$D$17="Type 4 o",MAX(SA,105%*Q163)+X163+Z163,IF('Pre-Calculation'!$D$17="Type 5",0))))))))))))</f>
        <v>1680000</v>
      </c>
      <c r="Q163" s="175">
        <f t="shared" si="5"/>
        <v>1600000</v>
      </c>
      <c r="R163" s="119">
        <f>L163*(1+GROWTH_RATE)*FMC</f>
        <v>1724.937277</v>
      </c>
      <c r="S163" s="178">
        <f>S162*(1+'Pre-Calculation'!$E$27)</f>
        <v>1019489.913</v>
      </c>
      <c r="T163" s="175">
        <f>-E163+IF(A162=INPUT!$C$11*12,N163,0)</f>
        <v>0</v>
      </c>
      <c r="U163" s="175">
        <f t="shared" si="6"/>
        <v>1644623.339</v>
      </c>
      <c r="V163" s="175">
        <f>U163*(1+GROWTH_RATE_H)*(1-'Pre-Calculation'!$E$31)</f>
        <v>1652448.442</v>
      </c>
      <c r="W163" s="175">
        <f>-E163+IF(A162=INPUT!$C$11*12,V163,0)</f>
        <v>0</v>
      </c>
      <c r="X163" s="179">
        <f t="array" ref="X163">NPV('Pre-Calculation'!$E$20,$E164:E$246)</f>
        <v>0</v>
      </c>
      <c r="Y163" s="171">
        <f>10%*SA</f>
        <v>100000</v>
      </c>
      <c r="Z163" s="179">
        <f t="array" ref="Z163">NPV('Pre-Calculation'!$E$20,Y164:Y173)</f>
        <v>969592.8037</v>
      </c>
    </row>
    <row r="164" ht="15.75" customHeight="1">
      <c r="A164" s="171">
        <f t="shared" si="1"/>
        <v>158</v>
      </c>
      <c r="B164" s="171">
        <f t="shared" si="2"/>
        <v>14</v>
      </c>
      <c r="C164" s="176">
        <f>EDATE(RCD,A163)</f>
        <v>47329</v>
      </c>
      <c r="D164" s="171">
        <f>Age_At_Entry+'Cashflows_8% from Start'!B164-1</f>
        <v>48</v>
      </c>
      <c r="E164" s="175">
        <f>IF(AND(C164&lt;=Last_Prem,MOD(A163,Mode)=0),Mod_Prem,0)</f>
        <v>0</v>
      </c>
      <c r="F164" s="177">
        <f>E164*VLOOKUP(B164,'Pre-Calculation'!$H$1:$I$31,2,FALSE)</f>
        <v>0</v>
      </c>
      <c r="G164" s="177">
        <f>IF(B164&lt;PT+1,VLOOKUP(B164,'Pre-Calculation'!$H$1:$L$32,3,FALSE)+VLOOKUP(B164,'Pre-Calculation'!$H$1:$L$32,4,FALSE)*'Pre-Calculation'!$D$7,0)</f>
        <v>0</v>
      </c>
      <c r="H164" s="175">
        <f>(E164-(F164+G164)*(1+Tax)+N163)</f>
        <v>1532076.429</v>
      </c>
      <c r="I164" s="175">
        <f>IF(B164&lt;PT+1,VLOOKUP(D164,'Pre-Calculation'!$N$3:$P$79,IF(INPUT!$C$4="M",2,3),FALSE)*(J164/1000)*(1/12),0)</f>
        <v>0</v>
      </c>
      <c r="J164" s="175">
        <f t="shared" si="3"/>
        <v>147923.5714</v>
      </c>
      <c r="K164" s="175">
        <f>IF('Pre-Calculation'!$D$17="Type 4 a",MAX(SA,H164,1.05*Q164),IF('Pre-Calculation'!$D$17="Type 4 c",H164,IF('Pre-Calculation'!$D$17="Type 4 d",SA+H164,IF('Pre-Calculation'!$D$17="Type 4 e",MAX(SA,H164),IF('Pre-Calculation'!$D$17="Type 4 f",SA,IF('Pre-Calculation'!$D$17="Type 4 g",1000+H164,IF('Pre-Calculation'!$D$17="Type 4 h",SA+X164,IF('Pre-Calculation'!$D$17="Type 4 i",MAX(H164,Q164),IF('Pre-Calculation'!$D$17="Type 4 k",MAX(H164,1.01*Q164),IF('Pre-Calculation'!$D$17="Type 4 m",MAX(105%*Q164,SA+H164),IF('Pre-Calculation'!$D$17="Type 4 o",MAX(SA,105%*Q164)+X164+Z164,IF('Pre-Calculation'!$D$17="Type 5",0))))))))))))</f>
        <v>1680000</v>
      </c>
      <c r="L164" s="175">
        <f>H164-I164*(1+Tax)</f>
        <v>1532076.429</v>
      </c>
      <c r="M164" s="175">
        <f>L164*(1+GROWTH_RATE_H)*(1-FMC*(1+Tax))</f>
        <v>1539888.05</v>
      </c>
      <c r="N164" s="175">
        <f>M164+IF(MOD(A164,B164)=0,VLOOKUP(B164,'Pre-Calculation'!$H$1:$L$31,5,FALSE),0)*IF('Pre-Calculation'!$D$16="% OF FV",M164,IF(OR('Pre-Calculation'!$D$16="% OF AFV(24M)",'Pre-Calculation'!$D$16="% OF AFV(8Q)"),AVERAGE( $M141:$M164),IF('Pre-Calculation'!$D$16="% OF AFV(12M)",AVERAGE($M153:M164),IF('Pre-Calculation'!$D$16="% OF AFV(36M)",AVERAGE($M129:M164)))))</f>
        <v>1539888.05</v>
      </c>
      <c r="O164" s="175">
        <f t="shared" si="4"/>
        <v>1539888.05</v>
      </c>
      <c r="P164" s="175">
        <f>IF('Pre-Calculation'!$D$17="Type 4 a",MAX(SA,N164,1.05*Q164),IF('Pre-Calculation'!$D$17="Type 4 c",N164,IF('Pre-Calculation'!$D$17="Type 4 d",SA+N164,IF('Pre-Calculation'!$D$17="Type 4 e",MAX(SA,N164),IF('Pre-Calculation'!$D$17="Type 4 f",SA,IF('Pre-Calculation'!$D$17="Type 4 g",1000+N164,IF('Pre-Calculation'!$D$17="Type 4 h",SA+X164,IF('Pre-Calculation'!$D$17="Type 4 i",MAX(N164,Q164),IF('Pre-Calculation'!$D$17="Type 4 k",MAX(N164,1.01*Q164),IF('Pre-Calculation'!$D$17="Type 4 m",MAX(105%*Q164,SA+N164),IF('Pre-Calculation'!$D$17="Type 4 o",MAX(SA,105%*Q164)+X164+Z164,IF('Pre-Calculation'!$D$17="Type 5",0))))))))))))</f>
        <v>1680000</v>
      </c>
      <c r="Q164" s="175">
        <f t="shared" si="5"/>
        <v>1600000</v>
      </c>
      <c r="R164" s="119">
        <f>L164*(1+GROWTH_RATE)*FMC</f>
        <v>1733.732241</v>
      </c>
      <c r="S164" s="178">
        <f>S163*(1+'Pre-Calculation'!$E$27)</f>
        <v>1022416.765</v>
      </c>
      <c r="T164" s="175">
        <f>-E164+IF(A163=INPUT!$C$11*12,N164,0)</f>
        <v>0</v>
      </c>
      <c r="U164" s="175">
        <f t="shared" si="6"/>
        <v>1652448.442</v>
      </c>
      <c r="V164" s="175">
        <f>U164*(1+GROWTH_RATE_H)*(1-'Pre-Calculation'!$E$31)</f>
        <v>1660310.778</v>
      </c>
      <c r="W164" s="175">
        <f>-E164+IF(A163=INPUT!$C$11*12,V164,0)</f>
        <v>0</v>
      </c>
      <c r="X164" s="179">
        <f t="array" ref="X164">NPV('Pre-Calculation'!$E$20,$E165:E$246)</f>
        <v>0</v>
      </c>
      <c r="Y164" s="171">
        <f>10%*SA</f>
        <v>100000</v>
      </c>
      <c r="Z164" s="179">
        <f t="array" ref="Z164">NPV('Pre-Calculation'!$E$20,Y165:Y174)</f>
        <v>969592.8037</v>
      </c>
    </row>
    <row r="165" ht="15.75" customHeight="1">
      <c r="A165" s="171">
        <f t="shared" si="1"/>
        <v>159</v>
      </c>
      <c r="B165" s="171">
        <f t="shared" si="2"/>
        <v>14</v>
      </c>
      <c r="C165" s="176">
        <f>EDATE(RCD,A164)</f>
        <v>47360</v>
      </c>
      <c r="D165" s="171">
        <f>Age_At_Entry+'Cashflows_8% from Start'!B165-1</f>
        <v>48</v>
      </c>
      <c r="E165" s="175">
        <f>IF(AND(C165&lt;=Last_Prem,MOD(A164,Mode)=0),Mod_Prem,0)</f>
        <v>0</v>
      </c>
      <c r="F165" s="177">
        <f>E165*VLOOKUP(B165,'Pre-Calculation'!$H$1:$I$31,2,FALSE)</f>
        <v>0</v>
      </c>
      <c r="G165" s="177">
        <f>IF(B165&lt;PT+1,VLOOKUP(B165,'Pre-Calculation'!$H$1:$L$32,3,FALSE)+VLOOKUP(B165,'Pre-Calculation'!$H$1:$L$32,4,FALSE)*'Pre-Calculation'!$D$7,0)</f>
        <v>0</v>
      </c>
      <c r="H165" s="175">
        <f>(E165-(F165+G165)*(1+Tax)+N164)</f>
        <v>1539888.05</v>
      </c>
      <c r="I165" s="175">
        <f>IF(B165&lt;PT+1,VLOOKUP(D165,'Pre-Calculation'!$N$3:$P$79,IF(INPUT!$C$4="M",2,3),FALSE)*(J165/1000)*(1/12),0)</f>
        <v>0</v>
      </c>
      <c r="J165" s="175">
        <f t="shared" si="3"/>
        <v>140111.9496</v>
      </c>
      <c r="K165" s="175">
        <f>IF('Pre-Calculation'!$D$17="Type 4 a",MAX(SA,H165,1.05*Q165),IF('Pre-Calculation'!$D$17="Type 4 c",H165,IF('Pre-Calculation'!$D$17="Type 4 d",SA+H165,IF('Pre-Calculation'!$D$17="Type 4 e",MAX(SA,H165),IF('Pre-Calculation'!$D$17="Type 4 f",SA,IF('Pre-Calculation'!$D$17="Type 4 g",1000+H165,IF('Pre-Calculation'!$D$17="Type 4 h",SA+X165,IF('Pre-Calculation'!$D$17="Type 4 i",MAX(H165,Q165),IF('Pre-Calculation'!$D$17="Type 4 k",MAX(H165,1.01*Q165),IF('Pre-Calculation'!$D$17="Type 4 m",MAX(105%*Q165,SA+H165),IF('Pre-Calculation'!$D$17="Type 4 o",MAX(SA,105%*Q165)+X165+Z165,IF('Pre-Calculation'!$D$17="Type 5",0))))))))))))</f>
        <v>1680000</v>
      </c>
      <c r="L165" s="175">
        <f>H165-I165*(1+Tax)</f>
        <v>1539888.05</v>
      </c>
      <c r="M165" s="175">
        <f>L165*(1+GROWTH_RATE_H)*(1-FMC*(1+Tax))</f>
        <v>1547739.502</v>
      </c>
      <c r="N165" s="175">
        <f>M165+IF(MOD(A165,B165)=0,VLOOKUP(B165,'Pre-Calculation'!$H$1:$L$31,5,FALSE),0)*IF('Pre-Calculation'!$D$16="% OF FV",M165,IF(OR('Pre-Calculation'!$D$16="% OF AFV(24M)",'Pre-Calculation'!$D$16="% OF AFV(8Q)"),AVERAGE( $M142:$M165),IF('Pre-Calculation'!$D$16="% OF AFV(12M)",AVERAGE($M154:M165),IF('Pre-Calculation'!$D$16="% OF AFV(36M)",AVERAGE($M130:M165)))))</f>
        <v>1547739.502</v>
      </c>
      <c r="O165" s="175">
        <f t="shared" si="4"/>
        <v>1547739.502</v>
      </c>
      <c r="P165" s="175">
        <f>IF('Pre-Calculation'!$D$17="Type 4 a",MAX(SA,N165,1.05*Q165),IF('Pre-Calculation'!$D$17="Type 4 c",N165,IF('Pre-Calculation'!$D$17="Type 4 d",SA+N165,IF('Pre-Calculation'!$D$17="Type 4 e",MAX(SA,N165),IF('Pre-Calculation'!$D$17="Type 4 f",SA,IF('Pre-Calculation'!$D$17="Type 4 g",1000+N165,IF('Pre-Calculation'!$D$17="Type 4 h",SA+X165,IF('Pre-Calculation'!$D$17="Type 4 i",MAX(N165,Q165),IF('Pre-Calculation'!$D$17="Type 4 k",MAX(N165,1.01*Q165),IF('Pre-Calculation'!$D$17="Type 4 m",MAX(105%*Q165,SA+N165),IF('Pre-Calculation'!$D$17="Type 4 o",MAX(SA,105%*Q165)+X165+Z165,IF('Pre-Calculation'!$D$17="Type 5",0))))))))))))</f>
        <v>1680000</v>
      </c>
      <c r="Q165" s="175">
        <f t="shared" si="5"/>
        <v>1600000</v>
      </c>
      <c r="R165" s="119">
        <f>L165*(1+GROWTH_RATE)*FMC</f>
        <v>1742.572049</v>
      </c>
      <c r="S165" s="178">
        <f>S164*(1+'Pre-Calculation'!$E$27)</f>
        <v>1025352.02</v>
      </c>
      <c r="T165" s="175">
        <f>-E165+IF(A164=INPUT!$C$11*12,N165,0)</f>
        <v>0</v>
      </c>
      <c r="U165" s="175">
        <f t="shared" si="6"/>
        <v>1660310.778</v>
      </c>
      <c r="V165" s="175">
        <f>U165*(1+GROWTH_RATE_H)*(1-'Pre-Calculation'!$E$31)</f>
        <v>1668210.522</v>
      </c>
      <c r="W165" s="175">
        <f>-E165+IF(A164=INPUT!$C$11*12,V165,0)</f>
        <v>0</v>
      </c>
      <c r="X165" s="179">
        <f t="array" ref="X165">NPV('Pre-Calculation'!$E$20,$E166:E$246)</f>
        <v>0</v>
      </c>
      <c r="Y165" s="171">
        <f>10%*SA</f>
        <v>100000</v>
      </c>
      <c r="Z165" s="179">
        <f t="array" ref="Z165">NPV('Pre-Calculation'!$E$20,Y166:Y175)</f>
        <v>969592.8037</v>
      </c>
    </row>
    <row r="166" ht="15.75" customHeight="1">
      <c r="A166" s="171">
        <f t="shared" si="1"/>
        <v>160</v>
      </c>
      <c r="B166" s="171">
        <f t="shared" si="2"/>
        <v>14</v>
      </c>
      <c r="C166" s="176">
        <f>EDATE(RCD,A165)</f>
        <v>47391</v>
      </c>
      <c r="D166" s="171">
        <f>Age_At_Entry+'Cashflows_8% from Start'!B166-1</f>
        <v>48</v>
      </c>
      <c r="E166" s="175">
        <f>IF(AND(C166&lt;=Last_Prem,MOD(A165,Mode)=0),Mod_Prem,0)</f>
        <v>0</v>
      </c>
      <c r="F166" s="177">
        <f>E166*VLOOKUP(B166,'Pre-Calculation'!$H$1:$I$31,2,FALSE)</f>
        <v>0</v>
      </c>
      <c r="G166" s="177">
        <f>IF(B166&lt;PT+1,VLOOKUP(B166,'Pre-Calculation'!$H$1:$L$32,3,FALSE)+VLOOKUP(B166,'Pre-Calculation'!$H$1:$L$32,4,FALSE)*'Pre-Calculation'!$D$7,0)</f>
        <v>0</v>
      </c>
      <c r="H166" s="175">
        <f>(E166-(F166+G166)*(1+Tax)+N165)</f>
        <v>1547739.502</v>
      </c>
      <c r="I166" s="175">
        <f>IF(B166&lt;PT+1,VLOOKUP(D166,'Pre-Calculation'!$N$3:$P$79,IF(INPUT!$C$4="M",2,3),FALSE)*(J166/1000)*(1/12),0)</f>
        <v>0</v>
      </c>
      <c r="J166" s="175">
        <f t="shared" si="3"/>
        <v>132260.4985</v>
      </c>
      <c r="K166" s="175">
        <f>IF('Pre-Calculation'!$D$17="Type 4 a",MAX(SA,H166,1.05*Q166),IF('Pre-Calculation'!$D$17="Type 4 c",H166,IF('Pre-Calculation'!$D$17="Type 4 d",SA+H166,IF('Pre-Calculation'!$D$17="Type 4 e",MAX(SA,H166),IF('Pre-Calculation'!$D$17="Type 4 f",SA,IF('Pre-Calculation'!$D$17="Type 4 g",1000+H166,IF('Pre-Calculation'!$D$17="Type 4 h",SA+X166,IF('Pre-Calculation'!$D$17="Type 4 i",MAX(H166,Q166),IF('Pre-Calculation'!$D$17="Type 4 k",MAX(H166,1.01*Q166),IF('Pre-Calculation'!$D$17="Type 4 m",MAX(105%*Q166,SA+H166),IF('Pre-Calculation'!$D$17="Type 4 o",MAX(SA,105%*Q166)+X166+Z166,IF('Pre-Calculation'!$D$17="Type 5",0))))))))))))</f>
        <v>1680000</v>
      </c>
      <c r="L166" s="175">
        <f>H166-I166*(1+Tax)</f>
        <v>1547739.502</v>
      </c>
      <c r="M166" s="175">
        <f>L166*(1+GROWTH_RATE_H)*(1-FMC*(1+Tax))</f>
        <v>1555630.985</v>
      </c>
      <c r="N166" s="175">
        <f>M166+IF(MOD(A166,B166)=0,VLOOKUP(B166,'Pre-Calculation'!$H$1:$L$31,5,FALSE),0)*IF('Pre-Calculation'!$D$16="% OF FV",M166,IF(OR('Pre-Calculation'!$D$16="% OF AFV(24M)",'Pre-Calculation'!$D$16="% OF AFV(8Q)"),AVERAGE( $M143:$M166),IF('Pre-Calculation'!$D$16="% OF AFV(12M)",AVERAGE($M155:M166),IF('Pre-Calculation'!$D$16="% OF AFV(36M)",AVERAGE($M131:M166)))))</f>
        <v>1555630.985</v>
      </c>
      <c r="O166" s="175">
        <f t="shared" si="4"/>
        <v>1555630.985</v>
      </c>
      <c r="P166" s="175">
        <f>IF('Pre-Calculation'!$D$17="Type 4 a",MAX(SA,N166,1.05*Q166),IF('Pre-Calculation'!$D$17="Type 4 c",N166,IF('Pre-Calculation'!$D$17="Type 4 d",SA+N166,IF('Pre-Calculation'!$D$17="Type 4 e",MAX(SA,N166),IF('Pre-Calculation'!$D$17="Type 4 f",SA,IF('Pre-Calculation'!$D$17="Type 4 g",1000+N166,IF('Pre-Calculation'!$D$17="Type 4 h",SA+X166,IF('Pre-Calculation'!$D$17="Type 4 i",MAX(N166,Q166),IF('Pre-Calculation'!$D$17="Type 4 k",MAX(N166,1.01*Q166),IF('Pre-Calculation'!$D$17="Type 4 m",MAX(105%*Q166,SA+N166),IF('Pre-Calculation'!$D$17="Type 4 o",MAX(SA,105%*Q166)+X166+Z166,IF('Pre-Calculation'!$D$17="Type 5",0))))))))))))</f>
        <v>1680000</v>
      </c>
      <c r="Q166" s="175">
        <f t="shared" si="5"/>
        <v>1600000</v>
      </c>
      <c r="R166" s="119">
        <f>L166*(1+GROWTH_RATE)*FMC</f>
        <v>1751.456928</v>
      </c>
      <c r="S166" s="178">
        <f>S165*(1+'Pre-Calculation'!$E$27)</f>
        <v>1028295.702</v>
      </c>
      <c r="T166" s="175">
        <f>-E166+IF(A165=INPUT!$C$11*12,N166,0)</f>
        <v>0</v>
      </c>
      <c r="U166" s="175">
        <f t="shared" si="6"/>
        <v>1668210.522</v>
      </c>
      <c r="V166" s="175">
        <f>U166*(1+GROWTH_RATE_H)*(1-'Pre-Calculation'!$E$31)</f>
        <v>1676147.853</v>
      </c>
      <c r="W166" s="175">
        <f>-E166+IF(A165=INPUT!$C$11*12,V166,0)</f>
        <v>0</v>
      </c>
      <c r="X166" s="179">
        <f t="array" ref="X166">NPV('Pre-Calculation'!$E$20,$E167:E$246)</f>
        <v>0</v>
      </c>
      <c r="Y166" s="171">
        <f>10%*SA</f>
        <v>100000</v>
      </c>
      <c r="Z166" s="179">
        <f t="array" ref="Z166">NPV('Pre-Calculation'!$E$20,Y167:Y176)</f>
        <v>969592.8037</v>
      </c>
    </row>
    <row r="167" ht="15.75" customHeight="1">
      <c r="A167" s="171">
        <f t="shared" si="1"/>
        <v>161</v>
      </c>
      <c r="B167" s="171">
        <f t="shared" si="2"/>
        <v>14</v>
      </c>
      <c r="C167" s="176">
        <f>EDATE(RCD,A166)</f>
        <v>47421</v>
      </c>
      <c r="D167" s="171">
        <f>Age_At_Entry+'Cashflows_8% from Start'!B167-1</f>
        <v>48</v>
      </c>
      <c r="E167" s="175">
        <f>IF(AND(C167&lt;=Last_Prem,MOD(A166,Mode)=0),Mod_Prem,0)</f>
        <v>0</v>
      </c>
      <c r="F167" s="177">
        <f>E167*VLOOKUP(B167,'Pre-Calculation'!$H$1:$I$31,2,FALSE)</f>
        <v>0</v>
      </c>
      <c r="G167" s="177">
        <f>IF(B167&lt;PT+1,VLOOKUP(B167,'Pre-Calculation'!$H$1:$L$32,3,FALSE)+VLOOKUP(B167,'Pre-Calculation'!$H$1:$L$32,4,FALSE)*'Pre-Calculation'!$D$7,0)</f>
        <v>0</v>
      </c>
      <c r="H167" s="175">
        <f>(E167-(F167+G167)*(1+Tax)+N166)</f>
        <v>1555630.985</v>
      </c>
      <c r="I167" s="175">
        <f>IF(B167&lt;PT+1,VLOOKUP(D167,'Pre-Calculation'!$N$3:$P$79,IF(INPUT!$C$4="M",2,3),FALSE)*(J167/1000)*(1/12),0)</f>
        <v>0</v>
      </c>
      <c r="J167" s="175">
        <f t="shared" si="3"/>
        <v>124369.0151</v>
      </c>
      <c r="K167" s="175">
        <f>IF('Pre-Calculation'!$D$17="Type 4 a",MAX(SA,H167,1.05*Q167),IF('Pre-Calculation'!$D$17="Type 4 c",H167,IF('Pre-Calculation'!$D$17="Type 4 d",SA+H167,IF('Pre-Calculation'!$D$17="Type 4 e",MAX(SA,H167),IF('Pre-Calculation'!$D$17="Type 4 f",SA,IF('Pre-Calculation'!$D$17="Type 4 g",1000+H167,IF('Pre-Calculation'!$D$17="Type 4 h",SA+X167,IF('Pre-Calculation'!$D$17="Type 4 i",MAX(H167,Q167),IF('Pre-Calculation'!$D$17="Type 4 k",MAX(H167,1.01*Q167),IF('Pre-Calculation'!$D$17="Type 4 m",MAX(105%*Q167,SA+H167),IF('Pre-Calculation'!$D$17="Type 4 o",MAX(SA,105%*Q167)+X167+Z167,IF('Pre-Calculation'!$D$17="Type 5",0))))))))))))</f>
        <v>1680000</v>
      </c>
      <c r="L167" s="175">
        <f>H167-I167*(1+Tax)</f>
        <v>1555630.985</v>
      </c>
      <c r="M167" s="175">
        <f>L167*(1+GROWTH_RATE_H)*(1-FMC*(1+Tax))</f>
        <v>1563562.705</v>
      </c>
      <c r="N167" s="175">
        <f>M167+IF(MOD(A167,B167)=0,VLOOKUP(B167,'Pre-Calculation'!$H$1:$L$31,5,FALSE),0)*IF('Pre-Calculation'!$D$16="% OF FV",M167,IF(OR('Pre-Calculation'!$D$16="% OF AFV(24M)",'Pre-Calculation'!$D$16="% OF AFV(8Q)"),AVERAGE( $M144:$M167),IF('Pre-Calculation'!$D$16="% OF AFV(12M)",AVERAGE($M156:M167),IF('Pre-Calculation'!$D$16="% OF AFV(36M)",AVERAGE($M132:M167)))))</f>
        <v>1563562.705</v>
      </c>
      <c r="O167" s="175">
        <f t="shared" si="4"/>
        <v>1563562.705</v>
      </c>
      <c r="P167" s="175">
        <f>IF('Pre-Calculation'!$D$17="Type 4 a",MAX(SA,N167,1.05*Q167),IF('Pre-Calculation'!$D$17="Type 4 c",N167,IF('Pre-Calculation'!$D$17="Type 4 d",SA+N167,IF('Pre-Calculation'!$D$17="Type 4 e",MAX(SA,N167),IF('Pre-Calculation'!$D$17="Type 4 f",SA,IF('Pre-Calculation'!$D$17="Type 4 g",1000+N167,IF('Pre-Calculation'!$D$17="Type 4 h",SA+X167,IF('Pre-Calculation'!$D$17="Type 4 i",MAX(N167,Q167),IF('Pre-Calculation'!$D$17="Type 4 k",MAX(N167,1.01*Q167),IF('Pre-Calculation'!$D$17="Type 4 m",MAX(105%*Q167,SA+N167),IF('Pre-Calculation'!$D$17="Type 4 o",MAX(SA,105%*Q167)+X167+Z167,IF('Pre-Calculation'!$D$17="Type 5",0))))))))))))</f>
        <v>1680000</v>
      </c>
      <c r="Q167" s="175">
        <f t="shared" si="5"/>
        <v>1600000</v>
      </c>
      <c r="R167" s="119">
        <f>L167*(1+GROWTH_RATE)*FMC</f>
        <v>1760.387109</v>
      </c>
      <c r="S167" s="178">
        <f>S166*(1+'Pre-Calculation'!$E$27)</f>
        <v>1031247.835</v>
      </c>
      <c r="T167" s="175">
        <f>-E167+IF(A166=INPUT!$C$11*12,N167,0)</f>
        <v>0</v>
      </c>
      <c r="U167" s="175">
        <f t="shared" si="6"/>
        <v>1676147.853</v>
      </c>
      <c r="V167" s="175">
        <f>U167*(1+GROWTH_RATE_H)*(1-'Pre-Calculation'!$E$31)</f>
        <v>1684122.95</v>
      </c>
      <c r="W167" s="175">
        <f>-E167+IF(A166=INPUT!$C$11*12,V167,0)</f>
        <v>0</v>
      </c>
      <c r="X167" s="179">
        <f t="array" ref="X167">NPV('Pre-Calculation'!$E$20,$E168:E$246)</f>
        <v>0</v>
      </c>
      <c r="Y167" s="171">
        <f>10%*SA</f>
        <v>100000</v>
      </c>
      <c r="Z167" s="179">
        <f t="array" ref="Z167">NPV('Pre-Calculation'!$E$20,Y168:Y177)</f>
        <v>969592.8037</v>
      </c>
    </row>
    <row r="168" ht="15.75" customHeight="1">
      <c r="A168" s="171">
        <f t="shared" si="1"/>
        <v>162</v>
      </c>
      <c r="B168" s="171">
        <f t="shared" si="2"/>
        <v>14</v>
      </c>
      <c r="C168" s="176">
        <f>EDATE(RCD,A167)</f>
        <v>47452</v>
      </c>
      <c r="D168" s="171">
        <f>Age_At_Entry+'Cashflows_8% from Start'!B168-1</f>
        <v>48</v>
      </c>
      <c r="E168" s="175">
        <f>IF(AND(C168&lt;=Last_Prem,MOD(A167,Mode)=0),Mod_Prem,0)</f>
        <v>0</v>
      </c>
      <c r="F168" s="177">
        <f>E168*VLOOKUP(B168,'Pre-Calculation'!$H$1:$I$31,2,FALSE)</f>
        <v>0</v>
      </c>
      <c r="G168" s="177">
        <f>IF(B168&lt;PT+1,VLOOKUP(B168,'Pre-Calculation'!$H$1:$L$32,3,FALSE)+VLOOKUP(B168,'Pre-Calculation'!$H$1:$L$32,4,FALSE)*'Pre-Calculation'!$D$7,0)</f>
        <v>0</v>
      </c>
      <c r="H168" s="175">
        <f>(E168-(F168+G168)*(1+Tax)+N167)</f>
        <v>1563562.705</v>
      </c>
      <c r="I168" s="175">
        <f>IF(B168&lt;PT+1,VLOOKUP(D168,'Pre-Calculation'!$N$3:$P$79,IF(INPUT!$C$4="M",2,3),FALSE)*(J168/1000)*(1/12),0)</f>
        <v>0</v>
      </c>
      <c r="J168" s="175">
        <f t="shared" si="3"/>
        <v>116437.2953</v>
      </c>
      <c r="K168" s="175">
        <f>IF('Pre-Calculation'!$D$17="Type 4 a",MAX(SA,H168,1.05*Q168),IF('Pre-Calculation'!$D$17="Type 4 c",H168,IF('Pre-Calculation'!$D$17="Type 4 d",SA+H168,IF('Pre-Calculation'!$D$17="Type 4 e",MAX(SA,H168),IF('Pre-Calculation'!$D$17="Type 4 f",SA,IF('Pre-Calculation'!$D$17="Type 4 g",1000+H168,IF('Pre-Calculation'!$D$17="Type 4 h",SA+X168,IF('Pre-Calculation'!$D$17="Type 4 i",MAX(H168,Q168),IF('Pre-Calculation'!$D$17="Type 4 k",MAX(H168,1.01*Q168),IF('Pre-Calculation'!$D$17="Type 4 m",MAX(105%*Q168,SA+H168),IF('Pre-Calculation'!$D$17="Type 4 o",MAX(SA,105%*Q168)+X168+Z168,IF('Pre-Calculation'!$D$17="Type 5",0))))))))))))</f>
        <v>1680000</v>
      </c>
      <c r="L168" s="175">
        <f>H168-I168*(1+Tax)</f>
        <v>1563562.705</v>
      </c>
      <c r="M168" s="175">
        <f>L168*(1+GROWTH_RATE_H)*(1-FMC*(1+Tax))</f>
        <v>1571534.866</v>
      </c>
      <c r="N168" s="175">
        <f>M168+IF(MOD(A168,B168)=0,VLOOKUP(B168,'Pre-Calculation'!$H$1:$L$31,5,FALSE),0)*IF('Pre-Calculation'!$D$16="% OF FV",M168,IF(OR('Pre-Calculation'!$D$16="% OF AFV(24M)",'Pre-Calculation'!$D$16="% OF AFV(8Q)"),AVERAGE( $M145:$M168),IF('Pre-Calculation'!$D$16="% OF AFV(12M)",AVERAGE($M157:M168),IF('Pre-Calculation'!$D$16="% OF AFV(36M)",AVERAGE($M133:M168)))))</f>
        <v>1571534.866</v>
      </c>
      <c r="O168" s="175">
        <f t="shared" si="4"/>
        <v>1571534.866</v>
      </c>
      <c r="P168" s="175">
        <f>IF('Pre-Calculation'!$D$17="Type 4 a",MAX(SA,N168,1.05*Q168),IF('Pre-Calculation'!$D$17="Type 4 c",N168,IF('Pre-Calculation'!$D$17="Type 4 d",SA+N168,IF('Pre-Calculation'!$D$17="Type 4 e",MAX(SA,N168),IF('Pre-Calculation'!$D$17="Type 4 f",SA,IF('Pre-Calculation'!$D$17="Type 4 g",1000+N168,IF('Pre-Calculation'!$D$17="Type 4 h",SA+X168,IF('Pre-Calculation'!$D$17="Type 4 i",MAX(N168,Q168),IF('Pre-Calculation'!$D$17="Type 4 k",MAX(N168,1.01*Q168),IF('Pre-Calculation'!$D$17="Type 4 m",MAX(105%*Q168,SA+N168),IF('Pre-Calculation'!$D$17="Type 4 o",MAX(SA,105%*Q168)+X168+Z168,IF('Pre-Calculation'!$D$17="Type 5",0))))))))))))</f>
        <v>1680000</v>
      </c>
      <c r="Q168" s="175">
        <f t="shared" si="5"/>
        <v>1600000</v>
      </c>
      <c r="R168" s="119">
        <f>L168*(1+GROWTH_RATE)*FMC</f>
        <v>1769.362822</v>
      </c>
      <c r="S168" s="178">
        <f>S167*(1+'Pre-Calculation'!$E$27)</f>
        <v>1034208.443</v>
      </c>
      <c r="T168" s="175">
        <f>-E168+IF(A167=INPUT!$C$11*12,N168,0)</f>
        <v>0</v>
      </c>
      <c r="U168" s="175">
        <f t="shared" si="6"/>
        <v>1684122.95</v>
      </c>
      <c r="V168" s="175">
        <f>U168*(1+GROWTH_RATE_H)*(1-'Pre-Calculation'!$E$31)</f>
        <v>1692135.992</v>
      </c>
      <c r="W168" s="175">
        <f>-E168+IF(A167=INPUT!$C$11*12,V168,0)</f>
        <v>0</v>
      </c>
      <c r="X168" s="179">
        <f t="array" ref="X168">NPV('Pre-Calculation'!$E$20,$E169:E$246)</f>
        <v>0</v>
      </c>
      <c r="Y168" s="171">
        <f>10%*SA</f>
        <v>100000</v>
      </c>
      <c r="Z168" s="179">
        <f t="array" ref="Z168">NPV('Pre-Calculation'!$E$20,Y169:Y178)</f>
        <v>969592.8037</v>
      </c>
    </row>
    <row r="169" ht="15.75" customHeight="1">
      <c r="A169" s="171">
        <f t="shared" si="1"/>
        <v>163</v>
      </c>
      <c r="B169" s="171">
        <f t="shared" si="2"/>
        <v>14</v>
      </c>
      <c r="C169" s="176">
        <f>EDATE(RCD,A168)</f>
        <v>47482</v>
      </c>
      <c r="D169" s="171">
        <f>Age_At_Entry+'Cashflows_8% from Start'!B169-1</f>
        <v>48</v>
      </c>
      <c r="E169" s="175">
        <f>IF(AND(C169&lt;=Last_Prem,MOD(A168,Mode)=0),Mod_Prem,0)</f>
        <v>0</v>
      </c>
      <c r="F169" s="177">
        <f>E169*VLOOKUP(B169,'Pre-Calculation'!$H$1:$I$31,2,FALSE)</f>
        <v>0</v>
      </c>
      <c r="G169" s="177">
        <f>IF(B169&lt;PT+1,VLOOKUP(B169,'Pre-Calculation'!$H$1:$L$32,3,FALSE)+VLOOKUP(B169,'Pre-Calculation'!$H$1:$L$32,4,FALSE)*'Pre-Calculation'!$D$7,0)</f>
        <v>0</v>
      </c>
      <c r="H169" s="175">
        <f>(E169-(F169+G169)*(1+Tax)+N168)</f>
        <v>1571534.866</v>
      </c>
      <c r="I169" s="175">
        <f>IF(B169&lt;PT+1,VLOOKUP(D169,'Pre-Calculation'!$N$3:$P$79,IF(INPUT!$C$4="M",2,3),FALSE)*(J169/1000)*(1/12),0)</f>
        <v>0</v>
      </c>
      <c r="J169" s="175">
        <f t="shared" si="3"/>
        <v>108465.1339</v>
      </c>
      <c r="K169" s="175">
        <f>IF('Pre-Calculation'!$D$17="Type 4 a",MAX(SA,H169,1.05*Q169),IF('Pre-Calculation'!$D$17="Type 4 c",H169,IF('Pre-Calculation'!$D$17="Type 4 d",SA+H169,IF('Pre-Calculation'!$D$17="Type 4 e",MAX(SA,H169),IF('Pre-Calculation'!$D$17="Type 4 f",SA,IF('Pre-Calculation'!$D$17="Type 4 g",1000+H169,IF('Pre-Calculation'!$D$17="Type 4 h",SA+X169,IF('Pre-Calculation'!$D$17="Type 4 i",MAX(H169,Q169),IF('Pre-Calculation'!$D$17="Type 4 k",MAX(H169,1.01*Q169),IF('Pre-Calculation'!$D$17="Type 4 m",MAX(105%*Q169,SA+H169),IF('Pre-Calculation'!$D$17="Type 4 o",MAX(SA,105%*Q169)+X169+Z169,IF('Pre-Calculation'!$D$17="Type 5",0))))))))))))</f>
        <v>1680000</v>
      </c>
      <c r="L169" s="175">
        <f>H169-I169*(1+Tax)</f>
        <v>1571534.866</v>
      </c>
      <c r="M169" s="175">
        <f>L169*(1+GROWTH_RATE_H)*(1-FMC*(1+Tax))</f>
        <v>1579547.675</v>
      </c>
      <c r="N169" s="175">
        <f>M169+IF(MOD(A169,B169)=0,VLOOKUP(B169,'Pre-Calculation'!$H$1:$L$31,5,FALSE),0)*IF('Pre-Calculation'!$D$16="% OF FV",M169,IF(OR('Pre-Calculation'!$D$16="% OF AFV(24M)",'Pre-Calculation'!$D$16="% OF AFV(8Q)"),AVERAGE( $M146:$M169),IF('Pre-Calculation'!$D$16="% OF AFV(12M)",AVERAGE($M158:M169),IF('Pre-Calculation'!$D$16="% OF AFV(36M)",AVERAGE($M134:M169)))))</f>
        <v>1579547.675</v>
      </c>
      <c r="O169" s="175">
        <f t="shared" si="4"/>
        <v>1579547.675</v>
      </c>
      <c r="P169" s="175">
        <f>IF('Pre-Calculation'!$D$17="Type 4 a",MAX(SA,N169,1.05*Q169),IF('Pre-Calculation'!$D$17="Type 4 c",N169,IF('Pre-Calculation'!$D$17="Type 4 d",SA+N169,IF('Pre-Calculation'!$D$17="Type 4 e",MAX(SA,N169),IF('Pre-Calculation'!$D$17="Type 4 f",SA,IF('Pre-Calculation'!$D$17="Type 4 g",1000+N169,IF('Pre-Calculation'!$D$17="Type 4 h",SA+X169,IF('Pre-Calculation'!$D$17="Type 4 i",MAX(N169,Q169),IF('Pre-Calculation'!$D$17="Type 4 k",MAX(N169,1.01*Q169),IF('Pre-Calculation'!$D$17="Type 4 m",MAX(105%*Q169,SA+N169),IF('Pre-Calculation'!$D$17="Type 4 o",MAX(SA,105%*Q169)+X169+Z169,IF('Pre-Calculation'!$D$17="Type 5",0))))))))))))</f>
        <v>1680000</v>
      </c>
      <c r="Q169" s="175">
        <f t="shared" si="5"/>
        <v>1600000</v>
      </c>
      <c r="R169" s="119">
        <f>L169*(1+GROWTH_RATE)*FMC</f>
        <v>1778.384299</v>
      </c>
      <c r="S169" s="178">
        <f>S168*(1+'Pre-Calculation'!$E$27)</f>
        <v>1037177.551</v>
      </c>
      <c r="T169" s="175">
        <f>-E169+IF(A168=INPUT!$C$11*12,N169,0)</f>
        <v>0</v>
      </c>
      <c r="U169" s="175">
        <f t="shared" si="6"/>
        <v>1692135.992</v>
      </c>
      <c r="V169" s="175">
        <f>U169*(1+GROWTH_RATE_H)*(1-'Pre-Calculation'!$E$31)</f>
        <v>1700187.16</v>
      </c>
      <c r="W169" s="175">
        <f>-E169+IF(A168=INPUT!$C$11*12,V169,0)</f>
        <v>0</v>
      </c>
      <c r="X169" s="179">
        <f t="array" ref="X169">NPV('Pre-Calculation'!$E$20,$E170:E$246)</f>
        <v>0</v>
      </c>
      <c r="Y169" s="171">
        <f>10%*SA</f>
        <v>100000</v>
      </c>
      <c r="Z169" s="179">
        <f t="array" ref="Z169">NPV('Pre-Calculation'!$E$20,Y170:Y179)</f>
        <v>969592.8037</v>
      </c>
    </row>
    <row r="170" ht="15.75" customHeight="1">
      <c r="A170" s="171">
        <f t="shared" si="1"/>
        <v>164</v>
      </c>
      <c r="B170" s="171">
        <f t="shared" si="2"/>
        <v>14</v>
      </c>
      <c r="C170" s="176">
        <f>EDATE(RCD,A169)</f>
        <v>47513</v>
      </c>
      <c r="D170" s="171">
        <f>Age_At_Entry+'Cashflows_8% from Start'!B170-1</f>
        <v>48</v>
      </c>
      <c r="E170" s="175">
        <f>IF(AND(C170&lt;=Last_Prem,MOD(A169,Mode)=0),Mod_Prem,0)</f>
        <v>0</v>
      </c>
      <c r="F170" s="177">
        <f>E170*VLOOKUP(B170,'Pre-Calculation'!$H$1:$I$31,2,FALSE)</f>
        <v>0</v>
      </c>
      <c r="G170" s="177">
        <f>IF(B170&lt;PT+1,VLOOKUP(B170,'Pre-Calculation'!$H$1:$L$32,3,FALSE)+VLOOKUP(B170,'Pre-Calculation'!$H$1:$L$32,4,FALSE)*'Pre-Calculation'!$D$7,0)</f>
        <v>0</v>
      </c>
      <c r="H170" s="175">
        <f>(E170-(F170+G170)*(1+Tax)+N169)</f>
        <v>1579547.675</v>
      </c>
      <c r="I170" s="175">
        <f>IF(B170&lt;PT+1,VLOOKUP(D170,'Pre-Calculation'!$N$3:$P$79,IF(INPUT!$C$4="M",2,3),FALSE)*(J170/1000)*(1/12),0)</f>
        <v>0</v>
      </c>
      <c r="J170" s="175">
        <f t="shared" si="3"/>
        <v>100452.3247</v>
      </c>
      <c r="K170" s="175">
        <f>IF('Pre-Calculation'!$D$17="Type 4 a",MAX(SA,H170,1.05*Q170),IF('Pre-Calculation'!$D$17="Type 4 c",H170,IF('Pre-Calculation'!$D$17="Type 4 d",SA+H170,IF('Pre-Calculation'!$D$17="Type 4 e",MAX(SA,H170),IF('Pre-Calculation'!$D$17="Type 4 f",SA,IF('Pre-Calculation'!$D$17="Type 4 g",1000+H170,IF('Pre-Calculation'!$D$17="Type 4 h",SA+X170,IF('Pre-Calculation'!$D$17="Type 4 i",MAX(H170,Q170),IF('Pre-Calculation'!$D$17="Type 4 k",MAX(H170,1.01*Q170),IF('Pre-Calculation'!$D$17="Type 4 m",MAX(105%*Q170,SA+H170),IF('Pre-Calculation'!$D$17="Type 4 o",MAX(SA,105%*Q170)+X170+Z170,IF('Pre-Calculation'!$D$17="Type 5",0))))))))))))</f>
        <v>1680000</v>
      </c>
      <c r="L170" s="175">
        <f>H170-I170*(1+Tax)</f>
        <v>1579547.675</v>
      </c>
      <c r="M170" s="175">
        <f>L170*(1+GROWTH_RATE_H)*(1-FMC*(1+Tax))</f>
        <v>1587601.339</v>
      </c>
      <c r="N170" s="175">
        <f>M170+IF(MOD(A170,B170)=0,VLOOKUP(B170,'Pre-Calculation'!$H$1:$L$31,5,FALSE),0)*IF('Pre-Calculation'!$D$16="% OF FV",M170,IF(OR('Pre-Calculation'!$D$16="% OF AFV(24M)",'Pre-Calculation'!$D$16="% OF AFV(8Q)"),AVERAGE( $M147:$M170),IF('Pre-Calculation'!$D$16="% OF AFV(12M)",AVERAGE($M159:M170),IF('Pre-Calculation'!$D$16="% OF AFV(36M)",AVERAGE($M135:M170)))))</f>
        <v>1587601.339</v>
      </c>
      <c r="O170" s="175">
        <f t="shared" si="4"/>
        <v>1587601.339</v>
      </c>
      <c r="P170" s="175">
        <f>IF('Pre-Calculation'!$D$17="Type 4 a",MAX(SA,N170,1.05*Q170),IF('Pre-Calculation'!$D$17="Type 4 c",N170,IF('Pre-Calculation'!$D$17="Type 4 d",SA+N170,IF('Pre-Calculation'!$D$17="Type 4 e",MAX(SA,N170),IF('Pre-Calculation'!$D$17="Type 4 f",SA,IF('Pre-Calculation'!$D$17="Type 4 g",1000+N170,IF('Pre-Calculation'!$D$17="Type 4 h",SA+X170,IF('Pre-Calculation'!$D$17="Type 4 i",MAX(N170,Q170),IF('Pre-Calculation'!$D$17="Type 4 k",MAX(N170,1.01*Q170),IF('Pre-Calculation'!$D$17="Type 4 m",MAX(105%*Q170,SA+N170),IF('Pre-Calculation'!$D$17="Type 4 o",MAX(SA,105%*Q170)+X170+Z170,IF('Pre-Calculation'!$D$17="Type 5",0))))))))))))</f>
        <v>1680000</v>
      </c>
      <c r="Q170" s="175">
        <f t="shared" si="5"/>
        <v>1600000</v>
      </c>
      <c r="R170" s="119">
        <f>L170*(1+GROWTH_RATE)*FMC</f>
        <v>1787.451775</v>
      </c>
      <c r="S170" s="178">
        <f>S169*(1+'Pre-Calculation'!$E$27)</f>
        <v>1040155.182</v>
      </c>
      <c r="T170" s="175">
        <f>-E170+IF(A169=INPUT!$C$11*12,N170,0)</f>
        <v>0</v>
      </c>
      <c r="U170" s="175">
        <f t="shared" si="6"/>
        <v>1700187.16</v>
      </c>
      <c r="V170" s="175">
        <f>U170*(1+GROWTH_RATE_H)*(1-'Pre-Calculation'!$E$31)</f>
        <v>1708276.636</v>
      </c>
      <c r="W170" s="175">
        <f>-E170+IF(A169=INPUT!$C$11*12,V170,0)</f>
        <v>0</v>
      </c>
      <c r="X170" s="179">
        <f t="array" ref="X170">NPV('Pre-Calculation'!$E$20,$E171:E$246)</f>
        <v>0</v>
      </c>
      <c r="Y170" s="171">
        <f>10%*SA</f>
        <v>100000</v>
      </c>
      <c r="Z170" s="179">
        <f t="array" ref="Z170">NPV('Pre-Calculation'!$E$20,Y171:Y180)</f>
        <v>969592.8037</v>
      </c>
    </row>
    <row r="171" ht="15.75" customHeight="1">
      <c r="A171" s="171">
        <f t="shared" si="1"/>
        <v>165</v>
      </c>
      <c r="B171" s="171">
        <f t="shared" si="2"/>
        <v>14</v>
      </c>
      <c r="C171" s="176">
        <f>EDATE(RCD,A170)</f>
        <v>47542</v>
      </c>
      <c r="D171" s="171">
        <f>Age_At_Entry+'Cashflows_8% from Start'!B171-1</f>
        <v>48</v>
      </c>
      <c r="E171" s="175">
        <f>IF(AND(C171&lt;=Last_Prem,MOD(A170,Mode)=0),Mod_Prem,0)</f>
        <v>0</v>
      </c>
      <c r="F171" s="177">
        <f>E171*VLOOKUP(B171,'Pre-Calculation'!$H$1:$I$31,2,FALSE)</f>
        <v>0</v>
      </c>
      <c r="G171" s="177">
        <f>IF(B171&lt;PT+1,VLOOKUP(B171,'Pre-Calculation'!$H$1:$L$32,3,FALSE)+VLOOKUP(B171,'Pre-Calculation'!$H$1:$L$32,4,FALSE)*'Pre-Calculation'!$D$7,0)</f>
        <v>0</v>
      </c>
      <c r="H171" s="175">
        <f>(E171-(F171+G171)*(1+Tax)+N170)</f>
        <v>1587601.339</v>
      </c>
      <c r="I171" s="175">
        <f>IF(B171&lt;PT+1,VLOOKUP(D171,'Pre-Calculation'!$N$3:$P$79,IF(INPUT!$C$4="M",2,3),FALSE)*(J171/1000)*(1/12),0)</f>
        <v>0</v>
      </c>
      <c r="J171" s="175">
        <f t="shared" si="3"/>
        <v>92398.66053</v>
      </c>
      <c r="K171" s="175">
        <f>IF('Pre-Calculation'!$D$17="Type 4 a",MAX(SA,H171,1.05*Q171),IF('Pre-Calculation'!$D$17="Type 4 c",H171,IF('Pre-Calculation'!$D$17="Type 4 d",SA+H171,IF('Pre-Calculation'!$D$17="Type 4 e",MAX(SA,H171),IF('Pre-Calculation'!$D$17="Type 4 f",SA,IF('Pre-Calculation'!$D$17="Type 4 g",1000+H171,IF('Pre-Calculation'!$D$17="Type 4 h",SA+X171,IF('Pre-Calculation'!$D$17="Type 4 i",MAX(H171,Q171),IF('Pre-Calculation'!$D$17="Type 4 k",MAX(H171,1.01*Q171),IF('Pre-Calculation'!$D$17="Type 4 m",MAX(105%*Q171,SA+H171),IF('Pre-Calculation'!$D$17="Type 4 o",MAX(SA,105%*Q171)+X171+Z171,IF('Pre-Calculation'!$D$17="Type 5",0))))))))))))</f>
        <v>1680000</v>
      </c>
      <c r="L171" s="175">
        <f>H171-I171*(1+Tax)</f>
        <v>1587601.339</v>
      </c>
      <c r="M171" s="175">
        <f>L171*(1+GROWTH_RATE_H)*(1-FMC*(1+Tax))</f>
        <v>1595696.067</v>
      </c>
      <c r="N171" s="175">
        <f>M171+IF(MOD(A171,B171)=0,VLOOKUP(B171,'Pre-Calculation'!$H$1:$L$31,5,FALSE),0)*IF('Pre-Calculation'!$D$16="% OF FV",M171,IF(OR('Pre-Calculation'!$D$16="% OF AFV(24M)",'Pre-Calculation'!$D$16="% OF AFV(8Q)"),AVERAGE( $M148:$M171),IF('Pre-Calculation'!$D$16="% OF AFV(12M)",AVERAGE($M160:M171),IF('Pre-Calculation'!$D$16="% OF AFV(36M)",AVERAGE($M136:M171)))))</f>
        <v>1595696.067</v>
      </c>
      <c r="O171" s="175">
        <f t="shared" si="4"/>
        <v>1595696.067</v>
      </c>
      <c r="P171" s="175">
        <f>IF('Pre-Calculation'!$D$17="Type 4 a",MAX(SA,N171,1.05*Q171),IF('Pre-Calculation'!$D$17="Type 4 c",N171,IF('Pre-Calculation'!$D$17="Type 4 d",SA+N171,IF('Pre-Calculation'!$D$17="Type 4 e",MAX(SA,N171),IF('Pre-Calculation'!$D$17="Type 4 f",SA,IF('Pre-Calculation'!$D$17="Type 4 g",1000+N171,IF('Pre-Calculation'!$D$17="Type 4 h",SA+X171,IF('Pre-Calculation'!$D$17="Type 4 i",MAX(N171,Q171),IF('Pre-Calculation'!$D$17="Type 4 k",MAX(N171,1.01*Q171),IF('Pre-Calculation'!$D$17="Type 4 m",MAX(105%*Q171,SA+N171),IF('Pre-Calculation'!$D$17="Type 4 o",MAX(SA,105%*Q171)+X171+Z171,IF('Pre-Calculation'!$D$17="Type 5",0))))))))))))</f>
        <v>1680000</v>
      </c>
      <c r="Q171" s="175">
        <f t="shared" si="5"/>
        <v>1600000</v>
      </c>
      <c r="R171" s="119">
        <f>L171*(1+GROWTH_RATE)*FMC</f>
        <v>1796.565483</v>
      </c>
      <c r="S171" s="178">
        <f>S170*(1+'Pre-Calculation'!$E$27)</f>
        <v>1043141.362</v>
      </c>
      <c r="T171" s="175">
        <f>-E171+IF(A170=INPUT!$C$11*12,N171,0)</f>
        <v>0</v>
      </c>
      <c r="U171" s="175">
        <f t="shared" si="6"/>
        <v>1708276.636</v>
      </c>
      <c r="V171" s="175">
        <f>U171*(1+GROWTH_RATE_H)*(1-'Pre-Calculation'!$E$31)</f>
        <v>1716404.601</v>
      </c>
      <c r="W171" s="175">
        <f>-E171+IF(A170=INPUT!$C$11*12,V171,0)</f>
        <v>0</v>
      </c>
      <c r="X171" s="179">
        <f t="array" ref="X171">NPV('Pre-Calculation'!$E$20,$E172:E$246)</f>
        <v>0</v>
      </c>
      <c r="Y171" s="171">
        <f>10%*SA</f>
        <v>100000</v>
      </c>
      <c r="Z171" s="179">
        <f t="array" ref="Z171">NPV('Pre-Calculation'!$E$20,Y172:Y181)</f>
        <v>969592.8037</v>
      </c>
    </row>
    <row r="172" ht="15.75" customHeight="1">
      <c r="A172" s="171">
        <f t="shared" si="1"/>
        <v>166</v>
      </c>
      <c r="B172" s="171">
        <f t="shared" si="2"/>
        <v>14</v>
      </c>
      <c r="C172" s="176">
        <f>EDATE(RCD,A171)</f>
        <v>47572</v>
      </c>
      <c r="D172" s="171">
        <f>Age_At_Entry+'Cashflows_8% from Start'!B172-1</f>
        <v>48</v>
      </c>
      <c r="E172" s="175">
        <f>IF(AND(C172&lt;=Last_Prem,MOD(A171,Mode)=0),Mod_Prem,0)</f>
        <v>0</v>
      </c>
      <c r="F172" s="177">
        <f>E172*VLOOKUP(B172,'Pre-Calculation'!$H$1:$I$31,2,FALSE)</f>
        <v>0</v>
      </c>
      <c r="G172" s="177">
        <f>IF(B172&lt;PT+1,VLOOKUP(B172,'Pre-Calculation'!$H$1:$L$32,3,FALSE)+VLOOKUP(B172,'Pre-Calculation'!$H$1:$L$32,4,FALSE)*'Pre-Calculation'!$D$7,0)</f>
        <v>0</v>
      </c>
      <c r="H172" s="175">
        <f>(E172-(F172+G172)*(1+Tax)+N171)</f>
        <v>1595696.067</v>
      </c>
      <c r="I172" s="175">
        <f>IF(B172&lt;PT+1,VLOOKUP(D172,'Pre-Calculation'!$N$3:$P$79,IF(INPUT!$C$4="M",2,3),FALSE)*(J172/1000)*(1/12),0)</f>
        <v>0</v>
      </c>
      <c r="J172" s="175">
        <f t="shared" si="3"/>
        <v>84303.93298</v>
      </c>
      <c r="K172" s="175">
        <f>IF('Pre-Calculation'!$D$17="Type 4 a",MAX(SA,H172,1.05*Q172),IF('Pre-Calculation'!$D$17="Type 4 c",H172,IF('Pre-Calculation'!$D$17="Type 4 d",SA+H172,IF('Pre-Calculation'!$D$17="Type 4 e",MAX(SA,H172),IF('Pre-Calculation'!$D$17="Type 4 f",SA,IF('Pre-Calculation'!$D$17="Type 4 g",1000+H172,IF('Pre-Calculation'!$D$17="Type 4 h",SA+X172,IF('Pre-Calculation'!$D$17="Type 4 i",MAX(H172,Q172),IF('Pre-Calculation'!$D$17="Type 4 k",MAX(H172,1.01*Q172),IF('Pre-Calculation'!$D$17="Type 4 m",MAX(105%*Q172,SA+H172),IF('Pre-Calculation'!$D$17="Type 4 o",MAX(SA,105%*Q172)+X172+Z172,IF('Pre-Calculation'!$D$17="Type 5",0))))))))))))</f>
        <v>1680000</v>
      </c>
      <c r="L172" s="175">
        <f>H172-I172*(1+Tax)</f>
        <v>1595696.067</v>
      </c>
      <c r="M172" s="175">
        <f>L172*(1+GROWTH_RATE_H)*(1-FMC*(1+Tax))</f>
        <v>1603832.067</v>
      </c>
      <c r="N172" s="175">
        <f>M172+IF(MOD(A172,B172)=0,VLOOKUP(B172,'Pre-Calculation'!$H$1:$L$31,5,FALSE),0)*IF('Pre-Calculation'!$D$16="% OF FV",M172,IF(OR('Pre-Calculation'!$D$16="% OF AFV(24M)",'Pre-Calculation'!$D$16="% OF AFV(8Q)"),AVERAGE( $M149:$M172),IF('Pre-Calculation'!$D$16="% OF AFV(12M)",AVERAGE($M161:M172),IF('Pre-Calculation'!$D$16="% OF AFV(36M)",AVERAGE($M137:M172)))))</f>
        <v>1603832.067</v>
      </c>
      <c r="O172" s="175">
        <f t="shared" si="4"/>
        <v>1603832.067</v>
      </c>
      <c r="P172" s="175">
        <f>IF('Pre-Calculation'!$D$17="Type 4 a",MAX(SA,N172,1.05*Q172),IF('Pre-Calculation'!$D$17="Type 4 c",N172,IF('Pre-Calculation'!$D$17="Type 4 d",SA+N172,IF('Pre-Calculation'!$D$17="Type 4 e",MAX(SA,N172),IF('Pre-Calculation'!$D$17="Type 4 f",SA,IF('Pre-Calculation'!$D$17="Type 4 g",1000+N172,IF('Pre-Calculation'!$D$17="Type 4 h",SA+X172,IF('Pre-Calculation'!$D$17="Type 4 i",MAX(N172,Q172),IF('Pre-Calculation'!$D$17="Type 4 k",MAX(N172,1.01*Q172),IF('Pre-Calculation'!$D$17="Type 4 m",MAX(105%*Q172,SA+N172),IF('Pre-Calculation'!$D$17="Type 4 o",MAX(SA,105%*Q172)+X172+Z172,IF('Pre-Calculation'!$D$17="Type 5",0))))))))))))</f>
        <v>1680000</v>
      </c>
      <c r="Q172" s="175">
        <f t="shared" si="5"/>
        <v>1600000</v>
      </c>
      <c r="R172" s="119">
        <f>L172*(1+GROWTH_RATE)*FMC</f>
        <v>1805.725659</v>
      </c>
      <c r="S172" s="178">
        <f>S171*(1+'Pre-Calculation'!$E$27)</f>
        <v>1046136.116</v>
      </c>
      <c r="T172" s="175">
        <f>-E172+IF(A171=INPUT!$C$11*12,N172,0)</f>
        <v>0</v>
      </c>
      <c r="U172" s="175">
        <f t="shared" si="6"/>
        <v>1716404.601</v>
      </c>
      <c r="V172" s="175">
        <f>U172*(1+GROWTH_RATE_H)*(1-'Pre-Calculation'!$E$31)</f>
        <v>1724571.239</v>
      </c>
      <c r="W172" s="175">
        <f>-E172+IF(A171=INPUT!$C$11*12,V172,0)</f>
        <v>0</v>
      </c>
      <c r="X172" s="179">
        <f t="array" ref="X172">NPV('Pre-Calculation'!$E$20,$E173:E$246)</f>
        <v>0</v>
      </c>
      <c r="Y172" s="171">
        <f>10%*SA</f>
        <v>100000</v>
      </c>
      <c r="Z172" s="179">
        <f t="array" ref="Z172">NPV('Pre-Calculation'!$E$20,Y173:Y182)</f>
        <v>969592.8037</v>
      </c>
    </row>
    <row r="173" ht="15.75" customHeight="1">
      <c r="A173" s="171">
        <f t="shared" si="1"/>
        <v>167</v>
      </c>
      <c r="B173" s="171">
        <f t="shared" si="2"/>
        <v>14</v>
      </c>
      <c r="C173" s="176">
        <f>EDATE(RCD,A172)</f>
        <v>47603</v>
      </c>
      <c r="D173" s="171">
        <f>Age_At_Entry+'Cashflows_8% from Start'!B173-1</f>
        <v>48</v>
      </c>
      <c r="E173" s="175">
        <f>IF(AND(C173&lt;=Last_Prem,MOD(A172,Mode)=0),Mod_Prem,0)</f>
        <v>0</v>
      </c>
      <c r="F173" s="177">
        <f>E173*VLOOKUP(B173,'Pre-Calculation'!$H$1:$I$31,2,FALSE)</f>
        <v>0</v>
      </c>
      <c r="G173" s="177">
        <f>IF(B173&lt;PT+1,VLOOKUP(B173,'Pre-Calculation'!$H$1:$L$32,3,FALSE)+VLOOKUP(B173,'Pre-Calculation'!$H$1:$L$32,4,FALSE)*'Pre-Calculation'!$D$7,0)</f>
        <v>0</v>
      </c>
      <c r="H173" s="175">
        <f>(E173-(F173+G173)*(1+Tax)+N172)</f>
        <v>1603832.067</v>
      </c>
      <c r="I173" s="175">
        <f>IF(B173&lt;PT+1,VLOOKUP(D173,'Pre-Calculation'!$N$3:$P$79,IF(INPUT!$C$4="M",2,3),FALSE)*(J173/1000)*(1/12),0)</f>
        <v>0</v>
      </c>
      <c r="J173" s="175">
        <f t="shared" si="3"/>
        <v>76167.93271</v>
      </c>
      <c r="K173" s="175">
        <f>IF('Pre-Calculation'!$D$17="Type 4 a",MAX(SA,H173,1.05*Q173),IF('Pre-Calculation'!$D$17="Type 4 c",H173,IF('Pre-Calculation'!$D$17="Type 4 d",SA+H173,IF('Pre-Calculation'!$D$17="Type 4 e",MAX(SA,H173),IF('Pre-Calculation'!$D$17="Type 4 f",SA,IF('Pre-Calculation'!$D$17="Type 4 g",1000+H173,IF('Pre-Calculation'!$D$17="Type 4 h",SA+X173,IF('Pre-Calculation'!$D$17="Type 4 i",MAX(H173,Q173),IF('Pre-Calculation'!$D$17="Type 4 k",MAX(H173,1.01*Q173),IF('Pre-Calculation'!$D$17="Type 4 m",MAX(105%*Q173,SA+H173),IF('Pre-Calculation'!$D$17="Type 4 o",MAX(SA,105%*Q173)+X173+Z173,IF('Pre-Calculation'!$D$17="Type 5",0))))))))))))</f>
        <v>1680000</v>
      </c>
      <c r="L173" s="175">
        <f>H173-I173*(1+Tax)</f>
        <v>1603832.067</v>
      </c>
      <c r="M173" s="175">
        <f>L173*(1+GROWTH_RATE_H)*(1-FMC*(1+Tax))</f>
        <v>1612009.551</v>
      </c>
      <c r="N173" s="175">
        <f>M173+IF(MOD(A173,B173)=0,VLOOKUP(B173,'Pre-Calculation'!$H$1:$L$31,5,FALSE),0)*IF('Pre-Calculation'!$D$16="% OF FV",M173,IF(OR('Pre-Calculation'!$D$16="% OF AFV(24M)",'Pre-Calculation'!$D$16="% OF AFV(8Q)"),AVERAGE( $M150:$M173),IF('Pre-Calculation'!$D$16="% OF AFV(12M)",AVERAGE($M162:M173),IF('Pre-Calculation'!$D$16="% OF AFV(36M)",AVERAGE($M138:M173)))))</f>
        <v>1612009.551</v>
      </c>
      <c r="O173" s="175">
        <f t="shared" si="4"/>
        <v>1612009.551</v>
      </c>
      <c r="P173" s="175">
        <f>IF('Pre-Calculation'!$D$17="Type 4 a",MAX(SA,N173,1.05*Q173),IF('Pre-Calculation'!$D$17="Type 4 c",N173,IF('Pre-Calculation'!$D$17="Type 4 d",SA+N173,IF('Pre-Calculation'!$D$17="Type 4 e",MAX(SA,N173),IF('Pre-Calculation'!$D$17="Type 4 f",SA,IF('Pre-Calculation'!$D$17="Type 4 g",1000+N173,IF('Pre-Calculation'!$D$17="Type 4 h",SA+X173,IF('Pre-Calculation'!$D$17="Type 4 i",MAX(N173,Q173),IF('Pre-Calculation'!$D$17="Type 4 k",MAX(N173,1.01*Q173),IF('Pre-Calculation'!$D$17="Type 4 m",MAX(105%*Q173,SA+N173),IF('Pre-Calculation'!$D$17="Type 4 o",MAX(SA,105%*Q173)+X173+Z173,IF('Pre-Calculation'!$D$17="Type 5",0))))))))))))</f>
        <v>1680000</v>
      </c>
      <c r="Q173" s="175">
        <f t="shared" si="5"/>
        <v>1600000</v>
      </c>
      <c r="R173" s="119">
        <f>L173*(1+GROWTH_RATE)*FMC</f>
        <v>1814.932541</v>
      </c>
      <c r="S173" s="178">
        <f>S172*(1+'Pre-Calculation'!$E$27)</f>
        <v>1049139.466</v>
      </c>
      <c r="T173" s="175">
        <f>-E173+IF(A172=INPUT!$C$11*12,N173,0)</f>
        <v>0</v>
      </c>
      <c r="U173" s="175">
        <f t="shared" si="6"/>
        <v>1724571.239</v>
      </c>
      <c r="V173" s="175">
        <f>U173*(1+GROWTH_RATE_H)*(1-'Pre-Calculation'!$E$31)</f>
        <v>1732776.734</v>
      </c>
      <c r="W173" s="175">
        <f>-E173+IF(A172=INPUT!$C$11*12,V173,0)</f>
        <v>0</v>
      </c>
      <c r="X173" s="179">
        <f t="array" ref="X173">NPV('Pre-Calculation'!$E$20,$E174:E$246)</f>
        <v>0</v>
      </c>
      <c r="Y173" s="171">
        <f>10%*SA</f>
        <v>100000</v>
      </c>
      <c r="Z173" s="179">
        <f t="array" ref="Z173">NPV('Pre-Calculation'!$E$20,Y174:Y183)</f>
        <v>969592.8037</v>
      </c>
    </row>
    <row r="174" ht="15.75" customHeight="1">
      <c r="A174" s="171">
        <f t="shared" si="1"/>
        <v>168</v>
      </c>
      <c r="B174" s="171">
        <f t="shared" si="2"/>
        <v>14</v>
      </c>
      <c r="C174" s="176">
        <f>EDATE(RCD,A173)</f>
        <v>47633</v>
      </c>
      <c r="D174" s="171">
        <f>Age_At_Entry+'Cashflows_8% from Start'!B174-1</f>
        <v>48</v>
      </c>
      <c r="E174" s="175">
        <f>IF(AND(C174&lt;=Last_Prem,MOD(A173,Mode)=0),Mod_Prem,0)</f>
        <v>0</v>
      </c>
      <c r="F174" s="177">
        <f>E174*VLOOKUP(B174,'Pre-Calculation'!$H$1:$I$31,2,FALSE)</f>
        <v>0</v>
      </c>
      <c r="G174" s="177">
        <f>IF(B174&lt;PT+1,VLOOKUP(B174,'Pre-Calculation'!$H$1:$L$32,3,FALSE)+VLOOKUP(B174,'Pre-Calculation'!$H$1:$L$32,4,FALSE)*'Pre-Calculation'!$D$7,0)</f>
        <v>0</v>
      </c>
      <c r="H174" s="175">
        <f>(E174-(F174+G174)*(1+Tax)+N173)</f>
        <v>1612009.551</v>
      </c>
      <c r="I174" s="175">
        <f>IF(B174&lt;PT+1,VLOOKUP(D174,'Pre-Calculation'!$N$3:$P$79,IF(INPUT!$C$4="M",2,3),FALSE)*(J174/1000)*(1/12),0)</f>
        <v>0</v>
      </c>
      <c r="J174" s="175">
        <f t="shared" si="3"/>
        <v>67990.4493</v>
      </c>
      <c r="K174" s="175">
        <f>IF('Pre-Calculation'!$D$17="Type 4 a",MAX(SA,H174,1.05*Q174),IF('Pre-Calculation'!$D$17="Type 4 c",H174,IF('Pre-Calculation'!$D$17="Type 4 d",SA+H174,IF('Pre-Calculation'!$D$17="Type 4 e",MAX(SA,H174),IF('Pre-Calculation'!$D$17="Type 4 f",SA,IF('Pre-Calculation'!$D$17="Type 4 g",1000+H174,IF('Pre-Calculation'!$D$17="Type 4 h",SA+X174,IF('Pre-Calculation'!$D$17="Type 4 i",MAX(H174,Q174),IF('Pre-Calculation'!$D$17="Type 4 k",MAX(H174,1.01*Q174),IF('Pre-Calculation'!$D$17="Type 4 m",MAX(105%*Q174,SA+H174),IF('Pre-Calculation'!$D$17="Type 4 o",MAX(SA,105%*Q174)+X174+Z174,IF('Pre-Calculation'!$D$17="Type 5",0))))))))))))</f>
        <v>1680000</v>
      </c>
      <c r="L174" s="175">
        <f>H174-I174*(1+Tax)</f>
        <v>1612009.551</v>
      </c>
      <c r="M174" s="175">
        <f>L174*(1+GROWTH_RATE_H)*(1-FMC*(1+Tax))</f>
        <v>1620228.729</v>
      </c>
      <c r="N174" s="175">
        <f>M174+IF(MOD(A174,B174)=0,VLOOKUP(B174,'Pre-Calculation'!$H$1:$L$31,5,FALSE),0)*IF('Pre-Calculation'!$D$16="% OF FV",M174,IF(OR('Pre-Calculation'!$D$16="% OF AFV(24M)",'Pre-Calculation'!$D$16="% OF AFV(8Q)"),AVERAGE( $M151:$M174),IF('Pre-Calculation'!$D$16="% OF AFV(12M)",AVERAGE($M163:M174),IF('Pre-Calculation'!$D$16="% OF AFV(36M)",AVERAGE($M139:M174)))))</f>
        <v>1620228.729</v>
      </c>
      <c r="O174" s="175">
        <f t="shared" si="4"/>
        <v>1620228.729</v>
      </c>
      <c r="P174" s="175">
        <f>IF('Pre-Calculation'!$D$17="Type 4 a",MAX(SA,N174,1.05*Q174),IF('Pre-Calculation'!$D$17="Type 4 c",N174,IF('Pre-Calculation'!$D$17="Type 4 d",SA+N174,IF('Pre-Calculation'!$D$17="Type 4 e",MAX(SA,N174),IF('Pre-Calculation'!$D$17="Type 4 f",SA,IF('Pre-Calculation'!$D$17="Type 4 g",1000+N174,IF('Pre-Calculation'!$D$17="Type 4 h",SA+X174,IF('Pre-Calculation'!$D$17="Type 4 i",MAX(N174,Q174),IF('Pre-Calculation'!$D$17="Type 4 k",MAX(N174,1.01*Q174),IF('Pre-Calculation'!$D$17="Type 4 m",MAX(105%*Q174,SA+N174),IF('Pre-Calculation'!$D$17="Type 4 o",MAX(SA,105%*Q174)+X174+Z174,IF('Pre-Calculation'!$D$17="Type 5",0))))))))))))</f>
        <v>1680000</v>
      </c>
      <c r="Q174" s="175">
        <f t="shared" si="5"/>
        <v>1600000</v>
      </c>
      <c r="R174" s="119">
        <f>L174*(1+GROWTH_RATE)*FMC</f>
        <v>1824.186365</v>
      </c>
      <c r="S174" s="178">
        <f>S173*(1+'Pre-Calculation'!$E$27)</f>
        <v>1052151.44</v>
      </c>
      <c r="T174" s="175">
        <f>-E174+IF(A173=INPUT!$C$11*12,N174,0)</f>
        <v>0</v>
      </c>
      <c r="U174" s="175">
        <f t="shared" si="6"/>
        <v>1732776.734</v>
      </c>
      <c r="V174" s="175">
        <f>U174*(1+GROWTH_RATE_H)*(1-'Pre-Calculation'!$E$31)</f>
        <v>1741021.27</v>
      </c>
      <c r="W174" s="175">
        <f>-E174+IF(A173=INPUT!$C$11*12,V174,0)</f>
        <v>0</v>
      </c>
      <c r="X174" s="179">
        <f t="array" ref="X174">NPV('Pre-Calculation'!$E$20,$E175:E$246)</f>
        <v>0</v>
      </c>
      <c r="Y174" s="171">
        <f>10%*SA</f>
        <v>100000</v>
      </c>
      <c r="Z174" s="179">
        <f t="array" ref="Z174">NPV('Pre-Calculation'!$E$20,Y175:Y184)</f>
        <v>969592.8037</v>
      </c>
    </row>
    <row r="175" ht="15.75" customHeight="1">
      <c r="A175" s="171">
        <f t="shared" si="1"/>
        <v>169</v>
      </c>
      <c r="B175" s="171">
        <f t="shared" si="2"/>
        <v>15</v>
      </c>
      <c r="C175" s="176">
        <f>EDATE(RCD,A174)</f>
        <v>47664</v>
      </c>
      <c r="D175" s="171">
        <f>Age_At_Entry+'Cashflows_8% from Start'!B175-1</f>
        <v>49</v>
      </c>
      <c r="E175" s="175">
        <f>IF(AND(C175&lt;=Last_Prem,MOD(A174,Mode)=0),Mod_Prem,0)</f>
        <v>0</v>
      </c>
      <c r="F175" s="177">
        <f>E175*VLOOKUP(B175,'Pre-Calculation'!$H$1:$I$31,2,FALSE)</f>
        <v>0</v>
      </c>
      <c r="G175" s="177">
        <f>IF(B175&lt;PT+1,VLOOKUP(B175,'Pre-Calculation'!$H$1:$L$32,3,FALSE)+VLOOKUP(B175,'Pre-Calculation'!$H$1:$L$32,4,FALSE)*'Pre-Calculation'!$D$7,0)</f>
        <v>0</v>
      </c>
      <c r="H175" s="175">
        <f>(E175-(F175+G175)*(1+Tax)+N174)</f>
        <v>1620228.729</v>
      </c>
      <c r="I175" s="175">
        <f>IF(B175&lt;PT+1,VLOOKUP(D175,'Pre-Calculation'!$N$3:$P$79,IF(INPUT!$C$4="M",2,3),FALSE)*(J175/1000)*(1/12),0)</f>
        <v>0</v>
      </c>
      <c r="J175" s="175">
        <f t="shared" si="3"/>
        <v>59771.27122</v>
      </c>
      <c r="K175" s="175">
        <f>IF('Pre-Calculation'!$D$17="Type 4 a",MAX(SA,H175,1.05*Q175),IF('Pre-Calculation'!$D$17="Type 4 c",H175,IF('Pre-Calculation'!$D$17="Type 4 d",SA+H175,IF('Pre-Calculation'!$D$17="Type 4 e",MAX(SA,H175),IF('Pre-Calculation'!$D$17="Type 4 f",SA,IF('Pre-Calculation'!$D$17="Type 4 g",1000+H175,IF('Pre-Calculation'!$D$17="Type 4 h",SA+X175,IF('Pre-Calculation'!$D$17="Type 4 i",MAX(H175,Q175),IF('Pre-Calculation'!$D$17="Type 4 k",MAX(H175,1.01*Q175),IF('Pre-Calculation'!$D$17="Type 4 m",MAX(105%*Q175,SA+H175),IF('Pre-Calculation'!$D$17="Type 4 o",MAX(SA,105%*Q175)+X175+Z175,IF('Pre-Calculation'!$D$17="Type 5",0))))))))))))</f>
        <v>1680000</v>
      </c>
      <c r="L175" s="175">
        <f>H175-I175*(1+Tax)</f>
        <v>1620228.729</v>
      </c>
      <c r="M175" s="175">
        <f>L175*(1+GROWTH_RATE_H)*(1-FMC*(1+Tax))</f>
        <v>1628489.814</v>
      </c>
      <c r="N175" s="175">
        <f>M175+IF(MOD(A175,B175)=0,VLOOKUP(B175,'Pre-Calculation'!$H$1:$L$31,5,FALSE),0)*IF('Pre-Calculation'!$D$16="% OF FV",M175,IF(OR('Pre-Calculation'!$D$16="% OF AFV(24M)",'Pre-Calculation'!$D$16="% OF AFV(8Q)"),AVERAGE( $M152:$M175),IF('Pre-Calculation'!$D$16="% OF AFV(12M)",AVERAGE($M164:M175),IF('Pre-Calculation'!$D$16="% OF AFV(36M)",AVERAGE($M140:M175)))))</f>
        <v>1628489.814</v>
      </c>
      <c r="O175" s="175">
        <f t="shared" si="4"/>
        <v>1628489.814</v>
      </c>
      <c r="P175" s="175">
        <f>IF('Pre-Calculation'!$D$17="Type 4 a",MAX(SA,N175,1.05*Q175),IF('Pre-Calculation'!$D$17="Type 4 c",N175,IF('Pre-Calculation'!$D$17="Type 4 d",SA+N175,IF('Pre-Calculation'!$D$17="Type 4 e",MAX(SA,N175),IF('Pre-Calculation'!$D$17="Type 4 f",SA,IF('Pre-Calculation'!$D$17="Type 4 g",1000+N175,IF('Pre-Calculation'!$D$17="Type 4 h",SA+X175,IF('Pre-Calculation'!$D$17="Type 4 i",MAX(N175,Q175),IF('Pre-Calculation'!$D$17="Type 4 k",MAX(N175,1.01*Q175),IF('Pre-Calculation'!$D$17="Type 4 m",MAX(105%*Q175,SA+N175),IF('Pre-Calculation'!$D$17="Type 4 o",MAX(SA,105%*Q175)+X175+Z175,IF('Pre-Calculation'!$D$17="Type 5",0))))))))))))</f>
        <v>1680000</v>
      </c>
      <c r="Q175" s="175">
        <f t="shared" si="5"/>
        <v>1600000</v>
      </c>
      <c r="R175" s="119">
        <f>L175*(1+GROWTH_RATE)*FMC</f>
        <v>1833.487372</v>
      </c>
      <c r="S175" s="178">
        <f>S174*(1+'Pre-Calculation'!$E$27)</f>
        <v>1055172.06</v>
      </c>
      <c r="T175" s="175">
        <f>-E175+IF(A174=INPUT!$C$11*12,N175,0)</f>
        <v>0</v>
      </c>
      <c r="U175" s="175">
        <f t="shared" si="6"/>
        <v>1741021.27</v>
      </c>
      <c r="V175" s="175">
        <f>U175*(1+GROWTH_RATE_H)*(1-'Pre-Calculation'!$E$31)</f>
        <v>1749305.034</v>
      </c>
      <c r="W175" s="175">
        <f>-E175+IF(A174=INPUT!$C$11*12,V175,0)</f>
        <v>0</v>
      </c>
      <c r="X175" s="179">
        <f t="array" ref="X175">NPV('Pre-Calculation'!$E$20,$E176:E$246)</f>
        <v>0</v>
      </c>
      <c r="Y175" s="171">
        <f>10%*SA</f>
        <v>100000</v>
      </c>
      <c r="Z175" s="179">
        <f t="array" ref="Z175">NPV('Pre-Calculation'!$E$20,Y176:Y185)</f>
        <v>969592.8037</v>
      </c>
    </row>
    <row r="176" ht="15.75" customHeight="1">
      <c r="A176" s="171">
        <f t="shared" si="1"/>
        <v>170</v>
      </c>
      <c r="B176" s="171">
        <f t="shared" si="2"/>
        <v>15</v>
      </c>
      <c r="C176" s="176">
        <f>EDATE(RCD,A175)</f>
        <v>47694</v>
      </c>
      <c r="D176" s="171">
        <f>Age_At_Entry+'Cashflows_8% from Start'!B176-1</f>
        <v>49</v>
      </c>
      <c r="E176" s="175">
        <f>IF(AND(C176&lt;=Last_Prem,MOD(A175,Mode)=0),Mod_Prem,0)</f>
        <v>0</v>
      </c>
      <c r="F176" s="177">
        <f>E176*VLOOKUP(B176,'Pre-Calculation'!$H$1:$I$31,2,FALSE)</f>
        <v>0</v>
      </c>
      <c r="G176" s="177">
        <f>IF(B176&lt;PT+1,VLOOKUP(B176,'Pre-Calculation'!$H$1:$L$32,3,FALSE)+VLOOKUP(B176,'Pre-Calculation'!$H$1:$L$32,4,FALSE)*'Pre-Calculation'!$D$7,0)</f>
        <v>0</v>
      </c>
      <c r="H176" s="175">
        <f>(E176-(F176+G176)*(1+Tax)+N175)</f>
        <v>1628489.814</v>
      </c>
      <c r="I176" s="175">
        <f>IF(B176&lt;PT+1,VLOOKUP(D176,'Pre-Calculation'!$N$3:$P$79,IF(INPUT!$C$4="M",2,3),FALSE)*(J176/1000)*(1/12),0)</f>
        <v>0</v>
      </c>
      <c r="J176" s="175">
        <f t="shared" si="3"/>
        <v>51510.1859</v>
      </c>
      <c r="K176" s="175">
        <f>IF('Pre-Calculation'!$D$17="Type 4 a",MAX(SA,H176,1.05*Q176),IF('Pre-Calculation'!$D$17="Type 4 c",H176,IF('Pre-Calculation'!$D$17="Type 4 d",SA+H176,IF('Pre-Calculation'!$D$17="Type 4 e",MAX(SA,H176),IF('Pre-Calculation'!$D$17="Type 4 f",SA,IF('Pre-Calculation'!$D$17="Type 4 g",1000+H176,IF('Pre-Calculation'!$D$17="Type 4 h",SA+X176,IF('Pre-Calculation'!$D$17="Type 4 i",MAX(H176,Q176),IF('Pre-Calculation'!$D$17="Type 4 k",MAX(H176,1.01*Q176),IF('Pre-Calculation'!$D$17="Type 4 m",MAX(105%*Q176,SA+H176),IF('Pre-Calculation'!$D$17="Type 4 o",MAX(SA,105%*Q176)+X176+Z176,IF('Pre-Calculation'!$D$17="Type 5",0))))))))))))</f>
        <v>1680000</v>
      </c>
      <c r="L176" s="175">
        <f>H176-I176*(1+Tax)</f>
        <v>1628489.814</v>
      </c>
      <c r="M176" s="175">
        <f>L176*(1+GROWTH_RATE_H)*(1-FMC*(1+Tax))</f>
        <v>1636793.02</v>
      </c>
      <c r="N176" s="175">
        <f>M176+IF(MOD(A176,B176)=0,VLOOKUP(B176,'Pre-Calculation'!$H$1:$L$31,5,FALSE),0)*IF('Pre-Calculation'!$D$16="% OF FV",M176,IF(OR('Pre-Calculation'!$D$16="% OF AFV(24M)",'Pre-Calculation'!$D$16="% OF AFV(8Q)"),AVERAGE( $M153:$M176),IF('Pre-Calculation'!$D$16="% OF AFV(12M)",AVERAGE($M165:M176),IF('Pre-Calculation'!$D$16="% OF AFV(36M)",AVERAGE($M141:M176)))))</f>
        <v>1636793.02</v>
      </c>
      <c r="O176" s="175">
        <f t="shared" si="4"/>
        <v>1636793.02</v>
      </c>
      <c r="P176" s="175">
        <f>IF('Pre-Calculation'!$D$17="Type 4 a",MAX(SA,N176,1.05*Q176),IF('Pre-Calculation'!$D$17="Type 4 c",N176,IF('Pre-Calculation'!$D$17="Type 4 d",SA+N176,IF('Pre-Calculation'!$D$17="Type 4 e",MAX(SA,N176),IF('Pre-Calculation'!$D$17="Type 4 f",SA,IF('Pre-Calculation'!$D$17="Type 4 g",1000+N176,IF('Pre-Calculation'!$D$17="Type 4 h",SA+X176,IF('Pre-Calculation'!$D$17="Type 4 i",MAX(N176,Q176),IF('Pre-Calculation'!$D$17="Type 4 k",MAX(N176,1.01*Q176),IF('Pre-Calculation'!$D$17="Type 4 m",MAX(105%*Q176,SA+N176),IF('Pre-Calculation'!$D$17="Type 4 o",MAX(SA,105%*Q176)+X176+Z176,IF('Pre-Calculation'!$D$17="Type 5",0))))))))))))</f>
        <v>1680000</v>
      </c>
      <c r="Q176" s="175">
        <f t="shared" si="5"/>
        <v>1600000</v>
      </c>
      <c r="R176" s="119">
        <f>L176*(1+GROWTH_RATE)*FMC</f>
        <v>1842.835803</v>
      </c>
      <c r="S176" s="178">
        <f>S175*(1+'Pre-Calculation'!$E$27)</f>
        <v>1058201.352</v>
      </c>
      <c r="T176" s="175">
        <f>-E176+IF(A175=INPUT!$C$11*12,N176,0)</f>
        <v>0</v>
      </c>
      <c r="U176" s="175">
        <f t="shared" si="6"/>
        <v>1749305.034</v>
      </c>
      <c r="V176" s="175">
        <f>U176*(1+GROWTH_RATE_H)*(1-'Pre-Calculation'!$E$31)</f>
        <v>1757628.212</v>
      </c>
      <c r="W176" s="175">
        <f>-E176+IF(A175=INPUT!$C$11*12,V176,0)</f>
        <v>0</v>
      </c>
      <c r="X176" s="179">
        <f t="array" ref="X176">NPV('Pre-Calculation'!$E$20,$E177:E$246)</f>
        <v>0</v>
      </c>
      <c r="Y176" s="171">
        <f>10%*SA</f>
        <v>100000</v>
      </c>
      <c r="Z176" s="179">
        <f t="array" ref="Z176">NPV('Pre-Calculation'!$E$20,Y177:Y186)</f>
        <v>969592.8037</v>
      </c>
    </row>
    <row r="177" ht="15.75" customHeight="1">
      <c r="A177" s="171">
        <f t="shared" si="1"/>
        <v>171</v>
      </c>
      <c r="B177" s="171">
        <f t="shared" si="2"/>
        <v>15</v>
      </c>
      <c r="C177" s="176">
        <f>EDATE(RCD,A176)</f>
        <v>47725</v>
      </c>
      <c r="D177" s="171">
        <f>Age_At_Entry+'Cashflows_8% from Start'!B177-1</f>
        <v>49</v>
      </c>
      <c r="E177" s="175">
        <f>IF(AND(C177&lt;=Last_Prem,MOD(A176,Mode)=0),Mod_Prem,0)</f>
        <v>0</v>
      </c>
      <c r="F177" s="177">
        <f>E177*VLOOKUP(B177,'Pre-Calculation'!$H$1:$I$31,2,FALSE)</f>
        <v>0</v>
      </c>
      <c r="G177" s="177">
        <f>IF(B177&lt;PT+1,VLOOKUP(B177,'Pre-Calculation'!$H$1:$L$32,3,FALSE)+VLOOKUP(B177,'Pre-Calculation'!$H$1:$L$32,4,FALSE)*'Pre-Calculation'!$D$7,0)</f>
        <v>0</v>
      </c>
      <c r="H177" s="175">
        <f>(E177-(F177+G177)*(1+Tax)+N176)</f>
        <v>1636793.02</v>
      </c>
      <c r="I177" s="175">
        <f>IF(B177&lt;PT+1,VLOOKUP(D177,'Pre-Calculation'!$N$3:$P$79,IF(INPUT!$C$4="M",2,3),FALSE)*(J177/1000)*(1/12),0)</f>
        <v>0</v>
      </c>
      <c r="J177" s="175">
        <f t="shared" si="3"/>
        <v>43206.97965</v>
      </c>
      <c r="K177" s="175">
        <f>IF('Pre-Calculation'!$D$17="Type 4 a",MAX(SA,H177,1.05*Q177),IF('Pre-Calculation'!$D$17="Type 4 c",H177,IF('Pre-Calculation'!$D$17="Type 4 d",SA+H177,IF('Pre-Calculation'!$D$17="Type 4 e",MAX(SA,H177),IF('Pre-Calculation'!$D$17="Type 4 f",SA,IF('Pre-Calculation'!$D$17="Type 4 g",1000+H177,IF('Pre-Calculation'!$D$17="Type 4 h",SA+X177,IF('Pre-Calculation'!$D$17="Type 4 i",MAX(H177,Q177),IF('Pre-Calculation'!$D$17="Type 4 k",MAX(H177,1.01*Q177),IF('Pre-Calculation'!$D$17="Type 4 m",MAX(105%*Q177,SA+H177),IF('Pre-Calculation'!$D$17="Type 4 o",MAX(SA,105%*Q177)+X177+Z177,IF('Pre-Calculation'!$D$17="Type 5",0))))))))))))</f>
        <v>1680000</v>
      </c>
      <c r="L177" s="175">
        <f>H177-I177*(1+Tax)</f>
        <v>1636793.02</v>
      </c>
      <c r="M177" s="175">
        <f>L177*(1+GROWTH_RATE_H)*(1-FMC*(1+Tax))</f>
        <v>1645138.562</v>
      </c>
      <c r="N177" s="175">
        <f>M177+IF(MOD(A177,B177)=0,VLOOKUP(B177,'Pre-Calculation'!$H$1:$L$31,5,FALSE),0)*IF('Pre-Calculation'!$D$16="% OF FV",M177,IF(OR('Pre-Calculation'!$D$16="% OF AFV(24M)",'Pre-Calculation'!$D$16="% OF AFV(8Q)"),AVERAGE( $M154:$M177),IF('Pre-Calculation'!$D$16="% OF AFV(12M)",AVERAGE($M166:M177),IF('Pre-Calculation'!$D$16="% OF AFV(36M)",AVERAGE($M142:M177)))))</f>
        <v>1645138.562</v>
      </c>
      <c r="O177" s="175">
        <f t="shared" si="4"/>
        <v>1645138.562</v>
      </c>
      <c r="P177" s="175">
        <f>IF('Pre-Calculation'!$D$17="Type 4 a",MAX(SA,N177,1.05*Q177),IF('Pre-Calculation'!$D$17="Type 4 c",N177,IF('Pre-Calculation'!$D$17="Type 4 d",SA+N177,IF('Pre-Calculation'!$D$17="Type 4 e",MAX(SA,N177),IF('Pre-Calculation'!$D$17="Type 4 f",SA,IF('Pre-Calculation'!$D$17="Type 4 g",1000+N177,IF('Pre-Calculation'!$D$17="Type 4 h",SA+X177,IF('Pre-Calculation'!$D$17="Type 4 i",MAX(N177,Q177),IF('Pre-Calculation'!$D$17="Type 4 k",MAX(N177,1.01*Q177),IF('Pre-Calculation'!$D$17="Type 4 m",MAX(105%*Q177,SA+N177),IF('Pre-Calculation'!$D$17="Type 4 o",MAX(SA,105%*Q177)+X177+Z177,IF('Pre-Calculation'!$D$17="Type 5",0))))))))))))</f>
        <v>1680000</v>
      </c>
      <c r="Q177" s="175">
        <f t="shared" si="5"/>
        <v>1600000</v>
      </c>
      <c r="R177" s="119">
        <f>L177*(1+GROWTH_RATE)*FMC</f>
        <v>1852.231898</v>
      </c>
      <c r="S177" s="178">
        <f>S176*(1+'Pre-Calculation'!$E$27)</f>
        <v>1061239.341</v>
      </c>
      <c r="T177" s="175">
        <f>-E177+IF(A176=INPUT!$C$11*12,N177,0)</f>
        <v>0</v>
      </c>
      <c r="U177" s="175">
        <f t="shared" si="6"/>
        <v>1757628.212</v>
      </c>
      <c r="V177" s="175">
        <f>U177*(1+GROWTH_RATE_H)*(1-'Pre-Calculation'!$E$31)</f>
        <v>1765990.992</v>
      </c>
      <c r="W177" s="175">
        <f>-E177+IF(A176=INPUT!$C$11*12,V177,0)</f>
        <v>0</v>
      </c>
      <c r="X177" s="179">
        <f t="array" ref="X177">NPV('Pre-Calculation'!$E$20,$E178:E$246)</f>
        <v>0</v>
      </c>
      <c r="Y177" s="171">
        <f>10%*SA</f>
        <v>100000</v>
      </c>
      <c r="Z177" s="179">
        <f t="array" ref="Z177">NPV('Pre-Calculation'!$E$20,Y178:Y187)</f>
        <v>969592.8037</v>
      </c>
    </row>
    <row r="178" ht="15.75" customHeight="1">
      <c r="A178" s="171">
        <f t="shared" si="1"/>
        <v>172</v>
      </c>
      <c r="B178" s="171">
        <f t="shared" si="2"/>
        <v>15</v>
      </c>
      <c r="C178" s="176">
        <f>EDATE(RCD,A177)</f>
        <v>47756</v>
      </c>
      <c r="D178" s="171">
        <f>Age_At_Entry+'Cashflows_8% from Start'!B178-1</f>
        <v>49</v>
      </c>
      <c r="E178" s="175">
        <f>IF(AND(C178&lt;=Last_Prem,MOD(A177,Mode)=0),Mod_Prem,0)</f>
        <v>0</v>
      </c>
      <c r="F178" s="177">
        <f>E178*VLOOKUP(B178,'Pre-Calculation'!$H$1:$I$31,2,FALSE)</f>
        <v>0</v>
      </c>
      <c r="G178" s="177">
        <f>IF(B178&lt;PT+1,VLOOKUP(B178,'Pre-Calculation'!$H$1:$L$32,3,FALSE)+VLOOKUP(B178,'Pre-Calculation'!$H$1:$L$32,4,FALSE)*'Pre-Calculation'!$D$7,0)</f>
        <v>0</v>
      </c>
      <c r="H178" s="175">
        <f>(E178-(F178+G178)*(1+Tax)+N177)</f>
        <v>1645138.562</v>
      </c>
      <c r="I178" s="175">
        <f>IF(B178&lt;PT+1,VLOOKUP(D178,'Pre-Calculation'!$N$3:$P$79,IF(INPUT!$C$4="M",2,3),FALSE)*(J178/1000)*(1/12),0)</f>
        <v>0</v>
      </c>
      <c r="J178" s="175">
        <f t="shared" si="3"/>
        <v>34861.43771</v>
      </c>
      <c r="K178" s="175">
        <f>IF('Pre-Calculation'!$D$17="Type 4 a",MAX(SA,H178,1.05*Q178),IF('Pre-Calculation'!$D$17="Type 4 c",H178,IF('Pre-Calculation'!$D$17="Type 4 d",SA+H178,IF('Pre-Calculation'!$D$17="Type 4 e",MAX(SA,H178),IF('Pre-Calculation'!$D$17="Type 4 f",SA,IF('Pre-Calculation'!$D$17="Type 4 g",1000+H178,IF('Pre-Calculation'!$D$17="Type 4 h",SA+X178,IF('Pre-Calculation'!$D$17="Type 4 i",MAX(H178,Q178),IF('Pre-Calculation'!$D$17="Type 4 k",MAX(H178,1.01*Q178),IF('Pre-Calculation'!$D$17="Type 4 m",MAX(105%*Q178,SA+H178),IF('Pre-Calculation'!$D$17="Type 4 o",MAX(SA,105%*Q178)+X178+Z178,IF('Pre-Calculation'!$D$17="Type 5",0))))))))))))</f>
        <v>1680000</v>
      </c>
      <c r="L178" s="175">
        <f>H178-I178*(1+Tax)</f>
        <v>1645138.562</v>
      </c>
      <c r="M178" s="175">
        <f>L178*(1+GROWTH_RATE_H)*(1-FMC*(1+Tax))</f>
        <v>1653526.656</v>
      </c>
      <c r="N178" s="175">
        <f>M178+IF(MOD(A178,B178)=0,VLOOKUP(B178,'Pre-Calculation'!$H$1:$L$31,5,FALSE),0)*IF('Pre-Calculation'!$D$16="% OF FV",M178,IF(OR('Pre-Calculation'!$D$16="% OF AFV(24M)",'Pre-Calculation'!$D$16="% OF AFV(8Q)"),AVERAGE( $M155:$M178),IF('Pre-Calculation'!$D$16="% OF AFV(12M)",AVERAGE($M167:M178),IF('Pre-Calculation'!$D$16="% OF AFV(36M)",AVERAGE($M143:M178)))))</f>
        <v>1653526.656</v>
      </c>
      <c r="O178" s="175">
        <f t="shared" si="4"/>
        <v>1653526.656</v>
      </c>
      <c r="P178" s="175">
        <f>IF('Pre-Calculation'!$D$17="Type 4 a",MAX(SA,N178,1.05*Q178),IF('Pre-Calculation'!$D$17="Type 4 c",N178,IF('Pre-Calculation'!$D$17="Type 4 d",SA+N178,IF('Pre-Calculation'!$D$17="Type 4 e",MAX(SA,N178),IF('Pre-Calculation'!$D$17="Type 4 f",SA,IF('Pre-Calculation'!$D$17="Type 4 g",1000+N178,IF('Pre-Calculation'!$D$17="Type 4 h",SA+X178,IF('Pre-Calculation'!$D$17="Type 4 i",MAX(N178,Q178),IF('Pre-Calculation'!$D$17="Type 4 k",MAX(N178,1.01*Q178),IF('Pre-Calculation'!$D$17="Type 4 m",MAX(105%*Q178,SA+N178),IF('Pre-Calculation'!$D$17="Type 4 o",MAX(SA,105%*Q178)+X178+Z178,IF('Pre-Calculation'!$D$17="Type 5",0))))))))))))</f>
        <v>1680000</v>
      </c>
      <c r="Q178" s="175">
        <f t="shared" si="5"/>
        <v>1600000</v>
      </c>
      <c r="R178" s="119">
        <f>L178*(1+GROWTH_RATE)*FMC</f>
        <v>1861.675902</v>
      </c>
      <c r="S178" s="178">
        <f>S177*(1+'Pre-Calculation'!$E$27)</f>
        <v>1064286.052</v>
      </c>
      <c r="T178" s="175">
        <f>-E178+IF(A177=INPUT!$C$11*12,N178,0)</f>
        <v>0</v>
      </c>
      <c r="U178" s="175">
        <f t="shared" si="6"/>
        <v>1765990.992</v>
      </c>
      <c r="V178" s="175">
        <f>U178*(1+GROWTH_RATE_H)*(1-'Pre-Calculation'!$E$31)</f>
        <v>1774393.561</v>
      </c>
      <c r="W178" s="175">
        <f>-E178+IF(A177=INPUT!$C$11*12,V178,0)</f>
        <v>0</v>
      </c>
      <c r="X178" s="179">
        <f t="array" ref="X178">NPV('Pre-Calculation'!$E$20,$E179:E$246)</f>
        <v>0</v>
      </c>
      <c r="Y178" s="171">
        <f>10%*SA</f>
        <v>100000</v>
      </c>
      <c r="Z178" s="179">
        <f t="array" ref="Z178">NPV('Pre-Calculation'!$E$20,Y179:Y188)</f>
        <v>969592.8037</v>
      </c>
    </row>
    <row r="179" ht="15.75" customHeight="1">
      <c r="A179" s="171">
        <f t="shared" si="1"/>
        <v>173</v>
      </c>
      <c r="B179" s="171">
        <f t="shared" si="2"/>
        <v>15</v>
      </c>
      <c r="C179" s="176">
        <f>EDATE(RCD,A178)</f>
        <v>47786</v>
      </c>
      <c r="D179" s="171">
        <f>Age_At_Entry+'Cashflows_8% from Start'!B179-1</f>
        <v>49</v>
      </c>
      <c r="E179" s="175">
        <f>IF(AND(C179&lt;=Last_Prem,MOD(A178,Mode)=0),Mod_Prem,0)</f>
        <v>0</v>
      </c>
      <c r="F179" s="177">
        <f>E179*VLOOKUP(B179,'Pre-Calculation'!$H$1:$I$31,2,FALSE)</f>
        <v>0</v>
      </c>
      <c r="G179" s="177">
        <f>IF(B179&lt;PT+1,VLOOKUP(B179,'Pre-Calculation'!$H$1:$L$32,3,FALSE)+VLOOKUP(B179,'Pre-Calculation'!$H$1:$L$32,4,FALSE)*'Pre-Calculation'!$D$7,0)</f>
        <v>0</v>
      </c>
      <c r="H179" s="175">
        <f>(E179-(F179+G179)*(1+Tax)+N178)</f>
        <v>1653526.656</v>
      </c>
      <c r="I179" s="175">
        <f>IF(B179&lt;PT+1,VLOOKUP(D179,'Pre-Calculation'!$N$3:$P$79,IF(INPUT!$C$4="M",2,3),FALSE)*(J179/1000)*(1/12),0)</f>
        <v>0</v>
      </c>
      <c r="J179" s="175">
        <f t="shared" si="3"/>
        <v>26473.34423</v>
      </c>
      <c r="K179" s="175">
        <f>IF('Pre-Calculation'!$D$17="Type 4 a",MAX(SA,H179,1.05*Q179),IF('Pre-Calculation'!$D$17="Type 4 c",H179,IF('Pre-Calculation'!$D$17="Type 4 d",SA+H179,IF('Pre-Calculation'!$D$17="Type 4 e",MAX(SA,H179),IF('Pre-Calculation'!$D$17="Type 4 f",SA,IF('Pre-Calculation'!$D$17="Type 4 g",1000+H179,IF('Pre-Calculation'!$D$17="Type 4 h",SA+X179,IF('Pre-Calculation'!$D$17="Type 4 i",MAX(H179,Q179),IF('Pre-Calculation'!$D$17="Type 4 k",MAX(H179,1.01*Q179),IF('Pre-Calculation'!$D$17="Type 4 m",MAX(105%*Q179,SA+H179),IF('Pre-Calculation'!$D$17="Type 4 o",MAX(SA,105%*Q179)+X179+Z179,IF('Pre-Calculation'!$D$17="Type 5",0))))))))))))</f>
        <v>1680000</v>
      </c>
      <c r="L179" s="175">
        <f>H179-I179*(1+Tax)</f>
        <v>1653526.656</v>
      </c>
      <c r="M179" s="175">
        <f>L179*(1+GROWTH_RATE_H)*(1-FMC*(1+Tax))</f>
        <v>1661957.518</v>
      </c>
      <c r="N179" s="175">
        <f>M179+IF(MOD(A179,B179)=0,VLOOKUP(B179,'Pre-Calculation'!$H$1:$L$31,5,FALSE),0)*IF('Pre-Calculation'!$D$16="% OF FV",M179,IF(OR('Pre-Calculation'!$D$16="% OF AFV(24M)",'Pre-Calculation'!$D$16="% OF AFV(8Q)"),AVERAGE( $M156:$M179),IF('Pre-Calculation'!$D$16="% OF AFV(12M)",AVERAGE($M168:M179),IF('Pre-Calculation'!$D$16="% OF AFV(36M)",AVERAGE($M144:M179)))))</f>
        <v>1661957.518</v>
      </c>
      <c r="O179" s="175">
        <f t="shared" si="4"/>
        <v>1661957.518</v>
      </c>
      <c r="P179" s="175">
        <f>IF('Pre-Calculation'!$D$17="Type 4 a",MAX(SA,N179,1.05*Q179),IF('Pre-Calculation'!$D$17="Type 4 c",N179,IF('Pre-Calculation'!$D$17="Type 4 d",SA+N179,IF('Pre-Calculation'!$D$17="Type 4 e",MAX(SA,N179),IF('Pre-Calculation'!$D$17="Type 4 f",SA,IF('Pre-Calculation'!$D$17="Type 4 g",1000+N179,IF('Pre-Calculation'!$D$17="Type 4 h",SA+X179,IF('Pre-Calculation'!$D$17="Type 4 i",MAX(N179,Q179),IF('Pre-Calculation'!$D$17="Type 4 k",MAX(N179,1.01*Q179),IF('Pre-Calculation'!$D$17="Type 4 m",MAX(105%*Q179,SA+N179),IF('Pre-Calculation'!$D$17="Type 4 o",MAX(SA,105%*Q179)+X179+Z179,IF('Pre-Calculation'!$D$17="Type 5",0))))))))))))</f>
        <v>1680000</v>
      </c>
      <c r="Q179" s="175">
        <f t="shared" si="5"/>
        <v>1600000</v>
      </c>
      <c r="R179" s="119">
        <f>L179*(1+GROWTH_RATE)*FMC</f>
        <v>1871.168058</v>
      </c>
      <c r="S179" s="178">
        <f>S178*(1+'Pre-Calculation'!$E$27)</f>
        <v>1067341.509</v>
      </c>
      <c r="T179" s="175">
        <f>-E179+IF(A178=INPUT!$C$11*12,N179,0)</f>
        <v>0</v>
      </c>
      <c r="U179" s="175">
        <f t="shared" si="6"/>
        <v>1774393.561</v>
      </c>
      <c r="V179" s="175">
        <f>U179*(1+GROWTH_RATE_H)*(1-'Pre-Calculation'!$E$31)</f>
        <v>1782836.11</v>
      </c>
      <c r="W179" s="175">
        <f>-E179+IF(A178=INPUT!$C$11*12,V179,0)</f>
        <v>0</v>
      </c>
      <c r="X179" s="179">
        <f t="array" ref="X179">NPV('Pre-Calculation'!$E$20,$E180:E$246)</f>
        <v>0</v>
      </c>
      <c r="Y179" s="171">
        <f>10%*SA</f>
        <v>100000</v>
      </c>
      <c r="Z179" s="179">
        <f t="array" ref="Z179">NPV('Pre-Calculation'!$E$20,Y180:Y189)</f>
        <v>969592.8037</v>
      </c>
    </row>
    <row r="180" ht="15.75" customHeight="1">
      <c r="A180" s="171">
        <f t="shared" si="1"/>
        <v>174</v>
      </c>
      <c r="B180" s="171">
        <f t="shared" si="2"/>
        <v>15</v>
      </c>
      <c r="C180" s="176">
        <f>EDATE(RCD,A179)</f>
        <v>47817</v>
      </c>
      <c r="D180" s="171">
        <f>Age_At_Entry+'Cashflows_8% from Start'!B180-1</f>
        <v>49</v>
      </c>
      <c r="E180" s="175">
        <f>IF(AND(C180&lt;=Last_Prem,MOD(A179,Mode)=0),Mod_Prem,0)</f>
        <v>0</v>
      </c>
      <c r="F180" s="177">
        <f>E180*VLOOKUP(B180,'Pre-Calculation'!$H$1:$I$31,2,FALSE)</f>
        <v>0</v>
      </c>
      <c r="G180" s="177">
        <f>IF(B180&lt;PT+1,VLOOKUP(B180,'Pre-Calculation'!$H$1:$L$32,3,FALSE)+VLOOKUP(B180,'Pre-Calculation'!$H$1:$L$32,4,FALSE)*'Pre-Calculation'!$D$7,0)</f>
        <v>0</v>
      </c>
      <c r="H180" s="175">
        <f>(E180-(F180+G180)*(1+Tax)+N179)</f>
        <v>1661957.518</v>
      </c>
      <c r="I180" s="175">
        <f>IF(B180&lt;PT+1,VLOOKUP(D180,'Pre-Calculation'!$N$3:$P$79,IF(INPUT!$C$4="M",2,3),FALSE)*(J180/1000)*(1/12),0)</f>
        <v>0</v>
      </c>
      <c r="J180" s="175">
        <f t="shared" si="3"/>
        <v>18042.48225</v>
      </c>
      <c r="K180" s="175">
        <f>IF('Pre-Calculation'!$D$17="Type 4 a",MAX(SA,H180,1.05*Q180),IF('Pre-Calculation'!$D$17="Type 4 c",H180,IF('Pre-Calculation'!$D$17="Type 4 d",SA+H180,IF('Pre-Calculation'!$D$17="Type 4 e",MAX(SA,H180),IF('Pre-Calculation'!$D$17="Type 4 f",SA,IF('Pre-Calculation'!$D$17="Type 4 g",1000+H180,IF('Pre-Calculation'!$D$17="Type 4 h",SA+X180,IF('Pre-Calculation'!$D$17="Type 4 i",MAX(H180,Q180),IF('Pre-Calculation'!$D$17="Type 4 k",MAX(H180,1.01*Q180),IF('Pre-Calculation'!$D$17="Type 4 m",MAX(105%*Q180,SA+H180),IF('Pre-Calculation'!$D$17="Type 4 o",MAX(SA,105%*Q180)+X180+Z180,IF('Pre-Calculation'!$D$17="Type 5",0))))))))))))</f>
        <v>1680000</v>
      </c>
      <c r="L180" s="175">
        <f>H180-I180*(1+Tax)</f>
        <v>1661957.518</v>
      </c>
      <c r="M180" s="175">
        <f>L180*(1+GROWTH_RATE_H)*(1-FMC*(1+Tax))</f>
        <v>1670431.366</v>
      </c>
      <c r="N180" s="175">
        <f>M180+IF(MOD(A180,B180)=0,VLOOKUP(B180,'Pre-Calculation'!$H$1:$L$31,5,FALSE),0)*IF('Pre-Calculation'!$D$16="% OF FV",M180,IF(OR('Pre-Calculation'!$D$16="% OF AFV(24M)",'Pre-Calculation'!$D$16="% OF AFV(8Q)"),AVERAGE( $M157:$M180),IF('Pre-Calculation'!$D$16="% OF AFV(12M)",AVERAGE($M169:M180),IF('Pre-Calculation'!$D$16="% OF AFV(36M)",AVERAGE($M145:M180)))))</f>
        <v>1670431.366</v>
      </c>
      <c r="O180" s="175">
        <f t="shared" si="4"/>
        <v>1670431.366</v>
      </c>
      <c r="P180" s="175">
        <f>IF('Pre-Calculation'!$D$17="Type 4 a",MAX(SA,N180,1.05*Q180),IF('Pre-Calculation'!$D$17="Type 4 c",N180,IF('Pre-Calculation'!$D$17="Type 4 d",SA+N180,IF('Pre-Calculation'!$D$17="Type 4 e",MAX(SA,N180),IF('Pre-Calculation'!$D$17="Type 4 f",SA,IF('Pre-Calculation'!$D$17="Type 4 g",1000+N180,IF('Pre-Calculation'!$D$17="Type 4 h",SA+X180,IF('Pre-Calculation'!$D$17="Type 4 i",MAX(N180,Q180),IF('Pre-Calculation'!$D$17="Type 4 k",MAX(N180,1.01*Q180),IF('Pre-Calculation'!$D$17="Type 4 m",MAX(105%*Q180,SA+N180),IF('Pre-Calculation'!$D$17="Type 4 o",MAX(SA,105%*Q180)+X180+Z180,IF('Pre-Calculation'!$D$17="Type 5",0))))))))))))</f>
        <v>1680000</v>
      </c>
      <c r="Q180" s="175">
        <f t="shared" si="5"/>
        <v>1600000</v>
      </c>
      <c r="R180" s="119">
        <f>L180*(1+GROWTH_RATE)*FMC</f>
        <v>1880.708611</v>
      </c>
      <c r="S180" s="178">
        <f>S179*(1+'Pre-Calculation'!$E$27)</f>
        <v>1070405.738</v>
      </c>
      <c r="T180" s="175">
        <f>-E180+IF(A179=INPUT!$C$11*12,N180,0)</f>
        <v>0</v>
      </c>
      <c r="U180" s="175">
        <f t="shared" si="6"/>
        <v>1782836.11</v>
      </c>
      <c r="V180" s="175">
        <f>U180*(1+GROWTH_RATE_H)*(1-'Pre-Calculation'!$E$31)</f>
        <v>1791318.829</v>
      </c>
      <c r="W180" s="175">
        <f>-E180+IF(A179=INPUT!$C$11*12,V180,0)</f>
        <v>0</v>
      </c>
      <c r="X180" s="179">
        <f t="array" ref="X180">NPV('Pre-Calculation'!$E$20,$E181:E$246)</f>
        <v>0</v>
      </c>
      <c r="Y180" s="171">
        <f>10%*SA</f>
        <v>100000</v>
      </c>
      <c r="Z180" s="179">
        <f t="array" ref="Z180">NPV('Pre-Calculation'!$E$20,Y181:Y190)</f>
        <v>969592.8037</v>
      </c>
    </row>
    <row r="181" ht="15.75" customHeight="1">
      <c r="A181" s="171">
        <f t="shared" si="1"/>
        <v>175</v>
      </c>
      <c r="B181" s="171">
        <f t="shared" si="2"/>
        <v>15</v>
      </c>
      <c r="C181" s="176">
        <f>EDATE(RCD,A180)</f>
        <v>47847</v>
      </c>
      <c r="D181" s="171">
        <f>Age_At_Entry+'Cashflows_8% from Start'!B181-1</f>
        <v>49</v>
      </c>
      <c r="E181" s="175">
        <f>IF(AND(C181&lt;=Last_Prem,MOD(A180,Mode)=0),Mod_Prem,0)</f>
        <v>0</v>
      </c>
      <c r="F181" s="177">
        <f>E181*VLOOKUP(B181,'Pre-Calculation'!$H$1:$I$31,2,FALSE)</f>
        <v>0</v>
      </c>
      <c r="G181" s="177">
        <f>IF(B181&lt;PT+1,VLOOKUP(B181,'Pre-Calculation'!$H$1:$L$32,3,FALSE)+VLOOKUP(B181,'Pre-Calculation'!$H$1:$L$32,4,FALSE)*'Pre-Calculation'!$D$7,0)</f>
        <v>0</v>
      </c>
      <c r="H181" s="175">
        <f>(E181-(F181+G181)*(1+Tax)+N180)</f>
        <v>1670431.366</v>
      </c>
      <c r="I181" s="175">
        <f>IF(B181&lt;PT+1,VLOOKUP(D181,'Pre-Calculation'!$N$3:$P$79,IF(INPUT!$C$4="M",2,3),FALSE)*(J181/1000)*(1/12),0)</f>
        <v>0</v>
      </c>
      <c r="J181" s="175">
        <f t="shared" si="3"/>
        <v>9568.633698</v>
      </c>
      <c r="K181" s="175">
        <f>IF('Pre-Calculation'!$D$17="Type 4 a",MAX(SA,H181,1.05*Q181),IF('Pre-Calculation'!$D$17="Type 4 c",H181,IF('Pre-Calculation'!$D$17="Type 4 d",SA+H181,IF('Pre-Calculation'!$D$17="Type 4 e",MAX(SA,H181),IF('Pre-Calculation'!$D$17="Type 4 f",SA,IF('Pre-Calculation'!$D$17="Type 4 g",1000+H181,IF('Pre-Calculation'!$D$17="Type 4 h",SA+X181,IF('Pre-Calculation'!$D$17="Type 4 i",MAX(H181,Q181),IF('Pre-Calculation'!$D$17="Type 4 k",MAX(H181,1.01*Q181),IF('Pre-Calculation'!$D$17="Type 4 m",MAX(105%*Q181,SA+H181),IF('Pre-Calculation'!$D$17="Type 4 o",MAX(SA,105%*Q181)+X181+Z181,IF('Pre-Calculation'!$D$17="Type 5",0))))))))))))</f>
        <v>1680000</v>
      </c>
      <c r="L181" s="175">
        <f>H181-I181*(1+Tax)</f>
        <v>1670431.366</v>
      </c>
      <c r="M181" s="175">
        <f>L181*(1+GROWTH_RATE_H)*(1-FMC*(1+Tax))</f>
        <v>1678948.421</v>
      </c>
      <c r="N181" s="175">
        <f>M181+IF(MOD(A181,B181)=0,VLOOKUP(B181,'Pre-Calculation'!$H$1:$L$31,5,FALSE),0)*IF('Pre-Calculation'!$D$16="% OF FV",M181,IF(OR('Pre-Calculation'!$D$16="% OF AFV(24M)",'Pre-Calculation'!$D$16="% OF AFV(8Q)"),AVERAGE( $M158:$M181),IF('Pre-Calculation'!$D$16="% OF AFV(12M)",AVERAGE($M170:M181),IF('Pre-Calculation'!$D$16="% OF AFV(36M)",AVERAGE($M146:M181)))))</f>
        <v>1678948.421</v>
      </c>
      <c r="O181" s="175">
        <f t="shared" si="4"/>
        <v>1678948.421</v>
      </c>
      <c r="P181" s="175">
        <f>IF('Pre-Calculation'!$D$17="Type 4 a",MAX(SA,N181,1.05*Q181),IF('Pre-Calculation'!$D$17="Type 4 c",N181,IF('Pre-Calculation'!$D$17="Type 4 d",SA+N181,IF('Pre-Calculation'!$D$17="Type 4 e",MAX(SA,N181),IF('Pre-Calculation'!$D$17="Type 4 f",SA,IF('Pre-Calculation'!$D$17="Type 4 g",1000+N181,IF('Pre-Calculation'!$D$17="Type 4 h",SA+X181,IF('Pre-Calculation'!$D$17="Type 4 i",MAX(N181,Q181),IF('Pre-Calculation'!$D$17="Type 4 k",MAX(N181,1.01*Q181),IF('Pre-Calculation'!$D$17="Type 4 m",MAX(105%*Q181,SA+N181),IF('Pre-Calculation'!$D$17="Type 4 o",MAX(SA,105%*Q181)+X181+Z181,IF('Pre-Calculation'!$D$17="Type 5",0))))))))))))</f>
        <v>1680000</v>
      </c>
      <c r="Q181" s="175">
        <f t="shared" si="5"/>
        <v>1600000</v>
      </c>
      <c r="R181" s="119">
        <f>L181*(1+GROWTH_RATE)*FMC</f>
        <v>1890.297809</v>
      </c>
      <c r="S181" s="178">
        <f>S180*(1+'Pre-Calculation'!$E$27)</f>
        <v>1073478.765</v>
      </c>
      <c r="T181" s="175">
        <f>-E181+IF(A180=INPUT!$C$11*12,N181,0)</f>
        <v>0</v>
      </c>
      <c r="U181" s="175">
        <f t="shared" si="6"/>
        <v>1791318.829</v>
      </c>
      <c r="V181" s="175">
        <f>U181*(1+GROWTH_RATE_H)*(1-'Pre-Calculation'!$E$31)</f>
        <v>1799841.908</v>
      </c>
      <c r="W181" s="175">
        <f>-E181+IF(A180=INPUT!$C$11*12,V181,0)</f>
        <v>0</v>
      </c>
      <c r="X181" s="179">
        <f t="array" ref="X181">NPV('Pre-Calculation'!$E$20,$E182:E$246)</f>
        <v>0</v>
      </c>
      <c r="Y181" s="171">
        <f>10%*SA</f>
        <v>100000</v>
      </c>
      <c r="Z181" s="179">
        <f t="array" ref="Z181">NPV('Pre-Calculation'!$E$20,Y182:Y191)</f>
        <v>969592.8037</v>
      </c>
    </row>
    <row r="182" ht="15.75" customHeight="1">
      <c r="A182" s="171">
        <f t="shared" si="1"/>
        <v>176</v>
      </c>
      <c r="B182" s="171">
        <f t="shared" si="2"/>
        <v>15</v>
      </c>
      <c r="C182" s="176">
        <f>EDATE(RCD,A181)</f>
        <v>47878</v>
      </c>
      <c r="D182" s="171">
        <f>Age_At_Entry+'Cashflows_8% from Start'!B182-1</f>
        <v>49</v>
      </c>
      <c r="E182" s="175">
        <f>IF(AND(C182&lt;=Last_Prem,MOD(A181,Mode)=0),Mod_Prem,0)</f>
        <v>0</v>
      </c>
      <c r="F182" s="177">
        <f>E182*VLOOKUP(B182,'Pre-Calculation'!$H$1:$I$31,2,FALSE)</f>
        <v>0</v>
      </c>
      <c r="G182" s="177">
        <f>IF(B182&lt;PT+1,VLOOKUP(B182,'Pre-Calculation'!$H$1:$L$32,3,FALSE)+VLOOKUP(B182,'Pre-Calculation'!$H$1:$L$32,4,FALSE)*'Pre-Calculation'!$D$7,0)</f>
        <v>0</v>
      </c>
      <c r="H182" s="175">
        <f>(E182-(F182+G182)*(1+Tax)+N181)</f>
        <v>1678948.421</v>
      </c>
      <c r="I182" s="175">
        <f>IF(B182&lt;PT+1,VLOOKUP(D182,'Pre-Calculation'!$N$3:$P$79,IF(INPUT!$C$4="M",2,3),FALSE)*(J182/1000)*(1/12),0)</f>
        <v>0</v>
      </c>
      <c r="J182" s="175">
        <f t="shared" si="3"/>
        <v>1051.579406</v>
      </c>
      <c r="K182" s="175">
        <f>IF('Pre-Calculation'!$D$17="Type 4 a",MAX(SA,H182,1.05*Q182),IF('Pre-Calculation'!$D$17="Type 4 c",H182,IF('Pre-Calculation'!$D$17="Type 4 d",SA+H182,IF('Pre-Calculation'!$D$17="Type 4 e",MAX(SA,H182),IF('Pre-Calculation'!$D$17="Type 4 f",SA,IF('Pre-Calculation'!$D$17="Type 4 g",1000+H182,IF('Pre-Calculation'!$D$17="Type 4 h",SA+X182,IF('Pre-Calculation'!$D$17="Type 4 i",MAX(H182,Q182),IF('Pre-Calculation'!$D$17="Type 4 k",MAX(H182,1.01*Q182),IF('Pre-Calculation'!$D$17="Type 4 m",MAX(105%*Q182,SA+H182),IF('Pre-Calculation'!$D$17="Type 4 o",MAX(SA,105%*Q182)+X182+Z182,IF('Pre-Calculation'!$D$17="Type 5",0))))))))))))</f>
        <v>1680000</v>
      </c>
      <c r="L182" s="175">
        <f>H182-I182*(1+Tax)</f>
        <v>1678948.421</v>
      </c>
      <c r="M182" s="175">
        <f>L182*(1+GROWTH_RATE_H)*(1-FMC*(1+Tax))</f>
        <v>1687508.901</v>
      </c>
      <c r="N182" s="175">
        <f>M182+IF(MOD(A182,B182)=0,VLOOKUP(B182,'Pre-Calculation'!$H$1:$L$31,5,FALSE),0)*IF('Pre-Calculation'!$D$16="% OF FV",M182,IF(OR('Pre-Calculation'!$D$16="% OF AFV(24M)",'Pre-Calculation'!$D$16="% OF AFV(8Q)"),AVERAGE( $M159:$M182),IF('Pre-Calculation'!$D$16="% OF AFV(12M)",AVERAGE($M171:M182),IF('Pre-Calculation'!$D$16="% OF AFV(36M)",AVERAGE($M147:M182)))))</f>
        <v>1687508.901</v>
      </c>
      <c r="O182" s="175">
        <f t="shared" si="4"/>
        <v>1687508.901</v>
      </c>
      <c r="P182" s="175">
        <f>IF('Pre-Calculation'!$D$17="Type 4 a",MAX(SA,N182,1.05*Q182),IF('Pre-Calculation'!$D$17="Type 4 c",N182,IF('Pre-Calculation'!$D$17="Type 4 d",SA+N182,IF('Pre-Calculation'!$D$17="Type 4 e",MAX(SA,N182),IF('Pre-Calculation'!$D$17="Type 4 f",SA,IF('Pre-Calculation'!$D$17="Type 4 g",1000+N182,IF('Pre-Calculation'!$D$17="Type 4 h",SA+X182,IF('Pre-Calculation'!$D$17="Type 4 i",MAX(N182,Q182),IF('Pre-Calculation'!$D$17="Type 4 k",MAX(N182,1.01*Q182),IF('Pre-Calculation'!$D$17="Type 4 m",MAX(105%*Q182,SA+N182),IF('Pre-Calculation'!$D$17="Type 4 o",MAX(SA,105%*Q182)+X182+Z182,IF('Pre-Calculation'!$D$17="Type 5",0))))))))))))</f>
        <v>1687508.901</v>
      </c>
      <c r="Q182" s="175">
        <f t="shared" si="5"/>
        <v>1600000</v>
      </c>
      <c r="R182" s="119">
        <f>L182*(1+GROWTH_RATE)*FMC</f>
        <v>1899.9359</v>
      </c>
      <c r="S182" s="178">
        <f>S181*(1+'Pre-Calculation'!$E$27)</f>
        <v>1076560.614</v>
      </c>
      <c r="T182" s="175">
        <f>-E182+IF(A181=INPUT!$C$11*12,N182,0)</f>
        <v>0</v>
      </c>
      <c r="U182" s="175">
        <f t="shared" si="6"/>
        <v>1799841.908</v>
      </c>
      <c r="V182" s="175">
        <f>U182*(1+GROWTH_RATE_H)*(1-'Pre-Calculation'!$E$31)</f>
        <v>1808405.54</v>
      </c>
      <c r="W182" s="175">
        <f>-E182+IF(A181=INPUT!$C$11*12,V182,0)</f>
        <v>0</v>
      </c>
      <c r="X182" s="179">
        <f t="array" ref="X182">NPV('Pre-Calculation'!$E$20,$E183:E$246)</f>
        <v>0</v>
      </c>
      <c r="Y182" s="171">
        <f>10%*SA</f>
        <v>100000</v>
      </c>
      <c r="Z182" s="179">
        <f t="array" ref="Z182">NPV('Pre-Calculation'!$E$20,Y183:Y192)</f>
        <v>969592.8037</v>
      </c>
    </row>
    <row r="183" ht="15.75" customHeight="1">
      <c r="A183" s="171">
        <f t="shared" si="1"/>
        <v>177</v>
      </c>
      <c r="B183" s="171">
        <f t="shared" si="2"/>
        <v>15</v>
      </c>
      <c r="C183" s="176">
        <f>EDATE(RCD,A182)</f>
        <v>47907</v>
      </c>
      <c r="D183" s="171">
        <f>Age_At_Entry+'Cashflows_8% from Start'!B183-1</f>
        <v>49</v>
      </c>
      <c r="E183" s="175">
        <f>IF(AND(C183&lt;=Last_Prem,MOD(A182,Mode)=0),Mod_Prem,0)</f>
        <v>0</v>
      </c>
      <c r="F183" s="177">
        <f>E183*VLOOKUP(B183,'Pre-Calculation'!$H$1:$I$31,2,FALSE)</f>
        <v>0</v>
      </c>
      <c r="G183" s="177">
        <f>IF(B183&lt;PT+1,VLOOKUP(B183,'Pre-Calculation'!$H$1:$L$32,3,FALSE)+VLOOKUP(B183,'Pre-Calculation'!$H$1:$L$32,4,FALSE)*'Pre-Calculation'!$D$7,0)</f>
        <v>0</v>
      </c>
      <c r="H183" s="175">
        <f>(E183-(F183+G183)*(1+Tax)+N182)</f>
        <v>1687508.901</v>
      </c>
      <c r="I183" s="175">
        <f>IF(B183&lt;PT+1,VLOOKUP(D183,'Pre-Calculation'!$N$3:$P$79,IF(INPUT!$C$4="M",2,3),FALSE)*(J183/1000)*(1/12),0)</f>
        <v>0</v>
      </c>
      <c r="J183" s="175">
        <f t="shared" si="3"/>
        <v>0</v>
      </c>
      <c r="K183" s="175">
        <f>IF('Pre-Calculation'!$D$17="Type 4 a",MAX(SA,H183,1.05*Q183),IF('Pre-Calculation'!$D$17="Type 4 c",H183,IF('Pre-Calculation'!$D$17="Type 4 d",SA+H183,IF('Pre-Calculation'!$D$17="Type 4 e",MAX(SA,H183),IF('Pre-Calculation'!$D$17="Type 4 f",SA,IF('Pre-Calculation'!$D$17="Type 4 g",1000+H183,IF('Pre-Calculation'!$D$17="Type 4 h",SA+X183,IF('Pre-Calculation'!$D$17="Type 4 i",MAX(H183,Q183),IF('Pre-Calculation'!$D$17="Type 4 k",MAX(H183,1.01*Q183),IF('Pre-Calculation'!$D$17="Type 4 m",MAX(105%*Q183,SA+H183),IF('Pre-Calculation'!$D$17="Type 4 o",MAX(SA,105%*Q183)+X183+Z183,IF('Pre-Calculation'!$D$17="Type 5",0))))))))))))</f>
        <v>1687508.901</v>
      </c>
      <c r="L183" s="175">
        <f>H183-I183*(1+Tax)</f>
        <v>1687508.901</v>
      </c>
      <c r="M183" s="175">
        <f>L183*(1+GROWTH_RATE_H)*(1-FMC*(1+Tax))</f>
        <v>1696113.029</v>
      </c>
      <c r="N183" s="175">
        <f>M183+IF(MOD(A183,B183)=0,VLOOKUP(B183,'Pre-Calculation'!$H$1:$L$31,5,FALSE),0)*IF('Pre-Calculation'!$D$16="% OF FV",M183,IF(OR('Pre-Calculation'!$D$16="% OF AFV(24M)",'Pre-Calculation'!$D$16="% OF AFV(8Q)"),AVERAGE( $M160:$M183),IF('Pre-Calculation'!$D$16="% OF AFV(12M)",AVERAGE($M172:M183),IF('Pre-Calculation'!$D$16="% OF AFV(36M)",AVERAGE($M148:M183)))))</f>
        <v>1696113.029</v>
      </c>
      <c r="O183" s="175">
        <f t="shared" si="4"/>
        <v>1696113.029</v>
      </c>
      <c r="P183" s="175">
        <f>IF('Pre-Calculation'!$D$17="Type 4 a",MAX(SA,N183,1.05*Q183),IF('Pre-Calculation'!$D$17="Type 4 c",N183,IF('Pre-Calculation'!$D$17="Type 4 d",SA+N183,IF('Pre-Calculation'!$D$17="Type 4 e",MAX(SA,N183),IF('Pre-Calculation'!$D$17="Type 4 f",SA,IF('Pre-Calculation'!$D$17="Type 4 g",1000+N183,IF('Pre-Calculation'!$D$17="Type 4 h",SA+X183,IF('Pre-Calculation'!$D$17="Type 4 i",MAX(N183,Q183),IF('Pre-Calculation'!$D$17="Type 4 k",MAX(N183,1.01*Q183),IF('Pre-Calculation'!$D$17="Type 4 m",MAX(105%*Q183,SA+N183),IF('Pre-Calculation'!$D$17="Type 4 o",MAX(SA,105%*Q183)+X183+Z183,IF('Pre-Calculation'!$D$17="Type 5",0))))))))))))</f>
        <v>1696113.029</v>
      </c>
      <c r="Q183" s="175">
        <f t="shared" si="5"/>
        <v>1600000</v>
      </c>
      <c r="R183" s="119">
        <f>L183*(1+GROWTH_RATE)*FMC</f>
        <v>1909.623133</v>
      </c>
      <c r="S183" s="178">
        <f>S182*(1+'Pre-Calculation'!$E$27)</f>
        <v>1079651.31</v>
      </c>
      <c r="T183" s="175">
        <f>-E183+IF(A182=INPUT!$C$11*12,N183,0)</f>
        <v>0</v>
      </c>
      <c r="U183" s="175">
        <f t="shared" si="6"/>
        <v>1808405.54</v>
      </c>
      <c r="V183" s="175">
        <f>U183*(1+GROWTH_RATE_H)*(1-'Pre-Calculation'!$E$31)</f>
        <v>1817009.918</v>
      </c>
      <c r="W183" s="175">
        <f>-E183+IF(A182=INPUT!$C$11*12,V183,0)</f>
        <v>0</v>
      </c>
      <c r="X183" s="179">
        <f t="array" ref="X183">NPV('Pre-Calculation'!$E$20,$E184:E$246)</f>
        <v>0</v>
      </c>
      <c r="Y183" s="171">
        <f>10%*SA</f>
        <v>100000</v>
      </c>
      <c r="Z183" s="179">
        <f t="array" ref="Z183">NPV('Pre-Calculation'!$E$20,Y184:Y193)</f>
        <v>969592.8037</v>
      </c>
    </row>
    <row r="184" ht="15.75" customHeight="1">
      <c r="A184" s="171">
        <f t="shared" si="1"/>
        <v>178</v>
      </c>
      <c r="B184" s="171">
        <f t="shared" si="2"/>
        <v>15</v>
      </c>
      <c r="C184" s="176">
        <f>EDATE(RCD,A183)</f>
        <v>47937</v>
      </c>
      <c r="D184" s="171">
        <f>Age_At_Entry+'Cashflows_8% from Start'!B184-1</f>
        <v>49</v>
      </c>
      <c r="E184" s="175">
        <f>IF(AND(C184&lt;=Last_Prem,MOD(A183,Mode)=0),Mod_Prem,0)</f>
        <v>0</v>
      </c>
      <c r="F184" s="177">
        <f>E184*VLOOKUP(B184,'Pre-Calculation'!$H$1:$I$31,2,FALSE)</f>
        <v>0</v>
      </c>
      <c r="G184" s="177">
        <f>IF(B184&lt;PT+1,VLOOKUP(B184,'Pre-Calculation'!$H$1:$L$32,3,FALSE)+VLOOKUP(B184,'Pre-Calculation'!$H$1:$L$32,4,FALSE)*'Pre-Calculation'!$D$7,0)</f>
        <v>0</v>
      </c>
      <c r="H184" s="175">
        <f>(E184-(F184+G184)*(1+Tax)+N183)</f>
        <v>1696113.029</v>
      </c>
      <c r="I184" s="175">
        <f>IF(B184&lt;PT+1,VLOOKUP(D184,'Pre-Calculation'!$N$3:$P$79,IF(INPUT!$C$4="M",2,3),FALSE)*(J184/1000)*(1/12),0)</f>
        <v>0</v>
      </c>
      <c r="J184" s="175">
        <f t="shared" si="3"/>
        <v>0</v>
      </c>
      <c r="K184" s="175">
        <f>IF('Pre-Calculation'!$D$17="Type 4 a",MAX(SA,H184,1.05*Q184),IF('Pre-Calculation'!$D$17="Type 4 c",H184,IF('Pre-Calculation'!$D$17="Type 4 d",SA+H184,IF('Pre-Calculation'!$D$17="Type 4 e",MAX(SA,H184),IF('Pre-Calculation'!$D$17="Type 4 f",SA,IF('Pre-Calculation'!$D$17="Type 4 g",1000+H184,IF('Pre-Calculation'!$D$17="Type 4 h",SA+X184,IF('Pre-Calculation'!$D$17="Type 4 i",MAX(H184,Q184),IF('Pre-Calculation'!$D$17="Type 4 k",MAX(H184,1.01*Q184),IF('Pre-Calculation'!$D$17="Type 4 m",MAX(105%*Q184,SA+H184),IF('Pre-Calculation'!$D$17="Type 4 o",MAX(SA,105%*Q184)+X184+Z184,IF('Pre-Calculation'!$D$17="Type 5",0))))))))))))</f>
        <v>1696113.029</v>
      </c>
      <c r="L184" s="175">
        <f>H184-I184*(1+Tax)</f>
        <v>1696113.029</v>
      </c>
      <c r="M184" s="175">
        <f>L184*(1+GROWTH_RATE_H)*(1-FMC*(1+Tax))</f>
        <v>1704761.026</v>
      </c>
      <c r="N184" s="175">
        <f>M184+IF(MOD(A184,B184)=0,VLOOKUP(B184,'Pre-Calculation'!$H$1:$L$31,5,FALSE),0)*IF('Pre-Calculation'!$D$16="% OF FV",M184,IF(OR('Pre-Calculation'!$D$16="% OF AFV(24M)",'Pre-Calculation'!$D$16="% OF AFV(8Q)"),AVERAGE( $M161:$M184),IF('Pre-Calculation'!$D$16="% OF AFV(12M)",AVERAGE($M173:M184),IF('Pre-Calculation'!$D$16="% OF AFV(36M)",AVERAGE($M149:M184)))))</f>
        <v>1704761.026</v>
      </c>
      <c r="O184" s="175">
        <f t="shared" si="4"/>
        <v>1704761.026</v>
      </c>
      <c r="P184" s="175">
        <f>IF('Pre-Calculation'!$D$17="Type 4 a",MAX(SA,N184,1.05*Q184),IF('Pre-Calculation'!$D$17="Type 4 c",N184,IF('Pre-Calculation'!$D$17="Type 4 d",SA+N184,IF('Pre-Calculation'!$D$17="Type 4 e",MAX(SA,N184),IF('Pre-Calculation'!$D$17="Type 4 f",SA,IF('Pre-Calculation'!$D$17="Type 4 g",1000+N184,IF('Pre-Calculation'!$D$17="Type 4 h",SA+X184,IF('Pre-Calculation'!$D$17="Type 4 i",MAX(N184,Q184),IF('Pre-Calculation'!$D$17="Type 4 k",MAX(N184,1.01*Q184),IF('Pre-Calculation'!$D$17="Type 4 m",MAX(105%*Q184,SA+N184),IF('Pre-Calculation'!$D$17="Type 4 o",MAX(SA,105%*Q184)+X184+Z184,IF('Pre-Calculation'!$D$17="Type 5",0))))))))))))</f>
        <v>1704761.026</v>
      </c>
      <c r="Q184" s="175">
        <f t="shared" si="5"/>
        <v>1600000</v>
      </c>
      <c r="R184" s="119">
        <f>L184*(1+GROWTH_RATE)*FMC</f>
        <v>1919.359758</v>
      </c>
      <c r="S184" s="178">
        <f>S183*(1+'Pre-Calculation'!$E$27)</f>
        <v>1082750.88</v>
      </c>
      <c r="T184" s="175">
        <f>-E184+IF(A183=INPUT!$C$11*12,N184,0)</f>
        <v>0</v>
      </c>
      <c r="U184" s="175">
        <f t="shared" si="6"/>
        <v>1817009.918</v>
      </c>
      <c r="V184" s="175">
        <f>U184*(1+GROWTH_RATE_H)*(1-'Pre-Calculation'!$E$31)</f>
        <v>1825655.235</v>
      </c>
      <c r="W184" s="175">
        <f>-E184+IF(A183=INPUT!$C$11*12,V184,0)</f>
        <v>0</v>
      </c>
      <c r="X184" s="179">
        <f t="array" ref="X184">NPV('Pre-Calculation'!$E$20,$E185:E$246)</f>
        <v>0</v>
      </c>
      <c r="Y184" s="171">
        <f>10%*SA</f>
        <v>100000</v>
      </c>
      <c r="Z184" s="179">
        <f t="array" ref="Z184">NPV('Pre-Calculation'!$E$20,Y185:Y194)</f>
        <v>969592.8037</v>
      </c>
    </row>
    <row r="185" ht="15.75" customHeight="1">
      <c r="A185" s="171">
        <f t="shared" si="1"/>
        <v>179</v>
      </c>
      <c r="B185" s="171">
        <f t="shared" si="2"/>
        <v>15</v>
      </c>
      <c r="C185" s="176">
        <f>EDATE(RCD,A184)</f>
        <v>47968</v>
      </c>
      <c r="D185" s="171">
        <f>Age_At_Entry+'Cashflows_8% from Start'!B185-1</f>
        <v>49</v>
      </c>
      <c r="E185" s="175">
        <f>IF(AND(C185&lt;=Last_Prem,MOD(A184,Mode)=0),Mod_Prem,0)</f>
        <v>0</v>
      </c>
      <c r="F185" s="177">
        <f>E185*VLOOKUP(B185,'Pre-Calculation'!$H$1:$I$31,2,FALSE)</f>
        <v>0</v>
      </c>
      <c r="G185" s="177">
        <f>IF(B185&lt;PT+1,VLOOKUP(B185,'Pre-Calculation'!$H$1:$L$32,3,FALSE)+VLOOKUP(B185,'Pre-Calculation'!$H$1:$L$32,4,FALSE)*'Pre-Calculation'!$D$7,0)</f>
        <v>0</v>
      </c>
      <c r="H185" s="175">
        <f>(E185-(F185+G185)*(1+Tax)+N184)</f>
        <v>1704761.026</v>
      </c>
      <c r="I185" s="175">
        <f>IF(B185&lt;PT+1,VLOOKUP(D185,'Pre-Calculation'!$N$3:$P$79,IF(INPUT!$C$4="M",2,3),FALSE)*(J185/1000)*(1/12),0)</f>
        <v>0</v>
      </c>
      <c r="J185" s="175">
        <f t="shared" si="3"/>
        <v>0</v>
      </c>
      <c r="K185" s="175">
        <f>IF('Pre-Calculation'!$D$17="Type 4 a",MAX(SA,H185,1.05*Q185),IF('Pre-Calculation'!$D$17="Type 4 c",H185,IF('Pre-Calculation'!$D$17="Type 4 d",SA+H185,IF('Pre-Calculation'!$D$17="Type 4 e",MAX(SA,H185),IF('Pre-Calculation'!$D$17="Type 4 f",SA,IF('Pre-Calculation'!$D$17="Type 4 g",1000+H185,IF('Pre-Calculation'!$D$17="Type 4 h",SA+X185,IF('Pre-Calculation'!$D$17="Type 4 i",MAX(H185,Q185),IF('Pre-Calculation'!$D$17="Type 4 k",MAX(H185,1.01*Q185),IF('Pre-Calculation'!$D$17="Type 4 m",MAX(105%*Q185,SA+H185),IF('Pre-Calculation'!$D$17="Type 4 o",MAX(SA,105%*Q185)+X185+Z185,IF('Pre-Calculation'!$D$17="Type 5",0))))))))))))</f>
        <v>1704761.026</v>
      </c>
      <c r="L185" s="175">
        <f>H185-I185*(1+Tax)</f>
        <v>1704761.026</v>
      </c>
      <c r="M185" s="175">
        <f>L185*(1+GROWTH_RATE_H)*(1-FMC*(1+Tax))</f>
        <v>1713453.118</v>
      </c>
      <c r="N185" s="175">
        <f>M185+IF(MOD(A185,B185)=0,VLOOKUP(B185,'Pre-Calculation'!$H$1:$L$31,5,FALSE),0)*IF('Pre-Calculation'!$D$16="% OF FV",M185,IF(OR('Pre-Calculation'!$D$16="% OF AFV(24M)",'Pre-Calculation'!$D$16="% OF AFV(8Q)"),AVERAGE( $M162:$M185),IF('Pre-Calculation'!$D$16="% OF AFV(12M)",AVERAGE($M174:M185),IF('Pre-Calculation'!$D$16="% OF AFV(36M)",AVERAGE($M150:M185)))))</f>
        <v>1713453.118</v>
      </c>
      <c r="O185" s="175">
        <f t="shared" si="4"/>
        <v>1713453.118</v>
      </c>
      <c r="P185" s="175">
        <f>IF('Pre-Calculation'!$D$17="Type 4 a",MAX(SA,N185,1.05*Q185),IF('Pre-Calculation'!$D$17="Type 4 c",N185,IF('Pre-Calculation'!$D$17="Type 4 d",SA+N185,IF('Pre-Calculation'!$D$17="Type 4 e",MAX(SA,N185),IF('Pre-Calculation'!$D$17="Type 4 f",SA,IF('Pre-Calculation'!$D$17="Type 4 g",1000+N185,IF('Pre-Calculation'!$D$17="Type 4 h",SA+X185,IF('Pre-Calculation'!$D$17="Type 4 i",MAX(N185,Q185),IF('Pre-Calculation'!$D$17="Type 4 k",MAX(N185,1.01*Q185),IF('Pre-Calculation'!$D$17="Type 4 m",MAX(105%*Q185,SA+N185),IF('Pre-Calculation'!$D$17="Type 4 o",MAX(SA,105%*Q185)+X185+Z185,IF('Pre-Calculation'!$D$17="Type 5",0))))))))))))</f>
        <v>1713453.118</v>
      </c>
      <c r="Q185" s="175">
        <f t="shared" si="5"/>
        <v>1600000</v>
      </c>
      <c r="R185" s="119">
        <f>L185*(1+GROWTH_RATE)*FMC</f>
        <v>1929.146027</v>
      </c>
      <c r="S185" s="178">
        <f>S184*(1+'Pre-Calculation'!$E$27)</f>
        <v>1085859.348</v>
      </c>
      <c r="T185" s="175">
        <f>-E185+IF(A184=INPUT!$C$11*12,N185,0)</f>
        <v>0</v>
      </c>
      <c r="U185" s="175">
        <f t="shared" si="6"/>
        <v>1825655.235</v>
      </c>
      <c r="V185" s="175">
        <f>U185*(1+GROWTH_RATE_H)*(1-'Pre-Calculation'!$E$31)</f>
        <v>1834341.687</v>
      </c>
      <c r="W185" s="175">
        <f>-E185+IF(A184=INPUT!$C$11*12,V185,0)</f>
        <v>0</v>
      </c>
      <c r="X185" s="179">
        <f t="array" ref="X185">NPV('Pre-Calculation'!$E$20,$E186:E$246)</f>
        <v>0</v>
      </c>
      <c r="Y185" s="171">
        <f>10%*SA</f>
        <v>100000</v>
      </c>
      <c r="Z185" s="179">
        <f t="array" ref="Z185">NPV('Pre-Calculation'!$E$20,Y186:Y195)</f>
        <v>969592.8037</v>
      </c>
    </row>
    <row r="186" ht="15.75" customHeight="1">
      <c r="A186" s="171">
        <f t="shared" si="1"/>
        <v>180</v>
      </c>
      <c r="B186" s="171">
        <f t="shared" si="2"/>
        <v>15</v>
      </c>
      <c r="C186" s="176">
        <f>EDATE(RCD,A185)</f>
        <v>47998</v>
      </c>
      <c r="D186" s="171">
        <f>Age_At_Entry+'Cashflows_8% from Start'!B186-1</f>
        <v>49</v>
      </c>
      <c r="E186" s="175">
        <f>IF(AND(C186&lt;=Last_Prem,MOD(A185,Mode)=0),Mod_Prem,0)</f>
        <v>0</v>
      </c>
      <c r="F186" s="177">
        <f>E186*VLOOKUP(B186,'Pre-Calculation'!$H$1:$I$31,2,FALSE)</f>
        <v>0</v>
      </c>
      <c r="G186" s="177">
        <f>IF(B186&lt;PT+1,VLOOKUP(B186,'Pre-Calculation'!$H$1:$L$32,3,FALSE)+VLOOKUP(B186,'Pre-Calculation'!$H$1:$L$32,4,FALSE)*'Pre-Calculation'!$D$7,0)</f>
        <v>0</v>
      </c>
      <c r="H186" s="175">
        <f>(E186-(F186+G186)*(1+Tax)+N185)</f>
        <v>1713453.118</v>
      </c>
      <c r="I186" s="175">
        <f>IF(B186&lt;PT+1,VLOOKUP(D186,'Pre-Calculation'!$N$3:$P$79,IF(INPUT!$C$4="M",2,3),FALSE)*(J186/1000)*(1/12),0)</f>
        <v>0</v>
      </c>
      <c r="J186" s="175">
        <f t="shared" si="3"/>
        <v>0</v>
      </c>
      <c r="K186" s="175">
        <f>IF('Pre-Calculation'!$D$17="Type 4 a",MAX(SA,H186,1.05*Q186),IF('Pre-Calculation'!$D$17="Type 4 c",H186,IF('Pre-Calculation'!$D$17="Type 4 d",SA+H186,IF('Pre-Calculation'!$D$17="Type 4 e",MAX(SA,H186),IF('Pre-Calculation'!$D$17="Type 4 f",SA,IF('Pre-Calculation'!$D$17="Type 4 g",1000+H186,IF('Pre-Calculation'!$D$17="Type 4 h",SA+X186,IF('Pre-Calculation'!$D$17="Type 4 i",MAX(H186,Q186),IF('Pre-Calculation'!$D$17="Type 4 k",MAX(H186,1.01*Q186),IF('Pre-Calculation'!$D$17="Type 4 m",MAX(105%*Q186,SA+H186),IF('Pre-Calculation'!$D$17="Type 4 o",MAX(SA,105%*Q186)+X186+Z186,IF('Pre-Calculation'!$D$17="Type 5",0))))))))))))</f>
        <v>1713453.118</v>
      </c>
      <c r="L186" s="175">
        <f>H186-I186*(1+Tax)</f>
        <v>1713453.118</v>
      </c>
      <c r="M186" s="175">
        <f>L186*(1+GROWTH_RATE_H)*(1-FMC*(1+Tax))</f>
        <v>1722189.528</v>
      </c>
      <c r="N186" s="175">
        <f>M186+IF(MOD(A186,B186)=0,VLOOKUP(B186,'Pre-Calculation'!$H$1:$L$31,5,FALSE),0)*IF('Pre-Calculation'!$D$16="% OF FV",M186,IF(OR('Pre-Calculation'!$D$16="% OF AFV(24M)",'Pre-Calculation'!$D$16="% OF AFV(8Q)"),AVERAGE( $M163:$M186),IF('Pre-Calculation'!$D$16="% OF AFV(12M)",AVERAGE($M175:M186),IF('Pre-Calculation'!$D$16="% OF AFV(36M)",AVERAGE($M151:M186)))))</f>
        <v>1722189.528</v>
      </c>
      <c r="O186" s="175">
        <f t="shared" si="4"/>
        <v>1722189.528</v>
      </c>
      <c r="P186" s="175">
        <f>IF('Pre-Calculation'!$D$17="Type 4 a",MAX(SA,N186,1.05*Q186),IF('Pre-Calculation'!$D$17="Type 4 c",N186,IF('Pre-Calculation'!$D$17="Type 4 d",SA+N186,IF('Pre-Calculation'!$D$17="Type 4 e",MAX(SA,N186),IF('Pre-Calculation'!$D$17="Type 4 f",SA,IF('Pre-Calculation'!$D$17="Type 4 g",1000+N186,IF('Pre-Calculation'!$D$17="Type 4 h",SA+X186,IF('Pre-Calculation'!$D$17="Type 4 i",MAX(N186,Q186),IF('Pre-Calculation'!$D$17="Type 4 k",MAX(N186,1.01*Q186),IF('Pre-Calculation'!$D$17="Type 4 m",MAX(105%*Q186,SA+N186),IF('Pre-Calculation'!$D$17="Type 4 o",MAX(SA,105%*Q186)+X186+Z186,IF('Pre-Calculation'!$D$17="Type 5",0))))))))))))</f>
        <v>1722189.528</v>
      </c>
      <c r="Q186" s="175">
        <f t="shared" si="5"/>
        <v>1600000</v>
      </c>
      <c r="R186" s="119">
        <f>L186*(1+GROWTH_RATE)*FMC</f>
        <v>1938.982194</v>
      </c>
      <c r="S186" s="178">
        <f>S185*(1+'Pre-Calculation'!$E$27)</f>
        <v>1088976.74</v>
      </c>
      <c r="T186" s="175">
        <f>-E186+IF(A185=INPUT!$C$11*12,N186,0)</f>
        <v>0</v>
      </c>
      <c r="U186" s="175">
        <f t="shared" si="6"/>
        <v>1834341.687</v>
      </c>
      <c r="V186" s="175">
        <f>U186*(1+GROWTH_RATE_H)*(1-'Pre-Calculation'!$E$31)</f>
        <v>1843069.468</v>
      </c>
      <c r="W186" s="175">
        <f>-E186+IF(A185=INPUT!$C$11*12,V186,0)</f>
        <v>0</v>
      </c>
      <c r="X186" s="179">
        <f t="array" ref="X186">NPV('Pre-Calculation'!$E$20,$E187:E$246)</f>
        <v>0</v>
      </c>
      <c r="Y186" s="171">
        <f>10%*SA</f>
        <v>100000</v>
      </c>
      <c r="Z186" s="179">
        <f t="array" ref="Z186">NPV('Pre-Calculation'!$E$20,Y187:Y196)</f>
        <v>969592.8037</v>
      </c>
    </row>
    <row r="187" ht="15.75" customHeight="1">
      <c r="A187" s="171">
        <f t="shared" si="1"/>
        <v>181</v>
      </c>
      <c r="B187" s="171">
        <f t="shared" si="2"/>
        <v>16</v>
      </c>
      <c r="C187" s="176">
        <f>EDATE(RCD,A186)</f>
        <v>48029</v>
      </c>
      <c r="D187" s="171">
        <f>Age_At_Entry+'Cashflows_8% from Start'!B187-1</f>
        <v>50</v>
      </c>
      <c r="E187" s="175">
        <f>IF(AND(C187&lt;=Last_Prem,MOD(A186,Mode)=0),Mod_Prem,0)</f>
        <v>0</v>
      </c>
      <c r="F187" s="177">
        <f>E187*VLOOKUP(B187,'Pre-Calculation'!$H$1:$I$31,2,FALSE)</f>
        <v>0</v>
      </c>
      <c r="G187" s="177">
        <f>IF(B187&lt;PT+1,VLOOKUP(B187,'Pre-Calculation'!$H$1:$L$32,3,FALSE)+VLOOKUP(B187,'Pre-Calculation'!$H$1:$L$32,4,FALSE)*'Pre-Calculation'!$D$7,0)</f>
        <v>0</v>
      </c>
      <c r="H187" s="175">
        <f>(E187-(F187+G187)*(1+Tax)+N186)</f>
        <v>1722189.528</v>
      </c>
      <c r="I187" s="175">
        <f>IF(B187&lt;PT+1,VLOOKUP(D187,'Pre-Calculation'!$N$3:$P$79,IF(INPUT!$C$4="M",2,3),FALSE)*(J187/1000)*(1/12),0)</f>
        <v>0</v>
      </c>
      <c r="J187" s="175">
        <f t="shared" si="3"/>
        <v>0</v>
      </c>
      <c r="K187" s="175">
        <f>IF('Pre-Calculation'!$D$17="Type 4 a",MAX(SA,H187,1.05*Q187),IF('Pre-Calculation'!$D$17="Type 4 c",H187,IF('Pre-Calculation'!$D$17="Type 4 d",SA+H187,IF('Pre-Calculation'!$D$17="Type 4 e",MAX(SA,H187),IF('Pre-Calculation'!$D$17="Type 4 f",SA,IF('Pre-Calculation'!$D$17="Type 4 g",1000+H187,IF('Pre-Calculation'!$D$17="Type 4 h",SA+X187,IF('Pre-Calculation'!$D$17="Type 4 i",MAX(H187,Q187),IF('Pre-Calculation'!$D$17="Type 4 k",MAX(H187,1.01*Q187),IF('Pre-Calculation'!$D$17="Type 4 m",MAX(105%*Q187,SA+H187),IF('Pre-Calculation'!$D$17="Type 4 o",MAX(SA,105%*Q187)+X187+Z187,IF('Pre-Calculation'!$D$17="Type 5",0))))))))))))</f>
        <v>1722189.528</v>
      </c>
      <c r="L187" s="175">
        <f>H187-I187*(1+Tax)</f>
        <v>1722189.528</v>
      </c>
      <c r="M187" s="175">
        <f>L187*(1+GROWTH_RATE_H)*(1-FMC*(1+Tax))</f>
        <v>1730970.482</v>
      </c>
      <c r="N187" s="175">
        <f>M187+IF(MOD(A187,B187)=0,VLOOKUP(B187,'Pre-Calculation'!$H$1:$L$31,5,FALSE),0)*IF('Pre-Calculation'!$D$16="% OF FV",M187,IF(OR('Pre-Calculation'!$D$16="% OF AFV(24M)",'Pre-Calculation'!$D$16="% OF AFV(8Q)"),AVERAGE( $M164:$M187),IF('Pre-Calculation'!$D$16="% OF AFV(12M)",AVERAGE($M176:M187),IF('Pre-Calculation'!$D$16="% OF AFV(36M)",AVERAGE($M152:M187)))))</f>
        <v>1730970.482</v>
      </c>
      <c r="O187" s="175">
        <f t="shared" si="4"/>
        <v>1730970.482</v>
      </c>
      <c r="P187" s="175">
        <f>IF('Pre-Calculation'!$D$17="Type 4 a",MAX(SA,N187,1.05*Q187),IF('Pre-Calculation'!$D$17="Type 4 c",N187,IF('Pre-Calculation'!$D$17="Type 4 d",SA+N187,IF('Pre-Calculation'!$D$17="Type 4 e",MAX(SA,N187),IF('Pre-Calculation'!$D$17="Type 4 f",SA,IF('Pre-Calculation'!$D$17="Type 4 g",1000+N187,IF('Pre-Calculation'!$D$17="Type 4 h",SA+X187,IF('Pre-Calculation'!$D$17="Type 4 i",MAX(N187,Q187),IF('Pre-Calculation'!$D$17="Type 4 k",MAX(N187,1.01*Q187),IF('Pre-Calculation'!$D$17="Type 4 m",MAX(105%*Q187,SA+N187),IF('Pre-Calculation'!$D$17="Type 4 o",MAX(SA,105%*Q187)+X187+Z187,IF('Pre-Calculation'!$D$17="Type 5",0))))))))))))</f>
        <v>1730970.482</v>
      </c>
      <c r="Q187" s="175">
        <f t="shared" si="5"/>
        <v>1600000</v>
      </c>
      <c r="R187" s="119">
        <f>L187*(1+GROWTH_RATE)*FMC</f>
        <v>1948.868512</v>
      </c>
      <c r="S187" s="178">
        <f>S186*(1+'Pre-Calculation'!$E$27)</f>
        <v>1092103.082</v>
      </c>
      <c r="T187" s="175">
        <f>-E187+IF(A186=INPUT!$C$11*12,N187,0)</f>
        <v>0</v>
      </c>
      <c r="U187" s="175">
        <f t="shared" si="6"/>
        <v>1843069.468</v>
      </c>
      <c r="V187" s="175">
        <f>U187*(1+GROWTH_RATE_H)*(1-'Pre-Calculation'!$E$31)</f>
        <v>1851838.777</v>
      </c>
      <c r="W187" s="175">
        <f>-E187+IF(A186=INPUT!$C$11*12,V187,0)</f>
        <v>0</v>
      </c>
      <c r="X187" s="179">
        <f t="array" ref="X187">NPV('Pre-Calculation'!$E$20,$E188:E$246)</f>
        <v>0</v>
      </c>
      <c r="Y187" s="171">
        <f>10%*SA</f>
        <v>100000</v>
      </c>
      <c r="Z187" s="179">
        <f t="array" ref="Z187">NPV('Pre-Calculation'!$E$20,Y188:Y197)</f>
        <v>969592.8037</v>
      </c>
    </row>
    <row r="188" ht="15.75" customHeight="1">
      <c r="A188" s="171">
        <f t="shared" si="1"/>
        <v>182</v>
      </c>
      <c r="B188" s="171">
        <f t="shared" si="2"/>
        <v>16</v>
      </c>
      <c r="C188" s="176">
        <f>EDATE(RCD,A187)</f>
        <v>48059</v>
      </c>
      <c r="D188" s="171">
        <f>Age_At_Entry+'Cashflows_8% from Start'!B188-1</f>
        <v>50</v>
      </c>
      <c r="E188" s="175">
        <f>IF(AND(C188&lt;=Last_Prem,MOD(A187,Mode)=0),Mod_Prem,0)</f>
        <v>0</v>
      </c>
      <c r="F188" s="177">
        <f>E188*VLOOKUP(B188,'Pre-Calculation'!$H$1:$I$31,2,FALSE)</f>
        <v>0</v>
      </c>
      <c r="G188" s="177">
        <f>IF(B188&lt;PT+1,VLOOKUP(B188,'Pre-Calculation'!$H$1:$L$32,3,FALSE)+VLOOKUP(B188,'Pre-Calculation'!$H$1:$L$32,4,FALSE)*'Pre-Calculation'!$D$7,0)</f>
        <v>0</v>
      </c>
      <c r="H188" s="175">
        <f>(E188-(F188+G188)*(1+Tax)+N187)</f>
        <v>1730970.482</v>
      </c>
      <c r="I188" s="175">
        <f>IF(B188&lt;PT+1,VLOOKUP(D188,'Pre-Calculation'!$N$3:$P$79,IF(INPUT!$C$4="M",2,3),FALSE)*(J188/1000)*(1/12),0)</f>
        <v>0</v>
      </c>
      <c r="J188" s="175">
        <f t="shared" si="3"/>
        <v>0</v>
      </c>
      <c r="K188" s="175">
        <f>IF('Pre-Calculation'!$D$17="Type 4 a",MAX(SA,H188,1.05*Q188),IF('Pre-Calculation'!$D$17="Type 4 c",H188,IF('Pre-Calculation'!$D$17="Type 4 d",SA+H188,IF('Pre-Calculation'!$D$17="Type 4 e",MAX(SA,H188),IF('Pre-Calculation'!$D$17="Type 4 f",SA,IF('Pre-Calculation'!$D$17="Type 4 g",1000+H188,IF('Pre-Calculation'!$D$17="Type 4 h",SA+X188,IF('Pre-Calculation'!$D$17="Type 4 i",MAX(H188,Q188),IF('Pre-Calculation'!$D$17="Type 4 k",MAX(H188,1.01*Q188),IF('Pre-Calculation'!$D$17="Type 4 m",MAX(105%*Q188,SA+H188),IF('Pre-Calculation'!$D$17="Type 4 o",MAX(SA,105%*Q188)+X188+Z188,IF('Pre-Calculation'!$D$17="Type 5",0))))))))))))</f>
        <v>1730970.482</v>
      </c>
      <c r="L188" s="175">
        <f>H188-I188*(1+Tax)</f>
        <v>1730970.482</v>
      </c>
      <c r="M188" s="175">
        <f>L188*(1+GROWTH_RATE_H)*(1-FMC*(1+Tax))</f>
        <v>1739796.208</v>
      </c>
      <c r="N188" s="175">
        <f>M188+IF(MOD(A188,B188)=0,VLOOKUP(B188,'Pre-Calculation'!$H$1:$L$31,5,FALSE),0)*IF('Pre-Calculation'!$D$16="% OF FV",M188,IF(OR('Pre-Calculation'!$D$16="% OF AFV(24M)",'Pre-Calculation'!$D$16="% OF AFV(8Q)"),AVERAGE( $M165:$M188),IF('Pre-Calculation'!$D$16="% OF AFV(12M)",AVERAGE($M177:M188),IF('Pre-Calculation'!$D$16="% OF AFV(36M)",AVERAGE($M153:M188)))))</f>
        <v>1739796.208</v>
      </c>
      <c r="O188" s="175">
        <f t="shared" si="4"/>
        <v>1739796.208</v>
      </c>
      <c r="P188" s="175">
        <f>IF('Pre-Calculation'!$D$17="Type 4 a",MAX(SA,N188,1.05*Q188),IF('Pre-Calculation'!$D$17="Type 4 c",N188,IF('Pre-Calculation'!$D$17="Type 4 d",SA+N188,IF('Pre-Calculation'!$D$17="Type 4 e",MAX(SA,N188),IF('Pre-Calculation'!$D$17="Type 4 f",SA,IF('Pre-Calculation'!$D$17="Type 4 g",1000+N188,IF('Pre-Calculation'!$D$17="Type 4 h",SA+X188,IF('Pre-Calculation'!$D$17="Type 4 i",MAX(N188,Q188),IF('Pre-Calculation'!$D$17="Type 4 k",MAX(N188,1.01*Q188),IF('Pre-Calculation'!$D$17="Type 4 m",MAX(105%*Q188,SA+N188),IF('Pre-Calculation'!$D$17="Type 4 o",MAX(SA,105%*Q188)+X188+Z188,IF('Pre-Calculation'!$D$17="Type 5",0))))))))))))</f>
        <v>1739796.208</v>
      </c>
      <c r="Q188" s="175">
        <f t="shared" si="5"/>
        <v>1600000</v>
      </c>
      <c r="R188" s="119">
        <f>L188*(1+GROWTH_RATE)*FMC</f>
        <v>1958.805239</v>
      </c>
      <c r="S188" s="178">
        <f>S187*(1+'Pre-Calculation'!$E$27)</f>
        <v>1095238.399</v>
      </c>
      <c r="T188" s="175">
        <f>-E188+IF(A187=INPUT!$C$11*12,N188,0)</f>
        <v>0</v>
      </c>
      <c r="U188" s="175">
        <f t="shared" si="6"/>
        <v>1851838.777</v>
      </c>
      <c r="V188" s="175">
        <f>U188*(1+GROWTH_RATE_H)*(1-'Pre-Calculation'!$E$31)</f>
        <v>1860649.81</v>
      </c>
      <c r="W188" s="175">
        <f>-E188+IF(A187=INPUT!$C$11*12,V188,0)</f>
        <v>0</v>
      </c>
      <c r="X188" s="179">
        <f t="array" ref="X188">NPV('Pre-Calculation'!$E$20,$E189:E$246)</f>
        <v>0</v>
      </c>
      <c r="Y188" s="171">
        <f>10%*SA</f>
        <v>100000</v>
      </c>
      <c r="Z188" s="179">
        <f t="array" ref="Z188">NPV('Pre-Calculation'!$E$20,Y189:Y198)</f>
        <v>969592.8037</v>
      </c>
    </row>
    <row r="189" ht="15.75" customHeight="1">
      <c r="A189" s="171">
        <f t="shared" si="1"/>
        <v>183</v>
      </c>
      <c r="B189" s="171">
        <f t="shared" si="2"/>
        <v>16</v>
      </c>
      <c r="C189" s="176">
        <f>EDATE(RCD,A188)</f>
        <v>48090</v>
      </c>
      <c r="D189" s="171">
        <f>Age_At_Entry+'Cashflows_8% from Start'!B189-1</f>
        <v>50</v>
      </c>
      <c r="E189" s="175">
        <f>IF(AND(C189&lt;=Last_Prem,MOD(A188,Mode)=0),Mod_Prem,0)</f>
        <v>0</v>
      </c>
      <c r="F189" s="177">
        <f>E189*VLOOKUP(B189,'Pre-Calculation'!$H$1:$I$31,2,FALSE)</f>
        <v>0</v>
      </c>
      <c r="G189" s="177">
        <f>IF(B189&lt;PT+1,VLOOKUP(B189,'Pre-Calculation'!$H$1:$L$32,3,FALSE)+VLOOKUP(B189,'Pre-Calculation'!$H$1:$L$32,4,FALSE)*'Pre-Calculation'!$D$7,0)</f>
        <v>0</v>
      </c>
      <c r="H189" s="175">
        <f>(E189-(F189+G189)*(1+Tax)+N188)</f>
        <v>1739796.208</v>
      </c>
      <c r="I189" s="175">
        <f>IF(B189&lt;PT+1,VLOOKUP(D189,'Pre-Calculation'!$N$3:$P$79,IF(INPUT!$C$4="M",2,3),FALSE)*(J189/1000)*(1/12),0)</f>
        <v>0</v>
      </c>
      <c r="J189" s="175">
        <f t="shared" si="3"/>
        <v>0</v>
      </c>
      <c r="K189" s="175">
        <f>IF('Pre-Calculation'!$D$17="Type 4 a",MAX(SA,H189,1.05*Q189),IF('Pre-Calculation'!$D$17="Type 4 c",H189,IF('Pre-Calculation'!$D$17="Type 4 d",SA+H189,IF('Pre-Calculation'!$D$17="Type 4 e",MAX(SA,H189),IF('Pre-Calculation'!$D$17="Type 4 f",SA,IF('Pre-Calculation'!$D$17="Type 4 g",1000+H189,IF('Pre-Calculation'!$D$17="Type 4 h",SA+X189,IF('Pre-Calculation'!$D$17="Type 4 i",MAX(H189,Q189),IF('Pre-Calculation'!$D$17="Type 4 k",MAX(H189,1.01*Q189),IF('Pre-Calculation'!$D$17="Type 4 m",MAX(105%*Q189,SA+H189),IF('Pre-Calculation'!$D$17="Type 4 o",MAX(SA,105%*Q189)+X189+Z189,IF('Pre-Calculation'!$D$17="Type 5",0))))))))))))</f>
        <v>1739796.208</v>
      </c>
      <c r="L189" s="175">
        <f>H189-I189*(1+Tax)</f>
        <v>1739796.208</v>
      </c>
      <c r="M189" s="175">
        <f>L189*(1+GROWTH_RATE_H)*(1-FMC*(1+Tax))</f>
        <v>1748666.934</v>
      </c>
      <c r="N189" s="175">
        <f>M189+IF(MOD(A189,B189)=0,VLOOKUP(B189,'Pre-Calculation'!$H$1:$L$31,5,FALSE),0)*IF('Pre-Calculation'!$D$16="% OF FV",M189,IF(OR('Pre-Calculation'!$D$16="% OF AFV(24M)",'Pre-Calculation'!$D$16="% OF AFV(8Q)"),AVERAGE( $M166:$M189),IF('Pre-Calculation'!$D$16="% OF AFV(12M)",AVERAGE($M178:M189),IF('Pre-Calculation'!$D$16="% OF AFV(36M)",AVERAGE($M154:M189)))))</f>
        <v>1748666.934</v>
      </c>
      <c r="O189" s="175">
        <f t="shared" si="4"/>
        <v>1748666.934</v>
      </c>
      <c r="P189" s="175">
        <f>IF('Pre-Calculation'!$D$17="Type 4 a",MAX(SA,N189,1.05*Q189),IF('Pre-Calculation'!$D$17="Type 4 c",N189,IF('Pre-Calculation'!$D$17="Type 4 d",SA+N189,IF('Pre-Calculation'!$D$17="Type 4 e",MAX(SA,N189),IF('Pre-Calculation'!$D$17="Type 4 f",SA,IF('Pre-Calculation'!$D$17="Type 4 g",1000+N189,IF('Pre-Calculation'!$D$17="Type 4 h",SA+X189,IF('Pre-Calculation'!$D$17="Type 4 i",MAX(N189,Q189),IF('Pre-Calculation'!$D$17="Type 4 k",MAX(N189,1.01*Q189),IF('Pre-Calculation'!$D$17="Type 4 m",MAX(105%*Q189,SA+N189),IF('Pre-Calculation'!$D$17="Type 4 o",MAX(SA,105%*Q189)+X189+Z189,IF('Pre-Calculation'!$D$17="Type 5",0))))))))))))</f>
        <v>1748666.934</v>
      </c>
      <c r="Q189" s="175">
        <f t="shared" si="5"/>
        <v>1600000</v>
      </c>
      <c r="R189" s="119">
        <f>L189*(1+GROWTH_RATE)*FMC</f>
        <v>1968.792629</v>
      </c>
      <c r="S189" s="178">
        <f>S188*(1+'Pre-Calculation'!$E$27)</f>
        <v>1098382.718</v>
      </c>
      <c r="T189" s="175">
        <f>-E189+IF(A188=INPUT!$C$11*12,N189,0)</f>
        <v>0</v>
      </c>
      <c r="U189" s="175">
        <f t="shared" si="6"/>
        <v>1860649.81</v>
      </c>
      <c r="V189" s="175">
        <f>U189*(1+GROWTH_RATE_H)*(1-'Pre-Calculation'!$E$31)</f>
        <v>1869502.765</v>
      </c>
      <c r="W189" s="175">
        <f>-E189+IF(A188=INPUT!$C$11*12,V189,0)</f>
        <v>0</v>
      </c>
      <c r="X189" s="179">
        <f t="array" ref="X189">NPV('Pre-Calculation'!$E$20,$E190:E$246)</f>
        <v>0</v>
      </c>
      <c r="Y189" s="171">
        <f>10%*SA</f>
        <v>100000</v>
      </c>
      <c r="Z189" s="179">
        <f t="array" ref="Z189">NPV('Pre-Calculation'!$E$20,Y190:Y199)</f>
        <v>969592.8037</v>
      </c>
    </row>
    <row r="190" ht="15.75" customHeight="1">
      <c r="A190" s="171">
        <f t="shared" si="1"/>
        <v>184</v>
      </c>
      <c r="B190" s="171">
        <f t="shared" si="2"/>
        <v>16</v>
      </c>
      <c r="C190" s="176">
        <f>EDATE(RCD,A189)</f>
        <v>48121</v>
      </c>
      <c r="D190" s="171">
        <f>Age_At_Entry+'Cashflows_8% from Start'!B190-1</f>
        <v>50</v>
      </c>
      <c r="E190" s="175">
        <f>IF(AND(C190&lt;=Last_Prem,MOD(A189,Mode)=0),Mod_Prem,0)</f>
        <v>0</v>
      </c>
      <c r="F190" s="177">
        <f>E190*VLOOKUP(B190,'Pre-Calculation'!$H$1:$I$31,2,FALSE)</f>
        <v>0</v>
      </c>
      <c r="G190" s="177">
        <f>IF(B190&lt;PT+1,VLOOKUP(B190,'Pre-Calculation'!$H$1:$L$32,3,FALSE)+VLOOKUP(B190,'Pre-Calculation'!$H$1:$L$32,4,FALSE)*'Pre-Calculation'!$D$7,0)</f>
        <v>0</v>
      </c>
      <c r="H190" s="175">
        <f>(E190-(F190+G190)*(1+Tax)+N189)</f>
        <v>1748666.934</v>
      </c>
      <c r="I190" s="175">
        <f>IF(B190&lt;PT+1,VLOOKUP(D190,'Pre-Calculation'!$N$3:$P$79,IF(INPUT!$C$4="M",2,3),FALSE)*(J190/1000)*(1/12),0)</f>
        <v>0</v>
      </c>
      <c r="J190" s="175">
        <f t="shared" si="3"/>
        <v>0</v>
      </c>
      <c r="K190" s="175">
        <f>IF('Pre-Calculation'!$D$17="Type 4 a",MAX(SA,H190,1.05*Q190),IF('Pre-Calculation'!$D$17="Type 4 c",H190,IF('Pre-Calculation'!$D$17="Type 4 d",SA+H190,IF('Pre-Calculation'!$D$17="Type 4 e",MAX(SA,H190),IF('Pre-Calculation'!$D$17="Type 4 f",SA,IF('Pre-Calculation'!$D$17="Type 4 g",1000+H190,IF('Pre-Calculation'!$D$17="Type 4 h",SA+X190,IF('Pre-Calculation'!$D$17="Type 4 i",MAX(H190,Q190),IF('Pre-Calculation'!$D$17="Type 4 k",MAX(H190,1.01*Q190),IF('Pre-Calculation'!$D$17="Type 4 m",MAX(105%*Q190,SA+H190),IF('Pre-Calculation'!$D$17="Type 4 o",MAX(SA,105%*Q190)+X190+Z190,IF('Pre-Calculation'!$D$17="Type 5",0))))))))))))</f>
        <v>1748666.934</v>
      </c>
      <c r="L190" s="175">
        <f>H190-I190*(1+Tax)</f>
        <v>1748666.934</v>
      </c>
      <c r="M190" s="175">
        <f>L190*(1+GROWTH_RATE_H)*(1-FMC*(1+Tax))</f>
        <v>1757582.889</v>
      </c>
      <c r="N190" s="175">
        <f>M190+IF(MOD(A190,B190)=0,VLOOKUP(B190,'Pre-Calculation'!$H$1:$L$31,5,FALSE),0)*IF('Pre-Calculation'!$D$16="% OF FV",M190,IF(OR('Pre-Calculation'!$D$16="% OF AFV(24M)",'Pre-Calculation'!$D$16="% OF AFV(8Q)"),AVERAGE( $M167:$M190),IF('Pre-Calculation'!$D$16="% OF AFV(12M)",AVERAGE($M179:M190),IF('Pre-Calculation'!$D$16="% OF AFV(36M)",AVERAGE($M155:M190)))))</f>
        <v>1757582.889</v>
      </c>
      <c r="O190" s="175">
        <f t="shared" si="4"/>
        <v>1757582.889</v>
      </c>
      <c r="P190" s="175">
        <f>IF('Pre-Calculation'!$D$17="Type 4 a",MAX(SA,N190,1.05*Q190),IF('Pre-Calculation'!$D$17="Type 4 c",N190,IF('Pre-Calculation'!$D$17="Type 4 d",SA+N190,IF('Pre-Calculation'!$D$17="Type 4 e",MAX(SA,N190),IF('Pre-Calculation'!$D$17="Type 4 f",SA,IF('Pre-Calculation'!$D$17="Type 4 g",1000+N190,IF('Pre-Calculation'!$D$17="Type 4 h",SA+X190,IF('Pre-Calculation'!$D$17="Type 4 i",MAX(N190,Q190),IF('Pre-Calculation'!$D$17="Type 4 k",MAX(N190,1.01*Q190),IF('Pre-Calculation'!$D$17="Type 4 m",MAX(105%*Q190,SA+N190),IF('Pre-Calculation'!$D$17="Type 4 o",MAX(SA,105%*Q190)+X190+Z190,IF('Pre-Calculation'!$D$17="Type 5",0))))))))))))</f>
        <v>1757582.889</v>
      </c>
      <c r="Q190" s="175">
        <f t="shared" si="5"/>
        <v>1600000</v>
      </c>
      <c r="R190" s="119">
        <f>L190*(1+GROWTH_RATE)*FMC</f>
        <v>1978.830943</v>
      </c>
      <c r="S190" s="178">
        <f>S189*(1+'Pre-Calculation'!$E$27)</f>
        <v>1101536.063</v>
      </c>
      <c r="T190" s="175">
        <f>-E190+IF(A189=INPUT!$C$11*12,N190,0)</f>
        <v>0</v>
      </c>
      <c r="U190" s="175">
        <f t="shared" si="6"/>
        <v>1869502.765</v>
      </c>
      <c r="V190" s="175">
        <f>U190*(1+GROWTH_RATE_H)*(1-'Pre-Calculation'!$E$31)</f>
        <v>1878397.843</v>
      </c>
      <c r="W190" s="175">
        <f>-E190+IF(A189=INPUT!$C$11*12,V190,0)</f>
        <v>0</v>
      </c>
      <c r="X190" s="179">
        <f t="array" ref="X190">NPV('Pre-Calculation'!$E$20,$E191:E$246)</f>
        <v>0</v>
      </c>
      <c r="Y190" s="171">
        <f>10%*SA</f>
        <v>100000</v>
      </c>
      <c r="Z190" s="179">
        <f t="array" ref="Z190">NPV('Pre-Calculation'!$E$20,Y191:Y200)</f>
        <v>969592.8037</v>
      </c>
    </row>
    <row r="191" ht="15.75" customHeight="1">
      <c r="A191" s="171">
        <f t="shared" si="1"/>
        <v>185</v>
      </c>
      <c r="B191" s="171">
        <f t="shared" si="2"/>
        <v>16</v>
      </c>
      <c r="C191" s="176">
        <f>EDATE(RCD,A190)</f>
        <v>48151</v>
      </c>
      <c r="D191" s="171">
        <f>Age_At_Entry+'Cashflows_8% from Start'!B191-1</f>
        <v>50</v>
      </c>
      <c r="E191" s="175">
        <f>IF(AND(C191&lt;=Last_Prem,MOD(A190,Mode)=0),Mod_Prem,0)</f>
        <v>0</v>
      </c>
      <c r="F191" s="177">
        <f>E191*VLOOKUP(B191,'Pre-Calculation'!$H$1:$I$31,2,FALSE)</f>
        <v>0</v>
      </c>
      <c r="G191" s="177">
        <f>IF(B191&lt;PT+1,VLOOKUP(B191,'Pre-Calculation'!$H$1:$L$32,3,FALSE)+VLOOKUP(B191,'Pre-Calculation'!$H$1:$L$32,4,FALSE)*'Pre-Calculation'!$D$7,0)</f>
        <v>0</v>
      </c>
      <c r="H191" s="175">
        <f>(E191-(F191+G191)*(1+Tax)+N190)</f>
        <v>1757582.889</v>
      </c>
      <c r="I191" s="175">
        <f>IF(B191&lt;PT+1,VLOOKUP(D191,'Pre-Calculation'!$N$3:$P$79,IF(INPUT!$C$4="M",2,3),FALSE)*(J191/1000)*(1/12),0)</f>
        <v>0</v>
      </c>
      <c r="J191" s="175">
        <f t="shared" si="3"/>
        <v>0</v>
      </c>
      <c r="K191" s="175">
        <f>IF('Pre-Calculation'!$D$17="Type 4 a",MAX(SA,H191,1.05*Q191),IF('Pre-Calculation'!$D$17="Type 4 c",H191,IF('Pre-Calculation'!$D$17="Type 4 d",SA+H191,IF('Pre-Calculation'!$D$17="Type 4 e",MAX(SA,H191),IF('Pre-Calculation'!$D$17="Type 4 f",SA,IF('Pre-Calculation'!$D$17="Type 4 g",1000+H191,IF('Pre-Calculation'!$D$17="Type 4 h",SA+X191,IF('Pre-Calculation'!$D$17="Type 4 i",MAX(H191,Q191),IF('Pre-Calculation'!$D$17="Type 4 k",MAX(H191,1.01*Q191),IF('Pre-Calculation'!$D$17="Type 4 m",MAX(105%*Q191,SA+H191),IF('Pre-Calculation'!$D$17="Type 4 o",MAX(SA,105%*Q191)+X191+Z191,IF('Pre-Calculation'!$D$17="Type 5",0))))))))))))</f>
        <v>1757582.889</v>
      </c>
      <c r="L191" s="175">
        <f>H191-I191*(1+Tax)</f>
        <v>1757582.889</v>
      </c>
      <c r="M191" s="175">
        <f>L191*(1+GROWTH_RATE_H)*(1-FMC*(1+Tax))</f>
        <v>1766544.305</v>
      </c>
      <c r="N191" s="175">
        <f>M191+IF(MOD(A191,B191)=0,VLOOKUP(B191,'Pre-Calculation'!$H$1:$L$31,5,FALSE),0)*IF('Pre-Calculation'!$D$16="% OF FV",M191,IF(OR('Pre-Calculation'!$D$16="% OF AFV(24M)",'Pre-Calculation'!$D$16="% OF AFV(8Q)"),AVERAGE( $M168:$M191),IF('Pre-Calculation'!$D$16="% OF AFV(12M)",AVERAGE($M180:M191),IF('Pre-Calculation'!$D$16="% OF AFV(36M)",AVERAGE($M156:M191)))))</f>
        <v>1766544.305</v>
      </c>
      <c r="O191" s="175">
        <f t="shared" si="4"/>
        <v>1766544.305</v>
      </c>
      <c r="P191" s="175">
        <f>IF('Pre-Calculation'!$D$17="Type 4 a",MAX(SA,N191,1.05*Q191),IF('Pre-Calculation'!$D$17="Type 4 c",N191,IF('Pre-Calculation'!$D$17="Type 4 d",SA+N191,IF('Pre-Calculation'!$D$17="Type 4 e",MAX(SA,N191),IF('Pre-Calculation'!$D$17="Type 4 f",SA,IF('Pre-Calculation'!$D$17="Type 4 g",1000+N191,IF('Pre-Calculation'!$D$17="Type 4 h",SA+X191,IF('Pre-Calculation'!$D$17="Type 4 i",MAX(N191,Q191),IF('Pre-Calculation'!$D$17="Type 4 k",MAX(N191,1.01*Q191),IF('Pre-Calculation'!$D$17="Type 4 m",MAX(105%*Q191,SA+N191),IF('Pre-Calculation'!$D$17="Type 4 o",MAX(SA,105%*Q191)+X191+Z191,IF('Pre-Calculation'!$D$17="Type 5",0))))))))))))</f>
        <v>1766544.305</v>
      </c>
      <c r="Q191" s="175">
        <f t="shared" si="5"/>
        <v>1600000</v>
      </c>
      <c r="R191" s="119">
        <f>L191*(1+GROWTH_RATE)*FMC</f>
        <v>1988.920439</v>
      </c>
      <c r="S191" s="178">
        <f>S190*(1+'Pre-Calculation'!$E$27)</f>
        <v>1104698.462</v>
      </c>
      <c r="T191" s="175">
        <f>-E191+IF(A190=INPUT!$C$11*12,N191,0)</f>
        <v>0</v>
      </c>
      <c r="U191" s="175">
        <f t="shared" si="6"/>
        <v>1878397.843</v>
      </c>
      <c r="V191" s="175">
        <f>U191*(1+GROWTH_RATE_H)*(1-'Pre-Calculation'!$E$31)</f>
        <v>1887335.243</v>
      </c>
      <c r="W191" s="175">
        <f>-E191+IF(A190=INPUT!$C$11*12,V191,0)</f>
        <v>0</v>
      </c>
      <c r="X191" s="179">
        <f t="array" ref="X191">NPV('Pre-Calculation'!$E$20,$E192:E$246)</f>
        <v>0</v>
      </c>
      <c r="Y191" s="171">
        <f>10%*SA</f>
        <v>100000</v>
      </c>
      <c r="Z191" s="179">
        <f t="array" ref="Z191">NPV('Pre-Calculation'!$E$20,Y192:Y201)</f>
        <v>969592.8037</v>
      </c>
    </row>
    <row r="192" ht="15.75" customHeight="1">
      <c r="A192" s="171">
        <f t="shared" si="1"/>
        <v>186</v>
      </c>
      <c r="B192" s="171">
        <f t="shared" si="2"/>
        <v>16</v>
      </c>
      <c r="C192" s="176">
        <f>EDATE(RCD,A191)</f>
        <v>48182</v>
      </c>
      <c r="D192" s="171">
        <f>Age_At_Entry+'Cashflows_8% from Start'!B192-1</f>
        <v>50</v>
      </c>
      <c r="E192" s="175">
        <f>IF(AND(C192&lt;=Last_Prem,MOD(A191,Mode)=0),Mod_Prem,0)</f>
        <v>0</v>
      </c>
      <c r="F192" s="177">
        <f>E192*VLOOKUP(B192,'Pre-Calculation'!$H$1:$I$31,2,FALSE)</f>
        <v>0</v>
      </c>
      <c r="G192" s="177">
        <f>IF(B192&lt;PT+1,VLOOKUP(B192,'Pre-Calculation'!$H$1:$L$32,3,FALSE)+VLOOKUP(B192,'Pre-Calculation'!$H$1:$L$32,4,FALSE)*'Pre-Calculation'!$D$7,0)</f>
        <v>0</v>
      </c>
      <c r="H192" s="175">
        <f>(E192-(F192+G192)*(1+Tax)+N191)</f>
        <v>1766544.305</v>
      </c>
      <c r="I192" s="175">
        <f>IF(B192&lt;PT+1,VLOOKUP(D192,'Pre-Calculation'!$N$3:$P$79,IF(INPUT!$C$4="M",2,3),FALSE)*(J192/1000)*(1/12),0)</f>
        <v>0</v>
      </c>
      <c r="J192" s="175">
        <f t="shared" si="3"/>
        <v>0</v>
      </c>
      <c r="K192" s="175">
        <f>IF('Pre-Calculation'!$D$17="Type 4 a",MAX(SA,H192,1.05*Q192),IF('Pre-Calculation'!$D$17="Type 4 c",H192,IF('Pre-Calculation'!$D$17="Type 4 d",SA+H192,IF('Pre-Calculation'!$D$17="Type 4 e",MAX(SA,H192),IF('Pre-Calculation'!$D$17="Type 4 f",SA,IF('Pre-Calculation'!$D$17="Type 4 g",1000+H192,IF('Pre-Calculation'!$D$17="Type 4 h",SA+X192,IF('Pre-Calculation'!$D$17="Type 4 i",MAX(H192,Q192),IF('Pre-Calculation'!$D$17="Type 4 k",MAX(H192,1.01*Q192),IF('Pre-Calculation'!$D$17="Type 4 m",MAX(105%*Q192,SA+H192),IF('Pre-Calculation'!$D$17="Type 4 o",MAX(SA,105%*Q192)+X192+Z192,IF('Pre-Calculation'!$D$17="Type 5",0))))))))))))</f>
        <v>1766544.305</v>
      </c>
      <c r="L192" s="175">
        <f>H192-I192*(1+Tax)</f>
        <v>1766544.305</v>
      </c>
      <c r="M192" s="175">
        <f>L192*(1+GROWTH_RATE_H)*(1-FMC*(1+Tax))</f>
        <v>1775551.411</v>
      </c>
      <c r="N192" s="175">
        <f>M192+IF(MOD(A192,B192)=0,VLOOKUP(B192,'Pre-Calculation'!$H$1:$L$31,5,FALSE),0)*IF('Pre-Calculation'!$D$16="% OF FV",M192,IF(OR('Pre-Calculation'!$D$16="% OF AFV(24M)",'Pre-Calculation'!$D$16="% OF AFV(8Q)"),AVERAGE( $M169:$M192),IF('Pre-Calculation'!$D$16="% OF AFV(12M)",AVERAGE($M181:M192),IF('Pre-Calculation'!$D$16="% OF AFV(36M)",AVERAGE($M157:M192)))))</f>
        <v>1775551.411</v>
      </c>
      <c r="O192" s="175">
        <f t="shared" si="4"/>
        <v>1775551.411</v>
      </c>
      <c r="P192" s="175">
        <f>IF('Pre-Calculation'!$D$17="Type 4 a",MAX(SA,N192,1.05*Q192),IF('Pre-Calculation'!$D$17="Type 4 c",N192,IF('Pre-Calculation'!$D$17="Type 4 d",SA+N192,IF('Pre-Calculation'!$D$17="Type 4 e",MAX(SA,N192),IF('Pre-Calculation'!$D$17="Type 4 f",SA,IF('Pre-Calculation'!$D$17="Type 4 g",1000+N192,IF('Pre-Calculation'!$D$17="Type 4 h",SA+X192,IF('Pre-Calculation'!$D$17="Type 4 i",MAX(N192,Q192),IF('Pre-Calculation'!$D$17="Type 4 k",MAX(N192,1.01*Q192),IF('Pre-Calculation'!$D$17="Type 4 m",MAX(105%*Q192,SA+N192),IF('Pre-Calculation'!$D$17="Type 4 o",MAX(SA,105%*Q192)+X192+Z192,IF('Pre-Calculation'!$D$17="Type 5",0))))))))))))</f>
        <v>1775551.411</v>
      </c>
      <c r="Q192" s="175">
        <f t="shared" si="5"/>
        <v>1600000</v>
      </c>
      <c r="R192" s="119">
        <f>L192*(1+GROWTH_RATE)*FMC</f>
        <v>1999.061378</v>
      </c>
      <c r="S192" s="178">
        <f>S191*(1+'Pre-Calculation'!$E$27)</f>
        <v>1107869.939</v>
      </c>
      <c r="T192" s="175">
        <f>-E192+IF(A191=INPUT!$C$11*12,N192,0)</f>
        <v>0</v>
      </c>
      <c r="U192" s="175">
        <f t="shared" si="6"/>
        <v>1887335.243</v>
      </c>
      <c r="V192" s="175">
        <f>U192*(1+GROWTH_RATE_H)*(1-'Pre-Calculation'!$E$31)</f>
        <v>1896315.168</v>
      </c>
      <c r="W192" s="175">
        <f>-E192+IF(A191=INPUT!$C$11*12,V192,0)</f>
        <v>0</v>
      </c>
      <c r="X192" s="179">
        <f t="array" ref="X192">NPV('Pre-Calculation'!$E$20,$E193:E$246)</f>
        <v>0</v>
      </c>
      <c r="Y192" s="171">
        <f>10%*SA</f>
        <v>100000</v>
      </c>
      <c r="Z192" s="179">
        <f t="array" ref="Z192">NPV('Pre-Calculation'!$E$20,Y193:Y202)</f>
        <v>969592.8037</v>
      </c>
    </row>
    <row r="193" ht="15.75" customHeight="1">
      <c r="A193" s="171">
        <f t="shared" si="1"/>
        <v>187</v>
      </c>
      <c r="B193" s="171">
        <f t="shared" si="2"/>
        <v>16</v>
      </c>
      <c r="C193" s="176">
        <f>EDATE(RCD,A192)</f>
        <v>48212</v>
      </c>
      <c r="D193" s="171">
        <f>Age_At_Entry+'Cashflows_8% from Start'!B193-1</f>
        <v>50</v>
      </c>
      <c r="E193" s="175">
        <f>IF(AND(C193&lt;=Last_Prem,MOD(A192,Mode)=0),Mod_Prem,0)</f>
        <v>0</v>
      </c>
      <c r="F193" s="177">
        <f>E193*VLOOKUP(B193,'Pre-Calculation'!$H$1:$I$31,2,FALSE)</f>
        <v>0</v>
      </c>
      <c r="G193" s="177">
        <f>IF(B193&lt;PT+1,VLOOKUP(B193,'Pre-Calculation'!$H$1:$L$32,3,FALSE)+VLOOKUP(B193,'Pre-Calculation'!$H$1:$L$32,4,FALSE)*'Pre-Calculation'!$D$7,0)</f>
        <v>0</v>
      </c>
      <c r="H193" s="175">
        <f>(E193-(F193+G193)*(1+Tax)+N192)</f>
        <v>1775551.411</v>
      </c>
      <c r="I193" s="175">
        <f>IF(B193&lt;PT+1,VLOOKUP(D193,'Pre-Calculation'!$N$3:$P$79,IF(INPUT!$C$4="M",2,3),FALSE)*(J193/1000)*(1/12),0)</f>
        <v>0</v>
      </c>
      <c r="J193" s="175">
        <f t="shared" si="3"/>
        <v>0</v>
      </c>
      <c r="K193" s="175">
        <f>IF('Pre-Calculation'!$D$17="Type 4 a",MAX(SA,H193,1.05*Q193),IF('Pre-Calculation'!$D$17="Type 4 c",H193,IF('Pre-Calculation'!$D$17="Type 4 d",SA+H193,IF('Pre-Calculation'!$D$17="Type 4 e",MAX(SA,H193),IF('Pre-Calculation'!$D$17="Type 4 f",SA,IF('Pre-Calculation'!$D$17="Type 4 g",1000+H193,IF('Pre-Calculation'!$D$17="Type 4 h",SA+X193,IF('Pre-Calculation'!$D$17="Type 4 i",MAX(H193,Q193),IF('Pre-Calculation'!$D$17="Type 4 k",MAX(H193,1.01*Q193),IF('Pre-Calculation'!$D$17="Type 4 m",MAX(105%*Q193,SA+H193),IF('Pre-Calculation'!$D$17="Type 4 o",MAX(SA,105%*Q193)+X193+Z193,IF('Pre-Calculation'!$D$17="Type 5",0))))))))))))</f>
        <v>1775551.411</v>
      </c>
      <c r="L193" s="175">
        <f>H193-I193*(1+Tax)</f>
        <v>1775551.411</v>
      </c>
      <c r="M193" s="175">
        <f>L193*(1+GROWTH_RATE_H)*(1-FMC*(1+Tax))</f>
        <v>1784604.443</v>
      </c>
      <c r="N193" s="175">
        <f>M193+IF(MOD(A193,B193)=0,VLOOKUP(B193,'Pre-Calculation'!$H$1:$L$31,5,FALSE),0)*IF('Pre-Calculation'!$D$16="% OF FV",M193,IF(OR('Pre-Calculation'!$D$16="% OF AFV(24M)",'Pre-Calculation'!$D$16="% OF AFV(8Q)"),AVERAGE( $M170:$M193),IF('Pre-Calculation'!$D$16="% OF AFV(12M)",AVERAGE($M182:M193),IF('Pre-Calculation'!$D$16="% OF AFV(36M)",AVERAGE($M158:M193)))))</f>
        <v>1784604.443</v>
      </c>
      <c r="O193" s="175">
        <f t="shared" si="4"/>
        <v>1784604.443</v>
      </c>
      <c r="P193" s="175">
        <f>IF('Pre-Calculation'!$D$17="Type 4 a",MAX(SA,N193,1.05*Q193),IF('Pre-Calculation'!$D$17="Type 4 c",N193,IF('Pre-Calculation'!$D$17="Type 4 d",SA+N193,IF('Pre-Calculation'!$D$17="Type 4 e",MAX(SA,N193),IF('Pre-Calculation'!$D$17="Type 4 f",SA,IF('Pre-Calculation'!$D$17="Type 4 g",1000+N193,IF('Pre-Calculation'!$D$17="Type 4 h",SA+X193,IF('Pre-Calculation'!$D$17="Type 4 i",MAX(N193,Q193),IF('Pre-Calculation'!$D$17="Type 4 k",MAX(N193,1.01*Q193),IF('Pre-Calculation'!$D$17="Type 4 m",MAX(105%*Q193,SA+N193),IF('Pre-Calculation'!$D$17="Type 4 o",MAX(SA,105%*Q193)+X193+Z193,IF('Pre-Calculation'!$D$17="Type 5",0))))))))))))</f>
        <v>1784604.443</v>
      </c>
      <c r="Q193" s="175">
        <f t="shared" si="5"/>
        <v>1600000</v>
      </c>
      <c r="R193" s="119">
        <f>L193*(1+GROWTH_RATE)*FMC</f>
        <v>2009.254023</v>
      </c>
      <c r="S193" s="178">
        <f>S192*(1+'Pre-Calculation'!$E$27)</f>
        <v>1111050.522</v>
      </c>
      <c r="T193" s="175">
        <f>-E193+IF(A192=INPUT!$C$11*12,N193,0)</f>
        <v>0</v>
      </c>
      <c r="U193" s="175">
        <f t="shared" si="6"/>
        <v>1896315.168</v>
      </c>
      <c r="V193" s="175">
        <f>U193*(1+GROWTH_RATE_H)*(1-'Pre-Calculation'!$E$31)</f>
        <v>1905337.819</v>
      </c>
      <c r="W193" s="175">
        <f>-E193+IF(A192=INPUT!$C$11*12,V193,0)</f>
        <v>0</v>
      </c>
      <c r="X193" s="179">
        <f t="array" ref="X193">NPV('Pre-Calculation'!$E$20,$E194:E$246)</f>
        <v>0</v>
      </c>
      <c r="Y193" s="171">
        <f>10%*SA</f>
        <v>100000</v>
      </c>
      <c r="Z193" s="179">
        <f t="array" ref="Z193">NPV('Pre-Calculation'!$E$20,Y194:Y203)</f>
        <v>969592.8037</v>
      </c>
    </row>
    <row r="194" ht="15.75" customHeight="1">
      <c r="A194" s="171">
        <f t="shared" si="1"/>
        <v>188</v>
      </c>
      <c r="B194" s="171">
        <f t="shared" si="2"/>
        <v>16</v>
      </c>
      <c r="C194" s="176">
        <f>EDATE(RCD,A193)</f>
        <v>48243</v>
      </c>
      <c r="D194" s="171">
        <f>Age_At_Entry+'Cashflows_8% from Start'!B194-1</f>
        <v>50</v>
      </c>
      <c r="E194" s="175">
        <f>IF(AND(C194&lt;=Last_Prem,MOD(A193,Mode)=0),Mod_Prem,0)</f>
        <v>0</v>
      </c>
      <c r="F194" s="177">
        <f>E194*VLOOKUP(B194,'Pre-Calculation'!$H$1:$I$31,2,FALSE)</f>
        <v>0</v>
      </c>
      <c r="G194" s="177">
        <f>IF(B194&lt;PT+1,VLOOKUP(B194,'Pre-Calculation'!$H$1:$L$32,3,FALSE)+VLOOKUP(B194,'Pre-Calculation'!$H$1:$L$32,4,FALSE)*'Pre-Calculation'!$D$7,0)</f>
        <v>0</v>
      </c>
      <c r="H194" s="175">
        <f>(E194-(F194+G194)*(1+Tax)+N193)</f>
        <v>1784604.443</v>
      </c>
      <c r="I194" s="175">
        <f>IF(B194&lt;PT+1,VLOOKUP(D194,'Pre-Calculation'!$N$3:$P$79,IF(INPUT!$C$4="M",2,3),FALSE)*(J194/1000)*(1/12),0)</f>
        <v>0</v>
      </c>
      <c r="J194" s="175">
        <f t="shared" si="3"/>
        <v>0</v>
      </c>
      <c r="K194" s="175">
        <f>IF('Pre-Calculation'!$D$17="Type 4 a",MAX(SA,H194,1.05*Q194),IF('Pre-Calculation'!$D$17="Type 4 c",H194,IF('Pre-Calculation'!$D$17="Type 4 d",SA+H194,IF('Pre-Calculation'!$D$17="Type 4 e",MAX(SA,H194),IF('Pre-Calculation'!$D$17="Type 4 f",SA,IF('Pre-Calculation'!$D$17="Type 4 g",1000+H194,IF('Pre-Calculation'!$D$17="Type 4 h",SA+X194,IF('Pre-Calculation'!$D$17="Type 4 i",MAX(H194,Q194),IF('Pre-Calculation'!$D$17="Type 4 k",MAX(H194,1.01*Q194),IF('Pre-Calculation'!$D$17="Type 4 m",MAX(105%*Q194,SA+H194),IF('Pre-Calculation'!$D$17="Type 4 o",MAX(SA,105%*Q194)+X194+Z194,IF('Pre-Calculation'!$D$17="Type 5",0))))))))))))</f>
        <v>1784604.443</v>
      </c>
      <c r="L194" s="175">
        <f>H194-I194*(1+Tax)</f>
        <v>1784604.443</v>
      </c>
      <c r="M194" s="175">
        <f>L194*(1+GROWTH_RATE_H)*(1-FMC*(1+Tax))</f>
        <v>1793703.633</v>
      </c>
      <c r="N194" s="175">
        <f>M194+IF(MOD(A194,B194)=0,VLOOKUP(B194,'Pre-Calculation'!$H$1:$L$31,5,FALSE),0)*IF('Pre-Calculation'!$D$16="% OF FV",M194,IF(OR('Pre-Calculation'!$D$16="% OF AFV(24M)",'Pre-Calculation'!$D$16="% OF AFV(8Q)"),AVERAGE( $M171:$M194),IF('Pre-Calculation'!$D$16="% OF AFV(12M)",AVERAGE($M183:M194),IF('Pre-Calculation'!$D$16="% OF AFV(36M)",AVERAGE($M159:M194)))))</f>
        <v>1793703.633</v>
      </c>
      <c r="O194" s="175">
        <f t="shared" si="4"/>
        <v>1793703.633</v>
      </c>
      <c r="P194" s="175">
        <f>IF('Pre-Calculation'!$D$17="Type 4 a",MAX(SA,N194,1.05*Q194),IF('Pre-Calculation'!$D$17="Type 4 c",N194,IF('Pre-Calculation'!$D$17="Type 4 d",SA+N194,IF('Pre-Calculation'!$D$17="Type 4 e",MAX(SA,N194),IF('Pre-Calculation'!$D$17="Type 4 f",SA,IF('Pre-Calculation'!$D$17="Type 4 g",1000+N194,IF('Pre-Calculation'!$D$17="Type 4 h",SA+X194,IF('Pre-Calculation'!$D$17="Type 4 i",MAX(N194,Q194),IF('Pre-Calculation'!$D$17="Type 4 k",MAX(N194,1.01*Q194),IF('Pre-Calculation'!$D$17="Type 4 m",MAX(105%*Q194,SA+N194),IF('Pre-Calculation'!$D$17="Type 4 o",MAX(SA,105%*Q194)+X194+Z194,IF('Pre-Calculation'!$D$17="Type 5",0))))))))))))</f>
        <v>1793703.633</v>
      </c>
      <c r="Q194" s="175">
        <f t="shared" si="5"/>
        <v>1600000</v>
      </c>
      <c r="R194" s="119">
        <f>L194*(1+GROWTH_RATE)*FMC</f>
        <v>2019.498638</v>
      </c>
      <c r="S194" s="178">
        <f>S193*(1+'Pre-Calculation'!$E$27)</f>
        <v>1114240.235</v>
      </c>
      <c r="T194" s="175">
        <f>-E194+IF(A193=INPUT!$C$11*12,N194,0)</f>
        <v>0</v>
      </c>
      <c r="U194" s="175">
        <f t="shared" si="6"/>
        <v>1905337.819</v>
      </c>
      <c r="V194" s="175">
        <f>U194*(1+GROWTH_RATE_H)*(1-'Pre-Calculation'!$E$31)</f>
        <v>1914403.399</v>
      </c>
      <c r="W194" s="175">
        <f>-E194+IF(A193=INPUT!$C$11*12,V194,0)</f>
        <v>0</v>
      </c>
      <c r="X194" s="179">
        <f t="array" ref="X194">NPV('Pre-Calculation'!$E$20,$E195:E$246)</f>
        <v>0</v>
      </c>
      <c r="Y194" s="171">
        <f>10%*SA</f>
        <v>100000</v>
      </c>
      <c r="Z194" s="179">
        <f t="array" ref="Z194">NPV('Pre-Calculation'!$E$20,Y195:Y204)</f>
        <v>969592.8037</v>
      </c>
    </row>
    <row r="195" ht="15.75" customHeight="1">
      <c r="A195" s="171">
        <f t="shared" si="1"/>
        <v>189</v>
      </c>
      <c r="B195" s="171">
        <f t="shared" si="2"/>
        <v>16</v>
      </c>
      <c r="C195" s="176">
        <f>EDATE(RCD,A194)</f>
        <v>48273</v>
      </c>
      <c r="D195" s="171">
        <f>Age_At_Entry+'Cashflows_8% from Start'!B195-1</f>
        <v>50</v>
      </c>
      <c r="E195" s="175">
        <f>IF(AND(C195&lt;=Last_Prem,MOD(A194,Mode)=0),Mod_Prem,0)</f>
        <v>0</v>
      </c>
      <c r="F195" s="177">
        <f>E195*VLOOKUP(B195,'Pre-Calculation'!$H$1:$I$31,2,FALSE)</f>
        <v>0</v>
      </c>
      <c r="G195" s="177">
        <f>IF(B195&lt;PT+1,VLOOKUP(B195,'Pre-Calculation'!$H$1:$L$32,3,FALSE)+VLOOKUP(B195,'Pre-Calculation'!$H$1:$L$32,4,FALSE)*'Pre-Calculation'!$D$7,0)</f>
        <v>0</v>
      </c>
      <c r="H195" s="175">
        <f>(E195-(F195+G195)*(1+Tax)+N194)</f>
        <v>1793703.633</v>
      </c>
      <c r="I195" s="175">
        <f>IF(B195&lt;PT+1,VLOOKUP(D195,'Pre-Calculation'!$N$3:$P$79,IF(INPUT!$C$4="M",2,3),FALSE)*(J195/1000)*(1/12),0)</f>
        <v>0</v>
      </c>
      <c r="J195" s="175">
        <f t="shared" si="3"/>
        <v>0</v>
      </c>
      <c r="K195" s="175">
        <f>IF('Pre-Calculation'!$D$17="Type 4 a",MAX(SA,H195,1.05*Q195),IF('Pre-Calculation'!$D$17="Type 4 c",H195,IF('Pre-Calculation'!$D$17="Type 4 d",SA+H195,IF('Pre-Calculation'!$D$17="Type 4 e",MAX(SA,H195),IF('Pre-Calculation'!$D$17="Type 4 f",SA,IF('Pre-Calculation'!$D$17="Type 4 g",1000+H195,IF('Pre-Calculation'!$D$17="Type 4 h",SA+X195,IF('Pre-Calculation'!$D$17="Type 4 i",MAX(H195,Q195),IF('Pre-Calculation'!$D$17="Type 4 k",MAX(H195,1.01*Q195),IF('Pre-Calculation'!$D$17="Type 4 m",MAX(105%*Q195,SA+H195),IF('Pre-Calculation'!$D$17="Type 4 o",MAX(SA,105%*Q195)+X195+Z195,IF('Pre-Calculation'!$D$17="Type 5",0))))))))))))</f>
        <v>1793703.633</v>
      </c>
      <c r="L195" s="175">
        <f>H195-I195*(1+Tax)</f>
        <v>1793703.633</v>
      </c>
      <c r="M195" s="175">
        <f>L195*(1+GROWTH_RATE_H)*(1-FMC*(1+Tax))</f>
        <v>1802849.218</v>
      </c>
      <c r="N195" s="175">
        <f>M195+IF(MOD(A195,B195)=0,VLOOKUP(B195,'Pre-Calculation'!$H$1:$L$31,5,FALSE),0)*IF('Pre-Calculation'!$D$16="% OF FV",M195,IF(OR('Pre-Calculation'!$D$16="% OF AFV(24M)",'Pre-Calculation'!$D$16="% OF AFV(8Q)"),AVERAGE( $M172:$M195),IF('Pre-Calculation'!$D$16="% OF AFV(12M)",AVERAGE($M184:M195),IF('Pre-Calculation'!$D$16="% OF AFV(36M)",AVERAGE($M160:M195)))))</f>
        <v>1802849.218</v>
      </c>
      <c r="O195" s="175">
        <f t="shared" si="4"/>
        <v>1802849.218</v>
      </c>
      <c r="P195" s="175">
        <f>IF('Pre-Calculation'!$D$17="Type 4 a",MAX(SA,N195,1.05*Q195),IF('Pre-Calculation'!$D$17="Type 4 c",N195,IF('Pre-Calculation'!$D$17="Type 4 d",SA+N195,IF('Pre-Calculation'!$D$17="Type 4 e",MAX(SA,N195),IF('Pre-Calculation'!$D$17="Type 4 f",SA,IF('Pre-Calculation'!$D$17="Type 4 g",1000+N195,IF('Pre-Calculation'!$D$17="Type 4 h",SA+X195,IF('Pre-Calculation'!$D$17="Type 4 i",MAX(N195,Q195),IF('Pre-Calculation'!$D$17="Type 4 k",MAX(N195,1.01*Q195),IF('Pre-Calculation'!$D$17="Type 4 m",MAX(105%*Q195,SA+N195),IF('Pre-Calculation'!$D$17="Type 4 o",MAX(SA,105%*Q195)+X195+Z195,IF('Pre-Calculation'!$D$17="Type 5",0))))))))))))</f>
        <v>1802849.218</v>
      </c>
      <c r="Q195" s="175">
        <f t="shared" si="5"/>
        <v>1600000</v>
      </c>
      <c r="R195" s="119">
        <f>L195*(1+GROWTH_RATE)*FMC</f>
        <v>2029.795487</v>
      </c>
      <c r="S195" s="178">
        <f>S194*(1+'Pre-Calculation'!$E$27)</f>
        <v>1117439.106</v>
      </c>
      <c r="T195" s="175">
        <f>-E195+IF(A194=INPUT!$C$11*12,N195,0)</f>
        <v>0</v>
      </c>
      <c r="U195" s="175">
        <f t="shared" si="6"/>
        <v>1914403.399</v>
      </c>
      <c r="V195" s="175">
        <f>U195*(1+GROWTH_RATE_H)*(1-'Pre-Calculation'!$E$31)</f>
        <v>1923512.114</v>
      </c>
      <c r="W195" s="175">
        <f>-E195+IF(A194=INPUT!$C$11*12,V195,0)</f>
        <v>0</v>
      </c>
      <c r="X195" s="179">
        <f t="array" ref="X195">NPV('Pre-Calculation'!$E$20,$E196:E$246)</f>
        <v>0</v>
      </c>
      <c r="Y195" s="171">
        <f>10%*SA</f>
        <v>100000</v>
      </c>
      <c r="Z195" s="179">
        <f t="array" ref="Z195">NPV('Pre-Calculation'!$E$20,Y196:Y205)</f>
        <v>969592.8037</v>
      </c>
    </row>
    <row r="196" ht="15.75" customHeight="1">
      <c r="A196" s="171">
        <f t="shared" si="1"/>
        <v>190</v>
      </c>
      <c r="B196" s="171">
        <f t="shared" si="2"/>
        <v>16</v>
      </c>
      <c r="C196" s="176">
        <f>EDATE(RCD,A195)</f>
        <v>48303</v>
      </c>
      <c r="D196" s="171">
        <f>Age_At_Entry+'Cashflows_8% from Start'!B196-1</f>
        <v>50</v>
      </c>
      <c r="E196" s="175">
        <f>IF(AND(C196&lt;=Last_Prem,MOD(A195,Mode)=0),Mod_Prem,0)</f>
        <v>0</v>
      </c>
      <c r="F196" s="177">
        <f>E196*VLOOKUP(B196,'Pre-Calculation'!$H$1:$I$31,2,FALSE)</f>
        <v>0</v>
      </c>
      <c r="G196" s="177">
        <f>IF(B196&lt;PT+1,VLOOKUP(B196,'Pre-Calculation'!$H$1:$L$32,3,FALSE)+VLOOKUP(B196,'Pre-Calculation'!$H$1:$L$32,4,FALSE)*'Pre-Calculation'!$D$7,0)</f>
        <v>0</v>
      </c>
      <c r="H196" s="175">
        <f>(E196-(F196+G196)*(1+Tax)+N195)</f>
        <v>1802849.218</v>
      </c>
      <c r="I196" s="175">
        <f>IF(B196&lt;PT+1,VLOOKUP(D196,'Pre-Calculation'!$N$3:$P$79,IF(INPUT!$C$4="M",2,3),FALSE)*(J196/1000)*(1/12),0)</f>
        <v>0</v>
      </c>
      <c r="J196" s="175">
        <f t="shared" si="3"/>
        <v>0</v>
      </c>
      <c r="K196" s="175">
        <f>IF('Pre-Calculation'!$D$17="Type 4 a",MAX(SA,H196,1.05*Q196),IF('Pre-Calculation'!$D$17="Type 4 c",H196,IF('Pre-Calculation'!$D$17="Type 4 d",SA+H196,IF('Pre-Calculation'!$D$17="Type 4 e",MAX(SA,H196),IF('Pre-Calculation'!$D$17="Type 4 f",SA,IF('Pre-Calculation'!$D$17="Type 4 g",1000+H196,IF('Pre-Calculation'!$D$17="Type 4 h",SA+X196,IF('Pre-Calculation'!$D$17="Type 4 i",MAX(H196,Q196),IF('Pre-Calculation'!$D$17="Type 4 k",MAX(H196,1.01*Q196),IF('Pre-Calculation'!$D$17="Type 4 m",MAX(105%*Q196,SA+H196),IF('Pre-Calculation'!$D$17="Type 4 o",MAX(SA,105%*Q196)+X196+Z196,IF('Pre-Calculation'!$D$17="Type 5",0))))))))))))</f>
        <v>1802849.218</v>
      </c>
      <c r="L196" s="175">
        <f>H196-I196*(1+Tax)</f>
        <v>1802849.218</v>
      </c>
      <c r="M196" s="175">
        <f>L196*(1+GROWTH_RATE_H)*(1-FMC*(1+Tax))</f>
        <v>1812041.433</v>
      </c>
      <c r="N196" s="175">
        <f>M196+IF(MOD(A196,B196)=0,VLOOKUP(B196,'Pre-Calculation'!$H$1:$L$31,5,FALSE),0)*IF('Pre-Calculation'!$D$16="% OF FV",M196,IF(OR('Pre-Calculation'!$D$16="% OF AFV(24M)",'Pre-Calculation'!$D$16="% OF AFV(8Q)"),AVERAGE( $M173:$M196),IF('Pre-Calculation'!$D$16="% OF AFV(12M)",AVERAGE($M185:M196),IF('Pre-Calculation'!$D$16="% OF AFV(36M)",AVERAGE($M161:M196)))))</f>
        <v>1812041.433</v>
      </c>
      <c r="O196" s="175">
        <f t="shared" si="4"/>
        <v>1812041.433</v>
      </c>
      <c r="P196" s="175">
        <f>IF('Pre-Calculation'!$D$17="Type 4 a",MAX(SA,N196,1.05*Q196),IF('Pre-Calculation'!$D$17="Type 4 c",N196,IF('Pre-Calculation'!$D$17="Type 4 d",SA+N196,IF('Pre-Calculation'!$D$17="Type 4 e",MAX(SA,N196),IF('Pre-Calculation'!$D$17="Type 4 f",SA,IF('Pre-Calculation'!$D$17="Type 4 g",1000+N196,IF('Pre-Calculation'!$D$17="Type 4 h",SA+X196,IF('Pre-Calculation'!$D$17="Type 4 i",MAX(N196,Q196),IF('Pre-Calculation'!$D$17="Type 4 k",MAX(N196,1.01*Q196),IF('Pre-Calculation'!$D$17="Type 4 m",MAX(105%*Q196,SA+N196),IF('Pre-Calculation'!$D$17="Type 4 o",MAX(SA,105%*Q196)+X196+Z196,IF('Pre-Calculation'!$D$17="Type 5",0))))))))))))</f>
        <v>1812041.433</v>
      </c>
      <c r="Q196" s="175">
        <f t="shared" si="5"/>
        <v>1600000</v>
      </c>
      <c r="R196" s="119">
        <f>L196*(1+GROWTH_RATE)*FMC</f>
        <v>2040.144837</v>
      </c>
      <c r="S196" s="178">
        <f>S195*(1+'Pre-Calculation'!$E$27)</f>
        <v>1120647.16</v>
      </c>
      <c r="T196" s="175">
        <f>-E196+IF(A195=INPUT!$C$11*12,N196,0)</f>
        <v>0</v>
      </c>
      <c r="U196" s="175">
        <f t="shared" si="6"/>
        <v>1923512.114</v>
      </c>
      <c r="V196" s="175">
        <f>U196*(1+GROWTH_RATE_H)*(1-'Pre-Calculation'!$E$31)</f>
        <v>1932664.168</v>
      </c>
      <c r="W196" s="175">
        <f>-E196+IF(A195=INPUT!$C$11*12,V196,0)</f>
        <v>0</v>
      </c>
      <c r="X196" s="179">
        <f t="array" ref="X196">NPV('Pre-Calculation'!$E$20,$E197:E$246)</f>
        <v>0</v>
      </c>
      <c r="Y196" s="171">
        <f>10%*SA</f>
        <v>100000</v>
      </c>
      <c r="Z196" s="179">
        <f t="array" ref="Z196">NPV('Pre-Calculation'!$E$20,Y197:Y206)</f>
        <v>969592.8037</v>
      </c>
    </row>
    <row r="197" ht="15.75" customHeight="1">
      <c r="A197" s="171">
        <f t="shared" si="1"/>
        <v>191</v>
      </c>
      <c r="B197" s="171">
        <f t="shared" si="2"/>
        <v>16</v>
      </c>
      <c r="C197" s="176">
        <f>EDATE(RCD,A196)</f>
        <v>48334</v>
      </c>
      <c r="D197" s="171">
        <f>Age_At_Entry+'Cashflows_8% from Start'!B197-1</f>
        <v>50</v>
      </c>
      <c r="E197" s="175">
        <f>IF(AND(C197&lt;=Last_Prem,MOD(A196,Mode)=0),Mod_Prem,0)</f>
        <v>0</v>
      </c>
      <c r="F197" s="177">
        <f>E197*VLOOKUP(B197,'Pre-Calculation'!$H$1:$I$31,2,FALSE)</f>
        <v>0</v>
      </c>
      <c r="G197" s="177">
        <f>IF(B197&lt;PT+1,VLOOKUP(B197,'Pre-Calculation'!$H$1:$L$32,3,FALSE)+VLOOKUP(B197,'Pre-Calculation'!$H$1:$L$32,4,FALSE)*'Pre-Calculation'!$D$7,0)</f>
        <v>0</v>
      </c>
      <c r="H197" s="175">
        <f>(E197-(F197+G197)*(1+Tax)+N196)</f>
        <v>1812041.433</v>
      </c>
      <c r="I197" s="175">
        <f>IF(B197&lt;PT+1,VLOOKUP(D197,'Pre-Calculation'!$N$3:$P$79,IF(INPUT!$C$4="M",2,3),FALSE)*(J197/1000)*(1/12),0)</f>
        <v>0</v>
      </c>
      <c r="J197" s="175">
        <f t="shared" si="3"/>
        <v>0</v>
      </c>
      <c r="K197" s="175">
        <f>IF('Pre-Calculation'!$D$17="Type 4 a",MAX(SA,H197,1.05*Q197),IF('Pre-Calculation'!$D$17="Type 4 c",H197,IF('Pre-Calculation'!$D$17="Type 4 d",SA+H197,IF('Pre-Calculation'!$D$17="Type 4 e",MAX(SA,H197),IF('Pre-Calculation'!$D$17="Type 4 f",SA,IF('Pre-Calculation'!$D$17="Type 4 g",1000+H197,IF('Pre-Calculation'!$D$17="Type 4 h",SA+X197,IF('Pre-Calculation'!$D$17="Type 4 i",MAX(H197,Q197),IF('Pre-Calculation'!$D$17="Type 4 k",MAX(H197,1.01*Q197),IF('Pre-Calculation'!$D$17="Type 4 m",MAX(105%*Q197,SA+H197),IF('Pre-Calculation'!$D$17="Type 4 o",MAX(SA,105%*Q197)+X197+Z197,IF('Pre-Calculation'!$D$17="Type 5",0))))))))))))</f>
        <v>1812041.433</v>
      </c>
      <c r="L197" s="175">
        <f>H197-I197*(1+Tax)</f>
        <v>1812041.433</v>
      </c>
      <c r="M197" s="175">
        <f>L197*(1+GROWTH_RATE_H)*(1-FMC*(1+Tax))</f>
        <v>1821280.517</v>
      </c>
      <c r="N197" s="175">
        <f>M197+IF(MOD(A197,B197)=0,VLOOKUP(B197,'Pre-Calculation'!$H$1:$L$31,5,FALSE),0)*IF('Pre-Calculation'!$D$16="% OF FV",M197,IF(OR('Pre-Calculation'!$D$16="% OF AFV(24M)",'Pre-Calculation'!$D$16="% OF AFV(8Q)"),AVERAGE( $M174:$M197),IF('Pre-Calculation'!$D$16="% OF AFV(12M)",AVERAGE($M186:M197),IF('Pre-Calculation'!$D$16="% OF AFV(36M)",AVERAGE($M162:M197)))))</f>
        <v>1821280.517</v>
      </c>
      <c r="O197" s="175">
        <f t="shared" si="4"/>
        <v>1821280.517</v>
      </c>
      <c r="P197" s="175">
        <f>IF('Pre-Calculation'!$D$17="Type 4 a",MAX(SA,N197,1.05*Q197),IF('Pre-Calculation'!$D$17="Type 4 c",N197,IF('Pre-Calculation'!$D$17="Type 4 d",SA+N197,IF('Pre-Calculation'!$D$17="Type 4 e",MAX(SA,N197),IF('Pre-Calculation'!$D$17="Type 4 f",SA,IF('Pre-Calculation'!$D$17="Type 4 g",1000+N197,IF('Pre-Calculation'!$D$17="Type 4 h",SA+X197,IF('Pre-Calculation'!$D$17="Type 4 i",MAX(N197,Q197),IF('Pre-Calculation'!$D$17="Type 4 k",MAX(N197,1.01*Q197),IF('Pre-Calculation'!$D$17="Type 4 m",MAX(105%*Q197,SA+N197),IF('Pre-Calculation'!$D$17="Type 4 o",MAX(SA,105%*Q197)+X197+Z197,IF('Pre-Calculation'!$D$17="Type 5",0))))))))))))</f>
        <v>1821280.517</v>
      </c>
      <c r="Q197" s="175">
        <f t="shared" si="5"/>
        <v>1600000</v>
      </c>
      <c r="R197" s="119">
        <f>L197*(1+GROWTH_RATE)*FMC</f>
        <v>2050.546955</v>
      </c>
      <c r="S197" s="178">
        <f>S196*(1+'Pre-Calculation'!$E$27)</f>
        <v>1123864.425</v>
      </c>
      <c r="T197" s="175">
        <f>-E197+IF(A196=INPUT!$C$11*12,N197,0)</f>
        <v>0</v>
      </c>
      <c r="U197" s="175">
        <f t="shared" si="6"/>
        <v>1932664.168</v>
      </c>
      <c r="V197" s="175">
        <f>U197*(1+GROWTH_RATE_H)*(1-'Pre-Calculation'!$E$31)</f>
        <v>1941859.767</v>
      </c>
      <c r="W197" s="175">
        <f>-E197+IF(A196=INPUT!$C$11*12,V197,0)</f>
        <v>0</v>
      </c>
      <c r="X197" s="179">
        <f t="array" ref="X197">NPV('Pre-Calculation'!$E$20,$E198:E$246)</f>
        <v>0</v>
      </c>
      <c r="Y197" s="171">
        <f>10%*SA</f>
        <v>100000</v>
      </c>
      <c r="Z197" s="179">
        <f t="array" ref="Z197">NPV('Pre-Calculation'!$E$20,Y198:Y207)</f>
        <v>969592.8037</v>
      </c>
    </row>
    <row r="198" ht="15.75" customHeight="1">
      <c r="A198" s="171">
        <f t="shared" si="1"/>
        <v>192</v>
      </c>
      <c r="B198" s="171">
        <f t="shared" si="2"/>
        <v>16</v>
      </c>
      <c r="C198" s="176">
        <f>EDATE(RCD,A197)</f>
        <v>48364</v>
      </c>
      <c r="D198" s="171">
        <f>Age_At_Entry+'Cashflows_8% from Start'!B198-1</f>
        <v>50</v>
      </c>
      <c r="E198" s="175">
        <f>IF(AND(C198&lt;=Last_Prem,MOD(A197,Mode)=0),Mod_Prem,0)</f>
        <v>0</v>
      </c>
      <c r="F198" s="177">
        <f>E198*VLOOKUP(B198,'Pre-Calculation'!$H$1:$I$31,2,FALSE)</f>
        <v>0</v>
      </c>
      <c r="G198" s="177">
        <f>IF(B198&lt;PT+1,VLOOKUP(B198,'Pre-Calculation'!$H$1:$L$32,3,FALSE)+VLOOKUP(B198,'Pre-Calculation'!$H$1:$L$32,4,FALSE)*'Pre-Calculation'!$D$7,0)</f>
        <v>0</v>
      </c>
      <c r="H198" s="175">
        <f>(E198-(F198+G198)*(1+Tax)+N197)</f>
        <v>1821280.517</v>
      </c>
      <c r="I198" s="175">
        <f>IF(B198&lt;PT+1,VLOOKUP(D198,'Pre-Calculation'!$N$3:$P$79,IF(INPUT!$C$4="M",2,3),FALSE)*(J198/1000)*(1/12),0)</f>
        <v>0</v>
      </c>
      <c r="J198" s="175">
        <f t="shared" si="3"/>
        <v>0</v>
      </c>
      <c r="K198" s="175">
        <f>IF('Pre-Calculation'!$D$17="Type 4 a",MAX(SA,H198,1.05*Q198),IF('Pre-Calculation'!$D$17="Type 4 c",H198,IF('Pre-Calculation'!$D$17="Type 4 d",SA+H198,IF('Pre-Calculation'!$D$17="Type 4 e",MAX(SA,H198),IF('Pre-Calculation'!$D$17="Type 4 f",SA,IF('Pre-Calculation'!$D$17="Type 4 g",1000+H198,IF('Pre-Calculation'!$D$17="Type 4 h",SA+X198,IF('Pre-Calculation'!$D$17="Type 4 i",MAX(H198,Q198),IF('Pre-Calculation'!$D$17="Type 4 k",MAX(H198,1.01*Q198),IF('Pre-Calculation'!$D$17="Type 4 m",MAX(105%*Q198,SA+H198),IF('Pre-Calculation'!$D$17="Type 4 o",MAX(SA,105%*Q198)+X198+Z198,IF('Pre-Calculation'!$D$17="Type 5",0))))))))))))</f>
        <v>1821280.517</v>
      </c>
      <c r="L198" s="175">
        <f>H198-I198*(1+Tax)</f>
        <v>1821280.517</v>
      </c>
      <c r="M198" s="175">
        <f>L198*(1+GROWTH_RATE_H)*(1-FMC*(1+Tax))</f>
        <v>1830566.708</v>
      </c>
      <c r="N198" s="175">
        <f>M198+IF(MOD(A198,B198)=0,VLOOKUP(B198,'Pre-Calculation'!$H$1:$L$31,5,FALSE),0)*IF('Pre-Calculation'!$D$16="% OF FV",M198,IF(OR('Pre-Calculation'!$D$16="% OF AFV(24M)",'Pre-Calculation'!$D$16="% OF AFV(8Q)"),AVERAGE( $M175:$M198),IF('Pre-Calculation'!$D$16="% OF AFV(12M)",AVERAGE($M187:M198),IF('Pre-Calculation'!$D$16="% OF AFV(36M)",AVERAGE($M163:M198)))))</f>
        <v>1830566.708</v>
      </c>
      <c r="O198" s="175">
        <f t="shared" si="4"/>
        <v>1830566.708</v>
      </c>
      <c r="P198" s="175">
        <f>IF('Pre-Calculation'!$D$17="Type 4 a",MAX(SA,N198,1.05*Q198),IF('Pre-Calculation'!$D$17="Type 4 c",N198,IF('Pre-Calculation'!$D$17="Type 4 d",SA+N198,IF('Pre-Calculation'!$D$17="Type 4 e",MAX(SA,N198),IF('Pre-Calculation'!$D$17="Type 4 f",SA,IF('Pre-Calculation'!$D$17="Type 4 g",1000+N198,IF('Pre-Calculation'!$D$17="Type 4 h",SA+X198,IF('Pre-Calculation'!$D$17="Type 4 i",MAX(N198,Q198),IF('Pre-Calculation'!$D$17="Type 4 k",MAX(N198,1.01*Q198),IF('Pre-Calculation'!$D$17="Type 4 m",MAX(105%*Q198,SA+N198),IF('Pre-Calculation'!$D$17="Type 4 o",MAX(SA,105%*Q198)+X198+Z198,IF('Pre-Calculation'!$D$17="Type 5",0))))))))))))</f>
        <v>1830566.708</v>
      </c>
      <c r="Q198" s="175">
        <f t="shared" si="5"/>
        <v>1600000</v>
      </c>
      <c r="R198" s="119">
        <f>L198*(1+GROWTH_RATE)*FMC</f>
        <v>2061.00211</v>
      </c>
      <c r="S198" s="178">
        <f>S197*(1+'Pre-Calculation'!$E$27)</f>
        <v>1127090.926</v>
      </c>
      <c r="T198" s="175">
        <f>-E198+IF(A197=INPUT!$C$11*12,N198,0)</f>
        <v>0</v>
      </c>
      <c r="U198" s="175">
        <f t="shared" si="6"/>
        <v>1941859.767</v>
      </c>
      <c r="V198" s="175">
        <f>U198*(1+GROWTH_RATE_H)*(1-'Pre-Calculation'!$E$31)</f>
        <v>1951099.119</v>
      </c>
      <c r="W198" s="175">
        <f>-E198+IF(A197=INPUT!$C$11*12,V198,0)</f>
        <v>0</v>
      </c>
      <c r="X198" s="179">
        <f t="array" ref="X198">NPV('Pre-Calculation'!$E$20,$E199:E$246)</f>
        <v>0</v>
      </c>
      <c r="Y198" s="171">
        <f>10%*SA</f>
        <v>100000</v>
      </c>
      <c r="Z198" s="179">
        <f t="array" ref="Z198">NPV('Pre-Calculation'!$E$20,Y199:Y208)</f>
        <v>969592.8037</v>
      </c>
    </row>
    <row r="199" ht="15.75" customHeight="1">
      <c r="A199" s="171">
        <f t="shared" si="1"/>
        <v>193</v>
      </c>
      <c r="B199" s="171">
        <f t="shared" si="2"/>
        <v>17</v>
      </c>
      <c r="C199" s="176">
        <f>EDATE(RCD,A198)</f>
        <v>48395</v>
      </c>
      <c r="D199" s="171">
        <f>Age_At_Entry+'Cashflows_8% from Start'!B199-1</f>
        <v>51</v>
      </c>
      <c r="E199" s="175">
        <f>IF(AND(C199&lt;=Last_Prem,MOD(A198,Mode)=0),Mod_Prem,0)</f>
        <v>0</v>
      </c>
      <c r="F199" s="177">
        <f>E199*VLOOKUP(B199,'Pre-Calculation'!$H$1:$I$31,2,FALSE)</f>
        <v>0</v>
      </c>
      <c r="G199" s="177">
        <f>IF(B199&lt;PT+1,VLOOKUP(B199,'Pre-Calculation'!$H$1:$L$32,3,FALSE)+VLOOKUP(B199,'Pre-Calculation'!$H$1:$L$32,4,FALSE)*'Pre-Calculation'!$D$7,0)</f>
        <v>0</v>
      </c>
      <c r="H199" s="175">
        <f>(E199-(F199+G199)*(1+Tax)+N198)</f>
        <v>1830566.708</v>
      </c>
      <c r="I199" s="175">
        <f>IF(B199&lt;PT+1,VLOOKUP(D199,'Pre-Calculation'!$N$3:$P$79,IF(INPUT!$C$4="M",2,3),FALSE)*(J199/1000)*(1/12),0)</f>
        <v>0</v>
      </c>
      <c r="J199" s="175">
        <f t="shared" si="3"/>
        <v>0</v>
      </c>
      <c r="K199" s="175">
        <f>IF('Pre-Calculation'!$D$17="Type 4 a",MAX(SA,H199,1.05*Q199),IF('Pre-Calculation'!$D$17="Type 4 c",H199,IF('Pre-Calculation'!$D$17="Type 4 d",SA+H199,IF('Pre-Calculation'!$D$17="Type 4 e",MAX(SA,H199),IF('Pre-Calculation'!$D$17="Type 4 f",SA,IF('Pre-Calculation'!$D$17="Type 4 g",1000+H199,IF('Pre-Calculation'!$D$17="Type 4 h",SA+X199,IF('Pre-Calculation'!$D$17="Type 4 i",MAX(H199,Q199),IF('Pre-Calculation'!$D$17="Type 4 k",MAX(H199,1.01*Q199),IF('Pre-Calculation'!$D$17="Type 4 m",MAX(105%*Q199,SA+H199),IF('Pre-Calculation'!$D$17="Type 4 o",MAX(SA,105%*Q199)+X199+Z199,IF('Pre-Calculation'!$D$17="Type 5",0))))))))))))</f>
        <v>1830566.708</v>
      </c>
      <c r="L199" s="175">
        <f>H199-I199*(1+Tax)</f>
        <v>1830566.708</v>
      </c>
      <c r="M199" s="175">
        <f>L199*(1+GROWTH_RATE_H)*(1-FMC*(1+Tax))</f>
        <v>1839900.247</v>
      </c>
      <c r="N199" s="175">
        <f>M199+IF(MOD(A199,B199)=0,VLOOKUP(B199,'Pre-Calculation'!$H$1:$L$31,5,FALSE),0)*IF('Pre-Calculation'!$D$16="% OF FV",M199,IF(OR('Pre-Calculation'!$D$16="% OF AFV(24M)",'Pre-Calculation'!$D$16="% OF AFV(8Q)"),AVERAGE( $M176:$M199),IF('Pre-Calculation'!$D$16="% OF AFV(12M)",AVERAGE($M188:M199),IF('Pre-Calculation'!$D$16="% OF AFV(36M)",AVERAGE($M164:M199)))))</f>
        <v>1839900.247</v>
      </c>
      <c r="O199" s="175">
        <f t="shared" si="4"/>
        <v>1839900.247</v>
      </c>
      <c r="P199" s="175">
        <f>IF('Pre-Calculation'!$D$17="Type 4 a",MAX(SA,N199,1.05*Q199),IF('Pre-Calculation'!$D$17="Type 4 c",N199,IF('Pre-Calculation'!$D$17="Type 4 d",SA+N199,IF('Pre-Calculation'!$D$17="Type 4 e",MAX(SA,N199),IF('Pre-Calculation'!$D$17="Type 4 f",SA,IF('Pre-Calculation'!$D$17="Type 4 g",1000+N199,IF('Pre-Calculation'!$D$17="Type 4 h",SA+X199,IF('Pre-Calculation'!$D$17="Type 4 i",MAX(N199,Q199),IF('Pre-Calculation'!$D$17="Type 4 k",MAX(N199,1.01*Q199),IF('Pre-Calculation'!$D$17="Type 4 m",MAX(105%*Q199,SA+N199),IF('Pre-Calculation'!$D$17="Type 4 o",MAX(SA,105%*Q199)+X199+Z199,IF('Pre-Calculation'!$D$17="Type 5",0))))))))))))</f>
        <v>1839900.247</v>
      </c>
      <c r="Q199" s="175">
        <f t="shared" si="5"/>
        <v>1600000</v>
      </c>
      <c r="R199" s="119">
        <f>L199*(1+GROWTH_RATE)*FMC</f>
        <v>2071.510574</v>
      </c>
      <c r="S199" s="178">
        <f>S198*(1+'Pre-Calculation'!$E$27)</f>
        <v>1130326.69</v>
      </c>
      <c r="T199" s="175">
        <f>-E199+IF(A198=INPUT!$C$11*12,N199,0)</f>
        <v>0</v>
      </c>
      <c r="U199" s="175">
        <f t="shared" si="6"/>
        <v>1951099.119</v>
      </c>
      <c r="V199" s="175">
        <f>U199*(1+GROWTH_RATE_H)*(1-'Pre-Calculation'!$E$31)</f>
        <v>1960382.431</v>
      </c>
      <c r="W199" s="175">
        <f>-E199+IF(A198=INPUT!$C$11*12,V199,0)</f>
        <v>0</v>
      </c>
      <c r="X199" s="179">
        <f t="array" ref="X199">NPV('Pre-Calculation'!$E$20,$E200:E$246)</f>
        <v>0</v>
      </c>
      <c r="Y199" s="171">
        <f>10%*SA</f>
        <v>100000</v>
      </c>
      <c r="Z199" s="179">
        <f t="array" ref="Z199">NPV('Pre-Calculation'!$E$20,Y200:Y209)</f>
        <v>969592.8037</v>
      </c>
    </row>
    <row r="200" ht="15.75" customHeight="1">
      <c r="A200" s="171">
        <f t="shared" si="1"/>
        <v>194</v>
      </c>
      <c r="B200" s="171">
        <f t="shared" si="2"/>
        <v>17</v>
      </c>
      <c r="C200" s="176">
        <f>EDATE(RCD,A199)</f>
        <v>48425</v>
      </c>
      <c r="D200" s="171">
        <f>Age_At_Entry+'Cashflows_8% from Start'!B200-1</f>
        <v>51</v>
      </c>
      <c r="E200" s="175">
        <f>IF(AND(C200&lt;=Last_Prem,MOD(A199,Mode)=0),Mod_Prem,0)</f>
        <v>0</v>
      </c>
      <c r="F200" s="177">
        <f>E200*VLOOKUP(B200,'Pre-Calculation'!$H$1:$I$31,2,FALSE)</f>
        <v>0</v>
      </c>
      <c r="G200" s="177">
        <f>IF(B200&lt;PT+1,VLOOKUP(B200,'Pre-Calculation'!$H$1:$L$32,3,FALSE)+VLOOKUP(B200,'Pre-Calculation'!$H$1:$L$32,4,FALSE)*'Pre-Calculation'!$D$7,0)</f>
        <v>0</v>
      </c>
      <c r="H200" s="175">
        <f>(E200-(F200+G200)*(1+Tax)+N199)</f>
        <v>1839900.247</v>
      </c>
      <c r="I200" s="175">
        <f>IF(B200&lt;PT+1,VLOOKUP(D200,'Pre-Calculation'!$N$3:$P$79,IF(INPUT!$C$4="M",2,3),FALSE)*(J200/1000)*(1/12),0)</f>
        <v>0</v>
      </c>
      <c r="J200" s="175">
        <f t="shared" si="3"/>
        <v>0</v>
      </c>
      <c r="K200" s="175">
        <f>IF('Pre-Calculation'!$D$17="Type 4 a",MAX(SA,H200,1.05*Q200),IF('Pre-Calculation'!$D$17="Type 4 c",H200,IF('Pre-Calculation'!$D$17="Type 4 d",SA+H200,IF('Pre-Calculation'!$D$17="Type 4 e",MAX(SA,H200),IF('Pre-Calculation'!$D$17="Type 4 f",SA,IF('Pre-Calculation'!$D$17="Type 4 g",1000+H200,IF('Pre-Calculation'!$D$17="Type 4 h",SA+X200,IF('Pre-Calculation'!$D$17="Type 4 i",MAX(H200,Q200),IF('Pre-Calculation'!$D$17="Type 4 k",MAX(H200,1.01*Q200),IF('Pre-Calculation'!$D$17="Type 4 m",MAX(105%*Q200,SA+H200),IF('Pre-Calculation'!$D$17="Type 4 o",MAX(SA,105%*Q200)+X200+Z200,IF('Pre-Calculation'!$D$17="Type 5",0))))))))))))</f>
        <v>1839900.247</v>
      </c>
      <c r="L200" s="175">
        <f>H200-I200*(1+Tax)</f>
        <v>1839900.247</v>
      </c>
      <c r="M200" s="175">
        <f>L200*(1+GROWTH_RATE_H)*(1-FMC*(1+Tax))</f>
        <v>1849281.375</v>
      </c>
      <c r="N200" s="175">
        <f>M200+IF(MOD(A200,B200)=0,VLOOKUP(B200,'Pre-Calculation'!$H$1:$L$31,5,FALSE),0)*IF('Pre-Calculation'!$D$16="% OF FV",M200,IF(OR('Pre-Calculation'!$D$16="% OF AFV(24M)",'Pre-Calculation'!$D$16="% OF AFV(8Q)"),AVERAGE( $M177:$M200),IF('Pre-Calculation'!$D$16="% OF AFV(12M)",AVERAGE($M189:M200),IF('Pre-Calculation'!$D$16="% OF AFV(36M)",AVERAGE($M165:M200)))))</f>
        <v>1849281.375</v>
      </c>
      <c r="O200" s="175">
        <f t="shared" si="4"/>
        <v>1849281.375</v>
      </c>
      <c r="P200" s="175">
        <f>IF('Pre-Calculation'!$D$17="Type 4 a",MAX(SA,N200,1.05*Q200),IF('Pre-Calculation'!$D$17="Type 4 c",N200,IF('Pre-Calculation'!$D$17="Type 4 d",SA+N200,IF('Pre-Calculation'!$D$17="Type 4 e",MAX(SA,N200),IF('Pre-Calculation'!$D$17="Type 4 f",SA,IF('Pre-Calculation'!$D$17="Type 4 g",1000+N200,IF('Pre-Calculation'!$D$17="Type 4 h",SA+X200,IF('Pre-Calculation'!$D$17="Type 4 i",MAX(N200,Q200),IF('Pre-Calculation'!$D$17="Type 4 k",MAX(N200,1.01*Q200),IF('Pre-Calculation'!$D$17="Type 4 m",MAX(105%*Q200,SA+N200),IF('Pre-Calculation'!$D$17="Type 4 o",MAX(SA,105%*Q200)+X200+Z200,IF('Pre-Calculation'!$D$17="Type 5",0))))))))))))</f>
        <v>1849281.375</v>
      </c>
      <c r="Q200" s="175">
        <f t="shared" si="5"/>
        <v>1600000</v>
      </c>
      <c r="R200" s="119">
        <f>L200*(1+GROWTH_RATE)*FMC</f>
        <v>2082.072617</v>
      </c>
      <c r="S200" s="178">
        <f>S199*(1+'Pre-Calculation'!$E$27)</f>
        <v>1133571.743</v>
      </c>
      <c r="T200" s="175">
        <f>-E200+IF(A199=INPUT!$C$11*12,N200,0)</f>
        <v>0</v>
      </c>
      <c r="U200" s="175">
        <f t="shared" si="6"/>
        <v>1960382.431</v>
      </c>
      <c r="V200" s="175">
        <f>U200*(1+GROWTH_RATE_H)*(1-'Pre-Calculation'!$E$31)</f>
        <v>1969709.913</v>
      </c>
      <c r="W200" s="175">
        <f>-E200+IF(A199=INPUT!$C$11*12,V200,0)</f>
        <v>0</v>
      </c>
      <c r="X200" s="179">
        <f t="array" ref="X200">NPV('Pre-Calculation'!$E$20,$E201:E$246)</f>
        <v>0</v>
      </c>
      <c r="Y200" s="171">
        <f>10%*SA</f>
        <v>100000</v>
      </c>
      <c r="Z200" s="179">
        <f t="array" ref="Z200">NPV('Pre-Calculation'!$E$20,Y201:Y210)</f>
        <v>969592.8037</v>
      </c>
    </row>
    <row r="201" ht="15.75" customHeight="1">
      <c r="A201" s="171">
        <f t="shared" si="1"/>
        <v>195</v>
      </c>
      <c r="B201" s="171">
        <f t="shared" si="2"/>
        <v>17</v>
      </c>
      <c r="C201" s="176">
        <f>EDATE(RCD,A200)</f>
        <v>48456</v>
      </c>
      <c r="D201" s="171">
        <f>Age_At_Entry+'Cashflows_8% from Start'!B201-1</f>
        <v>51</v>
      </c>
      <c r="E201" s="175">
        <f>IF(AND(C201&lt;=Last_Prem,MOD(A200,Mode)=0),Mod_Prem,0)</f>
        <v>0</v>
      </c>
      <c r="F201" s="177">
        <f>E201*VLOOKUP(B201,'Pre-Calculation'!$H$1:$I$31,2,FALSE)</f>
        <v>0</v>
      </c>
      <c r="G201" s="177">
        <f>IF(B201&lt;PT+1,VLOOKUP(B201,'Pre-Calculation'!$H$1:$L$32,3,FALSE)+VLOOKUP(B201,'Pre-Calculation'!$H$1:$L$32,4,FALSE)*'Pre-Calculation'!$D$7,0)</f>
        <v>0</v>
      </c>
      <c r="H201" s="175">
        <f>(E201-(F201+G201)*(1+Tax)+N200)</f>
        <v>1849281.375</v>
      </c>
      <c r="I201" s="175">
        <f>IF(B201&lt;PT+1,VLOOKUP(D201,'Pre-Calculation'!$N$3:$P$79,IF(INPUT!$C$4="M",2,3),FALSE)*(J201/1000)*(1/12),0)</f>
        <v>0</v>
      </c>
      <c r="J201" s="175">
        <f t="shared" si="3"/>
        <v>0</v>
      </c>
      <c r="K201" s="175">
        <f>IF('Pre-Calculation'!$D$17="Type 4 a",MAX(SA,H201,1.05*Q201),IF('Pre-Calculation'!$D$17="Type 4 c",H201,IF('Pre-Calculation'!$D$17="Type 4 d",SA+H201,IF('Pre-Calculation'!$D$17="Type 4 e",MAX(SA,H201),IF('Pre-Calculation'!$D$17="Type 4 f",SA,IF('Pre-Calculation'!$D$17="Type 4 g",1000+H201,IF('Pre-Calculation'!$D$17="Type 4 h",SA+X201,IF('Pre-Calculation'!$D$17="Type 4 i",MAX(H201,Q201),IF('Pre-Calculation'!$D$17="Type 4 k",MAX(H201,1.01*Q201),IF('Pre-Calculation'!$D$17="Type 4 m",MAX(105%*Q201,SA+H201),IF('Pre-Calculation'!$D$17="Type 4 o",MAX(SA,105%*Q201)+X201+Z201,IF('Pre-Calculation'!$D$17="Type 5",0))))))))))))</f>
        <v>1849281.375</v>
      </c>
      <c r="L201" s="175">
        <f>H201-I201*(1+Tax)</f>
        <v>1849281.375</v>
      </c>
      <c r="M201" s="175">
        <f>L201*(1+GROWTH_RATE_H)*(1-FMC*(1+Tax))</f>
        <v>1858710.334</v>
      </c>
      <c r="N201" s="175">
        <f>M201+IF(MOD(A201,B201)=0,VLOOKUP(B201,'Pre-Calculation'!$H$1:$L$31,5,FALSE),0)*IF('Pre-Calculation'!$D$16="% OF FV",M201,IF(OR('Pre-Calculation'!$D$16="% OF AFV(24M)",'Pre-Calculation'!$D$16="% OF AFV(8Q)"),AVERAGE( $M178:$M201),IF('Pre-Calculation'!$D$16="% OF AFV(12M)",AVERAGE($M190:M201),IF('Pre-Calculation'!$D$16="% OF AFV(36M)",AVERAGE($M166:M201)))))</f>
        <v>1858710.334</v>
      </c>
      <c r="O201" s="175">
        <f t="shared" si="4"/>
        <v>1858710.334</v>
      </c>
      <c r="P201" s="175">
        <f>IF('Pre-Calculation'!$D$17="Type 4 a",MAX(SA,N201,1.05*Q201),IF('Pre-Calculation'!$D$17="Type 4 c",N201,IF('Pre-Calculation'!$D$17="Type 4 d",SA+N201,IF('Pre-Calculation'!$D$17="Type 4 e",MAX(SA,N201),IF('Pre-Calculation'!$D$17="Type 4 f",SA,IF('Pre-Calculation'!$D$17="Type 4 g",1000+N201,IF('Pre-Calculation'!$D$17="Type 4 h",SA+X201,IF('Pre-Calculation'!$D$17="Type 4 i",MAX(N201,Q201),IF('Pre-Calculation'!$D$17="Type 4 k",MAX(N201,1.01*Q201),IF('Pre-Calculation'!$D$17="Type 4 m",MAX(105%*Q201,SA+N201),IF('Pre-Calculation'!$D$17="Type 4 o",MAX(SA,105%*Q201)+X201+Z201,IF('Pre-Calculation'!$D$17="Type 5",0))))))))))))</f>
        <v>1858710.334</v>
      </c>
      <c r="Q201" s="175">
        <f t="shared" si="5"/>
        <v>1600000</v>
      </c>
      <c r="R201" s="119">
        <f>L201*(1+GROWTH_RATE)*FMC</f>
        <v>2092.688513</v>
      </c>
      <c r="S201" s="178">
        <f>S200*(1+'Pre-Calculation'!$E$27)</f>
        <v>1136826.113</v>
      </c>
      <c r="T201" s="175">
        <f>-E201+IF(A200=INPUT!$C$11*12,N201,0)</f>
        <v>0</v>
      </c>
      <c r="U201" s="175">
        <f t="shared" si="6"/>
        <v>1969709.913</v>
      </c>
      <c r="V201" s="175">
        <f>U201*(1+GROWTH_RATE_H)*(1-'Pre-Calculation'!$E$31)</f>
        <v>1979081.776</v>
      </c>
      <c r="W201" s="175">
        <f>-E201+IF(A200=INPUT!$C$11*12,V201,0)</f>
        <v>0</v>
      </c>
      <c r="X201" s="179">
        <f t="array" ref="X201">NPV('Pre-Calculation'!$E$20,$E202:E$246)</f>
        <v>0</v>
      </c>
      <c r="Y201" s="171">
        <f>10%*SA</f>
        <v>100000</v>
      </c>
      <c r="Z201" s="179">
        <f t="array" ref="Z201">NPV('Pre-Calculation'!$E$20,Y202:Y211)</f>
        <v>969592.8037</v>
      </c>
    </row>
    <row r="202" ht="15.75" customHeight="1">
      <c r="A202" s="171">
        <f t="shared" si="1"/>
        <v>196</v>
      </c>
      <c r="B202" s="171">
        <f t="shared" si="2"/>
        <v>17</v>
      </c>
      <c r="C202" s="176">
        <f>EDATE(RCD,A201)</f>
        <v>48487</v>
      </c>
      <c r="D202" s="171">
        <f>Age_At_Entry+'Cashflows_8% from Start'!B202-1</f>
        <v>51</v>
      </c>
      <c r="E202" s="175">
        <f>IF(AND(C202&lt;=Last_Prem,MOD(A201,Mode)=0),Mod_Prem,0)</f>
        <v>0</v>
      </c>
      <c r="F202" s="177">
        <f>E202*VLOOKUP(B202,'Pre-Calculation'!$H$1:$I$31,2,FALSE)</f>
        <v>0</v>
      </c>
      <c r="G202" s="177">
        <f>IF(B202&lt;PT+1,VLOOKUP(B202,'Pre-Calculation'!$H$1:$L$32,3,FALSE)+VLOOKUP(B202,'Pre-Calculation'!$H$1:$L$32,4,FALSE)*'Pre-Calculation'!$D$7,0)</f>
        <v>0</v>
      </c>
      <c r="H202" s="175">
        <f>(E202-(F202+G202)*(1+Tax)+N201)</f>
        <v>1858710.334</v>
      </c>
      <c r="I202" s="175">
        <f>IF(B202&lt;PT+1,VLOOKUP(D202,'Pre-Calculation'!$N$3:$P$79,IF(INPUT!$C$4="M",2,3),FALSE)*(J202/1000)*(1/12),0)</f>
        <v>0</v>
      </c>
      <c r="J202" s="175">
        <f t="shared" si="3"/>
        <v>0</v>
      </c>
      <c r="K202" s="175">
        <f>IF('Pre-Calculation'!$D$17="Type 4 a",MAX(SA,H202,1.05*Q202),IF('Pre-Calculation'!$D$17="Type 4 c",H202,IF('Pre-Calculation'!$D$17="Type 4 d",SA+H202,IF('Pre-Calculation'!$D$17="Type 4 e",MAX(SA,H202),IF('Pre-Calculation'!$D$17="Type 4 f",SA,IF('Pre-Calculation'!$D$17="Type 4 g",1000+H202,IF('Pre-Calculation'!$D$17="Type 4 h",SA+X202,IF('Pre-Calculation'!$D$17="Type 4 i",MAX(H202,Q202),IF('Pre-Calculation'!$D$17="Type 4 k",MAX(H202,1.01*Q202),IF('Pre-Calculation'!$D$17="Type 4 m",MAX(105%*Q202,SA+H202),IF('Pre-Calculation'!$D$17="Type 4 o",MAX(SA,105%*Q202)+X202+Z202,IF('Pre-Calculation'!$D$17="Type 5",0))))))))))))</f>
        <v>1858710.334</v>
      </c>
      <c r="L202" s="175">
        <f>H202-I202*(1+Tax)</f>
        <v>1858710.334</v>
      </c>
      <c r="M202" s="175">
        <f>L202*(1+GROWTH_RATE_H)*(1-FMC*(1+Tax))</f>
        <v>1868187.369</v>
      </c>
      <c r="N202" s="175">
        <f>M202+IF(MOD(A202,B202)=0,VLOOKUP(B202,'Pre-Calculation'!$H$1:$L$31,5,FALSE),0)*IF('Pre-Calculation'!$D$16="% OF FV",M202,IF(OR('Pre-Calculation'!$D$16="% OF AFV(24M)",'Pre-Calculation'!$D$16="% OF AFV(8Q)"),AVERAGE( $M179:$M202),IF('Pre-Calculation'!$D$16="% OF AFV(12M)",AVERAGE($M191:M202),IF('Pre-Calculation'!$D$16="% OF AFV(36M)",AVERAGE($M167:M202)))))</f>
        <v>1868187.369</v>
      </c>
      <c r="O202" s="175">
        <f t="shared" si="4"/>
        <v>1868187.369</v>
      </c>
      <c r="P202" s="175">
        <f>IF('Pre-Calculation'!$D$17="Type 4 a",MAX(SA,N202,1.05*Q202),IF('Pre-Calculation'!$D$17="Type 4 c",N202,IF('Pre-Calculation'!$D$17="Type 4 d",SA+N202,IF('Pre-Calculation'!$D$17="Type 4 e",MAX(SA,N202),IF('Pre-Calculation'!$D$17="Type 4 f",SA,IF('Pre-Calculation'!$D$17="Type 4 g",1000+N202,IF('Pre-Calculation'!$D$17="Type 4 h",SA+X202,IF('Pre-Calculation'!$D$17="Type 4 i",MAX(N202,Q202),IF('Pre-Calculation'!$D$17="Type 4 k",MAX(N202,1.01*Q202),IF('Pre-Calculation'!$D$17="Type 4 m",MAX(105%*Q202,SA+N202),IF('Pre-Calculation'!$D$17="Type 4 o",MAX(SA,105%*Q202)+X202+Z202,IF('Pre-Calculation'!$D$17="Type 5",0))))))))))))</f>
        <v>1868187.369</v>
      </c>
      <c r="Q202" s="175">
        <f t="shared" si="5"/>
        <v>1600000</v>
      </c>
      <c r="R202" s="119">
        <f>L202*(1+GROWTH_RATE)*FMC</f>
        <v>2103.358536</v>
      </c>
      <c r="S202" s="178">
        <f>S201*(1+'Pre-Calculation'!$E$27)</f>
        <v>1140089.826</v>
      </c>
      <c r="T202" s="175">
        <f>-E202+IF(A201=INPUT!$C$11*12,N202,0)</f>
        <v>0</v>
      </c>
      <c r="U202" s="175">
        <f t="shared" si="6"/>
        <v>1979081.776</v>
      </c>
      <c r="V202" s="175">
        <f>U202*(1+GROWTH_RATE_H)*(1-'Pre-Calculation'!$E$31)</f>
        <v>1988498.23</v>
      </c>
      <c r="W202" s="175">
        <f>-E202+IF(A201=INPUT!$C$11*12,V202,0)</f>
        <v>0</v>
      </c>
      <c r="X202" s="179">
        <f t="array" ref="X202">NPV('Pre-Calculation'!$E$20,$E203:E$246)</f>
        <v>0</v>
      </c>
      <c r="Y202" s="171">
        <f>10%*SA</f>
        <v>100000</v>
      </c>
      <c r="Z202" s="179">
        <f t="array" ref="Z202">NPV('Pre-Calculation'!$E$20,Y203:Y212)</f>
        <v>969592.8037</v>
      </c>
    </row>
    <row r="203" ht="15.75" customHeight="1">
      <c r="A203" s="171">
        <f t="shared" si="1"/>
        <v>197</v>
      </c>
      <c r="B203" s="171">
        <f t="shared" si="2"/>
        <v>17</v>
      </c>
      <c r="C203" s="176">
        <f>EDATE(RCD,A202)</f>
        <v>48517</v>
      </c>
      <c r="D203" s="171">
        <f>Age_At_Entry+'Cashflows_8% from Start'!B203-1</f>
        <v>51</v>
      </c>
      <c r="E203" s="175">
        <f>IF(AND(C203&lt;=Last_Prem,MOD(A202,Mode)=0),Mod_Prem,0)</f>
        <v>0</v>
      </c>
      <c r="F203" s="177">
        <f>E203*VLOOKUP(B203,'Pre-Calculation'!$H$1:$I$31,2,FALSE)</f>
        <v>0</v>
      </c>
      <c r="G203" s="177">
        <f>IF(B203&lt;PT+1,VLOOKUP(B203,'Pre-Calculation'!$H$1:$L$32,3,FALSE)+VLOOKUP(B203,'Pre-Calculation'!$H$1:$L$32,4,FALSE)*'Pre-Calculation'!$D$7,0)</f>
        <v>0</v>
      </c>
      <c r="H203" s="175">
        <f>(E203-(F203+G203)*(1+Tax)+N202)</f>
        <v>1868187.369</v>
      </c>
      <c r="I203" s="175">
        <f>IF(B203&lt;PT+1,VLOOKUP(D203,'Pre-Calculation'!$N$3:$P$79,IF(INPUT!$C$4="M",2,3),FALSE)*(J203/1000)*(1/12),0)</f>
        <v>0</v>
      </c>
      <c r="J203" s="175">
        <f t="shared" si="3"/>
        <v>0</v>
      </c>
      <c r="K203" s="175">
        <f>IF('Pre-Calculation'!$D$17="Type 4 a",MAX(SA,H203,1.05*Q203),IF('Pre-Calculation'!$D$17="Type 4 c",H203,IF('Pre-Calculation'!$D$17="Type 4 d",SA+H203,IF('Pre-Calculation'!$D$17="Type 4 e",MAX(SA,H203),IF('Pre-Calculation'!$D$17="Type 4 f",SA,IF('Pre-Calculation'!$D$17="Type 4 g",1000+H203,IF('Pre-Calculation'!$D$17="Type 4 h",SA+X203,IF('Pre-Calculation'!$D$17="Type 4 i",MAX(H203,Q203),IF('Pre-Calculation'!$D$17="Type 4 k",MAX(H203,1.01*Q203),IF('Pre-Calculation'!$D$17="Type 4 m",MAX(105%*Q203,SA+H203),IF('Pre-Calculation'!$D$17="Type 4 o",MAX(SA,105%*Q203)+X203+Z203,IF('Pre-Calculation'!$D$17="Type 5",0))))))))))))</f>
        <v>1868187.369</v>
      </c>
      <c r="L203" s="175">
        <f>H203-I203*(1+Tax)</f>
        <v>1868187.369</v>
      </c>
      <c r="M203" s="175">
        <f>L203*(1+GROWTH_RATE_H)*(1-FMC*(1+Tax))</f>
        <v>1877712.725</v>
      </c>
      <c r="N203" s="175">
        <f>M203+IF(MOD(A203,B203)=0,VLOOKUP(B203,'Pre-Calculation'!$H$1:$L$31,5,FALSE),0)*IF('Pre-Calculation'!$D$16="% OF FV",M203,IF(OR('Pre-Calculation'!$D$16="% OF AFV(24M)",'Pre-Calculation'!$D$16="% OF AFV(8Q)"),AVERAGE( $M180:$M203),IF('Pre-Calculation'!$D$16="% OF AFV(12M)",AVERAGE($M192:M203),IF('Pre-Calculation'!$D$16="% OF AFV(36M)",AVERAGE($M168:M203)))))</f>
        <v>1877712.725</v>
      </c>
      <c r="O203" s="175">
        <f t="shared" si="4"/>
        <v>1877712.725</v>
      </c>
      <c r="P203" s="175">
        <f>IF('Pre-Calculation'!$D$17="Type 4 a",MAX(SA,N203,1.05*Q203),IF('Pre-Calculation'!$D$17="Type 4 c",N203,IF('Pre-Calculation'!$D$17="Type 4 d",SA+N203,IF('Pre-Calculation'!$D$17="Type 4 e",MAX(SA,N203),IF('Pre-Calculation'!$D$17="Type 4 f",SA,IF('Pre-Calculation'!$D$17="Type 4 g",1000+N203,IF('Pre-Calculation'!$D$17="Type 4 h",SA+X203,IF('Pre-Calculation'!$D$17="Type 4 i",MAX(N203,Q203),IF('Pre-Calculation'!$D$17="Type 4 k",MAX(N203,1.01*Q203),IF('Pre-Calculation'!$D$17="Type 4 m",MAX(105%*Q203,SA+N203),IF('Pre-Calculation'!$D$17="Type 4 o",MAX(SA,105%*Q203)+X203+Z203,IF('Pre-Calculation'!$D$17="Type 5",0))))))))))))</f>
        <v>1877712.725</v>
      </c>
      <c r="Q203" s="175">
        <f t="shared" si="5"/>
        <v>1600000</v>
      </c>
      <c r="R203" s="119">
        <f>L203*(1+GROWTH_RATE)*FMC</f>
        <v>2114.082963</v>
      </c>
      <c r="S203" s="178">
        <f>S202*(1+'Pre-Calculation'!$E$27)</f>
        <v>1143362.908</v>
      </c>
      <c r="T203" s="175">
        <f>-E203+IF(A202=INPUT!$C$11*12,N203,0)</f>
        <v>0</v>
      </c>
      <c r="U203" s="175">
        <f t="shared" si="6"/>
        <v>1988498.23</v>
      </c>
      <c r="V203" s="175">
        <f>U203*(1+GROWTH_RATE_H)*(1-'Pre-Calculation'!$E$31)</f>
        <v>1997959.487</v>
      </c>
      <c r="W203" s="175">
        <f>-E203+IF(A202=INPUT!$C$11*12,V203,0)</f>
        <v>0</v>
      </c>
      <c r="X203" s="179">
        <f t="array" ref="X203">NPV('Pre-Calculation'!$E$20,$E204:E$246)</f>
        <v>0</v>
      </c>
      <c r="Y203" s="171">
        <f>10%*SA</f>
        <v>100000</v>
      </c>
      <c r="Z203" s="179">
        <f t="array" ref="Z203">NPV('Pre-Calculation'!$E$20,Y204:Y213)</f>
        <v>969592.8037</v>
      </c>
    </row>
    <row r="204" ht="15.75" customHeight="1">
      <c r="A204" s="171">
        <f t="shared" si="1"/>
        <v>198</v>
      </c>
      <c r="B204" s="171">
        <f t="shared" si="2"/>
        <v>17</v>
      </c>
      <c r="C204" s="176">
        <f>EDATE(RCD,A203)</f>
        <v>48548</v>
      </c>
      <c r="D204" s="171">
        <f>Age_At_Entry+'Cashflows_8% from Start'!B204-1</f>
        <v>51</v>
      </c>
      <c r="E204" s="175">
        <f>IF(AND(C204&lt;=Last_Prem,MOD(A203,Mode)=0),Mod_Prem,0)</f>
        <v>0</v>
      </c>
      <c r="F204" s="177">
        <f>E204*VLOOKUP(B204,'Pre-Calculation'!$H$1:$I$31,2,FALSE)</f>
        <v>0</v>
      </c>
      <c r="G204" s="177">
        <f>IF(B204&lt;PT+1,VLOOKUP(B204,'Pre-Calculation'!$H$1:$L$32,3,FALSE)+VLOOKUP(B204,'Pre-Calculation'!$H$1:$L$32,4,FALSE)*'Pre-Calculation'!$D$7,0)</f>
        <v>0</v>
      </c>
      <c r="H204" s="175">
        <f>(E204-(F204+G204)*(1+Tax)+N203)</f>
        <v>1877712.725</v>
      </c>
      <c r="I204" s="175">
        <f>IF(B204&lt;PT+1,VLOOKUP(D204,'Pre-Calculation'!$N$3:$P$79,IF(INPUT!$C$4="M",2,3),FALSE)*(J204/1000)*(1/12),0)</f>
        <v>0</v>
      </c>
      <c r="J204" s="175">
        <f t="shared" si="3"/>
        <v>0</v>
      </c>
      <c r="K204" s="175">
        <f>IF('Pre-Calculation'!$D$17="Type 4 a",MAX(SA,H204,1.05*Q204),IF('Pre-Calculation'!$D$17="Type 4 c",H204,IF('Pre-Calculation'!$D$17="Type 4 d",SA+H204,IF('Pre-Calculation'!$D$17="Type 4 e",MAX(SA,H204),IF('Pre-Calculation'!$D$17="Type 4 f",SA,IF('Pre-Calculation'!$D$17="Type 4 g",1000+H204,IF('Pre-Calculation'!$D$17="Type 4 h",SA+X204,IF('Pre-Calculation'!$D$17="Type 4 i",MAX(H204,Q204),IF('Pre-Calculation'!$D$17="Type 4 k",MAX(H204,1.01*Q204),IF('Pre-Calculation'!$D$17="Type 4 m",MAX(105%*Q204,SA+H204),IF('Pre-Calculation'!$D$17="Type 4 o",MAX(SA,105%*Q204)+X204+Z204,IF('Pre-Calculation'!$D$17="Type 5",0))))))))))))</f>
        <v>1877712.725</v>
      </c>
      <c r="L204" s="175">
        <f>H204-I204*(1+Tax)</f>
        <v>1877712.725</v>
      </c>
      <c r="M204" s="175">
        <f>L204*(1+GROWTH_RATE_H)*(1-FMC*(1+Tax))</f>
        <v>1887286.648</v>
      </c>
      <c r="N204" s="175">
        <f>M204+IF(MOD(A204,B204)=0,VLOOKUP(B204,'Pre-Calculation'!$H$1:$L$31,5,FALSE),0)*IF('Pre-Calculation'!$D$16="% OF FV",M204,IF(OR('Pre-Calculation'!$D$16="% OF AFV(24M)",'Pre-Calculation'!$D$16="% OF AFV(8Q)"),AVERAGE( $M181:$M204),IF('Pre-Calculation'!$D$16="% OF AFV(12M)",AVERAGE($M193:M204),IF('Pre-Calculation'!$D$16="% OF AFV(36M)",AVERAGE($M169:M204)))))</f>
        <v>1887286.648</v>
      </c>
      <c r="O204" s="175">
        <f t="shared" si="4"/>
        <v>1887286.648</v>
      </c>
      <c r="P204" s="175">
        <f>IF('Pre-Calculation'!$D$17="Type 4 a",MAX(SA,N204,1.05*Q204),IF('Pre-Calculation'!$D$17="Type 4 c",N204,IF('Pre-Calculation'!$D$17="Type 4 d",SA+N204,IF('Pre-Calculation'!$D$17="Type 4 e",MAX(SA,N204),IF('Pre-Calculation'!$D$17="Type 4 f",SA,IF('Pre-Calculation'!$D$17="Type 4 g",1000+N204,IF('Pre-Calculation'!$D$17="Type 4 h",SA+X204,IF('Pre-Calculation'!$D$17="Type 4 i",MAX(N204,Q204),IF('Pre-Calculation'!$D$17="Type 4 k",MAX(N204,1.01*Q204),IF('Pre-Calculation'!$D$17="Type 4 m",MAX(105%*Q204,SA+N204),IF('Pre-Calculation'!$D$17="Type 4 o",MAX(SA,105%*Q204)+X204+Z204,IF('Pre-Calculation'!$D$17="Type 5",0))))))))))))</f>
        <v>1887286.648</v>
      </c>
      <c r="Q204" s="175">
        <f t="shared" si="5"/>
        <v>1600000</v>
      </c>
      <c r="R204" s="119">
        <f>L204*(1+GROWTH_RATE)*FMC</f>
        <v>2124.86207</v>
      </c>
      <c r="S204" s="178">
        <f>S203*(1+'Pre-Calculation'!$E$27)</f>
        <v>1146645.387</v>
      </c>
      <c r="T204" s="175">
        <f>-E204+IF(A203=INPUT!$C$11*12,N204,0)</f>
        <v>0</v>
      </c>
      <c r="U204" s="175">
        <f t="shared" si="6"/>
        <v>1997959.487</v>
      </c>
      <c r="V204" s="175">
        <f>U204*(1+GROWTH_RATE_H)*(1-'Pre-Calculation'!$E$31)</f>
        <v>2007465.76</v>
      </c>
      <c r="W204" s="175">
        <f>-E204+IF(A203=INPUT!$C$11*12,V204,0)</f>
        <v>0</v>
      </c>
      <c r="X204" s="179">
        <f t="array" ref="X204">NPV('Pre-Calculation'!$E$20,$E205:E$246)</f>
        <v>0</v>
      </c>
      <c r="Y204" s="171">
        <f>10%*SA</f>
        <v>100000</v>
      </c>
      <c r="Z204" s="179">
        <f t="array" ref="Z204">NPV('Pre-Calculation'!$E$20,Y205:Y214)</f>
        <v>969592.8037</v>
      </c>
    </row>
    <row r="205" ht="15.75" customHeight="1">
      <c r="A205" s="171">
        <f t="shared" si="1"/>
        <v>199</v>
      </c>
      <c r="B205" s="171">
        <f t="shared" si="2"/>
        <v>17</v>
      </c>
      <c r="C205" s="176">
        <f>EDATE(RCD,A204)</f>
        <v>48578</v>
      </c>
      <c r="D205" s="171">
        <f>Age_At_Entry+'Cashflows_8% from Start'!B205-1</f>
        <v>51</v>
      </c>
      <c r="E205" s="175">
        <f>IF(AND(C205&lt;=Last_Prem,MOD(A204,Mode)=0),Mod_Prem,0)</f>
        <v>0</v>
      </c>
      <c r="F205" s="177">
        <f>E205*VLOOKUP(B205,'Pre-Calculation'!$H$1:$I$31,2,FALSE)</f>
        <v>0</v>
      </c>
      <c r="G205" s="177">
        <f>IF(B205&lt;PT+1,VLOOKUP(B205,'Pre-Calculation'!$H$1:$L$32,3,FALSE)+VLOOKUP(B205,'Pre-Calculation'!$H$1:$L$32,4,FALSE)*'Pre-Calculation'!$D$7,0)</f>
        <v>0</v>
      </c>
      <c r="H205" s="175">
        <f>(E205-(F205+G205)*(1+Tax)+N204)</f>
        <v>1887286.648</v>
      </c>
      <c r="I205" s="175">
        <f>IF(B205&lt;PT+1,VLOOKUP(D205,'Pre-Calculation'!$N$3:$P$79,IF(INPUT!$C$4="M",2,3),FALSE)*(J205/1000)*(1/12),0)</f>
        <v>0</v>
      </c>
      <c r="J205" s="175">
        <f t="shared" si="3"/>
        <v>0</v>
      </c>
      <c r="K205" s="175">
        <f>IF('Pre-Calculation'!$D$17="Type 4 a",MAX(SA,H205,1.05*Q205),IF('Pre-Calculation'!$D$17="Type 4 c",H205,IF('Pre-Calculation'!$D$17="Type 4 d",SA+H205,IF('Pre-Calculation'!$D$17="Type 4 e",MAX(SA,H205),IF('Pre-Calculation'!$D$17="Type 4 f",SA,IF('Pre-Calculation'!$D$17="Type 4 g",1000+H205,IF('Pre-Calculation'!$D$17="Type 4 h",SA+X205,IF('Pre-Calculation'!$D$17="Type 4 i",MAX(H205,Q205),IF('Pre-Calculation'!$D$17="Type 4 k",MAX(H205,1.01*Q205),IF('Pre-Calculation'!$D$17="Type 4 m",MAX(105%*Q205,SA+H205),IF('Pre-Calculation'!$D$17="Type 4 o",MAX(SA,105%*Q205)+X205+Z205,IF('Pre-Calculation'!$D$17="Type 5",0))))))))))))</f>
        <v>1887286.648</v>
      </c>
      <c r="L205" s="175">
        <f>H205-I205*(1+Tax)</f>
        <v>1887286.648</v>
      </c>
      <c r="M205" s="175">
        <f>L205*(1+GROWTH_RATE_H)*(1-FMC*(1+Tax))</f>
        <v>1896909.386</v>
      </c>
      <c r="N205" s="175">
        <f>M205+IF(MOD(A205,B205)=0,VLOOKUP(B205,'Pre-Calculation'!$H$1:$L$31,5,FALSE),0)*IF('Pre-Calculation'!$D$16="% OF FV",M205,IF(OR('Pre-Calculation'!$D$16="% OF AFV(24M)",'Pre-Calculation'!$D$16="% OF AFV(8Q)"),AVERAGE( $M182:$M205),IF('Pre-Calculation'!$D$16="% OF AFV(12M)",AVERAGE($M194:M205),IF('Pre-Calculation'!$D$16="% OF AFV(36M)",AVERAGE($M170:M205)))))</f>
        <v>1896909.386</v>
      </c>
      <c r="O205" s="175">
        <f t="shared" si="4"/>
        <v>1896909.386</v>
      </c>
      <c r="P205" s="175">
        <f>IF('Pre-Calculation'!$D$17="Type 4 a",MAX(SA,N205,1.05*Q205),IF('Pre-Calculation'!$D$17="Type 4 c",N205,IF('Pre-Calculation'!$D$17="Type 4 d",SA+N205,IF('Pre-Calculation'!$D$17="Type 4 e",MAX(SA,N205),IF('Pre-Calculation'!$D$17="Type 4 f",SA,IF('Pre-Calculation'!$D$17="Type 4 g",1000+N205,IF('Pre-Calculation'!$D$17="Type 4 h",SA+X205,IF('Pre-Calculation'!$D$17="Type 4 i",MAX(N205,Q205),IF('Pre-Calculation'!$D$17="Type 4 k",MAX(N205,1.01*Q205),IF('Pre-Calculation'!$D$17="Type 4 m",MAX(105%*Q205,SA+N205),IF('Pre-Calculation'!$D$17="Type 4 o",MAX(SA,105%*Q205)+X205+Z205,IF('Pre-Calculation'!$D$17="Type 5",0))))))))))))</f>
        <v>1896909.386</v>
      </c>
      <c r="Q205" s="175">
        <f t="shared" si="5"/>
        <v>1600000</v>
      </c>
      <c r="R205" s="119">
        <f>L205*(1+GROWTH_RATE)*FMC</f>
        <v>2135.696137</v>
      </c>
      <c r="S205" s="178">
        <f>S204*(1+'Pre-Calculation'!$E$27)</f>
        <v>1149937.29</v>
      </c>
      <c r="T205" s="175">
        <f>-E205+IF(A204=INPUT!$C$11*12,N205,0)</f>
        <v>0</v>
      </c>
      <c r="U205" s="175">
        <f t="shared" si="6"/>
        <v>2007465.76</v>
      </c>
      <c r="V205" s="175">
        <f>U205*(1+GROWTH_RATE_H)*(1-'Pre-Calculation'!$E$31)</f>
        <v>2017017.265</v>
      </c>
      <c r="W205" s="175">
        <f>-E205+IF(A204=INPUT!$C$11*12,V205,0)</f>
        <v>0</v>
      </c>
      <c r="X205" s="179">
        <f t="array" ref="X205">NPV('Pre-Calculation'!$E$20,$E206:E$246)</f>
        <v>0</v>
      </c>
      <c r="Y205" s="171">
        <f>10%*SA</f>
        <v>100000</v>
      </c>
      <c r="Z205" s="179">
        <f t="array" ref="Z205">NPV('Pre-Calculation'!$E$20,Y206:Y215)</f>
        <v>969592.8037</v>
      </c>
    </row>
    <row r="206" ht="15.75" customHeight="1">
      <c r="A206" s="171">
        <f t="shared" si="1"/>
        <v>200</v>
      </c>
      <c r="B206" s="171">
        <f t="shared" si="2"/>
        <v>17</v>
      </c>
      <c r="C206" s="176">
        <f>EDATE(RCD,A205)</f>
        <v>48609</v>
      </c>
      <c r="D206" s="171">
        <f>Age_At_Entry+'Cashflows_8% from Start'!B206-1</f>
        <v>51</v>
      </c>
      <c r="E206" s="175">
        <f>IF(AND(C206&lt;=Last_Prem,MOD(A205,Mode)=0),Mod_Prem,0)</f>
        <v>0</v>
      </c>
      <c r="F206" s="177">
        <f>E206*VLOOKUP(B206,'Pre-Calculation'!$H$1:$I$31,2,FALSE)</f>
        <v>0</v>
      </c>
      <c r="G206" s="177">
        <f>IF(B206&lt;PT+1,VLOOKUP(B206,'Pre-Calculation'!$H$1:$L$32,3,FALSE)+VLOOKUP(B206,'Pre-Calculation'!$H$1:$L$32,4,FALSE)*'Pre-Calculation'!$D$7,0)</f>
        <v>0</v>
      </c>
      <c r="H206" s="175">
        <f>(E206-(F206+G206)*(1+Tax)+N205)</f>
        <v>1896909.386</v>
      </c>
      <c r="I206" s="175">
        <f>IF(B206&lt;PT+1,VLOOKUP(D206,'Pre-Calculation'!$N$3:$P$79,IF(INPUT!$C$4="M",2,3),FALSE)*(J206/1000)*(1/12),0)</f>
        <v>0</v>
      </c>
      <c r="J206" s="175">
        <f t="shared" si="3"/>
        <v>0</v>
      </c>
      <c r="K206" s="175">
        <f>IF('Pre-Calculation'!$D$17="Type 4 a",MAX(SA,H206,1.05*Q206),IF('Pre-Calculation'!$D$17="Type 4 c",H206,IF('Pre-Calculation'!$D$17="Type 4 d",SA+H206,IF('Pre-Calculation'!$D$17="Type 4 e",MAX(SA,H206),IF('Pre-Calculation'!$D$17="Type 4 f",SA,IF('Pre-Calculation'!$D$17="Type 4 g",1000+H206,IF('Pre-Calculation'!$D$17="Type 4 h",SA+X206,IF('Pre-Calculation'!$D$17="Type 4 i",MAX(H206,Q206),IF('Pre-Calculation'!$D$17="Type 4 k",MAX(H206,1.01*Q206),IF('Pre-Calculation'!$D$17="Type 4 m",MAX(105%*Q206,SA+H206),IF('Pre-Calculation'!$D$17="Type 4 o",MAX(SA,105%*Q206)+X206+Z206,IF('Pre-Calculation'!$D$17="Type 5",0))))))))))))</f>
        <v>1896909.386</v>
      </c>
      <c r="L206" s="175">
        <f>H206-I206*(1+Tax)</f>
        <v>1896909.386</v>
      </c>
      <c r="M206" s="175">
        <f>L206*(1+GROWTH_RATE_H)*(1-FMC*(1+Tax))</f>
        <v>1906581.187</v>
      </c>
      <c r="N206" s="175">
        <f>M206+IF(MOD(A206,B206)=0,VLOOKUP(B206,'Pre-Calculation'!$H$1:$L$31,5,FALSE),0)*IF('Pre-Calculation'!$D$16="% OF FV",M206,IF(OR('Pre-Calculation'!$D$16="% OF AFV(24M)",'Pre-Calculation'!$D$16="% OF AFV(8Q)"),AVERAGE( $M183:$M206),IF('Pre-Calculation'!$D$16="% OF AFV(12M)",AVERAGE($M195:M206),IF('Pre-Calculation'!$D$16="% OF AFV(36M)",AVERAGE($M171:M206)))))</f>
        <v>1906581.187</v>
      </c>
      <c r="O206" s="175">
        <f t="shared" si="4"/>
        <v>1906581.187</v>
      </c>
      <c r="P206" s="175">
        <f>IF('Pre-Calculation'!$D$17="Type 4 a",MAX(SA,N206,1.05*Q206),IF('Pre-Calculation'!$D$17="Type 4 c",N206,IF('Pre-Calculation'!$D$17="Type 4 d",SA+N206,IF('Pre-Calculation'!$D$17="Type 4 e",MAX(SA,N206),IF('Pre-Calculation'!$D$17="Type 4 f",SA,IF('Pre-Calculation'!$D$17="Type 4 g",1000+N206,IF('Pre-Calculation'!$D$17="Type 4 h",SA+X206,IF('Pre-Calculation'!$D$17="Type 4 i",MAX(N206,Q206),IF('Pre-Calculation'!$D$17="Type 4 k",MAX(N206,1.01*Q206),IF('Pre-Calculation'!$D$17="Type 4 m",MAX(105%*Q206,SA+N206),IF('Pre-Calculation'!$D$17="Type 4 o",MAX(SA,105%*Q206)+X206+Z206,IF('Pre-Calculation'!$D$17="Type 5",0))))))))))))</f>
        <v>1906581.187</v>
      </c>
      <c r="Q206" s="175">
        <f t="shared" si="5"/>
        <v>1600000</v>
      </c>
      <c r="R206" s="119">
        <f>L206*(1+GROWTH_RATE)*FMC</f>
        <v>2146.585444</v>
      </c>
      <c r="S206" s="178">
        <f>S205*(1+'Pre-Calculation'!$E$27)</f>
        <v>1153238.643</v>
      </c>
      <c r="T206" s="175">
        <f>-E206+IF(A205=INPUT!$C$11*12,N206,0)</f>
        <v>0</v>
      </c>
      <c r="U206" s="175">
        <f t="shared" si="6"/>
        <v>2017017.265</v>
      </c>
      <c r="V206" s="175">
        <f>U206*(1+GROWTH_RATE_H)*(1-'Pre-Calculation'!$E$31)</f>
        <v>2026614.215</v>
      </c>
      <c r="W206" s="175">
        <f>-E206+IF(A205=INPUT!$C$11*12,V206,0)</f>
        <v>0</v>
      </c>
      <c r="X206" s="179">
        <f t="array" ref="X206">NPV('Pre-Calculation'!$E$20,$E207:E$246)</f>
        <v>0</v>
      </c>
      <c r="Y206" s="171">
        <f>10%*SA</f>
        <v>100000</v>
      </c>
      <c r="Z206" s="179">
        <f t="array" ref="Z206">NPV('Pre-Calculation'!$E$20,Y207:Y216)</f>
        <v>969592.8037</v>
      </c>
    </row>
    <row r="207" ht="15.75" customHeight="1">
      <c r="A207" s="171">
        <f t="shared" si="1"/>
        <v>201</v>
      </c>
      <c r="B207" s="171">
        <f t="shared" si="2"/>
        <v>17</v>
      </c>
      <c r="C207" s="176">
        <f>EDATE(RCD,A206)</f>
        <v>48638</v>
      </c>
      <c r="D207" s="171">
        <f>Age_At_Entry+'Cashflows_8% from Start'!B207-1</f>
        <v>51</v>
      </c>
      <c r="E207" s="175">
        <f>IF(AND(C207&lt;=Last_Prem,MOD(A206,Mode)=0),Mod_Prem,0)</f>
        <v>0</v>
      </c>
      <c r="F207" s="177">
        <f>E207*VLOOKUP(B207,'Pre-Calculation'!$H$1:$I$31,2,FALSE)</f>
        <v>0</v>
      </c>
      <c r="G207" s="177">
        <f>IF(B207&lt;PT+1,VLOOKUP(B207,'Pre-Calculation'!$H$1:$L$32,3,FALSE)+VLOOKUP(B207,'Pre-Calculation'!$H$1:$L$32,4,FALSE)*'Pre-Calculation'!$D$7,0)</f>
        <v>0</v>
      </c>
      <c r="H207" s="175">
        <f>(E207-(F207+G207)*(1+Tax)+N206)</f>
        <v>1906581.187</v>
      </c>
      <c r="I207" s="175">
        <f>IF(B207&lt;PT+1,VLOOKUP(D207,'Pre-Calculation'!$N$3:$P$79,IF(INPUT!$C$4="M",2,3),FALSE)*(J207/1000)*(1/12),0)</f>
        <v>0</v>
      </c>
      <c r="J207" s="175">
        <f t="shared" si="3"/>
        <v>0</v>
      </c>
      <c r="K207" s="175">
        <f>IF('Pre-Calculation'!$D$17="Type 4 a",MAX(SA,H207,1.05*Q207),IF('Pre-Calculation'!$D$17="Type 4 c",H207,IF('Pre-Calculation'!$D$17="Type 4 d",SA+H207,IF('Pre-Calculation'!$D$17="Type 4 e",MAX(SA,H207),IF('Pre-Calculation'!$D$17="Type 4 f",SA,IF('Pre-Calculation'!$D$17="Type 4 g",1000+H207,IF('Pre-Calculation'!$D$17="Type 4 h",SA+X207,IF('Pre-Calculation'!$D$17="Type 4 i",MAX(H207,Q207),IF('Pre-Calculation'!$D$17="Type 4 k",MAX(H207,1.01*Q207),IF('Pre-Calculation'!$D$17="Type 4 m",MAX(105%*Q207,SA+H207),IF('Pre-Calculation'!$D$17="Type 4 o",MAX(SA,105%*Q207)+X207+Z207,IF('Pre-Calculation'!$D$17="Type 5",0))))))))))))</f>
        <v>1906581.187</v>
      </c>
      <c r="L207" s="175">
        <f>H207-I207*(1+Tax)</f>
        <v>1906581.187</v>
      </c>
      <c r="M207" s="175">
        <f>L207*(1+GROWTH_RATE_H)*(1-FMC*(1+Tax))</f>
        <v>1916302.302</v>
      </c>
      <c r="N207" s="175">
        <f>M207+IF(MOD(A207,B207)=0,VLOOKUP(B207,'Pre-Calculation'!$H$1:$L$31,5,FALSE),0)*IF('Pre-Calculation'!$D$16="% OF FV",M207,IF(OR('Pre-Calculation'!$D$16="% OF AFV(24M)",'Pre-Calculation'!$D$16="% OF AFV(8Q)"),AVERAGE( $M184:$M207),IF('Pre-Calculation'!$D$16="% OF AFV(12M)",AVERAGE($M196:M207),IF('Pre-Calculation'!$D$16="% OF AFV(36M)",AVERAGE($M172:M207)))))</f>
        <v>1916302.302</v>
      </c>
      <c r="O207" s="175">
        <f t="shared" si="4"/>
        <v>1916302.302</v>
      </c>
      <c r="P207" s="175">
        <f>IF('Pre-Calculation'!$D$17="Type 4 a",MAX(SA,N207,1.05*Q207),IF('Pre-Calculation'!$D$17="Type 4 c",N207,IF('Pre-Calculation'!$D$17="Type 4 d",SA+N207,IF('Pre-Calculation'!$D$17="Type 4 e",MAX(SA,N207),IF('Pre-Calculation'!$D$17="Type 4 f",SA,IF('Pre-Calculation'!$D$17="Type 4 g",1000+N207,IF('Pre-Calculation'!$D$17="Type 4 h",SA+X207,IF('Pre-Calculation'!$D$17="Type 4 i",MAX(N207,Q207),IF('Pre-Calculation'!$D$17="Type 4 k",MAX(N207,1.01*Q207),IF('Pre-Calculation'!$D$17="Type 4 m",MAX(105%*Q207,SA+N207),IF('Pre-Calculation'!$D$17="Type 4 o",MAX(SA,105%*Q207)+X207+Z207,IF('Pre-Calculation'!$D$17="Type 5",0))))))))))))</f>
        <v>1916302.302</v>
      </c>
      <c r="Q207" s="175">
        <f t="shared" si="5"/>
        <v>1600000</v>
      </c>
      <c r="R207" s="119">
        <f>L207*(1+GROWTH_RATE)*FMC</f>
        <v>2157.530273</v>
      </c>
      <c r="S207" s="178">
        <f>S206*(1+'Pre-Calculation'!$E$27)</f>
        <v>1156549.475</v>
      </c>
      <c r="T207" s="175">
        <f>-E207+IF(A206=INPUT!$C$11*12,N207,0)</f>
        <v>0</v>
      </c>
      <c r="U207" s="175">
        <f t="shared" si="6"/>
        <v>2026614.215</v>
      </c>
      <c r="V207" s="175">
        <f>U207*(1+GROWTH_RATE_H)*(1-'Pre-Calculation'!$E$31)</f>
        <v>2036256.828</v>
      </c>
      <c r="W207" s="175">
        <f>-E207+IF(A206=INPUT!$C$11*12,V207,0)</f>
        <v>0</v>
      </c>
      <c r="X207" s="179">
        <f t="array" ref="X207">NPV('Pre-Calculation'!$E$20,$E208:E$246)</f>
        <v>0</v>
      </c>
      <c r="Y207" s="171">
        <f>10%*SA</f>
        <v>100000</v>
      </c>
      <c r="Z207" s="179">
        <f t="array" ref="Z207">NPV('Pre-Calculation'!$E$20,Y208:Y217)</f>
        <v>969592.8037</v>
      </c>
    </row>
    <row r="208" ht="15.75" customHeight="1">
      <c r="A208" s="171">
        <f t="shared" si="1"/>
        <v>202</v>
      </c>
      <c r="B208" s="171">
        <f t="shared" si="2"/>
        <v>17</v>
      </c>
      <c r="C208" s="176">
        <f>EDATE(RCD,A207)</f>
        <v>48668</v>
      </c>
      <c r="D208" s="171">
        <f>Age_At_Entry+'Cashflows_8% from Start'!B208-1</f>
        <v>51</v>
      </c>
      <c r="E208" s="175">
        <f>IF(AND(C208&lt;=Last_Prem,MOD(A207,Mode)=0),Mod_Prem,0)</f>
        <v>0</v>
      </c>
      <c r="F208" s="177">
        <f>E208*VLOOKUP(B208,'Pre-Calculation'!$H$1:$I$31,2,FALSE)</f>
        <v>0</v>
      </c>
      <c r="G208" s="177">
        <f>IF(B208&lt;PT+1,VLOOKUP(B208,'Pre-Calculation'!$H$1:$L$32,3,FALSE)+VLOOKUP(B208,'Pre-Calculation'!$H$1:$L$32,4,FALSE)*'Pre-Calculation'!$D$7,0)</f>
        <v>0</v>
      </c>
      <c r="H208" s="175">
        <f>(E208-(F208+G208)*(1+Tax)+N207)</f>
        <v>1916302.302</v>
      </c>
      <c r="I208" s="175">
        <f>IF(B208&lt;PT+1,VLOOKUP(D208,'Pre-Calculation'!$N$3:$P$79,IF(INPUT!$C$4="M",2,3),FALSE)*(J208/1000)*(1/12),0)</f>
        <v>0</v>
      </c>
      <c r="J208" s="175">
        <f t="shared" si="3"/>
        <v>0</v>
      </c>
      <c r="K208" s="175">
        <f>IF('Pre-Calculation'!$D$17="Type 4 a",MAX(SA,H208,1.05*Q208),IF('Pre-Calculation'!$D$17="Type 4 c",H208,IF('Pre-Calculation'!$D$17="Type 4 d",SA+H208,IF('Pre-Calculation'!$D$17="Type 4 e",MAX(SA,H208),IF('Pre-Calculation'!$D$17="Type 4 f",SA,IF('Pre-Calculation'!$D$17="Type 4 g",1000+H208,IF('Pre-Calculation'!$D$17="Type 4 h",SA+X208,IF('Pre-Calculation'!$D$17="Type 4 i",MAX(H208,Q208),IF('Pre-Calculation'!$D$17="Type 4 k",MAX(H208,1.01*Q208),IF('Pre-Calculation'!$D$17="Type 4 m",MAX(105%*Q208,SA+H208),IF('Pre-Calculation'!$D$17="Type 4 o",MAX(SA,105%*Q208)+X208+Z208,IF('Pre-Calculation'!$D$17="Type 5",0))))))))))))</f>
        <v>1916302.302</v>
      </c>
      <c r="L208" s="175">
        <f>H208-I208*(1+Tax)</f>
        <v>1916302.302</v>
      </c>
      <c r="M208" s="175">
        <f>L208*(1+GROWTH_RATE_H)*(1-FMC*(1+Tax))</f>
        <v>1926072.983</v>
      </c>
      <c r="N208" s="175">
        <f>M208+IF(MOD(A208,B208)=0,VLOOKUP(B208,'Pre-Calculation'!$H$1:$L$31,5,FALSE),0)*IF('Pre-Calculation'!$D$16="% OF FV",M208,IF(OR('Pre-Calculation'!$D$16="% OF AFV(24M)",'Pre-Calculation'!$D$16="% OF AFV(8Q)"),AVERAGE( $M185:$M208),IF('Pre-Calculation'!$D$16="% OF AFV(12M)",AVERAGE($M197:M208),IF('Pre-Calculation'!$D$16="% OF AFV(36M)",AVERAGE($M173:M208)))))</f>
        <v>1926072.983</v>
      </c>
      <c r="O208" s="175">
        <f t="shared" si="4"/>
        <v>1926072.983</v>
      </c>
      <c r="P208" s="175">
        <f>IF('Pre-Calculation'!$D$17="Type 4 a",MAX(SA,N208,1.05*Q208),IF('Pre-Calculation'!$D$17="Type 4 c",N208,IF('Pre-Calculation'!$D$17="Type 4 d",SA+N208,IF('Pre-Calculation'!$D$17="Type 4 e",MAX(SA,N208),IF('Pre-Calculation'!$D$17="Type 4 f",SA,IF('Pre-Calculation'!$D$17="Type 4 g",1000+N208,IF('Pre-Calculation'!$D$17="Type 4 h",SA+X208,IF('Pre-Calculation'!$D$17="Type 4 i",MAX(N208,Q208),IF('Pre-Calculation'!$D$17="Type 4 k",MAX(N208,1.01*Q208),IF('Pre-Calculation'!$D$17="Type 4 m",MAX(105%*Q208,SA+N208),IF('Pre-Calculation'!$D$17="Type 4 o",MAX(SA,105%*Q208)+X208+Z208,IF('Pre-Calculation'!$D$17="Type 5",0))))))))))))</f>
        <v>1926072.983</v>
      </c>
      <c r="Q208" s="175">
        <f t="shared" si="5"/>
        <v>1600000</v>
      </c>
      <c r="R208" s="119">
        <f>L208*(1+GROWTH_RATE)*FMC</f>
        <v>2168.530906</v>
      </c>
      <c r="S208" s="178">
        <f>S207*(1+'Pre-Calculation'!$E$27)</f>
        <v>1159869.811</v>
      </c>
      <c r="T208" s="175">
        <f>-E208+IF(A207=INPUT!$C$11*12,N208,0)</f>
        <v>0</v>
      </c>
      <c r="U208" s="175">
        <f t="shared" si="6"/>
        <v>2036256.828</v>
      </c>
      <c r="V208" s="175">
        <f>U208*(1+GROWTH_RATE_H)*(1-'Pre-Calculation'!$E$31)</f>
        <v>2045945.32</v>
      </c>
      <c r="W208" s="175">
        <f>-E208+IF(A207=INPUT!$C$11*12,V208,0)</f>
        <v>0</v>
      </c>
      <c r="X208" s="179">
        <f t="array" ref="X208">NPV('Pre-Calculation'!$E$20,$E209:E$246)</f>
        <v>0</v>
      </c>
      <c r="Y208" s="171">
        <f>10%*SA</f>
        <v>100000</v>
      </c>
      <c r="Z208" s="179">
        <f t="array" ref="Z208">NPV('Pre-Calculation'!$E$20,Y209:Y218)</f>
        <v>969592.8037</v>
      </c>
    </row>
    <row r="209" ht="15.75" customHeight="1">
      <c r="A209" s="171">
        <f t="shared" si="1"/>
        <v>203</v>
      </c>
      <c r="B209" s="171">
        <f t="shared" si="2"/>
        <v>17</v>
      </c>
      <c r="C209" s="176">
        <f>EDATE(RCD,A208)</f>
        <v>48699</v>
      </c>
      <c r="D209" s="171">
        <f>Age_At_Entry+'Cashflows_8% from Start'!B209-1</f>
        <v>51</v>
      </c>
      <c r="E209" s="175">
        <f>IF(AND(C209&lt;=Last_Prem,MOD(A208,Mode)=0),Mod_Prem,0)</f>
        <v>0</v>
      </c>
      <c r="F209" s="177">
        <f>E209*VLOOKUP(B209,'Pre-Calculation'!$H$1:$I$31,2,FALSE)</f>
        <v>0</v>
      </c>
      <c r="G209" s="177">
        <f>IF(B209&lt;PT+1,VLOOKUP(B209,'Pre-Calculation'!$H$1:$L$32,3,FALSE)+VLOOKUP(B209,'Pre-Calculation'!$H$1:$L$32,4,FALSE)*'Pre-Calculation'!$D$7,0)</f>
        <v>0</v>
      </c>
      <c r="H209" s="175">
        <f>(E209-(F209+G209)*(1+Tax)+N208)</f>
        <v>1926072.983</v>
      </c>
      <c r="I209" s="175">
        <f>IF(B209&lt;PT+1,VLOOKUP(D209,'Pre-Calculation'!$N$3:$P$79,IF(INPUT!$C$4="M",2,3),FALSE)*(J209/1000)*(1/12),0)</f>
        <v>0</v>
      </c>
      <c r="J209" s="175">
        <f t="shared" si="3"/>
        <v>0</v>
      </c>
      <c r="K209" s="175">
        <f>IF('Pre-Calculation'!$D$17="Type 4 a",MAX(SA,H209,1.05*Q209),IF('Pre-Calculation'!$D$17="Type 4 c",H209,IF('Pre-Calculation'!$D$17="Type 4 d",SA+H209,IF('Pre-Calculation'!$D$17="Type 4 e",MAX(SA,H209),IF('Pre-Calculation'!$D$17="Type 4 f",SA,IF('Pre-Calculation'!$D$17="Type 4 g",1000+H209,IF('Pre-Calculation'!$D$17="Type 4 h",SA+X209,IF('Pre-Calculation'!$D$17="Type 4 i",MAX(H209,Q209),IF('Pre-Calculation'!$D$17="Type 4 k",MAX(H209,1.01*Q209),IF('Pre-Calculation'!$D$17="Type 4 m",MAX(105%*Q209,SA+H209),IF('Pre-Calculation'!$D$17="Type 4 o",MAX(SA,105%*Q209)+X209+Z209,IF('Pre-Calculation'!$D$17="Type 5",0))))))))))))</f>
        <v>1926072.983</v>
      </c>
      <c r="L209" s="175">
        <f>H209-I209*(1+Tax)</f>
        <v>1926072.983</v>
      </c>
      <c r="M209" s="175">
        <f>L209*(1+GROWTH_RATE_H)*(1-FMC*(1+Tax))</f>
        <v>1935893.481</v>
      </c>
      <c r="N209" s="175">
        <f>M209+IF(MOD(A209,B209)=0,VLOOKUP(B209,'Pre-Calculation'!$H$1:$L$31,5,FALSE),0)*IF('Pre-Calculation'!$D$16="% OF FV",M209,IF(OR('Pre-Calculation'!$D$16="% OF AFV(24M)",'Pre-Calculation'!$D$16="% OF AFV(8Q)"),AVERAGE( $M186:$M209),IF('Pre-Calculation'!$D$16="% OF AFV(12M)",AVERAGE($M198:M209),IF('Pre-Calculation'!$D$16="% OF AFV(36M)",AVERAGE($M174:M209)))))</f>
        <v>1935893.481</v>
      </c>
      <c r="O209" s="175">
        <f t="shared" si="4"/>
        <v>1935893.481</v>
      </c>
      <c r="P209" s="175">
        <f>IF('Pre-Calculation'!$D$17="Type 4 a",MAX(SA,N209,1.05*Q209),IF('Pre-Calculation'!$D$17="Type 4 c",N209,IF('Pre-Calculation'!$D$17="Type 4 d",SA+N209,IF('Pre-Calculation'!$D$17="Type 4 e",MAX(SA,N209),IF('Pre-Calculation'!$D$17="Type 4 f",SA,IF('Pre-Calculation'!$D$17="Type 4 g",1000+N209,IF('Pre-Calculation'!$D$17="Type 4 h",SA+X209,IF('Pre-Calculation'!$D$17="Type 4 i",MAX(N209,Q209),IF('Pre-Calculation'!$D$17="Type 4 k",MAX(N209,1.01*Q209),IF('Pre-Calculation'!$D$17="Type 4 m",MAX(105%*Q209,SA+N209),IF('Pre-Calculation'!$D$17="Type 4 o",MAX(SA,105%*Q209)+X209+Z209,IF('Pre-Calculation'!$D$17="Type 5",0))))))))))))</f>
        <v>1935893.481</v>
      </c>
      <c r="Q209" s="175">
        <f t="shared" si="5"/>
        <v>1600000</v>
      </c>
      <c r="R209" s="119">
        <f>L209*(1+GROWTH_RATE)*FMC</f>
        <v>2179.587628</v>
      </c>
      <c r="S209" s="178">
        <f>S208*(1+'Pre-Calculation'!$E$27)</f>
        <v>1163199.68</v>
      </c>
      <c r="T209" s="175">
        <f>-E209+IF(A208=INPUT!$C$11*12,N209,0)</f>
        <v>0</v>
      </c>
      <c r="U209" s="175">
        <f t="shared" si="6"/>
        <v>2045945.32</v>
      </c>
      <c r="V209" s="175">
        <f>U209*(1+GROWTH_RATE_H)*(1-'Pre-Calculation'!$E$31)</f>
        <v>2055679.91</v>
      </c>
      <c r="W209" s="175">
        <f>-E209+IF(A208=INPUT!$C$11*12,V209,0)</f>
        <v>0</v>
      </c>
      <c r="X209" s="179">
        <f t="array" ref="X209">NPV('Pre-Calculation'!$E$20,$E210:E$246)</f>
        <v>0</v>
      </c>
      <c r="Y209" s="171">
        <f>10%*SA</f>
        <v>100000</v>
      </c>
      <c r="Z209" s="179">
        <f t="array" ref="Z209">NPV('Pre-Calculation'!$E$20,Y210:Y219)</f>
        <v>969592.8037</v>
      </c>
    </row>
    <row r="210" ht="15.75" customHeight="1">
      <c r="A210" s="171">
        <f t="shared" si="1"/>
        <v>204</v>
      </c>
      <c r="B210" s="171">
        <f t="shared" si="2"/>
        <v>17</v>
      </c>
      <c r="C210" s="176">
        <f>EDATE(RCD,A209)</f>
        <v>48729</v>
      </c>
      <c r="D210" s="171">
        <f>Age_At_Entry+'Cashflows_8% from Start'!B210-1</f>
        <v>51</v>
      </c>
      <c r="E210" s="175">
        <f>IF(AND(C210&lt;=Last_Prem,MOD(A209,Mode)=0),Mod_Prem,0)</f>
        <v>0</v>
      </c>
      <c r="F210" s="177">
        <f>E210*VLOOKUP(B210,'Pre-Calculation'!$H$1:$I$31,2,FALSE)</f>
        <v>0</v>
      </c>
      <c r="G210" s="177">
        <f>IF(B210&lt;PT+1,VLOOKUP(B210,'Pre-Calculation'!$H$1:$L$32,3,FALSE)+VLOOKUP(B210,'Pre-Calculation'!$H$1:$L$32,4,FALSE)*'Pre-Calculation'!$D$7,0)</f>
        <v>0</v>
      </c>
      <c r="H210" s="175">
        <f>(E210-(F210+G210)*(1+Tax)+N209)</f>
        <v>1935893.481</v>
      </c>
      <c r="I210" s="175">
        <f>IF(B210&lt;PT+1,VLOOKUP(D210,'Pre-Calculation'!$N$3:$P$79,IF(INPUT!$C$4="M",2,3),FALSE)*(J210/1000)*(1/12),0)</f>
        <v>0</v>
      </c>
      <c r="J210" s="175">
        <f t="shared" si="3"/>
        <v>0</v>
      </c>
      <c r="K210" s="175">
        <f>IF('Pre-Calculation'!$D$17="Type 4 a",MAX(SA,H210,1.05*Q210),IF('Pre-Calculation'!$D$17="Type 4 c",H210,IF('Pre-Calculation'!$D$17="Type 4 d",SA+H210,IF('Pre-Calculation'!$D$17="Type 4 e",MAX(SA,H210),IF('Pre-Calculation'!$D$17="Type 4 f",SA,IF('Pre-Calculation'!$D$17="Type 4 g",1000+H210,IF('Pre-Calculation'!$D$17="Type 4 h",SA+X210,IF('Pre-Calculation'!$D$17="Type 4 i",MAX(H210,Q210),IF('Pre-Calculation'!$D$17="Type 4 k",MAX(H210,1.01*Q210),IF('Pre-Calculation'!$D$17="Type 4 m",MAX(105%*Q210,SA+H210),IF('Pre-Calculation'!$D$17="Type 4 o",MAX(SA,105%*Q210)+X210+Z210,IF('Pre-Calculation'!$D$17="Type 5",0))))))))))))</f>
        <v>1935893.481</v>
      </c>
      <c r="L210" s="175">
        <f>H210-I210*(1+Tax)</f>
        <v>1935893.481</v>
      </c>
      <c r="M210" s="175">
        <f>L210*(1+GROWTH_RATE_H)*(1-FMC*(1+Tax))</f>
        <v>1945764.051</v>
      </c>
      <c r="N210" s="175">
        <f>M210+IF(MOD(A210,B210)=0,VLOOKUP(B210,'Pre-Calculation'!$H$1:$L$31,5,FALSE),0)*IF('Pre-Calculation'!$D$16="% OF FV",M210,IF(OR('Pre-Calculation'!$D$16="% OF AFV(24M)",'Pre-Calculation'!$D$16="% OF AFV(8Q)"),AVERAGE( $M187:$M210),IF('Pre-Calculation'!$D$16="% OF AFV(12M)",AVERAGE($M199:M210),IF('Pre-Calculation'!$D$16="% OF AFV(36M)",AVERAGE($M175:M210)))))</f>
        <v>1945764.051</v>
      </c>
      <c r="O210" s="175">
        <f t="shared" si="4"/>
        <v>1945764.051</v>
      </c>
      <c r="P210" s="175">
        <f>IF('Pre-Calculation'!$D$17="Type 4 a",MAX(SA,N210,1.05*Q210),IF('Pre-Calculation'!$D$17="Type 4 c",N210,IF('Pre-Calculation'!$D$17="Type 4 d",SA+N210,IF('Pre-Calculation'!$D$17="Type 4 e",MAX(SA,N210),IF('Pre-Calculation'!$D$17="Type 4 f",SA,IF('Pre-Calculation'!$D$17="Type 4 g",1000+N210,IF('Pre-Calculation'!$D$17="Type 4 h",SA+X210,IF('Pre-Calculation'!$D$17="Type 4 i",MAX(N210,Q210),IF('Pre-Calculation'!$D$17="Type 4 k",MAX(N210,1.01*Q210),IF('Pre-Calculation'!$D$17="Type 4 m",MAX(105%*Q210,SA+N210),IF('Pre-Calculation'!$D$17="Type 4 o",MAX(SA,105%*Q210)+X210+Z210,IF('Pre-Calculation'!$D$17="Type 5",0))))))))))))</f>
        <v>1945764.051</v>
      </c>
      <c r="Q210" s="175">
        <f t="shared" si="5"/>
        <v>1600000</v>
      </c>
      <c r="R210" s="119">
        <f>L210*(1+GROWTH_RATE)*FMC</f>
        <v>2190.700725</v>
      </c>
      <c r="S210" s="178">
        <f>S209*(1+'Pre-Calculation'!$E$27)</f>
        <v>1166539.108</v>
      </c>
      <c r="T210" s="175">
        <f>-E210+IF(A209=INPUT!$C$11*12,N210,0)</f>
        <v>0</v>
      </c>
      <c r="U210" s="175">
        <f t="shared" si="6"/>
        <v>2055679.91</v>
      </c>
      <c r="V210" s="175">
        <f>U210*(1+GROWTH_RATE_H)*(1-'Pre-Calculation'!$E$31)</f>
        <v>2065460.817</v>
      </c>
      <c r="W210" s="175">
        <f>-E210+IF(A209=INPUT!$C$11*12,V210,0)</f>
        <v>0</v>
      </c>
      <c r="X210" s="179">
        <f t="array" ref="X210">NPV('Pre-Calculation'!$E$20,$E211:E$246)</f>
        <v>0</v>
      </c>
      <c r="Y210" s="171">
        <f>10%*SA</f>
        <v>100000</v>
      </c>
      <c r="Z210" s="179">
        <f t="array" ref="Z210">NPV('Pre-Calculation'!$E$20,Y211:Y220)</f>
        <v>969592.8037</v>
      </c>
    </row>
    <row r="211" ht="15.75" customHeight="1">
      <c r="A211" s="171">
        <f t="shared" si="1"/>
        <v>205</v>
      </c>
      <c r="B211" s="171">
        <f t="shared" si="2"/>
        <v>18</v>
      </c>
      <c r="C211" s="176">
        <f>EDATE(RCD,A210)</f>
        <v>48760</v>
      </c>
      <c r="D211" s="171">
        <f>Age_At_Entry+'Cashflows_8% from Start'!B211-1</f>
        <v>52</v>
      </c>
      <c r="E211" s="175">
        <f>IF(AND(C211&lt;=Last_Prem,MOD(A210,Mode)=0),Mod_Prem,0)</f>
        <v>0</v>
      </c>
      <c r="F211" s="177">
        <f>E211*VLOOKUP(B211,'Pre-Calculation'!$H$1:$I$31,2,FALSE)</f>
        <v>0</v>
      </c>
      <c r="G211" s="177">
        <f>IF(B211&lt;PT+1,VLOOKUP(B211,'Pre-Calculation'!$H$1:$L$32,3,FALSE)+VLOOKUP(B211,'Pre-Calculation'!$H$1:$L$32,4,FALSE)*'Pre-Calculation'!$D$7,0)</f>
        <v>0</v>
      </c>
      <c r="H211" s="175">
        <f>(E211-(F211+G211)*(1+Tax)+N210)</f>
        <v>1945764.051</v>
      </c>
      <c r="I211" s="175">
        <f>IF(B211&lt;PT+1,VLOOKUP(D211,'Pre-Calculation'!$N$3:$P$79,IF(INPUT!$C$4="M",2,3),FALSE)*(J211/1000)*(1/12),0)</f>
        <v>0</v>
      </c>
      <c r="J211" s="175">
        <f t="shared" si="3"/>
        <v>0</v>
      </c>
      <c r="K211" s="175">
        <f>IF('Pre-Calculation'!$D$17="Type 4 a",MAX(SA,H211,1.05*Q211),IF('Pre-Calculation'!$D$17="Type 4 c",H211,IF('Pre-Calculation'!$D$17="Type 4 d",SA+H211,IF('Pre-Calculation'!$D$17="Type 4 e",MAX(SA,H211),IF('Pre-Calculation'!$D$17="Type 4 f",SA,IF('Pre-Calculation'!$D$17="Type 4 g",1000+H211,IF('Pre-Calculation'!$D$17="Type 4 h",SA+X211,IF('Pre-Calculation'!$D$17="Type 4 i",MAX(H211,Q211),IF('Pre-Calculation'!$D$17="Type 4 k",MAX(H211,1.01*Q211),IF('Pre-Calculation'!$D$17="Type 4 m",MAX(105%*Q211,SA+H211),IF('Pre-Calculation'!$D$17="Type 4 o",MAX(SA,105%*Q211)+X211+Z211,IF('Pre-Calculation'!$D$17="Type 5",0))))))))))))</f>
        <v>1945764.051</v>
      </c>
      <c r="L211" s="175">
        <f>H211-I211*(1+Tax)</f>
        <v>1945764.051</v>
      </c>
      <c r="M211" s="175">
        <f>L211*(1+GROWTH_RATE_H)*(1-FMC*(1+Tax))</f>
        <v>1955684.948</v>
      </c>
      <c r="N211" s="175">
        <f>M211+IF(MOD(A211,B211)=0,VLOOKUP(B211,'Pre-Calculation'!$H$1:$L$31,5,FALSE),0)*IF('Pre-Calculation'!$D$16="% OF FV",M211,IF(OR('Pre-Calculation'!$D$16="% OF AFV(24M)",'Pre-Calculation'!$D$16="% OF AFV(8Q)"),AVERAGE( $M188:$M211),IF('Pre-Calculation'!$D$16="% OF AFV(12M)",AVERAGE($M200:M211),IF('Pre-Calculation'!$D$16="% OF AFV(36M)",AVERAGE($M176:M211)))))</f>
        <v>1955684.948</v>
      </c>
      <c r="O211" s="175">
        <f t="shared" si="4"/>
        <v>1955684.948</v>
      </c>
      <c r="P211" s="175">
        <f>IF('Pre-Calculation'!$D$17="Type 4 a",MAX(SA,N211,1.05*Q211),IF('Pre-Calculation'!$D$17="Type 4 c",N211,IF('Pre-Calculation'!$D$17="Type 4 d",SA+N211,IF('Pre-Calculation'!$D$17="Type 4 e",MAX(SA,N211),IF('Pre-Calculation'!$D$17="Type 4 f",SA,IF('Pre-Calculation'!$D$17="Type 4 g",1000+N211,IF('Pre-Calculation'!$D$17="Type 4 h",SA+X211,IF('Pre-Calculation'!$D$17="Type 4 i",MAX(N211,Q211),IF('Pre-Calculation'!$D$17="Type 4 k",MAX(N211,1.01*Q211),IF('Pre-Calculation'!$D$17="Type 4 m",MAX(105%*Q211,SA+N211),IF('Pre-Calculation'!$D$17="Type 4 o",MAX(SA,105%*Q211)+X211+Z211,IF('Pre-Calculation'!$D$17="Type 5",0))))))))))))</f>
        <v>1955684.948</v>
      </c>
      <c r="Q211" s="175">
        <f t="shared" si="5"/>
        <v>1600000</v>
      </c>
      <c r="R211" s="119">
        <f>L211*(1+GROWTH_RATE)*FMC</f>
        <v>2201.870485</v>
      </c>
      <c r="S211" s="178">
        <f>S210*(1+'Pre-Calculation'!$E$27)</f>
        <v>1169888.124</v>
      </c>
      <c r="T211" s="175">
        <f>-E211+IF(A210=INPUT!$C$11*12,N211,0)</f>
        <v>0</v>
      </c>
      <c r="U211" s="175">
        <f t="shared" si="6"/>
        <v>2065460.817</v>
      </c>
      <c r="V211" s="175">
        <f>U211*(1+GROWTH_RATE_H)*(1-'Pre-Calculation'!$E$31)</f>
        <v>2075288.261</v>
      </c>
      <c r="W211" s="175">
        <f>-E211+IF(A210=INPUT!$C$11*12,V211,0)</f>
        <v>0</v>
      </c>
      <c r="X211" s="179">
        <f t="array" ref="X211">NPV('Pre-Calculation'!$E$20,$E212:E$246)</f>
        <v>0</v>
      </c>
      <c r="Y211" s="171">
        <f>10%*SA</f>
        <v>100000</v>
      </c>
      <c r="Z211" s="179">
        <f t="array" ref="Z211">NPV('Pre-Calculation'!$E$20,Y212:Y221)</f>
        <v>969592.8037</v>
      </c>
    </row>
    <row r="212" ht="15.75" customHeight="1">
      <c r="A212" s="171">
        <f t="shared" si="1"/>
        <v>206</v>
      </c>
      <c r="B212" s="171">
        <f t="shared" si="2"/>
        <v>18</v>
      </c>
      <c r="C212" s="176">
        <f>EDATE(RCD,A211)</f>
        <v>48790</v>
      </c>
      <c r="D212" s="171">
        <f>Age_At_Entry+'Cashflows_8% from Start'!B212-1</f>
        <v>52</v>
      </c>
      <c r="E212" s="175">
        <f>IF(AND(C212&lt;=Last_Prem,MOD(A211,Mode)=0),Mod_Prem,0)</f>
        <v>0</v>
      </c>
      <c r="F212" s="177">
        <f>E212*VLOOKUP(B212,'Pre-Calculation'!$H$1:$I$31,2,FALSE)</f>
        <v>0</v>
      </c>
      <c r="G212" s="177">
        <f>IF(B212&lt;PT+1,VLOOKUP(B212,'Pre-Calculation'!$H$1:$L$32,3,FALSE)+VLOOKUP(B212,'Pre-Calculation'!$H$1:$L$32,4,FALSE)*'Pre-Calculation'!$D$7,0)</f>
        <v>0</v>
      </c>
      <c r="H212" s="175">
        <f>(E212-(F212+G212)*(1+Tax)+N211)</f>
        <v>1955684.948</v>
      </c>
      <c r="I212" s="175">
        <f>IF(B212&lt;PT+1,VLOOKUP(D212,'Pre-Calculation'!$N$3:$P$79,IF(INPUT!$C$4="M",2,3),FALSE)*(J212/1000)*(1/12),0)</f>
        <v>0</v>
      </c>
      <c r="J212" s="175">
        <f t="shared" si="3"/>
        <v>0</v>
      </c>
      <c r="K212" s="175">
        <f>IF('Pre-Calculation'!$D$17="Type 4 a",MAX(SA,H212,1.05*Q212),IF('Pre-Calculation'!$D$17="Type 4 c",H212,IF('Pre-Calculation'!$D$17="Type 4 d",SA+H212,IF('Pre-Calculation'!$D$17="Type 4 e",MAX(SA,H212),IF('Pre-Calculation'!$D$17="Type 4 f",SA,IF('Pre-Calculation'!$D$17="Type 4 g",1000+H212,IF('Pre-Calculation'!$D$17="Type 4 h",SA+X212,IF('Pre-Calculation'!$D$17="Type 4 i",MAX(H212,Q212),IF('Pre-Calculation'!$D$17="Type 4 k",MAX(H212,1.01*Q212),IF('Pre-Calculation'!$D$17="Type 4 m",MAX(105%*Q212,SA+H212),IF('Pre-Calculation'!$D$17="Type 4 o",MAX(SA,105%*Q212)+X212+Z212,IF('Pre-Calculation'!$D$17="Type 5",0))))))))))))</f>
        <v>1955684.948</v>
      </c>
      <c r="L212" s="175">
        <f>H212-I212*(1+Tax)</f>
        <v>1955684.948</v>
      </c>
      <c r="M212" s="175">
        <f>L212*(1+GROWTH_RATE_H)*(1-FMC*(1+Tax))</f>
        <v>1965656.429</v>
      </c>
      <c r="N212" s="175">
        <f>M212+IF(MOD(A212,B212)=0,VLOOKUP(B212,'Pre-Calculation'!$H$1:$L$31,5,FALSE),0)*IF('Pre-Calculation'!$D$16="% OF FV",M212,IF(OR('Pre-Calculation'!$D$16="% OF AFV(24M)",'Pre-Calculation'!$D$16="% OF AFV(8Q)"),AVERAGE( $M189:$M212),IF('Pre-Calculation'!$D$16="% OF AFV(12M)",AVERAGE($M201:M212),IF('Pre-Calculation'!$D$16="% OF AFV(36M)",AVERAGE($M177:M212)))))</f>
        <v>1965656.429</v>
      </c>
      <c r="O212" s="175">
        <f t="shared" si="4"/>
        <v>1965656.429</v>
      </c>
      <c r="P212" s="175">
        <f>IF('Pre-Calculation'!$D$17="Type 4 a",MAX(SA,N212,1.05*Q212),IF('Pre-Calculation'!$D$17="Type 4 c",N212,IF('Pre-Calculation'!$D$17="Type 4 d",SA+N212,IF('Pre-Calculation'!$D$17="Type 4 e",MAX(SA,N212),IF('Pre-Calculation'!$D$17="Type 4 f",SA,IF('Pre-Calculation'!$D$17="Type 4 g",1000+N212,IF('Pre-Calculation'!$D$17="Type 4 h",SA+X212,IF('Pre-Calculation'!$D$17="Type 4 i",MAX(N212,Q212),IF('Pre-Calculation'!$D$17="Type 4 k",MAX(N212,1.01*Q212),IF('Pre-Calculation'!$D$17="Type 4 m",MAX(105%*Q212,SA+N212),IF('Pre-Calculation'!$D$17="Type 4 o",MAX(SA,105%*Q212)+X212+Z212,IF('Pre-Calculation'!$D$17="Type 5",0))))))))))))</f>
        <v>1965656.429</v>
      </c>
      <c r="Q212" s="175">
        <f t="shared" si="5"/>
        <v>1600000</v>
      </c>
      <c r="R212" s="119">
        <f>L212*(1+GROWTH_RATE)*FMC</f>
        <v>2213.097196</v>
      </c>
      <c r="S212" s="178">
        <f>S211*(1+'Pre-Calculation'!$E$27)</f>
        <v>1173246.754</v>
      </c>
      <c r="T212" s="175">
        <f>-E212+IF(A211=INPUT!$C$11*12,N212,0)</f>
        <v>0</v>
      </c>
      <c r="U212" s="175">
        <f t="shared" si="6"/>
        <v>2075288.261</v>
      </c>
      <c r="V212" s="175">
        <f>U212*(1+GROWTH_RATE_H)*(1-'Pre-Calculation'!$E$31)</f>
        <v>2085162.465</v>
      </c>
      <c r="W212" s="175">
        <f>-E212+IF(A211=INPUT!$C$11*12,V212,0)</f>
        <v>0</v>
      </c>
      <c r="X212" s="179">
        <f t="array" ref="X212">NPV('Pre-Calculation'!$E$20,$E213:E$246)</f>
        <v>0</v>
      </c>
      <c r="Y212" s="171">
        <f>10%*SA</f>
        <v>100000</v>
      </c>
      <c r="Z212" s="179">
        <f t="array" ref="Z212">NPV('Pre-Calculation'!$E$20,Y213:Y222)</f>
        <v>969592.8037</v>
      </c>
    </row>
    <row r="213" ht="15.75" customHeight="1">
      <c r="A213" s="171">
        <f t="shared" si="1"/>
        <v>207</v>
      </c>
      <c r="B213" s="171">
        <f t="shared" si="2"/>
        <v>18</v>
      </c>
      <c r="C213" s="176">
        <f>EDATE(RCD,A212)</f>
        <v>48821</v>
      </c>
      <c r="D213" s="171">
        <f>Age_At_Entry+'Cashflows_8% from Start'!B213-1</f>
        <v>52</v>
      </c>
      <c r="E213" s="175">
        <f>IF(AND(C213&lt;=Last_Prem,MOD(A212,Mode)=0),Mod_Prem,0)</f>
        <v>0</v>
      </c>
      <c r="F213" s="177">
        <f>E213*VLOOKUP(B213,'Pre-Calculation'!$H$1:$I$31,2,FALSE)</f>
        <v>0</v>
      </c>
      <c r="G213" s="177">
        <f>IF(B213&lt;PT+1,VLOOKUP(B213,'Pre-Calculation'!$H$1:$L$32,3,FALSE)+VLOOKUP(B213,'Pre-Calculation'!$H$1:$L$32,4,FALSE)*'Pre-Calculation'!$D$7,0)</f>
        <v>0</v>
      </c>
      <c r="H213" s="175">
        <f>(E213-(F213+G213)*(1+Tax)+N212)</f>
        <v>1965656.429</v>
      </c>
      <c r="I213" s="175">
        <f>IF(B213&lt;PT+1,VLOOKUP(D213,'Pre-Calculation'!$N$3:$P$79,IF(INPUT!$C$4="M",2,3),FALSE)*(J213/1000)*(1/12),0)</f>
        <v>0</v>
      </c>
      <c r="J213" s="175">
        <f t="shared" si="3"/>
        <v>0</v>
      </c>
      <c r="K213" s="175">
        <f>IF('Pre-Calculation'!$D$17="Type 4 a",MAX(SA,H213,1.05*Q213),IF('Pre-Calculation'!$D$17="Type 4 c",H213,IF('Pre-Calculation'!$D$17="Type 4 d",SA+H213,IF('Pre-Calculation'!$D$17="Type 4 e",MAX(SA,H213),IF('Pre-Calculation'!$D$17="Type 4 f",SA,IF('Pre-Calculation'!$D$17="Type 4 g",1000+H213,IF('Pre-Calculation'!$D$17="Type 4 h",SA+X213,IF('Pre-Calculation'!$D$17="Type 4 i",MAX(H213,Q213),IF('Pre-Calculation'!$D$17="Type 4 k",MAX(H213,1.01*Q213),IF('Pre-Calculation'!$D$17="Type 4 m",MAX(105%*Q213,SA+H213),IF('Pre-Calculation'!$D$17="Type 4 o",MAX(SA,105%*Q213)+X213+Z213,IF('Pre-Calculation'!$D$17="Type 5",0))))))))))))</f>
        <v>1965656.429</v>
      </c>
      <c r="L213" s="175">
        <f>H213-I213*(1+Tax)</f>
        <v>1965656.429</v>
      </c>
      <c r="M213" s="175">
        <f>L213*(1+GROWTH_RATE_H)*(1-FMC*(1+Tax))</f>
        <v>1975678.752</v>
      </c>
      <c r="N213" s="175">
        <f>M213+IF(MOD(A213,B213)=0,VLOOKUP(B213,'Pre-Calculation'!$H$1:$L$31,5,FALSE),0)*IF('Pre-Calculation'!$D$16="% OF FV",M213,IF(OR('Pre-Calculation'!$D$16="% OF AFV(24M)",'Pre-Calculation'!$D$16="% OF AFV(8Q)"),AVERAGE( $M190:$M213),IF('Pre-Calculation'!$D$16="% OF AFV(12M)",AVERAGE($M202:M213),IF('Pre-Calculation'!$D$16="% OF AFV(36M)",AVERAGE($M178:M213)))))</f>
        <v>1975678.752</v>
      </c>
      <c r="O213" s="175">
        <f t="shared" si="4"/>
        <v>1975678.752</v>
      </c>
      <c r="P213" s="175">
        <f>IF('Pre-Calculation'!$D$17="Type 4 a",MAX(SA,N213,1.05*Q213),IF('Pre-Calculation'!$D$17="Type 4 c",N213,IF('Pre-Calculation'!$D$17="Type 4 d",SA+N213,IF('Pre-Calculation'!$D$17="Type 4 e",MAX(SA,N213),IF('Pre-Calculation'!$D$17="Type 4 f",SA,IF('Pre-Calculation'!$D$17="Type 4 g",1000+N213,IF('Pre-Calculation'!$D$17="Type 4 h",SA+X213,IF('Pre-Calculation'!$D$17="Type 4 i",MAX(N213,Q213),IF('Pre-Calculation'!$D$17="Type 4 k",MAX(N213,1.01*Q213),IF('Pre-Calculation'!$D$17="Type 4 m",MAX(105%*Q213,SA+N213),IF('Pre-Calculation'!$D$17="Type 4 o",MAX(SA,105%*Q213)+X213+Z213,IF('Pre-Calculation'!$D$17="Type 5",0))))))))))))</f>
        <v>1975678.752</v>
      </c>
      <c r="Q213" s="175">
        <f t="shared" si="5"/>
        <v>1600000</v>
      </c>
      <c r="R213" s="119">
        <f>L213*(1+GROWTH_RATE)*FMC</f>
        <v>2224.381149</v>
      </c>
      <c r="S213" s="178">
        <f>S212*(1+'Pre-Calculation'!$E$27)</f>
        <v>1176615.027</v>
      </c>
      <c r="T213" s="175">
        <f>-E213+IF(A212=INPUT!$C$11*12,N213,0)</f>
        <v>0</v>
      </c>
      <c r="U213" s="175">
        <f t="shared" si="6"/>
        <v>2085162.465</v>
      </c>
      <c r="V213" s="175">
        <f>U213*(1+GROWTH_RATE_H)*(1-'Pre-Calculation'!$E$31)</f>
        <v>2095083.65</v>
      </c>
      <c r="W213" s="175">
        <f>-E213+IF(A212=INPUT!$C$11*12,V213,0)</f>
        <v>0</v>
      </c>
      <c r="X213" s="179">
        <f t="array" ref="X213">NPV('Pre-Calculation'!$E$20,$E214:E$246)</f>
        <v>0</v>
      </c>
      <c r="Y213" s="171">
        <f>10%*SA</f>
        <v>100000</v>
      </c>
      <c r="Z213" s="179">
        <f t="array" ref="Z213">NPV('Pre-Calculation'!$E$20,Y214:Y223)</f>
        <v>969592.8037</v>
      </c>
    </row>
    <row r="214" ht="15.75" customHeight="1">
      <c r="A214" s="171">
        <f t="shared" si="1"/>
        <v>208</v>
      </c>
      <c r="B214" s="171">
        <f t="shared" si="2"/>
        <v>18</v>
      </c>
      <c r="C214" s="176">
        <f>EDATE(RCD,A213)</f>
        <v>48852</v>
      </c>
      <c r="D214" s="171">
        <f>Age_At_Entry+'Cashflows_8% from Start'!B214-1</f>
        <v>52</v>
      </c>
      <c r="E214" s="175">
        <f>IF(AND(C214&lt;=Last_Prem,MOD(A213,Mode)=0),Mod_Prem,0)</f>
        <v>0</v>
      </c>
      <c r="F214" s="177">
        <f>E214*VLOOKUP(B214,'Pre-Calculation'!$H$1:$I$31,2,FALSE)</f>
        <v>0</v>
      </c>
      <c r="G214" s="177">
        <f>IF(B214&lt;PT+1,VLOOKUP(B214,'Pre-Calculation'!$H$1:$L$32,3,FALSE)+VLOOKUP(B214,'Pre-Calculation'!$H$1:$L$32,4,FALSE)*'Pre-Calculation'!$D$7,0)</f>
        <v>0</v>
      </c>
      <c r="H214" s="175">
        <f>(E214-(F214+G214)*(1+Tax)+N213)</f>
        <v>1975678.752</v>
      </c>
      <c r="I214" s="175">
        <f>IF(B214&lt;PT+1,VLOOKUP(D214,'Pre-Calculation'!$N$3:$P$79,IF(INPUT!$C$4="M",2,3),FALSE)*(J214/1000)*(1/12),0)</f>
        <v>0</v>
      </c>
      <c r="J214" s="175">
        <f t="shared" si="3"/>
        <v>0</v>
      </c>
      <c r="K214" s="175">
        <f>IF('Pre-Calculation'!$D$17="Type 4 a",MAX(SA,H214,1.05*Q214),IF('Pre-Calculation'!$D$17="Type 4 c",H214,IF('Pre-Calculation'!$D$17="Type 4 d",SA+H214,IF('Pre-Calculation'!$D$17="Type 4 e",MAX(SA,H214),IF('Pre-Calculation'!$D$17="Type 4 f",SA,IF('Pre-Calculation'!$D$17="Type 4 g",1000+H214,IF('Pre-Calculation'!$D$17="Type 4 h",SA+X214,IF('Pre-Calculation'!$D$17="Type 4 i",MAX(H214,Q214),IF('Pre-Calculation'!$D$17="Type 4 k",MAX(H214,1.01*Q214),IF('Pre-Calculation'!$D$17="Type 4 m",MAX(105%*Q214,SA+H214),IF('Pre-Calculation'!$D$17="Type 4 o",MAX(SA,105%*Q214)+X214+Z214,IF('Pre-Calculation'!$D$17="Type 5",0))))))))))))</f>
        <v>1975678.752</v>
      </c>
      <c r="L214" s="175">
        <f>H214-I214*(1+Tax)</f>
        <v>1975678.752</v>
      </c>
      <c r="M214" s="175">
        <f>L214*(1+GROWTH_RATE_H)*(1-FMC*(1+Tax))</f>
        <v>1985752.176</v>
      </c>
      <c r="N214" s="175">
        <f>M214+IF(MOD(A214,B214)=0,VLOOKUP(B214,'Pre-Calculation'!$H$1:$L$31,5,FALSE),0)*IF('Pre-Calculation'!$D$16="% OF FV",M214,IF(OR('Pre-Calculation'!$D$16="% OF AFV(24M)",'Pre-Calculation'!$D$16="% OF AFV(8Q)"),AVERAGE( $M191:$M214),IF('Pre-Calculation'!$D$16="% OF AFV(12M)",AVERAGE($M203:M214),IF('Pre-Calculation'!$D$16="% OF AFV(36M)",AVERAGE($M179:M214)))))</f>
        <v>1985752.176</v>
      </c>
      <c r="O214" s="175">
        <f t="shared" si="4"/>
        <v>1985752.176</v>
      </c>
      <c r="P214" s="175">
        <f>IF('Pre-Calculation'!$D$17="Type 4 a",MAX(SA,N214,1.05*Q214),IF('Pre-Calculation'!$D$17="Type 4 c",N214,IF('Pre-Calculation'!$D$17="Type 4 d",SA+N214,IF('Pre-Calculation'!$D$17="Type 4 e",MAX(SA,N214),IF('Pre-Calculation'!$D$17="Type 4 f",SA,IF('Pre-Calculation'!$D$17="Type 4 g",1000+N214,IF('Pre-Calculation'!$D$17="Type 4 h",SA+X214,IF('Pre-Calculation'!$D$17="Type 4 i",MAX(N214,Q214),IF('Pre-Calculation'!$D$17="Type 4 k",MAX(N214,1.01*Q214),IF('Pre-Calculation'!$D$17="Type 4 m",MAX(105%*Q214,SA+N214),IF('Pre-Calculation'!$D$17="Type 4 o",MAX(SA,105%*Q214)+X214+Z214,IF('Pre-Calculation'!$D$17="Type 5",0))))))))))))</f>
        <v>1985752.176</v>
      </c>
      <c r="Q214" s="175">
        <f t="shared" si="5"/>
        <v>1600000</v>
      </c>
      <c r="R214" s="119">
        <f>L214*(1+GROWTH_RATE)*FMC</f>
        <v>2235.722636</v>
      </c>
      <c r="S214" s="178">
        <f>S213*(1+'Pre-Calculation'!$E$27)</f>
        <v>1179992.969</v>
      </c>
      <c r="T214" s="175">
        <f>-E214+IF(A213=INPUT!$C$11*12,N214,0)</f>
        <v>0</v>
      </c>
      <c r="U214" s="175">
        <f t="shared" si="6"/>
        <v>2095083.65</v>
      </c>
      <c r="V214" s="175">
        <f>U214*(1+GROWTH_RATE_H)*(1-'Pre-Calculation'!$E$31)</f>
        <v>2105052.039</v>
      </c>
      <c r="W214" s="175">
        <f>-E214+IF(A213=INPUT!$C$11*12,V214,0)</f>
        <v>0</v>
      </c>
      <c r="X214" s="179">
        <f t="array" ref="X214">NPV('Pre-Calculation'!$E$20,$E215:E$246)</f>
        <v>0</v>
      </c>
      <c r="Y214" s="171">
        <f>10%*SA</f>
        <v>100000</v>
      </c>
      <c r="Z214" s="179">
        <f t="array" ref="Z214">NPV('Pre-Calculation'!$E$20,Y215:Y224)</f>
        <v>969592.8037</v>
      </c>
    </row>
    <row r="215" ht="15.75" customHeight="1">
      <c r="A215" s="171">
        <f t="shared" si="1"/>
        <v>209</v>
      </c>
      <c r="B215" s="171">
        <f t="shared" si="2"/>
        <v>18</v>
      </c>
      <c r="C215" s="176">
        <f>EDATE(RCD,A214)</f>
        <v>48882</v>
      </c>
      <c r="D215" s="171">
        <f>Age_At_Entry+'Cashflows_8% from Start'!B215-1</f>
        <v>52</v>
      </c>
      <c r="E215" s="175">
        <f>IF(AND(C215&lt;=Last_Prem,MOD(A214,Mode)=0),Mod_Prem,0)</f>
        <v>0</v>
      </c>
      <c r="F215" s="177">
        <f>E215*VLOOKUP(B215,'Pre-Calculation'!$H$1:$I$31,2,FALSE)</f>
        <v>0</v>
      </c>
      <c r="G215" s="177">
        <f>IF(B215&lt;PT+1,VLOOKUP(B215,'Pre-Calculation'!$H$1:$L$32,3,FALSE)+VLOOKUP(B215,'Pre-Calculation'!$H$1:$L$32,4,FALSE)*'Pre-Calculation'!$D$7,0)</f>
        <v>0</v>
      </c>
      <c r="H215" s="175">
        <f>(E215-(F215+G215)*(1+Tax)+N214)</f>
        <v>1985752.176</v>
      </c>
      <c r="I215" s="175">
        <f>IF(B215&lt;PT+1,VLOOKUP(D215,'Pre-Calculation'!$N$3:$P$79,IF(INPUT!$C$4="M",2,3),FALSE)*(J215/1000)*(1/12),0)</f>
        <v>0</v>
      </c>
      <c r="J215" s="175">
        <f t="shared" si="3"/>
        <v>0</v>
      </c>
      <c r="K215" s="175">
        <f>IF('Pre-Calculation'!$D$17="Type 4 a",MAX(SA,H215,1.05*Q215),IF('Pre-Calculation'!$D$17="Type 4 c",H215,IF('Pre-Calculation'!$D$17="Type 4 d",SA+H215,IF('Pre-Calculation'!$D$17="Type 4 e",MAX(SA,H215),IF('Pre-Calculation'!$D$17="Type 4 f",SA,IF('Pre-Calculation'!$D$17="Type 4 g",1000+H215,IF('Pre-Calculation'!$D$17="Type 4 h",SA+X215,IF('Pre-Calculation'!$D$17="Type 4 i",MAX(H215,Q215),IF('Pre-Calculation'!$D$17="Type 4 k",MAX(H215,1.01*Q215),IF('Pre-Calculation'!$D$17="Type 4 m",MAX(105%*Q215,SA+H215),IF('Pre-Calculation'!$D$17="Type 4 o",MAX(SA,105%*Q215)+X215+Z215,IF('Pre-Calculation'!$D$17="Type 5",0))))))))))))</f>
        <v>1985752.176</v>
      </c>
      <c r="L215" s="175">
        <f>H215-I215*(1+Tax)</f>
        <v>1985752.176</v>
      </c>
      <c r="M215" s="175">
        <f>L215*(1+GROWTH_RATE_H)*(1-FMC*(1+Tax))</f>
        <v>1995876.961</v>
      </c>
      <c r="N215" s="175">
        <f>M215+IF(MOD(A215,B215)=0,VLOOKUP(B215,'Pre-Calculation'!$H$1:$L$31,5,FALSE),0)*IF('Pre-Calculation'!$D$16="% OF FV",M215,IF(OR('Pre-Calculation'!$D$16="% OF AFV(24M)",'Pre-Calculation'!$D$16="% OF AFV(8Q)"),AVERAGE( $M192:$M215),IF('Pre-Calculation'!$D$16="% OF AFV(12M)",AVERAGE($M204:M215),IF('Pre-Calculation'!$D$16="% OF AFV(36M)",AVERAGE($M180:M215)))))</f>
        <v>1995876.961</v>
      </c>
      <c r="O215" s="175">
        <f t="shared" si="4"/>
        <v>1995876.961</v>
      </c>
      <c r="P215" s="175">
        <f>IF('Pre-Calculation'!$D$17="Type 4 a",MAX(SA,N215,1.05*Q215),IF('Pre-Calculation'!$D$17="Type 4 c",N215,IF('Pre-Calculation'!$D$17="Type 4 d",SA+N215,IF('Pre-Calculation'!$D$17="Type 4 e",MAX(SA,N215),IF('Pre-Calculation'!$D$17="Type 4 f",SA,IF('Pre-Calculation'!$D$17="Type 4 g",1000+N215,IF('Pre-Calculation'!$D$17="Type 4 h",SA+X215,IF('Pre-Calculation'!$D$17="Type 4 i",MAX(N215,Q215),IF('Pre-Calculation'!$D$17="Type 4 k",MAX(N215,1.01*Q215),IF('Pre-Calculation'!$D$17="Type 4 m",MAX(105%*Q215,SA+N215),IF('Pre-Calculation'!$D$17="Type 4 o",MAX(SA,105%*Q215)+X215+Z215,IF('Pre-Calculation'!$D$17="Type 5",0))))))))))))</f>
        <v>1995876.961</v>
      </c>
      <c r="Q215" s="175">
        <f t="shared" si="5"/>
        <v>1600000</v>
      </c>
      <c r="R215" s="119">
        <f>L215*(1+GROWTH_RATE)*FMC</f>
        <v>2247.121949</v>
      </c>
      <c r="S215" s="178">
        <f>S214*(1+'Pre-Calculation'!$E$27)</f>
        <v>1183380.61</v>
      </c>
      <c r="T215" s="175">
        <f>-E215+IF(A214=INPUT!$C$11*12,N215,0)</f>
        <v>0</v>
      </c>
      <c r="U215" s="175">
        <f t="shared" si="6"/>
        <v>2105052.039</v>
      </c>
      <c r="V215" s="175">
        <f>U215*(1+GROWTH_RATE_H)*(1-'Pre-Calculation'!$E$31)</f>
        <v>2115067.858</v>
      </c>
      <c r="W215" s="175">
        <f>-E215+IF(A214=INPUT!$C$11*12,V215,0)</f>
        <v>0</v>
      </c>
      <c r="X215" s="179">
        <f t="array" ref="X215">NPV('Pre-Calculation'!$E$20,$E216:E$246)</f>
        <v>0</v>
      </c>
      <c r="Y215" s="171">
        <f>10%*SA</f>
        <v>100000</v>
      </c>
      <c r="Z215" s="179">
        <f t="array" ref="Z215">NPV('Pre-Calculation'!$E$20,Y216:Y225)</f>
        <v>969592.8037</v>
      </c>
    </row>
    <row r="216" ht="15.75" customHeight="1">
      <c r="A216" s="171">
        <f t="shared" si="1"/>
        <v>210</v>
      </c>
      <c r="B216" s="171">
        <f t="shared" si="2"/>
        <v>18</v>
      </c>
      <c r="C216" s="176">
        <f>EDATE(RCD,A215)</f>
        <v>48913</v>
      </c>
      <c r="D216" s="171">
        <f>Age_At_Entry+'Cashflows_8% from Start'!B216-1</f>
        <v>52</v>
      </c>
      <c r="E216" s="175">
        <f>IF(AND(C216&lt;=Last_Prem,MOD(A215,Mode)=0),Mod_Prem,0)</f>
        <v>0</v>
      </c>
      <c r="F216" s="177">
        <f>E216*VLOOKUP(B216,'Pre-Calculation'!$H$1:$I$31,2,FALSE)</f>
        <v>0</v>
      </c>
      <c r="G216" s="177">
        <f>IF(B216&lt;PT+1,VLOOKUP(B216,'Pre-Calculation'!$H$1:$L$32,3,FALSE)+VLOOKUP(B216,'Pre-Calculation'!$H$1:$L$32,4,FALSE)*'Pre-Calculation'!$D$7,0)</f>
        <v>0</v>
      </c>
      <c r="H216" s="175">
        <f>(E216-(F216+G216)*(1+Tax)+N215)</f>
        <v>1995876.961</v>
      </c>
      <c r="I216" s="175">
        <f>IF(B216&lt;PT+1,VLOOKUP(D216,'Pre-Calculation'!$N$3:$P$79,IF(INPUT!$C$4="M",2,3),FALSE)*(J216/1000)*(1/12),0)</f>
        <v>0</v>
      </c>
      <c r="J216" s="175">
        <f t="shared" si="3"/>
        <v>0</v>
      </c>
      <c r="K216" s="175">
        <f>IF('Pre-Calculation'!$D$17="Type 4 a",MAX(SA,H216,1.05*Q216),IF('Pre-Calculation'!$D$17="Type 4 c",H216,IF('Pre-Calculation'!$D$17="Type 4 d",SA+H216,IF('Pre-Calculation'!$D$17="Type 4 e",MAX(SA,H216),IF('Pre-Calculation'!$D$17="Type 4 f",SA,IF('Pre-Calculation'!$D$17="Type 4 g",1000+H216,IF('Pre-Calculation'!$D$17="Type 4 h",SA+X216,IF('Pre-Calculation'!$D$17="Type 4 i",MAX(H216,Q216),IF('Pre-Calculation'!$D$17="Type 4 k",MAX(H216,1.01*Q216),IF('Pre-Calculation'!$D$17="Type 4 m",MAX(105%*Q216,SA+H216),IF('Pre-Calculation'!$D$17="Type 4 o",MAX(SA,105%*Q216)+X216+Z216,IF('Pre-Calculation'!$D$17="Type 5",0))))))))))))</f>
        <v>1995876.961</v>
      </c>
      <c r="L216" s="175">
        <f>H216-I216*(1+Tax)</f>
        <v>1995876.961</v>
      </c>
      <c r="M216" s="175">
        <f>L216*(1+GROWTH_RATE_H)*(1-FMC*(1+Tax))</f>
        <v>2006053.37</v>
      </c>
      <c r="N216" s="175">
        <f>M216+IF(MOD(A216,B216)=0,VLOOKUP(B216,'Pre-Calculation'!$H$1:$L$31,5,FALSE),0)*IF('Pre-Calculation'!$D$16="% OF FV",M216,IF(OR('Pre-Calculation'!$D$16="% OF AFV(24M)",'Pre-Calculation'!$D$16="% OF AFV(8Q)"),AVERAGE( $M193:$M216),IF('Pre-Calculation'!$D$16="% OF AFV(12M)",AVERAGE($M205:M216),IF('Pre-Calculation'!$D$16="% OF AFV(36M)",AVERAGE($M181:M216)))))</f>
        <v>2006053.37</v>
      </c>
      <c r="O216" s="175">
        <f t="shared" si="4"/>
        <v>2006053.37</v>
      </c>
      <c r="P216" s="175">
        <f>IF('Pre-Calculation'!$D$17="Type 4 a",MAX(SA,N216,1.05*Q216),IF('Pre-Calculation'!$D$17="Type 4 c",N216,IF('Pre-Calculation'!$D$17="Type 4 d",SA+N216,IF('Pre-Calculation'!$D$17="Type 4 e",MAX(SA,N216),IF('Pre-Calculation'!$D$17="Type 4 f",SA,IF('Pre-Calculation'!$D$17="Type 4 g",1000+N216,IF('Pre-Calculation'!$D$17="Type 4 h",SA+X216,IF('Pre-Calculation'!$D$17="Type 4 i",MAX(N216,Q216),IF('Pre-Calculation'!$D$17="Type 4 k",MAX(N216,1.01*Q216),IF('Pre-Calculation'!$D$17="Type 4 m",MAX(105%*Q216,SA+N216),IF('Pre-Calculation'!$D$17="Type 4 o",MAX(SA,105%*Q216)+X216+Z216,IF('Pre-Calculation'!$D$17="Type 5",0))))))))))))</f>
        <v>2006053.37</v>
      </c>
      <c r="Q216" s="175">
        <f t="shared" si="5"/>
        <v>1600000</v>
      </c>
      <c r="R216" s="119">
        <f>L216*(1+GROWTH_RATE)*FMC</f>
        <v>2258.579385</v>
      </c>
      <c r="S216" s="178">
        <f>S215*(1+'Pre-Calculation'!$E$27)</f>
        <v>1186777.976</v>
      </c>
      <c r="T216" s="175">
        <f>-E216+IF(A215=INPUT!$C$11*12,N216,0)</f>
        <v>0</v>
      </c>
      <c r="U216" s="175">
        <f t="shared" si="6"/>
        <v>2115067.858</v>
      </c>
      <c r="V216" s="175">
        <f>U216*(1+GROWTH_RATE_H)*(1-'Pre-Calculation'!$E$31)</f>
        <v>2125131.333</v>
      </c>
      <c r="W216" s="175">
        <f>-E216+IF(A215=INPUT!$C$11*12,V216,0)</f>
        <v>0</v>
      </c>
      <c r="X216" s="179">
        <f t="array" ref="X216">NPV('Pre-Calculation'!$E$20,$E217:E$246)</f>
        <v>0</v>
      </c>
      <c r="Y216" s="171">
        <f>10%*SA</f>
        <v>100000</v>
      </c>
      <c r="Z216" s="179">
        <f t="array" ref="Z216">NPV('Pre-Calculation'!$E$20,Y217:Y226)</f>
        <v>969592.8037</v>
      </c>
    </row>
    <row r="217" ht="15.75" customHeight="1">
      <c r="A217" s="171">
        <f t="shared" si="1"/>
        <v>211</v>
      </c>
      <c r="B217" s="171">
        <f t="shared" si="2"/>
        <v>18</v>
      </c>
      <c r="C217" s="176">
        <f>EDATE(RCD,A216)</f>
        <v>48943</v>
      </c>
      <c r="D217" s="171">
        <f>Age_At_Entry+'Cashflows_8% from Start'!B217-1</f>
        <v>52</v>
      </c>
      <c r="E217" s="175">
        <f>IF(AND(C217&lt;=Last_Prem,MOD(A216,Mode)=0),Mod_Prem,0)</f>
        <v>0</v>
      </c>
      <c r="F217" s="177">
        <f>E217*VLOOKUP(B217,'Pre-Calculation'!$H$1:$I$31,2,FALSE)</f>
        <v>0</v>
      </c>
      <c r="G217" s="177">
        <f>IF(B217&lt;PT+1,VLOOKUP(B217,'Pre-Calculation'!$H$1:$L$32,3,FALSE)+VLOOKUP(B217,'Pre-Calculation'!$H$1:$L$32,4,FALSE)*'Pre-Calculation'!$D$7,0)</f>
        <v>0</v>
      </c>
      <c r="H217" s="175">
        <f>(E217-(F217+G217)*(1+Tax)+N216)</f>
        <v>2006053.37</v>
      </c>
      <c r="I217" s="175">
        <f>IF(B217&lt;PT+1,VLOOKUP(D217,'Pre-Calculation'!$N$3:$P$79,IF(INPUT!$C$4="M",2,3),FALSE)*(J217/1000)*(1/12),0)</f>
        <v>0</v>
      </c>
      <c r="J217" s="175">
        <f t="shared" si="3"/>
        <v>0</v>
      </c>
      <c r="K217" s="175">
        <f>IF('Pre-Calculation'!$D$17="Type 4 a",MAX(SA,H217,1.05*Q217),IF('Pre-Calculation'!$D$17="Type 4 c",H217,IF('Pre-Calculation'!$D$17="Type 4 d",SA+H217,IF('Pre-Calculation'!$D$17="Type 4 e",MAX(SA,H217),IF('Pre-Calculation'!$D$17="Type 4 f",SA,IF('Pre-Calculation'!$D$17="Type 4 g",1000+H217,IF('Pre-Calculation'!$D$17="Type 4 h",SA+X217,IF('Pre-Calculation'!$D$17="Type 4 i",MAX(H217,Q217),IF('Pre-Calculation'!$D$17="Type 4 k",MAX(H217,1.01*Q217),IF('Pre-Calculation'!$D$17="Type 4 m",MAX(105%*Q217,SA+H217),IF('Pre-Calculation'!$D$17="Type 4 o",MAX(SA,105%*Q217)+X217+Z217,IF('Pre-Calculation'!$D$17="Type 5",0))))))))))))</f>
        <v>2006053.37</v>
      </c>
      <c r="L217" s="175">
        <f>H217-I217*(1+Tax)</f>
        <v>2006053.37</v>
      </c>
      <c r="M217" s="175">
        <f>L217*(1+GROWTH_RATE_H)*(1-FMC*(1+Tax))</f>
        <v>2016281.666</v>
      </c>
      <c r="N217" s="175">
        <f>M217+IF(MOD(A217,B217)=0,VLOOKUP(B217,'Pre-Calculation'!$H$1:$L$31,5,FALSE),0)*IF('Pre-Calculation'!$D$16="% OF FV",M217,IF(OR('Pre-Calculation'!$D$16="% OF AFV(24M)",'Pre-Calculation'!$D$16="% OF AFV(8Q)"),AVERAGE( $M194:$M217),IF('Pre-Calculation'!$D$16="% OF AFV(12M)",AVERAGE($M206:M217),IF('Pre-Calculation'!$D$16="% OF AFV(36M)",AVERAGE($M182:M217)))))</f>
        <v>2016281.666</v>
      </c>
      <c r="O217" s="175">
        <f t="shared" si="4"/>
        <v>2016281.666</v>
      </c>
      <c r="P217" s="175">
        <f>IF('Pre-Calculation'!$D$17="Type 4 a",MAX(SA,N217,1.05*Q217),IF('Pre-Calculation'!$D$17="Type 4 c",N217,IF('Pre-Calculation'!$D$17="Type 4 d",SA+N217,IF('Pre-Calculation'!$D$17="Type 4 e",MAX(SA,N217),IF('Pre-Calculation'!$D$17="Type 4 f",SA,IF('Pre-Calculation'!$D$17="Type 4 g",1000+N217,IF('Pre-Calculation'!$D$17="Type 4 h",SA+X217,IF('Pre-Calculation'!$D$17="Type 4 i",MAX(N217,Q217),IF('Pre-Calculation'!$D$17="Type 4 k",MAX(N217,1.01*Q217),IF('Pre-Calculation'!$D$17="Type 4 m",MAX(105%*Q217,SA+N217),IF('Pre-Calculation'!$D$17="Type 4 o",MAX(SA,105%*Q217)+X217+Z217,IF('Pre-Calculation'!$D$17="Type 5",0))))))))))))</f>
        <v>2016281.666</v>
      </c>
      <c r="Q217" s="175">
        <f t="shared" si="5"/>
        <v>1600000</v>
      </c>
      <c r="R217" s="119">
        <f>L217*(1+GROWTH_RATE)*FMC</f>
        <v>2270.095239</v>
      </c>
      <c r="S217" s="178">
        <f>S216*(1+'Pre-Calculation'!$E$27)</f>
        <v>1190185.095</v>
      </c>
      <c r="T217" s="175">
        <f>-E217+IF(A216=INPUT!$C$11*12,N217,0)</f>
        <v>0</v>
      </c>
      <c r="U217" s="175">
        <f t="shared" si="6"/>
        <v>2125131.333</v>
      </c>
      <c r="V217" s="175">
        <f>U217*(1+GROWTH_RATE_H)*(1-'Pre-Calculation'!$E$31)</f>
        <v>2135242.689</v>
      </c>
      <c r="W217" s="175">
        <f>-E217+IF(A216=INPUT!$C$11*12,V217,0)</f>
        <v>0</v>
      </c>
      <c r="X217" s="179">
        <f t="array" ref="X217">NPV('Pre-Calculation'!$E$20,$E218:E$246)</f>
        <v>0</v>
      </c>
      <c r="Y217" s="171">
        <f>10%*SA</f>
        <v>100000</v>
      </c>
      <c r="Z217" s="179">
        <f t="array" ref="Z217">NPV('Pre-Calculation'!$E$20,Y218:Y227)</f>
        <v>969592.8037</v>
      </c>
    </row>
    <row r="218" ht="15.75" customHeight="1">
      <c r="A218" s="171">
        <f t="shared" si="1"/>
        <v>212</v>
      </c>
      <c r="B218" s="171">
        <f t="shared" si="2"/>
        <v>18</v>
      </c>
      <c r="C218" s="176">
        <f>EDATE(RCD,A217)</f>
        <v>48974</v>
      </c>
      <c r="D218" s="171">
        <f>Age_At_Entry+'Cashflows_8% from Start'!B218-1</f>
        <v>52</v>
      </c>
      <c r="E218" s="175">
        <f>IF(AND(C218&lt;=Last_Prem,MOD(A217,Mode)=0),Mod_Prem,0)</f>
        <v>0</v>
      </c>
      <c r="F218" s="177">
        <f>E218*VLOOKUP(B218,'Pre-Calculation'!$H$1:$I$31,2,FALSE)</f>
        <v>0</v>
      </c>
      <c r="G218" s="177">
        <f>IF(B218&lt;PT+1,VLOOKUP(B218,'Pre-Calculation'!$H$1:$L$32,3,FALSE)+VLOOKUP(B218,'Pre-Calculation'!$H$1:$L$32,4,FALSE)*'Pre-Calculation'!$D$7,0)</f>
        <v>0</v>
      </c>
      <c r="H218" s="175">
        <f>(E218-(F218+G218)*(1+Tax)+N217)</f>
        <v>2016281.666</v>
      </c>
      <c r="I218" s="175">
        <f>IF(B218&lt;PT+1,VLOOKUP(D218,'Pre-Calculation'!$N$3:$P$79,IF(INPUT!$C$4="M",2,3),FALSE)*(J218/1000)*(1/12),0)</f>
        <v>0</v>
      </c>
      <c r="J218" s="175">
        <f t="shared" si="3"/>
        <v>0</v>
      </c>
      <c r="K218" s="175">
        <f>IF('Pre-Calculation'!$D$17="Type 4 a",MAX(SA,H218,1.05*Q218),IF('Pre-Calculation'!$D$17="Type 4 c",H218,IF('Pre-Calculation'!$D$17="Type 4 d",SA+H218,IF('Pre-Calculation'!$D$17="Type 4 e",MAX(SA,H218),IF('Pre-Calculation'!$D$17="Type 4 f",SA,IF('Pre-Calculation'!$D$17="Type 4 g",1000+H218,IF('Pre-Calculation'!$D$17="Type 4 h",SA+X218,IF('Pre-Calculation'!$D$17="Type 4 i",MAX(H218,Q218),IF('Pre-Calculation'!$D$17="Type 4 k",MAX(H218,1.01*Q218),IF('Pre-Calculation'!$D$17="Type 4 m",MAX(105%*Q218,SA+H218),IF('Pre-Calculation'!$D$17="Type 4 o",MAX(SA,105%*Q218)+X218+Z218,IF('Pre-Calculation'!$D$17="Type 5",0))))))))))))</f>
        <v>2016281.666</v>
      </c>
      <c r="L218" s="175">
        <f>H218-I218*(1+Tax)</f>
        <v>2016281.666</v>
      </c>
      <c r="M218" s="175">
        <f>L218*(1+GROWTH_RATE_H)*(1-FMC*(1+Tax))</f>
        <v>2026562.112</v>
      </c>
      <c r="N218" s="175">
        <f>M218+IF(MOD(A218,B218)=0,VLOOKUP(B218,'Pre-Calculation'!$H$1:$L$31,5,FALSE),0)*IF('Pre-Calculation'!$D$16="% OF FV",M218,IF(OR('Pre-Calculation'!$D$16="% OF AFV(24M)",'Pre-Calculation'!$D$16="% OF AFV(8Q)"),AVERAGE( $M195:$M218),IF('Pre-Calculation'!$D$16="% OF AFV(12M)",AVERAGE($M207:M218),IF('Pre-Calculation'!$D$16="% OF AFV(36M)",AVERAGE($M183:M218)))))</f>
        <v>2026562.112</v>
      </c>
      <c r="O218" s="175">
        <f t="shared" si="4"/>
        <v>2026562.112</v>
      </c>
      <c r="P218" s="175">
        <f>IF('Pre-Calculation'!$D$17="Type 4 a",MAX(SA,N218,1.05*Q218),IF('Pre-Calculation'!$D$17="Type 4 c",N218,IF('Pre-Calculation'!$D$17="Type 4 d",SA+N218,IF('Pre-Calculation'!$D$17="Type 4 e",MAX(SA,N218),IF('Pre-Calculation'!$D$17="Type 4 f",SA,IF('Pre-Calculation'!$D$17="Type 4 g",1000+N218,IF('Pre-Calculation'!$D$17="Type 4 h",SA+X218,IF('Pre-Calculation'!$D$17="Type 4 i",MAX(N218,Q218),IF('Pre-Calculation'!$D$17="Type 4 k",MAX(N218,1.01*Q218),IF('Pre-Calculation'!$D$17="Type 4 m",MAX(105%*Q218,SA+N218),IF('Pre-Calculation'!$D$17="Type 4 o",MAX(SA,105%*Q218)+X218+Z218,IF('Pre-Calculation'!$D$17="Type 5",0))))))))))))</f>
        <v>2026562.112</v>
      </c>
      <c r="Q218" s="175">
        <f t="shared" si="5"/>
        <v>1600000</v>
      </c>
      <c r="R218" s="119">
        <f>L218*(1+GROWTH_RATE)*FMC</f>
        <v>2281.669808</v>
      </c>
      <c r="S218" s="178">
        <f>S217*(1+'Pre-Calculation'!$E$27)</f>
        <v>1193601.996</v>
      </c>
      <c r="T218" s="175">
        <f>-E218+IF(A217=INPUT!$C$11*12,N218,0)</f>
        <v>0</v>
      </c>
      <c r="U218" s="175">
        <f t="shared" si="6"/>
        <v>2135242.689</v>
      </c>
      <c r="V218" s="175">
        <f>U218*(1+GROWTH_RATE_H)*(1-'Pre-Calculation'!$E$31)</f>
        <v>2145402.155</v>
      </c>
      <c r="W218" s="175">
        <f>-E218+IF(A217=INPUT!$C$11*12,V218,0)</f>
        <v>0</v>
      </c>
      <c r="X218" s="179">
        <f t="array" ref="X218">NPV('Pre-Calculation'!$E$20,$E219:E$246)</f>
        <v>0</v>
      </c>
      <c r="Y218" s="171">
        <f>10%*SA</f>
        <v>100000</v>
      </c>
      <c r="Z218" s="179">
        <f t="array" ref="Z218">NPV('Pre-Calculation'!$E$20,Y219:Y228)</f>
        <v>969592.8037</v>
      </c>
    </row>
    <row r="219" ht="15.75" customHeight="1">
      <c r="A219" s="171">
        <f t="shared" si="1"/>
        <v>213</v>
      </c>
      <c r="B219" s="171">
        <f t="shared" si="2"/>
        <v>18</v>
      </c>
      <c r="C219" s="176">
        <f>EDATE(RCD,A218)</f>
        <v>49003</v>
      </c>
      <c r="D219" s="171">
        <f>Age_At_Entry+'Cashflows_8% from Start'!B219-1</f>
        <v>52</v>
      </c>
      <c r="E219" s="175">
        <f>IF(AND(C219&lt;=Last_Prem,MOD(A218,Mode)=0),Mod_Prem,0)</f>
        <v>0</v>
      </c>
      <c r="F219" s="177">
        <f>E219*VLOOKUP(B219,'Pre-Calculation'!$H$1:$I$31,2,FALSE)</f>
        <v>0</v>
      </c>
      <c r="G219" s="177">
        <f>IF(B219&lt;PT+1,VLOOKUP(B219,'Pre-Calculation'!$H$1:$L$32,3,FALSE)+VLOOKUP(B219,'Pre-Calculation'!$H$1:$L$32,4,FALSE)*'Pre-Calculation'!$D$7,0)</f>
        <v>0</v>
      </c>
      <c r="H219" s="175">
        <f>(E219-(F219+G219)*(1+Tax)+N218)</f>
        <v>2026562.112</v>
      </c>
      <c r="I219" s="175">
        <f>IF(B219&lt;PT+1,VLOOKUP(D219,'Pre-Calculation'!$N$3:$P$79,IF(INPUT!$C$4="M",2,3),FALSE)*(J219/1000)*(1/12),0)</f>
        <v>0</v>
      </c>
      <c r="J219" s="175">
        <f t="shared" si="3"/>
        <v>0</v>
      </c>
      <c r="K219" s="175">
        <f>IF('Pre-Calculation'!$D$17="Type 4 a",MAX(SA,H219,1.05*Q219),IF('Pre-Calculation'!$D$17="Type 4 c",H219,IF('Pre-Calculation'!$D$17="Type 4 d",SA+H219,IF('Pre-Calculation'!$D$17="Type 4 e",MAX(SA,H219),IF('Pre-Calculation'!$D$17="Type 4 f",SA,IF('Pre-Calculation'!$D$17="Type 4 g",1000+H219,IF('Pre-Calculation'!$D$17="Type 4 h",SA+X219,IF('Pre-Calculation'!$D$17="Type 4 i",MAX(H219,Q219),IF('Pre-Calculation'!$D$17="Type 4 k",MAX(H219,1.01*Q219),IF('Pre-Calculation'!$D$17="Type 4 m",MAX(105%*Q219,SA+H219),IF('Pre-Calculation'!$D$17="Type 4 o",MAX(SA,105%*Q219)+X219+Z219,IF('Pre-Calculation'!$D$17="Type 5",0))))))))))))</f>
        <v>2026562.112</v>
      </c>
      <c r="L219" s="175">
        <f>H219-I219*(1+Tax)</f>
        <v>2026562.112</v>
      </c>
      <c r="M219" s="175">
        <f>L219*(1+GROWTH_RATE_H)*(1-FMC*(1+Tax))</f>
        <v>2036894.976</v>
      </c>
      <c r="N219" s="175">
        <f>M219+IF(MOD(A219,B219)=0,VLOOKUP(B219,'Pre-Calculation'!$H$1:$L$31,5,FALSE),0)*IF('Pre-Calculation'!$D$16="% OF FV",M219,IF(OR('Pre-Calculation'!$D$16="% OF AFV(24M)",'Pre-Calculation'!$D$16="% OF AFV(8Q)"),AVERAGE( $M196:$M219),IF('Pre-Calculation'!$D$16="% OF AFV(12M)",AVERAGE($M208:M219),IF('Pre-Calculation'!$D$16="% OF AFV(36M)",AVERAGE($M184:M219)))))</f>
        <v>2036894.976</v>
      </c>
      <c r="O219" s="175">
        <f t="shared" si="4"/>
        <v>2036894.976</v>
      </c>
      <c r="P219" s="175">
        <f>IF('Pre-Calculation'!$D$17="Type 4 a",MAX(SA,N219,1.05*Q219),IF('Pre-Calculation'!$D$17="Type 4 c",N219,IF('Pre-Calculation'!$D$17="Type 4 d",SA+N219,IF('Pre-Calculation'!$D$17="Type 4 e",MAX(SA,N219),IF('Pre-Calculation'!$D$17="Type 4 f",SA,IF('Pre-Calculation'!$D$17="Type 4 g",1000+N219,IF('Pre-Calculation'!$D$17="Type 4 h",SA+X219,IF('Pre-Calculation'!$D$17="Type 4 i",MAX(N219,Q219),IF('Pre-Calculation'!$D$17="Type 4 k",MAX(N219,1.01*Q219),IF('Pre-Calculation'!$D$17="Type 4 m",MAX(105%*Q219,SA+N219),IF('Pre-Calculation'!$D$17="Type 4 o",MAX(SA,105%*Q219)+X219+Z219,IF('Pre-Calculation'!$D$17="Type 5",0))))))))))))</f>
        <v>2036894.976</v>
      </c>
      <c r="Q219" s="175">
        <f t="shared" si="5"/>
        <v>1600000</v>
      </c>
      <c r="R219" s="119">
        <f>L219*(1+GROWTH_RATE)*FMC</f>
        <v>2293.303394</v>
      </c>
      <c r="S219" s="178">
        <f>S218*(1+'Pre-Calculation'!$E$27)</f>
        <v>1197028.706</v>
      </c>
      <c r="T219" s="175">
        <f>-E219+IF(A218=INPUT!$C$11*12,N219,0)</f>
        <v>0</v>
      </c>
      <c r="U219" s="175">
        <f t="shared" si="6"/>
        <v>2145402.155</v>
      </c>
      <c r="V219" s="175">
        <f>U219*(1+GROWTH_RATE_H)*(1-'Pre-Calculation'!$E$31)</f>
        <v>2155609.959</v>
      </c>
      <c r="W219" s="175">
        <f>-E219+IF(A218=INPUT!$C$11*12,V219,0)</f>
        <v>0</v>
      </c>
      <c r="X219" s="179">
        <f t="array" ref="X219">NPV('Pre-Calculation'!$E$20,$E220:E$246)</f>
        <v>0</v>
      </c>
      <c r="Y219" s="171">
        <f>10%*SA</f>
        <v>100000</v>
      </c>
      <c r="Z219" s="179">
        <f t="array" ref="Z219">NPV('Pre-Calculation'!$E$20,Y220:Y229)</f>
        <v>969592.8037</v>
      </c>
    </row>
    <row r="220" ht="15.75" customHeight="1">
      <c r="A220" s="171">
        <f t="shared" si="1"/>
        <v>214</v>
      </c>
      <c r="B220" s="171">
        <f t="shared" si="2"/>
        <v>18</v>
      </c>
      <c r="C220" s="176">
        <f>EDATE(RCD,A219)</f>
        <v>49033</v>
      </c>
      <c r="D220" s="171">
        <f>Age_At_Entry+'Cashflows_8% from Start'!B220-1</f>
        <v>52</v>
      </c>
      <c r="E220" s="175">
        <f>IF(AND(C220&lt;=Last_Prem,MOD(A219,Mode)=0),Mod_Prem,0)</f>
        <v>0</v>
      </c>
      <c r="F220" s="177">
        <f>E220*VLOOKUP(B220,'Pre-Calculation'!$H$1:$I$31,2,FALSE)</f>
        <v>0</v>
      </c>
      <c r="G220" s="177">
        <f>IF(B220&lt;PT+1,VLOOKUP(B220,'Pre-Calculation'!$H$1:$L$32,3,FALSE)+VLOOKUP(B220,'Pre-Calculation'!$H$1:$L$32,4,FALSE)*'Pre-Calculation'!$D$7,0)</f>
        <v>0</v>
      </c>
      <c r="H220" s="175">
        <f>(E220-(F220+G220)*(1+Tax)+N219)</f>
        <v>2036894.976</v>
      </c>
      <c r="I220" s="175">
        <f>IF(B220&lt;PT+1,VLOOKUP(D220,'Pre-Calculation'!$N$3:$P$79,IF(INPUT!$C$4="M",2,3),FALSE)*(J220/1000)*(1/12),0)</f>
        <v>0</v>
      </c>
      <c r="J220" s="175">
        <f t="shared" si="3"/>
        <v>0</v>
      </c>
      <c r="K220" s="175">
        <f>IF('Pre-Calculation'!$D$17="Type 4 a",MAX(SA,H220,1.05*Q220),IF('Pre-Calculation'!$D$17="Type 4 c",H220,IF('Pre-Calculation'!$D$17="Type 4 d",SA+H220,IF('Pre-Calculation'!$D$17="Type 4 e",MAX(SA,H220),IF('Pre-Calculation'!$D$17="Type 4 f",SA,IF('Pre-Calculation'!$D$17="Type 4 g",1000+H220,IF('Pre-Calculation'!$D$17="Type 4 h",SA+X220,IF('Pre-Calculation'!$D$17="Type 4 i",MAX(H220,Q220),IF('Pre-Calculation'!$D$17="Type 4 k",MAX(H220,1.01*Q220),IF('Pre-Calculation'!$D$17="Type 4 m",MAX(105%*Q220,SA+H220),IF('Pre-Calculation'!$D$17="Type 4 o",MAX(SA,105%*Q220)+X220+Z220,IF('Pre-Calculation'!$D$17="Type 5",0))))))))))))</f>
        <v>2036894.976</v>
      </c>
      <c r="L220" s="175">
        <f>H220-I220*(1+Tax)</f>
        <v>2036894.976</v>
      </c>
      <c r="M220" s="175">
        <f>L220*(1+GROWTH_RATE_H)*(1-FMC*(1+Tax))</f>
        <v>2047280.524</v>
      </c>
      <c r="N220" s="175">
        <f>M220+IF(MOD(A220,B220)=0,VLOOKUP(B220,'Pre-Calculation'!$H$1:$L$31,5,FALSE),0)*IF('Pre-Calculation'!$D$16="% OF FV",M220,IF(OR('Pre-Calculation'!$D$16="% OF AFV(24M)",'Pre-Calculation'!$D$16="% OF AFV(8Q)"),AVERAGE( $M197:$M220),IF('Pre-Calculation'!$D$16="% OF AFV(12M)",AVERAGE($M209:M220),IF('Pre-Calculation'!$D$16="% OF AFV(36M)",AVERAGE($M185:M220)))))</f>
        <v>2047280.524</v>
      </c>
      <c r="O220" s="175">
        <f t="shared" si="4"/>
        <v>2047280.524</v>
      </c>
      <c r="P220" s="175">
        <f>IF('Pre-Calculation'!$D$17="Type 4 a",MAX(SA,N220,1.05*Q220),IF('Pre-Calculation'!$D$17="Type 4 c",N220,IF('Pre-Calculation'!$D$17="Type 4 d",SA+N220,IF('Pre-Calculation'!$D$17="Type 4 e",MAX(SA,N220),IF('Pre-Calculation'!$D$17="Type 4 f",SA,IF('Pre-Calculation'!$D$17="Type 4 g",1000+N220,IF('Pre-Calculation'!$D$17="Type 4 h",SA+X220,IF('Pre-Calculation'!$D$17="Type 4 i",MAX(N220,Q220),IF('Pre-Calculation'!$D$17="Type 4 k",MAX(N220,1.01*Q220),IF('Pre-Calculation'!$D$17="Type 4 m",MAX(105%*Q220,SA+N220),IF('Pre-Calculation'!$D$17="Type 4 o",MAX(SA,105%*Q220)+X220+Z220,IF('Pre-Calculation'!$D$17="Type 5",0))))))))))))</f>
        <v>2047280.524</v>
      </c>
      <c r="Q220" s="175">
        <f t="shared" si="5"/>
        <v>1600000</v>
      </c>
      <c r="R220" s="119">
        <f>L220*(1+GROWTH_RATE)*FMC</f>
        <v>2304.996295</v>
      </c>
      <c r="S220" s="178">
        <f>S219*(1+'Pre-Calculation'!$E$27)</f>
        <v>1200465.254</v>
      </c>
      <c r="T220" s="175">
        <f>-E220+IF(A219=INPUT!$C$11*12,N220,0)</f>
        <v>0</v>
      </c>
      <c r="U220" s="175">
        <f t="shared" si="6"/>
        <v>2155609.959</v>
      </c>
      <c r="V220" s="175">
        <f>U220*(1+GROWTH_RATE_H)*(1-'Pre-Calculation'!$E$31)</f>
        <v>2165866.333</v>
      </c>
      <c r="W220" s="175">
        <f>-E220+IF(A219=INPUT!$C$11*12,V220,0)</f>
        <v>0</v>
      </c>
      <c r="X220" s="179">
        <f t="array" ref="X220">NPV('Pre-Calculation'!$E$20,$E221:E$246)</f>
        <v>0</v>
      </c>
      <c r="Y220" s="171">
        <f>10%*SA</f>
        <v>100000</v>
      </c>
      <c r="Z220" s="179">
        <f t="array" ref="Z220">NPV('Pre-Calculation'!$E$20,Y221:Y230)</f>
        <v>969592.8037</v>
      </c>
    </row>
    <row r="221" ht="15.75" customHeight="1">
      <c r="A221" s="171">
        <f t="shared" si="1"/>
        <v>215</v>
      </c>
      <c r="B221" s="171">
        <f t="shared" si="2"/>
        <v>18</v>
      </c>
      <c r="C221" s="176">
        <f>EDATE(RCD,A220)</f>
        <v>49064</v>
      </c>
      <c r="D221" s="171">
        <f>Age_At_Entry+'Cashflows_8% from Start'!B221-1</f>
        <v>52</v>
      </c>
      <c r="E221" s="175">
        <f>IF(AND(C221&lt;=Last_Prem,MOD(A220,Mode)=0),Mod_Prem,0)</f>
        <v>0</v>
      </c>
      <c r="F221" s="177">
        <f>E221*VLOOKUP(B221,'Pre-Calculation'!$H$1:$I$31,2,FALSE)</f>
        <v>0</v>
      </c>
      <c r="G221" s="177">
        <f>IF(B221&lt;PT+1,VLOOKUP(B221,'Pre-Calculation'!$H$1:$L$32,3,FALSE)+VLOOKUP(B221,'Pre-Calculation'!$H$1:$L$32,4,FALSE)*'Pre-Calculation'!$D$7,0)</f>
        <v>0</v>
      </c>
      <c r="H221" s="175">
        <f>(E221-(F221+G221)*(1+Tax)+N220)</f>
        <v>2047280.524</v>
      </c>
      <c r="I221" s="175">
        <f>IF(B221&lt;PT+1,VLOOKUP(D221,'Pre-Calculation'!$N$3:$P$79,IF(INPUT!$C$4="M",2,3),FALSE)*(J221/1000)*(1/12),0)</f>
        <v>0</v>
      </c>
      <c r="J221" s="175">
        <f t="shared" si="3"/>
        <v>0</v>
      </c>
      <c r="K221" s="175">
        <f>IF('Pre-Calculation'!$D$17="Type 4 a",MAX(SA,H221,1.05*Q221),IF('Pre-Calculation'!$D$17="Type 4 c",H221,IF('Pre-Calculation'!$D$17="Type 4 d",SA+H221,IF('Pre-Calculation'!$D$17="Type 4 e",MAX(SA,H221),IF('Pre-Calculation'!$D$17="Type 4 f",SA,IF('Pre-Calculation'!$D$17="Type 4 g",1000+H221,IF('Pre-Calculation'!$D$17="Type 4 h",SA+X221,IF('Pre-Calculation'!$D$17="Type 4 i",MAX(H221,Q221),IF('Pre-Calculation'!$D$17="Type 4 k",MAX(H221,1.01*Q221),IF('Pre-Calculation'!$D$17="Type 4 m",MAX(105%*Q221,SA+H221),IF('Pre-Calculation'!$D$17="Type 4 o",MAX(SA,105%*Q221)+X221+Z221,IF('Pre-Calculation'!$D$17="Type 5",0))))))))))))</f>
        <v>2047280.524</v>
      </c>
      <c r="L221" s="175">
        <f>H221-I221*(1+Tax)</f>
        <v>2047280.524</v>
      </c>
      <c r="M221" s="175">
        <f>L221*(1+GROWTH_RATE_H)*(1-FMC*(1+Tax))</f>
        <v>2057719.025</v>
      </c>
      <c r="N221" s="175">
        <f>M221+IF(MOD(A221,B221)=0,VLOOKUP(B221,'Pre-Calculation'!$H$1:$L$31,5,FALSE),0)*IF('Pre-Calculation'!$D$16="% OF FV",M221,IF(OR('Pre-Calculation'!$D$16="% OF AFV(24M)",'Pre-Calculation'!$D$16="% OF AFV(8Q)"),AVERAGE( $M198:$M221),IF('Pre-Calculation'!$D$16="% OF AFV(12M)",AVERAGE($M210:M221),IF('Pre-Calculation'!$D$16="% OF AFV(36M)",AVERAGE($M186:M221)))))</f>
        <v>2057719.025</v>
      </c>
      <c r="O221" s="175">
        <f t="shared" si="4"/>
        <v>2057719.025</v>
      </c>
      <c r="P221" s="175">
        <f>IF('Pre-Calculation'!$D$17="Type 4 a",MAX(SA,N221,1.05*Q221),IF('Pre-Calculation'!$D$17="Type 4 c",N221,IF('Pre-Calculation'!$D$17="Type 4 d",SA+N221,IF('Pre-Calculation'!$D$17="Type 4 e",MAX(SA,N221),IF('Pre-Calculation'!$D$17="Type 4 f",SA,IF('Pre-Calculation'!$D$17="Type 4 g",1000+N221,IF('Pre-Calculation'!$D$17="Type 4 h",SA+X221,IF('Pre-Calculation'!$D$17="Type 4 i",MAX(N221,Q221),IF('Pre-Calculation'!$D$17="Type 4 k",MAX(N221,1.01*Q221),IF('Pre-Calculation'!$D$17="Type 4 m",MAX(105%*Q221,SA+N221),IF('Pre-Calculation'!$D$17="Type 4 o",MAX(SA,105%*Q221)+X221+Z221,IF('Pre-Calculation'!$D$17="Type 5",0))))))))))))</f>
        <v>2057719.025</v>
      </c>
      <c r="Q221" s="175">
        <f t="shared" si="5"/>
        <v>1600000</v>
      </c>
      <c r="R221" s="119">
        <f>L221*(1+GROWTH_RATE)*FMC</f>
        <v>2316.748816</v>
      </c>
      <c r="S221" s="178">
        <f>S220*(1+'Pre-Calculation'!$E$27)</f>
        <v>1203911.669</v>
      </c>
      <c r="T221" s="175">
        <f>-E221+IF(A220=INPUT!$C$11*12,N221,0)</f>
        <v>0</v>
      </c>
      <c r="U221" s="175">
        <f t="shared" si="6"/>
        <v>2165866.333</v>
      </c>
      <c r="V221" s="175">
        <f>U221*(1+GROWTH_RATE_H)*(1-'Pre-Calculation'!$E$31)</f>
        <v>2176171.506</v>
      </c>
      <c r="W221" s="175">
        <f>-E221+IF(A220=INPUT!$C$11*12,V221,0)</f>
        <v>0</v>
      </c>
      <c r="X221" s="179">
        <f t="array" ref="X221">NPV('Pre-Calculation'!$E$20,$E222:E$246)</f>
        <v>0</v>
      </c>
      <c r="Y221" s="171">
        <f>10%*SA</f>
        <v>100000</v>
      </c>
      <c r="Z221" s="179">
        <f t="array" ref="Z221">NPV('Pre-Calculation'!$E$20,Y222:Y231)</f>
        <v>969592.8037</v>
      </c>
    </row>
    <row r="222" ht="15.75" customHeight="1">
      <c r="A222" s="171">
        <f t="shared" si="1"/>
        <v>216</v>
      </c>
      <c r="B222" s="171">
        <f t="shared" si="2"/>
        <v>18</v>
      </c>
      <c r="C222" s="176">
        <f>EDATE(RCD,A221)</f>
        <v>49094</v>
      </c>
      <c r="D222" s="171">
        <f>Age_At_Entry+'Cashflows_8% from Start'!B222-1</f>
        <v>52</v>
      </c>
      <c r="E222" s="175">
        <f>IF(AND(C222&lt;=Last_Prem,MOD(A221,Mode)=0),Mod_Prem,0)</f>
        <v>0</v>
      </c>
      <c r="F222" s="177">
        <f>E222*VLOOKUP(B222,'Pre-Calculation'!$H$1:$I$31,2,FALSE)</f>
        <v>0</v>
      </c>
      <c r="G222" s="177">
        <f>IF(B222&lt;PT+1,VLOOKUP(B222,'Pre-Calculation'!$H$1:$L$32,3,FALSE)+VLOOKUP(B222,'Pre-Calculation'!$H$1:$L$32,4,FALSE)*'Pre-Calculation'!$D$7,0)</f>
        <v>0</v>
      </c>
      <c r="H222" s="175">
        <f>(E222-(F222+G222)*(1+Tax)+N221)</f>
        <v>2057719.025</v>
      </c>
      <c r="I222" s="175">
        <f>IF(B222&lt;PT+1,VLOOKUP(D222,'Pre-Calculation'!$N$3:$P$79,IF(INPUT!$C$4="M",2,3),FALSE)*(J222/1000)*(1/12),0)</f>
        <v>0</v>
      </c>
      <c r="J222" s="175">
        <f t="shared" si="3"/>
        <v>0</v>
      </c>
      <c r="K222" s="175">
        <f>IF('Pre-Calculation'!$D$17="Type 4 a",MAX(SA,H222,1.05*Q222),IF('Pre-Calculation'!$D$17="Type 4 c",H222,IF('Pre-Calculation'!$D$17="Type 4 d",SA+H222,IF('Pre-Calculation'!$D$17="Type 4 e",MAX(SA,H222),IF('Pre-Calculation'!$D$17="Type 4 f",SA,IF('Pre-Calculation'!$D$17="Type 4 g",1000+H222,IF('Pre-Calculation'!$D$17="Type 4 h",SA+X222,IF('Pre-Calculation'!$D$17="Type 4 i",MAX(H222,Q222),IF('Pre-Calculation'!$D$17="Type 4 k",MAX(H222,1.01*Q222),IF('Pre-Calculation'!$D$17="Type 4 m",MAX(105%*Q222,SA+H222),IF('Pre-Calculation'!$D$17="Type 4 o",MAX(SA,105%*Q222)+X222+Z222,IF('Pre-Calculation'!$D$17="Type 5",0))))))))))))</f>
        <v>2057719.025</v>
      </c>
      <c r="L222" s="175">
        <f>H222-I222*(1+Tax)</f>
        <v>2057719.025</v>
      </c>
      <c r="M222" s="175">
        <f>L222*(1+GROWTH_RATE_H)*(1-FMC*(1+Tax))</f>
        <v>2068210.749</v>
      </c>
      <c r="N222" s="175">
        <f>M222+IF(MOD(A222,B222)=0,VLOOKUP(B222,'Pre-Calculation'!$H$1:$L$31,5,FALSE),0)*IF('Pre-Calculation'!$D$16="% OF FV",M222,IF(OR('Pre-Calculation'!$D$16="% OF AFV(24M)",'Pre-Calculation'!$D$16="% OF AFV(8Q)"),AVERAGE( $M199:$M222),IF('Pre-Calculation'!$D$16="% OF AFV(12M)",AVERAGE($M211:M222),IF('Pre-Calculation'!$D$16="% OF AFV(36M)",AVERAGE($M187:M222)))))</f>
        <v>2068210.749</v>
      </c>
      <c r="O222" s="175">
        <f t="shared" si="4"/>
        <v>2068210.749</v>
      </c>
      <c r="P222" s="175">
        <f>IF('Pre-Calculation'!$D$17="Type 4 a",MAX(SA,N222,1.05*Q222),IF('Pre-Calculation'!$D$17="Type 4 c",N222,IF('Pre-Calculation'!$D$17="Type 4 d",SA+N222,IF('Pre-Calculation'!$D$17="Type 4 e",MAX(SA,N222),IF('Pre-Calculation'!$D$17="Type 4 f",SA,IF('Pre-Calculation'!$D$17="Type 4 g",1000+N222,IF('Pre-Calculation'!$D$17="Type 4 h",SA+X222,IF('Pre-Calculation'!$D$17="Type 4 i",MAX(N222,Q222),IF('Pre-Calculation'!$D$17="Type 4 k",MAX(N222,1.01*Q222),IF('Pre-Calculation'!$D$17="Type 4 m",MAX(105%*Q222,SA+N222),IF('Pre-Calculation'!$D$17="Type 4 o",MAX(SA,105%*Q222)+X222+Z222,IF('Pre-Calculation'!$D$17="Type 5",0))))))))))))</f>
        <v>2068210.749</v>
      </c>
      <c r="Q222" s="175">
        <f t="shared" si="5"/>
        <v>1600000</v>
      </c>
      <c r="R222" s="119">
        <f>L222*(1+GROWTH_RATE)*FMC</f>
        <v>2328.561259</v>
      </c>
      <c r="S222" s="178">
        <f>S221*(1+'Pre-Calculation'!$E$27)</f>
        <v>1207367.977</v>
      </c>
      <c r="T222" s="175">
        <f>-E222+IF(A221=INPUT!$C$11*12,N222,0)</f>
        <v>0</v>
      </c>
      <c r="U222" s="175">
        <f t="shared" si="6"/>
        <v>2176171.506</v>
      </c>
      <c r="V222" s="175">
        <f>U222*(1+GROWTH_RATE_H)*(1-'Pre-Calculation'!$E$31)</f>
        <v>2186525.711</v>
      </c>
      <c r="W222" s="175">
        <f>-E222+IF(A221=INPUT!$C$11*12,V222,0)</f>
        <v>0</v>
      </c>
      <c r="X222" s="179">
        <f t="array" ref="X222">NPV('Pre-Calculation'!$E$20,$E223:E$246)</f>
        <v>0</v>
      </c>
      <c r="Y222" s="171">
        <f>10%*SA</f>
        <v>100000</v>
      </c>
      <c r="Z222" s="179">
        <f t="array" ref="Z222">NPV('Pre-Calculation'!$E$20,Y223:Y232)</f>
        <v>969592.8037</v>
      </c>
    </row>
    <row r="223" ht="15.75" customHeight="1">
      <c r="A223" s="171">
        <f t="shared" si="1"/>
        <v>217</v>
      </c>
      <c r="B223" s="171">
        <f t="shared" si="2"/>
        <v>19</v>
      </c>
      <c r="C223" s="176">
        <f>EDATE(RCD,A222)</f>
        <v>49125</v>
      </c>
      <c r="D223" s="171">
        <f>Age_At_Entry+'Cashflows_8% from Start'!B223-1</f>
        <v>53</v>
      </c>
      <c r="E223" s="175">
        <f>IF(AND(C223&lt;=Last_Prem,MOD(A222,Mode)=0),Mod_Prem,0)</f>
        <v>0</v>
      </c>
      <c r="F223" s="177">
        <f>E223*VLOOKUP(B223,'Pre-Calculation'!$H$1:$I$31,2,FALSE)</f>
        <v>0</v>
      </c>
      <c r="G223" s="177">
        <f>IF(B223&lt;PT+1,VLOOKUP(B223,'Pre-Calculation'!$H$1:$L$32,3,FALSE)+VLOOKUP(B223,'Pre-Calculation'!$H$1:$L$32,4,FALSE)*'Pre-Calculation'!$D$7,0)</f>
        <v>0</v>
      </c>
      <c r="H223" s="175">
        <f>(E223-(F223+G223)*(1+Tax)+N222)</f>
        <v>2068210.749</v>
      </c>
      <c r="I223" s="175">
        <f>IF(B223&lt;PT+1,VLOOKUP(D223,'Pre-Calculation'!$N$3:$P$79,IF(INPUT!$C$4="M",2,3),FALSE)*(J223/1000)*(1/12),0)</f>
        <v>0</v>
      </c>
      <c r="J223" s="175">
        <f t="shared" si="3"/>
        <v>0</v>
      </c>
      <c r="K223" s="175">
        <f>IF('Pre-Calculation'!$D$17="Type 4 a",MAX(SA,H223,1.05*Q223),IF('Pre-Calculation'!$D$17="Type 4 c",H223,IF('Pre-Calculation'!$D$17="Type 4 d",SA+H223,IF('Pre-Calculation'!$D$17="Type 4 e",MAX(SA,H223),IF('Pre-Calculation'!$D$17="Type 4 f",SA,IF('Pre-Calculation'!$D$17="Type 4 g",1000+H223,IF('Pre-Calculation'!$D$17="Type 4 h",SA+X223,IF('Pre-Calculation'!$D$17="Type 4 i",MAX(H223,Q223),IF('Pre-Calculation'!$D$17="Type 4 k",MAX(H223,1.01*Q223),IF('Pre-Calculation'!$D$17="Type 4 m",MAX(105%*Q223,SA+H223),IF('Pre-Calculation'!$D$17="Type 4 o",MAX(SA,105%*Q223)+X223+Z223,IF('Pre-Calculation'!$D$17="Type 5",0))))))))))))</f>
        <v>2068210.749</v>
      </c>
      <c r="L223" s="175">
        <f>H223-I223*(1+Tax)</f>
        <v>2068210.749</v>
      </c>
      <c r="M223" s="175">
        <f>L223*(1+GROWTH_RATE_H)*(1-FMC*(1+Tax))</f>
        <v>2078755.967</v>
      </c>
      <c r="N223" s="175">
        <f>M223+IF(MOD(A223,B223)=0,VLOOKUP(B223,'Pre-Calculation'!$H$1:$L$31,5,FALSE),0)*IF('Pre-Calculation'!$D$16="% OF FV",M223,IF(OR('Pre-Calculation'!$D$16="% OF AFV(24M)",'Pre-Calculation'!$D$16="% OF AFV(8Q)"),AVERAGE( $M200:$M223),IF('Pre-Calculation'!$D$16="% OF AFV(12M)",AVERAGE($M212:M223),IF('Pre-Calculation'!$D$16="% OF AFV(36M)",AVERAGE($M188:M223)))))</f>
        <v>2078755.967</v>
      </c>
      <c r="O223" s="175">
        <f t="shared" si="4"/>
        <v>2078755.967</v>
      </c>
      <c r="P223" s="175">
        <f>IF('Pre-Calculation'!$D$17="Type 4 a",MAX(SA,N223,1.05*Q223),IF('Pre-Calculation'!$D$17="Type 4 c",N223,IF('Pre-Calculation'!$D$17="Type 4 d",SA+N223,IF('Pre-Calculation'!$D$17="Type 4 e",MAX(SA,N223),IF('Pre-Calculation'!$D$17="Type 4 f",SA,IF('Pre-Calculation'!$D$17="Type 4 g",1000+N223,IF('Pre-Calculation'!$D$17="Type 4 h",SA+X223,IF('Pre-Calculation'!$D$17="Type 4 i",MAX(N223,Q223),IF('Pre-Calculation'!$D$17="Type 4 k",MAX(N223,1.01*Q223),IF('Pre-Calculation'!$D$17="Type 4 m",MAX(105%*Q223,SA+N223),IF('Pre-Calculation'!$D$17="Type 4 o",MAX(SA,105%*Q223)+X223+Z223,IF('Pre-Calculation'!$D$17="Type 5",0))))))))))))</f>
        <v>2078755.967</v>
      </c>
      <c r="Q223" s="175">
        <f t="shared" si="5"/>
        <v>1600000</v>
      </c>
      <c r="R223" s="119">
        <f>L223*(1+GROWTH_RATE)*FMC</f>
        <v>2340.43393</v>
      </c>
      <c r="S223" s="178">
        <f>S222*(1+'Pre-Calculation'!$E$27)</f>
        <v>1210834.208</v>
      </c>
      <c r="T223" s="175">
        <f>-E223+IF(A222=INPUT!$C$11*12,N223,0)</f>
        <v>0</v>
      </c>
      <c r="U223" s="175">
        <f t="shared" si="6"/>
        <v>2186525.711</v>
      </c>
      <c r="V223" s="175">
        <f>U223*(1+GROWTH_RATE_H)*(1-'Pre-Calculation'!$E$31)</f>
        <v>2196929.181</v>
      </c>
      <c r="W223" s="175">
        <f>-E223+IF(A222=INPUT!$C$11*12,V223,0)</f>
        <v>0</v>
      </c>
      <c r="X223" s="179">
        <f t="array" ref="X223">NPV('Pre-Calculation'!$E$20,$E224:E$246)</f>
        <v>0</v>
      </c>
      <c r="Y223" s="171">
        <f>10%*SA</f>
        <v>100000</v>
      </c>
      <c r="Z223" s="179">
        <f t="array" ref="Z223">NPV('Pre-Calculation'!$E$20,Y224:Y233)</f>
        <v>969592.8037</v>
      </c>
    </row>
    <row r="224" ht="15.75" customHeight="1">
      <c r="A224" s="171">
        <f t="shared" si="1"/>
        <v>218</v>
      </c>
      <c r="B224" s="171">
        <f t="shared" si="2"/>
        <v>19</v>
      </c>
      <c r="C224" s="176">
        <f>EDATE(RCD,A223)</f>
        <v>49155</v>
      </c>
      <c r="D224" s="171">
        <f>Age_At_Entry+'Cashflows_8% from Start'!B224-1</f>
        <v>53</v>
      </c>
      <c r="E224" s="175">
        <f>IF(AND(C224&lt;=Last_Prem,MOD(A223,Mode)=0),Mod_Prem,0)</f>
        <v>0</v>
      </c>
      <c r="F224" s="177">
        <f>E224*VLOOKUP(B224,'Pre-Calculation'!$H$1:$I$31,2,FALSE)</f>
        <v>0</v>
      </c>
      <c r="G224" s="177">
        <f>IF(B224&lt;PT+1,VLOOKUP(B224,'Pre-Calculation'!$H$1:$L$32,3,FALSE)+VLOOKUP(B224,'Pre-Calculation'!$H$1:$L$32,4,FALSE)*'Pre-Calculation'!$D$7,0)</f>
        <v>0</v>
      </c>
      <c r="H224" s="175">
        <f>(E224-(F224+G224)*(1+Tax)+N223)</f>
        <v>2078755.967</v>
      </c>
      <c r="I224" s="175">
        <f>IF(B224&lt;PT+1,VLOOKUP(D224,'Pre-Calculation'!$N$3:$P$79,IF(INPUT!$C$4="M",2,3),FALSE)*(J224/1000)*(1/12),0)</f>
        <v>0</v>
      </c>
      <c r="J224" s="175">
        <f t="shared" si="3"/>
        <v>0</v>
      </c>
      <c r="K224" s="175">
        <f>IF('Pre-Calculation'!$D$17="Type 4 a",MAX(SA,H224,1.05*Q224),IF('Pre-Calculation'!$D$17="Type 4 c",H224,IF('Pre-Calculation'!$D$17="Type 4 d",SA+H224,IF('Pre-Calculation'!$D$17="Type 4 e",MAX(SA,H224),IF('Pre-Calculation'!$D$17="Type 4 f",SA,IF('Pre-Calculation'!$D$17="Type 4 g",1000+H224,IF('Pre-Calculation'!$D$17="Type 4 h",SA+X224,IF('Pre-Calculation'!$D$17="Type 4 i",MAX(H224,Q224),IF('Pre-Calculation'!$D$17="Type 4 k",MAX(H224,1.01*Q224),IF('Pre-Calculation'!$D$17="Type 4 m",MAX(105%*Q224,SA+H224),IF('Pre-Calculation'!$D$17="Type 4 o",MAX(SA,105%*Q224)+X224+Z224,IF('Pre-Calculation'!$D$17="Type 5",0))))))))))))</f>
        <v>2078755.967</v>
      </c>
      <c r="L224" s="175">
        <f>H224-I224*(1+Tax)</f>
        <v>2078755.967</v>
      </c>
      <c r="M224" s="175">
        <f>L224*(1+GROWTH_RATE_H)*(1-FMC*(1+Tax))</f>
        <v>2089354.952</v>
      </c>
      <c r="N224" s="175">
        <f>M224+IF(MOD(A224,B224)=0,VLOOKUP(B224,'Pre-Calculation'!$H$1:$L$31,5,FALSE),0)*IF('Pre-Calculation'!$D$16="% OF FV",M224,IF(OR('Pre-Calculation'!$D$16="% OF AFV(24M)",'Pre-Calculation'!$D$16="% OF AFV(8Q)"),AVERAGE( $M201:$M224),IF('Pre-Calculation'!$D$16="% OF AFV(12M)",AVERAGE($M213:M224),IF('Pre-Calculation'!$D$16="% OF AFV(36M)",AVERAGE($M189:M224)))))</f>
        <v>2089354.952</v>
      </c>
      <c r="O224" s="175">
        <f t="shared" si="4"/>
        <v>2089354.952</v>
      </c>
      <c r="P224" s="175">
        <f>IF('Pre-Calculation'!$D$17="Type 4 a",MAX(SA,N224,1.05*Q224),IF('Pre-Calculation'!$D$17="Type 4 c",N224,IF('Pre-Calculation'!$D$17="Type 4 d",SA+N224,IF('Pre-Calculation'!$D$17="Type 4 e",MAX(SA,N224),IF('Pre-Calculation'!$D$17="Type 4 f",SA,IF('Pre-Calculation'!$D$17="Type 4 g",1000+N224,IF('Pre-Calculation'!$D$17="Type 4 h",SA+X224,IF('Pre-Calculation'!$D$17="Type 4 i",MAX(N224,Q224),IF('Pre-Calculation'!$D$17="Type 4 k",MAX(N224,1.01*Q224),IF('Pre-Calculation'!$D$17="Type 4 m",MAX(105%*Q224,SA+N224),IF('Pre-Calculation'!$D$17="Type 4 o",MAX(SA,105%*Q224)+X224+Z224,IF('Pre-Calculation'!$D$17="Type 5",0))))))))))))</f>
        <v>2089354.952</v>
      </c>
      <c r="Q224" s="175">
        <f t="shared" si="5"/>
        <v>1600000</v>
      </c>
      <c r="R224" s="119">
        <f>L224*(1+GROWTH_RATE)*FMC</f>
        <v>2352.367137</v>
      </c>
      <c r="S224" s="178">
        <f>S223*(1+'Pre-Calculation'!$E$27)</f>
        <v>1214310.391</v>
      </c>
      <c r="T224" s="175">
        <f>-E224+IF(A223=INPUT!$C$11*12,N224,0)</f>
        <v>0</v>
      </c>
      <c r="U224" s="175">
        <f t="shared" si="6"/>
        <v>2196929.181</v>
      </c>
      <c r="V224" s="175">
        <f>U224*(1+GROWTH_RATE_H)*(1-'Pre-Calculation'!$E$31)</f>
        <v>2207382.151</v>
      </c>
      <c r="W224" s="175">
        <f>-E224+IF(A223=INPUT!$C$11*12,V224,0)</f>
        <v>0</v>
      </c>
      <c r="X224" s="179">
        <f t="array" ref="X224">NPV('Pre-Calculation'!$E$20,$E225:E$246)</f>
        <v>0</v>
      </c>
      <c r="Y224" s="171">
        <f>10%*SA</f>
        <v>100000</v>
      </c>
      <c r="Z224" s="179">
        <f t="array" ref="Z224">NPV('Pre-Calculation'!$E$20,Y225:Y234)</f>
        <v>969592.8037</v>
      </c>
    </row>
    <row r="225" ht="15.75" customHeight="1">
      <c r="A225" s="171">
        <f t="shared" si="1"/>
        <v>219</v>
      </c>
      <c r="B225" s="171">
        <f t="shared" si="2"/>
        <v>19</v>
      </c>
      <c r="C225" s="176">
        <f>EDATE(RCD,A224)</f>
        <v>49186</v>
      </c>
      <c r="D225" s="171">
        <f>Age_At_Entry+'Cashflows_8% from Start'!B225-1</f>
        <v>53</v>
      </c>
      <c r="E225" s="175">
        <f>IF(AND(C225&lt;=Last_Prem,MOD(A224,Mode)=0),Mod_Prem,0)</f>
        <v>0</v>
      </c>
      <c r="F225" s="177">
        <f>E225*VLOOKUP(B225,'Pre-Calculation'!$H$1:$I$31,2,FALSE)</f>
        <v>0</v>
      </c>
      <c r="G225" s="177">
        <f>IF(B225&lt;PT+1,VLOOKUP(B225,'Pre-Calculation'!$H$1:$L$32,3,FALSE)+VLOOKUP(B225,'Pre-Calculation'!$H$1:$L$32,4,FALSE)*'Pre-Calculation'!$D$7,0)</f>
        <v>0</v>
      </c>
      <c r="H225" s="175">
        <f>(E225-(F225+G225)*(1+Tax)+N224)</f>
        <v>2089354.952</v>
      </c>
      <c r="I225" s="175">
        <f>IF(B225&lt;PT+1,VLOOKUP(D225,'Pre-Calculation'!$N$3:$P$79,IF(INPUT!$C$4="M",2,3),FALSE)*(J225/1000)*(1/12),0)</f>
        <v>0</v>
      </c>
      <c r="J225" s="175">
        <f t="shared" si="3"/>
        <v>0</v>
      </c>
      <c r="K225" s="175">
        <f>IF('Pre-Calculation'!$D$17="Type 4 a",MAX(SA,H225,1.05*Q225),IF('Pre-Calculation'!$D$17="Type 4 c",H225,IF('Pre-Calculation'!$D$17="Type 4 d",SA+H225,IF('Pre-Calculation'!$D$17="Type 4 e",MAX(SA,H225),IF('Pre-Calculation'!$D$17="Type 4 f",SA,IF('Pre-Calculation'!$D$17="Type 4 g",1000+H225,IF('Pre-Calculation'!$D$17="Type 4 h",SA+X225,IF('Pre-Calculation'!$D$17="Type 4 i",MAX(H225,Q225),IF('Pre-Calculation'!$D$17="Type 4 k",MAX(H225,1.01*Q225),IF('Pre-Calculation'!$D$17="Type 4 m",MAX(105%*Q225,SA+H225),IF('Pre-Calculation'!$D$17="Type 4 o",MAX(SA,105%*Q225)+X225+Z225,IF('Pre-Calculation'!$D$17="Type 5",0))))))))))))</f>
        <v>2089354.952</v>
      </c>
      <c r="L225" s="175">
        <f>H225-I225*(1+Tax)</f>
        <v>2089354.952</v>
      </c>
      <c r="M225" s="175">
        <f>L225*(1+GROWTH_RATE_H)*(1-FMC*(1+Tax))</f>
        <v>2100007.979</v>
      </c>
      <c r="N225" s="175">
        <f>M225+IF(MOD(A225,B225)=0,VLOOKUP(B225,'Pre-Calculation'!$H$1:$L$31,5,FALSE),0)*IF('Pre-Calculation'!$D$16="% OF FV",M225,IF(OR('Pre-Calculation'!$D$16="% OF AFV(24M)",'Pre-Calculation'!$D$16="% OF AFV(8Q)"),AVERAGE( $M202:$M225),IF('Pre-Calculation'!$D$16="% OF AFV(12M)",AVERAGE($M214:M225),IF('Pre-Calculation'!$D$16="% OF AFV(36M)",AVERAGE($M190:M225)))))</f>
        <v>2100007.979</v>
      </c>
      <c r="O225" s="175">
        <f t="shared" si="4"/>
        <v>2100007.979</v>
      </c>
      <c r="P225" s="175">
        <f>IF('Pre-Calculation'!$D$17="Type 4 a",MAX(SA,N225,1.05*Q225),IF('Pre-Calculation'!$D$17="Type 4 c",N225,IF('Pre-Calculation'!$D$17="Type 4 d",SA+N225,IF('Pre-Calculation'!$D$17="Type 4 e",MAX(SA,N225),IF('Pre-Calculation'!$D$17="Type 4 f",SA,IF('Pre-Calculation'!$D$17="Type 4 g",1000+N225,IF('Pre-Calculation'!$D$17="Type 4 h",SA+X225,IF('Pre-Calculation'!$D$17="Type 4 i",MAX(N225,Q225),IF('Pre-Calculation'!$D$17="Type 4 k",MAX(N225,1.01*Q225),IF('Pre-Calculation'!$D$17="Type 4 m",MAX(105%*Q225,SA+N225),IF('Pre-Calculation'!$D$17="Type 4 o",MAX(SA,105%*Q225)+X225+Z225,IF('Pre-Calculation'!$D$17="Type 5",0))))))))))))</f>
        <v>2100007.979</v>
      </c>
      <c r="Q225" s="175">
        <f t="shared" si="5"/>
        <v>1600000</v>
      </c>
      <c r="R225" s="119">
        <f>L225*(1+GROWTH_RATE)*FMC</f>
        <v>2364.361188</v>
      </c>
      <c r="S225" s="178">
        <f>S224*(1+'Pre-Calculation'!$E$27)</f>
        <v>1217796.553</v>
      </c>
      <c r="T225" s="175">
        <f>-E225+IF(A224=INPUT!$C$11*12,N225,0)</f>
        <v>0</v>
      </c>
      <c r="U225" s="175">
        <f t="shared" si="6"/>
        <v>2207382.151</v>
      </c>
      <c r="V225" s="175">
        <f>U225*(1+GROWTH_RATE_H)*(1-'Pre-Calculation'!$E$31)</f>
        <v>2217884.856</v>
      </c>
      <c r="W225" s="175">
        <f>-E225+IF(A224=INPUT!$C$11*12,V225,0)</f>
        <v>0</v>
      </c>
      <c r="X225" s="179">
        <f t="array" ref="X225">NPV('Pre-Calculation'!$E$20,$E226:E$246)</f>
        <v>0</v>
      </c>
      <c r="Y225" s="171">
        <f>10%*SA</f>
        <v>100000</v>
      </c>
      <c r="Z225" s="179">
        <f t="array" ref="Z225">NPV('Pre-Calculation'!$E$20,Y226:Y235)</f>
        <v>969592.8037</v>
      </c>
    </row>
    <row r="226" ht="15.75" customHeight="1">
      <c r="A226" s="171">
        <f t="shared" si="1"/>
        <v>220</v>
      </c>
      <c r="B226" s="171">
        <f t="shared" si="2"/>
        <v>19</v>
      </c>
      <c r="C226" s="176">
        <f>EDATE(RCD,A225)</f>
        <v>49217</v>
      </c>
      <c r="D226" s="171">
        <f>Age_At_Entry+'Cashflows_8% from Start'!B226-1</f>
        <v>53</v>
      </c>
      <c r="E226" s="175">
        <f>IF(AND(C226&lt;=Last_Prem,MOD(A225,Mode)=0),Mod_Prem,0)</f>
        <v>0</v>
      </c>
      <c r="F226" s="177">
        <f>E226*VLOOKUP(B226,'Pre-Calculation'!$H$1:$I$31,2,FALSE)</f>
        <v>0</v>
      </c>
      <c r="G226" s="177">
        <f>IF(B226&lt;PT+1,VLOOKUP(B226,'Pre-Calculation'!$H$1:$L$32,3,FALSE)+VLOOKUP(B226,'Pre-Calculation'!$H$1:$L$32,4,FALSE)*'Pre-Calculation'!$D$7,0)</f>
        <v>0</v>
      </c>
      <c r="H226" s="175">
        <f>(E226-(F226+G226)*(1+Tax)+N225)</f>
        <v>2100007.979</v>
      </c>
      <c r="I226" s="175">
        <f>IF(B226&lt;PT+1,VLOOKUP(D226,'Pre-Calculation'!$N$3:$P$79,IF(INPUT!$C$4="M",2,3),FALSE)*(J226/1000)*(1/12),0)</f>
        <v>0</v>
      </c>
      <c r="J226" s="175">
        <f t="shared" si="3"/>
        <v>0</v>
      </c>
      <c r="K226" s="175">
        <f>IF('Pre-Calculation'!$D$17="Type 4 a",MAX(SA,H226,1.05*Q226),IF('Pre-Calculation'!$D$17="Type 4 c",H226,IF('Pre-Calculation'!$D$17="Type 4 d",SA+H226,IF('Pre-Calculation'!$D$17="Type 4 e",MAX(SA,H226),IF('Pre-Calculation'!$D$17="Type 4 f",SA,IF('Pre-Calculation'!$D$17="Type 4 g",1000+H226,IF('Pre-Calculation'!$D$17="Type 4 h",SA+X226,IF('Pre-Calculation'!$D$17="Type 4 i",MAX(H226,Q226),IF('Pre-Calculation'!$D$17="Type 4 k",MAX(H226,1.01*Q226),IF('Pre-Calculation'!$D$17="Type 4 m",MAX(105%*Q226,SA+H226),IF('Pre-Calculation'!$D$17="Type 4 o",MAX(SA,105%*Q226)+X226+Z226,IF('Pre-Calculation'!$D$17="Type 5",0))))))))))))</f>
        <v>2100007.979</v>
      </c>
      <c r="L226" s="175">
        <f>H226-I226*(1+Tax)</f>
        <v>2100007.979</v>
      </c>
      <c r="M226" s="175">
        <f>L226*(1+GROWTH_RATE_H)*(1-FMC*(1+Tax))</f>
        <v>2110715.322</v>
      </c>
      <c r="N226" s="175">
        <f>M226+IF(MOD(A226,B226)=0,VLOOKUP(B226,'Pre-Calculation'!$H$1:$L$31,5,FALSE),0)*IF('Pre-Calculation'!$D$16="% OF FV",M226,IF(OR('Pre-Calculation'!$D$16="% OF AFV(24M)",'Pre-Calculation'!$D$16="% OF AFV(8Q)"),AVERAGE( $M203:$M226),IF('Pre-Calculation'!$D$16="% OF AFV(12M)",AVERAGE($M215:M226),IF('Pre-Calculation'!$D$16="% OF AFV(36M)",AVERAGE($M191:M226)))))</f>
        <v>2110715.322</v>
      </c>
      <c r="O226" s="175">
        <f t="shared" si="4"/>
        <v>2110715.322</v>
      </c>
      <c r="P226" s="175">
        <f>IF('Pre-Calculation'!$D$17="Type 4 a",MAX(SA,N226,1.05*Q226),IF('Pre-Calculation'!$D$17="Type 4 c",N226,IF('Pre-Calculation'!$D$17="Type 4 d",SA+N226,IF('Pre-Calculation'!$D$17="Type 4 e",MAX(SA,N226),IF('Pre-Calculation'!$D$17="Type 4 f",SA,IF('Pre-Calculation'!$D$17="Type 4 g",1000+N226,IF('Pre-Calculation'!$D$17="Type 4 h",SA+X226,IF('Pre-Calculation'!$D$17="Type 4 i",MAX(N226,Q226),IF('Pre-Calculation'!$D$17="Type 4 k",MAX(N226,1.01*Q226),IF('Pre-Calculation'!$D$17="Type 4 m",MAX(105%*Q226,SA+N226),IF('Pre-Calculation'!$D$17="Type 4 o",MAX(SA,105%*Q226)+X226+Z226,IF('Pre-Calculation'!$D$17="Type 5",0))))))))))))</f>
        <v>2110715.322</v>
      </c>
      <c r="Q226" s="175">
        <f t="shared" si="5"/>
        <v>1600000</v>
      </c>
      <c r="R226" s="119">
        <f>L226*(1+GROWTH_RATE)*FMC</f>
        <v>2376.416393</v>
      </c>
      <c r="S226" s="178">
        <f>S225*(1+'Pre-Calculation'!$E$27)</f>
        <v>1221292.723</v>
      </c>
      <c r="T226" s="175">
        <f>-E226+IF(A225=INPUT!$C$11*12,N226,0)</f>
        <v>0</v>
      </c>
      <c r="U226" s="175">
        <f t="shared" si="6"/>
        <v>2217884.856</v>
      </c>
      <c r="V226" s="175">
        <f>U226*(1+GROWTH_RATE_H)*(1-'Pre-Calculation'!$E$31)</f>
        <v>2228437.532</v>
      </c>
      <c r="W226" s="175">
        <f>-E226+IF(A225=INPUT!$C$11*12,V226,0)</f>
        <v>0</v>
      </c>
      <c r="X226" s="179">
        <f t="array" ref="X226">NPV('Pre-Calculation'!$E$20,$E227:E$246)</f>
        <v>0</v>
      </c>
      <c r="Y226" s="171">
        <f>10%*SA</f>
        <v>100000</v>
      </c>
      <c r="Z226" s="179">
        <f t="array" ref="Z226">NPV('Pre-Calculation'!$E$20,Y227:Y236)</f>
        <v>969592.8037</v>
      </c>
    </row>
    <row r="227" ht="15.75" customHeight="1">
      <c r="A227" s="171">
        <f t="shared" si="1"/>
        <v>221</v>
      </c>
      <c r="B227" s="171">
        <f t="shared" si="2"/>
        <v>19</v>
      </c>
      <c r="C227" s="176">
        <f>EDATE(RCD,A226)</f>
        <v>49247</v>
      </c>
      <c r="D227" s="171">
        <f>Age_At_Entry+'Cashflows_8% from Start'!B227-1</f>
        <v>53</v>
      </c>
      <c r="E227" s="175">
        <f>IF(AND(C227&lt;=Last_Prem,MOD(A226,Mode)=0),Mod_Prem,0)</f>
        <v>0</v>
      </c>
      <c r="F227" s="177">
        <f>E227*VLOOKUP(B227,'Pre-Calculation'!$H$1:$I$31,2,FALSE)</f>
        <v>0</v>
      </c>
      <c r="G227" s="177">
        <f>IF(B227&lt;PT+1,VLOOKUP(B227,'Pre-Calculation'!$H$1:$L$32,3,FALSE)+VLOOKUP(B227,'Pre-Calculation'!$H$1:$L$32,4,FALSE)*'Pre-Calculation'!$D$7,0)</f>
        <v>0</v>
      </c>
      <c r="H227" s="175">
        <f>(E227-(F227+G227)*(1+Tax)+N226)</f>
        <v>2110715.322</v>
      </c>
      <c r="I227" s="175">
        <f>IF(B227&lt;PT+1,VLOOKUP(D227,'Pre-Calculation'!$N$3:$P$79,IF(INPUT!$C$4="M",2,3),FALSE)*(J227/1000)*(1/12),0)</f>
        <v>0</v>
      </c>
      <c r="J227" s="175">
        <f t="shared" si="3"/>
        <v>0</v>
      </c>
      <c r="K227" s="175">
        <f>IF('Pre-Calculation'!$D$17="Type 4 a",MAX(SA,H227,1.05*Q227),IF('Pre-Calculation'!$D$17="Type 4 c",H227,IF('Pre-Calculation'!$D$17="Type 4 d",SA+H227,IF('Pre-Calculation'!$D$17="Type 4 e",MAX(SA,H227),IF('Pre-Calculation'!$D$17="Type 4 f",SA,IF('Pre-Calculation'!$D$17="Type 4 g",1000+H227,IF('Pre-Calculation'!$D$17="Type 4 h",SA+X227,IF('Pre-Calculation'!$D$17="Type 4 i",MAX(H227,Q227),IF('Pre-Calculation'!$D$17="Type 4 k",MAX(H227,1.01*Q227),IF('Pre-Calculation'!$D$17="Type 4 m",MAX(105%*Q227,SA+H227),IF('Pre-Calculation'!$D$17="Type 4 o",MAX(SA,105%*Q227)+X227+Z227,IF('Pre-Calculation'!$D$17="Type 5",0))))))))))))</f>
        <v>2110715.322</v>
      </c>
      <c r="L227" s="175">
        <f>H227-I227*(1+Tax)</f>
        <v>2110715.322</v>
      </c>
      <c r="M227" s="175">
        <f>L227*(1+GROWTH_RATE_H)*(1-FMC*(1+Tax))</f>
        <v>2121477.259</v>
      </c>
      <c r="N227" s="175">
        <f>M227+IF(MOD(A227,B227)=0,VLOOKUP(B227,'Pre-Calculation'!$H$1:$L$31,5,FALSE),0)*IF('Pre-Calculation'!$D$16="% OF FV",M227,IF(OR('Pre-Calculation'!$D$16="% OF AFV(24M)",'Pre-Calculation'!$D$16="% OF AFV(8Q)"),AVERAGE( $M204:$M227),IF('Pre-Calculation'!$D$16="% OF AFV(12M)",AVERAGE($M216:M227),IF('Pre-Calculation'!$D$16="% OF AFV(36M)",AVERAGE($M192:M227)))))</f>
        <v>2121477.259</v>
      </c>
      <c r="O227" s="175">
        <f t="shared" si="4"/>
        <v>2121477.259</v>
      </c>
      <c r="P227" s="175">
        <f>IF('Pre-Calculation'!$D$17="Type 4 a",MAX(SA,N227,1.05*Q227),IF('Pre-Calculation'!$D$17="Type 4 c",N227,IF('Pre-Calculation'!$D$17="Type 4 d",SA+N227,IF('Pre-Calculation'!$D$17="Type 4 e",MAX(SA,N227),IF('Pre-Calculation'!$D$17="Type 4 f",SA,IF('Pre-Calculation'!$D$17="Type 4 g",1000+N227,IF('Pre-Calculation'!$D$17="Type 4 h",SA+X227,IF('Pre-Calculation'!$D$17="Type 4 i",MAX(N227,Q227),IF('Pre-Calculation'!$D$17="Type 4 k",MAX(N227,1.01*Q227),IF('Pre-Calculation'!$D$17="Type 4 m",MAX(105%*Q227,SA+N227),IF('Pre-Calculation'!$D$17="Type 4 o",MAX(SA,105%*Q227)+X227+Z227,IF('Pre-Calculation'!$D$17="Type 5",0))))))))))))</f>
        <v>2121477.259</v>
      </c>
      <c r="Q227" s="175">
        <f t="shared" si="5"/>
        <v>1600000</v>
      </c>
      <c r="R227" s="119">
        <f>L227*(1+GROWTH_RATE)*FMC</f>
        <v>2388.533064</v>
      </c>
      <c r="S227" s="178">
        <f>S226*(1+'Pre-Calculation'!$E$27)</f>
        <v>1224798.931</v>
      </c>
      <c r="T227" s="175">
        <f>-E227+IF(A226=INPUT!$C$11*12,N227,0)</f>
        <v>0</v>
      </c>
      <c r="U227" s="175">
        <f t="shared" si="6"/>
        <v>2228437.532</v>
      </c>
      <c r="V227" s="175">
        <f>U227*(1+GROWTH_RATE_H)*(1-'Pre-Calculation'!$E$31)</f>
        <v>2239040.418</v>
      </c>
      <c r="W227" s="175">
        <f>-E227+IF(A226=INPUT!$C$11*12,V227,0)</f>
        <v>0</v>
      </c>
      <c r="X227" s="179">
        <f t="array" ref="X227">NPV('Pre-Calculation'!$E$20,$E228:E$246)</f>
        <v>0</v>
      </c>
      <c r="Y227" s="171">
        <f>10%*SA</f>
        <v>100000</v>
      </c>
      <c r="Z227" s="179">
        <f t="array" ref="Z227">NPV('Pre-Calculation'!$E$20,Y228:Y237)</f>
        <v>969592.8037</v>
      </c>
    </row>
    <row r="228" ht="15.75" customHeight="1">
      <c r="A228" s="171">
        <f t="shared" si="1"/>
        <v>222</v>
      </c>
      <c r="B228" s="171">
        <f t="shared" si="2"/>
        <v>19</v>
      </c>
      <c r="C228" s="176">
        <f>EDATE(RCD,A227)</f>
        <v>49278</v>
      </c>
      <c r="D228" s="171">
        <f>Age_At_Entry+'Cashflows_8% from Start'!B228-1</f>
        <v>53</v>
      </c>
      <c r="E228" s="175">
        <f>IF(AND(C228&lt;=Last_Prem,MOD(A227,Mode)=0),Mod_Prem,0)</f>
        <v>0</v>
      </c>
      <c r="F228" s="177">
        <f>E228*VLOOKUP(B228,'Pre-Calculation'!$H$1:$I$31,2,FALSE)</f>
        <v>0</v>
      </c>
      <c r="G228" s="177">
        <f>IF(B228&lt;PT+1,VLOOKUP(B228,'Pre-Calculation'!$H$1:$L$32,3,FALSE)+VLOOKUP(B228,'Pre-Calculation'!$H$1:$L$32,4,FALSE)*'Pre-Calculation'!$D$7,0)</f>
        <v>0</v>
      </c>
      <c r="H228" s="175">
        <f>(E228-(F228+G228)*(1+Tax)+N227)</f>
        <v>2121477.259</v>
      </c>
      <c r="I228" s="175">
        <f>IF(B228&lt;PT+1,VLOOKUP(D228,'Pre-Calculation'!$N$3:$P$79,IF(INPUT!$C$4="M",2,3),FALSE)*(J228/1000)*(1/12),0)</f>
        <v>0</v>
      </c>
      <c r="J228" s="175">
        <f t="shared" si="3"/>
        <v>0</v>
      </c>
      <c r="K228" s="175">
        <f>IF('Pre-Calculation'!$D$17="Type 4 a",MAX(SA,H228,1.05*Q228),IF('Pre-Calculation'!$D$17="Type 4 c",H228,IF('Pre-Calculation'!$D$17="Type 4 d",SA+H228,IF('Pre-Calculation'!$D$17="Type 4 e",MAX(SA,H228),IF('Pre-Calculation'!$D$17="Type 4 f",SA,IF('Pre-Calculation'!$D$17="Type 4 g",1000+H228,IF('Pre-Calculation'!$D$17="Type 4 h",SA+X228,IF('Pre-Calculation'!$D$17="Type 4 i",MAX(H228,Q228),IF('Pre-Calculation'!$D$17="Type 4 k",MAX(H228,1.01*Q228),IF('Pre-Calculation'!$D$17="Type 4 m",MAX(105%*Q228,SA+H228),IF('Pre-Calculation'!$D$17="Type 4 o",MAX(SA,105%*Q228)+X228+Z228,IF('Pre-Calculation'!$D$17="Type 5",0))))))))))))</f>
        <v>2121477.259</v>
      </c>
      <c r="L228" s="175">
        <f>H228-I228*(1+Tax)</f>
        <v>2121477.259</v>
      </c>
      <c r="M228" s="175">
        <f>L228*(1+GROWTH_RATE_H)*(1-FMC*(1+Tax))</f>
        <v>2132294.068</v>
      </c>
      <c r="N228" s="175">
        <f>M228+IF(MOD(A228,B228)=0,VLOOKUP(B228,'Pre-Calculation'!$H$1:$L$31,5,FALSE),0)*IF('Pre-Calculation'!$D$16="% OF FV",M228,IF(OR('Pre-Calculation'!$D$16="% OF AFV(24M)",'Pre-Calculation'!$D$16="% OF AFV(8Q)"),AVERAGE( $M205:$M228),IF('Pre-Calculation'!$D$16="% OF AFV(12M)",AVERAGE($M217:M228),IF('Pre-Calculation'!$D$16="% OF AFV(36M)",AVERAGE($M193:M228)))))</f>
        <v>2132294.068</v>
      </c>
      <c r="O228" s="175">
        <f t="shared" si="4"/>
        <v>2132294.068</v>
      </c>
      <c r="P228" s="175">
        <f>IF('Pre-Calculation'!$D$17="Type 4 a",MAX(SA,N228,1.05*Q228),IF('Pre-Calculation'!$D$17="Type 4 c",N228,IF('Pre-Calculation'!$D$17="Type 4 d",SA+N228,IF('Pre-Calculation'!$D$17="Type 4 e",MAX(SA,N228),IF('Pre-Calculation'!$D$17="Type 4 f",SA,IF('Pre-Calculation'!$D$17="Type 4 g",1000+N228,IF('Pre-Calculation'!$D$17="Type 4 h",SA+X228,IF('Pre-Calculation'!$D$17="Type 4 i",MAX(N228,Q228),IF('Pre-Calculation'!$D$17="Type 4 k",MAX(N228,1.01*Q228),IF('Pre-Calculation'!$D$17="Type 4 m",MAX(105%*Q228,SA+N228),IF('Pre-Calculation'!$D$17="Type 4 o",MAX(SA,105%*Q228)+X228+Z228,IF('Pre-Calculation'!$D$17="Type 5",0))))))))))))</f>
        <v>2132294.068</v>
      </c>
      <c r="Q228" s="175">
        <f t="shared" si="5"/>
        <v>1600000</v>
      </c>
      <c r="R228" s="119">
        <f>L228*(1+GROWTH_RATE)*FMC</f>
        <v>2400.711514</v>
      </c>
      <c r="S228" s="178">
        <f>S227*(1+'Pre-Calculation'!$E$27)</f>
        <v>1228315.205</v>
      </c>
      <c r="T228" s="175">
        <f>-E228+IF(A227=INPUT!$C$11*12,N228,0)</f>
        <v>0</v>
      </c>
      <c r="U228" s="175">
        <f t="shared" si="6"/>
        <v>2239040.418</v>
      </c>
      <c r="V228" s="175">
        <f>U228*(1+GROWTH_RATE_H)*(1-'Pre-Calculation'!$E$31)</f>
        <v>2249693.753</v>
      </c>
      <c r="W228" s="175">
        <f>-E228+IF(A227=INPUT!$C$11*12,V228,0)</f>
        <v>0</v>
      </c>
      <c r="X228" s="179">
        <f t="array" ref="X228">NPV('Pre-Calculation'!$E$20,$E229:E$246)</f>
        <v>0</v>
      </c>
      <c r="Y228" s="171">
        <f>10%*SA</f>
        <v>100000</v>
      </c>
      <c r="Z228" s="179">
        <f t="array" ref="Z228">NPV('Pre-Calculation'!$E$20,Y229:Y238)</f>
        <v>969592.8037</v>
      </c>
    </row>
    <row r="229" ht="15.75" customHeight="1">
      <c r="A229" s="171">
        <f t="shared" si="1"/>
        <v>223</v>
      </c>
      <c r="B229" s="171">
        <f t="shared" si="2"/>
        <v>19</v>
      </c>
      <c r="C229" s="176">
        <f>EDATE(RCD,A228)</f>
        <v>49308</v>
      </c>
      <c r="D229" s="171">
        <f>Age_At_Entry+'Cashflows_8% from Start'!B229-1</f>
        <v>53</v>
      </c>
      <c r="E229" s="175">
        <f>IF(AND(C229&lt;=Last_Prem,MOD(A228,Mode)=0),Mod_Prem,0)</f>
        <v>0</v>
      </c>
      <c r="F229" s="177">
        <f>E229*VLOOKUP(B229,'Pre-Calculation'!$H$1:$I$31,2,FALSE)</f>
        <v>0</v>
      </c>
      <c r="G229" s="177">
        <f>IF(B229&lt;PT+1,VLOOKUP(B229,'Pre-Calculation'!$H$1:$L$32,3,FALSE)+VLOOKUP(B229,'Pre-Calculation'!$H$1:$L$32,4,FALSE)*'Pre-Calculation'!$D$7,0)</f>
        <v>0</v>
      </c>
      <c r="H229" s="175">
        <f>(E229-(F229+G229)*(1+Tax)+N228)</f>
        <v>2132294.068</v>
      </c>
      <c r="I229" s="175">
        <f>IF(B229&lt;PT+1,VLOOKUP(D229,'Pre-Calculation'!$N$3:$P$79,IF(INPUT!$C$4="M",2,3),FALSE)*(J229/1000)*(1/12),0)</f>
        <v>0</v>
      </c>
      <c r="J229" s="175">
        <f t="shared" si="3"/>
        <v>0</v>
      </c>
      <c r="K229" s="175">
        <f>IF('Pre-Calculation'!$D$17="Type 4 a",MAX(SA,H229,1.05*Q229),IF('Pre-Calculation'!$D$17="Type 4 c",H229,IF('Pre-Calculation'!$D$17="Type 4 d",SA+H229,IF('Pre-Calculation'!$D$17="Type 4 e",MAX(SA,H229),IF('Pre-Calculation'!$D$17="Type 4 f",SA,IF('Pre-Calculation'!$D$17="Type 4 g",1000+H229,IF('Pre-Calculation'!$D$17="Type 4 h",SA+X229,IF('Pre-Calculation'!$D$17="Type 4 i",MAX(H229,Q229),IF('Pre-Calculation'!$D$17="Type 4 k",MAX(H229,1.01*Q229),IF('Pre-Calculation'!$D$17="Type 4 m",MAX(105%*Q229,SA+H229),IF('Pre-Calculation'!$D$17="Type 4 o",MAX(SA,105%*Q229)+X229+Z229,IF('Pre-Calculation'!$D$17="Type 5",0))))))))))))</f>
        <v>2132294.068</v>
      </c>
      <c r="L229" s="175">
        <f>H229-I229*(1+Tax)</f>
        <v>2132294.068</v>
      </c>
      <c r="M229" s="175">
        <f>L229*(1+GROWTH_RATE_H)*(1-FMC*(1+Tax))</f>
        <v>2143166.028</v>
      </c>
      <c r="N229" s="175">
        <f>M229+IF(MOD(A229,B229)=0,VLOOKUP(B229,'Pre-Calculation'!$H$1:$L$31,5,FALSE),0)*IF('Pre-Calculation'!$D$16="% OF FV",M229,IF(OR('Pre-Calculation'!$D$16="% OF AFV(24M)",'Pre-Calculation'!$D$16="% OF AFV(8Q)"),AVERAGE( $M206:$M229),IF('Pre-Calculation'!$D$16="% OF AFV(12M)",AVERAGE($M218:M229),IF('Pre-Calculation'!$D$16="% OF AFV(36M)",AVERAGE($M194:M229)))))</f>
        <v>2143166.028</v>
      </c>
      <c r="O229" s="175">
        <f t="shared" si="4"/>
        <v>2143166.028</v>
      </c>
      <c r="P229" s="175">
        <f>IF('Pre-Calculation'!$D$17="Type 4 a",MAX(SA,N229,1.05*Q229),IF('Pre-Calculation'!$D$17="Type 4 c",N229,IF('Pre-Calculation'!$D$17="Type 4 d",SA+N229,IF('Pre-Calculation'!$D$17="Type 4 e",MAX(SA,N229),IF('Pre-Calculation'!$D$17="Type 4 f",SA,IF('Pre-Calculation'!$D$17="Type 4 g",1000+N229,IF('Pre-Calculation'!$D$17="Type 4 h",SA+X229,IF('Pre-Calculation'!$D$17="Type 4 i",MAX(N229,Q229),IF('Pre-Calculation'!$D$17="Type 4 k",MAX(N229,1.01*Q229),IF('Pre-Calculation'!$D$17="Type 4 m",MAX(105%*Q229,SA+N229),IF('Pre-Calculation'!$D$17="Type 4 o",MAX(SA,105%*Q229)+X229+Z229,IF('Pre-Calculation'!$D$17="Type 5",0))))))))))))</f>
        <v>2143166.028</v>
      </c>
      <c r="Q229" s="175">
        <f t="shared" si="5"/>
        <v>1600000</v>
      </c>
      <c r="R229" s="119">
        <f>L229*(1+GROWTH_RATE)*FMC</f>
        <v>2412.952059</v>
      </c>
      <c r="S229" s="178">
        <f>S228*(1+'Pre-Calculation'!$E$27)</f>
        <v>1231841.573</v>
      </c>
      <c r="T229" s="175">
        <f>-E229+IF(A228=INPUT!$C$11*12,N229,0)</f>
        <v>0</v>
      </c>
      <c r="U229" s="175">
        <f t="shared" si="6"/>
        <v>2249693.753</v>
      </c>
      <c r="V229" s="175">
        <f>U229*(1+GROWTH_RATE_H)*(1-'Pre-Calculation'!$E$31)</f>
        <v>2260397.776</v>
      </c>
      <c r="W229" s="175">
        <f>-E229+IF(A228=INPUT!$C$11*12,V229,0)</f>
        <v>0</v>
      </c>
      <c r="X229" s="179">
        <f t="array" ref="X229">NPV('Pre-Calculation'!$E$20,$E230:E$246)</f>
        <v>0</v>
      </c>
      <c r="Y229" s="171">
        <f>10%*SA</f>
        <v>100000</v>
      </c>
      <c r="Z229" s="179">
        <f t="array" ref="Z229">NPV('Pre-Calculation'!$E$20,Y230:Y239)</f>
        <v>969592.8037</v>
      </c>
    </row>
    <row r="230" ht="15.75" customHeight="1">
      <c r="A230" s="171">
        <f t="shared" si="1"/>
        <v>224</v>
      </c>
      <c r="B230" s="171">
        <f t="shared" si="2"/>
        <v>19</v>
      </c>
      <c r="C230" s="176">
        <f>EDATE(RCD,A229)</f>
        <v>49339</v>
      </c>
      <c r="D230" s="171">
        <f>Age_At_Entry+'Cashflows_8% from Start'!B230-1</f>
        <v>53</v>
      </c>
      <c r="E230" s="175">
        <f>IF(AND(C230&lt;=Last_Prem,MOD(A229,Mode)=0),Mod_Prem,0)</f>
        <v>0</v>
      </c>
      <c r="F230" s="177">
        <f>E230*VLOOKUP(B230,'Pre-Calculation'!$H$1:$I$31,2,FALSE)</f>
        <v>0</v>
      </c>
      <c r="G230" s="177">
        <f>IF(B230&lt;PT+1,VLOOKUP(B230,'Pre-Calculation'!$H$1:$L$32,3,FALSE)+VLOOKUP(B230,'Pre-Calculation'!$H$1:$L$32,4,FALSE)*'Pre-Calculation'!$D$7,0)</f>
        <v>0</v>
      </c>
      <c r="H230" s="175">
        <f>(E230-(F230+G230)*(1+Tax)+N229)</f>
        <v>2143166.028</v>
      </c>
      <c r="I230" s="175">
        <f>IF(B230&lt;PT+1,VLOOKUP(D230,'Pre-Calculation'!$N$3:$P$79,IF(INPUT!$C$4="M",2,3),FALSE)*(J230/1000)*(1/12),0)</f>
        <v>0</v>
      </c>
      <c r="J230" s="175">
        <f t="shared" si="3"/>
        <v>0</v>
      </c>
      <c r="K230" s="175">
        <f>IF('Pre-Calculation'!$D$17="Type 4 a",MAX(SA,H230,1.05*Q230),IF('Pre-Calculation'!$D$17="Type 4 c",H230,IF('Pre-Calculation'!$D$17="Type 4 d",SA+H230,IF('Pre-Calculation'!$D$17="Type 4 e",MAX(SA,H230),IF('Pre-Calculation'!$D$17="Type 4 f",SA,IF('Pre-Calculation'!$D$17="Type 4 g",1000+H230,IF('Pre-Calculation'!$D$17="Type 4 h",SA+X230,IF('Pre-Calculation'!$D$17="Type 4 i",MAX(H230,Q230),IF('Pre-Calculation'!$D$17="Type 4 k",MAX(H230,1.01*Q230),IF('Pre-Calculation'!$D$17="Type 4 m",MAX(105%*Q230,SA+H230),IF('Pre-Calculation'!$D$17="Type 4 o",MAX(SA,105%*Q230)+X230+Z230,IF('Pre-Calculation'!$D$17="Type 5",0))))))))))))</f>
        <v>2143166.028</v>
      </c>
      <c r="L230" s="175">
        <f>H230-I230*(1+Tax)</f>
        <v>2143166.028</v>
      </c>
      <c r="M230" s="175">
        <f>L230*(1+GROWTH_RATE_H)*(1-FMC*(1+Tax))</f>
        <v>2154093.422</v>
      </c>
      <c r="N230" s="175">
        <f>M230+IF(MOD(A230,B230)=0,VLOOKUP(B230,'Pre-Calculation'!$H$1:$L$31,5,FALSE),0)*IF('Pre-Calculation'!$D$16="% OF FV",M230,IF(OR('Pre-Calculation'!$D$16="% OF AFV(24M)",'Pre-Calculation'!$D$16="% OF AFV(8Q)"),AVERAGE( $M207:$M230),IF('Pre-Calculation'!$D$16="% OF AFV(12M)",AVERAGE($M219:M230),IF('Pre-Calculation'!$D$16="% OF AFV(36M)",AVERAGE($M195:M230)))))</f>
        <v>2154093.422</v>
      </c>
      <c r="O230" s="175">
        <f t="shared" si="4"/>
        <v>2154093.422</v>
      </c>
      <c r="P230" s="175">
        <f>IF('Pre-Calculation'!$D$17="Type 4 a",MAX(SA,N230,1.05*Q230),IF('Pre-Calculation'!$D$17="Type 4 c",N230,IF('Pre-Calculation'!$D$17="Type 4 d",SA+N230,IF('Pre-Calculation'!$D$17="Type 4 e",MAX(SA,N230),IF('Pre-Calculation'!$D$17="Type 4 f",SA,IF('Pre-Calculation'!$D$17="Type 4 g",1000+N230,IF('Pre-Calculation'!$D$17="Type 4 h",SA+X230,IF('Pre-Calculation'!$D$17="Type 4 i",MAX(N230,Q230),IF('Pre-Calculation'!$D$17="Type 4 k",MAX(N230,1.01*Q230),IF('Pre-Calculation'!$D$17="Type 4 m",MAX(105%*Q230,SA+N230),IF('Pre-Calculation'!$D$17="Type 4 o",MAX(SA,105%*Q230)+X230+Z230,IF('Pre-Calculation'!$D$17="Type 5",0))))))))))))</f>
        <v>2154093.422</v>
      </c>
      <c r="Q230" s="175">
        <f t="shared" si="5"/>
        <v>1600000</v>
      </c>
      <c r="R230" s="119">
        <f>L230*(1+GROWTH_RATE)*FMC</f>
        <v>2425.255015</v>
      </c>
      <c r="S230" s="178">
        <f>S229*(1+'Pre-Calculation'!$E$27)</f>
        <v>1235378.066</v>
      </c>
      <c r="T230" s="175">
        <f>-E230+IF(A229=INPUT!$C$11*12,N230,0)</f>
        <v>0</v>
      </c>
      <c r="U230" s="175">
        <f t="shared" si="6"/>
        <v>2260397.776</v>
      </c>
      <c r="V230" s="175">
        <f>U230*(1+GROWTH_RATE_H)*(1-'Pre-Calculation'!$E$31)</f>
        <v>2271152.729</v>
      </c>
      <c r="W230" s="175">
        <f>-E230+IF(A229=INPUT!$C$11*12,V230,0)</f>
        <v>0</v>
      </c>
      <c r="X230" s="179">
        <f t="array" ref="X230">NPV('Pre-Calculation'!$E$20,$E231:E$246)</f>
        <v>0</v>
      </c>
      <c r="Y230" s="171">
        <f>10%*SA</f>
        <v>100000</v>
      </c>
      <c r="Z230" s="179">
        <f t="array" ref="Z230">NPV('Pre-Calculation'!$E$20,Y231:Y240)</f>
        <v>969592.8037</v>
      </c>
    </row>
    <row r="231" ht="15.75" customHeight="1">
      <c r="A231" s="171">
        <f t="shared" si="1"/>
        <v>225</v>
      </c>
      <c r="B231" s="171">
        <f t="shared" si="2"/>
        <v>19</v>
      </c>
      <c r="C231" s="176">
        <f>EDATE(RCD,A230)</f>
        <v>49368</v>
      </c>
      <c r="D231" s="171">
        <f>Age_At_Entry+'Cashflows_8% from Start'!B231-1</f>
        <v>53</v>
      </c>
      <c r="E231" s="175">
        <f>IF(AND(C231&lt;=Last_Prem,MOD(A230,Mode)=0),Mod_Prem,0)</f>
        <v>0</v>
      </c>
      <c r="F231" s="177">
        <f>E231*VLOOKUP(B231,'Pre-Calculation'!$H$1:$I$31,2,FALSE)</f>
        <v>0</v>
      </c>
      <c r="G231" s="177">
        <f>IF(B231&lt;PT+1,VLOOKUP(B231,'Pre-Calculation'!$H$1:$L$32,3,FALSE)+VLOOKUP(B231,'Pre-Calculation'!$H$1:$L$32,4,FALSE)*'Pre-Calculation'!$D$7,0)</f>
        <v>0</v>
      </c>
      <c r="H231" s="175">
        <f>(E231-(F231+G231)*(1+Tax)+N230)</f>
        <v>2154093.422</v>
      </c>
      <c r="I231" s="175">
        <f>IF(B231&lt;PT+1,VLOOKUP(D231,'Pre-Calculation'!$N$3:$P$79,IF(INPUT!$C$4="M",2,3),FALSE)*(J231/1000)*(1/12),0)</f>
        <v>0</v>
      </c>
      <c r="J231" s="175">
        <f t="shared" si="3"/>
        <v>0</v>
      </c>
      <c r="K231" s="175">
        <f>IF('Pre-Calculation'!$D$17="Type 4 a",MAX(SA,H231,1.05*Q231),IF('Pre-Calculation'!$D$17="Type 4 c",H231,IF('Pre-Calculation'!$D$17="Type 4 d",SA+H231,IF('Pre-Calculation'!$D$17="Type 4 e",MAX(SA,H231),IF('Pre-Calculation'!$D$17="Type 4 f",SA,IF('Pre-Calculation'!$D$17="Type 4 g",1000+H231,IF('Pre-Calculation'!$D$17="Type 4 h",SA+X231,IF('Pre-Calculation'!$D$17="Type 4 i",MAX(H231,Q231),IF('Pre-Calculation'!$D$17="Type 4 k",MAX(H231,1.01*Q231),IF('Pre-Calculation'!$D$17="Type 4 m",MAX(105%*Q231,SA+H231),IF('Pre-Calculation'!$D$17="Type 4 o",MAX(SA,105%*Q231)+X231+Z231,IF('Pre-Calculation'!$D$17="Type 5",0))))))))))))</f>
        <v>2154093.422</v>
      </c>
      <c r="L231" s="175">
        <f>H231-I231*(1+Tax)</f>
        <v>2154093.422</v>
      </c>
      <c r="M231" s="175">
        <f>L231*(1+GROWTH_RATE_H)*(1-FMC*(1+Tax))</f>
        <v>2165076.532</v>
      </c>
      <c r="N231" s="175">
        <f>M231+IF(MOD(A231,B231)=0,VLOOKUP(B231,'Pre-Calculation'!$H$1:$L$31,5,FALSE),0)*IF('Pre-Calculation'!$D$16="% OF FV",M231,IF(OR('Pre-Calculation'!$D$16="% OF AFV(24M)",'Pre-Calculation'!$D$16="% OF AFV(8Q)"),AVERAGE( $M208:$M231),IF('Pre-Calculation'!$D$16="% OF AFV(12M)",AVERAGE($M220:M231),IF('Pre-Calculation'!$D$16="% OF AFV(36M)",AVERAGE($M196:M231)))))</f>
        <v>2165076.532</v>
      </c>
      <c r="O231" s="175">
        <f t="shared" si="4"/>
        <v>2165076.532</v>
      </c>
      <c r="P231" s="175">
        <f>IF('Pre-Calculation'!$D$17="Type 4 a",MAX(SA,N231,1.05*Q231),IF('Pre-Calculation'!$D$17="Type 4 c",N231,IF('Pre-Calculation'!$D$17="Type 4 d",SA+N231,IF('Pre-Calculation'!$D$17="Type 4 e",MAX(SA,N231),IF('Pre-Calculation'!$D$17="Type 4 f",SA,IF('Pre-Calculation'!$D$17="Type 4 g",1000+N231,IF('Pre-Calculation'!$D$17="Type 4 h",SA+X231,IF('Pre-Calculation'!$D$17="Type 4 i",MAX(N231,Q231),IF('Pre-Calculation'!$D$17="Type 4 k",MAX(N231,1.01*Q231),IF('Pre-Calculation'!$D$17="Type 4 m",MAX(105%*Q231,SA+N231),IF('Pre-Calculation'!$D$17="Type 4 o",MAX(SA,105%*Q231)+X231+Z231,IF('Pre-Calculation'!$D$17="Type 5",0))))))))))))</f>
        <v>2165076.532</v>
      </c>
      <c r="Q231" s="175">
        <f t="shared" si="5"/>
        <v>1600000</v>
      </c>
      <c r="R231" s="119">
        <f>L231*(1+GROWTH_RATE)*FMC</f>
        <v>2437.620701</v>
      </c>
      <c r="S231" s="178">
        <f>S230*(1+'Pre-Calculation'!$E$27)</f>
        <v>1238924.711</v>
      </c>
      <c r="T231" s="175">
        <f>-E231+IF(A230=INPUT!$C$11*12,N231,0)</f>
        <v>0</v>
      </c>
      <c r="U231" s="175">
        <f t="shared" si="6"/>
        <v>2271152.729</v>
      </c>
      <c r="V231" s="175">
        <f>U231*(1+GROWTH_RATE_H)*(1-'Pre-Calculation'!$E$31)</f>
        <v>2281958.854</v>
      </c>
      <c r="W231" s="175">
        <f>-E231+IF(A230=INPUT!$C$11*12,V231,0)</f>
        <v>0</v>
      </c>
      <c r="X231" s="179">
        <f t="array" ref="X231">NPV('Pre-Calculation'!$E$20,$E232:E$246)</f>
        <v>0</v>
      </c>
      <c r="Y231" s="171">
        <f>10%*SA</f>
        <v>100000</v>
      </c>
      <c r="Z231" s="179">
        <f t="array" ref="Z231">NPV('Pre-Calculation'!$E$20,Y232:Y241)</f>
        <v>969592.8037</v>
      </c>
    </row>
    <row r="232" ht="15.75" customHeight="1">
      <c r="A232" s="171">
        <f t="shared" si="1"/>
        <v>226</v>
      </c>
      <c r="B232" s="171">
        <f t="shared" si="2"/>
        <v>19</v>
      </c>
      <c r="C232" s="176">
        <f>EDATE(RCD,A231)</f>
        <v>49398</v>
      </c>
      <c r="D232" s="171">
        <f>Age_At_Entry+'Cashflows_8% from Start'!B232-1</f>
        <v>53</v>
      </c>
      <c r="E232" s="175">
        <f>IF(AND(C232&lt;=Last_Prem,MOD(A231,Mode)=0),Mod_Prem,0)</f>
        <v>0</v>
      </c>
      <c r="F232" s="177">
        <f>E232*VLOOKUP(B232,'Pre-Calculation'!$H$1:$I$31,2,FALSE)</f>
        <v>0</v>
      </c>
      <c r="G232" s="177">
        <f>IF(B232&lt;PT+1,VLOOKUP(B232,'Pre-Calculation'!$H$1:$L$32,3,FALSE)+VLOOKUP(B232,'Pre-Calculation'!$H$1:$L$32,4,FALSE)*'Pre-Calculation'!$D$7,0)</f>
        <v>0</v>
      </c>
      <c r="H232" s="175">
        <f>(E232-(F232+G232)*(1+Tax)+N231)</f>
        <v>2165076.532</v>
      </c>
      <c r="I232" s="175">
        <f>IF(B232&lt;PT+1,VLOOKUP(D232,'Pre-Calculation'!$N$3:$P$79,IF(INPUT!$C$4="M",2,3),FALSE)*(J232/1000)*(1/12),0)</f>
        <v>0</v>
      </c>
      <c r="J232" s="175">
        <f t="shared" si="3"/>
        <v>0</v>
      </c>
      <c r="K232" s="175">
        <f>IF('Pre-Calculation'!$D$17="Type 4 a",MAX(SA,H232,1.05*Q232),IF('Pre-Calculation'!$D$17="Type 4 c",H232,IF('Pre-Calculation'!$D$17="Type 4 d",SA+H232,IF('Pre-Calculation'!$D$17="Type 4 e",MAX(SA,H232),IF('Pre-Calculation'!$D$17="Type 4 f",SA,IF('Pre-Calculation'!$D$17="Type 4 g",1000+H232,IF('Pre-Calculation'!$D$17="Type 4 h",SA+X232,IF('Pre-Calculation'!$D$17="Type 4 i",MAX(H232,Q232),IF('Pre-Calculation'!$D$17="Type 4 k",MAX(H232,1.01*Q232),IF('Pre-Calculation'!$D$17="Type 4 m",MAX(105%*Q232,SA+H232),IF('Pre-Calculation'!$D$17="Type 4 o",MAX(SA,105%*Q232)+X232+Z232,IF('Pre-Calculation'!$D$17="Type 5",0))))))))))))</f>
        <v>2165076.532</v>
      </c>
      <c r="L232" s="175">
        <f>H232-I232*(1+Tax)</f>
        <v>2165076.532</v>
      </c>
      <c r="M232" s="175">
        <f>L232*(1+GROWTH_RATE_H)*(1-FMC*(1+Tax))</f>
        <v>2176115.641</v>
      </c>
      <c r="N232" s="175">
        <f>M232+IF(MOD(A232,B232)=0,VLOOKUP(B232,'Pre-Calculation'!$H$1:$L$31,5,FALSE),0)*IF('Pre-Calculation'!$D$16="% OF FV",M232,IF(OR('Pre-Calculation'!$D$16="% OF AFV(24M)",'Pre-Calculation'!$D$16="% OF AFV(8Q)"),AVERAGE( $M209:$M232),IF('Pre-Calculation'!$D$16="% OF AFV(12M)",AVERAGE($M221:M232),IF('Pre-Calculation'!$D$16="% OF AFV(36M)",AVERAGE($M197:M232)))))</f>
        <v>2176115.641</v>
      </c>
      <c r="O232" s="175">
        <f t="shared" si="4"/>
        <v>2176115.641</v>
      </c>
      <c r="P232" s="175">
        <f>IF('Pre-Calculation'!$D$17="Type 4 a",MAX(SA,N232,1.05*Q232),IF('Pre-Calculation'!$D$17="Type 4 c",N232,IF('Pre-Calculation'!$D$17="Type 4 d",SA+N232,IF('Pre-Calculation'!$D$17="Type 4 e",MAX(SA,N232),IF('Pre-Calculation'!$D$17="Type 4 f",SA,IF('Pre-Calculation'!$D$17="Type 4 g",1000+N232,IF('Pre-Calculation'!$D$17="Type 4 h",SA+X232,IF('Pre-Calculation'!$D$17="Type 4 i",MAX(N232,Q232),IF('Pre-Calculation'!$D$17="Type 4 k",MAX(N232,1.01*Q232),IF('Pre-Calculation'!$D$17="Type 4 m",MAX(105%*Q232,SA+N232),IF('Pre-Calculation'!$D$17="Type 4 o",MAX(SA,105%*Q232)+X232+Z232,IF('Pre-Calculation'!$D$17="Type 5",0))))))))))))</f>
        <v>2176115.641</v>
      </c>
      <c r="Q232" s="175">
        <f t="shared" si="5"/>
        <v>1600000</v>
      </c>
      <c r="R232" s="119">
        <f>L232*(1+GROWTH_RATE)*FMC</f>
        <v>2450.049435</v>
      </c>
      <c r="S232" s="178">
        <f>S231*(1+'Pre-Calculation'!$E$27)</f>
        <v>1242481.538</v>
      </c>
      <c r="T232" s="175">
        <f>-E232+IF(A231=INPUT!$C$11*12,N232,0)</f>
        <v>0</v>
      </c>
      <c r="U232" s="175">
        <f t="shared" si="6"/>
        <v>2281958.854</v>
      </c>
      <c r="V232" s="175">
        <f>U232*(1+GROWTH_RATE_H)*(1-'Pre-Calculation'!$E$31)</f>
        <v>2292816.394</v>
      </c>
      <c r="W232" s="175">
        <f>-E232+IF(A231=INPUT!$C$11*12,V232,0)</f>
        <v>0</v>
      </c>
      <c r="X232" s="179">
        <f t="array" ref="X232">NPV('Pre-Calculation'!$E$20,$E233:E$246)</f>
        <v>0</v>
      </c>
      <c r="Y232" s="171">
        <f>10%*SA</f>
        <v>100000</v>
      </c>
      <c r="Z232" s="179">
        <f t="array" ref="Z232">NPV('Pre-Calculation'!$E$20,Y233:Y242)</f>
        <v>969592.8037</v>
      </c>
    </row>
    <row r="233" ht="15.75" customHeight="1">
      <c r="A233" s="171">
        <f t="shared" si="1"/>
        <v>227</v>
      </c>
      <c r="B233" s="171">
        <f t="shared" si="2"/>
        <v>19</v>
      </c>
      <c r="C233" s="176">
        <f>EDATE(RCD,A232)</f>
        <v>49429</v>
      </c>
      <c r="D233" s="171">
        <f>Age_At_Entry+'Cashflows_8% from Start'!B233-1</f>
        <v>53</v>
      </c>
      <c r="E233" s="175">
        <f>IF(AND(C233&lt;=Last_Prem,MOD(A232,Mode)=0),Mod_Prem,0)</f>
        <v>0</v>
      </c>
      <c r="F233" s="177">
        <f>E233*VLOOKUP(B233,'Pre-Calculation'!$H$1:$I$31,2,FALSE)</f>
        <v>0</v>
      </c>
      <c r="G233" s="177">
        <f>IF(B233&lt;PT+1,VLOOKUP(B233,'Pre-Calculation'!$H$1:$L$32,3,FALSE)+VLOOKUP(B233,'Pre-Calculation'!$H$1:$L$32,4,FALSE)*'Pre-Calculation'!$D$7,0)</f>
        <v>0</v>
      </c>
      <c r="H233" s="175">
        <f>(E233-(F233+G233)*(1+Tax)+N232)</f>
        <v>2176115.641</v>
      </c>
      <c r="I233" s="175">
        <f>IF(B233&lt;PT+1,VLOOKUP(D233,'Pre-Calculation'!$N$3:$P$79,IF(INPUT!$C$4="M",2,3),FALSE)*(J233/1000)*(1/12),0)</f>
        <v>0</v>
      </c>
      <c r="J233" s="175">
        <f t="shared" si="3"/>
        <v>0</v>
      </c>
      <c r="K233" s="175">
        <f>IF('Pre-Calculation'!$D$17="Type 4 a",MAX(SA,H233,1.05*Q233),IF('Pre-Calculation'!$D$17="Type 4 c",H233,IF('Pre-Calculation'!$D$17="Type 4 d",SA+H233,IF('Pre-Calculation'!$D$17="Type 4 e",MAX(SA,H233),IF('Pre-Calculation'!$D$17="Type 4 f",SA,IF('Pre-Calculation'!$D$17="Type 4 g",1000+H233,IF('Pre-Calculation'!$D$17="Type 4 h",SA+X233,IF('Pre-Calculation'!$D$17="Type 4 i",MAX(H233,Q233),IF('Pre-Calculation'!$D$17="Type 4 k",MAX(H233,1.01*Q233),IF('Pre-Calculation'!$D$17="Type 4 m",MAX(105%*Q233,SA+H233),IF('Pre-Calculation'!$D$17="Type 4 o",MAX(SA,105%*Q233)+X233+Z233,IF('Pre-Calculation'!$D$17="Type 5",0))))))))))))</f>
        <v>2176115.641</v>
      </c>
      <c r="L233" s="175">
        <f>H233-I233*(1+Tax)</f>
        <v>2176115.641</v>
      </c>
      <c r="M233" s="175">
        <f>L233*(1+GROWTH_RATE_H)*(1-FMC*(1+Tax))</f>
        <v>2187211.036</v>
      </c>
      <c r="N233" s="175">
        <f>M233+IF(MOD(A233,B233)=0,VLOOKUP(B233,'Pre-Calculation'!$H$1:$L$31,5,FALSE),0)*IF('Pre-Calculation'!$D$16="% OF FV",M233,IF(OR('Pre-Calculation'!$D$16="% OF AFV(24M)",'Pre-Calculation'!$D$16="% OF AFV(8Q)"),AVERAGE( $M210:$M233),IF('Pre-Calculation'!$D$16="% OF AFV(12M)",AVERAGE($M222:M233),IF('Pre-Calculation'!$D$16="% OF AFV(36M)",AVERAGE($M198:M233)))))</f>
        <v>2187211.036</v>
      </c>
      <c r="O233" s="175">
        <f t="shared" si="4"/>
        <v>2187211.036</v>
      </c>
      <c r="P233" s="175">
        <f>IF('Pre-Calculation'!$D$17="Type 4 a",MAX(SA,N233,1.05*Q233),IF('Pre-Calculation'!$D$17="Type 4 c",N233,IF('Pre-Calculation'!$D$17="Type 4 d",SA+N233,IF('Pre-Calculation'!$D$17="Type 4 e",MAX(SA,N233),IF('Pre-Calculation'!$D$17="Type 4 f",SA,IF('Pre-Calculation'!$D$17="Type 4 g",1000+N233,IF('Pre-Calculation'!$D$17="Type 4 h",SA+X233,IF('Pre-Calculation'!$D$17="Type 4 i",MAX(N233,Q233),IF('Pre-Calculation'!$D$17="Type 4 k",MAX(N233,1.01*Q233),IF('Pre-Calculation'!$D$17="Type 4 m",MAX(105%*Q233,SA+N233),IF('Pre-Calculation'!$D$17="Type 4 o",MAX(SA,105%*Q233)+X233+Z233,IF('Pre-Calculation'!$D$17="Type 5",0))))))))))))</f>
        <v>2187211.036</v>
      </c>
      <c r="Q233" s="175">
        <f t="shared" si="5"/>
        <v>1600000</v>
      </c>
      <c r="R233" s="119">
        <f>L233*(1+GROWTH_RATE)*FMC</f>
        <v>2462.54154</v>
      </c>
      <c r="S233" s="178">
        <f>S232*(1+'Pre-Calculation'!$E$27)</f>
        <v>1246048.577</v>
      </c>
      <c r="T233" s="175">
        <f>-E233+IF(A232=INPUT!$C$11*12,N233,0)</f>
        <v>0</v>
      </c>
      <c r="U233" s="175">
        <f t="shared" si="6"/>
        <v>2292816.394</v>
      </c>
      <c r="V233" s="175">
        <f>U233*(1+GROWTH_RATE_H)*(1-'Pre-Calculation'!$E$31)</f>
        <v>2303725.594</v>
      </c>
      <c r="W233" s="175">
        <f>-E233+IF(A232=INPUT!$C$11*12,V233,0)</f>
        <v>0</v>
      </c>
      <c r="X233" s="179">
        <f t="array" ref="X233">NPV('Pre-Calculation'!$E$20,$E234:E$246)</f>
        <v>0</v>
      </c>
      <c r="Y233" s="171">
        <f>10%*SA</f>
        <v>100000</v>
      </c>
      <c r="Z233" s="179">
        <f t="array" ref="Z233">NPV('Pre-Calculation'!$E$20,Y234:Y243)</f>
        <v>969592.8037</v>
      </c>
    </row>
    <row r="234" ht="15.75" customHeight="1">
      <c r="A234" s="171">
        <f t="shared" si="1"/>
        <v>228</v>
      </c>
      <c r="B234" s="171">
        <f t="shared" si="2"/>
        <v>19</v>
      </c>
      <c r="C234" s="176">
        <f>EDATE(RCD,A233)</f>
        <v>49459</v>
      </c>
      <c r="D234" s="171">
        <f>Age_At_Entry+'Cashflows_8% from Start'!B234-1</f>
        <v>53</v>
      </c>
      <c r="E234" s="175">
        <f>IF(AND(C234&lt;=Last_Prem,MOD(A233,Mode)=0),Mod_Prem,0)</f>
        <v>0</v>
      </c>
      <c r="F234" s="177">
        <f>E234*VLOOKUP(B234,'Pre-Calculation'!$H$1:$I$31,2,FALSE)</f>
        <v>0</v>
      </c>
      <c r="G234" s="177">
        <f>IF(B234&lt;PT+1,VLOOKUP(B234,'Pre-Calculation'!$H$1:$L$32,3,FALSE)+VLOOKUP(B234,'Pre-Calculation'!$H$1:$L$32,4,FALSE)*'Pre-Calculation'!$D$7,0)</f>
        <v>0</v>
      </c>
      <c r="H234" s="175">
        <f>(E234-(F234+G234)*(1+Tax)+N233)</f>
        <v>2187211.036</v>
      </c>
      <c r="I234" s="175">
        <f>IF(B234&lt;PT+1,VLOOKUP(D234,'Pre-Calculation'!$N$3:$P$79,IF(INPUT!$C$4="M",2,3),FALSE)*(J234/1000)*(1/12),0)</f>
        <v>0</v>
      </c>
      <c r="J234" s="175">
        <f t="shared" si="3"/>
        <v>0</v>
      </c>
      <c r="K234" s="175">
        <f>IF('Pre-Calculation'!$D$17="Type 4 a",MAX(SA,H234,1.05*Q234),IF('Pre-Calculation'!$D$17="Type 4 c",H234,IF('Pre-Calculation'!$D$17="Type 4 d",SA+H234,IF('Pre-Calculation'!$D$17="Type 4 e",MAX(SA,H234),IF('Pre-Calculation'!$D$17="Type 4 f",SA,IF('Pre-Calculation'!$D$17="Type 4 g",1000+H234,IF('Pre-Calculation'!$D$17="Type 4 h",SA+X234,IF('Pre-Calculation'!$D$17="Type 4 i",MAX(H234,Q234),IF('Pre-Calculation'!$D$17="Type 4 k",MAX(H234,1.01*Q234),IF('Pre-Calculation'!$D$17="Type 4 m",MAX(105%*Q234,SA+H234),IF('Pre-Calculation'!$D$17="Type 4 o",MAX(SA,105%*Q234)+X234+Z234,IF('Pre-Calculation'!$D$17="Type 5",0))))))))))))</f>
        <v>2187211.036</v>
      </c>
      <c r="L234" s="175">
        <f>H234-I234*(1+Tax)</f>
        <v>2187211.036</v>
      </c>
      <c r="M234" s="175">
        <f>L234*(1+GROWTH_RATE_H)*(1-FMC*(1+Tax))</f>
        <v>2198363.002</v>
      </c>
      <c r="N234" s="175">
        <f>M234+IF(MOD(A234,B234)=0,VLOOKUP(B234,'Pre-Calculation'!$H$1:$L$31,5,FALSE),0)*IF('Pre-Calculation'!$D$16="% OF FV",M234,IF(OR('Pre-Calculation'!$D$16="% OF AFV(24M)",'Pre-Calculation'!$D$16="% OF AFV(8Q)"),AVERAGE( $M211:$M234),IF('Pre-Calculation'!$D$16="% OF AFV(12M)",AVERAGE($M223:M234),IF('Pre-Calculation'!$D$16="% OF AFV(36M)",AVERAGE($M199:M234)))))</f>
        <v>2198363.002</v>
      </c>
      <c r="O234" s="175">
        <f t="shared" si="4"/>
        <v>2198363.002</v>
      </c>
      <c r="P234" s="175">
        <f>IF('Pre-Calculation'!$D$17="Type 4 a",MAX(SA,N234,1.05*Q234),IF('Pre-Calculation'!$D$17="Type 4 c",N234,IF('Pre-Calculation'!$D$17="Type 4 d",SA+N234,IF('Pre-Calculation'!$D$17="Type 4 e",MAX(SA,N234),IF('Pre-Calculation'!$D$17="Type 4 f",SA,IF('Pre-Calculation'!$D$17="Type 4 g",1000+N234,IF('Pre-Calculation'!$D$17="Type 4 h",SA+X234,IF('Pre-Calculation'!$D$17="Type 4 i",MAX(N234,Q234),IF('Pre-Calculation'!$D$17="Type 4 k",MAX(N234,1.01*Q234),IF('Pre-Calculation'!$D$17="Type 4 m",MAX(105%*Q234,SA+N234),IF('Pre-Calculation'!$D$17="Type 4 o",MAX(SA,105%*Q234)+X234+Z234,IF('Pre-Calculation'!$D$17="Type 5",0))))))))))))</f>
        <v>2198363.002</v>
      </c>
      <c r="Q234" s="175">
        <f t="shared" si="5"/>
        <v>1600000</v>
      </c>
      <c r="R234" s="119">
        <f>L234*(1+GROWTH_RATE)*FMC</f>
        <v>2475.097339</v>
      </c>
      <c r="S234" s="178">
        <f>S233*(1+'Pre-Calculation'!$E$27)</f>
        <v>1249625.856</v>
      </c>
      <c r="T234" s="175">
        <f>-E234+IF(A233=INPUT!$C$11*12,N234,0)</f>
        <v>0</v>
      </c>
      <c r="U234" s="175">
        <f t="shared" si="6"/>
        <v>2303725.594</v>
      </c>
      <c r="V234" s="175">
        <f>U234*(1+GROWTH_RATE_H)*(1-'Pre-Calculation'!$E$31)</f>
        <v>2314686.7</v>
      </c>
      <c r="W234" s="175">
        <f>-E234+IF(A233=INPUT!$C$11*12,V234,0)</f>
        <v>0</v>
      </c>
      <c r="X234" s="179">
        <f t="array" ref="X234">NPV('Pre-Calculation'!$E$20,$E235:E$246)</f>
        <v>0</v>
      </c>
      <c r="Y234" s="171">
        <f>10%*SA</f>
        <v>100000</v>
      </c>
      <c r="Z234" s="179">
        <f t="array" ref="Z234">NPV('Pre-Calculation'!$E$20,Y235:Y244)</f>
        <v>969592.8037</v>
      </c>
    </row>
    <row r="235" ht="15.75" customHeight="1">
      <c r="A235" s="171">
        <f t="shared" si="1"/>
        <v>229</v>
      </c>
      <c r="B235" s="171">
        <f t="shared" si="2"/>
        <v>20</v>
      </c>
      <c r="C235" s="176">
        <f>EDATE(RCD,A234)</f>
        <v>49490</v>
      </c>
      <c r="D235" s="171">
        <f>Age_At_Entry+'Cashflows_8% from Start'!B235-1</f>
        <v>54</v>
      </c>
      <c r="E235" s="175">
        <f>IF(AND(C235&lt;=Last_Prem,MOD(A234,Mode)=0),Mod_Prem,0)</f>
        <v>0</v>
      </c>
      <c r="F235" s="177">
        <f>E235*VLOOKUP(B235,'Pre-Calculation'!$H$1:$I$31,2,FALSE)</f>
        <v>0</v>
      </c>
      <c r="G235" s="177">
        <f>IF(B235&lt;PT+1,VLOOKUP(B235,'Pre-Calculation'!$H$1:$L$32,3,FALSE)+VLOOKUP(B235,'Pre-Calculation'!$H$1:$L$32,4,FALSE)*'Pre-Calculation'!$D$7,0)</f>
        <v>0</v>
      </c>
      <c r="H235" s="175">
        <f>(E235-(F235+G235)*(1+Tax)+N234)</f>
        <v>2198363.002</v>
      </c>
      <c r="I235" s="175">
        <f>IF(B235&lt;PT+1,VLOOKUP(D235,'Pre-Calculation'!$N$3:$P$79,IF(INPUT!$C$4="M",2,3),FALSE)*(J235/1000)*(1/12),0)</f>
        <v>0</v>
      </c>
      <c r="J235" s="175">
        <f t="shared" si="3"/>
        <v>0</v>
      </c>
      <c r="K235" s="175">
        <f>IF('Pre-Calculation'!$D$17="Type 4 a",MAX(SA,H235,1.05*Q235),IF('Pre-Calculation'!$D$17="Type 4 c",H235,IF('Pre-Calculation'!$D$17="Type 4 d",SA+H235,IF('Pre-Calculation'!$D$17="Type 4 e",MAX(SA,H235),IF('Pre-Calculation'!$D$17="Type 4 f",SA,IF('Pre-Calculation'!$D$17="Type 4 g",1000+H235,IF('Pre-Calculation'!$D$17="Type 4 h",SA+X235,IF('Pre-Calculation'!$D$17="Type 4 i",MAX(H235,Q235),IF('Pre-Calculation'!$D$17="Type 4 k",MAX(H235,1.01*Q235),IF('Pre-Calculation'!$D$17="Type 4 m",MAX(105%*Q235,SA+H235),IF('Pre-Calculation'!$D$17="Type 4 o",MAX(SA,105%*Q235)+X235+Z235,IF('Pre-Calculation'!$D$17="Type 5",0))))))))))))</f>
        <v>2198363.002</v>
      </c>
      <c r="L235" s="175">
        <f>H235-I235*(1+Tax)</f>
        <v>2198363.002</v>
      </c>
      <c r="M235" s="175">
        <f>L235*(1+GROWTH_RATE_H)*(1-FMC*(1+Tax))</f>
        <v>2209571.83</v>
      </c>
      <c r="N235" s="175">
        <f>M235+IF(MOD(A235,B235)=0,VLOOKUP(B235,'Pre-Calculation'!$H$1:$L$31,5,FALSE),0)*IF('Pre-Calculation'!$D$16="% OF FV",M235,IF(OR('Pre-Calculation'!$D$16="% OF AFV(24M)",'Pre-Calculation'!$D$16="% OF AFV(8Q)"),AVERAGE( $M212:$M235),IF('Pre-Calculation'!$D$16="% OF AFV(12M)",AVERAGE($M224:M235),IF('Pre-Calculation'!$D$16="% OF AFV(36M)",AVERAGE($M200:M235)))))</f>
        <v>2209571.83</v>
      </c>
      <c r="O235" s="175">
        <f t="shared" si="4"/>
        <v>2209571.83</v>
      </c>
      <c r="P235" s="175">
        <f>IF('Pre-Calculation'!$D$17="Type 4 a",MAX(SA,N235,1.05*Q235),IF('Pre-Calculation'!$D$17="Type 4 c",N235,IF('Pre-Calculation'!$D$17="Type 4 d",SA+N235,IF('Pre-Calculation'!$D$17="Type 4 e",MAX(SA,N235),IF('Pre-Calculation'!$D$17="Type 4 f",SA,IF('Pre-Calculation'!$D$17="Type 4 g",1000+N235,IF('Pre-Calculation'!$D$17="Type 4 h",SA+X235,IF('Pre-Calculation'!$D$17="Type 4 i",MAX(N235,Q235),IF('Pre-Calculation'!$D$17="Type 4 k",MAX(N235,1.01*Q235),IF('Pre-Calculation'!$D$17="Type 4 m",MAX(105%*Q235,SA+N235),IF('Pre-Calculation'!$D$17="Type 4 o",MAX(SA,105%*Q235)+X235+Z235,IF('Pre-Calculation'!$D$17="Type 5",0))))))))))))</f>
        <v>2209571.83</v>
      </c>
      <c r="Q235" s="175">
        <f t="shared" si="5"/>
        <v>1600000</v>
      </c>
      <c r="R235" s="119">
        <f>L235*(1+GROWTH_RATE)*FMC</f>
        <v>2487.717156</v>
      </c>
      <c r="S235" s="178">
        <f>S234*(1+'Pre-Calculation'!$E$27)</f>
        <v>1253213.406</v>
      </c>
      <c r="T235" s="175">
        <f>-E235+IF(A234=INPUT!$C$11*12,N235,0)</f>
        <v>0</v>
      </c>
      <c r="U235" s="175">
        <f t="shared" si="6"/>
        <v>2314686.7</v>
      </c>
      <c r="V235" s="175">
        <f>U235*(1+GROWTH_RATE_H)*(1-'Pre-Calculation'!$E$31)</f>
        <v>2325699.96</v>
      </c>
      <c r="W235" s="175">
        <f>-E235+IF(A234=INPUT!$C$11*12,V235,0)</f>
        <v>0</v>
      </c>
      <c r="X235" s="179">
        <f t="array" ref="X235">NPV('Pre-Calculation'!$E$20,$E236:E$246)</f>
        <v>0</v>
      </c>
      <c r="Y235" s="171">
        <f>10%*SA</f>
        <v>100000</v>
      </c>
      <c r="Z235" s="179">
        <f t="array" ref="Z235">NPV('Pre-Calculation'!$E$20,Y236:Y245)</f>
        <v>969592.8037</v>
      </c>
    </row>
    <row r="236" ht="15.75" customHeight="1">
      <c r="A236" s="171">
        <f t="shared" si="1"/>
        <v>230</v>
      </c>
      <c r="B236" s="171">
        <f t="shared" si="2"/>
        <v>20</v>
      </c>
      <c r="C236" s="176">
        <f>EDATE(RCD,A235)</f>
        <v>49520</v>
      </c>
      <c r="D236" s="171">
        <f>Age_At_Entry+'Cashflows_8% from Start'!B236-1</f>
        <v>54</v>
      </c>
      <c r="E236" s="175">
        <f>IF(AND(C236&lt;=Last_Prem,MOD(A235,Mode)=0),Mod_Prem,0)</f>
        <v>0</v>
      </c>
      <c r="F236" s="177">
        <f>E236*VLOOKUP(B236,'Pre-Calculation'!$H$1:$I$31,2,FALSE)</f>
        <v>0</v>
      </c>
      <c r="G236" s="177">
        <f>IF(B236&lt;PT+1,VLOOKUP(B236,'Pre-Calculation'!$H$1:$L$32,3,FALSE)+VLOOKUP(B236,'Pre-Calculation'!$H$1:$L$32,4,FALSE)*'Pre-Calculation'!$D$7,0)</f>
        <v>0</v>
      </c>
      <c r="H236" s="175">
        <f>(E236-(F236+G236)*(1+Tax)+N235)</f>
        <v>2209571.83</v>
      </c>
      <c r="I236" s="175">
        <f>IF(B236&lt;PT+1,VLOOKUP(D236,'Pre-Calculation'!$N$3:$P$79,IF(INPUT!$C$4="M",2,3),FALSE)*(J236/1000)*(1/12),0)</f>
        <v>0</v>
      </c>
      <c r="J236" s="175">
        <f t="shared" si="3"/>
        <v>0</v>
      </c>
      <c r="K236" s="175">
        <f>IF('Pre-Calculation'!$D$17="Type 4 a",MAX(SA,H236,1.05*Q236),IF('Pre-Calculation'!$D$17="Type 4 c",H236,IF('Pre-Calculation'!$D$17="Type 4 d",SA+H236,IF('Pre-Calculation'!$D$17="Type 4 e",MAX(SA,H236),IF('Pre-Calculation'!$D$17="Type 4 f",SA,IF('Pre-Calculation'!$D$17="Type 4 g",1000+H236,IF('Pre-Calculation'!$D$17="Type 4 h",SA+X236,IF('Pre-Calculation'!$D$17="Type 4 i",MAX(H236,Q236),IF('Pre-Calculation'!$D$17="Type 4 k",MAX(H236,1.01*Q236),IF('Pre-Calculation'!$D$17="Type 4 m",MAX(105%*Q236,SA+H236),IF('Pre-Calculation'!$D$17="Type 4 o",MAX(SA,105%*Q236)+X236+Z236,IF('Pre-Calculation'!$D$17="Type 5",0))))))))))))</f>
        <v>2209571.83</v>
      </c>
      <c r="L236" s="175">
        <f>H236-I236*(1+Tax)</f>
        <v>2209571.83</v>
      </c>
      <c r="M236" s="175">
        <f>L236*(1+GROWTH_RATE_H)*(1-FMC*(1+Tax))</f>
        <v>2220837.808</v>
      </c>
      <c r="N236" s="175">
        <f>M236+IF(MOD(A236,B236)=0,VLOOKUP(B236,'Pre-Calculation'!$H$1:$L$31,5,FALSE),0)*IF('Pre-Calculation'!$D$16="% OF FV",M236,IF(OR('Pre-Calculation'!$D$16="% OF AFV(24M)",'Pre-Calculation'!$D$16="% OF AFV(8Q)"),AVERAGE( $M213:$M236),IF('Pre-Calculation'!$D$16="% OF AFV(12M)",AVERAGE($M225:M236),IF('Pre-Calculation'!$D$16="% OF AFV(36M)",AVERAGE($M201:M236)))))</f>
        <v>2220837.808</v>
      </c>
      <c r="O236" s="175">
        <f t="shared" si="4"/>
        <v>2220837.808</v>
      </c>
      <c r="P236" s="175">
        <f>IF('Pre-Calculation'!$D$17="Type 4 a",MAX(SA,N236,1.05*Q236),IF('Pre-Calculation'!$D$17="Type 4 c",N236,IF('Pre-Calculation'!$D$17="Type 4 d",SA+N236,IF('Pre-Calculation'!$D$17="Type 4 e",MAX(SA,N236),IF('Pre-Calculation'!$D$17="Type 4 f",SA,IF('Pre-Calculation'!$D$17="Type 4 g",1000+N236,IF('Pre-Calculation'!$D$17="Type 4 h",SA+X236,IF('Pre-Calculation'!$D$17="Type 4 i",MAX(N236,Q236),IF('Pre-Calculation'!$D$17="Type 4 k",MAX(N236,1.01*Q236),IF('Pre-Calculation'!$D$17="Type 4 m",MAX(105%*Q236,SA+N236),IF('Pre-Calculation'!$D$17="Type 4 o",MAX(SA,105%*Q236)+X236+Z236,IF('Pre-Calculation'!$D$17="Type 5",0))))))))))))</f>
        <v>2220837.808</v>
      </c>
      <c r="Q236" s="175">
        <f t="shared" si="5"/>
        <v>1600000</v>
      </c>
      <c r="R236" s="119">
        <f>L236*(1+GROWTH_RATE)*FMC</f>
        <v>2500.401318</v>
      </c>
      <c r="S236" s="178">
        <f>S235*(1+'Pre-Calculation'!$E$27)</f>
        <v>1256811.254</v>
      </c>
      <c r="T236" s="175">
        <f>-E236+IF(A235=INPUT!$C$11*12,N236,0)</f>
        <v>0</v>
      </c>
      <c r="U236" s="175">
        <f t="shared" si="6"/>
        <v>2325699.96</v>
      </c>
      <c r="V236" s="175">
        <f>U236*(1+GROWTH_RATE_H)*(1-'Pre-Calculation'!$E$31)</f>
        <v>2336765.62</v>
      </c>
      <c r="W236" s="175">
        <f>-E236+IF(A235=INPUT!$C$11*12,V236,0)</f>
        <v>0</v>
      </c>
      <c r="X236" s="179">
        <f t="array" ref="X236">NPV('Pre-Calculation'!$E$20,$E237:E$246)</f>
        <v>0</v>
      </c>
      <c r="Y236" s="171">
        <f>10%*SA</f>
        <v>100000</v>
      </c>
      <c r="Z236" s="179">
        <f t="array" ref="Z236">NPV('Pre-Calculation'!$E$20,Y237:Y246)</f>
        <v>969592.8037</v>
      </c>
    </row>
    <row r="237" ht="15.75" customHeight="1">
      <c r="A237" s="171">
        <f t="shared" si="1"/>
        <v>231</v>
      </c>
      <c r="B237" s="171">
        <f t="shared" si="2"/>
        <v>20</v>
      </c>
      <c r="C237" s="176">
        <f>EDATE(RCD,A236)</f>
        <v>49551</v>
      </c>
      <c r="D237" s="171">
        <f>Age_At_Entry+'Cashflows_8% from Start'!B237-1</f>
        <v>54</v>
      </c>
      <c r="E237" s="175">
        <f>IF(AND(C237&lt;=Last_Prem,MOD(A236,Mode)=0),Mod_Prem,0)</f>
        <v>0</v>
      </c>
      <c r="F237" s="177">
        <f>E237*VLOOKUP(B237,'Pre-Calculation'!$H$1:$I$31,2,FALSE)</f>
        <v>0</v>
      </c>
      <c r="G237" s="177">
        <f>IF(B237&lt;PT+1,VLOOKUP(B237,'Pre-Calculation'!$H$1:$L$32,3,FALSE)+VLOOKUP(B237,'Pre-Calculation'!$H$1:$L$32,4,FALSE)*'Pre-Calculation'!$D$7,0)</f>
        <v>0</v>
      </c>
      <c r="H237" s="175">
        <f>(E237-(F237+G237)*(1+Tax)+N236)</f>
        <v>2220837.808</v>
      </c>
      <c r="I237" s="175">
        <f>IF(B237&lt;PT+1,VLOOKUP(D237,'Pre-Calculation'!$N$3:$P$79,IF(INPUT!$C$4="M",2,3),FALSE)*(J237/1000)*(1/12),0)</f>
        <v>0</v>
      </c>
      <c r="J237" s="175">
        <f t="shared" si="3"/>
        <v>0</v>
      </c>
      <c r="K237" s="175">
        <f>IF('Pre-Calculation'!$D$17="Type 4 a",MAX(SA,H237,1.05*Q237),IF('Pre-Calculation'!$D$17="Type 4 c",H237,IF('Pre-Calculation'!$D$17="Type 4 d",SA+H237,IF('Pre-Calculation'!$D$17="Type 4 e",MAX(SA,H237),IF('Pre-Calculation'!$D$17="Type 4 f",SA,IF('Pre-Calculation'!$D$17="Type 4 g",1000+H237,IF('Pre-Calculation'!$D$17="Type 4 h",SA+X237,IF('Pre-Calculation'!$D$17="Type 4 i",MAX(H237,Q237),IF('Pre-Calculation'!$D$17="Type 4 k",MAX(H237,1.01*Q237),IF('Pre-Calculation'!$D$17="Type 4 m",MAX(105%*Q237,SA+H237),IF('Pre-Calculation'!$D$17="Type 4 o",MAX(SA,105%*Q237)+X237+Z237,IF('Pre-Calculation'!$D$17="Type 5",0))))))))))))</f>
        <v>2220837.808</v>
      </c>
      <c r="L237" s="175">
        <f>H237-I237*(1+Tax)</f>
        <v>2220837.808</v>
      </c>
      <c r="M237" s="175">
        <f>L237*(1+GROWTH_RATE_H)*(1-FMC*(1+Tax))</f>
        <v>2232161.228</v>
      </c>
      <c r="N237" s="175">
        <f>M237+IF(MOD(A237,B237)=0,VLOOKUP(B237,'Pre-Calculation'!$H$1:$L$31,5,FALSE),0)*IF('Pre-Calculation'!$D$16="% OF FV",M237,IF(OR('Pre-Calculation'!$D$16="% OF AFV(24M)",'Pre-Calculation'!$D$16="% OF AFV(8Q)"),AVERAGE( $M214:$M237),IF('Pre-Calculation'!$D$16="% OF AFV(12M)",AVERAGE($M226:M237),IF('Pre-Calculation'!$D$16="% OF AFV(36M)",AVERAGE($M202:M237)))))</f>
        <v>2232161.228</v>
      </c>
      <c r="O237" s="175">
        <f t="shared" si="4"/>
        <v>2232161.228</v>
      </c>
      <c r="P237" s="175">
        <f>IF('Pre-Calculation'!$D$17="Type 4 a",MAX(SA,N237,1.05*Q237),IF('Pre-Calculation'!$D$17="Type 4 c",N237,IF('Pre-Calculation'!$D$17="Type 4 d",SA+N237,IF('Pre-Calculation'!$D$17="Type 4 e",MAX(SA,N237),IF('Pre-Calculation'!$D$17="Type 4 f",SA,IF('Pre-Calculation'!$D$17="Type 4 g",1000+N237,IF('Pre-Calculation'!$D$17="Type 4 h",SA+X237,IF('Pre-Calculation'!$D$17="Type 4 i",MAX(N237,Q237),IF('Pre-Calculation'!$D$17="Type 4 k",MAX(N237,1.01*Q237),IF('Pre-Calculation'!$D$17="Type 4 m",MAX(105%*Q237,SA+N237),IF('Pre-Calculation'!$D$17="Type 4 o",MAX(SA,105%*Q237)+X237+Z237,IF('Pre-Calculation'!$D$17="Type 5",0))))))))))))</f>
        <v>2232161.228</v>
      </c>
      <c r="Q237" s="175">
        <f t="shared" si="5"/>
        <v>1600000</v>
      </c>
      <c r="R237" s="119">
        <f>L237*(1+GROWTH_RATE)*FMC</f>
        <v>2513.150153</v>
      </c>
      <c r="S237" s="178">
        <f>S236*(1+'Pre-Calculation'!$E$27)</f>
        <v>1260419.432</v>
      </c>
      <c r="T237" s="175">
        <f>-E237+IF(A236=INPUT!$C$11*12,N237,0)</f>
        <v>0</v>
      </c>
      <c r="U237" s="175">
        <f t="shared" si="6"/>
        <v>2336765.62</v>
      </c>
      <c r="V237" s="175">
        <f>U237*(1+GROWTH_RATE_H)*(1-'Pre-Calculation'!$E$31)</f>
        <v>2347883.93</v>
      </c>
      <c r="W237" s="175">
        <f>-E237+IF(A236=INPUT!$C$11*12,V237,0)</f>
        <v>0</v>
      </c>
      <c r="X237" s="179">
        <f t="array" ref="X237">NPV('Pre-Calculation'!$E$20,$E238:E$246)</f>
        <v>0</v>
      </c>
      <c r="Y237" s="171">
        <f>10%*SA</f>
        <v>100000</v>
      </c>
      <c r="Z237" s="179">
        <f t="array" ref="Z237">NPV('Pre-Calculation'!$E$20,Y238:Y247)</f>
        <v>969592.8037</v>
      </c>
    </row>
    <row r="238" ht="15.75" customHeight="1">
      <c r="A238" s="171">
        <f t="shared" si="1"/>
        <v>232</v>
      </c>
      <c r="B238" s="171">
        <f t="shared" si="2"/>
        <v>20</v>
      </c>
      <c r="C238" s="176">
        <f>EDATE(RCD,A237)</f>
        <v>49582</v>
      </c>
      <c r="D238" s="171">
        <f>Age_At_Entry+'Cashflows_8% from Start'!B238-1</f>
        <v>54</v>
      </c>
      <c r="E238" s="175">
        <f>IF(AND(C238&lt;=Last_Prem,MOD(A237,Mode)=0),Mod_Prem,0)</f>
        <v>0</v>
      </c>
      <c r="F238" s="177">
        <f>E238*VLOOKUP(B238,'Pre-Calculation'!$H$1:$I$31,2,FALSE)</f>
        <v>0</v>
      </c>
      <c r="G238" s="177">
        <f>IF(B238&lt;PT+1,VLOOKUP(B238,'Pre-Calculation'!$H$1:$L$32,3,FALSE)+VLOOKUP(B238,'Pre-Calculation'!$H$1:$L$32,4,FALSE)*'Pre-Calculation'!$D$7,0)</f>
        <v>0</v>
      </c>
      <c r="H238" s="175">
        <f>(E238-(F238+G238)*(1+Tax)+N237)</f>
        <v>2232161.228</v>
      </c>
      <c r="I238" s="175">
        <f>IF(B238&lt;PT+1,VLOOKUP(D238,'Pre-Calculation'!$N$3:$P$79,IF(INPUT!$C$4="M",2,3),FALSE)*(J238/1000)*(1/12),0)</f>
        <v>0</v>
      </c>
      <c r="J238" s="175">
        <f t="shared" si="3"/>
        <v>0</v>
      </c>
      <c r="K238" s="175">
        <f>IF('Pre-Calculation'!$D$17="Type 4 a",MAX(SA,H238,1.05*Q238),IF('Pre-Calculation'!$D$17="Type 4 c",H238,IF('Pre-Calculation'!$D$17="Type 4 d",SA+H238,IF('Pre-Calculation'!$D$17="Type 4 e",MAX(SA,H238),IF('Pre-Calculation'!$D$17="Type 4 f",SA,IF('Pre-Calculation'!$D$17="Type 4 g",1000+H238,IF('Pre-Calculation'!$D$17="Type 4 h",SA+X238,IF('Pre-Calculation'!$D$17="Type 4 i",MAX(H238,Q238),IF('Pre-Calculation'!$D$17="Type 4 k",MAX(H238,1.01*Q238),IF('Pre-Calculation'!$D$17="Type 4 m",MAX(105%*Q238,SA+H238),IF('Pre-Calculation'!$D$17="Type 4 o",MAX(SA,105%*Q238)+X238+Z238,IF('Pre-Calculation'!$D$17="Type 5",0))))))))))))</f>
        <v>2232161.228</v>
      </c>
      <c r="L238" s="175">
        <f>H238-I238*(1+Tax)</f>
        <v>2232161.228</v>
      </c>
      <c r="M238" s="175">
        <f>L238*(1+GROWTH_RATE_H)*(1-FMC*(1+Tax))</f>
        <v>2243542.383</v>
      </c>
      <c r="N238" s="175">
        <f>M238+IF(MOD(A238,B238)=0,VLOOKUP(B238,'Pre-Calculation'!$H$1:$L$31,5,FALSE),0)*IF('Pre-Calculation'!$D$16="% OF FV",M238,IF(OR('Pre-Calculation'!$D$16="% OF AFV(24M)",'Pre-Calculation'!$D$16="% OF AFV(8Q)"),AVERAGE( $M215:$M238),IF('Pre-Calculation'!$D$16="% OF AFV(12M)",AVERAGE($M227:M238),IF('Pre-Calculation'!$D$16="% OF AFV(36M)",AVERAGE($M203:M238)))))</f>
        <v>2243542.383</v>
      </c>
      <c r="O238" s="175">
        <f t="shared" si="4"/>
        <v>2243542.383</v>
      </c>
      <c r="P238" s="175">
        <f>IF('Pre-Calculation'!$D$17="Type 4 a",MAX(SA,N238,1.05*Q238),IF('Pre-Calculation'!$D$17="Type 4 c",N238,IF('Pre-Calculation'!$D$17="Type 4 d",SA+N238,IF('Pre-Calculation'!$D$17="Type 4 e",MAX(SA,N238),IF('Pre-Calculation'!$D$17="Type 4 f",SA,IF('Pre-Calculation'!$D$17="Type 4 g",1000+N238,IF('Pre-Calculation'!$D$17="Type 4 h",SA+X238,IF('Pre-Calculation'!$D$17="Type 4 i",MAX(N238,Q238),IF('Pre-Calculation'!$D$17="Type 4 k",MAX(N238,1.01*Q238),IF('Pre-Calculation'!$D$17="Type 4 m",MAX(105%*Q238,SA+N238),IF('Pre-Calculation'!$D$17="Type 4 o",MAX(SA,105%*Q238)+X238+Z238,IF('Pre-Calculation'!$D$17="Type 5",0))))))))))))</f>
        <v>2243542.383</v>
      </c>
      <c r="Q238" s="175">
        <f t="shared" si="5"/>
        <v>1600000</v>
      </c>
      <c r="R238" s="119">
        <f>L238*(1+GROWTH_RATE)*FMC</f>
        <v>2525.96399</v>
      </c>
      <c r="S238" s="178">
        <f>S237*(1+'Pre-Calculation'!$E$27)</f>
        <v>1264037.969</v>
      </c>
      <c r="T238" s="175">
        <f>-E238+IF(A237=INPUT!$C$11*12,N238,0)</f>
        <v>0</v>
      </c>
      <c r="U238" s="175">
        <f t="shared" si="6"/>
        <v>2347883.93</v>
      </c>
      <c r="V238" s="175">
        <f>U238*(1+GROWTH_RATE_H)*(1-'Pre-Calculation'!$E$31)</f>
        <v>2359055.141</v>
      </c>
      <c r="W238" s="175">
        <f>-E238+IF(A237=INPUT!$C$11*12,V238,0)</f>
        <v>0</v>
      </c>
      <c r="X238" s="179">
        <f t="array" ref="X238">NPV('Pre-Calculation'!$E$20,$E239:E$246)</f>
        <v>0</v>
      </c>
      <c r="Y238" s="171">
        <f>10%*SA</f>
        <v>100000</v>
      </c>
      <c r="Z238" s="179">
        <f t="array" ref="Z238">NPV('Pre-Calculation'!$E$20,Y239:Y248)</f>
        <v>969592.8037</v>
      </c>
    </row>
    <row r="239" ht="15.75" customHeight="1">
      <c r="A239" s="171">
        <f t="shared" si="1"/>
        <v>233</v>
      </c>
      <c r="B239" s="171">
        <f t="shared" si="2"/>
        <v>20</v>
      </c>
      <c r="C239" s="176">
        <f>EDATE(RCD,A238)</f>
        <v>49612</v>
      </c>
      <c r="D239" s="171">
        <f>Age_At_Entry+'Cashflows_8% from Start'!B239-1</f>
        <v>54</v>
      </c>
      <c r="E239" s="175">
        <f>IF(AND(C239&lt;=Last_Prem,MOD(A238,Mode)=0),Mod_Prem,0)</f>
        <v>0</v>
      </c>
      <c r="F239" s="177">
        <f>E239*VLOOKUP(B239,'Pre-Calculation'!$H$1:$I$31,2,FALSE)</f>
        <v>0</v>
      </c>
      <c r="G239" s="177">
        <f>IF(B239&lt;PT+1,VLOOKUP(B239,'Pre-Calculation'!$H$1:$L$32,3,FALSE)+VLOOKUP(B239,'Pre-Calculation'!$H$1:$L$32,4,FALSE)*'Pre-Calculation'!$D$7,0)</f>
        <v>0</v>
      </c>
      <c r="H239" s="175">
        <f>(E239-(F239+G239)*(1+Tax)+N238)</f>
        <v>2243542.383</v>
      </c>
      <c r="I239" s="175">
        <f>IF(B239&lt;PT+1,VLOOKUP(D239,'Pre-Calculation'!$N$3:$P$79,IF(INPUT!$C$4="M",2,3),FALSE)*(J239/1000)*(1/12),0)</f>
        <v>0</v>
      </c>
      <c r="J239" s="175">
        <f t="shared" si="3"/>
        <v>0</v>
      </c>
      <c r="K239" s="175">
        <f>IF('Pre-Calculation'!$D$17="Type 4 a",MAX(SA,H239,1.05*Q239),IF('Pre-Calculation'!$D$17="Type 4 c",H239,IF('Pre-Calculation'!$D$17="Type 4 d",SA+H239,IF('Pre-Calculation'!$D$17="Type 4 e",MAX(SA,H239),IF('Pre-Calculation'!$D$17="Type 4 f",SA,IF('Pre-Calculation'!$D$17="Type 4 g",1000+H239,IF('Pre-Calculation'!$D$17="Type 4 h",SA+X239,IF('Pre-Calculation'!$D$17="Type 4 i",MAX(H239,Q239),IF('Pre-Calculation'!$D$17="Type 4 k",MAX(H239,1.01*Q239),IF('Pre-Calculation'!$D$17="Type 4 m",MAX(105%*Q239,SA+H239),IF('Pre-Calculation'!$D$17="Type 4 o",MAX(SA,105%*Q239)+X239+Z239,IF('Pre-Calculation'!$D$17="Type 5",0))))))))))))</f>
        <v>2243542.383</v>
      </c>
      <c r="L239" s="175">
        <f>H239-I239*(1+Tax)</f>
        <v>2243542.383</v>
      </c>
      <c r="M239" s="175">
        <f>L239*(1+GROWTH_RATE_H)*(1-FMC*(1+Tax))</f>
        <v>2254981.568</v>
      </c>
      <c r="N239" s="175">
        <f>M239+IF(MOD(A239,B239)=0,VLOOKUP(B239,'Pre-Calculation'!$H$1:$L$31,5,FALSE),0)*IF('Pre-Calculation'!$D$16="% OF FV",M239,IF(OR('Pre-Calculation'!$D$16="% OF AFV(24M)",'Pre-Calculation'!$D$16="% OF AFV(8Q)"),AVERAGE( $M216:$M239),IF('Pre-Calculation'!$D$16="% OF AFV(12M)",AVERAGE($M228:M239),IF('Pre-Calculation'!$D$16="% OF AFV(36M)",AVERAGE($M204:M239)))))</f>
        <v>2254981.568</v>
      </c>
      <c r="O239" s="175">
        <f t="shared" si="4"/>
        <v>2254981.568</v>
      </c>
      <c r="P239" s="175">
        <f>IF('Pre-Calculation'!$D$17="Type 4 a",MAX(SA,N239,1.05*Q239),IF('Pre-Calculation'!$D$17="Type 4 c",N239,IF('Pre-Calculation'!$D$17="Type 4 d",SA+N239,IF('Pre-Calculation'!$D$17="Type 4 e",MAX(SA,N239),IF('Pre-Calculation'!$D$17="Type 4 f",SA,IF('Pre-Calculation'!$D$17="Type 4 g",1000+N239,IF('Pre-Calculation'!$D$17="Type 4 h",SA+X239,IF('Pre-Calculation'!$D$17="Type 4 i",MAX(N239,Q239),IF('Pre-Calculation'!$D$17="Type 4 k",MAX(N239,1.01*Q239),IF('Pre-Calculation'!$D$17="Type 4 m",MAX(105%*Q239,SA+N239),IF('Pre-Calculation'!$D$17="Type 4 o",MAX(SA,105%*Q239)+X239+Z239,IF('Pre-Calculation'!$D$17="Type 5",0))))))))))))</f>
        <v>2254981.568</v>
      </c>
      <c r="Q239" s="175">
        <f t="shared" si="5"/>
        <v>1600000</v>
      </c>
      <c r="R239" s="119">
        <f>L239*(1+GROWTH_RATE)*FMC</f>
        <v>2538.843162</v>
      </c>
      <c r="S239" s="178">
        <f>S238*(1+'Pre-Calculation'!$E$27)</f>
        <v>1267666.894</v>
      </c>
      <c r="T239" s="175">
        <f>-E239+IF(A238=INPUT!$C$11*12,N239,0)</f>
        <v>0</v>
      </c>
      <c r="U239" s="175">
        <f t="shared" si="6"/>
        <v>2359055.141</v>
      </c>
      <c r="V239" s="175">
        <f>U239*(1+GROWTH_RATE_H)*(1-'Pre-Calculation'!$E$31)</f>
        <v>2370279.505</v>
      </c>
      <c r="W239" s="175">
        <f>-E239+IF(A238=INPUT!$C$11*12,V239,0)</f>
        <v>0</v>
      </c>
      <c r="X239" s="179">
        <f t="array" ref="X239">NPV('Pre-Calculation'!$E$20,$E240:E$246)</f>
        <v>0</v>
      </c>
      <c r="Y239" s="171">
        <f>10%*SA</f>
        <v>100000</v>
      </c>
      <c r="Z239" s="179">
        <f t="array" ref="Z239">NPV('Pre-Calculation'!$E$20,Y240:Y249)</f>
        <v>969592.8037</v>
      </c>
    </row>
    <row r="240" ht="15.75" customHeight="1">
      <c r="A240" s="171">
        <f t="shared" si="1"/>
        <v>234</v>
      </c>
      <c r="B240" s="171">
        <f t="shared" si="2"/>
        <v>20</v>
      </c>
      <c r="C240" s="176">
        <f>EDATE(RCD,A239)</f>
        <v>49643</v>
      </c>
      <c r="D240" s="171">
        <f>Age_At_Entry+'Cashflows_8% from Start'!B240-1</f>
        <v>54</v>
      </c>
      <c r="E240" s="175">
        <f>IF(AND(C240&lt;=Last_Prem,MOD(A239,Mode)=0),Mod_Prem,0)</f>
        <v>0</v>
      </c>
      <c r="F240" s="177">
        <f>E240*VLOOKUP(B240,'Pre-Calculation'!$H$1:$I$31,2,FALSE)</f>
        <v>0</v>
      </c>
      <c r="G240" s="177">
        <f>IF(B240&lt;PT+1,VLOOKUP(B240,'Pre-Calculation'!$H$1:$L$32,3,FALSE)+VLOOKUP(B240,'Pre-Calculation'!$H$1:$L$32,4,FALSE)*'Pre-Calculation'!$D$7,0)</f>
        <v>0</v>
      </c>
      <c r="H240" s="175">
        <f>(E240-(F240+G240)*(1+Tax)+N239)</f>
        <v>2254981.568</v>
      </c>
      <c r="I240" s="175">
        <f>IF(B240&lt;PT+1,VLOOKUP(D240,'Pre-Calculation'!$N$3:$P$79,IF(INPUT!$C$4="M",2,3),FALSE)*(J240/1000)*(1/12),0)</f>
        <v>0</v>
      </c>
      <c r="J240" s="175">
        <f t="shared" si="3"/>
        <v>0</v>
      </c>
      <c r="K240" s="175">
        <f>IF('Pre-Calculation'!$D$17="Type 4 a",MAX(SA,H240,1.05*Q240),IF('Pre-Calculation'!$D$17="Type 4 c",H240,IF('Pre-Calculation'!$D$17="Type 4 d",SA+H240,IF('Pre-Calculation'!$D$17="Type 4 e",MAX(SA,H240),IF('Pre-Calculation'!$D$17="Type 4 f",SA,IF('Pre-Calculation'!$D$17="Type 4 g",1000+H240,IF('Pre-Calculation'!$D$17="Type 4 h",SA+X240,IF('Pre-Calculation'!$D$17="Type 4 i",MAX(H240,Q240),IF('Pre-Calculation'!$D$17="Type 4 k",MAX(H240,1.01*Q240),IF('Pre-Calculation'!$D$17="Type 4 m",MAX(105%*Q240,SA+H240),IF('Pre-Calculation'!$D$17="Type 4 o",MAX(SA,105%*Q240)+X240+Z240,IF('Pre-Calculation'!$D$17="Type 5",0))))))))))))</f>
        <v>2254981.568</v>
      </c>
      <c r="L240" s="175">
        <f>H240-I240*(1+Tax)</f>
        <v>2254981.568</v>
      </c>
      <c r="M240" s="175">
        <f>L240*(1+GROWTH_RATE_H)*(1-FMC*(1+Tax))</f>
        <v>2266479.077</v>
      </c>
      <c r="N240" s="175">
        <f>M240+IF(MOD(A240,B240)=0,VLOOKUP(B240,'Pre-Calculation'!$H$1:$L$31,5,FALSE),0)*IF('Pre-Calculation'!$D$16="% OF FV",M240,IF(OR('Pre-Calculation'!$D$16="% OF AFV(24M)",'Pre-Calculation'!$D$16="% OF AFV(8Q)"),AVERAGE( $M217:$M240),IF('Pre-Calculation'!$D$16="% OF AFV(12M)",AVERAGE($M229:M240),IF('Pre-Calculation'!$D$16="% OF AFV(36M)",AVERAGE($M205:M240)))))</f>
        <v>2266479.077</v>
      </c>
      <c r="O240" s="175">
        <f t="shared" si="4"/>
        <v>2266479.077</v>
      </c>
      <c r="P240" s="175">
        <f>IF('Pre-Calculation'!$D$17="Type 4 a",MAX(SA,N240,1.05*Q240),IF('Pre-Calculation'!$D$17="Type 4 c",N240,IF('Pre-Calculation'!$D$17="Type 4 d",SA+N240,IF('Pre-Calculation'!$D$17="Type 4 e",MAX(SA,N240),IF('Pre-Calculation'!$D$17="Type 4 f",SA,IF('Pre-Calculation'!$D$17="Type 4 g",1000+N240,IF('Pre-Calculation'!$D$17="Type 4 h",SA+X240,IF('Pre-Calculation'!$D$17="Type 4 i",MAX(N240,Q240),IF('Pre-Calculation'!$D$17="Type 4 k",MAX(N240,1.01*Q240),IF('Pre-Calculation'!$D$17="Type 4 m",MAX(105%*Q240,SA+N240),IF('Pre-Calculation'!$D$17="Type 4 o",MAX(SA,105%*Q240)+X240+Z240,IF('Pre-Calculation'!$D$17="Type 5",0))))))))))))</f>
        <v>2266479.077</v>
      </c>
      <c r="Q240" s="175">
        <f t="shared" si="5"/>
        <v>1600000</v>
      </c>
      <c r="R240" s="119">
        <f>L240*(1+GROWTH_RATE)*FMC</f>
        <v>2551.788001</v>
      </c>
      <c r="S240" s="178">
        <f>S239*(1+'Pre-Calculation'!$E$27)</f>
        <v>1271306.237</v>
      </c>
      <c r="T240" s="175">
        <f>-E240+IF(A239=INPUT!$C$11*12,N240,0)</f>
        <v>0</v>
      </c>
      <c r="U240" s="175">
        <f t="shared" si="6"/>
        <v>2370279.505</v>
      </c>
      <c r="V240" s="175">
        <f>U240*(1+GROWTH_RATE_H)*(1-'Pre-Calculation'!$E$31)</f>
        <v>2381557.274</v>
      </c>
      <c r="W240" s="175">
        <f>-E240+IF(A239=INPUT!$C$11*12,V240,0)</f>
        <v>0</v>
      </c>
      <c r="X240" s="179">
        <f t="array" ref="X240">NPV('Pre-Calculation'!$E$20,$E241:E$246)</f>
        <v>0</v>
      </c>
      <c r="Y240" s="171">
        <f>10%*SA</f>
        <v>100000</v>
      </c>
      <c r="Z240" s="179">
        <f t="array" ref="Z240">NPV('Pre-Calculation'!$E$20,Y241:Y250)</f>
        <v>969592.8037</v>
      </c>
    </row>
    <row r="241" ht="15.75" customHeight="1">
      <c r="A241" s="171">
        <f t="shared" si="1"/>
        <v>235</v>
      </c>
      <c r="B241" s="171">
        <f t="shared" si="2"/>
        <v>20</v>
      </c>
      <c r="C241" s="176">
        <f>EDATE(RCD,A240)</f>
        <v>49673</v>
      </c>
      <c r="D241" s="171">
        <f>Age_At_Entry+'Cashflows_8% from Start'!B241-1</f>
        <v>54</v>
      </c>
      <c r="E241" s="175">
        <f>IF(AND(C241&lt;=Last_Prem,MOD(A240,Mode)=0),Mod_Prem,0)</f>
        <v>0</v>
      </c>
      <c r="F241" s="177">
        <f>E241*VLOOKUP(B241,'Pre-Calculation'!$H$1:$I$31,2,FALSE)</f>
        <v>0</v>
      </c>
      <c r="G241" s="177">
        <f>IF(B241&lt;PT+1,VLOOKUP(B241,'Pre-Calculation'!$H$1:$L$32,3,FALSE)+VLOOKUP(B241,'Pre-Calculation'!$H$1:$L$32,4,FALSE)*'Pre-Calculation'!$D$7,0)</f>
        <v>0</v>
      </c>
      <c r="H241" s="175">
        <f>(E241-(F241+G241)*(1+Tax)+N240)</f>
        <v>2266479.077</v>
      </c>
      <c r="I241" s="175">
        <f>IF(B241&lt;PT+1,VLOOKUP(D241,'Pre-Calculation'!$N$3:$P$79,IF(INPUT!$C$4="M",2,3),FALSE)*(J241/1000)*(1/12),0)</f>
        <v>0</v>
      </c>
      <c r="J241" s="175">
        <f t="shared" si="3"/>
        <v>0</v>
      </c>
      <c r="K241" s="175">
        <f>IF('Pre-Calculation'!$D$17="Type 4 a",MAX(SA,H241,1.05*Q241),IF('Pre-Calculation'!$D$17="Type 4 c",H241,IF('Pre-Calculation'!$D$17="Type 4 d",SA+H241,IF('Pre-Calculation'!$D$17="Type 4 e",MAX(SA,H241),IF('Pre-Calculation'!$D$17="Type 4 f",SA,IF('Pre-Calculation'!$D$17="Type 4 g",1000+H241,IF('Pre-Calculation'!$D$17="Type 4 h",SA+X241,IF('Pre-Calculation'!$D$17="Type 4 i",MAX(H241,Q241),IF('Pre-Calculation'!$D$17="Type 4 k",MAX(H241,1.01*Q241),IF('Pre-Calculation'!$D$17="Type 4 m",MAX(105%*Q241,SA+H241),IF('Pre-Calculation'!$D$17="Type 4 o",MAX(SA,105%*Q241)+X241+Z241,IF('Pre-Calculation'!$D$17="Type 5",0))))))))))))</f>
        <v>2266479.077</v>
      </c>
      <c r="L241" s="175">
        <f>H241-I241*(1+Tax)</f>
        <v>2266479.077</v>
      </c>
      <c r="M241" s="175">
        <f>L241*(1+GROWTH_RATE_H)*(1-FMC*(1+Tax))</f>
        <v>2278035.209</v>
      </c>
      <c r="N241" s="175">
        <f>M241+IF(MOD(A241,B241)=0,VLOOKUP(B241,'Pre-Calculation'!$H$1:$L$31,5,FALSE),0)*IF('Pre-Calculation'!$D$16="% OF FV",M241,IF(OR('Pre-Calculation'!$D$16="% OF AFV(24M)",'Pre-Calculation'!$D$16="% OF AFV(8Q)"),AVERAGE( $M218:$M241),IF('Pre-Calculation'!$D$16="% OF AFV(12M)",AVERAGE($M230:M241),IF('Pre-Calculation'!$D$16="% OF AFV(36M)",AVERAGE($M206:M241)))))</f>
        <v>2278035.209</v>
      </c>
      <c r="O241" s="175">
        <f t="shared" si="4"/>
        <v>2278035.209</v>
      </c>
      <c r="P241" s="175">
        <f>IF('Pre-Calculation'!$D$17="Type 4 a",MAX(SA,N241,1.05*Q241),IF('Pre-Calculation'!$D$17="Type 4 c",N241,IF('Pre-Calculation'!$D$17="Type 4 d",SA+N241,IF('Pre-Calculation'!$D$17="Type 4 e",MAX(SA,N241),IF('Pre-Calculation'!$D$17="Type 4 f",SA,IF('Pre-Calculation'!$D$17="Type 4 g",1000+N241,IF('Pre-Calculation'!$D$17="Type 4 h",SA+X241,IF('Pre-Calculation'!$D$17="Type 4 i",MAX(N241,Q241),IF('Pre-Calculation'!$D$17="Type 4 k",MAX(N241,1.01*Q241),IF('Pre-Calculation'!$D$17="Type 4 m",MAX(105%*Q241,SA+N241),IF('Pre-Calculation'!$D$17="Type 4 o",MAX(SA,105%*Q241)+X241+Z241,IF('Pre-Calculation'!$D$17="Type 5",0))))))))))))</f>
        <v>2278035.209</v>
      </c>
      <c r="Q241" s="175">
        <f t="shared" si="5"/>
        <v>1600000</v>
      </c>
      <c r="R241" s="119">
        <f>L241*(1+GROWTH_RATE)*FMC</f>
        <v>2564.798842</v>
      </c>
      <c r="S241" s="178">
        <f>S240*(1+'Pre-Calculation'!$E$27)</f>
        <v>1274956.028</v>
      </c>
      <c r="T241" s="175">
        <f>-E241+IF(A240=INPUT!$C$11*12,N241,0)</f>
        <v>0</v>
      </c>
      <c r="U241" s="175">
        <f t="shared" si="6"/>
        <v>2381557.274</v>
      </c>
      <c r="V241" s="175">
        <f>U241*(1+GROWTH_RATE_H)*(1-'Pre-Calculation'!$E$31)</f>
        <v>2392888.702</v>
      </c>
      <c r="W241" s="175">
        <f>-E241+IF(A240=INPUT!$C$11*12,V241,0)</f>
        <v>0</v>
      </c>
      <c r="X241" s="179">
        <f t="array" ref="X241">NPV('Pre-Calculation'!$E$20,$E242:E$246)</f>
        <v>0</v>
      </c>
      <c r="Y241" s="171">
        <f>10%*SA</f>
        <v>100000</v>
      </c>
      <c r="Z241" s="179">
        <f t="array" ref="Z241">NPV('Pre-Calculation'!$E$20,Y242:Y251)</f>
        <v>969592.8037</v>
      </c>
    </row>
    <row r="242" ht="15.75" customHeight="1">
      <c r="A242" s="171">
        <f t="shared" si="1"/>
        <v>236</v>
      </c>
      <c r="B242" s="171">
        <f t="shared" si="2"/>
        <v>20</v>
      </c>
      <c r="C242" s="176">
        <f>EDATE(RCD,A241)</f>
        <v>49704</v>
      </c>
      <c r="D242" s="171">
        <f>Age_At_Entry+'Cashflows_8% from Start'!B242-1</f>
        <v>54</v>
      </c>
      <c r="E242" s="175">
        <f>IF(AND(C242&lt;=Last_Prem,MOD(A241,Mode)=0),Mod_Prem,0)</f>
        <v>0</v>
      </c>
      <c r="F242" s="177">
        <f>E242*VLOOKUP(B242,'Pre-Calculation'!$H$1:$I$31,2,FALSE)</f>
        <v>0</v>
      </c>
      <c r="G242" s="177">
        <f>IF(B242&lt;PT+1,VLOOKUP(B242,'Pre-Calculation'!$H$1:$L$32,3,FALSE)+VLOOKUP(B242,'Pre-Calculation'!$H$1:$L$32,4,FALSE)*'Pre-Calculation'!$D$7,0)</f>
        <v>0</v>
      </c>
      <c r="H242" s="175">
        <f>(E242-(F242+G242)*(1+Tax)+N241)</f>
        <v>2278035.209</v>
      </c>
      <c r="I242" s="175">
        <f>IF(B242&lt;PT+1,VLOOKUP(D242,'Pre-Calculation'!$N$3:$P$79,IF(INPUT!$C$4="M",2,3),FALSE)*(J242/1000)*(1/12),0)</f>
        <v>0</v>
      </c>
      <c r="J242" s="175">
        <f t="shared" si="3"/>
        <v>0</v>
      </c>
      <c r="K242" s="175">
        <f>IF('Pre-Calculation'!$D$17="Type 4 a",MAX(SA,H242,1.05*Q242),IF('Pre-Calculation'!$D$17="Type 4 c",H242,IF('Pre-Calculation'!$D$17="Type 4 d",SA+H242,IF('Pre-Calculation'!$D$17="Type 4 e",MAX(SA,H242),IF('Pre-Calculation'!$D$17="Type 4 f",SA,IF('Pre-Calculation'!$D$17="Type 4 g",1000+H242,IF('Pre-Calculation'!$D$17="Type 4 h",SA+X242,IF('Pre-Calculation'!$D$17="Type 4 i",MAX(H242,Q242),IF('Pre-Calculation'!$D$17="Type 4 k",MAX(H242,1.01*Q242),IF('Pre-Calculation'!$D$17="Type 4 m",MAX(105%*Q242,SA+H242),IF('Pre-Calculation'!$D$17="Type 4 o",MAX(SA,105%*Q242)+X242+Z242,IF('Pre-Calculation'!$D$17="Type 5",0))))))))))))</f>
        <v>2278035.209</v>
      </c>
      <c r="L242" s="175">
        <f>H242-I242*(1+Tax)</f>
        <v>2278035.209</v>
      </c>
      <c r="M242" s="175">
        <f>L242*(1+GROWTH_RATE_H)*(1-FMC*(1+Tax))</f>
        <v>2289650.262</v>
      </c>
      <c r="N242" s="175">
        <f>M242+IF(MOD(A242,B242)=0,VLOOKUP(B242,'Pre-Calculation'!$H$1:$L$31,5,FALSE),0)*IF('Pre-Calculation'!$D$16="% OF FV",M242,IF(OR('Pre-Calculation'!$D$16="% OF AFV(24M)",'Pre-Calculation'!$D$16="% OF AFV(8Q)"),AVERAGE( $M219:$M242),IF('Pre-Calculation'!$D$16="% OF AFV(12M)",AVERAGE($M231:M242),IF('Pre-Calculation'!$D$16="% OF AFV(36M)",AVERAGE($M207:M242)))))</f>
        <v>2289650.262</v>
      </c>
      <c r="O242" s="175">
        <f t="shared" si="4"/>
        <v>2289650.262</v>
      </c>
      <c r="P242" s="175">
        <f>IF('Pre-Calculation'!$D$17="Type 4 a",MAX(SA,N242,1.05*Q242),IF('Pre-Calculation'!$D$17="Type 4 c",N242,IF('Pre-Calculation'!$D$17="Type 4 d",SA+N242,IF('Pre-Calculation'!$D$17="Type 4 e",MAX(SA,N242),IF('Pre-Calculation'!$D$17="Type 4 f",SA,IF('Pre-Calculation'!$D$17="Type 4 g",1000+N242,IF('Pre-Calculation'!$D$17="Type 4 h",SA+X242,IF('Pre-Calculation'!$D$17="Type 4 i",MAX(N242,Q242),IF('Pre-Calculation'!$D$17="Type 4 k",MAX(N242,1.01*Q242),IF('Pre-Calculation'!$D$17="Type 4 m",MAX(105%*Q242,SA+N242),IF('Pre-Calculation'!$D$17="Type 4 o",MAX(SA,105%*Q242)+X242+Z242,IF('Pre-Calculation'!$D$17="Type 5",0))))))))))))</f>
        <v>2289650.262</v>
      </c>
      <c r="Q242" s="175">
        <f t="shared" si="5"/>
        <v>1600000</v>
      </c>
      <c r="R242" s="119">
        <f>L242*(1+GROWTH_RATE)*FMC</f>
        <v>2577.876022</v>
      </c>
      <c r="S242" s="178">
        <f>S241*(1+'Pre-Calculation'!$E$27)</f>
        <v>1278616.298</v>
      </c>
      <c r="T242" s="175">
        <f>-E242+IF(A241=INPUT!$C$11*12,N242,0)</f>
        <v>0</v>
      </c>
      <c r="U242" s="175">
        <f t="shared" si="6"/>
        <v>2392888.702</v>
      </c>
      <c r="V242" s="175">
        <f>U242*(1+GROWTH_RATE_H)*(1-'Pre-Calculation'!$E$31)</f>
        <v>2404274.046</v>
      </c>
      <c r="W242" s="175">
        <f>-E242+IF(A241=INPUT!$C$11*12,V242,0)</f>
        <v>0</v>
      </c>
      <c r="X242" s="179">
        <f t="array" ref="X242">NPV('Pre-Calculation'!$E$20,$E243:E$246)</f>
        <v>0</v>
      </c>
      <c r="Y242" s="171">
        <f>10%*SA</f>
        <v>100000</v>
      </c>
      <c r="Z242" s="179">
        <f t="array" ref="Z242">NPV('Pre-Calculation'!$E$20,Y243:Y252)</f>
        <v>969592.8037</v>
      </c>
    </row>
    <row r="243" ht="15.75" customHeight="1">
      <c r="A243" s="171">
        <f t="shared" si="1"/>
        <v>237</v>
      </c>
      <c r="B243" s="171">
        <f t="shared" si="2"/>
        <v>20</v>
      </c>
      <c r="C243" s="176">
        <f>EDATE(RCD,A242)</f>
        <v>49734</v>
      </c>
      <c r="D243" s="171">
        <f>Age_At_Entry+'Cashflows_8% from Start'!B243-1</f>
        <v>54</v>
      </c>
      <c r="E243" s="175">
        <f>IF(AND(C243&lt;=Last_Prem,MOD(A242,Mode)=0),Mod_Prem,0)</f>
        <v>0</v>
      </c>
      <c r="F243" s="177">
        <f>E243*VLOOKUP(B243,'Pre-Calculation'!$H$1:$I$31,2,FALSE)</f>
        <v>0</v>
      </c>
      <c r="G243" s="177">
        <f>IF(B243&lt;PT+1,VLOOKUP(B243,'Pre-Calculation'!$H$1:$L$32,3,FALSE)+VLOOKUP(B243,'Pre-Calculation'!$H$1:$L$32,4,FALSE)*'Pre-Calculation'!$D$7,0)</f>
        <v>0</v>
      </c>
      <c r="H243" s="175">
        <f>(E243-(F243+G243)*(1+Tax)+N242)</f>
        <v>2289650.262</v>
      </c>
      <c r="I243" s="175">
        <f>IF(B243&lt;PT+1,VLOOKUP(D243,'Pre-Calculation'!$N$3:$P$79,IF(INPUT!$C$4="M",2,3),FALSE)*(J243/1000)*(1/12),0)</f>
        <v>0</v>
      </c>
      <c r="J243" s="175">
        <f t="shared" si="3"/>
        <v>0</v>
      </c>
      <c r="K243" s="175">
        <f>IF('Pre-Calculation'!$D$17="Type 4 a",MAX(SA,H243,1.05*Q243),IF('Pre-Calculation'!$D$17="Type 4 c",H243,IF('Pre-Calculation'!$D$17="Type 4 d",SA+H243,IF('Pre-Calculation'!$D$17="Type 4 e",MAX(SA,H243),IF('Pre-Calculation'!$D$17="Type 4 f",SA,IF('Pre-Calculation'!$D$17="Type 4 g",1000+H243,IF('Pre-Calculation'!$D$17="Type 4 h",SA+X243,IF('Pre-Calculation'!$D$17="Type 4 i",MAX(H243,Q243),IF('Pre-Calculation'!$D$17="Type 4 k",MAX(H243,1.01*Q243),IF('Pre-Calculation'!$D$17="Type 4 m",MAX(105%*Q243,SA+H243),IF('Pre-Calculation'!$D$17="Type 4 o",MAX(SA,105%*Q243)+X243+Z243,IF('Pre-Calculation'!$D$17="Type 5",0))))))))))))</f>
        <v>2289650.262</v>
      </c>
      <c r="L243" s="175">
        <f>H243-I243*(1+Tax)</f>
        <v>2289650.262</v>
      </c>
      <c r="M243" s="175">
        <f>L243*(1+GROWTH_RATE_H)*(1-FMC*(1+Tax))</f>
        <v>2301324.538</v>
      </c>
      <c r="N243" s="175">
        <f>M243+IF(MOD(A243,B243)=0,VLOOKUP(B243,'Pre-Calculation'!$H$1:$L$31,5,FALSE),0)*IF('Pre-Calculation'!$D$16="% OF FV",M243,IF(OR('Pre-Calculation'!$D$16="% OF AFV(24M)",'Pre-Calculation'!$D$16="% OF AFV(8Q)"),AVERAGE( $M220:$M243),IF('Pre-Calculation'!$D$16="% OF AFV(12M)",AVERAGE($M232:M243),IF('Pre-Calculation'!$D$16="% OF AFV(36M)",AVERAGE($M208:M243)))))</f>
        <v>2301324.538</v>
      </c>
      <c r="O243" s="175">
        <f t="shared" si="4"/>
        <v>2301324.538</v>
      </c>
      <c r="P243" s="175">
        <f>IF('Pre-Calculation'!$D$17="Type 4 a",MAX(SA,N243,1.05*Q243),IF('Pre-Calculation'!$D$17="Type 4 c",N243,IF('Pre-Calculation'!$D$17="Type 4 d",SA+N243,IF('Pre-Calculation'!$D$17="Type 4 e",MAX(SA,N243),IF('Pre-Calculation'!$D$17="Type 4 f",SA,IF('Pre-Calculation'!$D$17="Type 4 g",1000+N243,IF('Pre-Calculation'!$D$17="Type 4 h",SA+X243,IF('Pre-Calculation'!$D$17="Type 4 i",MAX(N243,Q243),IF('Pre-Calculation'!$D$17="Type 4 k",MAX(N243,1.01*Q243),IF('Pre-Calculation'!$D$17="Type 4 m",MAX(105%*Q243,SA+N243),IF('Pre-Calculation'!$D$17="Type 4 o",MAX(SA,105%*Q243)+X243+Z243,IF('Pre-Calculation'!$D$17="Type 5",0))))))))))))</f>
        <v>2301324.538</v>
      </c>
      <c r="Q243" s="175">
        <f t="shared" si="5"/>
        <v>1600000</v>
      </c>
      <c r="R243" s="119">
        <f>L243*(1+GROWTH_RATE)*FMC</f>
        <v>2591.019878</v>
      </c>
      <c r="S243" s="178">
        <f>S242*(1+'Pre-Calculation'!$E$27)</f>
        <v>1282287.076</v>
      </c>
      <c r="T243" s="175">
        <f>-E243+IF(A242=INPUT!$C$11*12,N243,0)</f>
        <v>0</v>
      </c>
      <c r="U243" s="175">
        <f t="shared" si="6"/>
        <v>2404274.046</v>
      </c>
      <c r="V243" s="175">
        <f>U243*(1+GROWTH_RATE_H)*(1-'Pre-Calculation'!$E$31)</f>
        <v>2415713.561</v>
      </c>
      <c r="W243" s="175">
        <f>-E243+IF(A242=INPUT!$C$11*12,V243,0)</f>
        <v>0</v>
      </c>
      <c r="X243" s="179">
        <f t="array" ref="X243">NPV('Pre-Calculation'!$E$20,$E244:E$246)</f>
        <v>0</v>
      </c>
      <c r="Y243" s="171">
        <f>10%*SA</f>
        <v>100000</v>
      </c>
      <c r="Z243" s="179">
        <f t="array" ref="Z243">NPV('Pre-Calculation'!$E$20,Y244:Y253)</f>
        <v>969592.8037</v>
      </c>
    </row>
    <row r="244" ht="15.75" customHeight="1">
      <c r="A244" s="171">
        <f t="shared" si="1"/>
        <v>238</v>
      </c>
      <c r="B244" s="171">
        <f t="shared" si="2"/>
        <v>20</v>
      </c>
      <c r="C244" s="176">
        <f>EDATE(RCD,A243)</f>
        <v>49764</v>
      </c>
      <c r="D244" s="171">
        <f>Age_At_Entry+'Cashflows_8% from Start'!B244-1</f>
        <v>54</v>
      </c>
      <c r="E244" s="175">
        <f>IF(AND(C244&lt;=Last_Prem,MOD(A243,Mode)=0),Mod_Prem,0)</f>
        <v>0</v>
      </c>
      <c r="F244" s="177">
        <f>E244*VLOOKUP(B244,'Pre-Calculation'!$H$1:$I$31,2,FALSE)</f>
        <v>0</v>
      </c>
      <c r="G244" s="177">
        <f>IF(B244&lt;PT+1,VLOOKUP(B244,'Pre-Calculation'!$H$1:$L$32,3,FALSE)+VLOOKUP(B244,'Pre-Calculation'!$H$1:$L$32,4,FALSE)*'Pre-Calculation'!$D$7,0)</f>
        <v>0</v>
      </c>
      <c r="H244" s="175">
        <f>(E244-(F244+G244)*(1+Tax)+N243)</f>
        <v>2301324.538</v>
      </c>
      <c r="I244" s="175">
        <f>IF(B244&lt;PT+1,VLOOKUP(D244,'Pre-Calculation'!$N$3:$P$79,IF(INPUT!$C$4="M",2,3),FALSE)*(J244/1000)*(1/12),0)</f>
        <v>0</v>
      </c>
      <c r="J244" s="175">
        <f t="shared" si="3"/>
        <v>0</v>
      </c>
      <c r="K244" s="175">
        <f>IF('Pre-Calculation'!$D$17="Type 4 a",MAX(SA,H244,1.05*Q244),IF('Pre-Calculation'!$D$17="Type 4 c",H244,IF('Pre-Calculation'!$D$17="Type 4 d",SA+H244,IF('Pre-Calculation'!$D$17="Type 4 e",MAX(SA,H244),IF('Pre-Calculation'!$D$17="Type 4 f",SA,IF('Pre-Calculation'!$D$17="Type 4 g",1000+H244,IF('Pre-Calculation'!$D$17="Type 4 h",SA+X244,IF('Pre-Calculation'!$D$17="Type 4 i",MAX(H244,Q244),IF('Pre-Calculation'!$D$17="Type 4 k",MAX(H244,1.01*Q244),IF('Pre-Calculation'!$D$17="Type 4 m",MAX(105%*Q244,SA+H244),IF('Pre-Calculation'!$D$17="Type 4 o",MAX(SA,105%*Q244)+X244+Z244,IF('Pre-Calculation'!$D$17="Type 5",0))))))))))))</f>
        <v>2301324.538</v>
      </c>
      <c r="L244" s="175">
        <f>H244-I244*(1+Tax)</f>
        <v>2301324.538</v>
      </c>
      <c r="M244" s="175">
        <f>L244*(1+GROWTH_RATE_H)*(1-FMC*(1+Tax))</f>
        <v>2313058.337</v>
      </c>
      <c r="N244" s="175">
        <f>M244+IF(MOD(A244,B244)=0,VLOOKUP(B244,'Pre-Calculation'!$H$1:$L$31,5,FALSE),0)*IF('Pre-Calculation'!$D$16="% OF FV",M244,IF(OR('Pre-Calculation'!$D$16="% OF AFV(24M)",'Pre-Calculation'!$D$16="% OF AFV(8Q)"),AVERAGE( $M221:$M244),IF('Pre-Calculation'!$D$16="% OF AFV(12M)",AVERAGE($M233:M244),IF('Pre-Calculation'!$D$16="% OF AFV(36M)",AVERAGE($M209:M244)))))</f>
        <v>2313058.337</v>
      </c>
      <c r="O244" s="175">
        <f t="shared" si="4"/>
        <v>2313058.337</v>
      </c>
      <c r="P244" s="175">
        <f>IF('Pre-Calculation'!$D$17="Type 4 a",MAX(SA,N244,1.05*Q244),IF('Pre-Calculation'!$D$17="Type 4 c",N244,IF('Pre-Calculation'!$D$17="Type 4 d",SA+N244,IF('Pre-Calculation'!$D$17="Type 4 e",MAX(SA,N244),IF('Pre-Calculation'!$D$17="Type 4 f",SA,IF('Pre-Calculation'!$D$17="Type 4 g",1000+N244,IF('Pre-Calculation'!$D$17="Type 4 h",SA+X244,IF('Pre-Calculation'!$D$17="Type 4 i",MAX(N244,Q244),IF('Pre-Calculation'!$D$17="Type 4 k",MAX(N244,1.01*Q244),IF('Pre-Calculation'!$D$17="Type 4 m",MAX(105%*Q244,SA+N244),IF('Pre-Calculation'!$D$17="Type 4 o",MAX(SA,105%*Q244)+X244+Z244,IF('Pre-Calculation'!$D$17="Type 5",0))))))))))))</f>
        <v>2313058.337</v>
      </c>
      <c r="Q244" s="175">
        <f t="shared" si="5"/>
        <v>1600000</v>
      </c>
      <c r="R244" s="119">
        <f>L244*(1+GROWTH_RATE)*FMC</f>
        <v>2604.230751</v>
      </c>
      <c r="S244" s="178">
        <f>S243*(1+'Pre-Calculation'!$E$27)</f>
        <v>1285968.392</v>
      </c>
      <c r="T244" s="175">
        <f>-E244+IF(A243=INPUT!$C$11*12,N244,0)</f>
        <v>0</v>
      </c>
      <c r="U244" s="175">
        <f t="shared" si="6"/>
        <v>2415713.561</v>
      </c>
      <c r="V244" s="175">
        <f>U244*(1+GROWTH_RATE_H)*(1-'Pre-Calculation'!$E$31)</f>
        <v>2427207.505</v>
      </c>
      <c r="W244" s="175">
        <f>-E244+IF(A243=INPUT!$C$11*12,V244,0)</f>
        <v>0</v>
      </c>
      <c r="X244" s="179">
        <f t="array" ref="X244">NPV('Pre-Calculation'!$E$20,$E245:E$246)</f>
        <v>0</v>
      </c>
      <c r="Y244" s="171">
        <f>10%*SA</f>
        <v>100000</v>
      </c>
      <c r="Z244" s="179">
        <f t="array" ref="Z244">NPV('Pre-Calculation'!$E$20,Y245:Y254)</f>
        <v>969592.8037</v>
      </c>
    </row>
    <row r="245" ht="15.75" customHeight="1">
      <c r="A245" s="171">
        <f t="shared" si="1"/>
        <v>239</v>
      </c>
      <c r="B245" s="171">
        <f t="shared" si="2"/>
        <v>20</v>
      </c>
      <c r="C245" s="176">
        <f>EDATE(RCD,A244)</f>
        <v>49795</v>
      </c>
      <c r="D245" s="171">
        <f>Age_At_Entry+'Cashflows_8% from Start'!B245-1</f>
        <v>54</v>
      </c>
      <c r="E245" s="175">
        <f>IF(AND(C245&lt;=Last_Prem,MOD(A244,Mode)=0),Mod_Prem,0)</f>
        <v>0</v>
      </c>
      <c r="F245" s="177">
        <f>E245*VLOOKUP(B245,'Pre-Calculation'!$H$1:$I$31,2,FALSE)</f>
        <v>0</v>
      </c>
      <c r="G245" s="177">
        <f>IF(B245&lt;PT+1,VLOOKUP(B245,'Pre-Calculation'!$H$1:$L$32,3,FALSE)+VLOOKUP(B245,'Pre-Calculation'!$H$1:$L$32,4,FALSE)*'Pre-Calculation'!$D$7,0)</f>
        <v>0</v>
      </c>
      <c r="H245" s="175">
        <f>(E245-(F245+G245)*(1+Tax)+N244)</f>
        <v>2313058.337</v>
      </c>
      <c r="I245" s="175">
        <f>IF(B245&lt;PT+1,VLOOKUP(D245,'Pre-Calculation'!$N$3:$P$79,IF(INPUT!$C$4="M",2,3),FALSE)*(J245/1000)*(1/12),0)</f>
        <v>0</v>
      </c>
      <c r="J245" s="175">
        <f t="shared" si="3"/>
        <v>0</v>
      </c>
      <c r="K245" s="175">
        <f>IF('Pre-Calculation'!$D$17="Type 4 a",MAX(SA,H245,1.05*Q245),IF('Pre-Calculation'!$D$17="Type 4 c",H245,IF('Pre-Calculation'!$D$17="Type 4 d",SA+H245,IF('Pre-Calculation'!$D$17="Type 4 e",MAX(SA,H245),IF('Pre-Calculation'!$D$17="Type 4 f",SA,IF('Pre-Calculation'!$D$17="Type 4 g",1000+H245,IF('Pre-Calculation'!$D$17="Type 4 h",SA+X245,IF('Pre-Calculation'!$D$17="Type 4 i",MAX(H245,Q245),IF('Pre-Calculation'!$D$17="Type 4 k",MAX(H245,1.01*Q245),IF('Pre-Calculation'!$D$17="Type 4 m",MAX(105%*Q245,SA+H245),IF('Pre-Calculation'!$D$17="Type 4 o",MAX(SA,105%*Q245)+X245+Z245,IF('Pre-Calculation'!$D$17="Type 5",0))))))))))))</f>
        <v>2313058.337</v>
      </c>
      <c r="L245" s="175">
        <f>H245-I245*(1+Tax)</f>
        <v>2313058.337</v>
      </c>
      <c r="M245" s="175">
        <f>L245*(1+GROWTH_RATE_H)*(1-FMC*(1+Tax))</f>
        <v>2324851.963</v>
      </c>
      <c r="N245" s="175">
        <f>M245+IF(MOD(A245,B245)=0,VLOOKUP(B245,'Pre-Calculation'!$H$1:$L$31,5,FALSE),0)*IF('Pre-Calculation'!$D$16="% OF FV",M245,IF(OR('Pre-Calculation'!$D$16="% OF AFV(24M)",'Pre-Calculation'!$D$16="% OF AFV(8Q)"),AVERAGE( $M222:$M245),IF('Pre-Calculation'!$D$16="% OF AFV(12M)",AVERAGE($M234:M245),IF('Pre-Calculation'!$D$16="% OF AFV(36M)",AVERAGE($M210:M245)))))</f>
        <v>2324851.963</v>
      </c>
      <c r="O245" s="175">
        <f t="shared" si="4"/>
        <v>2324851.963</v>
      </c>
      <c r="P245" s="175">
        <f>IF('Pre-Calculation'!$D$17="Type 4 a",MAX(SA,N245,1.05*Q245),IF('Pre-Calculation'!$D$17="Type 4 c",N245,IF('Pre-Calculation'!$D$17="Type 4 d",SA+N245,IF('Pre-Calculation'!$D$17="Type 4 e",MAX(SA,N245),IF('Pre-Calculation'!$D$17="Type 4 f",SA,IF('Pre-Calculation'!$D$17="Type 4 g",1000+N245,IF('Pre-Calculation'!$D$17="Type 4 h",SA+X245,IF('Pre-Calculation'!$D$17="Type 4 i",MAX(N245,Q245),IF('Pre-Calculation'!$D$17="Type 4 k",MAX(N245,1.01*Q245),IF('Pre-Calculation'!$D$17="Type 4 m",MAX(105%*Q245,SA+N245),IF('Pre-Calculation'!$D$17="Type 4 o",MAX(SA,105%*Q245)+X245+Z245,IF('Pre-Calculation'!$D$17="Type 5",0))))))))))))</f>
        <v>2324851.963</v>
      </c>
      <c r="Q245" s="175">
        <f t="shared" si="5"/>
        <v>1600000</v>
      </c>
      <c r="R245" s="119">
        <f>L245*(1+GROWTH_RATE)*FMC</f>
        <v>2617.508983</v>
      </c>
      <c r="S245" s="178">
        <f>S244*(1+'Pre-Calculation'!$E$27)</f>
        <v>1289660.277</v>
      </c>
      <c r="T245" s="175">
        <f>-E245+IF(A244=INPUT!$C$11*12,N245,0)</f>
        <v>0</v>
      </c>
      <c r="U245" s="175">
        <f t="shared" si="6"/>
        <v>2427207.505</v>
      </c>
      <c r="V245" s="175">
        <f>U245*(1+GROWTH_RATE_H)*(1-'Pre-Calculation'!$E$31)</f>
        <v>2438756.137</v>
      </c>
      <c r="W245" s="175">
        <f>-E245+IF(A244=INPUT!$C$11*12,V245,0)</f>
        <v>0</v>
      </c>
      <c r="X245" s="179">
        <f t="array" ref="X245">NPV('Pre-Calculation'!$E$20,$E246:E$246)</f>
        <v>0</v>
      </c>
      <c r="Y245" s="171">
        <f>10%*SA</f>
        <v>100000</v>
      </c>
      <c r="Z245" s="179">
        <f t="array" ref="Z245">NPV('Pre-Calculation'!$E$20,Y246:Y255)</f>
        <v>969592.8037</v>
      </c>
    </row>
    <row r="246" ht="15.75" customHeight="1">
      <c r="A246" s="171">
        <f t="shared" si="1"/>
        <v>240</v>
      </c>
      <c r="B246" s="171">
        <f t="shared" si="2"/>
        <v>20</v>
      </c>
      <c r="C246" s="176">
        <f>EDATE(RCD,A245)</f>
        <v>49825</v>
      </c>
      <c r="D246" s="171">
        <f>Age_At_Entry+'Cashflows_8% from Start'!B246-1</f>
        <v>54</v>
      </c>
      <c r="E246" s="175">
        <f>IF(AND(C246&lt;=Last_Prem,MOD(A245,Mode)=0),Mod_Prem,0)</f>
        <v>0</v>
      </c>
      <c r="F246" s="177">
        <f>E246*VLOOKUP(B246,'Pre-Calculation'!$H$1:$I$31,2,FALSE)</f>
        <v>0</v>
      </c>
      <c r="G246" s="177">
        <f>IF(B246&lt;PT+1,VLOOKUP(B246,'Pre-Calculation'!$H$1:$L$32,3,FALSE)+VLOOKUP(B246,'Pre-Calculation'!$H$1:$L$32,4,FALSE)*'Pre-Calculation'!$D$7,0)</f>
        <v>0</v>
      </c>
      <c r="H246" s="175">
        <f>(E246-(F246+G246)*(1+Tax)+N245)</f>
        <v>2324851.963</v>
      </c>
      <c r="I246" s="175">
        <f>IF(B246&lt;PT+1,VLOOKUP(D246,'Pre-Calculation'!$N$3:$P$79,IF(INPUT!$C$4="M",2,3),FALSE)*(J246/1000)*(1/12),0)</f>
        <v>0</v>
      </c>
      <c r="J246" s="175">
        <f t="shared" si="3"/>
        <v>0</v>
      </c>
      <c r="K246" s="175">
        <f>IF('Pre-Calculation'!$D$17="Type 4 a",MAX(SA,H246,1.05*Q246),IF('Pre-Calculation'!$D$17="Type 4 c",H246,IF('Pre-Calculation'!$D$17="Type 4 d",SA+H246,IF('Pre-Calculation'!$D$17="Type 4 e",MAX(SA,H246),IF('Pre-Calculation'!$D$17="Type 4 f",SA,IF('Pre-Calculation'!$D$17="Type 4 g",1000+H246,IF('Pre-Calculation'!$D$17="Type 4 h",SA+X246,IF('Pre-Calculation'!$D$17="Type 4 i",MAX(H246,Q246),IF('Pre-Calculation'!$D$17="Type 4 k",MAX(H246,1.01*Q246),IF('Pre-Calculation'!$D$17="Type 4 m",MAX(105%*Q246,SA+H246),IF('Pre-Calculation'!$D$17="Type 4 o",MAX(SA,105%*Q246)+X246+Z246,IF('Pre-Calculation'!$D$17="Type 5",0))))))))))))</f>
        <v>2324851.963</v>
      </c>
      <c r="L246" s="175">
        <f>H246-I246*(1+Tax)</f>
        <v>2324851.963</v>
      </c>
      <c r="M246" s="175">
        <f>L246*(1+GROWTH_RATE_H)*(1-FMC*(1+Tax))</f>
        <v>2336705.722</v>
      </c>
      <c r="N246" s="175">
        <f>M246+IF(MOD(A246,B246)=0,VLOOKUP(B246,'Pre-Calculation'!$H$1:$L$31,5,FALSE),0)*IF('Pre-Calculation'!$D$16="% OF FV",M246,IF(OR('Pre-Calculation'!$D$16="% OF AFV(24M)",'Pre-Calculation'!$D$16="% OF AFV(8Q)"),AVERAGE( $M223:$M246),IF('Pre-Calculation'!$D$16="% OF AFV(12M)",AVERAGE($M235:M246),IF('Pre-Calculation'!$D$16="% OF AFV(36M)",AVERAGE($M211:M246)))))</f>
        <v>2336705.722</v>
      </c>
      <c r="O246" s="175">
        <f t="shared" si="4"/>
        <v>2336705.722</v>
      </c>
      <c r="P246" s="175">
        <f>IF('Pre-Calculation'!$D$17="Type 4 a",MAX(SA,N246,1.05*Q246),IF('Pre-Calculation'!$D$17="Type 4 c",N246,IF('Pre-Calculation'!$D$17="Type 4 d",SA+N246,IF('Pre-Calculation'!$D$17="Type 4 e",MAX(SA,N246),IF('Pre-Calculation'!$D$17="Type 4 f",SA,IF('Pre-Calculation'!$D$17="Type 4 g",1000+N246,IF('Pre-Calculation'!$D$17="Type 4 h",SA+X246,IF('Pre-Calculation'!$D$17="Type 4 i",MAX(N246,Q246),IF('Pre-Calculation'!$D$17="Type 4 k",MAX(N246,1.01*Q246),IF('Pre-Calculation'!$D$17="Type 4 m",MAX(105%*Q246,SA+N246),IF('Pre-Calculation'!$D$17="Type 4 o",MAX(SA,105%*Q246)+X246+Z246,IF('Pre-Calculation'!$D$17="Type 5",0))))))))))))</f>
        <v>2336705.722</v>
      </c>
      <c r="Q246" s="175">
        <f t="shared" si="5"/>
        <v>1600000</v>
      </c>
      <c r="R246" s="119">
        <f>L246*(1+GROWTH_RATE)*FMC</f>
        <v>2630.854917</v>
      </c>
      <c r="S246" s="178">
        <f>S245*(1+'Pre-Calculation'!$E$27)</f>
        <v>1293362.761</v>
      </c>
      <c r="T246" s="175">
        <f>-E246+IF(A245=INPUT!$C$11*12,N246,0)</f>
        <v>0</v>
      </c>
      <c r="U246" s="175">
        <f t="shared" si="6"/>
        <v>2438756.137</v>
      </c>
      <c r="V246" s="175">
        <f>U246*(1+GROWTH_RATE_H)*(1-'Pre-Calculation'!$E$31)</f>
        <v>2450359.717</v>
      </c>
      <c r="W246" s="175">
        <f>-E246+IF(A245=INPUT!$C$11*12,V246,0)</f>
        <v>0</v>
      </c>
      <c r="X246" s="179">
        <f t="array" ref="X246">NPV('Pre-Calculation'!$E$20,$E$246:E247)</f>
        <v>0</v>
      </c>
      <c r="Y246" s="171">
        <f>10%*SA</f>
        <v>100000</v>
      </c>
      <c r="Z246" s="179">
        <f t="array" ref="Z246">NPV('Pre-Calculation'!$E$20,Y247:Y256)</f>
        <v>969592.8037</v>
      </c>
    </row>
    <row r="247" ht="15.75" customHeight="1">
      <c r="A247" s="12"/>
      <c r="B247" s="171"/>
      <c r="C247" s="12"/>
      <c r="D247" s="12"/>
      <c r="E247" s="171"/>
      <c r="F247" s="12"/>
      <c r="G247" s="12"/>
      <c r="H247" s="12"/>
      <c r="I247" s="12"/>
      <c r="J247" s="12"/>
      <c r="K247" s="12"/>
      <c r="L247" s="12"/>
      <c r="M247" s="12"/>
      <c r="N247" s="12"/>
      <c r="O247" s="12"/>
      <c r="P247" s="12"/>
      <c r="Q247" s="12"/>
      <c r="R247" s="12"/>
      <c r="S247" s="12"/>
      <c r="T247" s="12"/>
      <c r="U247" s="12"/>
      <c r="V247" s="12"/>
      <c r="W247" s="12"/>
      <c r="X247" s="12"/>
      <c r="Y247" s="36">
        <f>10%*SA</f>
        <v>100000</v>
      </c>
      <c r="Z247" s="12"/>
    </row>
    <row r="248" ht="15.75" customHeight="1">
      <c r="A248" s="12"/>
      <c r="B248" s="12"/>
      <c r="C248" s="12"/>
      <c r="D248" s="12"/>
      <c r="E248" s="171"/>
      <c r="F248" s="12"/>
      <c r="G248" s="12"/>
      <c r="H248" s="12"/>
      <c r="I248" s="12"/>
      <c r="J248" s="12"/>
      <c r="K248" s="12"/>
      <c r="L248" s="12"/>
      <c r="M248" s="12"/>
      <c r="N248" s="12"/>
      <c r="O248" s="12"/>
      <c r="P248" s="12"/>
      <c r="Q248" s="12"/>
      <c r="R248" s="12"/>
      <c r="S248" s="12"/>
      <c r="T248" s="12"/>
      <c r="U248" s="12"/>
      <c r="V248" s="12"/>
      <c r="W248" s="12"/>
      <c r="X248" s="12"/>
      <c r="Y248" s="36">
        <f>10%*SA</f>
        <v>100000</v>
      </c>
      <c r="Z248" s="12"/>
    </row>
    <row r="249" ht="15.75" customHeight="1">
      <c r="A249" s="12"/>
      <c r="B249" s="12"/>
      <c r="C249" s="12"/>
      <c r="D249" s="12"/>
      <c r="E249" s="171"/>
      <c r="F249" s="12"/>
      <c r="G249" s="12"/>
      <c r="H249" s="12"/>
      <c r="I249" s="12"/>
      <c r="J249" s="12"/>
      <c r="K249" s="12"/>
      <c r="L249" s="12"/>
      <c r="M249" s="12"/>
      <c r="N249" s="12"/>
      <c r="O249" s="12"/>
      <c r="P249" s="12"/>
      <c r="Q249" s="12"/>
      <c r="R249" s="12"/>
      <c r="S249" s="12"/>
      <c r="T249" s="12"/>
      <c r="U249" s="12"/>
      <c r="V249" s="12"/>
      <c r="W249" s="12"/>
      <c r="X249" s="12"/>
      <c r="Y249" s="36">
        <f>10%*SA</f>
        <v>100000</v>
      </c>
      <c r="Z249" s="12"/>
    </row>
    <row r="250" ht="15.75" customHeight="1">
      <c r="A250" s="12"/>
      <c r="B250" s="12"/>
      <c r="C250" s="12"/>
      <c r="D250" s="12"/>
      <c r="E250" s="171"/>
      <c r="F250" s="12"/>
      <c r="G250" s="12"/>
      <c r="H250" s="12"/>
      <c r="I250" s="12"/>
      <c r="J250" s="12"/>
      <c r="K250" s="12"/>
      <c r="L250" s="12"/>
      <c r="M250" s="12"/>
      <c r="N250" s="12"/>
      <c r="O250" s="12"/>
      <c r="P250" s="12"/>
      <c r="Q250" s="12"/>
      <c r="R250" s="12"/>
      <c r="S250" s="12"/>
      <c r="T250" s="12"/>
      <c r="U250" s="12"/>
      <c r="V250" s="12"/>
      <c r="W250" s="12"/>
      <c r="X250" s="12"/>
      <c r="Y250" s="36">
        <f>10%*SA</f>
        <v>100000</v>
      </c>
      <c r="Z250" s="12"/>
    </row>
    <row r="251" ht="15.75" customHeight="1">
      <c r="A251" s="12"/>
      <c r="B251" s="12"/>
      <c r="C251" s="12"/>
      <c r="D251" s="12"/>
      <c r="E251" s="171"/>
      <c r="F251" s="12"/>
      <c r="G251" s="12"/>
      <c r="H251" s="12"/>
      <c r="I251" s="12"/>
      <c r="J251" s="12"/>
      <c r="K251" s="12"/>
      <c r="L251" s="12"/>
      <c r="M251" s="12"/>
      <c r="N251" s="12"/>
      <c r="O251" s="12"/>
      <c r="P251" s="12"/>
      <c r="Q251" s="12"/>
      <c r="R251" s="12"/>
      <c r="S251" s="12"/>
      <c r="T251" s="12"/>
      <c r="U251" s="12"/>
      <c r="V251" s="12"/>
      <c r="W251" s="12"/>
      <c r="X251" s="12"/>
      <c r="Y251" s="36">
        <f>10%*SA</f>
        <v>100000</v>
      </c>
      <c r="Z251" s="12"/>
    </row>
    <row r="252" ht="15.75" customHeight="1">
      <c r="A252" s="12"/>
      <c r="B252" s="12"/>
      <c r="C252" s="12"/>
      <c r="D252" s="12"/>
      <c r="E252" s="171"/>
      <c r="F252" s="12"/>
      <c r="G252" s="12"/>
      <c r="H252" s="12"/>
      <c r="I252" s="12"/>
      <c r="J252" s="12"/>
      <c r="K252" s="12"/>
      <c r="L252" s="12"/>
      <c r="M252" s="12"/>
      <c r="N252" s="12"/>
      <c r="O252" s="12"/>
      <c r="P252" s="12"/>
      <c r="Q252" s="12"/>
      <c r="R252" s="12"/>
      <c r="S252" s="12"/>
      <c r="T252" s="12"/>
      <c r="U252" s="12"/>
      <c r="V252" s="12"/>
      <c r="W252" s="12"/>
      <c r="X252" s="12"/>
      <c r="Y252" s="36">
        <f>10%*SA</f>
        <v>100000</v>
      </c>
      <c r="Z252" s="12"/>
    </row>
    <row r="253" ht="15.75" customHeight="1">
      <c r="A253" s="12"/>
      <c r="B253" s="12"/>
      <c r="C253" s="12"/>
      <c r="D253" s="12"/>
      <c r="E253" s="171"/>
      <c r="F253" s="12"/>
      <c r="G253" s="12"/>
      <c r="H253" s="12"/>
      <c r="I253" s="12"/>
      <c r="J253" s="12"/>
      <c r="K253" s="12"/>
      <c r="L253" s="12"/>
      <c r="M253" s="12"/>
      <c r="N253" s="12"/>
      <c r="O253" s="12"/>
      <c r="P253" s="12"/>
      <c r="Q253" s="12"/>
      <c r="R253" s="12"/>
      <c r="S253" s="12"/>
      <c r="T253" s="12"/>
      <c r="U253" s="12"/>
      <c r="V253" s="12"/>
      <c r="W253" s="12"/>
      <c r="X253" s="12"/>
      <c r="Y253" s="36">
        <f>10%*SA</f>
        <v>100000</v>
      </c>
      <c r="Z253" s="12"/>
    </row>
    <row r="254" ht="15.75" customHeight="1">
      <c r="A254" s="12"/>
      <c r="B254" s="12"/>
      <c r="C254" s="12"/>
      <c r="D254" s="12"/>
      <c r="E254" s="171"/>
      <c r="F254" s="12"/>
      <c r="G254" s="12"/>
      <c r="H254" s="12"/>
      <c r="I254" s="12"/>
      <c r="J254" s="12"/>
      <c r="K254" s="12"/>
      <c r="L254" s="12"/>
      <c r="M254" s="12"/>
      <c r="N254" s="12"/>
      <c r="O254" s="12"/>
      <c r="P254" s="12"/>
      <c r="Q254" s="12"/>
      <c r="R254" s="12"/>
      <c r="S254" s="12"/>
      <c r="T254" s="12"/>
      <c r="U254" s="12"/>
      <c r="V254" s="12"/>
      <c r="W254" s="12"/>
      <c r="X254" s="12"/>
      <c r="Y254" s="36">
        <f>10%*SA</f>
        <v>100000</v>
      </c>
      <c r="Z254" s="12"/>
    </row>
    <row r="255" ht="15.75" customHeight="1">
      <c r="A255" s="12"/>
      <c r="B255" s="12"/>
      <c r="C255" s="12"/>
      <c r="D255" s="12"/>
      <c r="E255" s="171"/>
      <c r="F255" s="12"/>
      <c r="G255" s="12"/>
      <c r="H255" s="12"/>
      <c r="I255" s="12"/>
      <c r="J255" s="12"/>
      <c r="K255" s="12"/>
      <c r="L255" s="12"/>
      <c r="M255" s="12"/>
      <c r="N255" s="12"/>
      <c r="O255" s="12"/>
      <c r="P255" s="12"/>
      <c r="Q255" s="12"/>
      <c r="R255" s="12"/>
      <c r="S255" s="12"/>
      <c r="T255" s="12"/>
      <c r="U255" s="12"/>
      <c r="V255" s="12"/>
      <c r="W255" s="12"/>
      <c r="X255" s="12"/>
      <c r="Y255" s="36">
        <f>10%*SA</f>
        <v>100000</v>
      </c>
      <c r="Z255" s="12"/>
    </row>
    <row r="256" ht="15.75" customHeight="1">
      <c r="A256" s="12"/>
      <c r="B256" s="12"/>
      <c r="C256" s="12"/>
      <c r="D256" s="12"/>
      <c r="E256" s="171"/>
      <c r="F256" s="12"/>
      <c r="G256" s="12"/>
      <c r="H256" s="12"/>
      <c r="I256" s="12"/>
      <c r="J256" s="12"/>
      <c r="K256" s="12"/>
      <c r="L256" s="12"/>
      <c r="M256" s="12"/>
      <c r="N256" s="12"/>
      <c r="O256" s="12"/>
      <c r="P256" s="12"/>
      <c r="Q256" s="12"/>
      <c r="R256" s="12"/>
      <c r="S256" s="12"/>
      <c r="T256" s="12"/>
      <c r="U256" s="12"/>
      <c r="V256" s="12"/>
      <c r="W256" s="12"/>
      <c r="X256" s="12"/>
      <c r="Y256" s="36">
        <f>10%*SA</f>
        <v>100000</v>
      </c>
      <c r="Z256" s="12"/>
    </row>
    <row r="257" ht="15.75" customHeight="1">
      <c r="A257" s="12"/>
      <c r="B257" s="12"/>
      <c r="C257" s="12"/>
      <c r="D257" s="12"/>
      <c r="E257" s="171"/>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71"/>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71"/>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71"/>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71"/>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71"/>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71"/>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71"/>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71"/>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71"/>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71"/>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71"/>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71"/>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71"/>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71"/>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71"/>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71"/>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71"/>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71"/>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71"/>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71"/>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71"/>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71"/>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71"/>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71"/>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71"/>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71"/>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71"/>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71"/>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71"/>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71"/>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71"/>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71"/>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71"/>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71"/>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71"/>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71"/>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71"/>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71"/>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71"/>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71"/>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71"/>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71"/>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71"/>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71"/>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71"/>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71"/>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71"/>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71"/>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71"/>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71"/>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71"/>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71"/>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71"/>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71"/>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71"/>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71"/>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71"/>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71"/>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71"/>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71"/>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71"/>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71"/>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71"/>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71"/>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71"/>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71"/>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71"/>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71"/>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71"/>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71"/>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71"/>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71"/>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71"/>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71"/>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71"/>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71"/>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71"/>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71"/>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71"/>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71"/>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71"/>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71"/>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71"/>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71"/>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71"/>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71"/>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71"/>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71"/>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71"/>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71"/>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71"/>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71"/>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71"/>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71"/>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71"/>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71"/>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71"/>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71"/>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71"/>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71"/>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71"/>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71"/>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71"/>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71"/>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71"/>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71"/>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71"/>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71"/>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71"/>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71"/>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71"/>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71"/>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71"/>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71"/>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71"/>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71"/>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71"/>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71"/>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71"/>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71"/>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71"/>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71"/>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71"/>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71"/>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71"/>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71"/>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71"/>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71"/>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71"/>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71"/>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71"/>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71"/>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71"/>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71"/>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71"/>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71"/>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71"/>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71"/>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71"/>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71"/>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71"/>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71"/>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71"/>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71"/>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71"/>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71"/>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71"/>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71"/>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71"/>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71"/>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71"/>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71"/>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71"/>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71"/>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71"/>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71"/>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71"/>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71"/>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71"/>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71"/>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71"/>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71"/>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71"/>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71"/>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71"/>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71"/>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71"/>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71"/>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71"/>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71"/>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71"/>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71"/>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71"/>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71"/>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71"/>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71"/>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71"/>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71"/>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71"/>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71"/>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71"/>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71"/>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71"/>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71"/>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71"/>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71"/>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71"/>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71"/>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71"/>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0" width="12.63"/>
    <col customWidth="1" min="11" max="11" width="20.13"/>
    <col customWidth="1" min="12" max="12" width="12.63"/>
    <col customWidth="1" min="13" max="13" width="16.88"/>
    <col customWidth="1" min="14" max="26" width="12.63"/>
  </cols>
  <sheetData>
    <row r="1">
      <c r="A1" s="12"/>
      <c r="B1" s="36"/>
      <c r="C1" s="169"/>
      <c r="D1" s="36"/>
      <c r="E1" s="36"/>
      <c r="F1" s="170"/>
      <c r="G1" s="12"/>
      <c r="H1" s="36"/>
      <c r="I1" s="36"/>
      <c r="J1" s="170"/>
      <c r="K1" s="170"/>
      <c r="L1" s="12"/>
      <c r="M1" s="36"/>
      <c r="N1" s="12"/>
      <c r="O1" s="12"/>
      <c r="P1" s="12"/>
      <c r="Q1" s="12"/>
      <c r="R1" s="12"/>
      <c r="S1" s="12"/>
      <c r="T1" s="36"/>
      <c r="U1" s="12"/>
      <c r="V1" s="12"/>
      <c r="W1" s="12"/>
      <c r="X1" s="12"/>
      <c r="Y1" s="12"/>
      <c r="Z1" s="12"/>
    </row>
    <row r="2">
      <c r="A2" s="36"/>
      <c r="B2" s="36"/>
      <c r="C2" s="36"/>
      <c r="D2" s="36"/>
      <c r="E2" s="36"/>
      <c r="F2" s="36"/>
      <c r="G2" s="36"/>
      <c r="H2" s="36"/>
      <c r="I2" s="36"/>
      <c r="J2" s="36"/>
      <c r="K2" s="36"/>
      <c r="L2" s="12"/>
      <c r="M2" s="36"/>
      <c r="N2" s="12"/>
      <c r="O2" s="12"/>
      <c r="P2" s="12"/>
      <c r="Q2" s="12"/>
      <c r="R2" s="12"/>
      <c r="S2" s="12"/>
      <c r="T2" s="184"/>
      <c r="U2" s="12"/>
      <c r="V2" s="12"/>
      <c r="W2" s="12"/>
      <c r="X2" s="12"/>
      <c r="Y2" s="12"/>
      <c r="Z2" s="12"/>
    </row>
    <row r="3">
      <c r="A3" s="36"/>
      <c r="B3" s="36"/>
      <c r="C3" s="36"/>
      <c r="D3" s="36"/>
      <c r="E3" s="36"/>
      <c r="F3" s="36"/>
      <c r="G3" s="36"/>
      <c r="H3" s="36"/>
      <c r="I3" s="36"/>
      <c r="J3" s="36"/>
      <c r="K3" s="36"/>
      <c r="L3" s="12"/>
      <c r="M3" s="36"/>
      <c r="N3" s="12"/>
      <c r="O3" s="12"/>
      <c r="P3" s="12"/>
      <c r="Q3" s="12"/>
      <c r="R3" s="12"/>
      <c r="S3" s="12"/>
      <c r="T3" s="36"/>
      <c r="U3" s="12"/>
      <c r="V3" s="12"/>
      <c r="W3" s="12"/>
      <c r="X3" s="12"/>
      <c r="Y3" s="12"/>
      <c r="Z3" s="12"/>
    </row>
    <row r="4">
      <c r="A4" s="171" t="s">
        <v>251</v>
      </c>
      <c r="B4" s="171" t="s">
        <v>215</v>
      </c>
      <c r="C4" s="171" t="s">
        <v>252</v>
      </c>
      <c r="D4" s="171" t="s">
        <v>225</v>
      </c>
      <c r="E4" s="171" t="s">
        <v>253</v>
      </c>
      <c r="F4" s="171" t="s">
        <v>216</v>
      </c>
      <c r="G4" s="171" t="s">
        <v>254</v>
      </c>
      <c r="H4" s="171" t="s">
        <v>255</v>
      </c>
      <c r="I4" s="171" t="s">
        <v>256</v>
      </c>
      <c r="J4" s="171" t="s">
        <v>257</v>
      </c>
      <c r="K4" s="171" t="s">
        <v>258</v>
      </c>
      <c r="L4" s="171" t="s">
        <v>259</v>
      </c>
      <c r="M4" s="171" t="s">
        <v>260</v>
      </c>
      <c r="N4" s="171" t="s">
        <v>261</v>
      </c>
      <c r="O4" s="171" t="s">
        <v>262</v>
      </c>
      <c r="P4" s="171" t="s">
        <v>239</v>
      </c>
      <c r="Q4" s="171" t="s">
        <v>263</v>
      </c>
      <c r="R4" s="112" t="s">
        <v>221</v>
      </c>
      <c r="S4" s="171" t="s">
        <v>62</v>
      </c>
      <c r="T4" s="172">
        <f>(IRR(T7:T246,0)+1)^12-1</f>
        <v>0.002639337764</v>
      </c>
      <c r="U4" s="171" t="s">
        <v>265</v>
      </c>
      <c r="V4" s="171" t="s">
        <v>266</v>
      </c>
      <c r="W4" s="172">
        <f>(IRR(W7:W246,0)+1)^12-1</f>
        <v>0.01969459506</v>
      </c>
      <c r="X4" s="112" t="s">
        <v>267</v>
      </c>
      <c r="Y4" s="112" t="s">
        <v>268</v>
      </c>
      <c r="Z4" s="112" t="s">
        <v>269</v>
      </c>
    </row>
    <row r="5">
      <c r="A5" s="171"/>
      <c r="B5" s="171"/>
      <c r="C5" s="171"/>
      <c r="D5" s="171"/>
      <c r="E5" s="171"/>
      <c r="F5" s="171"/>
      <c r="G5" s="171"/>
      <c r="H5" s="171"/>
      <c r="I5" s="171"/>
      <c r="J5" s="171"/>
      <c r="K5" s="171"/>
      <c r="L5" s="171"/>
      <c r="M5" s="171"/>
      <c r="N5" s="171"/>
      <c r="O5" s="171"/>
      <c r="P5" s="171"/>
      <c r="Q5" s="171"/>
      <c r="R5" s="112"/>
      <c r="S5" s="112"/>
      <c r="T5" s="171"/>
      <c r="U5" s="171"/>
      <c r="V5" s="112"/>
      <c r="W5" s="112"/>
      <c r="X5" s="112"/>
      <c r="Y5" s="171"/>
      <c r="Z5" s="171"/>
    </row>
    <row r="6">
      <c r="A6" s="171">
        <v>0.0</v>
      </c>
      <c r="B6" s="171"/>
      <c r="C6" s="171"/>
      <c r="D6" s="171"/>
      <c r="E6" s="171"/>
      <c r="F6" s="171"/>
      <c r="G6" s="173"/>
      <c r="H6" s="173"/>
      <c r="I6" s="173"/>
      <c r="J6" s="171"/>
      <c r="K6" s="171"/>
      <c r="L6" s="171"/>
      <c r="M6" s="171"/>
      <c r="N6" s="174">
        <v>0.0</v>
      </c>
      <c r="O6" s="171"/>
      <c r="P6" s="171"/>
      <c r="Q6" s="175">
        <f>Revival!C8+Revival!C14</f>
        <v>600000</v>
      </c>
      <c r="R6" s="112"/>
      <c r="S6" s="175">
        <f>SV</f>
        <v>650000</v>
      </c>
      <c r="T6" s="175"/>
      <c r="U6" s="171"/>
      <c r="V6" s="119">
        <f>N6</f>
        <v>0</v>
      </c>
      <c r="W6" s="112"/>
      <c r="X6" s="112"/>
      <c r="Y6" s="171"/>
      <c r="Z6" s="171"/>
    </row>
    <row r="7">
      <c r="A7" s="171">
        <f t="shared" ref="A7:A246" si="1">A6+1</f>
        <v>1</v>
      </c>
      <c r="B7" s="171">
        <f t="shared" ref="B7:B246" si="2">_xlfn.CEILING.MATH(A7/12)</f>
        <v>1</v>
      </c>
      <c r="C7" s="176">
        <f>EDATE(RCD,A6)</f>
        <v>42551</v>
      </c>
      <c r="D7" s="171">
        <f>Age_At_Entry+'Cashflows_4% from Start'!B7-1</f>
        <v>35</v>
      </c>
      <c r="E7" s="175">
        <f>IF(AND(C7&lt;=Last_Prem,MOD(A6,Mode)=0),Mod_Prem,0)</f>
        <v>100000</v>
      </c>
      <c r="F7" s="177">
        <f>IF(B7&lt;PT+1,E7*VLOOKUP(B7,'Pre-Calculation'!$H$1:$I$31,2,FALSE),0)</f>
        <v>6000</v>
      </c>
      <c r="G7" s="177">
        <f>IF(B7&lt;PT+1,VLOOKUP(B7,'Pre-Calculation'!$H$1:$L$32,3,FALSE)+VLOOKUP(B7,'Pre-Calculation'!$H$1:$L$32,4,FALSE)*'Pre-Calculation'!$D$7,0)</f>
        <v>420</v>
      </c>
      <c r="H7" s="175">
        <f>(E7-(F7+G7)*(1+Tax)+N6)</f>
        <v>92424.4</v>
      </c>
      <c r="I7" s="175">
        <f>IF(B7&lt;PT+1,VLOOKUP(D7,'Pre-Calculation'!$N$3:$P$79,IF(INPUT!$C$4="M",2,3),FALSE)*(J7/1000)*(1/12),0)</f>
        <v>96.9593266</v>
      </c>
      <c r="J7" s="175">
        <f t="shared" ref="J7:J246" si="3">MAX(0,(K7-H7))</f>
        <v>907575.6</v>
      </c>
      <c r="K7" s="175">
        <f>IF('Pre-Calculation'!$D$17="Type 4 a",MAX(SA,H7,1.05*Q7),IF('Pre-Calculation'!$D$17="Type 4 c",H7,IF('Pre-Calculation'!$D$17="Type 4 d",SA+H7,IF('Pre-Calculation'!$D$17="Type 4 e",MAX(SA,H7),IF('Pre-Calculation'!$D$17="Type 4 f",SA,IF('Pre-Calculation'!$D$17="Type 4 g",1000+H7,IF('Pre-Calculation'!$D$17="Type 4 h",SA+X7,IF('Pre-Calculation'!$D$17="Type 4 i",MAX(H7,Q7),IF('Pre-Calculation'!$D$17="Type 4 k",MAX(H7,1.01*Q7),IF('Pre-Calculation'!$D$17="Type 4 m",MAX(105%*Q7,SA+H7),IF('Pre-Calculation'!$D$17="Type 4 o",MAX(SA,105%*Q7)+X7+Z7,IF('Pre-Calculation'!$D$17="Type 5",0))))))))))))</f>
        <v>1000000</v>
      </c>
      <c r="L7" s="175">
        <f>H7-I7*(1+Tax)</f>
        <v>92309.98799</v>
      </c>
      <c r="M7" s="175">
        <f>L7*(1+GROWTH_RATE_L)*(1-FMC*(1+Tax))</f>
        <v>92489.31105</v>
      </c>
      <c r="N7" s="175">
        <f>M7+IF(MOD(A7,B7)=0,VLOOKUP(B7,'Pre-Calculation'!$H$1:$L$31,5,FALSE),0)*IF('Pre-Calculation'!$D$16="% OF FV",M7,IF(OR('Pre-Calculation'!$D$16="% OF AFV(24M)",'Pre-Calculation'!$D$16="% OF AFV(8Q)"),AVERAGE( $M$7:$M7),IF('Pre-Calculation'!$D$16="% OF AFV(12M)",AVERAGE($M$7:M7),IF('Pre-Calculation'!$D$16="% OF AFV(36M)",AVERAGE($M$7:M7)))))</f>
        <v>92489.31105</v>
      </c>
      <c r="O7" s="175">
        <f t="shared" ref="O7:O246" si="4">N7</f>
        <v>92489.31105</v>
      </c>
      <c r="P7" s="175">
        <f>IF('Pre-Calculation'!$D$17="Type 4 a",MAX(SA,N7,1.05*Q7),IF('Pre-Calculation'!$D$17="Type 4 c",N7,IF('Pre-Calculation'!$D$17="Type 4 d",SA+N7,IF('Pre-Calculation'!$D$17="Type 4 e",MAX(SA,N7),IF('Pre-Calculation'!$D$17="Type 4 f",SA,IF('Pre-Calculation'!$D$17="Type 4 g",1000+N7,IF('Pre-Calculation'!$D$17="Type 4 h",SA+X7,IF('Pre-Calculation'!$D$17="Type 4 i",MAX(N7,Q7),IF('Pre-Calculation'!$D$17="Type 4 k",MAX(N7,1.01*Q7),IF('Pre-Calculation'!$D$17="Type 4 m",MAX(105%*Q7,SA+N7),IF('Pre-Calculation'!$D$17="Type 4 o",MAX(SA,105%*Q7)+X7+Z7,IF('Pre-Calculation'!$D$17="Type 5",0))))))))))))</f>
        <v>1000000</v>
      </c>
      <c r="Q7" s="175">
        <f t="shared" ref="Q7:Q246" si="5">Q6+E7</f>
        <v>700000</v>
      </c>
      <c r="R7" s="119">
        <f>L7*(1+GROWTH_RATE)*FMC</f>
        <v>104.4600644</v>
      </c>
      <c r="S7" s="178">
        <f>S6*(1+'Pre-Calculation'!$E$27)</f>
        <v>651866.0842</v>
      </c>
      <c r="T7" s="174">
        <f>-E7+IF(A6=INPUT!$C$11*12,N7,0)-N6</f>
        <v>-100000</v>
      </c>
      <c r="U7" s="175">
        <f t="shared" ref="U7:U246" si="6">V6+E7</f>
        <v>100000</v>
      </c>
      <c r="V7" s="175">
        <f>U7*(1+GROWTH_RATE_L)*(1-'Pre-Calculation'!$E$31)</f>
        <v>100160.2964</v>
      </c>
      <c r="W7" s="174">
        <f>-E7+IF(A6=INPUT!$C$11*12,V7,0)-N6</f>
        <v>-100000</v>
      </c>
      <c r="X7" s="179">
        <f t="array" ref="X7">NPV('Pre-Calculation'!$E$20,$E8:E$246)</f>
        <v>651523.2249</v>
      </c>
      <c r="Y7" s="171">
        <f>10%*SA</f>
        <v>100000</v>
      </c>
      <c r="Z7" s="179">
        <f t="array" ref="Z7">NPV('Pre-Calculation'!$E$20,Y8:Y17)</f>
        <v>969592.8037</v>
      </c>
    </row>
    <row r="8">
      <c r="A8" s="171">
        <f t="shared" si="1"/>
        <v>2</v>
      </c>
      <c r="B8" s="171">
        <f t="shared" si="2"/>
        <v>1</v>
      </c>
      <c r="C8" s="176">
        <f>EDATE(RCD,A7)</f>
        <v>42581</v>
      </c>
      <c r="D8" s="171">
        <f>Age_At_Entry+'Cashflows_4% from Start'!B8-1</f>
        <v>35</v>
      </c>
      <c r="E8" s="175">
        <f>IF(AND(C8&lt;=Last_Prem,MOD(A7,Mode)=0),Mod_Prem,0)</f>
        <v>0</v>
      </c>
      <c r="F8" s="177">
        <f>IF(B8&lt;PT+1,E8*VLOOKUP(B8,'Pre-Calculation'!$H$1:$I$31,2,FALSE),0)</f>
        <v>0</v>
      </c>
      <c r="G8" s="177">
        <f>IF(B8&lt;PT+1,VLOOKUP(B8,'Pre-Calculation'!$H$1:$L$32,3,FALSE)+VLOOKUP(B8,'Pre-Calculation'!$H$1:$L$32,4,FALSE)*'Pre-Calculation'!$D$7,0)</f>
        <v>420</v>
      </c>
      <c r="H8" s="175">
        <f>(E8-(F8+G8)*(1+Tax)+N7)</f>
        <v>91993.71105</v>
      </c>
      <c r="I8" s="175">
        <f>IF(B8&lt;PT+1,VLOOKUP(D8,'Pre-Calculation'!$N$3:$P$79,IF(INPUT!$C$4="M",2,3),FALSE)*(J8/1000)*(1/12),0)</f>
        <v>97.00533854</v>
      </c>
      <c r="J8" s="175">
        <f t="shared" si="3"/>
        <v>908006.2889</v>
      </c>
      <c r="K8" s="175">
        <f>IF('Pre-Calculation'!$D$17="Type 4 a",MAX(SA,H8,1.05*Q8),IF('Pre-Calculation'!$D$17="Type 4 c",H8,IF('Pre-Calculation'!$D$17="Type 4 d",SA+H8,IF('Pre-Calculation'!$D$17="Type 4 e",MAX(SA,H8),IF('Pre-Calculation'!$D$17="Type 4 f",SA,IF('Pre-Calculation'!$D$17="Type 4 g",1000+H8,IF('Pre-Calculation'!$D$17="Type 4 h",SA+X8,IF('Pre-Calculation'!$D$17="Type 4 i",MAX(H8,Q8),IF('Pre-Calculation'!$D$17="Type 4 k",MAX(H8,1.01*Q8),IF('Pre-Calculation'!$D$17="Type 4 m",MAX(105%*Q8,SA+H8),IF('Pre-Calculation'!$D$17="Type 4 o",MAX(SA,105%*Q8)+X8+Z8,IF('Pre-Calculation'!$D$17="Type 5",0))))))))))))</f>
        <v>1000000</v>
      </c>
      <c r="L8" s="175">
        <f>H8-I8*(1+Tax)</f>
        <v>91879.24476</v>
      </c>
      <c r="M8" s="175">
        <f>L8*(1+GROWTH_RATE_L)*(1-FMC*(1+Tax))</f>
        <v>92057.73105</v>
      </c>
      <c r="N8" s="175">
        <f>M8+IF(MOD(A8,B8)=0,VLOOKUP(B8,'Pre-Calculation'!$H$1:$L$31,5,FALSE),0)*IF('Pre-Calculation'!$D$16="% OF FV",M8,IF(OR('Pre-Calculation'!$D$16="% OF AFV(24M)",'Pre-Calculation'!$D$16="% OF AFV(8Q)"),AVERAGE( $M$7:$M8),IF('Pre-Calculation'!$D$16="% OF AFV(12M)",AVERAGE($M$7:M8),IF('Pre-Calculation'!$D$16="% OF AFV(36M)",AVERAGE($M$7:M8)))))</f>
        <v>92057.73105</v>
      </c>
      <c r="O8" s="175">
        <f t="shared" si="4"/>
        <v>92057.73105</v>
      </c>
      <c r="P8" s="175">
        <f>IF('Pre-Calculation'!$D$17="Type 4 a",MAX(SA,N8,1.05*Q8),IF('Pre-Calculation'!$D$17="Type 4 c",N8,IF('Pre-Calculation'!$D$17="Type 4 d",SA+N8,IF('Pre-Calculation'!$D$17="Type 4 e",MAX(SA,N8),IF('Pre-Calculation'!$D$17="Type 4 f",SA,IF('Pre-Calculation'!$D$17="Type 4 g",1000+N8,IF('Pre-Calculation'!$D$17="Type 4 h",SA+X8,IF('Pre-Calculation'!$D$17="Type 4 i",MAX(N8,Q8),IF('Pre-Calculation'!$D$17="Type 4 k",MAX(N8,1.01*Q8),IF('Pre-Calculation'!$D$17="Type 4 m",MAX(105%*Q8,SA+N8),IF('Pre-Calculation'!$D$17="Type 4 o",MAX(SA,105%*Q8)+X8+Z8,IF('Pre-Calculation'!$D$17="Type 5",0))))))))))))</f>
        <v>1000000</v>
      </c>
      <c r="Q8" s="175">
        <f t="shared" si="5"/>
        <v>700000</v>
      </c>
      <c r="R8" s="119">
        <f>L8*(1+GROWTH_RATE)*FMC</f>
        <v>103.9726256</v>
      </c>
      <c r="S8" s="178">
        <f>S7*(1+'Pre-Calculation'!$E$27)</f>
        <v>653737.5257</v>
      </c>
      <c r="T8" s="175">
        <f>-E8+IF(A7=INPUT!$C$11*12,N8,0)</f>
        <v>0</v>
      </c>
      <c r="U8" s="175">
        <f t="shared" si="6"/>
        <v>100160.2964</v>
      </c>
      <c r="V8" s="175">
        <f>U8*(1+GROWTH_RATE_L)*(1-'Pre-Calculation'!$E$31)</f>
        <v>100320.8497</v>
      </c>
      <c r="W8" s="175">
        <f>-E8+IF(A7=INPUT!$C$11*12,V8,0)</f>
        <v>0</v>
      </c>
      <c r="X8" s="179">
        <f t="array" ref="X8">NPV('Pre-Calculation'!$E$20,$E9:E$246)</f>
        <v>655207.0319</v>
      </c>
      <c r="Y8" s="171">
        <f>10%*SA</f>
        <v>100000</v>
      </c>
      <c r="Z8" s="179">
        <f t="array" ref="Z8">NPV('Pre-Calculation'!$E$20,Y9:Y18)</f>
        <v>969592.8037</v>
      </c>
    </row>
    <row r="9">
      <c r="A9" s="171">
        <f t="shared" si="1"/>
        <v>3</v>
      </c>
      <c r="B9" s="171">
        <f t="shared" si="2"/>
        <v>1</v>
      </c>
      <c r="C9" s="176">
        <f>EDATE(RCD,A8)</f>
        <v>42612</v>
      </c>
      <c r="D9" s="171">
        <f>Age_At_Entry+'Cashflows_4% from Start'!B9-1</f>
        <v>35</v>
      </c>
      <c r="E9" s="175">
        <f>IF(AND(C9&lt;=Last_Prem,MOD(A8,Mode)=0),Mod_Prem,0)</f>
        <v>0</v>
      </c>
      <c r="F9" s="177">
        <f>IF(B9&lt;PT+1,E9*VLOOKUP(B9,'Pre-Calculation'!$H$1:$I$31,2,FALSE),0)</f>
        <v>0</v>
      </c>
      <c r="G9" s="177">
        <f>IF(B9&lt;PT+1,VLOOKUP(B9,'Pre-Calculation'!$H$1:$L$32,3,FALSE)+VLOOKUP(B9,'Pre-Calculation'!$H$1:$L$32,4,FALSE)*'Pre-Calculation'!$D$7,0)</f>
        <v>420</v>
      </c>
      <c r="H9" s="175">
        <f>(E9-(F9+G9)*(1+Tax)+N8)</f>
        <v>91562.13105</v>
      </c>
      <c r="I9" s="175">
        <f>IF(B9&lt;PT+1,VLOOKUP(D9,'Pre-Calculation'!$N$3:$P$79,IF(INPUT!$C$4="M",2,3),FALSE)*(J9/1000)*(1/12),0)</f>
        <v>97.05144567</v>
      </c>
      <c r="J9" s="175">
        <f t="shared" si="3"/>
        <v>908437.869</v>
      </c>
      <c r="K9" s="175">
        <f>IF('Pre-Calculation'!$D$17="Type 4 a",MAX(SA,H9,1.05*Q9),IF('Pre-Calculation'!$D$17="Type 4 c",H9,IF('Pre-Calculation'!$D$17="Type 4 d",SA+H9,IF('Pre-Calculation'!$D$17="Type 4 e",MAX(SA,H9),IF('Pre-Calculation'!$D$17="Type 4 f",SA,IF('Pre-Calculation'!$D$17="Type 4 g",1000+H9,IF('Pre-Calculation'!$D$17="Type 4 h",SA+X9,IF('Pre-Calculation'!$D$17="Type 4 i",MAX(H9,Q9),IF('Pre-Calculation'!$D$17="Type 4 k",MAX(H9,1.01*Q9),IF('Pre-Calculation'!$D$17="Type 4 m",MAX(105%*Q9,SA+H9),IF('Pre-Calculation'!$D$17="Type 4 o",MAX(SA,105%*Q9)+X9+Z9,IF('Pre-Calculation'!$D$17="Type 5",0))))))))))))</f>
        <v>1000000</v>
      </c>
      <c r="L9" s="175">
        <f>H9-I9*(1+Tax)</f>
        <v>91447.61034</v>
      </c>
      <c r="M9" s="175">
        <f>L9*(1+GROWTH_RATE_L)*(1-FMC*(1+Tax))</f>
        <v>91625.25813</v>
      </c>
      <c r="N9" s="175">
        <f>M9+IF(MOD(A9,B9)=0,VLOOKUP(B9,'Pre-Calculation'!$H$1:$L$31,5,FALSE),0)*IF('Pre-Calculation'!$D$16="% OF FV",M9,IF(OR('Pre-Calculation'!$D$16="% OF AFV(24M)",'Pre-Calculation'!$D$16="% OF AFV(8Q)"),AVERAGE( $M$7:$M9),IF('Pre-Calculation'!$D$16="% OF AFV(12M)",AVERAGE($M$7:M9),IF('Pre-Calculation'!$D$16="% OF AFV(36M)",AVERAGE($M$7:M9)))))</f>
        <v>91625.25813</v>
      </c>
      <c r="O9" s="175">
        <f t="shared" si="4"/>
        <v>91625.25813</v>
      </c>
      <c r="P9" s="175">
        <f>IF('Pre-Calculation'!$D$17="Type 4 a",MAX(SA,N9,1.05*Q9),IF('Pre-Calculation'!$D$17="Type 4 c",N9,IF('Pre-Calculation'!$D$17="Type 4 d",SA+N9,IF('Pre-Calculation'!$D$17="Type 4 e",MAX(SA,N9),IF('Pre-Calculation'!$D$17="Type 4 f",SA,IF('Pre-Calculation'!$D$17="Type 4 g",1000+N9,IF('Pre-Calculation'!$D$17="Type 4 h",SA+X9,IF('Pre-Calculation'!$D$17="Type 4 i",MAX(N9,Q9),IF('Pre-Calculation'!$D$17="Type 4 k",MAX(N9,1.01*Q9),IF('Pre-Calculation'!$D$17="Type 4 m",MAX(105%*Q9,SA+N9),IF('Pre-Calculation'!$D$17="Type 4 o",MAX(SA,105%*Q9)+X9+Z9,IF('Pre-Calculation'!$D$17="Type 5",0))))))))))))</f>
        <v>1000000</v>
      </c>
      <c r="Q9" s="175">
        <f t="shared" si="5"/>
        <v>700000</v>
      </c>
      <c r="R9" s="119">
        <f>L9*(1+GROWTH_RATE)*FMC</f>
        <v>103.4841784</v>
      </c>
      <c r="S9" s="178">
        <f>S8*(1+'Pre-Calculation'!$E$27)</f>
        <v>655614.3399</v>
      </c>
      <c r="T9" s="175">
        <f>-E9+IF(A8=INPUT!$C$11*12,N9,0)</f>
        <v>0</v>
      </c>
      <c r="U9" s="175">
        <f t="shared" si="6"/>
        <v>100320.8497</v>
      </c>
      <c r="V9" s="175">
        <f>U9*(1+GROWTH_RATE_L)*(1-'Pre-Calculation'!$E$31)</f>
        <v>100481.6604</v>
      </c>
      <c r="W9" s="175">
        <f>-E9+IF(A8=INPUT!$C$11*12,V9,0)</f>
        <v>0</v>
      </c>
      <c r="X9" s="179">
        <f t="array" ref="X9">NPV('Pre-Calculation'!$E$20,$E10:E$246)</f>
        <v>658911.6677</v>
      </c>
      <c r="Y9" s="171">
        <f>10%*SA</f>
        <v>100000</v>
      </c>
      <c r="Z9" s="179">
        <f t="array" ref="Z9">NPV('Pre-Calculation'!$E$20,Y10:Y19)</f>
        <v>969592.8037</v>
      </c>
    </row>
    <row r="10">
      <c r="A10" s="171">
        <f t="shared" si="1"/>
        <v>4</v>
      </c>
      <c r="B10" s="171">
        <f t="shared" si="2"/>
        <v>1</v>
      </c>
      <c r="C10" s="176">
        <f>EDATE(RCD,A9)</f>
        <v>42643</v>
      </c>
      <c r="D10" s="171">
        <f>Age_At_Entry+'Cashflows_4% from Start'!B10-1</f>
        <v>35</v>
      </c>
      <c r="E10" s="175">
        <f>IF(AND(C10&lt;=Last_Prem,MOD(A9,Mode)=0),Mod_Prem,0)</f>
        <v>0</v>
      </c>
      <c r="F10" s="177">
        <f>IF(B10&lt;PT+1,E10*VLOOKUP(B10,'Pre-Calculation'!$H$1:$I$31,2,FALSE),0)</f>
        <v>0</v>
      </c>
      <c r="G10" s="177">
        <f>IF(B10&lt;PT+1,VLOOKUP(B10,'Pre-Calculation'!$H$1:$L$32,3,FALSE)+VLOOKUP(B10,'Pre-Calculation'!$H$1:$L$32,4,FALSE)*'Pre-Calculation'!$D$7,0)</f>
        <v>420</v>
      </c>
      <c r="H10" s="175">
        <f>(E10-(F10+G10)*(1+Tax)+N9)</f>
        <v>91129.65813</v>
      </c>
      <c r="I10" s="175">
        <f>IF(B10&lt;PT+1,VLOOKUP(D10,'Pre-Calculation'!$N$3:$P$79,IF(INPUT!$C$4="M",2,3),FALSE)*(J10/1000)*(1/12),0)</f>
        <v>97.09764819</v>
      </c>
      <c r="J10" s="175">
        <f t="shared" si="3"/>
        <v>908870.3419</v>
      </c>
      <c r="K10" s="175">
        <f>IF('Pre-Calculation'!$D$17="Type 4 a",MAX(SA,H10,1.05*Q10),IF('Pre-Calculation'!$D$17="Type 4 c",H10,IF('Pre-Calculation'!$D$17="Type 4 d",SA+H10,IF('Pre-Calculation'!$D$17="Type 4 e",MAX(SA,H10),IF('Pre-Calculation'!$D$17="Type 4 f",SA,IF('Pre-Calculation'!$D$17="Type 4 g",1000+H10,IF('Pre-Calculation'!$D$17="Type 4 h",SA+X10,IF('Pre-Calculation'!$D$17="Type 4 i",MAX(H10,Q10),IF('Pre-Calculation'!$D$17="Type 4 k",MAX(H10,1.01*Q10),IF('Pre-Calculation'!$D$17="Type 4 m",MAX(105%*Q10,SA+H10),IF('Pre-Calculation'!$D$17="Type 4 o",MAX(SA,105%*Q10)+X10+Z10,IF('Pre-Calculation'!$D$17="Type 5",0))))))))))))</f>
        <v>1000000</v>
      </c>
      <c r="L10" s="175">
        <f>H10-I10*(1+Tax)</f>
        <v>91015.0829</v>
      </c>
      <c r="M10" s="175">
        <f>L10*(1+GROWTH_RATE_L)*(1-FMC*(1+Tax))</f>
        <v>91191.89046</v>
      </c>
      <c r="N10" s="175">
        <f>M10+IF(MOD(A10,B10)=0,VLOOKUP(B10,'Pre-Calculation'!$H$1:$L$31,5,FALSE),0)*IF('Pre-Calculation'!$D$16="% OF FV",M10,IF(OR('Pre-Calculation'!$D$16="% OF AFV(24M)",'Pre-Calculation'!$D$16="% OF AFV(8Q)"),AVERAGE( $M$7:$M10),IF('Pre-Calculation'!$D$16="% OF AFV(12M)",AVERAGE($M$7:M10),IF('Pre-Calculation'!$D$16="% OF AFV(36M)",AVERAGE($M$7:M10)))))</f>
        <v>91191.89046</v>
      </c>
      <c r="O10" s="175">
        <f t="shared" si="4"/>
        <v>91191.89046</v>
      </c>
      <c r="P10" s="175">
        <f>IF('Pre-Calculation'!$D$17="Type 4 a",MAX(SA,N10,1.05*Q10),IF('Pre-Calculation'!$D$17="Type 4 c",N10,IF('Pre-Calculation'!$D$17="Type 4 d",SA+N10,IF('Pre-Calculation'!$D$17="Type 4 e",MAX(SA,N10),IF('Pre-Calculation'!$D$17="Type 4 f",SA,IF('Pre-Calculation'!$D$17="Type 4 g",1000+N10,IF('Pre-Calculation'!$D$17="Type 4 h",SA+X10,IF('Pre-Calculation'!$D$17="Type 4 i",MAX(N10,Q10),IF('Pre-Calculation'!$D$17="Type 4 k",MAX(N10,1.01*Q10),IF('Pre-Calculation'!$D$17="Type 4 m",MAX(105%*Q10,SA+N10),IF('Pre-Calculation'!$D$17="Type 4 o",MAX(SA,105%*Q10)+X10+Z10,IF('Pre-Calculation'!$D$17="Type 5",0))))))))))))</f>
        <v>1000000</v>
      </c>
      <c r="Q10" s="175">
        <f t="shared" si="5"/>
        <v>700000</v>
      </c>
      <c r="R10" s="119">
        <f>L10*(1+GROWTH_RATE)*FMC</f>
        <v>102.9947206</v>
      </c>
      <c r="S10" s="178">
        <f>S9*(1+'Pre-Calculation'!$E$27)</f>
        <v>657496.5423</v>
      </c>
      <c r="T10" s="175">
        <f>-E10+IF(A9=INPUT!$C$11*12,N10,0)</f>
        <v>0</v>
      </c>
      <c r="U10" s="175">
        <f t="shared" si="6"/>
        <v>100481.6604</v>
      </c>
      <c r="V10" s="175">
        <f>U10*(1+GROWTH_RATE_L)*(1-'Pre-Calculation'!$E$31)</f>
        <v>100642.7289</v>
      </c>
      <c r="W10" s="175">
        <f>-E10+IF(A9=INPUT!$C$11*12,V10,0)</f>
        <v>0</v>
      </c>
      <c r="X10" s="179">
        <f t="array" ref="X10">NPV('Pre-Calculation'!$E$20,$E11:E$246)</f>
        <v>662637.2501</v>
      </c>
      <c r="Y10" s="171">
        <f>10%*SA</f>
        <v>100000</v>
      </c>
      <c r="Z10" s="179">
        <f t="array" ref="Z10">NPV('Pre-Calculation'!$E$20,Y11:Y20)</f>
        <v>969592.8037</v>
      </c>
    </row>
    <row r="11">
      <c r="A11" s="171">
        <f t="shared" si="1"/>
        <v>5</v>
      </c>
      <c r="B11" s="171">
        <f t="shared" si="2"/>
        <v>1</v>
      </c>
      <c r="C11" s="176">
        <f>EDATE(RCD,A10)</f>
        <v>42673</v>
      </c>
      <c r="D11" s="171">
        <f>Age_At_Entry+'Cashflows_4% from Start'!B11-1</f>
        <v>35</v>
      </c>
      <c r="E11" s="175">
        <f>IF(AND(C11&lt;=Last_Prem,MOD(A10,Mode)=0),Mod_Prem,0)</f>
        <v>0</v>
      </c>
      <c r="F11" s="177">
        <f>IF(B11&lt;PT+1,E11*VLOOKUP(B11,'Pre-Calculation'!$H$1:$I$31,2,FALSE),0)</f>
        <v>0</v>
      </c>
      <c r="G11" s="177">
        <f>IF(B11&lt;PT+1,VLOOKUP(B11,'Pre-Calculation'!$H$1:$L$32,3,FALSE)+VLOOKUP(B11,'Pre-Calculation'!$H$1:$L$32,4,FALSE)*'Pre-Calculation'!$D$7,0)</f>
        <v>420</v>
      </c>
      <c r="H11" s="175">
        <f>(E11-(F11+G11)*(1+Tax)+N10)</f>
        <v>90696.29046</v>
      </c>
      <c r="I11" s="175">
        <f>IF(B11&lt;PT+1,VLOOKUP(D11,'Pre-Calculation'!$N$3:$P$79,IF(INPUT!$C$4="M",2,3),FALSE)*(J11/1000)*(1/12),0)</f>
        <v>97.1439463</v>
      </c>
      <c r="J11" s="175">
        <f t="shared" si="3"/>
        <v>909303.7095</v>
      </c>
      <c r="K11" s="175">
        <f>IF('Pre-Calculation'!$D$17="Type 4 a",MAX(SA,H11,1.05*Q11),IF('Pre-Calculation'!$D$17="Type 4 c",H11,IF('Pre-Calculation'!$D$17="Type 4 d",SA+H11,IF('Pre-Calculation'!$D$17="Type 4 e",MAX(SA,H11),IF('Pre-Calculation'!$D$17="Type 4 f",SA,IF('Pre-Calculation'!$D$17="Type 4 g",1000+H11,IF('Pre-Calculation'!$D$17="Type 4 h",SA+X11,IF('Pre-Calculation'!$D$17="Type 4 i",MAX(H11,Q11),IF('Pre-Calculation'!$D$17="Type 4 k",MAX(H11,1.01*Q11),IF('Pre-Calculation'!$D$17="Type 4 m",MAX(105%*Q11,SA+H11),IF('Pre-Calculation'!$D$17="Type 4 o",MAX(SA,105%*Q11)+X11+Z11,IF('Pre-Calculation'!$D$17="Type 5",0))))))))))))</f>
        <v>1000000</v>
      </c>
      <c r="L11" s="175">
        <f>H11-I11*(1+Tax)</f>
        <v>90581.6606</v>
      </c>
      <c r="M11" s="175">
        <f>L11*(1+GROWTH_RATE_L)*(1-FMC*(1+Tax))</f>
        <v>90757.62618</v>
      </c>
      <c r="N11" s="175">
        <f>M11+IF(MOD(A11,B11)=0,VLOOKUP(B11,'Pre-Calculation'!$H$1:$L$31,5,FALSE),0)*IF('Pre-Calculation'!$D$16="% OF FV",M11,IF(OR('Pre-Calculation'!$D$16="% OF AFV(24M)",'Pre-Calculation'!$D$16="% OF AFV(8Q)"),AVERAGE( $M$7:$M11),IF('Pre-Calculation'!$D$16="% OF AFV(12M)",AVERAGE($M$7:M11),IF('Pre-Calculation'!$D$16="% OF AFV(36M)",AVERAGE($M$7:M11)))))</f>
        <v>90757.62618</v>
      </c>
      <c r="O11" s="175">
        <f t="shared" si="4"/>
        <v>90757.62618</v>
      </c>
      <c r="P11" s="175">
        <f>IF('Pre-Calculation'!$D$17="Type 4 a",MAX(SA,N11,1.05*Q11),IF('Pre-Calculation'!$D$17="Type 4 c",N11,IF('Pre-Calculation'!$D$17="Type 4 d",SA+N11,IF('Pre-Calculation'!$D$17="Type 4 e",MAX(SA,N11),IF('Pre-Calculation'!$D$17="Type 4 f",SA,IF('Pre-Calculation'!$D$17="Type 4 g",1000+N11,IF('Pre-Calculation'!$D$17="Type 4 h",SA+X11,IF('Pre-Calculation'!$D$17="Type 4 i",MAX(N11,Q11),IF('Pre-Calculation'!$D$17="Type 4 k",MAX(N11,1.01*Q11),IF('Pre-Calculation'!$D$17="Type 4 m",MAX(105%*Q11,SA+N11),IF('Pre-Calculation'!$D$17="Type 4 o",MAX(SA,105%*Q11)+X11+Z11,IF('Pre-Calculation'!$D$17="Type 5",0))))))))))))</f>
        <v>1000000</v>
      </c>
      <c r="Q11" s="175">
        <f t="shared" si="5"/>
        <v>700000</v>
      </c>
      <c r="R11" s="119">
        <f>L11*(1+GROWTH_RATE)*FMC</f>
        <v>102.5042501</v>
      </c>
      <c r="S11" s="178">
        <f>S10*(1+'Pre-Calculation'!$E$27)</f>
        <v>659384.1482</v>
      </c>
      <c r="T11" s="175">
        <f>-E11+IF(A10=INPUT!$C$11*12,N11,0)</f>
        <v>0</v>
      </c>
      <c r="U11" s="175">
        <f t="shared" si="6"/>
        <v>100642.7289</v>
      </c>
      <c r="V11" s="175">
        <f>U11*(1+GROWTH_RATE_L)*(1-'Pre-Calculation'!$E$31)</f>
        <v>100804.0555</v>
      </c>
      <c r="W11" s="175">
        <f>-E11+IF(A10=INPUT!$C$11*12,V11,0)</f>
        <v>0</v>
      </c>
      <c r="X11" s="179">
        <f t="array" ref="X11">NPV('Pre-Calculation'!$E$20,$E12:E$246)</f>
        <v>666383.8975</v>
      </c>
      <c r="Y11" s="171">
        <f>10%*SA</f>
        <v>100000</v>
      </c>
      <c r="Z11" s="179">
        <f t="array" ref="Z11">NPV('Pre-Calculation'!$E$20,Y12:Y21)</f>
        <v>969592.8037</v>
      </c>
    </row>
    <row r="12">
      <c r="A12" s="171">
        <f t="shared" si="1"/>
        <v>6</v>
      </c>
      <c r="B12" s="171">
        <f t="shared" si="2"/>
        <v>1</v>
      </c>
      <c r="C12" s="176">
        <f>EDATE(RCD,A11)</f>
        <v>42704</v>
      </c>
      <c r="D12" s="171">
        <f>Age_At_Entry+'Cashflows_4% from Start'!B12-1</f>
        <v>35</v>
      </c>
      <c r="E12" s="175">
        <f>IF(AND(C12&lt;=Last_Prem,MOD(A11,Mode)=0),Mod_Prem,0)</f>
        <v>0</v>
      </c>
      <c r="F12" s="177">
        <f>IF(B12&lt;PT+1,E12*VLOOKUP(B12,'Pre-Calculation'!$H$1:$I$31,2,FALSE),0)</f>
        <v>0</v>
      </c>
      <c r="G12" s="177">
        <f>IF(B12&lt;PT+1,VLOOKUP(B12,'Pre-Calculation'!$H$1:$L$32,3,FALSE)+VLOOKUP(B12,'Pre-Calculation'!$H$1:$L$32,4,FALSE)*'Pre-Calculation'!$D$7,0)</f>
        <v>420</v>
      </c>
      <c r="H12" s="175">
        <f>(E12-(F12+G12)*(1+Tax)+N11)</f>
        <v>90262.02618</v>
      </c>
      <c r="I12" s="175">
        <f>IF(B12&lt;PT+1,VLOOKUP(D12,'Pre-Calculation'!$N$3:$P$79,IF(INPUT!$C$4="M",2,3),FALSE)*(J12/1000)*(1/12),0)</f>
        <v>97.1903402</v>
      </c>
      <c r="J12" s="175">
        <f t="shared" si="3"/>
        <v>909737.9738</v>
      </c>
      <c r="K12" s="175">
        <f>IF('Pre-Calculation'!$D$17="Type 4 a",MAX(SA,H12,1.05*Q12),IF('Pre-Calculation'!$D$17="Type 4 c",H12,IF('Pre-Calculation'!$D$17="Type 4 d",SA+H12,IF('Pre-Calculation'!$D$17="Type 4 e",MAX(SA,H12),IF('Pre-Calculation'!$D$17="Type 4 f",SA,IF('Pre-Calculation'!$D$17="Type 4 g",1000+H12,IF('Pre-Calculation'!$D$17="Type 4 h",SA+X12,IF('Pre-Calculation'!$D$17="Type 4 i",MAX(H12,Q12),IF('Pre-Calculation'!$D$17="Type 4 k",MAX(H12,1.01*Q12),IF('Pre-Calculation'!$D$17="Type 4 m",MAX(105%*Q12,SA+H12),IF('Pre-Calculation'!$D$17="Type 4 o",MAX(SA,105%*Q12)+X12+Z12,IF('Pre-Calculation'!$D$17="Type 5",0))))))))))))</f>
        <v>1000000</v>
      </c>
      <c r="L12" s="175">
        <f>H12-I12*(1+Tax)</f>
        <v>90147.34158</v>
      </c>
      <c r="M12" s="175">
        <f>L12*(1+GROWTH_RATE_L)*(1-FMC*(1+Tax))</f>
        <v>90322.46344</v>
      </c>
      <c r="N12" s="175">
        <f>M12+IF(MOD(A12,B12)=0,VLOOKUP(B12,'Pre-Calculation'!$H$1:$L$31,5,FALSE),0)*IF('Pre-Calculation'!$D$16="% OF FV",M12,IF(OR('Pre-Calculation'!$D$16="% OF AFV(24M)",'Pre-Calculation'!$D$16="% OF AFV(8Q)"),AVERAGE( $M$7:$M12),IF('Pre-Calculation'!$D$16="% OF AFV(12M)",AVERAGE($M$7:M12),IF('Pre-Calculation'!$D$16="% OF AFV(36M)",AVERAGE($M$7:M12)))))</f>
        <v>90322.46344</v>
      </c>
      <c r="O12" s="175">
        <f t="shared" si="4"/>
        <v>90322.46344</v>
      </c>
      <c r="P12" s="175">
        <f>IF('Pre-Calculation'!$D$17="Type 4 a",MAX(SA,N12,1.05*Q12),IF('Pre-Calculation'!$D$17="Type 4 c",N12,IF('Pre-Calculation'!$D$17="Type 4 d",SA+N12,IF('Pre-Calculation'!$D$17="Type 4 e",MAX(SA,N12),IF('Pre-Calculation'!$D$17="Type 4 f",SA,IF('Pre-Calculation'!$D$17="Type 4 g",1000+N12,IF('Pre-Calculation'!$D$17="Type 4 h",SA+X12,IF('Pre-Calculation'!$D$17="Type 4 i",MAX(N12,Q12),IF('Pre-Calculation'!$D$17="Type 4 k",MAX(N12,1.01*Q12),IF('Pre-Calculation'!$D$17="Type 4 m",MAX(105%*Q12,SA+N12),IF('Pre-Calculation'!$D$17="Type 4 o",MAX(SA,105%*Q12)+X12+Z12,IF('Pre-Calculation'!$D$17="Type 5",0))))))))))))</f>
        <v>1000000</v>
      </c>
      <c r="Q12" s="175">
        <f t="shared" si="5"/>
        <v>700000</v>
      </c>
      <c r="R12" s="119">
        <f>L12*(1+GROWTH_RATE)*FMC</f>
        <v>102.0127649</v>
      </c>
      <c r="S12" s="178">
        <f>S11*(1+'Pre-Calculation'!$E$27)</f>
        <v>661277.1734</v>
      </c>
      <c r="T12" s="175">
        <f>-E12+IF(A11=INPUT!$C$11*12,N12,0)</f>
        <v>0</v>
      </c>
      <c r="U12" s="175">
        <f t="shared" si="6"/>
        <v>100804.0555</v>
      </c>
      <c r="V12" s="175">
        <f>U12*(1+GROWTH_RATE_L)*(1-'Pre-Calculation'!$E$31)</f>
        <v>100965.6408</v>
      </c>
      <c r="W12" s="175">
        <f>-E12+IF(A11=INPUT!$C$11*12,V12,0)</f>
        <v>0</v>
      </c>
      <c r="X12" s="179">
        <f t="array" ref="X12">NPV('Pre-Calculation'!$E$20,$E13:E$246)</f>
        <v>670151.7289</v>
      </c>
      <c r="Y12" s="171">
        <f>10%*SA</f>
        <v>100000</v>
      </c>
      <c r="Z12" s="179">
        <f t="array" ref="Z12">NPV('Pre-Calculation'!$E$20,Y13:Y22)</f>
        <v>969592.8037</v>
      </c>
    </row>
    <row r="13">
      <c r="A13" s="171">
        <f t="shared" si="1"/>
        <v>7</v>
      </c>
      <c r="B13" s="171">
        <f t="shared" si="2"/>
        <v>1</v>
      </c>
      <c r="C13" s="176">
        <f>EDATE(RCD,A12)</f>
        <v>42734</v>
      </c>
      <c r="D13" s="171">
        <f>Age_At_Entry+'Cashflows_4% from Start'!B13-1</f>
        <v>35</v>
      </c>
      <c r="E13" s="175">
        <f>IF(AND(C13&lt;=Last_Prem,MOD(A12,Mode)=0),Mod_Prem,0)</f>
        <v>0</v>
      </c>
      <c r="F13" s="177">
        <f>IF(B13&lt;PT+1,E13*VLOOKUP(B13,'Pre-Calculation'!$H$1:$I$31,2,FALSE),0)</f>
        <v>0</v>
      </c>
      <c r="G13" s="177">
        <f>IF(B13&lt;PT+1,VLOOKUP(B13,'Pre-Calculation'!$H$1:$L$32,3,FALSE)+VLOOKUP(B13,'Pre-Calculation'!$H$1:$L$32,4,FALSE)*'Pre-Calculation'!$D$7,0)</f>
        <v>420</v>
      </c>
      <c r="H13" s="175">
        <f>(E13-(F13+G13)*(1+Tax)+N12)</f>
        <v>89826.86344</v>
      </c>
      <c r="I13" s="175">
        <f>IF(B13&lt;PT+1,VLOOKUP(D13,'Pre-Calculation'!$N$3:$P$79,IF(INPUT!$C$4="M",2,3),FALSE)*(J13/1000)*(1/12),0)</f>
        <v>97.23683009</v>
      </c>
      <c r="J13" s="175">
        <f t="shared" si="3"/>
        <v>910173.1366</v>
      </c>
      <c r="K13" s="175">
        <f>IF('Pre-Calculation'!$D$17="Type 4 a",MAX(SA,H13,1.05*Q13),IF('Pre-Calculation'!$D$17="Type 4 c",H13,IF('Pre-Calculation'!$D$17="Type 4 d",SA+H13,IF('Pre-Calculation'!$D$17="Type 4 e",MAX(SA,H13),IF('Pre-Calculation'!$D$17="Type 4 f",SA,IF('Pre-Calculation'!$D$17="Type 4 g",1000+H13,IF('Pre-Calculation'!$D$17="Type 4 h",SA+X13,IF('Pre-Calculation'!$D$17="Type 4 i",MAX(H13,Q13),IF('Pre-Calculation'!$D$17="Type 4 k",MAX(H13,1.01*Q13),IF('Pre-Calculation'!$D$17="Type 4 m",MAX(105%*Q13,SA+H13),IF('Pre-Calculation'!$D$17="Type 4 o",MAX(SA,105%*Q13)+X13+Z13,IF('Pre-Calculation'!$D$17="Type 5",0))))))))))))</f>
        <v>1000000</v>
      </c>
      <c r="L13" s="175">
        <f>H13-I13*(1+Tax)</f>
        <v>89712.12398</v>
      </c>
      <c r="M13" s="175">
        <f>L13*(1+GROWTH_RATE_L)*(1-FMC*(1+Tax))</f>
        <v>89886.40039</v>
      </c>
      <c r="N13" s="175">
        <f>M13+IF(MOD(A13,B13)=0,VLOOKUP(B13,'Pre-Calculation'!$H$1:$L$31,5,FALSE),0)*IF('Pre-Calculation'!$D$16="% OF FV",M13,IF(OR('Pre-Calculation'!$D$16="% OF AFV(24M)",'Pre-Calculation'!$D$16="% OF AFV(8Q)"),AVERAGE( $M$7:$M13),IF('Pre-Calculation'!$D$16="% OF AFV(12M)",AVERAGE($M$7:M13),IF('Pre-Calculation'!$D$16="% OF AFV(36M)",AVERAGE($M$7:M13)))))</f>
        <v>89886.40039</v>
      </c>
      <c r="O13" s="175">
        <f t="shared" si="4"/>
        <v>89886.40039</v>
      </c>
      <c r="P13" s="175">
        <f>IF('Pre-Calculation'!$D$17="Type 4 a",MAX(SA,N13,1.05*Q13),IF('Pre-Calculation'!$D$17="Type 4 c",N13,IF('Pre-Calculation'!$D$17="Type 4 d",SA+N13,IF('Pre-Calculation'!$D$17="Type 4 e",MAX(SA,N13),IF('Pre-Calculation'!$D$17="Type 4 f",SA,IF('Pre-Calculation'!$D$17="Type 4 g",1000+N13,IF('Pre-Calculation'!$D$17="Type 4 h",SA+X13,IF('Pre-Calculation'!$D$17="Type 4 i",MAX(N13,Q13),IF('Pre-Calculation'!$D$17="Type 4 k",MAX(N13,1.01*Q13),IF('Pre-Calculation'!$D$17="Type 4 m",MAX(105%*Q13,SA+N13),IF('Pre-Calculation'!$D$17="Type 4 o",MAX(SA,105%*Q13)+X13+Z13,IF('Pre-Calculation'!$D$17="Type 5",0))))))))))))</f>
        <v>1000000</v>
      </c>
      <c r="Q13" s="175">
        <f t="shared" si="5"/>
        <v>700000</v>
      </c>
      <c r="R13" s="119">
        <f>L13*(1+GROWTH_RATE)*FMC</f>
        <v>101.5202629</v>
      </c>
      <c r="S13" s="178">
        <f>S12*(1+'Pre-Calculation'!$E$27)</f>
        <v>663175.6331</v>
      </c>
      <c r="T13" s="175">
        <f>-E13+IF(A12=INPUT!$C$11*12,N13,0)</f>
        <v>0</v>
      </c>
      <c r="U13" s="175">
        <f t="shared" si="6"/>
        <v>100965.6408</v>
      </c>
      <c r="V13" s="175">
        <f>U13*(1+GROWTH_RATE_L)*(1-'Pre-Calculation'!$E$31)</f>
        <v>101127.485</v>
      </c>
      <c r="W13" s="175">
        <f>-E13+IF(A12=INPUT!$C$11*12,V13,0)</f>
        <v>0</v>
      </c>
      <c r="X13" s="179">
        <f t="array" ref="X13">NPV('Pre-Calculation'!$E$20,$E14:E$246)</f>
        <v>673940.8642</v>
      </c>
      <c r="Y13" s="171">
        <f>10%*SA</f>
        <v>100000</v>
      </c>
      <c r="Z13" s="179">
        <f t="array" ref="Z13">NPV('Pre-Calculation'!$E$20,Y14:Y23)</f>
        <v>969592.8037</v>
      </c>
    </row>
    <row r="14">
      <c r="A14" s="171">
        <f t="shared" si="1"/>
        <v>8</v>
      </c>
      <c r="B14" s="171">
        <f t="shared" si="2"/>
        <v>1</v>
      </c>
      <c r="C14" s="176">
        <f>EDATE(RCD,A13)</f>
        <v>42765</v>
      </c>
      <c r="D14" s="171">
        <f>Age_At_Entry+'Cashflows_4% from Start'!B14-1</f>
        <v>35</v>
      </c>
      <c r="E14" s="175">
        <f>IF(AND(C14&lt;=Last_Prem,MOD(A13,Mode)=0),Mod_Prem,0)</f>
        <v>0</v>
      </c>
      <c r="F14" s="177">
        <f>IF(B14&lt;PT+1,E14*VLOOKUP(B14,'Pre-Calculation'!$H$1:$I$31,2,FALSE),0)</f>
        <v>0</v>
      </c>
      <c r="G14" s="177">
        <f>IF(B14&lt;PT+1,VLOOKUP(B14,'Pre-Calculation'!$H$1:$L$32,3,FALSE)+VLOOKUP(B14,'Pre-Calculation'!$H$1:$L$32,4,FALSE)*'Pre-Calculation'!$D$7,0)</f>
        <v>420</v>
      </c>
      <c r="H14" s="175">
        <f>(E14-(F14+G14)*(1+Tax)+N13)</f>
        <v>89390.80039</v>
      </c>
      <c r="I14" s="175">
        <f>IF(B14&lt;PT+1,VLOOKUP(D14,'Pre-Calculation'!$N$3:$P$79,IF(INPUT!$C$4="M",2,3),FALSE)*(J14/1000)*(1/12),0)</f>
        <v>97.28341616</v>
      </c>
      <c r="J14" s="175">
        <f t="shared" si="3"/>
        <v>910609.1996</v>
      </c>
      <c r="K14" s="175">
        <f>IF('Pre-Calculation'!$D$17="Type 4 a",MAX(SA,H14,1.05*Q14),IF('Pre-Calculation'!$D$17="Type 4 c",H14,IF('Pre-Calculation'!$D$17="Type 4 d",SA+H14,IF('Pre-Calculation'!$D$17="Type 4 e",MAX(SA,H14),IF('Pre-Calculation'!$D$17="Type 4 f",SA,IF('Pre-Calculation'!$D$17="Type 4 g",1000+H14,IF('Pre-Calculation'!$D$17="Type 4 h",SA+X14,IF('Pre-Calculation'!$D$17="Type 4 i",MAX(H14,Q14),IF('Pre-Calculation'!$D$17="Type 4 k",MAX(H14,1.01*Q14),IF('Pre-Calculation'!$D$17="Type 4 m",MAX(105%*Q14,SA+H14),IF('Pre-Calculation'!$D$17="Type 4 o",MAX(SA,105%*Q14)+X14+Z14,IF('Pre-Calculation'!$D$17="Type 5",0))))))))))))</f>
        <v>1000000</v>
      </c>
      <c r="L14" s="175">
        <f>H14-I14*(1+Tax)</f>
        <v>89276.00596</v>
      </c>
      <c r="M14" s="175">
        <f>L14*(1+GROWTH_RATE_L)*(1-FMC*(1+Tax))</f>
        <v>89449.43515</v>
      </c>
      <c r="N14" s="175">
        <f>M14+IF(MOD(A14,B14)=0,VLOOKUP(B14,'Pre-Calculation'!$H$1:$L$31,5,FALSE),0)*IF('Pre-Calculation'!$D$16="% OF FV",M14,IF(OR('Pre-Calculation'!$D$16="% OF AFV(24M)",'Pre-Calculation'!$D$16="% OF AFV(8Q)"),AVERAGE( $M$7:$M14),IF('Pre-Calculation'!$D$16="% OF AFV(12M)",AVERAGE($M$7:M14),IF('Pre-Calculation'!$D$16="% OF AFV(36M)",AVERAGE($M$7:M14)))))</f>
        <v>89449.43515</v>
      </c>
      <c r="O14" s="175">
        <f t="shared" si="4"/>
        <v>89449.43515</v>
      </c>
      <c r="P14" s="175">
        <f>IF('Pre-Calculation'!$D$17="Type 4 a",MAX(SA,N14,1.05*Q14),IF('Pre-Calculation'!$D$17="Type 4 c",N14,IF('Pre-Calculation'!$D$17="Type 4 d",SA+N14,IF('Pre-Calculation'!$D$17="Type 4 e",MAX(SA,N14),IF('Pre-Calculation'!$D$17="Type 4 f",SA,IF('Pre-Calculation'!$D$17="Type 4 g",1000+N14,IF('Pre-Calculation'!$D$17="Type 4 h",SA+X14,IF('Pre-Calculation'!$D$17="Type 4 i",MAX(N14,Q14),IF('Pre-Calculation'!$D$17="Type 4 k",MAX(N14,1.01*Q14),IF('Pre-Calculation'!$D$17="Type 4 m",MAX(105%*Q14,SA+N14),IF('Pre-Calculation'!$D$17="Type 4 o",MAX(SA,105%*Q14)+X14+Z14,IF('Pre-Calculation'!$D$17="Type 5",0))))))))))))</f>
        <v>1000000</v>
      </c>
      <c r="Q14" s="175">
        <f t="shared" si="5"/>
        <v>700000</v>
      </c>
      <c r="R14" s="119">
        <f>L14*(1+GROWTH_RATE)*FMC</f>
        <v>101.0267419</v>
      </c>
      <c r="S14" s="178">
        <f>S13*(1+'Pre-Calculation'!$E$27)</f>
        <v>665079.5432</v>
      </c>
      <c r="T14" s="175">
        <f>-E14+IF(A13=INPUT!$C$11*12,N14,0)</f>
        <v>0</v>
      </c>
      <c r="U14" s="175">
        <f t="shared" si="6"/>
        <v>101127.485</v>
      </c>
      <c r="V14" s="175">
        <f>U14*(1+GROWTH_RATE_L)*(1-'Pre-Calculation'!$E$31)</f>
        <v>101289.5887</v>
      </c>
      <c r="W14" s="175">
        <f>-E14+IF(A13=INPUT!$C$11*12,V14,0)</f>
        <v>0</v>
      </c>
      <c r="X14" s="179">
        <f t="array" ref="X14">NPV('Pre-Calculation'!$E$20,$E15:E$246)</f>
        <v>677751.4238</v>
      </c>
      <c r="Y14" s="171">
        <f>10%*SA</f>
        <v>100000</v>
      </c>
      <c r="Z14" s="179">
        <f t="array" ref="Z14">NPV('Pre-Calculation'!$E$20,Y15:Y24)</f>
        <v>969592.8037</v>
      </c>
    </row>
    <row r="15">
      <c r="A15" s="171">
        <f t="shared" si="1"/>
        <v>9</v>
      </c>
      <c r="B15" s="171">
        <f t="shared" si="2"/>
        <v>1</v>
      </c>
      <c r="C15" s="176">
        <f>EDATE(RCD,A14)</f>
        <v>42794</v>
      </c>
      <c r="D15" s="171">
        <f>Age_At_Entry+'Cashflows_4% from Start'!B15-1</f>
        <v>35</v>
      </c>
      <c r="E15" s="175">
        <f>IF(AND(C15&lt;=Last_Prem,MOD(A14,Mode)=0),Mod_Prem,0)</f>
        <v>0</v>
      </c>
      <c r="F15" s="177">
        <f>IF(B15&lt;PT+1,E15*VLOOKUP(B15,'Pre-Calculation'!$H$1:$I$31,2,FALSE),0)</f>
        <v>0</v>
      </c>
      <c r="G15" s="177">
        <f>IF(B15&lt;PT+1,VLOOKUP(B15,'Pre-Calculation'!$H$1:$L$32,3,FALSE)+VLOOKUP(B15,'Pre-Calculation'!$H$1:$L$32,4,FALSE)*'Pre-Calculation'!$D$7,0)</f>
        <v>420</v>
      </c>
      <c r="H15" s="175">
        <f>(E15-(F15+G15)*(1+Tax)+N14)</f>
        <v>88953.83515</v>
      </c>
      <c r="I15" s="175">
        <f>IF(B15&lt;PT+1,VLOOKUP(D15,'Pre-Calculation'!$N$3:$P$79,IF(INPUT!$C$4="M",2,3),FALSE)*(J15/1000)*(1/12),0)</f>
        <v>97.33009861</v>
      </c>
      <c r="J15" s="175">
        <f t="shared" si="3"/>
        <v>911046.1649</v>
      </c>
      <c r="K15" s="175">
        <f>IF('Pre-Calculation'!$D$17="Type 4 a",MAX(SA,H15,1.05*Q15),IF('Pre-Calculation'!$D$17="Type 4 c",H15,IF('Pre-Calculation'!$D$17="Type 4 d",SA+H15,IF('Pre-Calculation'!$D$17="Type 4 e",MAX(SA,H15),IF('Pre-Calculation'!$D$17="Type 4 f",SA,IF('Pre-Calculation'!$D$17="Type 4 g",1000+H15,IF('Pre-Calculation'!$D$17="Type 4 h",SA+X15,IF('Pre-Calculation'!$D$17="Type 4 i",MAX(H15,Q15),IF('Pre-Calculation'!$D$17="Type 4 k",MAX(H15,1.01*Q15),IF('Pre-Calculation'!$D$17="Type 4 m",MAX(105%*Q15,SA+H15),IF('Pre-Calculation'!$D$17="Type 4 o",MAX(SA,105%*Q15)+X15+Z15,IF('Pre-Calculation'!$D$17="Type 5",0))))))))))))</f>
        <v>1000000</v>
      </c>
      <c r="L15" s="175">
        <f>H15-I15*(1+Tax)</f>
        <v>88838.98563</v>
      </c>
      <c r="M15" s="175">
        <f>L15*(1+GROWTH_RATE_L)*(1-FMC*(1+Tax))</f>
        <v>89011.56586</v>
      </c>
      <c r="N15" s="175">
        <f>M15+IF(MOD(A15,B15)=0,VLOOKUP(B15,'Pre-Calculation'!$H$1:$L$31,5,FALSE),0)*IF('Pre-Calculation'!$D$16="% OF FV",M15,IF(OR('Pre-Calculation'!$D$16="% OF AFV(24M)",'Pre-Calculation'!$D$16="% OF AFV(8Q)"),AVERAGE( $M$7:$M15),IF('Pre-Calculation'!$D$16="% OF AFV(12M)",AVERAGE($M$7:M15),IF('Pre-Calculation'!$D$16="% OF AFV(36M)",AVERAGE($M$7:M15)))))</f>
        <v>89011.56586</v>
      </c>
      <c r="O15" s="175">
        <f t="shared" si="4"/>
        <v>89011.56586</v>
      </c>
      <c r="P15" s="175">
        <f>IF('Pre-Calculation'!$D$17="Type 4 a",MAX(SA,N15,1.05*Q15),IF('Pre-Calculation'!$D$17="Type 4 c",N15,IF('Pre-Calculation'!$D$17="Type 4 d",SA+N15,IF('Pre-Calculation'!$D$17="Type 4 e",MAX(SA,N15),IF('Pre-Calculation'!$D$17="Type 4 f",SA,IF('Pre-Calculation'!$D$17="Type 4 g",1000+N15,IF('Pre-Calculation'!$D$17="Type 4 h",SA+X15,IF('Pre-Calculation'!$D$17="Type 4 i",MAX(N15,Q15),IF('Pre-Calculation'!$D$17="Type 4 k",MAX(N15,1.01*Q15),IF('Pre-Calculation'!$D$17="Type 4 m",MAX(105%*Q15,SA+N15),IF('Pre-Calculation'!$D$17="Type 4 o",MAX(SA,105%*Q15)+X15+Z15,IF('Pre-Calculation'!$D$17="Type 5",0))))))))))))</f>
        <v>1000000</v>
      </c>
      <c r="Q15" s="175">
        <f t="shared" si="5"/>
        <v>700000</v>
      </c>
      <c r="R15" s="119">
        <f>L15*(1+GROWTH_RATE)*FMC</f>
        <v>100.5321998</v>
      </c>
      <c r="S15" s="178">
        <f>S14*(1+'Pre-Calculation'!$E$27)</f>
        <v>666988.9192</v>
      </c>
      <c r="T15" s="175">
        <f>-E15+IF(A14=INPUT!$C$11*12,N15,0)</f>
        <v>0</v>
      </c>
      <c r="U15" s="175">
        <f t="shared" si="6"/>
        <v>101289.5887</v>
      </c>
      <c r="V15" s="175">
        <f>U15*(1+GROWTH_RATE_L)*(1-'Pre-Calculation'!$E$31)</f>
        <v>101451.9523</v>
      </c>
      <c r="W15" s="175">
        <f>-E15+IF(A14=INPUT!$C$11*12,V15,0)</f>
        <v>0</v>
      </c>
      <c r="X15" s="179">
        <f t="array" ref="X15">NPV('Pre-Calculation'!$E$20,$E16:E$246)</f>
        <v>681583.5289</v>
      </c>
      <c r="Y15" s="171">
        <f>10%*SA</f>
        <v>100000</v>
      </c>
      <c r="Z15" s="179">
        <f t="array" ref="Z15">NPV('Pre-Calculation'!$E$20,Y16:Y25)</f>
        <v>969592.8037</v>
      </c>
    </row>
    <row r="16">
      <c r="A16" s="171">
        <f t="shared" si="1"/>
        <v>10</v>
      </c>
      <c r="B16" s="171">
        <f t="shared" si="2"/>
        <v>1</v>
      </c>
      <c r="C16" s="176">
        <f>EDATE(RCD,A15)</f>
        <v>42824</v>
      </c>
      <c r="D16" s="171">
        <f>Age_At_Entry+'Cashflows_4% from Start'!B16-1</f>
        <v>35</v>
      </c>
      <c r="E16" s="175">
        <f>IF(AND(C16&lt;=Last_Prem,MOD(A15,Mode)=0),Mod_Prem,0)</f>
        <v>0</v>
      </c>
      <c r="F16" s="177">
        <f>IF(B16&lt;PT+1,E16*VLOOKUP(B16,'Pre-Calculation'!$H$1:$I$31,2,FALSE),0)</f>
        <v>0</v>
      </c>
      <c r="G16" s="177">
        <f>IF(B16&lt;PT+1,VLOOKUP(B16,'Pre-Calculation'!$H$1:$L$32,3,FALSE)+VLOOKUP(B16,'Pre-Calculation'!$H$1:$L$32,4,FALSE)*'Pre-Calculation'!$D$7,0)</f>
        <v>420</v>
      </c>
      <c r="H16" s="175">
        <f>(E16-(F16+G16)*(1+Tax)+N15)</f>
        <v>88515.96586</v>
      </c>
      <c r="I16" s="175">
        <f>IF(B16&lt;PT+1,VLOOKUP(D16,'Pre-Calculation'!$N$3:$P$79,IF(INPUT!$C$4="M",2,3),FALSE)*(J16/1000)*(1/12),0)</f>
        <v>97.37687765</v>
      </c>
      <c r="J16" s="175">
        <f t="shared" si="3"/>
        <v>911484.0341</v>
      </c>
      <c r="K16" s="175">
        <f>IF('Pre-Calculation'!$D$17="Type 4 a",MAX(SA,H16,1.05*Q16),IF('Pre-Calculation'!$D$17="Type 4 c",H16,IF('Pre-Calculation'!$D$17="Type 4 d",SA+H16,IF('Pre-Calculation'!$D$17="Type 4 e",MAX(SA,H16),IF('Pre-Calculation'!$D$17="Type 4 f",SA,IF('Pre-Calculation'!$D$17="Type 4 g",1000+H16,IF('Pre-Calculation'!$D$17="Type 4 h",SA+X16,IF('Pre-Calculation'!$D$17="Type 4 i",MAX(H16,Q16),IF('Pre-Calculation'!$D$17="Type 4 k",MAX(H16,1.01*Q16),IF('Pre-Calculation'!$D$17="Type 4 m",MAX(105%*Q16,SA+H16),IF('Pre-Calculation'!$D$17="Type 4 o",MAX(SA,105%*Q16)+X16+Z16,IF('Pre-Calculation'!$D$17="Type 5",0))))))))))))</f>
        <v>1000000</v>
      </c>
      <c r="L16" s="175">
        <f>H16-I16*(1+Tax)</f>
        <v>88401.06114</v>
      </c>
      <c r="M16" s="175">
        <f>L16*(1+GROWTH_RATE_L)*(1-FMC*(1+Tax))</f>
        <v>88572.79065</v>
      </c>
      <c r="N16" s="175">
        <f>M16+IF(MOD(A16,B16)=0,VLOOKUP(B16,'Pre-Calculation'!$H$1:$L$31,5,FALSE),0)*IF('Pre-Calculation'!$D$16="% OF FV",M16,IF(OR('Pre-Calculation'!$D$16="% OF AFV(24M)",'Pre-Calculation'!$D$16="% OF AFV(8Q)"),AVERAGE( $M$7:$M16),IF('Pre-Calculation'!$D$16="% OF AFV(12M)",AVERAGE($M$7:M16),IF('Pre-Calculation'!$D$16="% OF AFV(36M)",AVERAGE($M$7:M16)))))</f>
        <v>88572.79065</v>
      </c>
      <c r="O16" s="175">
        <f t="shared" si="4"/>
        <v>88572.79065</v>
      </c>
      <c r="P16" s="175">
        <f>IF('Pre-Calculation'!$D$17="Type 4 a",MAX(SA,N16,1.05*Q16),IF('Pre-Calculation'!$D$17="Type 4 c",N16,IF('Pre-Calculation'!$D$17="Type 4 d",SA+N16,IF('Pre-Calculation'!$D$17="Type 4 e",MAX(SA,N16),IF('Pre-Calculation'!$D$17="Type 4 f",SA,IF('Pre-Calculation'!$D$17="Type 4 g",1000+N16,IF('Pre-Calculation'!$D$17="Type 4 h",SA+X16,IF('Pre-Calculation'!$D$17="Type 4 i",MAX(N16,Q16),IF('Pre-Calculation'!$D$17="Type 4 k",MAX(N16,1.01*Q16),IF('Pre-Calculation'!$D$17="Type 4 m",MAX(105%*Q16,SA+N16),IF('Pre-Calculation'!$D$17="Type 4 o",MAX(SA,105%*Q16)+X16+Z16,IF('Pre-Calculation'!$D$17="Type 5",0))))))))))))</f>
        <v>1000000</v>
      </c>
      <c r="Q16" s="175">
        <f t="shared" si="5"/>
        <v>700000</v>
      </c>
      <c r="R16" s="119">
        <f>L16*(1+GROWTH_RATE)*FMC</f>
        <v>100.0366346</v>
      </c>
      <c r="S16" s="178">
        <f>S15*(1+'Pre-Calculation'!$E$27)</f>
        <v>668903.7769</v>
      </c>
      <c r="T16" s="175">
        <f>-E16+IF(A15=INPUT!$C$11*12,N16,0)</f>
        <v>0</v>
      </c>
      <c r="U16" s="175">
        <f t="shared" si="6"/>
        <v>101451.9523</v>
      </c>
      <c r="V16" s="175">
        <f>U16*(1+GROWTH_RATE_L)*(1-'Pre-Calculation'!$E$31)</f>
        <v>101614.5761</v>
      </c>
      <c r="W16" s="175">
        <f>-E16+IF(A15=INPUT!$C$11*12,V16,0)</f>
        <v>0</v>
      </c>
      <c r="X16" s="179">
        <f t="array" ref="X16">NPV('Pre-Calculation'!$E$20,$E17:E$246)</f>
        <v>685437.3013</v>
      </c>
      <c r="Y16" s="171">
        <f>10%*SA</f>
        <v>100000</v>
      </c>
      <c r="Z16" s="179">
        <f t="array" ref="Z16">NPV('Pre-Calculation'!$E$20,Y17:Y26)</f>
        <v>969592.8037</v>
      </c>
    </row>
    <row r="17">
      <c r="A17" s="171">
        <f t="shared" si="1"/>
        <v>11</v>
      </c>
      <c r="B17" s="171">
        <f t="shared" si="2"/>
        <v>1</v>
      </c>
      <c r="C17" s="176">
        <f>EDATE(RCD,A16)</f>
        <v>42855</v>
      </c>
      <c r="D17" s="171">
        <f>Age_At_Entry+'Cashflows_4% from Start'!B17-1</f>
        <v>35</v>
      </c>
      <c r="E17" s="175">
        <f>IF(AND(C17&lt;=Last_Prem,MOD(A16,Mode)=0),Mod_Prem,0)</f>
        <v>0</v>
      </c>
      <c r="F17" s="177">
        <f>IF(B17&lt;PT+1,E17*VLOOKUP(B17,'Pre-Calculation'!$H$1:$I$31,2,FALSE),0)</f>
        <v>0</v>
      </c>
      <c r="G17" s="177">
        <f>IF(B17&lt;PT+1,VLOOKUP(B17,'Pre-Calculation'!$H$1:$L$32,3,FALSE)+VLOOKUP(B17,'Pre-Calculation'!$H$1:$L$32,4,FALSE)*'Pre-Calculation'!$D$7,0)</f>
        <v>420</v>
      </c>
      <c r="H17" s="175">
        <f>(E17-(F17+G17)*(1+Tax)+N16)</f>
        <v>88077.19065</v>
      </c>
      <c r="I17" s="175">
        <f>IF(B17&lt;PT+1,VLOOKUP(D17,'Pre-Calculation'!$N$3:$P$79,IF(INPUT!$C$4="M",2,3),FALSE)*(J17/1000)*(1/12),0)</f>
        <v>97.42375347</v>
      </c>
      <c r="J17" s="175">
        <f t="shared" si="3"/>
        <v>911922.8093</v>
      </c>
      <c r="K17" s="175">
        <f>IF('Pre-Calculation'!$D$17="Type 4 a",MAX(SA,H17,1.05*Q17),IF('Pre-Calculation'!$D$17="Type 4 c",H17,IF('Pre-Calculation'!$D$17="Type 4 d",SA+H17,IF('Pre-Calculation'!$D$17="Type 4 e",MAX(SA,H17),IF('Pre-Calculation'!$D$17="Type 4 f",SA,IF('Pre-Calculation'!$D$17="Type 4 g",1000+H17,IF('Pre-Calculation'!$D$17="Type 4 h",SA+X17,IF('Pre-Calculation'!$D$17="Type 4 i",MAX(H17,Q17),IF('Pre-Calculation'!$D$17="Type 4 k",MAX(H17,1.01*Q17),IF('Pre-Calculation'!$D$17="Type 4 m",MAX(105%*Q17,SA+H17),IF('Pre-Calculation'!$D$17="Type 4 o",MAX(SA,105%*Q17)+X17+Z17,IF('Pre-Calculation'!$D$17="Type 5",0))))))))))))</f>
        <v>1000000</v>
      </c>
      <c r="L17" s="175">
        <f>H17-I17*(1+Tax)</f>
        <v>87962.23062</v>
      </c>
      <c r="M17" s="175">
        <f>L17*(1+GROWTH_RATE_L)*(1-FMC*(1+Tax))</f>
        <v>88133.10765</v>
      </c>
      <c r="N17" s="175">
        <f>M17+IF(MOD(A17,B17)=0,VLOOKUP(B17,'Pre-Calculation'!$H$1:$L$31,5,FALSE),0)*IF('Pre-Calculation'!$D$16="% OF FV",M17,IF(OR('Pre-Calculation'!$D$16="% OF AFV(24M)",'Pre-Calculation'!$D$16="% OF AFV(8Q)"),AVERAGE( $M$7:$M17),IF('Pre-Calculation'!$D$16="% OF AFV(12M)",AVERAGE($M$7:M17),IF('Pre-Calculation'!$D$16="% OF AFV(36M)",AVERAGE($M$7:M17)))))</f>
        <v>88133.10765</v>
      </c>
      <c r="O17" s="175">
        <f t="shared" si="4"/>
        <v>88133.10765</v>
      </c>
      <c r="P17" s="175">
        <f>IF('Pre-Calculation'!$D$17="Type 4 a",MAX(SA,N17,1.05*Q17),IF('Pre-Calculation'!$D$17="Type 4 c",N17,IF('Pre-Calculation'!$D$17="Type 4 d",SA+N17,IF('Pre-Calculation'!$D$17="Type 4 e",MAX(SA,N17),IF('Pre-Calculation'!$D$17="Type 4 f",SA,IF('Pre-Calculation'!$D$17="Type 4 g",1000+N17,IF('Pre-Calculation'!$D$17="Type 4 h",SA+X17,IF('Pre-Calculation'!$D$17="Type 4 i",MAX(N17,Q17),IF('Pre-Calculation'!$D$17="Type 4 k",MAX(N17,1.01*Q17),IF('Pre-Calculation'!$D$17="Type 4 m",MAX(105%*Q17,SA+N17),IF('Pre-Calculation'!$D$17="Type 4 o",MAX(SA,105%*Q17)+X17+Z17,IF('Pre-Calculation'!$D$17="Type 5",0))))))))))))</f>
        <v>1000000</v>
      </c>
      <c r="Q17" s="175">
        <f t="shared" si="5"/>
        <v>700000</v>
      </c>
      <c r="R17" s="119">
        <f>L17*(1+GROWTH_RATE)*FMC</f>
        <v>99.54004409</v>
      </c>
      <c r="S17" s="178">
        <f>S16*(1+'Pre-Calculation'!$E$27)</f>
        <v>670824.1319</v>
      </c>
      <c r="T17" s="175">
        <f>-E17+IF(A16=INPUT!$C$11*12,N17,0)</f>
        <v>0</v>
      </c>
      <c r="U17" s="175">
        <f t="shared" si="6"/>
        <v>101614.5761</v>
      </c>
      <c r="V17" s="175">
        <f>U17*(1+GROWTH_RATE_L)*(1-'Pre-Calculation'!$E$31)</f>
        <v>101777.4606</v>
      </c>
      <c r="W17" s="175">
        <f>-E17+IF(A16=INPUT!$C$11*12,V17,0)</f>
        <v>0</v>
      </c>
      <c r="X17" s="179">
        <f t="array" ref="X17">NPV('Pre-Calculation'!$E$20,$E18:E$246)</f>
        <v>689312.8634</v>
      </c>
      <c r="Y17" s="171">
        <f>10%*SA</f>
        <v>100000</v>
      </c>
      <c r="Z17" s="179">
        <f t="array" ref="Z17">NPV('Pre-Calculation'!$E$20,Y18:Y27)</f>
        <v>969592.8037</v>
      </c>
    </row>
    <row r="18">
      <c r="A18" s="171">
        <f t="shared" si="1"/>
        <v>12</v>
      </c>
      <c r="B18" s="171">
        <f t="shared" si="2"/>
        <v>1</v>
      </c>
      <c r="C18" s="176">
        <f>EDATE(RCD,A17)</f>
        <v>42885</v>
      </c>
      <c r="D18" s="171">
        <f>Age_At_Entry+'Cashflows_4% from Start'!B18-1</f>
        <v>35</v>
      </c>
      <c r="E18" s="175">
        <f>IF(AND(C18&lt;=Last_Prem,MOD(A17,Mode)=0),Mod_Prem,0)</f>
        <v>0</v>
      </c>
      <c r="F18" s="177">
        <f>IF(B18&lt;PT+1,E18*VLOOKUP(B18,'Pre-Calculation'!$H$1:$I$31,2,FALSE),0)</f>
        <v>0</v>
      </c>
      <c r="G18" s="177">
        <f>IF(B18&lt;PT+1,VLOOKUP(B18,'Pre-Calculation'!$H$1:$L$32,3,FALSE)+VLOOKUP(B18,'Pre-Calculation'!$H$1:$L$32,4,FALSE)*'Pre-Calculation'!$D$7,0)</f>
        <v>420</v>
      </c>
      <c r="H18" s="175">
        <f>(E18-(F18+G18)*(1+Tax)+N17)</f>
        <v>87637.50765</v>
      </c>
      <c r="I18" s="175">
        <f>IF(B18&lt;PT+1,VLOOKUP(D18,'Pre-Calculation'!$N$3:$P$79,IF(INPUT!$C$4="M",2,3),FALSE)*(J18/1000)*(1/12),0)</f>
        <v>97.47072627</v>
      </c>
      <c r="J18" s="175">
        <f t="shared" si="3"/>
        <v>912362.4923</v>
      </c>
      <c r="K18" s="175">
        <f>IF('Pre-Calculation'!$D$17="Type 4 a",MAX(SA,H18,1.05*Q18),IF('Pre-Calculation'!$D$17="Type 4 c",H18,IF('Pre-Calculation'!$D$17="Type 4 d",SA+H18,IF('Pre-Calculation'!$D$17="Type 4 e",MAX(SA,H18),IF('Pre-Calculation'!$D$17="Type 4 f",SA,IF('Pre-Calculation'!$D$17="Type 4 g",1000+H18,IF('Pre-Calculation'!$D$17="Type 4 h",SA+X18,IF('Pre-Calculation'!$D$17="Type 4 i",MAX(H18,Q18),IF('Pre-Calculation'!$D$17="Type 4 k",MAX(H18,1.01*Q18),IF('Pre-Calculation'!$D$17="Type 4 m",MAX(105%*Q18,SA+H18),IF('Pre-Calculation'!$D$17="Type 4 o",MAX(SA,105%*Q18)+X18+Z18,IF('Pre-Calculation'!$D$17="Type 5",0))))))))))))</f>
        <v>1000000</v>
      </c>
      <c r="L18" s="175">
        <f>H18-I18*(1+Tax)</f>
        <v>87522.49219</v>
      </c>
      <c r="M18" s="175">
        <f>L18*(1+GROWTH_RATE_L)*(1-FMC*(1+Tax))</f>
        <v>87692.51498</v>
      </c>
      <c r="N18" s="175">
        <f>M18+IF(MOD(A18,B18)=0,VLOOKUP(B18,'Pre-Calculation'!$H$1:$L$31,5,FALSE),0)*IF('Pre-Calculation'!$D$16="% OF FV",M18,IF(OR('Pre-Calculation'!$D$16="% OF AFV(24M)",'Pre-Calculation'!$D$16="% OF AFV(8Q)"),AVERAGE( $M$7:$M18),IF('Pre-Calculation'!$D$16="% OF AFV(12M)",AVERAGE($M7:M18),IF('Pre-Calculation'!$D$16="% OF AFV(36M)",AVERAGE($M$7:M18)))))</f>
        <v>87692.51498</v>
      </c>
      <c r="O18" s="175">
        <f t="shared" si="4"/>
        <v>87692.51498</v>
      </c>
      <c r="P18" s="175">
        <f>IF('Pre-Calculation'!$D$17="Type 4 a",MAX(SA,N18,1.05*Q18),IF('Pre-Calculation'!$D$17="Type 4 c",N18,IF('Pre-Calculation'!$D$17="Type 4 d",SA+N18,IF('Pre-Calculation'!$D$17="Type 4 e",MAX(SA,N18),IF('Pre-Calculation'!$D$17="Type 4 f",SA,IF('Pre-Calculation'!$D$17="Type 4 g",1000+N18,IF('Pre-Calculation'!$D$17="Type 4 h",SA+X18,IF('Pre-Calculation'!$D$17="Type 4 i",MAX(N18,Q18),IF('Pre-Calculation'!$D$17="Type 4 k",MAX(N18,1.01*Q18),IF('Pre-Calculation'!$D$17="Type 4 m",MAX(105%*Q18,SA+N18),IF('Pre-Calculation'!$D$17="Type 4 o",MAX(SA,105%*Q18)+X18+Z18,IF('Pre-Calculation'!$D$17="Type 5",0))))))))))))</f>
        <v>1000000</v>
      </c>
      <c r="Q18" s="175">
        <f t="shared" si="5"/>
        <v>700000</v>
      </c>
      <c r="R18" s="119">
        <f>L18*(1+GROWTH_RATE)*FMC</f>
        <v>99.04242617</v>
      </c>
      <c r="S18" s="178">
        <f>S17*(1+'Pre-Calculation'!$E$27)</f>
        <v>672750</v>
      </c>
      <c r="T18" s="175">
        <f>-E18+IF(A17=INPUT!$C$11*12,N18,0)</f>
        <v>0</v>
      </c>
      <c r="U18" s="175">
        <f t="shared" si="6"/>
        <v>101777.4606</v>
      </c>
      <c r="V18" s="175">
        <f>U18*(1+GROWTH_RATE_L)*(1-'Pre-Calculation'!$E$31)</f>
        <v>101940.6062</v>
      </c>
      <c r="W18" s="175">
        <f>-E18+IF(A17=INPUT!$C$11*12,V18,0)</f>
        <v>0</v>
      </c>
      <c r="X18" s="179">
        <f t="array" ref="X18">NPV('Pre-Calculation'!$E$20,$E19:E$246)</f>
        <v>693210.3386</v>
      </c>
      <c r="Y18" s="171">
        <f>10%*SA</f>
        <v>100000</v>
      </c>
      <c r="Z18" s="179">
        <f t="array" ref="Z18">NPV('Pre-Calculation'!$E$20,Y19:Y28)</f>
        <v>969592.8037</v>
      </c>
    </row>
    <row r="19">
      <c r="A19" s="171">
        <f t="shared" si="1"/>
        <v>13</v>
      </c>
      <c r="B19" s="171">
        <f t="shared" si="2"/>
        <v>2</v>
      </c>
      <c r="C19" s="176">
        <f>EDATE(RCD,A18)</f>
        <v>42916</v>
      </c>
      <c r="D19" s="171">
        <f>Age_At_Entry+'Cashflows_4% from Start'!B19-1</f>
        <v>36</v>
      </c>
      <c r="E19" s="175">
        <f>IF(AND(C19&lt;=Last_Prem,MOD(A18,Mode)=0),Mod_Prem,0)</f>
        <v>100000</v>
      </c>
      <c r="F19" s="177">
        <f>IF(B19&lt;PT+1,E19*VLOOKUP(B19,'Pre-Calculation'!$H$1:$I$31,2,FALSE),0)</f>
        <v>2000</v>
      </c>
      <c r="G19" s="177">
        <f>IF(B19&lt;PT+1,VLOOKUP(B19,'Pre-Calculation'!$H$1:$L$32,3,FALSE)+VLOOKUP(B19,'Pre-Calculation'!$H$1:$L$32,4,FALSE)*'Pre-Calculation'!$D$7,0)</f>
        <v>420</v>
      </c>
      <c r="H19" s="175">
        <f>(E19-(F19+G19)*(1+Tax)+N18)</f>
        <v>184836.915</v>
      </c>
      <c r="I19" s="175">
        <f>IF(B19&lt;PT+1,VLOOKUP(D19,'Pre-Calculation'!$N$3:$P$79,IF(INPUT!$C$4="M",2,3),FALSE)*(J19/1000)*(1/12),0)</f>
        <v>92.24928912</v>
      </c>
      <c r="J19" s="175">
        <f t="shared" si="3"/>
        <v>815163.085</v>
      </c>
      <c r="K19" s="175">
        <f>IF('Pre-Calculation'!$D$17="Type 4 a",MAX(SA,H19,1.05*Q19),IF('Pre-Calculation'!$D$17="Type 4 c",H19,IF('Pre-Calculation'!$D$17="Type 4 d",SA+H19,IF('Pre-Calculation'!$D$17="Type 4 e",MAX(SA,H19),IF('Pre-Calculation'!$D$17="Type 4 f",SA,IF('Pre-Calculation'!$D$17="Type 4 g",1000+H19,IF('Pre-Calculation'!$D$17="Type 4 h",SA+X19,IF('Pre-Calculation'!$D$17="Type 4 i",MAX(H19,Q19),IF('Pre-Calculation'!$D$17="Type 4 k",MAX(H19,1.01*Q19),IF('Pre-Calculation'!$D$17="Type 4 m",MAX(105%*Q19,SA+H19),IF('Pre-Calculation'!$D$17="Type 4 o",MAX(SA,105%*Q19)+X19+Z19,IF('Pre-Calculation'!$D$17="Type 5",0))))))))))))</f>
        <v>1000000</v>
      </c>
      <c r="L19" s="175">
        <f>H19-I19*(1+Tax)</f>
        <v>184728.0608</v>
      </c>
      <c r="M19" s="175">
        <f>L19*(1+GROWTH_RATE_L)*(1-FMC*(1+Tax))</f>
        <v>185086.9169</v>
      </c>
      <c r="N19" s="175">
        <f>M19+IF(MOD(A19,B19)=0,VLOOKUP(B19,'Pre-Calculation'!$H$1:$L$31,5,FALSE),0)*IF('Pre-Calculation'!$D$16="% OF FV",M19,IF(OR('Pre-Calculation'!$D$16="% OF AFV(24M)",'Pre-Calculation'!$D$16="% OF AFV(8Q)"),AVERAGE( $M$7:$M19),IF('Pre-Calculation'!$D$16="% OF AFV(12M)",AVERAGE($M8:M19),IF('Pre-Calculation'!$D$16="% OF AFV(36M)",AVERAGE($M$7:M19)))))</f>
        <v>185086.9169</v>
      </c>
      <c r="O19" s="175">
        <f t="shared" si="4"/>
        <v>185086.9169</v>
      </c>
      <c r="P19" s="175">
        <f>IF('Pre-Calculation'!$D$17="Type 4 a",MAX(SA,N19,1.05*Q19),IF('Pre-Calculation'!$D$17="Type 4 c",N19,IF('Pre-Calculation'!$D$17="Type 4 d",SA+N19,IF('Pre-Calculation'!$D$17="Type 4 e",MAX(SA,N19),IF('Pre-Calculation'!$D$17="Type 4 f",SA,IF('Pre-Calculation'!$D$17="Type 4 g",1000+N19,IF('Pre-Calculation'!$D$17="Type 4 h",SA+X19,IF('Pre-Calculation'!$D$17="Type 4 i",MAX(N19,Q19),IF('Pre-Calculation'!$D$17="Type 4 k",MAX(N19,1.01*Q19),IF('Pre-Calculation'!$D$17="Type 4 m",MAX(105%*Q19,SA+N19),IF('Pre-Calculation'!$D$17="Type 4 o",MAX(SA,105%*Q19)+X19+Z19,IF('Pre-Calculation'!$D$17="Type 5",0))))))))))))</f>
        <v>1000000</v>
      </c>
      <c r="Q19" s="175">
        <f t="shared" si="5"/>
        <v>800000</v>
      </c>
      <c r="R19" s="119">
        <f>L19*(1+GROWTH_RATE)*FMC</f>
        <v>209.04244</v>
      </c>
      <c r="S19" s="178">
        <f>S18*(1+'Pre-Calculation'!$E$27)</f>
        <v>674681.3971</v>
      </c>
      <c r="T19" s="175">
        <f>-E19+IF(A18=INPUT!$C$11*12,N19,0)</f>
        <v>-100000</v>
      </c>
      <c r="U19" s="175">
        <f t="shared" si="6"/>
        <v>201940.6062</v>
      </c>
      <c r="V19" s="175">
        <f>U19*(1+GROWTH_RATE_L)*(1-'Pre-Calculation'!$E$31)</f>
        <v>202264.3096</v>
      </c>
      <c r="W19" s="175">
        <f>-E19+IF(A18=INPUT!$C$11*12,V19,0)</f>
        <v>-100000</v>
      </c>
      <c r="X19" s="179">
        <f t="array" ref="X19">NPV('Pre-Calculation'!$E$20,$E20:E$246)</f>
        <v>597129.8506</v>
      </c>
      <c r="Y19" s="171">
        <f>10%*SA</f>
        <v>100000</v>
      </c>
      <c r="Z19" s="179">
        <f t="array" ref="Z19">NPV('Pre-Calculation'!$E$20,Y20:Y29)</f>
        <v>969592.8037</v>
      </c>
    </row>
    <row r="20">
      <c r="A20" s="171">
        <f t="shared" si="1"/>
        <v>14</v>
      </c>
      <c r="B20" s="171">
        <f t="shared" si="2"/>
        <v>2</v>
      </c>
      <c r="C20" s="176">
        <f>EDATE(RCD,A19)</f>
        <v>42946</v>
      </c>
      <c r="D20" s="171">
        <f>Age_At_Entry+'Cashflows_4% from Start'!B20-1</f>
        <v>36</v>
      </c>
      <c r="E20" s="175">
        <f>IF(AND(C20&lt;=Last_Prem,MOD(A19,Mode)=0),Mod_Prem,0)</f>
        <v>0</v>
      </c>
      <c r="F20" s="177">
        <f>IF(B20&lt;PT+1,E20*VLOOKUP(B20,'Pre-Calculation'!$H$1:$I$31,2,FALSE),0)</f>
        <v>0</v>
      </c>
      <c r="G20" s="177">
        <f>IF(B20&lt;PT+1,VLOOKUP(B20,'Pre-Calculation'!$H$1:$L$32,3,FALSE)+VLOOKUP(B20,'Pre-Calculation'!$H$1:$L$32,4,FALSE)*'Pre-Calculation'!$D$7,0)</f>
        <v>420</v>
      </c>
      <c r="H20" s="175">
        <f>(E20-(F20+G20)*(1+Tax)+N19)</f>
        <v>184591.3169</v>
      </c>
      <c r="I20" s="175">
        <f>IF(B20&lt;PT+1,VLOOKUP(D20,'Pre-Calculation'!$N$3:$P$79,IF(INPUT!$C$4="M",2,3),FALSE)*(J20/1000)*(1/12),0)</f>
        <v>92.27708264</v>
      </c>
      <c r="J20" s="175">
        <f t="shared" si="3"/>
        <v>815408.6831</v>
      </c>
      <c r="K20" s="175">
        <f>IF('Pre-Calculation'!$D$17="Type 4 a",MAX(SA,H20,1.05*Q20),IF('Pre-Calculation'!$D$17="Type 4 c",H20,IF('Pre-Calculation'!$D$17="Type 4 d",SA+H20,IF('Pre-Calculation'!$D$17="Type 4 e",MAX(SA,H20),IF('Pre-Calculation'!$D$17="Type 4 f",SA,IF('Pre-Calculation'!$D$17="Type 4 g",1000+H20,IF('Pre-Calculation'!$D$17="Type 4 h",SA+X20,IF('Pre-Calculation'!$D$17="Type 4 i",MAX(H20,Q20),IF('Pre-Calculation'!$D$17="Type 4 k",MAX(H20,1.01*Q20),IF('Pre-Calculation'!$D$17="Type 4 m",MAX(105%*Q20,SA+H20),IF('Pre-Calculation'!$D$17="Type 4 o",MAX(SA,105%*Q20)+X20+Z20,IF('Pre-Calculation'!$D$17="Type 5",0))))))))))))</f>
        <v>1000000</v>
      </c>
      <c r="L20" s="175">
        <f>H20-I20*(1+Tax)</f>
        <v>184482.4299</v>
      </c>
      <c r="M20" s="175">
        <f>L20*(1+GROWTH_RATE_L)*(1-FMC*(1+Tax))</f>
        <v>184840.8089</v>
      </c>
      <c r="N20" s="175">
        <f>M20+IF(MOD(A20,B20)=0,VLOOKUP(B20,'Pre-Calculation'!$H$1:$L$31,5,FALSE),0)*IF('Pre-Calculation'!$D$16="% OF FV",M20,IF(OR('Pre-Calculation'!$D$16="% OF AFV(24M)",'Pre-Calculation'!$D$16="% OF AFV(8Q)"),AVERAGE( $M$7:$M20),IF('Pre-Calculation'!$D$16="% OF AFV(12M)",AVERAGE($M9:M20),IF('Pre-Calculation'!$D$16="% OF AFV(36M)",AVERAGE($M$7:M20)))))</f>
        <v>184840.8089</v>
      </c>
      <c r="O20" s="175">
        <f t="shared" si="4"/>
        <v>184840.8089</v>
      </c>
      <c r="P20" s="175">
        <f>IF('Pre-Calculation'!$D$17="Type 4 a",MAX(SA,N20,1.05*Q20),IF('Pre-Calculation'!$D$17="Type 4 c",N20,IF('Pre-Calculation'!$D$17="Type 4 d",SA+N20,IF('Pre-Calculation'!$D$17="Type 4 e",MAX(SA,N20),IF('Pre-Calculation'!$D$17="Type 4 f",SA,IF('Pre-Calculation'!$D$17="Type 4 g",1000+N20,IF('Pre-Calculation'!$D$17="Type 4 h",SA+X20,IF('Pre-Calculation'!$D$17="Type 4 i",MAX(N20,Q20),IF('Pre-Calculation'!$D$17="Type 4 k",MAX(N20,1.01*Q20),IF('Pre-Calculation'!$D$17="Type 4 m",MAX(105%*Q20,SA+N20),IF('Pre-Calculation'!$D$17="Type 4 o",MAX(SA,105%*Q20)+X20+Z20,IF('Pre-Calculation'!$D$17="Type 5",0))))))))))))</f>
        <v>1000000</v>
      </c>
      <c r="Q20" s="175">
        <f t="shared" si="5"/>
        <v>800000</v>
      </c>
      <c r="R20" s="119">
        <f>L20*(1+GROWTH_RATE)*FMC</f>
        <v>208.7644786</v>
      </c>
      <c r="S20" s="178">
        <f>S19*(1+'Pre-Calculation'!$E$27)</f>
        <v>676618.3391</v>
      </c>
      <c r="T20" s="175">
        <f>-E20+IF(A19=INPUT!$C$11*12,N20,0)</f>
        <v>0</v>
      </c>
      <c r="U20" s="175">
        <f t="shared" si="6"/>
        <v>202264.3096</v>
      </c>
      <c r="V20" s="175">
        <f>U20*(1+GROWTH_RATE_L)*(1-'Pre-Calculation'!$E$31)</f>
        <v>202588.532</v>
      </c>
      <c r="W20" s="175">
        <f>-E20+IF(A19=INPUT!$C$11*12,V20,0)</f>
        <v>0</v>
      </c>
      <c r="X20" s="179">
        <f t="array" ref="X20">NPV('Pre-Calculation'!$E$20,$E21:E$246)</f>
        <v>600506.1096</v>
      </c>
      <c r="Y20" s="171">
        <f>10%*SA</f>
        <v>100000</v>
      </c>
      <c r="Z20" s="179">
        <f t="array" ref="Z20">NPV('Pre-Calculation'!$E$20,Y21:Y30)</f>
        <v>969592.8037</v>
      </c>
    </row>
    <row r="21" ht="15.75" customHeight="1">
      <c r="A21" s="171">
        <f t="shared" si="1"/>
        <v>15</v>
      </c>
      <c r="B21" s="171">
        <f t="shared" si="2"/>
        <v>2</v>
      </c>
      <c r="C21" s="176">
        <f>EDATE(RCD,A20)</f>
        <v>42977</v>
      </c>
      <c r="D21" s="171">
        <f>Age_At_Entry+'Cashflows_4% from Start'!B21-1</f>
        <v>36</v>
      </c>
      <c r="E21" s="175">
        <f>IF(AND(C21&lt;=Last_Prem,MOD(A20,Mode)=0),Mod_Prem,0)</f>
        <v>0</v>
      </c>
      <c r="F21" s="177">
        <f>IF(B21&lt;PT+1,E21*VLOOKUP(B21,'Pre-Calculation'!$H$1:$I$31,2,FALSE),0)</f>
        <v>0</v>
      </c>
      <c r="G21" s="177">
        <f>IF(B21&lt;PT+1,VLOOKUP(B21,'Pre-Calculation'!$H$1:$L$32,3,FALSE)+VLOOKUP(B21,'Pre-Calculation'!$H$1:$L$32,4,FALSE)*'Pre-Calculation'!$D$7,0)</f>
        <v>420</v>
      </c>
      <c r="H21" s="175">
        <f>(E21-(F21+G21)*(1+Tax)+N20)</f>
        <v>184345.2089</v>
      </c>
      <c r="I21" s="175">
        <f>IF(B21&lt;PT+1,VLOOKUP(D21,'Pre-Calculation'!$N$3:$P$79,IF(INPUT!$C$4="M",2,3),FALSE)*(J21/1000)*(1/12),0)</f>
        <v>92.30493386</v>
      </c>
      <c r="J21" s="175">
        <f t="shared" si="3"/>
        <v>815654.7911</v>
      </c>
      <c r="K21" s="175">
        <f>IF('Pre-Calculation'!$D$17="Type 4 a",MAX(SA,H21,1.05*Q21),IF('Pre-Calculation'!$D$17="Type 4 c",H21,IF('Pre-Calculation'!$D$17="Type 4 d",SA+H21,IF('Pre-Calculation'!$D$17="Type 4 e",MAX(SA,H21),IF('Pre-Calculation'!$D$17="Type 4 f",SA,IF('Pre-Calculation'!$D$17="Type 4 g",1000+H21,IF('Pre-Calculation'!$D$17="Type 4 h",SA+X21,IF('Pre-Calculation'!$D$17="Type 4 i",MAX(H21,Q21),IF('Pre-Calculation'!$D$17="Type 4 k",MAX(H21,1.01*Q21),IF('Pre-Calculation'!$D$17="Type 4 m",MAX(105%*Q21,SA+H21),IF('Pre-Calculation'!$D$17="Type 4 o",MAX(SA,105%*Q21)+X21+Z21,IF('Pre-Calculation'!$D$17="Type 5",0))))))))))))</f>
        <v>1000000</v>
      </c>
      <c r="L21" s="175">
        <f>H21-I21*(1+Tax)</f>
        <v>184236.289</v>
      </c>
      <c r="M21" s="175">
        <f>L21*(1+GROWTH_RATE_L)*(1-FMC*(1+Tax))</f>
        <v>184594.1898</v>
      </c>
      <c r="N21" s="175">
        <f>M21+IF(MOD(A21,B21)=0,VLOOKUP(B21,'Pre-Calculation'!$H$1:$L$31,5,FALSE),0)*IF('Pre-Calculation'!$D$16="% OF FV",M21,IF(OR('Pre-Calculation'!$D$16="% OF AFV(24M)",'Pre-Calculation'!$D$16="% OF AFV(8Q)"),AVERAGE( $M$7:$M21),IF('Pre-Calculation'!$D$16="% OF AFV(12M)",AVERAGE($M10:M21),IF('Pre-Calculation'!$D$16="% OF AFV(36M)",AVERAGE($M$7:M21)))))</f>
        <v>184594.1898</v>
      </c>
      <c r="O21" s="175">
        <f t="shared" si="4"/>
        <v>184594.1898</v>
      </c>
      <c r="P21" s="175">
        <f>IF('Pre-Calculation'!$D$17="Type 4 a",MAX(SA,N21,1.05*Q21),IF('Pre-Calculation'!$D$17="Type 4 c",N21,IF('Pre-Calculation'!$D$17="Type 4 d",SA+N21,IF('Pre-Calculation'!$D$17="Type 4 e",MAX(SA,N21),IF('Pre-Calculation'!$D$17="Type 4 f",SA,IF('Pre-Calculation'!$D$17="Type 4 g",1000+N21,IF('Pre-Calculation'!$D$17="Type 4 h",SA+X21,IF('Pre-Calculation'!$D$17="Type 4 i",MAX(N21,Q21),IF('Pre-Calculation'!$D$17="Type 4 k",MAX(N21,1.01*Q21),IF('Pre-Calculation'!$D$17="Type 4 m",MAX(105%*Q21,SA+N21),IF('Pre-Calculation'!$D$17="Type 4 o",MAX(SA,105%*Q21)+X21+Z21,IF('Pre-Calculation'!$D$17="Type 5",0))))))))))))</f>
        <v>1000000</v>
      </c>
      <c r="Q21" s="175">
        <f t="shared" si="5"/>
        <v>800000</v>
      </c>
      <c r="R21" s="119">
        <f>L21*(1+GROWTH_RATE)*FMC</f>
        <v>208.48594</v>
      </c>
      <c r="S21" s="178">
        <f>S20*(1+'Pre-Calculation'!$E$27)</f>
        <v>678560.8418</v>
      </c>
      <c r="T21" s="175">
        <f>-E21+IF(A20=INPUT!$C$11*12,N21,0)</f>
        <v>0</v>
      </c>
      <c r="U21" s="175">
        <f t="shared" si="6"/>
        <v>202588.532</v>
      </c>
      <c r="V21" s="175">
        <f>U21*(1+GROWTH_RATE_L)*(1-'Pre-Calculation'!$E$31)</f>
        <v>202913.2741</v>
      </c>
      <c r="W21" s="175">
        <f>-E21+IF(A20=INPUT!$C$11*12,V21,0)</f>
        <v>0</v>
      </c>
      <c r="X21" s="179">
        <f t="array" ref="X21">NPV('Pre-Calculation'!$E$20,$E22:E$246)</f>
        <v>603901.4585</v>
      </c>
      <c r="Y21" s="171">
        <f>10%*SA</f>
        <v>100000</v>
      </c>
      <c r="Z21" s="179">
        <f t="array" ref="Z21">NPV('Pre-Calculation'!$E$20,Y22:Y31)</f>
        <v>969592.8037</v>
      </c>
    </row>
    <row r="22" ht="15.75" customHeight="1">
      <c r="A22" s="171">
        <f t="shared" si="1"/>
        <v>16</v>
      </c>
      <c r="B22" s="171">
        <f t="shared" si="2"/>
        <v>2</v>
      </c>
      <c r="C22" s="176">
        <f>EDATE(RCD,A21)</f>
        <v>43008</v>
      </c>
      <c r="D22" s="171">
        <f>Age_At_Entry+'Cashflows_4% from Start'!B22-1</f>
        <v>36</v>
      </c>
      <c r="E22" s="175">
        <f>IF(AND(C22&lt;=Last_Prem,MOD(A21,Mode)=0),Mod_Prem,0)</f>
        <v>0</v>
      </c>
      <c r="F22" s="177">
        <f>IF(B22&lt;PT+1,E22*VLOOKUP(B22,'Pre-Calculation'!$H$1:$I$31,2,FALSE),0)</f>
        <v>0</v>
      </c>
      <c r="G22" s="177">
        <f>IF(B22&lt;PT+1,VLOOKUP(B22,'Pre-Calculation'!$H$1:$L$32,3,FALSE)+VLOOKUP(B22,'Pre-Calculation'!$H$1:$L$32,4,FALSE)*'Pre-Calculation'!$D$7,0)</f>
        <v>420</v>
      </c>
      <c r="H22" s="175">
        <f>(E22-(F22+G22)*(1+Tax)+N21)</f>
        <v>184098.5898</v>
      </c>
      <c r="I22" s="175">
        <f>IF(B22&lt;PT+1,VLOOKUP(D22,'Pre-Calculation'!$N$3:$P$79,IF(INPUT!$C$4="M",2,3),FALSE)*(J22/1000)*(1/12),0)</f>
        <v>92.33284292</v>
      </c>
      <c r="J22" s="175">
        <f t="shared" si="3"/>
        <v>815901.4102</v>
      </c>
      <c r="K22" s="175">
        <f>IF('Pre-Calculation'!$D$17="Type 4 a",MAX(SA,H22,1.05*Q22),IF('Pre-Calculation'!$D$17="Type 4 c",H22,IF('Pre-Calculation'!$D$17="Type 4 d",SA+H22,IF('Pre-Calculation'!$D$17="Type 4 e",MAX(SA,H22),IF('Pre-Calculation'!$D$17="Type 4 f",SA,IF('Pre-Calculation'!$D$17="Type 4 g",1000+H22,IF('Pre-Calculation'!$D$17="Type 4 h",SA+X22,IF('Pre-Calculation'!$D$17="Type 4 i",MAX(H22,Q22),IF('Pre-Calculation'!$D$17="Type 4 k",MAX(H22,1.01*Q22),IF('Pre-Calculation'!$D$17="Type 4 m",MAX(105%*Q22,SA+H22),IF('Pre-Calculation'!$D$17="Type 4 o",MAX(SA,105%*Q22)+X22+Z22,IF('Pre-Calculation'!$D$17="Type 5",0))))))))))))</f>
        <v>1000000</v>
      </c>
      <c r="L22" s="175">
        <f>H22-I22*(1+Tax)</f>
        <v>183989.6371</v>
      </c>
      <c r="M22" s="175">
        <f>L22*(1+GROWTH_RATE_L)*(1-FMC*(1+Tax))</f>
        <v>184347.0587</v>
      </c>
      <c r="N22" s="175">
        <f>M22+IF(MOD(A22,B22)=0,VLOOKUP(B22,'Pre-Calculation'!$H$1:$L$31,5,FALSE),0)*IF('Pre-Calculation'!$D$16="% OF FV",M22,IF(OR('Pre-Calculation'!$D$16="% OF AFV(24M)",'Pre-Calculation'!$D$16="% OF AFV(8Q)"),AVERAGE( $M$7:$M22),IF('Pre-Calculation'!$D$16="% OF AFV(12M)",AVERAGE($M11:M22),IF('Pre-Calculation'!$D$16="% OF AFV(36M)",AVERAGE($M$7:M22)))))</f>
        <v>184347.0587</v>
      </c>
      <c r="O22" s="175">
        <f t="shared" si="4"/>
        <v>184347.0587</v>
      </c>
      <c r="P22" s="175">
        <f>IF('Pre-Calculation'!$D$17="Type 4 a",MAX(SA,N22,1.05*Q22),IF('Pre-Calculation'!$D$17="Type 4 c",N22,IF('Pre-Calculation'!$D$17="Type 4 d",SA+N22,IF('Pre-Calculation'!$D$17="Type 4 e",MAX(SA,N22),IF('Pre-Calculation'!$D$17="Type 4 f",SA,IF('Pre-Calculation'!$D$17="Type 4 g",1000+N22,IF('Pre-Calculation'!$D$17="Type 4 h",SA+X22,IF('Pre-Calculation'!$D$17="Type 4 i",MAX(N22,Q22),IF('Pre-Calculation'!$D$17="Type 4 k",MAX(N22,1.01*Q22),IF('Pre-Calculation'!$D$17="Type 4 m",MAX(105%*Q22,SA+N22),IF('Pre-Calculation'!$D$17="Type 4 o",MAX(SA,105%*Q22)+X22+Z22,IF('Pre-Calculation'!$D$17="Type 5",0))))))))))))</f>
        <v>1000000</v>
      </c>
      <c r="Q22" s="175">
        <f t="shared" si="5"/>
        <v>800000</v>
      </c>
      <c r="R22" s="119">
        <f>L22*(1+GROWTH_RATE)*FMC</f>
        <v>208.206823</v>
      </c>
      <c r="S22" s="178">
        <f>S21*(1+'Pre-Calculation'!$E$27)</f>
        <v>680508.9212</v>
      </c>
      <c r="T22" s="175">
        <f>-E22+IF(A21=INPUT!$C$11*12,N22,0)</f>
        <v>0</v>
      </c>
      <c r="U22" s="175">
        <f t="shared" si="6"/>
        <v>202913.2741</v>
      </c>
      <c r="V22" s="175">
        <f>U22*(1+GROWTH_RATE_L)*(1-'Pre-Calculation'!$E$31)</f>
        <v>203238.5367</v>
      </c>
      <c r="W22" s="175">
        <f>-E22+IF(A21=INPUT!$C$11*12,V22,0)</f>
        <v>0</v>
      </c>
      <c r="X22" s="179">
        <f t="array" ref="X22">NPV('Pre-Calculation'!$E$20,$E23:E$246)</f>
        <v>607316.0051</v>
      </c>
      <c r="Y22" s="171">
        <f>10%*SA</f>
        <v>100000</v>
      </c>
      <c r="Z22" s="179">
        <f t="array" ref="Z22">NPV('Pre-Calculation'!$E$20,Y23:Y32)</f>
        <v>969592.8037</v>
      </c>
    </row>
    <row r="23" ht="15.75" customHeight="1">
      <c r="A23" s="171">
        <f t="shared" si="1"/>
        <v>17</v>
      </c>
      <c r="B23" s="171">
        <f t="shared" si="2"/>
        <v>2</v>
      </c>
      <c r="C23" s="176">
        <f>EDATE(RCD,A22)</f>
        <v>43038</v>
      </c>
      <c r="D23" s="171">
        <f>Age_At_Entry+'Cashflows_4% from Start'!B23-1</f>
        <v>36</v>
      </c>
      <c r="E23" s="175">
        <f>IF(AND(C23&lt;=Last_Prem,MOD(A22,Mode)=0),Mod_Prem,0)</f>
        <v>0</v>
      </c>
      <c r="F23" s="177">
        <f>IF(B23&lt;PT+1,E23*VLOOKUP(B23,'Pre-Calculation'!$H$1:$I$31,2,FALSE),0)</f>
        <v>0</v>
      </c>
      <c r="G23" s="177">
        <f>IF(B23&lt;PT+1,VLOOKUP(B23,'Pre-Calculation'!$H$1:$L$32,3,FALSE)+VLOOKUP(B23,'Pre-Calculation'!$H$1:$L$32,4,FALSE)*'Pre-Calculation'!$D$7,0)</f>
        <v>420</v>
      </c>
      <c r="H23" s="175">
        <f>(E23-(F23+G23)*(1+Tax)+N22)</f>
        <v>183851.4587</v>
      </c>
      <c r="I23" s="175">
        <f>IF(B23&lt;PT+1,VLOOKUP(D23,'Pre-Calculation'!$N$3:$P$79,IF(INPUT!$C$4="M",2,3),FALSE)*(J23/1000)*(1/12),0)</f>
        <v>92.36080993</v>
      </c>
      <c r="J23" s="175">
        <f t="shared" si="3"/>
        <v>816148.5413</v>
      </c>
      <c r="K23" s="175">
        <f>IF('Pre-Calculation'!$D$17="Type 4 a",MAX(SA,H23,1.05*Q23),IF('Pre-Calculation'!$D$17="Type 4 c",H23,IF('Pre-Calculation'!$D$17="Type 4 d",SA+H23,IF('Pre-Calculation'!$D$17="Type 4 e",MAX(SA,H23),IF('Pre-Calculation'!$D$17="Type 4 f",SA,IF('Pre-Calculation'!$D$17="Type 4 g",1000+H23,IF('Pre-Calculation'!$D$17="Type 4 h",SA+X23,IF('Pre-Calculation'!$D$17="Type 4 i",MAX(H23,Q23),IF('Pre-Calculation'!$D$17="Type 4 k",MAX(H23,1.01*Q23),IF('Pre-Calculation'!$D$17="Type 4 m",MAX(105%*Q23,SA+H23),IF('Pre-Calculation'!$D$17="Type 4 o",MAX(SA,105%*Q23)+X23+Z23,IF('Pre-Calculation'!$D$17="Type 5",0))))))))))))</f>
        <v>1000000</v>
      </c>
      <c r="L23" s="175">
        <f>H23-I23*(1+Tax)</f>
        <v>183742.4729</v>
      </c>
      <c r="M23" s="175">
        <f>L23*(1+GROWTH_RATE_L)*(1-FMC*(1+Tax))</f>
        <v>184099.4144</v>
      </c>
      <c r="N23" s="175">
        <f>M23+IF(MOD(A23,B23)=0,VLOOKUP(B23,'Pre-Calculation'!$H$1:$L$31,5,FALSE),0)*IF('Pre-Calculation'!$D$16="% OF FV",M23,IF(OR('Pre-Calculation'!$D$16="% OF AFV(24M)",'Pre-Calculation'!$D$16="% OF AFV(8Q)"),AVERAGE( $M$7:$M23),IF('Pre-Calculation'!$D$16="% OF AFV(12M)",AVERAGE($M12:M23),IF('Pre-Calculation'!$D$16="% OF AFV(36M)",AVERAGE($M$7:M23)))))</f>
        <v>184099.4144</v>
      </c>
      <c r="O23" s="175">
        <f t="shared" si="4"/>
        <v>184099.4144</v>
      </c>
      <c r="P23" s="175">
        <f>IF('Pre-Calculation'!$D$17="Type 4 a",MAX(SA,N23,1.05*Q23),IF('Pre-Calculation'!$D$17="Type 4 c",N23,IF('Pre-Calculation'!$D$17="Type 4 d",SA+N23,IF('Pre-Calculation'!$D$17="Type 4 e",MAX(SA,N23),IF('Pre-Calculation'!$D$17="Type 4 f",SA,IF('Pre-Calculation'!$D$17="Type 4 g",1000+N23,IF('Pre-Calculation'!$D$17="Type 4 h",SA+X23,IF('Pre-Calculation'!$D$17="Type 4 i",MAX(N23,Q23),IF('Pre-Calculation'!$D$17="Type 4 k",MAX(N23,1.01*Q23),IF('Pre-Calculation'!$D$17="Type 4 m",MAX(105%*Q23,SA+N23),IF('Pre-Calculation'!$D$17="Type 4 o",MAX(SA,105%*Q23)+X23+Z23,IF('Pre-Calculation'!$D$17="Type 5",0))))))))))))</f>
        <v>1000000</v>
      </c>
      <c r="Q23" s="175">
        <f t="shared" si="5"/>
        <v>800000</v>
      </c>
      <c r="R23" s="119">
        <f>L23*(1+GROWTH_RATE)*FMC</f>
        <v>207.9271265</v>
      </c>
      <c r="S23" s="178">
        <f>S22*(1+'Pre-Calculation'!$E$27)</f>
        <v>682462.5934</v>
      </c>
      <c r="T23" s="175">
        <f>-E23+IF(A22=INPUT!$C$11*12,N23,0)</f>
        <v>0</v>
      </c>
      <c r="U23" s="175">
        <f t="shared" si="6"/>
        <v>203238.5367</v>
      </c>
      <c r="V23" s="175">
        <f>U23*(1+GROWTH_RATE_L)*(1-'Pre-Calculation'!$E$31)</f>
        <v>203564.3208</v>
      </c>
      <c r="W23" s="175">
        <f>-E23+IF(A22=INPUT!$C$11*12,V23,0)</f>
        <v>0</v>
      </c>
      <c r="X23" s="179">
        <f t="array" ref="X23">NPV('Pre-Calculation'!$E$20,$E24:E$246)</f>
        <v>610749.8581</v>
      </c>
      <c r="Y23" s="171">
        <f>10%*SA</f>
        <v>100000</v>
      </c>
      <c r="Z23" s="179">
        <f t="array" ref="Z23">NPV('Pre-Calculation'!$E$20,Y24:Y33)</f>
        <v>969592.8037</v>
      </c>
    </row>
    <row r="24" ht="15.75" customHeight="1">
      <c r="A24" s="171">
        <f t="shared" si="1"/>
        <v>18</v>
      </c>
      <c r="B24" s="171">
        <f t="shared" si="2"/>
        <v>2</v>
      </c>
      <c r="C24" s="176">
        <f>EDATE(RCD,A23)</f>
        <v>43069</v>
      </c>
      <c r="D24" s="171">
        <f>Age_At_Entry+'Cashflows_4% from Start'!B24-1</f>
        <v>36</v>
      </c>
      <c r="E24" s="175">
        <f>IF(AND(C24&lt;=Last_Prem,MOD(A23,Mode)=0),Mod_Prem,0)</f>
        <v>0</v>
      </c>
      <c r="F24" s="177">
        <f>IF(B24&lt;PT+1,E24*VLOOKUP(B24,'Pre-Calculation'!$H$1:$I$31,2,FALSE),0)</f>
        <v>0</v>
      </c>
      <c r="G24" s="177">
        <f>IF(B24&lt;PT+1,VLOOKUP(B24,'Pre-Calculation'!$H$1:$L$32,3,FALSE)+VLOOKUP(B24,'Pre-Calculation'!$H$1:$L$32,4,FALSE)*'Pre-Calculation'!$D$7,0)</f>
        <v>420</v>
      </c>
      <c r="H24" s="175">
        <f>(E24-(F24+G24)*(1+Tax)+N23)</f>
        <v>183603.8144</v>
      </c>
      <c r="I24" s="175">
        <f>IF(B24&lt;PT+1,VLOOKUP(D24,'Pre-Calculation'!$N$3:$P$79,IF(INPUT!$C$4="M",2,3),FALSE)*(J24/1000)*(1/12),0)</f>
        <v>92.38883501</v>
      </c>
      <c r="J24" s="175">
        <f t="shared" si="3"/>
        <v>816396.1856</v>
      </c>
      <c r="K24" s="175">
        <f>IF('Pre-Calculation'!$D$17="Type 4 a",MAX(SA,H24,1.05*Q24),IF('Pre-Calculation'!$D$17="Type 4 c",H24,IF('Pre-Calculation'!$D$17="Type 4 d",SA+H24,IF('Pre-Calculation'!$D$17="Type 4 e",MAX(SA,H24),IF('Pre-Calculation'!$D$17="Type 4 f",SA,IF('Pre-Calculation'!$D$17="Type 4 g",1000+H24,IF('Pre-Calculation'!$D$17="Type 4 h",SA+X24,IF('Pre-Calculation'!$D$17="Type 4 i",MAX(H24,Q24),IF('Pre-Calculation'!$D$17="Type 4 k",MAX(H24,1.01*Q24),IF('Pre-Calculation'!$D$17="Type 4 m",MAX(105%*Q24,SA+H24),IF('Pre-Calculation'!$D$17="Type 4 o",MAX(SA,105%*Q24)+X24+Z24,IF('Pre-Calculation'!$D$17="Type 5",0))))))))))))</f>
        <v>1000000</v>
      </c>
      <c r="L24" s="175">
        <f>H24-I24*(1+Tax)</f>
        <v>183494.7956</v>
      </c>
      <c r="M24" s="175">
        <f>L24*(1+GROWTH_RATE_L)*(1-FMC*(1+Tax))</f>
        <v>183851.2559</v>
      </c>
      <c r="N24" s="175">
        <f>M24+IF(MOD(A24,B24)=0,VLOOKUP(B24,'Pre-Calculation'!$H$1:$L$31,5,FALSE),0)*IF('Pre-Calculation'!$D$16="% OF FV",M24,IF(OR('Pre-Calculation'!$D$16="% OF AFV(24M)",'Pre-Calculation'!$D$16="% OF AFV(8Q)"),AVERAGE( $M$7:$M24),IF('Pre-Calculation'!$D$16="% OF AFV(12M)",AVERAGE($M13:M24),IF('Pre-Calculation'!$D$16="% OF AFV(36M)",AVERAGE($M$7:M24)))))</f>
        <v>183851.2559</v>
      </c>
      <c r="O24" s="175">
        <f t="shared" si="4"/>
        <v>183851.2559</v>
      </c>
      <c r="P24" s="175">
        <f>IF('Pre-Calculation'!$D$17="Type 4 a",MAX(SA,N24,1.05*Q24),IF('Pre-Calculation'!$D$17="Type 4 c",N24,IF('Pre-Calculation'!$D$17="Type 4 d",SA+N24,IF('Pre-Calculation'!$D$17="Type 4 e",MAX(SA,N24),IF('Pre-Calculation'!$D$17="Type 4 f",SA,IF('Pre-Calculation'!$D$17="Type 4 g",1000+N24,IF('Pre-Calculation'!$D$17="Type 4 h",SA+X24,IF('Pre-Calculation'!$D$17="Type 4 i",MAX(N24,Q24),IF('Pre-Calculation'!$D$17="Type 4 k",MAX(N24,1.01*Q24),IF('Pre-Calculation'!$D$17="Type 4 m",MAX(105%*Q24,SA+N24),IF('Pre-Calculation'!$D$17="Type 4 o",MAX(SA,105%*Q24)+X24+Z24,IF('Pre-Calculation'!$D$17="Type 5",0))))))))))))</f>
        <v>1000000</v>
      </c>
      <c r="Q24" s="175">
        <f t="shared" si="5"/>
        <v>800000</v>
      </c>
      <c r="R24" s="119">
        <f>L24*(1+GROWTH_RATE)*FMC</f>
        <v>207.6468492</v>
      </c>
      <c r="S24" s="178">
        <f>S23*(1+'Pre-Calculation'!$E$27)</f>
        <v>684421.8744</v>
      </c>
      <c r="T24" s="175">
        <f>-E24+IF(A23=INPUT!$C$11*12,N24,0)</f>
        <v>0</v>
      </c>
      <c r="U24" s="175">
        <f t="shared" si="6"/>
        <v>203564.3208</v>
      </c>
      <c r="V24" s="175">
        <f>U24*(1+GROWTH_RATE_L)*(1-'Pre-Calculation'!$E$31)</f>
        <v>203890.627</v>
      </c>
      <c r="W24" s="175">
        <f>-E24+IF(A23=INPUT!$C$11*12,V24,0)</f>
        <v>0</v>
      </c>
      <c r="X24" s="179">
        <f t="array" ref="X24">NPV('Pre-Calculation'!$E$20,$E25:E$246)</f>
        <v>614203.1266</v>
      </c>
      <c r="Y24" s="171">
        <f>10%*SA</f>
        <v>100000</v>
      </c>
      <c r="Z24" s="179">
        <f t="array" ref="Z24">NPV('Pre-Calculation'!$E$20,Y25:Y34)</f>
        <v>969592.8037</v>
      </c>
    </row>
    <row r="25" ht="15.75" customHeight="1">
      <c r="A25" s="171">
        <f t="shared" si="1"/>
        <v>19</v>
      </c>
      <c r="B25" s="171">
        <f t="shared" si="2"/>
        <v>2</v>
      </c>
      <c r="C25" s="176">
        <f>EDATE(RCD,A24)</f>
        <v>43099</v>
      </c>
      <c r="D25" s="171">
        <f>Age_At_Entry+'Cashflows_4% from Start'!B25-1</f>
        <v>36</v>
      </c>
      <c r="E25" s="175">
        <f>IF(AND(C25&lt;=Last_Prem,MOD(A24,Mode)=0),Mod_Prem,0)</f>
        <v>0</v>
      </c>
      <c r="F25" s="177">
        <f>IF(B25&lt;PT+1,E25*VLOOKUP(B25,'Pre-Calculation'!$H$1:$I$31,2,FALSE),0)</f>
        <v>0</v>
      </c>
      <c r="G25" s="177">
        <f>IF(B25&lt;PT+1,VLOOKUP(B25,'Pre-Calculation'!$H$1:$L$32,3,FALSE)+VLOOKUP(B25,'Pre-Calculation'!$H$1:$L$32,4,FALSE)*'Pre-Calculation'!$D$7,0)</f>
        <v>420</v>
      </c>
      <c r="H25" s="175">
        <f>(E25-(F25+G25)*(1+Tax)+N24)</f>
        <v>183355.6559</v>
      </c>
      <c r="I25" s="175">
        <f>IF(B25&lt;PT+1,VLOOKUP(D25,'Pre-Calculation'!$N$3:$P$79,IF(INPUT!$C$4="M",2,3),FALSE)*(J25/1000)*(1/12),0)</f>
        <v>92.41691828</v>
      </c>
      <c r="J25" s="175">
        <f t="shared" si="3"/>
        <v>816644.3441</v>
      </c>
      <c r="K25" s="175">
        <f>IF('Pre-Calculation'!$D$17="Type 4 a",MAX(SA,H25,1.05*Q25),IF('Pre-Calculation'!$D$17="Type 4 c",H25,IF('Pre-Calculation'!$D$17="Type 4 d",SA+H25,IF('Pre-Calculation'!$D$17="Type 4 e",MAX(SA,H25),IF('Pre-Calculation'!$D$17="Type 4 f",SA,IF('Pre-Calculation'!$D$17="Type 4 g",1000+H25,IF('Pre-Calculation'!$D$17="Type 4 h",SA+X25,IF('Pre-Calculation'!$D$17="Type 4 i",MAX(H25,Q25),IF('Pre-Calculation'!$D$17="Type 4 k",MAX(H25,1.01*Q25),IF('Pre-Calculation'!$D$17="Type 4 m",MAX(105%*Q25,SA+H25),IF('Pre-Calculation'!$D$17="Type 4 o",MAX(SA,105%*Q25)+X25+Z25,IF('Pre-Calculation'!$D$17="Type 5",0))))))))))))</f>
        <v>1000000</v>
      </c>
      <c r="L25" s="175">
        <f>H25-I25*(1+Tax)</f>
        <v>183246.6039</v>
      </c>
      <c r="M25" s="175">
        <f>L25*(1+GROWTH_RATE_L)*(1-FMC*(1+Tax))</f>
        <v>183602.5821</v>
      </c>
      <c r="N25" s="175">
        <f>M25+IF(MOD(A25,B25)=0,VLOOKUP(B25,'Pre-Calculation'!$H$1:$L$31,5,FALSE),0)*IF('Pre-Calculation'!$D$16="% OF FV",M25,IF(OR('Pre-Calculation'!$D$16="% OF AFV(24M)",'Pre-Calculation'!$D$16="% OF AFV(8Q)"),AVERAGE( $M$7:$M25),IF('Pre-Calculation'!$D$16="% OF AFV(12M)",AVERAGE($M14:M25),IF('Pre-Calculation'!$D$16="% OF AFV(36M)",AVERAGE($M$7:M25)))))</f>
        <v>183602.5821</v>
      </c>
      <c r="O25" s="175">
        <f t="shared" si="4"/>
        <v>183602.5821</v>
      </c>
      <c r="P25" s="175">
        <f>IF('Pre-Calculation'!$D$17="Type 4 a",MAX(SA,N25,1.05*Q25),IF('Pre-Calculation'!$D$17="Type 4 c",N25,IF('Pre-Calculation'!$D$17="Type 4 d",SA+N25,IF('Pre-Calculation'!$D$17="Type 4 e",MAX(SA,N25),IF('Pre-Calculation'!$D$17="Type 4 f",SA,IF('Pre-Calculation'!$D$17="Type 4 g",1000+N25,IF('Pre-Calculation'!$D$17="Type 4 h",SA+X25,IF('Pre-Calculation'!$D$17="Type 4 i",MAX(N25,Q25),IF('Pre-Calculation'!$D$17="Type 4 k",MAX(N25,1.01*Q25),IF('Pre-Calculation'!$D$17="Type 4 m",MAX(105%*Q25,SA+N25),IF('Pre-Calculation'!$D$17="Type 4 o",MAX(SA,105%*Q25)+X25+Z25,IF('Pre-Calculation'!$D$17="Type 5",0))))))))))))</f>
        <v>1000000</v>
      </c>
      <c r="Q25" s="175">
        <f t="shared" si="5"/>
        <v>800000</v>
      </c>
      <c r="R25" s="119">
        <f>L25*(1+GROWTH_RATE)*FMC</f>
        <v>207.36599</v>
      </c>
      <c r="S25" s="178">
        <f>S24*(1+'Pre-Calculation'!$E$27)</f>
        <v>686386.7803</v>
      </c>
      <c r="T25" s="175">
        <f>-E25+IF(A24=INPUT!$C$11*12,N25,0)</f>
        <v>0</v>
      </c>
      <c r="U25" s="175">
        <f t="shared" si="6"/>
        <v>203890.627</v>
      </c>
      <c r="V25" s="175">
        <f>U25*(1+GROWTH_RATE_L)*(1-'Pre-Calculation'!$E$31)</f>
        <v>204217.4563</v>
      </c>
      <c r="W25" s="175">
        <f>-E25+IF(A24=INPUT!$C$11*12,V25,0)</f>
        <v>0</v>
      </c>
      <c r="X25" s="179">
        <f t="array" ref="X25">NPV('Pre-Calculation'!$E$20,$E26:E$246)</f>
        <v>617675.9204</v>
      </c>
      <c r="Y25" s="171">
        <f>10%*SA</f>
        <v>100000</v>
      </c>
      <c r="Z25" s="179">
        <f t="array" ref="Z25">NPV('Pre-Calculation'!$E$20,Y26:Y35)</f>
        <v>969592.8037</v>
      </c>
    </row>
    <row r="26" ht="15.75" customHeight="1">
      <c r="A26" s="171">
        <f t="shared" si="1"/>
        <v>20</v>
      </c>
      <c r="B26" s="171">
        <f t="shared" si="2"/>
        <v>2</v>
      </c>
      <c r="C26" s="176">
        <f>EDATE(RCD,A25)</f>
        <v>43130</v>
      </c>
      <c r="D26" s="171">
        <f>Age_At_Entry+'Cashflows_4% from Start'!B26-1</f>
        <v>36</v>
      </c>
      <c r="E26" s="175">
        <f>IF(AND(C26&lt;=Last_Prem,MOD(A25,Mode)=0),Mod_Prem,0)</f>
        <v>0</v>
      </c>
      <c r="F26" s="177">
        <f>IF(B26&lt;PT+1,E26*VLOOKUP(B26,'Pre-Calculation'!$H$1:$I$31,2,FALSE),0)</f>
        <v>0</v>
      </c>
      <c r="G26" s="177">
        <f>IF(B26&lt;PT+1,VLOOKUP(B26,'Pre-Calculation'!$H$1:$L$32,3,FALSE)+VLOOKUP(B26,'Pre-Calculation'!$H$1:$L$32,4,FALSE)*'Pre-Calculation'!$D$7,0)</f>
        <v>420</v>
      </c>
      <c r="H26" s="175">
        <f>(E26-(F26+G26)*(1+Tax)+N25)</f>
        <v>183106.9821</v>
      </c>
      <c r="I26" s="175">
        <f>IF(B26&lt;PT+1,VLOOKUP(D26,'Pre-Calculation'!$N$3:$P$79,IF(INPUT!$C$4="M",2,3),FALSE)*(J26/1000)*(1/12),0)</f>
        <v>92.44505986</v>
      </c>
      <c r="J26" s="175">
        <f t="shared" si="3"/>
        <v>816893.0179</v>
      </c>
      <c r="K26" s="175">
        <f>IF('Pre-Calculation'!$D$17="Type 4 a",MAX(SA,H26,1.05*Q26),IF('Pre-Calculation'!$D$17="Type 4 c",H26,IF('Pre-Calculation'!$D$17="Type 4 d",SA+H26,IF('Pre-Calculation'!$D$17="Type 4 e",MAX(SA,H26),IF('Pre-Calculation'!$D$17="Type 4 f",SA,IF('Pre-Calculation'!$D$17="Type 4 g",1000+H26,IF('Pre-Calculation'!$D$17="Type 4 h",SA+X26,IF('Pre-Calculation'!$D$17="Type 4 i",MAX(H26,Q26),IF('Pre-Calculation'!$D$17="Type 4 k",MAX(H26,1.01*Q26),IF('Pre-Calculation'!$D$17="Type 4 m",MAX(105%*Q26,SA+H26),IF('Pre-Calculation'!$D$17="Type 4 o",MAX(SA,105%*Q26)+X26+Z26,IF('Pre-Calculation'!$D$17="Type 5",0))))))))))))</f>
        <v>1000000</v>
      </c>
      <c r="L26" s="175">
        <f>H26-I26*(1+Tax)</f>
        <v>182997.8969</v>
      </c>
      <c r="M26" s="175">
        <f>L26*(1+GROWTH_RATE_L)*(1-FMC*(1+Tax))</f>
        <v>183353.392</v>
      </c>
      <c r="N26" s="175">
        <f>M26+IF(MOD(A26,B26)=0,VLOOKUP(B26,'Pre-Calculation'!$H$1:$L$31,5,FALSE),0)*IF('Pre-Calculation'!$D$16="% OF FV",M26,IF(OR('Pre-Calculation'!$D$16="% OF AFV(24M)",'Pre-Calculation'!$D$16="% OF AFV(8Q)"),AVERAGE( $M$7:$M26),IF('Pre-Calculation'!$D$16="% OF AFV(12M)",AVERAGE($M15:M26),IF('Pre-Calculation'!$D$16="% OF AFV(36M)",AVERAGE($M$7:M26)))))</f>
        <v>183353.392</v>
      </c>
      <c r="O26" s="175">
        <f t="shared" si="4"/>
        <v>183353.392</v>
      </c>
      <c r="P26" s="175">
        <f>IF('Pre-Calculation'!$D$17="Type 4 a",MAX(SA,N26,1.05*Q26),IF('Pre-Calculation'!$D$17="Type 4 c",N26,IF('Pre-Calculation'!$D$17="Type 4 d",SA+N26,IF('Pre-Calculation'!$D$17="Type 4 e",MAX(SA,N26),IF('Pre-Calculation'!$D$17="Type 4 f",SA,IF('Pre-Calculation'!$D$17="Type 4 g",1000+N26,IF('Pre-Calculation'!$D$17="Type 4 h",SA+X26,IF('Pre-Calculation'!$D$17="Type 4 i",MAX(N26,Q26),IF('Pre-Calculation'!$D$17="Type 4 k",MAX(N26,1.01*Q26),IF('Pre-Calculation'!$D$17="Type 4 m",MAX(105%*Q26,SA+N26),IF('Pre-Calculation'!$D$17="Type 4 o",MAX(SA,105%*Q26)+X26+Z26,IF('Pre-Calculation'!$D$17="Type 5",0))))))))))))</f>
        <v>1000000</v>
      </c>
      <c r="Q26" s="175">
        <f t="shared" si="5"/>
        <v>800000</v>
      </c>
      <c r="R26" s="119">
        <f>L26*(1+GROWTH_RATE)*FMC</f>
        <v>207.0845475</v>
      </c>
      <c r="S26" s="178">
        <f>S25*(1+'Pre-Calculation'!$E$27)</f>
        <v>688357.3272</v>
      </c>
      <c r="T26" s="175">
        <f>-E26+IF(A25=INPUT!$C$11*12,N26,0)</f>
        <v>0</v>
      </c>
      <c r="U26" s="175">
        <f t="shared" si="6"/>
        <v>204217.4563</v>
      </c>
      <c r="V26" s="175">
        <f>U26*(1+GROWTH_RATE_L)*(1-'Pre-Calculation'!$E$31)</f>
        <v>204544.8095</v>
      </c>
      <c r="W26" s="175">
        <f>-E26+IF(A25=INPUT!$C$11*12,V26,0)</f>
        <v>0</v>
      </c>
      <c r="X26" s="179">
        <f t="array" ref="X26">NPV('Pre-Calculation'!$E$20,$E27:E$246)</f>
        <v>621168.3498</v>
      </c>
      <c r="Y26" s="171">
        <f>10%*SA</f>
        <v>100000</v>
      </c>
      <c r="Z26" s="179">
        <f t="array" ref="Z26">NPV('Pre-Calculation'!$E$20,Y27:Y36)</f>
        <v>969592.8037</v>
      </c>
    </row>
    <row r="27" ht="15.75" customHeight="1">
      <c r="A27" s="171">
        <f t="shared" si="1"/>
        <v>21</v>
      </c>
      <c r="B27" s="171">
        <f t="shared" si="2"/>
        <v>2</v>
      </c>
      <c r="C27" s="176">
        <f>EDATE(RCD,A26)</f>
        <v>43159</v>
      </c>
      <c r="D27" s="171">
        <f>Age_At_Entry+'Cashflows_4% from Start'!B27-1</f>
        <v>36</v>
      </c>
      <c r="E27" s="175">
        <f>IF(AND(C27&lt;=Last_Prem,MOD(A26,Mode)=0),Mod_Prem,0)</f>
        <v>0</v>
      </c>
      <c r="F27" s="177">
        <f>IF(B27&lt;PT+1,E27*VLOOKUP(B27,'Pre-Calculation'!$H$1:$I$31,2,FALSE),0)</f>
        <v>0</v>
      </c>
      <c r="G27" s="177">
        <f>IF(B27&lt;PT+1,VLOOKUP(B27,'Pre-Calculation'!$H$1:$L$32,3,FALSE)+VLOOKUP(B27,'Pre-Calculation'!$H$1:$L$32,4,FALSE)*'Pre-Calculation'!$D$7,0)</f>
        <v>420</v>
      </c>
      <c r="H27" s="175">
        <f>(E27-(F27+G27)*(1+Tax)+N26)</f>
        <v>182857.792</v>
      </c>
      <c r="I27" s="175">
        <f>IF(B27&lt;PT+1,VLOOKUP(D27,'Pre-Calculation'!$N$3:$P$79,IF(INPUT!$C$4="M",2,3),FALSE)*(J27/1000)*(1/12),0)</f>
        <v>92.47325988</v>
      </c>
      <c r="J27" s="175">
        <f t="shared" si="3"/>
        <v>817142.208</v>
      </c>
      <c r="K27" s="175">
        <f>IF('Pre-Calculation'!$D$17="Type 4 a",MAX(SA,H27,1.05*Q27),IF('Pre-Calculation'!$D$17="Type 4 c",H27,IF('Pre-Calculation'!$D$17="Type 4 d",SA+H27,IF('Pre-Calculation'!$D$17="Type 4 e",MAX(SA,H27),IF('Pre-Calculation'!$D$17="Type 4 f",SA,IF('Pre-Calculation'!$D$17="Type 4 g",1000+H27,IF('Pre-Calculation'!$D$17="Type 4 h",SA+X27,IF('Pre-Calculation'!$D$17="Type 4 i",MAX(H27,Q27),IF('Pre-Calculation'!$D$17="Type 4 k",MAX(H27,1.01*Q27),IF('Pre-Calculation'!$D$17="Type 4 m",MAX(105%*Q27,SA+H27),IF('Pre-Calculation'!$D$17="Type 4 o",MAX(SA,105%*Q27)+X27+Z27,IF('Pre-Calculation'!$D$17="Type 5",0))))))))))))</f>
        <v>1000000</v>
      </c>
      <c r="L27" s="175">
        <f>H27-I27*(1+Tax)</f>
        <v>182748.6735</v>
      </c>
      <c r="M27" s="175">
        <f>L27*(1+GROWTH_RATE_L)*(1-FMC*(1+Tax))</f>
        <v>183103.6844</v>
      </c>
      <c r="N27" s="175">
        <f>M27+IF(MOD(A27,B27)=0,VLOOKUP(B27,'Pre-Calculation'!$H$1:$L$31,5,FALSE),0)*IF('Pre-Calculation'!$D$16="% OF FV",M27,IF(OR('Pre-Calculation'!$D$16="% OF AFV(24M)",'Pre-Calculation'!$D$16="% OF AFV(8Q)"),AVERAGE( $M$7:$M27),IF('Pre-Calculation'!$D$16="% OF AFV(12M)",AVERAGE($M16:M27),IF('Pre-Calculation'!$D$16="% OF AFV(36M)",AVERAGE($M$7:M27)))))</f>
        <v>183103.6844</v>
      </c>
      <c r="O27" s="175">
        <f t="shared" si="4"/>
        <v>183103.6844</v>
      </c>
      <c r="P27" s="175">
        <f>IF('Pre-Calculation'!$D$17="Type 4 a",MAX(SA,N27,1.05*Q27),IF('Pre-Calculation'!$D$17="Type 4 c",N27,IF('Pre-Calculation'!$D$17="Type 4 d",SA+N27,IF('Pre-Calculation'!$D$17="Type 4 e",MAX(SA,N27),IF('Pre-Calculation'!$D$17="Type 4 f",SA,IF('Pre-Calculation'!$D$17="Type 4 g",1000+N27,IF('Pre-Calculation'!$D$17="Type 4 h",SA+X27,IF('Pre-Calculation'!$D$17="Type 4 i",MAX(N27,Q27),IF('Pre-Calculation'!$D$17="Type 4 k",MAX(N27,1.01*Q27),IF('Pre-Calculation'!$D$17="Type 4 m",MAX(105%*Q27,SA+N27),IF('Pre-Calculation'!$D$17="Type 4 o",MAX(SA,105%*Q27)+X27+Z27,IF('Pre-Calculation'!$D$17="Type 5",0))))))))))))</f>
        <v>1000000</v>
      </c>
      <c r="Q27" s="175">
        <f t="shared" si="5"/>
        <v>800000</v>
      </c>
      <c r="R27" s="119">
        <f>L27*(1+GROWTH_RATE)*FMC</f>
        <v>206.8025207</v>
      </c>
      <c r="S27" s="178">
        <f>S26*(1+'Pre-Calculation'!$E$27)</f>
        <v>690333.5314</v>
      </c>
      <c r="T27" s="175">
        <f>-E27+IF(A26=INPUT!$C$11*12,N27,0)</f>
        <v>0</v>
      </c>
      <c r="U27" s="175">
        <f t="shared" si="6"/>
        <v>204544.8095</v>
      </c>
      <c r="V27" s="175">
        <f>U27*(1+GROWTH_RATE_L)*(1-'Pre-Calculation'!$E$31)</f>
        <v>204872.6874</v>
      </c>
      <c r="W27" s="175">
        <f>-E27+IF(A26=INPUT!$C$11*12,V27,0)</f>
        <v>0</v>
      </c>
      <c r="X27" s="179">
        <f t="array" ref="X27">NPV('Pre-Calculation'!$E$20,$E28:E$246)</f>
        <v>624680.526</v>
      </c>
      <c r="Y27" s="171">
        <f>10%*SA</f>
        <v>100000</v>
      </c>
      <c r="Z27" s="179">
        <f t="array" ref="Z27">NPV('Pre-Calculation'!$E$20,Y28:Y37)</f>
        <v>969592.8037</v>
      </c>
    </row>
    <row r="28" ht="15.75" customHeight="1">
      <c r="A28" s="171">
        <f t="shared" si="1"/>
        <v>22</v>
      </c>
      <c r="B28" s="171">
        <f t="shared" si="2"/>
        <v>2</v>
      </c>
      <c r="C28" s="176">
        <f>EDATE(RCD,A27)</f>
        <v>43189</v>
      </c>
      <c r="D28" s="171">
        <f>Age_At_Entry+'Cashflows_4% from Start'!B28-1</f>
        <v>36</v>
      </c>
      <c r="E28" s="175">
        <f>IF(AND(C28&lt;=Last_Prem,MOD(A27,Mode)=0),Mod_Prem,0)</f>
        <v>0</v>
      </c>
      <c r="F28" s="177">
        <f>IF(B28&lt;PT+1,E28*VLOOKUP(B28,'Pre-Calculation'!$H$1:$I$31,2,FALSE),0)</f>
        <v>0</v>
      </c>
      <c r="G28" s="177">
        <f>IF(B28&lt;PT+1,VLOOKUP(B28,'Pre-Calculation'!$H$1:$L$32,3,FALSE)+VLOOKUP(B28,'Pre-Calculation'!$H$1:$L$32,4,FALSE)*'Pre-Calculation'!$D$7,0)</f>
        <v>420</v>
      </c>
      <c r="H28" s="175">
        <f>(E28-(F28+G28)*(1+Tax)+N27)</f>
        <v>182608.0844</v>
      </c>
      <c r="I28" s="175">
        <f>IF(B28&lt;PT+1,VLOOKUP(D28,'Pre-Calculation'!$N$3:$P$79,IF(INPUT!$C$4="M",2,3),FALSE)*(J28/1000)*(1/12),0)</f>
        <v>92.50151845</v>
      </c>
      <c r="J28" s="175">
        <f t="shared" si="3"/>
        <v>817391.9156</v>
      </c>
      <c r="K28" s="175">
        <f>IF('Pre-Calculation'!$D$17="Type 4 a",MAX(SA,H28,1.05*Q28),IF('Pre-Calculation'!$D$17="Type 4 c",H28,IF('Pre-Calculation'!$D$17="Type 4 d",SA+H28,IF('Pre-Calculation'!$D$17="Type 4 e",MAX(SA,H28),IF('Pre-Calculation'!$D$17="Type 4 f",SA,IF('Pre-Calculation'!$D$17="Type 4 g",1000+H28,IF('Pre-Calculation'!$D$17="Type 4 h",SA+X28,IF('Pre-Calculation'!$D$17="Type 4 i",MAX(H28,Q28),IF('Pre-Calculation'!$D$17="Type 4 k",MAX(H28,1.01*Q28),IF('Pre-Calculation'!$D$17="Type 4 m",MAX(105%*Q28,SA+H28),IF('Pre-Calculation'!$D$17="Type 4 o",MAX(SA,105%*Q28)+X28+Z28,IF('Pre-Calculation'!$D$17="Type 5",0))))))))))))</f>
        <v>1000000</v>
      </c>
      <c r="L28" s="175">
        <f>H28-I28*(1+Tax)</f>
        <v>182498.9326</v>
      </c>
      <c r="M28" s="175">
        <f>L28*(1+GROWTH_RATE_L)*(1-FMC*(1+Tax))</f>
        <v>182853.4584</v>
      </c>
      <c r="N28" s="175">
        <f>M28+IF(MOD(A28,B28)=0,VLOOKUP(B28,'Pre-Calculation'!$H$1:$L$31,5,FALSE),0)*IF('Pre-Calculation'!$D$16="% OF FV",M28,IF(OR('Pre-Calculation'!$D$16="% OF AFV(24M)",'Pre-Calculation'!$D$16="% OF AFV(8Q)"),AVERAGE( $M$7:$M28),IF('Pre-Calculation'!$D$16="% OF AFV(12M)",AVERAGE($M17:M28),IF('Pre-Calculation'!$D$16="% OF AFV(36M)",AVERAGE($M$7:M28)))))</f>
        <v>182853.4584</v>
      </c>
      <c r="O28" s="175">
        <f t="shared" si="4"/>
        <v>182853.4584</v>
      </c>
      <c r="P28" s="175">
        <f>IF('Pre-Calculation'!$D$17="Type 4 a",MAX(SA,N28,1.05*Q28),IF('Pre-Calculation'!$D$17="Type 4 c",N28,IF('Pre-Calculation'!$D$17="Type 4 d",SA+N28,IF('Pre-Calculation'!$D$17="Type 4 e",MAX(SA,N28),IF('Pre-Calculation'!$D$17="Type 4 f",SA,IF('Pre-Calculation'!$D$17="Type 4 g",1000+N28,IF('Pre-Calculation'!$D$17="Type 4 h",SA+X28,IF('Pre-Calculation'!$D$17="Type 4 i",MAX(N28,Q28),IF('Pre-Calculation'!$D$17="Type 4 k",MAX(N28,1.01*Q28),IF('Pre-Calculation'!$D$17="Type 4 m",MAX(105%*Q28,SA+N28),IF('Pre-Calculation'!$D$17="Type 4 o",MAX(SA,105%*Q28)+X28+Z28,IF('Pre-Calculation'!$D$17="Type 5",0))))))))))))</f>
        <v>1000000</v>
      </c>
      <c r="Q28" s="175">
        <f t="shared" si="5"/>
        <v>800000</v>
      </c>
      <c r="R28" s="119">
        <f>L28*(1+GROWTH_RATE)*FMC</f>
        <v>206.5199083</v>
      </c>
      <c r="S28" s="178">
        <f>S27*(1+'Pre-Calculation'!$E$27)</f>
        <v>692315.4091</v>
      </c>
      <c r="T28" s="175">
        <f>-E28+IF(A27=INPUT!$C$11*12,N28,0)</f>
        <v>0</v>
      </c>
      <c r="U28" s="175">
        <f t="shared" si="6"/>
        <v>204872.6874</v>
      </c>
      <c r="V28" s="175">
        <f>U28*(1+GROWTH_RATE_L)*(1-'Pre-Calculation'!$E$31)</f>
        <v>205201.0909</v>
      </c>
      <c r="W28" s="175">
        <f>-E28+IF(A27=INPUT!$C$11*12,V28,0)</f>
        <v>0</v>
      </c>
      <c r="X28" s="179">
        <f t="array" ref="X28">NPV('Pre-Calculation'!$E$20,$E29:E$246)</f>
        <v>628212.5605</v>
      </c>
      <c r="Y28" s="171">
        <f>10%*SA</f>
        <v>100000</v>
      </c>
      <c r="Z28" s="179">
        <f t="array" ref="Z28">NPV('Pre-Calculation'!$E$20,Y29:Y38)</f>
        <v>969592.8037</v>
      </c>
    </row>
    <row r="29" ht="15.75" customHeight="1">
      <c r="A29" s="171">
        <f t="shared" si="1"/>
        <v>23</v>
      </c>
      <c r="B29" s="171">
        <f t="shared" si="2"/>
        <v>2</v>
      </c>
      <c r="C29" s="176">
        <f>EDATE(RCD,A28)</f>
        <v>43220</v>
      </c>
      <c r="D29" s="171">
        <f>Age_At_Entry+'Cashflows_4% from Start'!B29-1</f>
        <v>36</v>
      </c>
      <c r="E29" s="175">
        <f>IF(AND(C29&lt;=Last_Prem,MOD(A28,Mode)=0),Mod_Prem,0)</f>
        <v>0</v>
      </c>
      <c r="F29" s="177">
        <f>IF(B29&lt;PT+1,E29*VLOOKUP(B29,'Pre-Calculation'!$H$1:$I$31,2,FALSE),0)</f>
        <v>0</v>
      </c>
      <c r="G29" s="177">
        <f>IF(B29&lt;PT+1,VLOOKUP(B29,'Pre-Calculation'!$H$1:$L$32,3,FALSE)+VLOOKUP(B29,'Pre-Calculation'!$H$1:$L$32,4,FALSE)*'Pre-Calculation'!$D$7,0)</f>
        <v>420</v>
      </c>
      <c r="H29" s="175">
        <f>(E29-(F29+G29)*(1+Tax)+N28)</f>
        <v>182357.8584</v>
      </c>
      <c r="I29" s="175">
        <f>IF(B29&lt;PT+1,VLOOKUP(D29,'Pre-Calculation'!$N$3:$P$79,IF(INPUT!$C$4="M",2,3),FALSE)*(J29/1000)*(1/12),0)</f>
        <v>92.5298357</v>
      </c>
      <c r="J29" s="175">
        <f t="shared" si="3"/>
        <v>817642.1416</v>
      </c>
      <c r="K29" s="175">
        <f>IF('Pre-Calculation'!$D$17="Type 4 a",MAX(SA,H29,1.05*Q29),IF('Pre-Calculation'!$D$17="Type 4 c",H29,IF('Pre-Calculation'!$D$17="Type 4 d",SA+H29,IF('Pre-Calculation'!$D$17="Type 4 e",MAX(SA,H29),IF('Pre-Calculation'!$D$17="Type 4 f",SA,IF('Pre-Calculation'!$D$17="Type 4 g",1000+H29,IF('Pre-Calculation'!$D$17="Type 4 h",SA+X29,IF('Pre-Calculation'!$D$17="Type 4 i",MAX(H29,Q29),IF('Pre-Calculation'!$D$17="Type 4 k",MAX(H29,1.01*Q29),IF('Pre-Calculation'!$D$17="Type 4 m",MAX(105%*Q29,SA+H29),IF('Pre-Calculation'!$D$17="Type 4 o",MAX(SA,105%*Q29)+X29+Z29,IF('Pre-Calculation'!$D$17="Type 5",0))))))))))))</f>
        <v>1000000</v>
      </c>
      <c r="L29" s="175">
        <f>H29-I29*(1+Tax)</f>
        <v>182248.6732</v>
      </c>
      <c r="M29" s="175">
        <f>L29*(1+GROWTH_RATE_L)*(1-FMC*(1+Tax))</f>
        <v>182602.7127</v>
      </c>
      <c r="N29" s="175">
        <f>M29+IF(MOD(A29,B29)=0,VLOOKUP(B29,'Pre-Calculation'!$H$1:$L$31,5,FALSE),0)*IF('Pre-Calculation'!$D$16="% OF FV",M29,IF(OR('Pre-Calculation'!$D$16="% OF AFV(24M)",'Pre-Calculation'!$D$16="% OF AFV(8Q)"),AVERAGE( $M$7:$M29),IF('Pre-Calculation'!$D$16="% OF AFV(12M)",AVERAGE($M18:M29),IF('Pre-Calculation'!$D$16="% OF AFV(36M)",AVERAGE($M$7:M29)))))</f>
        <v>182602.7127</v>
      </c>
      <c r="O29" s="175">
        <f t="shared" si="4"/>
        <v>182602.7127</v>
      </c>
      <c r="P29" s="175">
        <f>IF('Pre-Calculation'!$D$17="Type 4 a",MAX(SA,N29,1.05*Q29),IF('Pre-Calculation'!$D$17="Type 4 c",N29,IF('Pre-Calculation'!$D$17="Type 4 d",SA+N29,IF('Pre-Calculation'!$D$17="Type 4 e",MAX(SA,N29),IF('Pre-Calculation'!$D$17="Type 4 f",SA,IF('Pre-Calculation'!$D$17="Type 4 g",1000+N29,IF('Pre-Calculation'!$D$17="Type 4 h",SA+X29,IF('Pre-Calculation'!$D$17="Type 4 i",MAX(N29,Q29),IF('Pre-Calculation'!$D$17="Type 4 k",MAX(N29,1.01*Q29),IF('Pre-Calculation'!$D$17="Type 4 m",MAX(105%*Q29,SA+N29),IF('Pre-Calculation'!$D$17="Type 4 o",MAX(SA,105%*Q29)+X29+Z29,IF('Pre-Calculation'!$D$17="Type 5",0))))))))))))</f>
        <v>1000000</v>
      </c>
      <c r="Q29" s="175">
        <f t="shared" si="5"/>
        <v>800000</v>
      </c>
      <c r="R29" s="119">
        <f>L29*(1+GROWTH_RATE)*FMC</f>
        <v>206.236709</v>
      </c>
      <c r="S29" s="178">
        <f>S28*(1+'Pre-Calculation'!$E$27)</f>
        <v>694302.9765</v>
      </c>
      <c r="T29" s="175">
        <f>-E29+IF(A28=INPUT!$C$11*12,N29,0)</f>
        <v>0</v>
      </c>
      <c r="U29" s="175">
        <f t="shared" si="6"/>
        <v>205201.0909</v>
      </c>
      <c r="V29" s="175">
        <f>U29*(1+GROWTH_RATE_L)*(1-'Pre-Calculation'!$E$31)</f>
        <v>205530.0208</v>
      </c>
      <c r="W29" s="175">
        <f>-E29+IF(A28=INPUT!$C$11*12,V29,0)</f>
        <v>0</v>
      </c>
      <c r="X29" s="179">
        <f t="array" ref="X29">NPV('Pre-Calculation'!$E$20,$E30:E$246)</f>
        <v>631764.5656</v>
      </c>
      <c r="Y29" s="171">
        <f>10%*SA</f>
        <v>100000</v>
      </c>
      <c r="Z29" s="179">
        <f t="array" ref="Z29">NPV('Pre-Calculation'!$E$20,Y30:Y39)</f>
        <v>969592.8037</v>
      </c>
    </row>
    <row r="30" ht="15.75" customHeight="1">
      <c r="A30" s="171">
        <f t="shared" si="1"/>
        <v>24</v>
      </c>
      <c r="B30" s="171">
        <f t="shared" si="2"/>
        <v>2</v>
      </c>
      <c r="C30" s="176">
        <f>EDATE(RCD,A29)</f>
        <v>43250</v>
      </c>
      <c r="D30" s="171">
        <f>Age_At_Entry+'Cashflows_4% from Start'!B30-1</f>
        <v>36</v>
      </c>
      <c r="E30" s="175">
        <f>IF(AND(C30&lt;=Last_Prem,MOD(A29,Mode)=0),Mod_Prem,0)</f>
        <v>0</v>
      </c>
      <c r="F30" s="177">
        <f>IF(B30&lt;PT+1,E30*VLOOKUP(B30,'Pre-Calculation'!$H$1:$I$31,2,FALSE),0)</f>
        <v>0</v>
      </c>
      <c r="G30" s="177">
        <f>IF(B30&lt;PT+1,VLOOKUP(B30,'Pre-Calculation'!$H$1:$L$32,3,FALSE)+VLOOKUP(B30,'Pre-Calculation'!$H$1:$L$32,4,FALSE)*'Pre-Calculation'!$D$7,0)</f>
        <v>420</v>
      </c>
      <c r="H30" s="175">
        <f>(E30-(F30+G30)*(1+Tax)+N29)</f>
        <v>182107.1127</v>
      </c>
      <c r="I30" s="175">
        <f>IF(B30&lt;PT+1,VLOOKUP(D30,'Pre-Calculation'!$N$3:$P$79,IF(INPUT!$C$4="M",2,3),FALSE)*(J30/1000)*(1/12),0)</f>
        <v>92.55821174</v>
      </c>
      <c r="J30" s="175">
        <f t="shared" si="3"/>
        <v>817892.8873</v>
      </c>
      <c r="K30" s="175">
        <f>IF('Pre-Calculation'!$D$17="Type 4 a",MAX(SA,H30,1.05*Q30),IF('Pre-Calculation'!$D$17="Type 4 c",H30,IF('Pre-Calculation'!$D$17="Type 4 d",SA+H30,IF('Pre-Calculation'!$D$17="Type 4 e",MAX(SA,H30),IF('Pre-Calculation'!$D$17="Type 4 f",SA,IF('Pre-Calculation'!$D$17="Type 4 g",1000+H30,IF('Pre-Calculation'!$D$17="Type 4 h",SA+X30,IF('Pre-Calculation'!$D$17="Type 4 i",MAX(H30,Q30),IF('Pre-Calculation'!$D$17="Type 4 k",MAX(H30,1.01*Q30),IF('Pre-Calculation'!$D$17="Type 4 m",MAX(105%*Q30,SA+H30),IF('Pre-Calculation'!$D$17="Type 4 o",MAX(SA,105%*Q30)+X30+Z30,IF('Pre-Calculation'!$D$17="Type 5",0))))))))))))</f>
        <v>1000000</v>
      </c>
      <c r="L30" s="175">
        <f>H30-I30*(1+Tax)</f>
        <v>181997.8941</v>
      </c>
      <c r="M30" s="175">
        <f>L30*(1+GROWTH_RATE_L)*(1-FMC*(1+Tax))</f>
        <v>182351.4465</v>
      </c>
      <c r="N30" s="175">
        <f>M30+IF(MOD(A30,B30)=0,VLOOKUP(B30,'Pre-Calculation'!$H$1:$L$31,5,FALSE),0)*IF('Pre-Calculation'!$D$16="% OF FV",M30,IF(OR('Pre-Calculation'!$D$16="% OF AFV(24M)",'Pre-Calculation'!$D$16="% OF AFV(8Q)"),AVERAGE( $M7:$M30),IF('Pre-Calculation'!$D$16="% OF AFV(12M)",AVERAGE($M19:M30),IF('Pre-Calculation'!$D$16="% OF AFV(36M)",AVERAGE($M$7:M30)))))</f>
        <v>182351.4465</v>
      </c>
      <c r="O30" s="175">
        <f t="shared" si="4"/>
        <v>182351.4465</v>
      </c>
      <c r="P30" s="175">
        <f>IF('Pre-Calculation'!$D$17="Type 4 a",MAX(SA,N30,1.05*Q30),IF('Pre-Calculation'!$D$17="Type 4 c",N30,IF('Pre-Calculation'!$D$17="Type 4 d",SA+N30,IF('Pre-Calculation'!$D$17="Type 4 e",MAX(SA,N30),IF('Pre-Calculation'!$D$17="Type 4 f",SA,IF('Pre-Calculation'!$D$17="Type 4 g",1000+N30,IF('Pre-Calculation'!$D$17="Type 4 h",SA+X30,IF('Pre-Calculation'!$D$17="Type 4 i",MAX(N30,Q30),IF('Pre-Calculation'!$D$17="Type 4 k",MAX(N30,1.01*Q30),IF('Pre-Calculation'!$D$17="Type 4 m",MAX(105%*Q30,SA+N30),IF('Pre-Calculation'!$D$17="Type 4 o",MAX(SA,105%*Q30)+X30+Z30,IF('Pre-Calculation'!$D$17="Type 5",0))))))))))))</f>
        <v>1000000</v>
      </c>
      <c r="Q30" s="175">
        <f t="shared" si="5"/>
        <v>800000</v>
      </c>
      <c r="R30" s="119">
        <f>L30*(1+GROWTH_RATE)*FMC</f>
        <v>205.9529217</v>
      </c>
      <c r="S30" s="178">
        <f>S29*(1+'Pre-Calculation'!$E$27)</f>
        <v>696296.25</v>
      </c>
      <c r="T30" s="175">
        <f>-E30+IF(A29=INPUT!$C$11*12,N30,0)</f>
        <v>0</v>
      </c>
      <c r="U30" s="175">
        <f t="shared" si="6"/>
        <v>205530.0208</v>
      </c>
      <c r="V30" s="175">
        <f>U30*(1+GROWTH_RATE_L)*(1-'Pre-Calculation'!$E$31)</f>
        <v>205859.478</v>
      </c>
      <c r="W30" s="175">
        <f>-E30+IF(A29=INPUT!$C$11*12,V30,0)</f>
        <v>0</v>
      </c>
      <c r="X30" s="179">
        <f t="array" ref="X30">NPV('Pre-Calculation'!$E$20,$E31:E$246)</f>
        <v>635336.6544</v>
      </c>
      <c r="Y30" s="171">
        <f>10%*SA</f>
        <v>100000</v>
      </c>
      <c r="Z30" s="179">
        <f t="array" ref="Z30">NPV('Pre-Calculation'!$E$20,Y31:Y40)</f>
        <v>969592.8037</v>
      </c>
    </row>
    <row r="31" ht="15.75" customHeight="1">
      <c r="A31" s="171">
        <f t="shared" si="1"/>
        <v>25</v>
      </c>
      <c r="B31" s="171">
        <f t="shared" si="2"/>
        <v>3</v>
      </c>
      <c r="C31" s="176">
        <f>EDATE(RCD,A30)</f>
        <v>43281</v>
      </c>
      <c r="D31" s="171">
        <f>Age_At_Entry+'Cashflows_4% from Start'!B31-1</f>
        <v>37</v>
      </c>
      <c r="E31" s="175">
        <f>IF(AND(C31&lt;=Last_Prem,MOD(A30,Mode)=0),Mod_Prem,0)</f>
        <v>100000</v>
      </c>
      <c r="F31" s="177">
        <f>IF(B31&lt;PT+1,E31*VLOOKUP(B31,'Pre-Calculation'!$H$1:$I$31,2,FALSE),0)</f>
        <v>0</v>
      </c>
      <c r="G31" s="177">
        <f>IF(B31&lt;PT+1,VLOOKUP(B31,'Pre-Calculation'!$H$1:$L$32,3,FALSE)+VLOOKUP(B31,'Pre-Calculation'!$H$1:$L$32,4,FALSE)*'Pre-Calculation'!$D$7,0)</f>
        <v>420</v>
      </c>
      <c r="H31" s="175">
        <f>(E31-(F31+G31)*(1+Tax)+N30)</f>
        <v>281855.8465</v>
      </c>
      <c r="I31" s="175">
        <f>IF(B31&lt;PT+1,VLOOKUP(D31,'Pre-Calculation'!$N$3:$P$79,IF(INPUT!$C$4="M",2,3),FALSE)*(J31/1000)*(1/12),0)</f>
        <v>86.56629317</v>
      </c>
      <c r="J31" s="175">
        <f t="shared" si="3"/>
        <v>718144.1535</v>
      </c>
      <c r="K31" s="175">
        <f>IF('Pre-Calculation'!$D$17="Type 4 a",MAX(SA,H31,1.05*Q31),IF('Pre-Calculation'!$D$17="Type 4 c",H31,IF('Pre-Calculation'!$D$17="Type 4 d",SA+H31,IF('Pre-Calculation'!$D$17="Type 4 e",MAX(SA,H31),IF('Pre-Calculation'!$D$17="Type 4 f",SA,IF('Pre-Calculation'!$D$17="Type 4 g",1000+H31,IF('Pre-Calculation'!$D$17="Type 4 h",SA+X31,IF('Pre-Calculation'!$D$17="Type 4 i",MAX(H31,Q31),IF('Pre-Calculation'!$D$17="Type 4 k",MAX(H31,1.01*Q31),IF('Pre-Calculation'!$D$17="Type 4 m",MAX(105%*Q31,SA+H31),IF('Pre-Calculation'!$D$17="Type 4 o",MAX(SA,105%*Q31)+X31+Z31,IF('Pre-Calculation'!$D$17="Type 5",0))))))))))))</f>
        <v>1000000</v>
      </c>
      <c r="L31" s="175">
        <f>H31-I31*(1+Tax)</f>
        <v>281753.6982</v>
      </c>
      <c r="M31" s="175">
        <f>L31*(1+GROWTH_RATE_L)*(1-FMC*(1+Tax))</f>
        <v>282301.0381</v>
      </c>
      <c r="N31" s="175">
        <f>M31+IF(MOD(A31,B31)=0,VLOOKUP(B31,'Pre-Calculation'!$H$1:$L$31,5,FALSE),0)*IF('Pre-Calculation'!$D$16="% OF FV",M31,IF(OR('Pre-Calculation'!$D$16="% OF AFV(24M)",'Pre-Calculation'!$D$16="% OF AFV(8Q)"),AVERAGE( $M8:$M31),IF('Pre-Calculation'!$D$16="% OF AFV(12M)",AVERAGE($M20:M31),IF('Pre-Calculation'!$D$16="% OF AFV(36M)",AVERAGE($M$7:M31)))))</f>
        <v>282301.0381</v>
      </c>
      <c r="O31" s="175">
        <f t="shared" si="4"/>
        <v>282301.0381</v>
      </c>
      <c r="P31" s="175">
        <f>IF('Pre-Calculation'!$D$17="Type 4 a",MAX(SA,N31,1.05*Q31),IF('Pre-Calculation'!$D$17="Type 4 c",N31,IF('Pre-Calculation'!$D$17="Type 4 d",SA+N31,IF('Pre-Calculation'!$D$17="Type 4 e",MAX(SA,N31),IF('Pre-Calculation'!$D$17="Type 4 f",SA,IF('Pre-Calculation'!$D$17="Type 4 g",1000+N31,IF('Pre-Calculation'!$D$17="Type 4 h",SA+X31,IF('Pre-Calculation'!$D$17="Type 4 i",MAX(N31,Q31),IF('Pre-Calculation'!$D$17="Type 4 k",MAX(N31,1.01*Q31),IF('Pre-Calculation'!$D$17="Type 4 m",MAX(105%*Q31,SA+N31),IF('Pre-Calculation'!$D$17="Type 4 o",MAX(SA,105%*Q31)+X31+Z31,IF('Pre-Calculation'!$D$17="Type 5",0))))))))))))</f>
        <v>1000000</v>
      </c>
      <c r="Q31" s="175">
        <f t="shared" si="5"/>
        <v>900000</v>
      </c>
      <c r="R31" s="119">
        <f>L31*(1+GROWTH_RATE)*FMC</f>
        <v>318.8388397</v>
      </c>
      <c r="S31" s="178">
        <f>S30*(1+'Pre-Calculation'!$E$27)</f>
        <v>698295.246</v>
      </c>
      <c r="T31" s="175">
        <f>-E31+IF(A30=INPUT!$C$11*12,N31,0)</f>
        <v>-100000</v>
      </c>
      <c r="U31" s="175">
        <f t="shared" si="6"/>
        <v>305859.478</v>
      </c>
      <c r="V31" s="175">
        <f>U31*(1+GROWTH_RATE_L)*(1-'Pre-Calculation'!$E$31)</f>
        <v>306349.7597</v>
      </c>
      <c r="W31" s="175">
        <f>-E31+IF(A30=INPUT!$C$11*12,V31,0)</f>
        <v>-100000</v>
      </c>
      <c r="X31" s="179">
        <f t="array" ref="X31">NPV('Pre-Calculation'!$E$20,$E32:E$246)</f>
        <v>538928.9402</v>
      </c>
      <c r="Y31" s="171">
        <f>10%*SA</f>
        <v>100000</v>
      </c>
      <c r="Z31" s="179">
        <f t="array" ref="Z31">NPV('Pre-Calculation'!$E$20,Y32:Y41)</f>
        <v>969592.8037</v>
      </c>
    </row>
    <row r="32" ht="15.75" customHeight="1">
      <c r="A32" s="171">
        <f t="shared" si="1"/>
        <v>26</v>
      </c>
      <c r="B32" s="171">
        <f t="shared" si="2"/>
        <v>3</v>
      </c>
      <c r="C32" s="176">
        <f>EDATE(RCD,A31)</f>
        <v>43311</v>
      </c>
      <c r="D32" s="171">
        <f>Age_At_Entry+'Cashflows_4% from Start'!B32-1</f>
        <v>37</v>
      </c>
      <c r="E32" s="175">
        <f>IF(AND(C32&lt;=Last_Prem,MOD(A31,Mode)=0),Mod_Prem,0)</f>
        <v>0</v>
      </c>
      <c r="F32" s="177">
        <f>IF(B32&lt;PT+1,E32*VLOOKUP(B32,'Pre-Calculation'!$H$1:$I$31,2,FALSE),0)</f>
        <v>0</v>
      </c>
      <c r="G32" s="177">
        <f>IF(B32&lt;PT+1,VLOOKUP(B32,'Pre-Calculation'!$H$1:$L$32,3,FALSE)+VLOOKUP(B32,'Pre-Calculation'!$H$1:$L$32,4,FALSE)*'Pre-Calculation'!$D$7,0)</f>
        <v>420</v>
      </c>
      <c r="H32" s="175">
        <f>(E32-(F32+G32)*(1+Tax)+N31)</f>
        <v>281805.4381</v>
      </c>
      <c r="I32" s="175">
        <f>IF(B32&lt;PT+1,VLOOKUP(D32,'Pre-Calculation'!$N$3:$P$79,IF(INPUT!$C$4="M",2,3),FALSE)*(J32/1000)*(1/12),0)</f>
        <v>86.57236948</v>
      </c>
      <c r="J32" s="175">
        <f t="shared" si="3"/>
        <v>718194.5619</v>
      </c>
      <c r="K32" s="175">
        <f>IF('Pre-Calculation'!$D$17="Type 4 a",MAX(SA,H32,1.05*Q32),IF('Pre-Calculation'!$D$17="Type 4 c",H32,IF('Pre-Calculation'!$D$17="Type 4 d",SA+H32,IF('Pre-Calculation'!$D$17="Type 4 e",MAX(SA,H32),IF('Pre-Calculation'!$D$17="Type 4 f",SA,IF('Pre-Calculation'!$D$17="Type 4 g",1000+H32,IF('Pre-Calculation'!$D$17="Type 4 h",SA+X32,IF('Pre-Calculation'!$D$17="Type 4 i",MAX(H32,Q32),IF('Pre-Calculation'!$D$17="Type 4 k",MAX(H32,1.01*Q32),IF('Pre-Calculation'!$D$17="Type 4 m",MAX(105%*Q32,SA+H32),IF('Pre-Calculation'!$D$17="Type 4 o",MAX(SA,105%*Q32)+X32+Z32,IF('Pre-Calculation'!$D$17="Type 5",0))))))))))))</f>
        <v>1000000</v>
      </c>
      <c r="L32" s="175">
        <f>H32-I32*(1+Tax)</f>
        <v>281703.2827</v>
      </c>
      <c r="M32" s="175">
        <f>L32*(1+GROWTH_RATE_L)*(1-FMC*(1+Tax))</f>
        <v>282250.5246</v>
      </c>
      <c r="N32" s="175">
        <f>M32+IF(MOD(A32,B32)=0,VLOOKUP(B32,'Pre-Calculation'!$H$1:$L$31,5,FALSE),0)*IF('Pre-Calculation'!$D$16="% OF FV",M32,IF(OR('Pre-Calculation'!$D$16="% OF AFV(24M)",'Pre-Calculation'!$D$16="% OF AFV(8Q)"),AVERAGE( $M9:$M32),IF('Pre-Calculation'!$D$16="% OF AFV(12M)",AVERAGE($M21:M32),IF('Pre-Calculation'!$D$16="% OF AFV(36M)",AVERAGE($M$7:M32)))))</f>
        <v>282250.5246</v>
      </c>
      <c r="O32" s="175">
        <f t="shared" si="4"/>
        <v>282250.5246</v>
      </c>
      <c r="P32" s="175">
        <f>IF('Pre-Calculation'!$D$17="Type 4 a",MAX(SA,N32,1.05*Q32),IF('Pre-Calculation'!$D$17="Type 4 c",N32,IF('Pre-Calculation'!$D$17="Type 4 d",SA+N32,IF('Pre-Calculation'!$D$17="Type 4 e",MAX(SA,N32),IF('Pre-Calculation'!$D$17="Type 4 f",SA,IF('Pre-Calculation'!$D$17="Type 4 g",1000+N32,IF('Pre-Calculation'!$D$17="Type 4 h",SA+X32,IF('Pre-Calculation'!$D$17="Type 4 i",MAX(N32,Q32),IF('Pre-Calculation'!$D$17="Type 4 k",MAX(N32,1.01*Q32),IF('Pre-Calculation'!$D$17="Type 4 m",MAX(105%*Q32,SA+N32),IF('Pre-Calculation'!$D$17="Type 4 o",MAX(SA,105%*Q32)+X32+Z32,IF('Pre-Calculation'!$D$17="Type 5",0))))))))))))</f>
        <v>1000000</v>
      </c>
      <c r="Q32" s="175">
        <f t="shared" si="5"/>
        <v>900000</v>
      </c>
      <c r="R32" s="119">
        <f>L32*(1+GROWTH_RATE)*FMC</f>
        <v>318.7817883</v>
      </c>
      <c r="S32" s="178">
        <f>S31*(1+'Pre-Calculation'!$E$27)</f>
        <v>700299.9809</v>
      </c>
      <c r="T32" s="175">
        <f>-E32+IF(A31=INPUT!$C$11*12,N32,0)</f>
        <v>0</v>
      </c>
      <c r="U32" s="175">
        <f t="shared" si="6"/>
        <v>306349.7597</v>
      </c>
      <c r="V32" s="175">
        <f>U32*(1+GROWTH_RATE_L)*(1-'Pre-Calculation'!$E$31)</f>
        <v>306840.8273</v>
      </c>
      <c r="W32" s="175">
        <f>-E32+IF(A31=INPUT!$C$11*12,V32,0)</f>
        <v>0</v>
      </c>
      <c r="X32" s="179">
        <f t="array" ref="X32">NPV('Pre-Calculation'!$E$20,$E33:E$246)</f>
        <v>541976.1227</v>
      </c>
      <c r="Y32" s="171">
        <f>10%*SA</f>
        <v>100000</v>
      </c>
      <c r="Z32" s="179">
        <f t="array" ref="Z32">NPV('Pre-Calculation'!$E$20,Y33:Y42)</f>
        <v>969592.8037</v>
      </c>
    </row>
    <row r="33" ht="15.75" customHeight="1">
      <c r="A33" s="171">
        <f t="shared" si="1"/>
        <v>27</v>
      </c>
      <c r="B33" s="171">
        <f t="shared" si="2"/>
        <v>3</v>
      </c>
      <c r="C33" s="176">
        <f>EDATE(RCD,A32)</f>
        <v>43342</v>
      </c>
      <c r="D33" s="171">
        <f>Age_At_Entry+'Cashflows_4% from Start'!B33-1</f>
        <v>37</v>
      </c>
      <c r="E33" s="175">
        <f>IF(AND(C33&lt;=Last_Prem,MOD(A32,Mode)=0),Mod_Prem,0)</f>
        <v>0</v>
      </c>
      <c r="F33" s="177">
        <f>IF(B33&lt;PT+1,E33*VLOOKUP(B33,'Pre-Calculation'!$H$1:$I$31,2,FALSE),0)</f>
        <v>0</v>
      </c>
      <c r="G33" s="177">
        <f>IF(B33&lt;PT+1,VLOOKUP(B33,'Pre-Calculation'!$H$1:$L$32,3,FALSE)+VLOOKUP(B33,'Pre-Calculation'!$H$1:$L$32,4,FALSE)*'Pre-Calculation'!$D$7,0)</f>
        <v>420</v>
      </c>
      <c r="H33" s="175">
        <f>(E33-(F33+G33)*(1+Tax)+N32)</f>
        <v>281754.9246</v>
      </c>
      <c r="I33" s="175">
        <f>IF(B33&lt;PT+1,VLOOKUP(D33,'Pre-Calculation'!$N$3:$P$79,IF(INPUT!$C$4="M",2,3),FALSE)*(J33/1000)*(1/12),0)</f>
        <v>86.57845846</v>
      </c>
      <c r="J33" s="175">
        <f t="shared" si="3"/>
        <v>718245.0754</v>
      </c>
      <c r="K33" s="175">
        <f>IF('Pre-Calculation'!$D$17="Type 4 a",MAX(SA,H33,1.05*Q33),IF('Pre-Calculation'!$D$17="Type 4 c",H33,IF('Pre-Calculation'!$D$17="Type 4 d",SA+H33,IF('Pre-Calculation'!$D$17="Type 4 e",MAX(SA,H33),IF('Pre-Calculation'!$D$17="Type 4 f",SA,IF('Pre-Calculation'!$D$17="Type 4 g",1000+H33,IF('Pre-Calculation'!$D$17="Type 4 h",SA+X33,IF('Pre-Calculation'!$D$17="Type 4 i",MAX(H33,Q33),IF('Pre-Calculation'!$D$17="Type 4 k",MAX(H33,1.01*Q33),IF('Pre-Calculation'!$D$17="Type 4 m",MAX(105%*Q33,SA+H33),IF('Pre-Calculation'!$D$17="Type 4 o",MAX(SA,105%*Q33)+X33+Z33,IF('Pre-Calculation'!$D$17="Type 5",0))))))))))))</f>
        <v>1000000</v>
      </c>
      <c r="L33" s="175">
        <f>H33-I33*(1+Tax)</f>
        <v>281652.762</v>
      </c>
      <c r="M33" s="175">
        <f>L33*(1+GROWTH_RATE_L)*(1-FMC*(1+Tax))</f>
        <v>282199.9058</v>
      </c>
      <c r="N33" s="175">
        <f>M33+IF(MOD(A33,B33)=0,VLOOKUP(B33,'Pre-Calculation'!$H$1:$L$31,5,FALSE),0)*IF('Pre-Calculation'!$D$16="% OF FV",M33,IF(OR('Pre-Calculation'!$D$16="% OF AFV(24M)",'Pre-Calculation'!$D$16="% OF AFV(8Q)"),AVERAGE( $M10:$M33),IF('Pre-Calculation'!$D$16="% OF AFV(12M)",AVERAGE($M22:M33),IF('Pre-Calculation'!$D$16="% OF AFV(36M)",AVERAGE($M$7:M33)))))</f>
        <v>282199.9058</v>
      </c>
      <c r="O33" s="175">
        <f t="shared" si="4"/>
        <v>282199.9058</v>
      </c>
      <c r="P33" s="175">
        <f>IF('Pre-Calculation'!$D$17="Type 4 a",MAX(SA,N33,1.05*Q33),IF('Pre-Calculation'!$D$17="Type 4 c",N33,IF('Pre-Calculation'!$D$17="Type 4 d",SA+N33,IF('Pre-Calculation'!$D$17="Type 4 e",MAX(SA,N33),IF('Pre-Calculation'!$D$17="Type 4 f",SA,IF('Pre-Calculation'!$D$17="Type 4 g",1000+N33,IF('Pre-Calculation'!$D$17="Type 4 h",SA+X33,IF('Pre-Calculation'!$D$17="Type 4 i",MAX(N33,Q33),IF('Pre-Calculation'!$D$17="Type 4 k",MAX(N33,1.01*Q33),IF('Pre-Calculation'!$D$17="Type 4 m",MAX(105%*Q33,SA+N33),IF('Pre-Calculation'!$D$17="Type 4 o",MAX(SA,105%*Q33)+X33+Z33,IF('Pre-Calculation'!$D$17="Type 5",0))))))))))))</f>
        <v>1000000</v>
      </c>
      <c r="Q33" s="175">
        <f t="shared" si="5"/>
        <v>900000</v>
      </c>
      <c r="R33" s="119">
        <f>L33*(1+GROWTH_RATE)*FMC</f>
        <v>318.724618</v>
      </c>
      <c r="S33" s="178">
        <f>S32*(1+'Pre-Calculation'!$E$27)</f>
        <v>702310.4713</v>
      </c>
      <c r="T33" s="175">
        <f>-E33+IF(A32=INPUT!$C$11*12,N33,0)</f>
        <v>0</v>
      </c>
      <c r="U33" s="175">
        <f t="shared" si="6"/>
        <v>306840.8273</v>
      </c>
      <c r="V33" s="175">
        <f>U33*(1+GROWTH_RATE_L)*(1-'Pre-Calculation'!$E$31)</f>
        <v>307332.682</v>
      </c>
      <c r="W33" s="175">
        <f>-E33+IF(A32=INPUT!$C$11*12,V33,0)</f>
        <v>0</v>
      </c>
      <c r="X33" s="179">
        <f t="array" ref="X33">NPV('Pre-Calculation'!$E$20,$E34:E$246)</f>
        <v>545040.5345</v>
      </c>
      <c r="Y33" s="171">
        <f>10%*SA</f>
        <v>100000</v>
      </c>
      <c r="Z33" s="179">
        <f t="array" ref="Z33">NPV('Pre-Calculation'!$E$20,Y34:Y43)</f>
        <v>969592.8037</v>
      </c>
    </row>
    <row r="34" ht="15.75" customHeight="1">
      <c r="A34" s="171">
        <f t="shared" si="1"/>
        <v>28</v>
      </c>
      <c r="B34" s="171">
        <f t="shared" si="2"/>
        <v>3</v>
      </c>
      <c r="C34" s="176">
        <f>EDATE(RCD,A33)</f>
        <v>43373</v>
      </c>
      <c r="D34" s="171">
        <f>Age_At_Entry+'Cashflows_4% from Start'!B34-1</f>
        <v>37</v>
      </c>
      <c r="E34" s="175">
        <f>IF(AND(C34&lt;=Last_Prem,MOD(A33,Mode)=0),Mod_Prem,0)</f>
        <v>0</v>
      </c>
      <c r="F34" s="177">
        <f>IF(B34&lt;PT+1,E34*VLOOKUP(B34,'Pre-Calculation'!$H$1:$I$31,2,FALSE),0)</f>
        <v>0</v>
      </c>
      <c r="G34" s="177">
        <f>IF(B34&lt;PT+1,VLOOKUP(B34,'Pre-Calculation'!$H$1:$L$32,3,FALSE)+VLOOKUP(B34,'Pre-Calculation'!$H$1:$L$32,4,FALSE)*'Pre-Calculation'!$D$7,0)</f>
        <v>420</v>
      </c>
      <c r="H34" s="175">
        <f>(E34-(F34+G34)*(1+Tax)+N33)</f>
        <v>281704.3058</v>
      </c>
      <c r="I34" s="175">
        <f>IF(B34&lt;PT+1,VLOOKUP(D34,'Pre-Calculation'!$N$3:$P$79,IF(INPUT!$C$4="M",2,3),FALSE)*(J34/1000)*(1/12),0)</f>
        <v>86.58456014</v>
      </c>
      <c r="J34" s="175">
        <f t="shared" si="3"/>
        <v>718295.6942</v>
      </c>
      <c r="K34" s="175">
        <f>IF('Pre-Calculation'!$D$17="Type 4 a",MAX(SA,H34,1.05*Q34),IF('Pre-Calculation'!$D$17="Type 4 c",H34,IF('Pre-Calculation'!$D$17="Type 4 d",SA+H34,IF('Pre-Calculation'!$D$17="Type 4 e",MAX(SA,H34),IF('Pre-Calculation'!$D$17="Type 4 f",SA,IF('Pre-Calculation'!$D$17="Type 4 g",1000+H34,IF('Pre-Calculation'!$D$17="Type 4 h",SA+X34,IF('Pre-Calculation'!$D$17="Type 4 i",MAX(H34,Q34),IF('Pre-Calculation'!$D$17="Type 4 k",MAX(H34,1.01*Q34),IF('Pre-Calculation'!$D$17="Type 4 m",MAX(105%*Q34,SA+H34),IF('Pre-Calculation'!$D$17="Type 4 o",MAX(SA,105%*Q34)+X34+Z34,IF('Pre-Calculation'!$D$17="Type 5",0))))))))))))</f>
        <v>1000000</v>
      </c>
      <c r="L34" s="175">
        <f>H34-I34*(1+Tax)</f>
        <v>281602.136</v>
      </c>
      <c r="M34" s="175">
        <f>L34*(1+GROWTH_RATE_L)*(1-FMC*(1+Tax))</f>
        <v>282149.1815</v>
      </c>
      <c r="N34" s="175">
        <f>M34+IF(MOD(A34,B34)=0,VLOOKUP(B34,'Pre-Calculation'!$H$1:$L$31,5,FALSE),0)*IF('Pre-Calculation'!$D$16="% OF FV",M34,IF(OR('Pre-Calculation'!$D$16="% OF AFV(24M)",'Pre-Calculation'!$D$16="% OF AFV(8Q)"),AVERAGE( $M11:$M34),IF('Pre-Calculation'!$D$16="% OF AFV(12M)",AVERAGE($M23:M34),IF('Pre-Calculation'!$D$16="% OF AFV(36M)",AVERAGE($M$7:M34)))))</f>
        <v>282149.1815</v>
      </c>
      <c r="O34" s="175">
        <f t="shared" si="4"/>
        <v>282149.1815</v>
      </c>
      <c r="P34" s="175">
        <f>IF('Pre-Calculation'!$D$17="Type 4 a",MAX(SA,N34,1.05*Q34),IF('Pre-Calculation'!$D$17="Type 4 c",N34,IF('Pre-Calculation'!$D$17="Type 4 d",SA+N34,IF('Pre-Calculation'!$D$17="Type 4 e",MAX(SA,N34),IF('Pre-Calculation'!$D$17="Type 4 f",SA,IF('Pre-Calculation'!$D$17="Type 4 g",1000+N34,IF('Pre-Calculation'!$D$17="Type 4 h",SA+X34,IF('Pre-Calculation'!$D$17="Type 4 i",MAX(N34,Q34),IF('Pre-Calculation'!$D$17="Type 4 k",MAX(N34,1.01*Q34),IF('Pre-Calculation'!$D$17="Type 4 m",MAX(105%*Q34,SA+N34),IF('Pre-Calculation'!$D$17="Type 4 o",MAX(SA,105%*Q34)+X34+Z34,IF('Pre-Calculation'!$D$17="Type 5",0))))))))))))</f>
        <v>1000000</v>
      </c>
      <c r="Q34" s="175">
        <f t="shared" si="5"/>
        <v>900000</v>
      </c>
      <c r="R34" s="119">
        <f>L34*(1+GROWTH_RATE)*FMC</f>
        <v>318.6673284</v>
      </c>
      <c r="S34" s="178">
        <f>S33*(1+'Pre-Calculation'!$E$27)</f>
        <v>704326.7335</v>
      </c>
      <c r="T34" s="175">
        <f>-E34+IF(A33=INPUT!$C$11*12,N34,0)</f>
        <v>0</v>
      </c>
      <c r="U34" s="175">
        <f t="shared" si="6"/>
        <v>307332.682</v>
      </c>
      <c r="V34" s="175">
        <f>U34*(1+GROWTH_RATE_L)*(1-'Pre-Calculation'!$E$31)</f>
        <v>307825.3252</v>
      </c>
      <c r="W34" s="175">
        <f>-E34+IF(A33=INPUT!$C$11*12,V34,0)</f>
        <v>0</v>
      </c>
      <c r="X34" s="179">
        <f t="array" ref="X34">NPV('Pre-Calculation'!$E$20,$E35:E$246)</f>
        <v>548122.273</v>
      </c>
      <c r="Y34" s="171">
        <f>10%*SA</f>
        <v>100000</v>
      </c>
      <c r="Z34" s="179">
        <f t="array" ref="Z34">NPV('Pre-Calculation'!$E$20,Y35:Y44)</f>
        <v>969592.8037</v>
      </c>
    </row>
    <row r="35" ht="15.75" customHeight="1">
      <c r="A35" s="171">
        <f t="shared" si="1"/>
        <v>29</v>
      </c>
      <c r="B35" s="171">
        <f t="shared" si="2"/>
        <v>3</v>
      </c>
      <c r="C35" s="176">
        <f>EDATE(RCD,A34)</f>
        <v>43403</v>
      </c>
      <c r="D35" s="171">
        <f>Age_At_Entry+'Cashflows_4% from Start'!B35-1</f>
        <v>37</v>
      </c>
      <c r="E35" s="175">
        <f>IF(AND(C35&lt;=Last_Prem,MOD(A34,Mode)=0),Mod_Prem,0)</f>
        <v>0</v>
      </c>
      <c r="F35" s="177">
        <f>IF(B35&lt;PT+1,E35*VLOOKUP(B35,'Pre-Calculation'!$H$1:$I$31,2,FALSE),0)</f>
        <v>0</v>
      </c>
      <c r="G35" s="177">
        <f>IF(B35&lt;PT+1,VLOOKUP(B35,'Pre-Calculation'!$H$1:$L$32,3,FALSE)+VLOOKUP(B35,'Pre-Calculation'!$H$1:$L$32,4,FALSE)*'Pre-Calculation'!$D$7,0)</f>
        <v>420</v>
      </c>
      <c r="H35" s="175">
        <f>(E35-(F35+G35)*(1+Tax)+N34)</f>
        <v>281653.5815</v>
      </c>
      <c r="I35" s="175">
        <f>IF(B35&lt;PT+1,VLOOKUP(D35,'Pre-Calculation'!$N$3:$P$79,IF(INPUT!$C$4="M",2,3),FALSE)*(J35/1000)*(1/12),0)</f>
        <v>86.59067454</v>
      </c>
      <c r="J35" s="175">
        <f t="shared" si="3"/>
        <v>718346.4185</v>
      </c>
      <c r="K35" s="175">
        <f>IF('Pre-Calculation'!$D$17="Type 4 a",MAX(SA,H35,1.05*Q35),IF('Pre-Calculation'!$D$17="Type 4 c",H35,IF('Pre-Calculation'!$D$17="Type 4 d",SA+H35,IF('Pre-Calculation'!$D$17="Type 4 e",MAX(SA,H35),IF('Pre-Calculation'!$D$17="Type 4 f",SA,IF('Pre-Calculation'!$D$17="Type 4 g",1000+H35,IF('Pre-Calculation'!$D$17="Type 4 h",SA+X35,IF('Pre-Calculation'!$D$17="Type 4 i",MAX(H35,Q35),IF('Pre-Calculation'!$D$17="Type 4 k",MAX(H35,1.01*Q35),IF('Pre-Calculation'!$D$17="Type 4 m",MAX(105%*Q35,SA+H35),IF('Pre-Calculation'!$D$17="Type 4 o",MAX(SA,105%*Q35)+X35+Z35,IF('Pre-Calculation'!$D$17="Type 5",0))))))))))))</f>
        <v>1000000</v>
      </c>
      <c r="L35" s="175">
        <f>H35-I35*(1+Tax)</f>
        <v>281551.4045</v>
      </c>
      <c r="M35" s="175">
        <f>L35*(1+GROWTH_RATE_L)*(1-FMC*(1+Tax))</f>
        <v>282098.3513</v>
      </c>
      <c r="N35" s="175">
        <f>M35+IF(MOD(A35,B35)=0,VLOOKUP(B35,'Pre-Calculation'!$H$1:$L$31,5,FALSE),0)*IF('Pre-Calculation'!$D$16="% OF FV",M35,IF(OR('Pre-Calculation'!$D$16="% OF AFV(24M)",'Pre-Calculation'!$D$16="% OF AFV(8Q)"),AVERAGE( $M12:$M35),IF('Pre-Calculation'!$D$16="% OF AFV(12M)",AVERAGE($M24:M35),IF('Pre-Calculation'!$D$16="% OF AFV(36M)",AVERAGE($M$7:M35)))))</f>
        <v>282098.3513</v>
      </c>
      <c r="O35" s="175">
        <f t="shared" si="4"/>
        <v>282098.3513</v>
      </c>
      <c r="P35" s="175">
        <f>IF('Pre-Calculation'!$D$17="Type 4 a",MAX(SA,N35,1.05*Q35),IF('Pre-Calculation'!$D$17="Type 4 c",N35,IF('Pre-Calculation'!$D$17="Type 4 d",SA+N35,IF('Pre-Calculation'!$D$17="Type 4 e",MAX(SA,N35),IF('Pre-Calculation'!$D$17="Type 4 f",SA,IF('Pre-Calculation'!$D$17="Type 4 g",1000+N35,IF('Pre-Calculation'!$D$17="Type 4 h",SA+X35,IF('Pre-Calculation'!$D$17="Type 4 i",MAX(N35,Q35),IF('Pre-Calculation'!$D$17="Type 4 k",MAX(N35,1.01*Q35),IF('Pre-Calculation'!$D$17="Type 4 m",MAX(105%*Q35,SA+N35),IF('Pre-Calculation'!$D$17="Type 4 o",MAX(SA,105%*Q35)+X35+Z35,IF('Pre-Calculation'!$D$17="Type 5",0))))))))))))</f>
        <v>1000000</v>
      </c>
      <c r="Q35" s="175">
        <f t="shared" si="5"/>
        <v>900000</v>
      </c>
      <c r="R35" s="119">
        <f>L35*(1+GROWTH_RATE)*FMC</f>
        <v>318.6099195</v>
      </c>
      <c r="S35" s="178">
        <f>S34*(1+'Pre-Calculation'!$E$27)</f>
        <v>706348.7842</v>
      </c>
      <c r="T35" s="175">
        <f>-E35+IF(A34=INPUT!$C$11*12,N35,0)</f>
        <v>0</v>
      </c>
      <c r="U35" s="175">
        <f t="shared" si="6"/>
        <v>307825.3252</v>
      </c>
      <c r="V35" s="175">
        <f>U35*(1+GROWTH_RATE_L)*(1-'Pre-Calculation'!$E$31)</f>
        <v>308318.758</v>
      </c>
      <c r="W35" s="175">
        <f>-E35+IF(A34=INPUT!$C$11*12,V35,0)</f>
        <v>0</v>
      </c>
      <c r="X35" s="179">
        <f t="array" ref="X35">NPV('Pre-Calculation'!$E$20,$E36:E$246)</f>
        <v>551221.436</v>
      </c>
      <c r="Y35" s="171">
        <f>10%*SA</f>
        <v>100000</v>
      </c>
      <c r="Z35" s="179">
        <f t="array" ref="Z35">NPV('Pre-Calculation'!$E$20,Y36:Y45)</f>
        <v>969592.8037</v>
      </c>
    </row>
    <row r="36" ht="15.75" customHeight="1">
      <c r="A36" s="171">
        <f t="shared" si="1"/>
        <v>30</v>
      </c>
      <c r="B36" s="171">
        <f t="shared" si="2"/>
        <v>3</v>
      </c>
      <c r="C36" s="176">
        <f>EDATE(RCD,A35)</f>
        <v>43434</v>
      </c>
      <c r="D36" s="171">
        <f>Age_At_Entry+'Cashflows_4% from Start'!B36-1</f>
        <v>37</v>
      </c>
      <c r="E36" s="175">
        <f>IF(AND(C36&lt;=Last_Prem,MOD(A35,Mode)=0),Mod_Prem,0)</f>
        <v>0</v>
      </c>
      <c r="F36" s="177">
        <f>IF(B36&lt;PT+1,E36*VLOOKUP(B36,'Pre-Calculation'!$H$1:$I$31,2,FALSE),0)</f>
        <v>0</v>
      </c>
      <c r="G36" s="177">
        <f>IF(B36&lt;PT+1,VLOOKUP(B36,'Pre-Calculation'!$H$1:$L$32,3,FALSE)+VLOOKUP(B36,'Pre-Calculation'!$H$1:$L$32,4,FALSE)*'Pre-Calculation'!$D$7,0)</f>
        <v>420</v>
      </c>
      <c r="H36" s="175">
        <f>(E36-(F36+G36)*(1+Tax)+N35)</f>
        <v>281602.7513</v>
      </c>
      <c r="I36" s="175">
        <f>IF(B36&lt;PT+1,VLOOKUP(D36,'Pre-Calculation'!$N$3:$P$79,IF(INPUT!$C$4="M",2,3),FALSE)*(J36/1000)*(1/12),0)</f>
        <v>86.59680168</v>
      </c>
      <c r="J36" s="175">
        <f t="shared" si="3"/>
        <v>718397.2487</v>
      </c>
      <c r="K36" s="175">
        <f>IF('Pre-Calculation'!$D$17="Type 4 a",MAX(SA,H36,1.05*Q36),IF('Pre-Calculation'!$D$17="Type 4 c",H36,IF('Pre-Calculation'!$D$17="Type 4 d",SA+H36,IF('Pre-Calculation'!$D$17="Type 4 e",MAX(SA,H36),IF('Pre-Calculation'!$D$17="Type 4 f",SA,IF('Pre-Calculation'!$D$17="Type 4 g",1000+H36,IF('Pre-Calculation'!$D$17="Type 4 h",SA+X36,IF('Pre-Calculation'!$D$17="Type 4 i",MAX(H36,Q36),IF('Pre-Calculation'!$D$17="Type 4 k",MAX(H36,1.01*Q36),IF('Pre-Calculation'!$D$17="Type 4 m",MAX(105%*Q36,SA+H36),IF('Pre-Calculation'!$D$17="Type 4 o",MAX(SA,105%*Q36)+X36+Z36,IF('Pre-Calculation'!$D$17="Type 5",0))))))))))))</f>
        <v>1000000</v>
      </c>
      <c r="L36" s="175">
        <f>H36-I36*(1+Tax)</f>
        <v>281500.5671</v>
      </c>
      <c r="M36" s="175">
        <f>L36*(1+GROWTH_RATE_L)*(1-FMC*(1+Tax))</f>
        <v>282047.4152</v>
      </c>
      <c r="N36" s="175">
        <f>M36+IF(MOD(A36,B36)=0,VLOOKUP(B36,'Pre-Calculation'!$H$1:$L$31,5,FALSE),0)*IF('Pre-Calculation'!$D$16="% OF FV",M36,IF(OR('Pre-Calculation'!$D$16="% OF AFV(24M)",'Pre-Calculation'!$D$16="% OF AFV(8Q)"),AVERAGE( $M13:$M36),IF('Pre-Calculation'!$D$16="% OF AFV(12M)",AVERAGE($M25:M36),IF('Pre-Calculation'!$D$16="% OF AFV(36M)",AVERAGE($M$7:M36)))))</f>
        <v>282047.4152</v>
      </c>
      <c r="O36" s="175">
        <f t="shared" si="4"/>
        <v>282047.4152</v>
      </c>
      <c r="P36" s="175">
        <f>IF('Pre-Calculation'!$D$17="Type 4 a",MAX(SA,N36,1.05*Q36),IF('Pre-Calculation'!$D$17="Type 4 c",N36,IF('Pre-Calculation'!$D$17="Type 4 d",SA+N36,IF('Pre-Calculation'!$D$17="Type 4 e",MAX(SA,N36),IF('Pre-Calculation'!$D$17="Type 4 f",SA,IF('Pre-Calculation'!$D$17="Type 4 g",1000+N36,IF('Pre-Calculation'!$D$17="Type 4 h",SA+X36,IF('Pre-Calculation'!$D$17="Type 4 i",MAX(N36,Q36),IF('Pre-Calculation'!$D$17="Type 4 k",MAX(N36,1.01*Q36),IF('Pre-Calculation'!$D$17="Type 4 m",MAX(105%*Q36,SA+N36),IF('Pre-Calculation'!$D$17="Type 4 o",MAX(SA,105%*Q36)+X36+Z36,IF('Pre-Calculation'!$D$17="Type 5",0))))))))))))</f>
        <v>1000000</v>
      </c>
      <c r="Q36" s="175">
        <f t="shared" si="5"/>
        <v>900000</v>
      </c>
      <c r="R36" s="119">
        <f>L36*(1+GROWTH_RATE)*FMC</f>
        <v>318.5523908</v>
      </c>
      <c r="S36" s="178">
        <f>S35*(1+'Pre-Calculation'!$E$27)</f>
        <v>708376.64</v>
      </c>
      <c r="T36" s="175">
        <f>-E36+IF(A35=INPUT!$C$11*12,N36,0)</f>
        <v>0</v>
      </c>
      <c r="U36" s="175">
        <f t="shared" si="6"/>
        <v>308318.758</v>
      </c>
      <c r="V36" s="175">
        <f>U36*(1+GROWTH_RATE_L)*(1-'Pre-Calculation'!$E$31)</f>
        <v>308812.9818</v>
      </c>
      <c r="W36" s="175">
        <f>-E36+IF(A35=INPUT!$C$11*12,V36,0)</f>
        <v>0</v>
      </c>
      <c r="X36" s="179">
        <f t="array" ref="X36">NPV('Pre-Calculation'!$E$20,$E37:E$246)</f>
        <v>554338.1221</v>
      </c>
      <c r="Y36" s="171">
        <f>10%*SA</f>
        <v>100000</v>
      </c>
      <c r="Z36" s="179">
        <f t="array" ref="Z36">NPV('Pre-Calculation'!$E$20,Y37:Y46)</f>
        <v>969592.8037</v>
      </c>
    </row>
    <row r="37" ht="15.75" customHeight="1">
      <c r="A37" s="171">
        <f t="shared" si="1"/>
        <v>31</v>
      </c>
      <c r="B37" s="171">
        <f t="shared" si="2"/>
        <v>3</v>
      </c>
      <c r="C37" s="176">
        <f>EDATE(RCD,A36)</f>
        <v>43464</v>
      </c>
      <c r="D37" s="171">
        <f>Age_At_Entry+'Cashflows_4% from Start'!B37-1</f>
        <v>37</v>
      </c>
      <c r="E37" s="175">
        <f>IF(AND(C37&lt;=Last_Prem,MOD(A36,Mode)=0),Mod_Prem,0)</f>
        <v>0</v>
      </c>
      <c r="F37" s="177">
        <f>IF(B37&lt;PT+1,E37*VLOOKUP(B37,'Pre-Calculation'!$H$1:$I$31,2,FALSE),0)</f>
        <v>0</v>
      </c>
      <c r="G37" s="177">
        <f>IF(B37&lt;PT+1,VLOOKUP(B37,'Pre-Calculation'!$H$1:$L$32,3,FALSE)+VLOOKUP(B37,'Pre-Calculation'!$H$1:$L$32,4,FALSE)*'Pre-Calculation'!$D$7,0)</f>
        <v>420</v>
      </c>
      <c r="H37" s="175">
        <f>(E37-(F37+G37)*(1+Tax)+N36)</f>
        <v>281551.8152</v>
      </c>
      <c r="I37" s="175">
        <f>IF(B37&lt;PT+1,VLOOKUP(D37,'Pre-Calculation'!$N$3:$P$79,IF(INPUT!$C$4="M",2,3),FALSE)*(J37/1000)*(1/12),0)</f>
        <v>86.60294161</v>
      </c>
      <c r="J37" s="175">
        <f t="shared" si="3"/>
        <v>718448.1848</v>
      </c>
      <c r="K37" s="175">
        <f>IF('Pre-Calculation'!$D$17="Type 4 a",MAX(SA,H37,1.05*Q37),IF('Pre-Calculation'!$D$17="Type 4 c",H37,IF('Pre-Calculation'!$D$17="Type 4 d",SA+H37,IF('Pre-Calculation'!$D$17="Type 4 e",MAX(SA,H37),IF('Pre-Calculation'!$D$17="Type 4 f",SA,IF('Pre-Calculation'!$D$17="Type 4 g",1000+H37,IF('Pre-Calculation'!$D$17="Type 4 h",SA+X37,IF('Pre-Calculation'!$D$17="Type 4 i",MAX(H37,Q37),IF('Pre-Calculation'!$D$17="Type 4 k",MAX(H37,1.01*Q37),IF('Pre-Calculation'!$D$17="Type 4 m",MAX(105%*Q37,SA+H37),IF('Pre-Calculation'!$D$17="Type 4 o",MAX(SA,105%*Q37)+X37+Z37,IF('Pre-Calculation'!$D$17="Type 5",0))))))))))))</f>
        <v>1000000</v>
      </c>
      <c r="L37" s="175">
        <f>H37-I37*(1+Tax)</f>
        <v>281449.6238</v>
      </c>
      <c r="M37" s="175">
        <f>L37*(1+GROWTH_RATE_L)*(1-FMC*(1+Tax))</f>
        <v>281996.3729</v>
      </c>
      <c r="N37" s="175">
        <f>M37+IF(MOD(A37,B37)=0,VLOOKUP(B37,'Pre-Calculation'!$H$1:$L$31,5,FALSE),0)*IF('Pre-Calculation'!$D$16="% OF FV",M37,IF(OR('Pre-Calculation'!$D$16="% OF AFV(24M)",'Pre-Calculation'!$D$16="% OF AFV(8Q)"),AVERAGE( $M14:$M37),IF('Pre-Calculation'!$D$16="% OF AFV(12M)",AVERAGE($M26:M37),IF('Pre-Calculation'!$D$16="% OF AFV(36M)",AVERAGE($M$7:M37)))))</f>
        <v>281996.3729</v>
      </c>
      <c r="O37" s="175">
        <f t="shared" si="4"/>
        <v>281996.3729</v>
      </c>
      <c r="P37" s="175">
        <f>IF('Pre-Calculation'!$D$17="Type 4 a",MAX(SA,N37,1.05*Q37),IF('Pre-Calculation'!$D$17="Type 4 c",N37,IF('Pre-Calculation'!$D$17="Type 4 d",SA+N37,IF('Pre-Calculation'!$D$17="Type 4 e",MAX(SA,N37),IF('Pre-Calculation'!$D$17="Type 4 f",SA,IF('Pre-Calculation'!$D$17="Type 4 g",1000+N37,IF('Pre-Calculation'!$D$17="Type 4 h",SA+X37,IF('Pre-Calculation'!$D$17="Type 4 i",MAX(N37,Q37),IF('Pre-Calculation'!$D$17="Type 4 k",MAX(N37,1.01*Q37),IF('Pre-Calculation'!$D$17="Type 4 m",MAX(105%*Q37,SA+N37),IF('Pre-Calculation'!$D$17="Type 4 o",MAX(SA,105%*Q37)+X37+Z37,IF('Pre-Calculation'!$D$17="Type 5",0))))))))))))</f>
        <v>1000000</v>
      </c>
      <c r="Q37" s="175">
        <f t="shared" si="5"/>
        <v>900000</v>
      </c>
      <c r="R37" s="119">
        <f>L37*(1+GROWTH_RATE)*FMC</f>
        <v>318.4947421</v>
      </c>
      <c r="S37" s="178">
        <f>S36*(1+'Pre-Calculation'!$E$27)</f>
        <v>710410.3176</v>
      </c>
      <c r="T37" s="175">
        <f>-E37+IF(A36=INPUT!$C$11*12,N37,0)</f>
        <v>0</v>
      </c>
      <c r="U37" s="175">
        <f t="shared" si="6"/>
        <v>308812.9818</v>
      </c>
      <c r="V37" s="175">
        <f>U37*(1+GROWTH_RATE_L)*(1-'Pre-Calculation'!$E$31)</f>
        <v>309307.9979</v>
      </c>
      <c r="W37" s="175">
        <f>-E37+IF(A36=INPUT!$C$11*12,V37,0)</f>
        <v>0</v>
      </c>
      <c r="X37" s="179">
        <f t="array" ref="X37">NPV('Pre-Calculation'!$E$20,$E38:E$246)</f>
        <v>557472.4305</v>
      </c>
      <c r="Y37" s="171">
        <f>10%*SA</f>
        <v>100000</v>
      </c>
      <c r="Z37" s="179">
        <f t="array" ref="Z37">NPV('Pre-Calculation'!$E$20,Y38:Y47)</f>
        <v>969592.8037</v>
      </c>
    </row>
    <row r="38" ht="15.75" customHeight="1">
      <c r="A38" s="171">
        <f t="shared" si="1"/>
        <v>32</v>
      </c>
      <c r="B38" s="171">
        <f t="shared" si="2"/>
        <v>3</v>
      </c>
      <c r="C38" s="176">
        <f>EDATE(RCD,A37)</f>
        <v>43495</v>
      </c>
      <c r="D38" s="171">
        <f>Age_At_Entry+'Cashflows_4% from Start'!B38-1</f>
        <v>37</v>
      </c>
      <c r="E38" s="175">
        <f>IF(AND(C38&lt;=Last_Prem,MOD(A37,Mode)=0),Mod_Prem,0)</f>
        <v>0</v>
      </c>
      <c r="F38" s="177">
        <f>IF(B38&lt;PT+1,E38*VLOOKUP(B38,'Pre-Calculation'!$H$1:$I$31,2,FALSE),0)</f>
        <v>0</v>
      </c>
      <c r="G38" s="177">
        <f>IF(B38&lt;PT+1,VLOOKUP(B38,'Pre-Calculation'!$H$1:$L$32,3,FALSE)+VLOOKUP(B38,'Pre-Calculation'!$H$1:$L$32,4,FALSE)*'Pre-Calculation'!$D$7,0)</f>
        <v>420</v>
      </c>
      <c r="H38" s="175">
        <f>(E38-(F38+G38)*(1+Tax)+N37)</f>
        <v>281500.7729</v>
      </c>
      <c r="I38" s="175">
        <f>IF(B38&lt;PT+1,VLOOKUP(D38,'Pre-Calculation'!$N$3:$P$79,IF(INPUT!$C$4="M",2,3),FALSE)*(J38/1000)*(1/12),0)</f>
        <v>86.60909433</v>
      </c>
      <c r="J38" s="175">
        <f t="shared" si="3"/>
        <v>718499.2271</v>
      </c>
      <c r="K38" s="175">
        <f>IF('Pre-Calculation'!$D$17="Type 4 a",MAX(SA,H38,1.05*Q38),IF('Pre-Calculation'!$D$17="Type 4 c",H38,IF('Pre-Calculation'!$D$17="Type 4 d",SA+H38,IF('Pre-Calculation'!$D$17="Type 4 e",MAX(SA,H38),IF('Pre-Calculation'!$D$17="Type 4 f",SA,IF('Pre-Calculation'!$D$17="Type 4 g",1000+H38,IF('Pre-Calculation'!$D$17="Type 4 h",SA+X38,IF('Pre-Calculation'!$D$17="Type 4 i",MAX(H38,Q38),IF('Pre-Calculation'!$D$17="Type 4 k",MAX(H38,1.01*Q38),IF('Pre-Calculation'!$D$17="Type 4 m",MAX(105%*Q38,SA+H38),IF('Pre-Calculation'!$D$17="Type 4 o",MAX(SA,105%*Q38)+X38+Z38,IF('Pre-Calculation'!$D$17="Type 5",0))))))))))))</f>
        <v>1000000</v>
      </c>
      <c r="L38" s="175">
        <f>H38-I38*(1+Tax)</f>
        <v>281398.5742</v>
      </c>
      <c r="M38" s="175">
        <f>L38*(1+GROWTH_RATE_L)*(1-FMC*(1+Tax))</f>
        <v>281945.2242</v>
      </c>
      <c r="N38" s="175">
        <f>M38+IF(MOD(A38,B38)=0,VLOOKUP(B38,'Pre-Calculation'!$H$1:$L$31,5,FALSE),0)*IF('Pre-Calculation'!$D$16="% OF FV",M38,IF(OR('Pre-Calculation'!$D$16="% OF AFV(24M)",'Pre-Calculation'!$D$16="% OF AFV(8Q)"),AVERAGE( $M15:$M38),IF('Pre-Calculation'!$D$16="% OF AFV(12M)",AVERAGE($M27:M38),IF('Pre-Calculation'!$D$16="% OF AFV(36M)",AVERAGE($M$7:M38)))))</f>
        <v>281945.2242</v>
      </c>
      <c r="O38" s="175">
        <f t="shared" si="4"/>
        <v>281945.2242</v>
      </c>
      <c r="P38" s="175">
        <f>IF('Pre-Calculation'!$D$17="Type 4 a",MAX(SA,N38,1.05*Q38),IF('Pre-Calculation'!$D$17="Type 4 c",N38,IF('Pre-Calculation'!$D$17="Type 4 d",SA+N38,IF('Pre-Calculation'!$D$17="Type 4 e",MAX(SA,N38),IF('Pre-Calculation'!$D$17="Type 4 f",SA,IF('Pre-Calculation'!$D$17="Type 4 g",1000+N38,IF('Pre-Calculation'!$D$17="Type 4 h",SA+X38,IF('Pre-Calculation'!$D$17="Type 4 i",MAX(N38,Q38),IF('Pre-Calculation'!$D$17="Type 4 k",MAX(N38,1.01*Q38),IF('Pre-Calculation'!$D$17="Type 4 m",MAX(105%*Q38,SA+N38),IF('Pre-Calculation'!$D$17="Type 4 o",MAX(SA,105%*Q38)+X38+Z38,IF('Pre-Calculation'!$D$17="Type 5",0))))))))))))</f>
        <v>1000000</v>
      </c>
      <c r="Q38" s="175">
        <f t="shared" si="5"/>
        <v>900000</v>
      </c>
      <c r="R38" s="119">
        <f>L38*(1+GROWTH_RATE)*FMC</f>
        <v>318.4369733</v>
      </c>
      <c r="S38" s="178">
        <f>S37*(1+'Pre-Calculation'!$E$27)</f>
        <v>712449.8337</v>
      </c>
      <c r="T38" s="175">
        <f>-E38+IF(A37=INPUT!$C$11*12,N38,0)</f>
        <v>0</v>
      </c>
      <c r="U38" s="175">
        <f t="shared" si="6"/>
        <v>309307.9979</v>
      </c>
      <c r="V38" s="175">
        <f>U38*(1+GROWTH_RATE_L)*(1-'Pre-Calculation'!$E$31)</f>
        <v>309803.8074</v>
      </c>
      <c r="W38" s="175">
        <f>-E38+IF(A37=INPUT!$C$11*12,V38,0)</f>
        <v>0</v>
      </c>
      <c r="X38" s="179">
        <f t="array" ref="X38">NPV('Pre-Calculation'!$E$20,$E39:E$246)</f>
        <v>560624.4606</v>
      </c>
      <c r="Y38" s="171">
        <f>10%*SA</f>
        <v>100000</v>
      </c>
      <c r="Z38" s="179">
        <f t="array" ref="Z38">NPV('Pre-Calculation'!$E$20,Y39:Y48)</f>
        <v>969592.8037</v>
      </c>
    </row>
    <row r="39" ht="15.75" customHeight="1">
      <c r="A39" s="171">
        <f t="shared" si="1"/>
        <v>33</v>
      </c>
      <c r="B39" s="171">
        <f t="shared" si="2"/>
        <v>3</v>
      </c>
      <c r="C39" s="176">
        <f>EDATE(RCD,A38)</f>
        <v>43524</v>
      </c>
      <c r="D39" s="171">
        <f>Age_At_Entry+'Cashflows_4% from Start'!B39-1</f>
        <v>37</v>
      </c>
      <c r="E39" s="175">
        <f>IF(AND(C39&lt;=Last_Prem,MOD(A38,Mode)=0),Mod_Prem,0)</f>
        <v>0</v>
      </c>
      <c r="F39" s="177">
        <f>IF(B39&lt;PT+1,E39*VLOOKUP(B39,'Pre-Calculation'!$H$1:$I$31,2,FALSE),0)</f>
        <v>0</v>
      </c>
      <c r="G39" s="177">
        <f>IF(B39&lt;PT+1,VLOOKUP(B39,'Pre-Calculation'!$H$1:$L$32,3,FALSE)+VLOOKUP(B39,'Pre-Calculation'!$H$1:$L$32,4,FALSE)*'Pre-Calculation'!$D$7,0)</f>
        <v>420</v>
      </c>
      <c r="H39" s="175">
        <f>(E39-(F39+G39)*(1+Tax)+N38)</f>
        <v>281449.6242</v>
      </c>
      <c r="I39" s="175">
        <f>IF(B39&lt;PT+1,VLOOKUP(D39,'Pre-Calculation'!$N$3:$P$79,IF(INPUT!$C$4="M",2,3),FALSE)*(J39/1000)*(1/12),0)</f>
        <v>86.61525989</v>
      </c>
      <c r="J39" s="175">
        <f t="shared" si="3"/>
        <v>718550.3758</v>
      </c>
      <c r="K39" s="175">
        <f>IF('Pre-Calculation'!$D$17="Type 4 a",MAX(SA,H39,1.05*Q39),IF('Pre-Calculation'!$D$17="Type 4 c",H39,IF('Pre-Calculation'!$D$17="Type 4 d",SA+H39,IF('Pre-Calculation'!$D$17="Type 4 e",MAX(SA,H39),IF('Pre-Calculation'!$D$17="Type 4 f",SA,IF('Pre-Calculation'!$D$17="Type 4 g",1000+H39,IF('Pre-Calculation'!$D$17="Type 4 h",SA+X39,IF('Pre-Calculation'!$D$17="Type 4 i",MAX(H39,Q39),IF('Pre-Calculation'!$D$17="Type 4 k",MAX(H39,1.01*Q39),IF('Pre-Calculation'!$D$17="Type 4 m",MAX(105%*Q39,SA+H39),IF('Pre-Calculation'!$D$17="Type 4 o",MAX(SA,105%*Q39)+X39+Z39,IF('Pre-Calculation'!$D$17="Type 5",0))))))))))))</f>
        <v>1000000</v>
      </c>
      <c r="L39" s="175">
        <f>H39-I39*(1+Tax)</f>
        <v>281347.4182</v>
      </c>
      <c r="M39" s="175">
        <f>L39*(1+GROWTH_RATE_L)*(1-FMC*(1+Tax))</f>
        <v>281893.9688</v>
      </c>
      <c r="N39" s="175">
        <f>M39+IF(MOD(A39,B39)=0,VLOOKUP(B39,'Pre-Calculation'!$H$1:$L$31,5,FALSE),0)*IF('Pre-Calculation'!$D$16="% OF FV",M39,IF(OR('Pre-Calculation'!$D$16="% OF AFV(24M)",'Pre-Calculation'!$D$16="% OF AFV(8Q)"),AVERAGE( $M16:$M39),IF('Pre-Calculation'!$D$16="% OF AFV(12M)",AVERAGE($M28:M39),IF('Pre-Calculation'!$D$16="% OF AFV(36M)",AVERAGE($M$7:M39)))))</f>
        <v>281893.9688</v>
      </c>
      <c r="O39" s="175">
        <f t="shared" si="4"/>
        <v>281893.9688</v>
      </c>
      <c r="P39" s="175">
        <f>IF('Pre-Calculation'!$D$17="Type 4 a",MAX(SA,N39,1.05*Q39),IF('Pre-Calculation'!$D$17="Type 4 c",N39,IF('Pre-Calculation'!$D$17="Type 4 d",SA+N39,IF('Pre-Calculation'!$D$17="Type 4 e",MAX(SA,N39),IF('Pre-Calculation'!$D$17="Type 4 f",SA,IF('Pre-Calculation'!$D$17="Type 4 g",1000+N39,IF('Pre-Calculation'!$D$17="Type 4 h",SA+X39,IF('Pre-Calculation'!$D$17="Type 4 i",MAX(N39,Q39),IF('Pre-Calculation'!$D$17="Type 4 k",MAX(N39,1.01*Q39),IF('Pre-Calculation'!$D$17="Type 4 m",MAX(105%*Q39,SA+N39),IF('Pre-Calculation'!$D$17="Type 4 o",MAX(SA,105%*Q39)+X39+Z39,IF('Pre-Calculation'!$D$17="Type 5",0))))))))))))</f>
        <v>1000000</v>
      </c>
      <c r="Q39" s="175">
        <f t="shared" si="5"/>
        <v>900000</v>
      </c>
      <c r="R39" s="119">
        <f>L39*(1+GROWTH_RATE)*FMC</f>
        <v>318.379084</v>
      </c>
      <c r="S39" s="178">
        <f>S38*(1+'Pre-Calculation'!$E$27)</f>
        <v>714495.205</v>
      </c>
      <c r="T39" s="175">
        <f>-E39+IF(A38=INPUT!$C$11*12,N39,0)</f>
        <v>0</v>
      </c>
      <c r="U39" s="175">
        <f t="shared" si="6"/>
        <v>309803.8074</v>
      </c>
      <c r="V39" s="175">
        <f>U39*(1+GROWTH_RATE_L)*(1-'Pre-Calculation'!$E$31)</f>
        <v>310300.4117</v>
      </c>
      <c r="W39" s="175">
        <f>-E39+IF(A38=INPUT!$C$11*12,V39,0)</f>
        <v>0</v>
      </c>
      <c r="X39" s="179">
        <f t="array" ref="X39">NPV('Pre-Calculation'!$E$20,$E40:E$246)</f>
        <v>563794.3128</v>
      </c>
      <c r="Y39" s="171">
        <f>10%*SA</f>
        <v>100000</v>
      </c>
      <c r="Z39" s="179">
        <f t="array" ref="Z39">NPV('Pre-Calculation'!$E$20,Y40:Y49)</f>
        <v>969592.8037</v>
      </c>
    </row>
    <row r="40" ht="15.75" customHeight="1">
      <c r="A40" s="171">
        <f t="shared" si="1"/>
        <v>34</v>
      </c>
      <c r="B40" s="171">
        <f t="shared" si="2"/>
        <v>3</v>
      </c>
      <c r="C40" s="176">
        <f>EDATE(RCD,A39)</f>
        <v>43554</v>
      </c>
      <c r="D40" s="171">
        <f>Age_At_Entry+'Cashflows_4% from Start'!B40-1</f>
        <v>37</v>
      </c>
      <c r="E40" s="175">
        <f>IF(AND(C40&lt;=Last_Prem,MOD(A39,Mode)=0),Mod_Prem,0)</f>
        <v>0</v>
      </c>
      <c r="F40" s="177">
        <f>IF(B40&lt;PT+1,E40*VLOOKUP(B40,'Pre-Calculation'!$H$1:$I$31,2,FALSE),0)</f>
        <v>0</v>
      </c>
      <c r="G40" s="177">
        <f>IF(B40&lt;PT+1,VLOOKUP(B40,'Pre-Calculation'!$H$1:$L$32,3,FALSE)+VLOOKUP(B40,'Pre-Calculation'!$H$1:$L$32,4,FALSE)*'Pre-Calculation'!$D$7,0)</f>
        <v>420</v>
      </c>
      <c r="H40" s="175">
        <f>(E40-(F40+G40)*(1+Tax)+N39)</f>
        <v>281398.3688</v>
      </c>
      <c r="I40" s="175">
        <f>IF(B40&lt;PT+1,VLOOKUP(D40,'Pre-Calculation'!$N$3:$P$79,IF(INPUT!$C$4="M",2,3),FALSE)*(J40/1000)*(1/12),0)</f>
        <v>86.6214383</v>
      </c>
      <c r="J40" s="175">
        <f t="shared" si="3"/>
        <v>718601.6312</v>
      </c>
      <c r="K40" s="175">
        <f>IF('Pre-Calculation'!$D$17="Type 4 a",MAX(SA,H40,1.05*Q40),IF('Pre-Calculation'!$D$17="Type 4 c",H40,IF('Pre-Calculation'!$D$17="Type 4 d",SA+H40,IF('Pre-Calculation'!$D$17="Type 4 e",MAX(SA,H40),IF('Pre-Calculation'!$D$17="Type 4 f",SA,IF('Pre-Calculation'!$D$17="Type 4 g",1000+H40,IF('Pre-Calculation'!$D$17="Type 4 h",SA+X40,IF('Pre-Calculation'!$D$17="Type 4 i",MAX(H40,Q40),IF('Pre-Calculation'!$D$17="Type 4 k",MAX(H40,1.01*Q40),IF('Pre-Calculation'!$D$17="Type 4 m",MAX(105%*Q40,SA+H40),IF('Pre-Calculation'!$D$17="Type 4 o",MAX(SA,105%*Q40)+X40+Z40,IF('Pre-Calculation'!$D$17="Type 5",0))))))))))))</f>
        <v>1000000</v>
      </c>
      <c r="L40" s="175">
        <f>H40-I40*(1+Tax)</f>
        <v>281296.1555</v>
      </c>
      <c r="M40" s="175">
        <f>L40*(1+GROWTH_RATE_L)*(1-FMC*(1+Tax))</f>
        <v>281842.6065</v>
      </c>
      <c r="N40" s="175">
        <f>M40+IF(MOD(A40,B40)=0,VLOOKUP(B40,'Pre-Calculation'!$H$1:$L$31,5,FALSE),0)*IF('Pre-Calculation'!$D$16="% OF FV",M40,IF(OR('Pre-Calculation'!$D$16="% OF AFV(24M)",'Pre-Calculation'!$D$16="% OF AFV(8Q)"),AVERAGE( $M17:$M40),IF('Pre-Calculation'!$D$16="% OF AFV(12M)",AVERAGE($M29:M40),IF('Pre-Calculation'!$D$16="% OF AFV(36M)",AVERAGE($M$7:M40)))))</f>
        <v>281842.6065</v>
      </c>
      <c r="O40" s="175">
        <f t="shared" si="4"/>
        <v>281842.6065</v>
      </c>
      <c r="P40" s="175">
        <f>IF('Pre-Calculation'!$D$17="Type 4 a",MAX(SA,N40,1.05*Q40),IF('Pre-Calculation'!$D$17="Type 4 c",N40,IF('Pre-Calculation'!$D$17="Type 4 d",SA+N40,IF('Pre-Calculation'!$D$17="Type 4 e",MAX(SA,N40),IF('Pre-Calculation'!$D$17="Type 4 f",SA,IF('Pre-Calculation'!$D$17="Type 4 g",1000+N40,IF('Pre-Calculation'!$D$17="Type 4 h",SA+X40,IF('Pre-Calculation'!$D$17="Type 4 i",MAX(N40,Q40),IF('Pre-Calculation'!$D$17="Type 4 k",MAX(N40,1.01*Q40),IF('Pre-Calculation'!$D$17="Type 4 m",MAX(105%*Q40,SA+N40),IF('Pre-Calculation'!$D$17="Type 4 o",MAX(SA,105%*Q40)+X40+Z40,IF('Pre-Calculation'!$D$17="Type 5",0))))))))))))</f>
        <v>1000000</v>
      </c>
      <c r="Q40" s="175">
        <f t="shared" si="5"/>
        <v>900000</v>
      </c>
      <c r="R40" s="119">
        <f>L40*(1+GROWTH_RATE)*FMC</f>
        <v>318.3210739</v>
      </c>
      <c r="S40" s="178">
        <f>S39*(1+'Pre-Calculation'!$E$27)</f>
        <v>716546.4484</v>
      </c>
      <c r="T40" s="175">
        <f>-E40+IF(A39=INPUT!$C$11*12,N40,0)</f>
        <v>0</v>
      </c>
      <c r="U40" s="175">
        <f t="shared" si="6"/>
        <v>310300.4117</v>
      </c>
      <c r="V40" s="175">
        <f>U40*(1+GROWTH_RATE_L)*(1-'Pre-Calculation'!$E$31)</f>
        <v>310797.812</v>
      </c>
      <c r="W40" s="175">
        <f>-E40+IF(A39=INPUT!$C$11*12,V40,0)</f>
        <v>0</v>
      </c>
      <c r="X40" s="179">
        <f t="array" ref="X40">NPV('Pre-Calculation'!$E$20,$E41:E$246)</f>
        <v>566982.0879</v>
      </c>
      <c r="Y40" s="171">
        <f>10%*SA</f>
        <v>100000</v>
      </c>
      <c r="Z40" s="179">
        <f t="array" ref="Z40">NPV('Pre-Calculation'!$E$20,Y41:Y50)</f>
        <v>969592.8037</v>
      </c>
    </row>
    <row r="41" ht="15.75" customHeight="1">
      <c r="A41" s="171">
        <f t="shared" si="1"/>
        <v>35</v>
      </c>
      <c r="B41" s="171">
        <f t="shared" si="2"/>
        <v>3</v>
      </c>
      <c r="C41" s="176">
        <f>EDATE(RCD,A40)</f>
        <v>43585</v>
      </c>
      <c r="D41" s="171">
        <f>Age_At_Entry+'Cashflows_4% from Start'!B41-1</f>
        <v>37</v>
      </c>
      <c r="E41" s="175">
        <f>IF(AND(C41&lt;=Last_Prem,MOD(A40,Mode)=0),Mod_Prem,0)</f>
        <v>0</v>
      </c>
      <c r="F41" s="177">
        <f>IF(B41&lt;PT+1,E41*VLOOKUP(B41,'Pre-Calculation'!$H$1:$I$31,2,FALSE),0)</f>
        <v>0</v>
      </c>
      <c r="G41" s="177">
        <f>IF(B41&lt;PT+1,VLOOKUP(B41,'Pre-Calculation'!$H$1:$L$32,3,FALSE)+VLOOKUP(B41,'Pre-Calculation'!$H$1:$L$32,4,FALSE)*'Pre-Calculation'!$D$7,0)</f>
        <v>420</v>
      </c>
      <c r="H41" s="175">
        <f>(E41-(F41+G41)*(1+Tax)+N40)</f>
        <v>281347.0065</v>
      </c>
      <c r="I41" s="175">
        <f>IF(B41&lt;PT+1,VLOOKUP(D41,'Pre-Calculation'!$N$3:$P$79,IF(INPUT!$C$4="M",2,3),FALSE)*(J41/1000)*(1/12),0)</f>
        <v>86.62762959</v>
      </c>
      <c r="J41" s="175">
        <f t="shared" si="3"/>
        <v>718652.9935</v>
      </c>
      <c r="K41" s="175">
        <f>IF('Pre-Calculation'!$D$17="Type 4 a",MAX(SA,H41,1.05*Q41),IF('Pre-Calculation'!$D$17="Type 4 c",H41,IF('Pre-Calculation'!$D$17="Type 4 d",SA+H41,IF('Pre-Calculation'!$D$17="Type 4 e",MAX(SA,H41),IF('Pre-Calculation'!$D$17="Type 4 f",SA,IF('Pre-Calculation'!$D$17="Type 4 g",1000+H41,IF('Pre-Calculation'!$D$17="Type 4 h",SA+X41,IF('Pre-Calculation'!$D$17="Type 4 i",MAX(H41,Q41),IF('Pre-Calculation'!$D$17="Type 4 k",MAX(H41,1.01*Q41),IF('Pre-Calculation'!$D$17="Type 4 m",MAX(105%*Q41,SA+H41),IF('Pre-Calculation'!$D$17="Type 4 o",MAX(SA,105%*Q41)+X41+Z41,IF('Pre-Calculation'!$D$17="Type 5",0))))))))))))</f>
        <v>1000000</v>
      </c>
      <c r="L41" s="175">
        <f>H41-I41*(1+Tax)</f>
        <v>281244.7859</v>
      </c>
      <c r="M41" s="175">
        <f>L41*(1+GROWTH_RATE_L)*(1-FMC*(1+Tax))</f>
        <v>281791.1371</v>
      </c>
      <c r="N41" s="175">
        <f>M41+IF(MOD(A41,B41)=0,VLOOKUP(B41,'Pre-Calculation'!$H$1:$L$31,5,FALSE),0)*IF('Pre-Calculation'!$D$16="% OF FV",M41,IF(OR('Pre-Calculation'!$D$16="% OF AFV(24M)",'Pre-Calculation'!$D$16="% OF AFV(8Q)"),AVERAGE( $M18:$M41),IF('Pre-Calculation'!$D$16="% OF AFV(12M)",AVERAGE($M30:M41),IF('Pre-Calculation'!$D$16="% OF AFV(36M)",AVERAGE($M$7:M41)))))</f>
        <v>281791.1371</v>
      </c>
      <c r="O41" s="175">
        <f t="shared" si="4"/>
        <v>281791.1371</v>
      </c>
      <c r="P41" s="175">
        <f>IF('Pre-Calculation'!$D$17="Type 4 a",MAX(SA,N41,1.05*Q41),IF('Pre-Calculation'!$D$17="Type 4 c",N41,IF('Pre-Calculation'!$D$17="Type 4 d",SA+N41,IF('Pre-Calculation'!$D$17="Type 4 e",MAX(SA,N41),IF('Pre-Calculation'!$D$17="Type 4 f",SA,IF('Pre-Calculation'!$D$17="Type 4 g",1000+N41,IF('Pre-Calculation'!$D$17="Type 4 h",SA+X41,IF('Pre-Calculation'!$D$17="Type 4 i",MAX(N41,Q41),IF('Pre-Calculation'!$D$17="Type 4 k",MAX(N41,1.01*Q41),IF('Pre-Calculation'!$D$17="Type 4 m",MAX(105%*Q41,SA+N41),IF('Pre-Calculation'!$D$17="Type 4 o",MAX(SA,105%*Q41)+X41+Z41,IF('Pre-Calculation'!$D$17="Type 5",0))))))))))))</f>
        <v>1000000</v>
      </c>
      <c r="Q41" s="175">
        <f t="shared" si="5"/>
        <v>900000</v>
      </c>
      <c r="R41" s="119">
        <f>L41*(1+GROWTH_RATE)*FMC</f>
        <v>318.262943</v>
      </c>
      <c r="S41" s="178">
        <f>S40*(1+'Pre-Calculation'!$E$27)</f>
        <v>718603.5807</v>
      </c>
      <c r="T41" s="175">
        <f>-E41+IF(A40=INPUT!$C$11*12,N41,0)</f>
        <v>0</v>
      </c>
      <c r="U41" s="175">
        <f t="shared" si="6"/>
        <v>310797.812</v>
      </c>
      <c r="V41" s="175">
        <f>U41*(1+GROWTH_RATE_L)*(1-'Pre-Calculation'!$E$31)</f>
        <v>311296.0097</v>
      </c>
      <c r="W41" s="175">
        <f>-E41+IF(A40=INPUT!$C$11*12,V41,0)</f>
        <v>0</v>
      </c>
      <c r="X41" s="179">
        <f t="array" ref="X41">NPV('Pre-Calculation'!$E$20,$E42:E$246)</f>
        <v>570187.887</v>
      </c>
      <c r="Y41" s="171">
        <f>10%*SA</f>
        <v>100000</v>
      </c>
      <c r="Z41" s="179">
        <f t="array" ref="Z41">NPV('Pre-Calculation'!$E$20,Y42:Y51)</f>
        <v>969592.8037</v>
      </c>
    </row>
    <row r="42" ht="15.75" customHeight="1">
      <c r="A42" s="171">
        <f t="shared" si="1"/>
        <v>36</v>
      </c>
      <c r="B42" s="171">
        <f t="shared" si="2"/>
        <v>3</v>
      </c>
      <c r="C42" s="176">
        <f>EDATE(RCD,A41)</f>
        <v>43615</v>
      </c>
      <c r="D42" s="171">
        <f>Age_At_Entry+'Cashflows_4% from Start'!B42-1</f>
        <v>37</v>
      </c>
      <c r="E42" s="175">
        <f>IF(AND(C42&lt;=Last_Prem,MOD(A41,Mode)=0),Mod_Prem,0)</f>
        <v>0</v>
      </c>
      <c r="F42" s="177">
        <f>IF(B42&lt;PT+1,E42*VLOOKUP(B42,'Pre-Calculation'!$H$1:$I$31,2,FALSE),0)</f>
        <v>0</v>
      </c>
      <c r="G42" s="177">
        <f>IF(B42&lt;PT+1,VLOOKUP(B42,'Pre-Calculation'!$H$1:$L$32,3,FALSE)+VLOOKUP(B42,'Pre-Calculation'!$H$1:$L$32,4,FALSE)*'Pre-Calculation'!$D$7,0)</f>
        <v>420</v>
      </c>
      <c r="H42" s="175">
        <f>(E42-(F42+G42)*(1+Tax)+N41)</f>
        <v>281295.5371</v>
      </c>
      <c r="I42" s="175">
        <f>IF(B42&lt;PT+1,VLOOKUP(D42,'Pre-Calculation'!$N$3:$P$79,IF(INPUT!$C$4="M",2,3),FALSE)*(J42/1000)*(1/12),0)</f>
        <v>86.6338338</v>
      </c>
      <c r="J42" s="175">
        <f t="shared" si="3"/>
        <v>718704.4629</v>
      </c>
      <c r="K42" s="175">
        <f>IF('Pre-Calculation'!$D$17="Type 4 a",MAX(SA,H42,1.05*Q42),IF('Pre-Calculation'!$D$17="Type 4 c",H42,IF('Pre-Calculation'!$D$17="Type 4 d",SA+H42,IF('Pre-Calculation'!$D$17="Type 4 e",MAX(SA,H42),IF('Pre-Calculation'!$D$17="Type 4 f",SA,IF('Pre-Calculation'!$D$17="Type 4 g",1000+H42,IF('Pre-Calculation'!$D$17="Type 4 h",SA+X42,IF('Pre-Calculation'!$D$17="Type 4 i",MAX(H42,Q42),IF('Pre-Calculation'!$D$17="Type 4 k",MAX(H42,1.01*Q42),IF('Pre-Calculation'!$D$17="Type 4 m",MAX(105%*Q42,SA+H42),IF('Pre-Calculation'!$D$17="Type 4 o",MAX(SA,105%*Q42)+X42+Z42,IF('Pre-Calculation'!$D$17="Type 5",0))))))))))))</f>
        <v>1000000</v>
      </c>
      <c r="L42" s="175">
        <f>H42-I42*(1+Tax)</f>
        <v>281193.3092</v>
      </c>
      <c r="M42" s="175">
        <f>L42*(1+GROWTH_RATE_L)*(1-FMC*(1+Tax))</f>
        <v>281739.5604</v>
      </c>
      <c r="N42" s="175">
        <f>M42+IF(MOD(A42,B42)=0,VLOOKUP(B42,'Pre-Calculation'!$H$1:$L$31,5,FALSE),0)*IF('Pre-Calculation'!$D$16="% OF FV",M42,IF(OR('Pre-Calculation'!$D$16="% OF AFV(24M)",'Pre-Calculation'!$D$16="% OF AFV(8Q)"),AVERAGE( $M19:$M42),IF('Pre-Calculation'!$D$16="% OF AFV(12M)",AVERAGE($M31:M42),IF('Pre-Calculation'!$D$16="% OF AFV(36M)",AVERAGE($M7:M42)))))</f>
        <v>281739.5604</v>
      </c>
      <c r="O42" s="175">
        <f t="shared" si="4"/>
        <v>281739.5604</v>
      </c>
      <c r="P42" s="175">
        <f>IF('Pre-Calculation'!$D$17="Type 4 a",MAX(SA,N42,1.05*Q42),IF('Pre-Calculation'!$D$17="Type 4 c",N42,IF('Pre-Calculation'!$D$17="Type 4 d",SA+N42,IF('Pre-Calculation'!$D$17="Type 4 e",MAX(SA,N42),IF('Pre-Calculation'!$D$17="Type 4 f",SA,IF('Pre-Calculation'!$D$17="Type 4 g",1000+N42,IF('Pre-Calculation'!$D$17="Type 4 h",SA+X42,IF('Pre-Calculation'!$D$17="Type 4 i",MAX(N42,Q42),IF('Pre-Calculation'!$D$17="Type 4 k",MAX(N42,1.01*Q42),IF('Pre-Calculation'!$D$17="Type 4 m",MAX(105%*Q42,SA+N42),IF('Pre-Calculation'!$D$17="Type 4 o",MAX(SA,105%*Q42)+X42+Z42,IF('Pre-Calculation'!$D$17="Type 5",0))))))))))))</f>
        <v>1000000</v>
      </c>
      <c r="Q42" s="175">
        <f t="shared" si="5"/>
        <v>900000</v>
      </c>
      <c r="R42" s="119">
        <f>L42*(1+GROWTH_RATE)*FMC</f>
        <v>318.2046908</v>
      </c>
      <c r="S42" s="178">
        <f>S41*(1+'Pre-Calculation'!$E$27)</f>
        <v>720666.6188</v>
      </c>
      <c r="T42" s="175">
        <f>-E42+IF(A41=INPUT!$C$11*12,N42,0)</f>
        <v>0</v>
      </c>
      <c r="U42" s="175">
        <f t="shared" si="6"/>
        <v>311296.0097</v>
      </c>
      <c r="V42" s="175">
        <f>U42*(1+GROWTH_RATE_L)*(1-'Pre-Calculation'!$E$31)</f>
        <v>311795.0059</v>
      </c>
      <c r="W42" s="175">
        <f>-E42+IF(A41=INPUT!$C$11*12,V42,0)</f>
        <v>0</v>
      </c>
      <c r="X42" s="179">
        <f t="array" ref="X42">NPV('Pre-Calculation'!$E$20,$E43:E$246)</f>
        <v>573411.8122</v>
      </c>
      <c r="Y42" s="171">
        <f>10%*SA</f>
        <v>100000</v>
      </c>
      <c r="Z42" s="179">
        <f t="array" ref="Z42">NPV('Pre-Calculation'!$E$20,Y43:Y52)</f>
        <v>969592.8037</v>
      </c>
    </row>
    <row r="43" ht="15.75" customHeight="1">
      <c r="A43" s="171">
        <f t="shared" si="1"/>
        <v>37</v>
      </c>
      <c r="B43" s="171">
        <f t="shared" si="2"/>
        <v>4</v>
      </c>
      <c r="C43" s="176">
        <f>EDATE(RCD,A42)</f>
        <v>43646</v>
      </c>
      <c r="D43" s="171">
        <f>Age_At_Entry+'Cashflows_4% from Start'!B43-1</f>
        <v>38</v>
      </c>
      <c r="E43" s="175">
        <f>IF(AND(C43&lt;=Last_Prem,MOD(A42,Mode)=0),Mod_Prem,0)</f>
        <v>100000</v>
      </c>
      <c r="F43" s="177">
        <f>IF(B43&lt;PT+1,E43*VLOOKUP(B43,'Pre-Calculation'!$H$1:$I$31,2,FALSE),0)</f>
        <v>0</v>
      </c>
      <c r="G43" s="177">
        <f>IF(B43&lt;PT+1,VLOOKUP(B43,'Pre-Calculation'!$H$1:$L$32,3,FALSE)+VLOOKUP(B43,'Pre-Calculation'!$H$1:$L$32,4,FALSE)*'Pre-Calculation'!$D$7,0)</f>
        <v>420</v>
      </c>
      <c r="H43" s="175">
        <f>(E43-(F43+G43)*(1+Tax)+N42)</f>
        <v>381243.9604</v>
      </c>
      <c r="I43" s="175">
        <f>IF(B43&lt;PT+1,VLOOKUP(D43,'Pre-Calculation'!$N$3:$P$79,IF(INPUT!$C$4="M",2,3),FALSE)*(J43/1000)*(1/12),0)</f>
        <v>86.32525878</v>
      </c>
      <c r="J43" s="175">
        <f t="shared" si="3"/>
        <v>668756.0396</v>
      </c>
      <c r="K43" s="175">
        <f>IF('Pre-Calculation'!$D$17="Type 4 a",MAX(SA,H43,1.05*Q43),IF('Pre-Calculation'!$D$17="Type 4 c",H43,IF('Pre-Calculation'!$D$17="Type 4 d",SA+H43,IF('Pre-Calculation'!$D$17="Type 4 e",MAX(SA,H43),IF('Pre-Calculation'!$D$17="Type 4 f",SA,IF('Pre-Calculation'!$D$17="Type 4 g",1000+H43,IF('Pre-Calculation'!$D$17="Type 4 h",SA+X43,IF('Pre-Calculation'!$D$17="Type 4 i",MAX(H43,Q43),IF('Pre-Calculation'!$D$17="Type 4 k",MAX(H43,1.01*Q43),IF('Pre-Calculation'!$D$17="Type 4 m",MAX(105%*Q43,SA+H43),IF('Pre-Calculation'!$D$17="Type 4 o",MAX(SA,105%*Q43)+X43+Z43,IF('Pre-Calculation'!$D$17="Type 5",0))))))))))))</f>
        <v>1050000</v>
      </c>
      <c r="L43" s="175">
        <f>H43-I43*(1+Tax)</f>
        <v>381142.0966</v>
      </c>
      <c r="M43" s="175">
        <f>L43*(1+GROWTH_RATE_L)*(1-FMC*(1+Tax))</f>
        <v>381882.5102</v>
      </c>
      <c r="N43" s="175">
        <f>M43+IF(MOD(A43,B43)=0,VLOOKUP(B43,'Pre-Calculation'!$H$1:$L$31,5,FALSE),0)*IF('Pre-Calculation'!$D$16="% OF FV",M43,IF(OR('Pre-Calculation'!$D$16="% OF AFV(24M)",'Pre-Calculation'!$D$16="% OF AFV(8Q)"),AVERAGE( $M20:$M43),IF('Pre-Calculation'!$D$16="% OF AFV(12M)",AVERAGE($M32:M43),IF('Pre-Calculation'!$D$16="% OF AFV(36M)",AVERAGE($M8:M43)))))</f>
        <v>381882.5102</v>
      </c>
      <c r="O43" s="175">
        <f t="shared" si="4"/>
        <v>381882.5102</v>
      </c>
      <c r="P43" s="175">
        <f>IF('Pre-Calculation'!$D$17="Type 4 a",MAX(SA,N43,1.05*Q43),IF('Pre-Calculation'!$D$17="Type 4 c",N43,IF('Pre-Calculation'!$D$17="Type 4 d",SA+N43,IF('Pre-Calculation'!$D$17="Type 4 e",MAX(SA,N43),IF('Pre-Calculation'!$D$17="Type 4 f",SA,IF('Pre-Calculation'!$D$17="Type 4 g",1000+N43,IF('Pre-Calculation'!$D$17="Type 4 h",SA+X43,IF('Pre-Calculation'!$D$17="Type 4 i",MAX(N43,Q43),IF('Pre-Calculation'!$D$17="Type 4 k",MAX(N43,1.01*Q43),IF('Pre-Calculation'!$D$17="Type 4 m",MAX(105%*Q43,SA+N43),IF('Pre-Calculation'!$D$17="Type 4 o",MAX(SA,105%*Q43)+X43+Z43,IF('Pre-Calculation'!$D$17="Type 5",0))))))))))))</f>
        <v>1050000</v>
      </c>
      <c r="Q43" s="175">
        <f t="shared" si="5"/>
        <v>1000000</v>
      </c>
      <c r="R43" s="119">
        <f>L43*(1+GROWTH_RATE)*FMC</f>
        <v>431.3089929</v>
      </c>
      <c r="S43" s="178">
        <f>S42*(1+'Pre-Calculation'!$E$27)</f>
        <v>722735.5796</v>
      </c>
      <c r="T43" s="175">
        <f>-E43+IF(A42=INPUT!$C$11*12,N43,0)</f>
        <v>-100000</v>
      </c>
      <c r="U43" s="175">
        <f t="shared" si="6"/>
        <v>411795.0059</v>
      </c>
      <c r="V43" s="175">
        <f>U43*(1+GROWTH_RATE_L)*(1-'Pre-Calculation'!$E$31)</f>
        <v>412455.0984</v>
      </c>
      <c r="W43" s="175">
        <f>-E43+IF(A42=INPUT!$C$11*12,V43,0)</f>
        <v>-100000</v>
      </c>
      <c r="X43" s="179">
        <f t="array" ref="X43">NPV('Pre-Calculation'!$E$20,$E44:E$246)</f>
        <v>476653.966</v>
      </c>
      <c r="Y43" s="171">
        <f>10%*SA</f>
        <v>100000</v>
      </c>
      <c r="Z43" s="179">
        <f t="array" ref="Z43">NPV('Pre-Calculation'!$E$20,Y44:Y53)</f>
        <v>969592.8037</v>
      </c>
    </row>
    <row r="44" ht="15.75" customHeight="1">
      <c r="A44" s="171">
        <f t="shared" si="1"/>
        <v>38</v>
      </c>
      <c r="B44" s="171">
        <f t="shared" si="2"/>
        <v>4</v>
      </c>
      <c r="C44" s="176">
        <f>EDATE(RCD,A43)</f>
        <v>43676</v>
      </c>
      <c r="D44" s="171">
        <f>Age_At_Entry+'Cashflows_4% from Start'!B44-1</f>
        <v>38</v>
      </c>
      <c r="E44" s="175">
        <f>IF(AND(C44&lt;=Last_Prem,MOD(A43,Mode)=0),Mod_Prem,0)</f>
        <v>0</v>
      </c>
      <c r="F44" s="177">
        <f>IF(B44&lt;PT+1,E44*VLOOKUP(B44,'Pre-Calculation'!$H$1:$I$31,2,FALSE),0)</f>
        <v>0</v>
      </c>
      <c r="G44" s="177">
        <f>IF(B44&lt;PT+1,VLOOKUP(B44,'Pre-Calculation'!$H$1:$L$32,3,FALSE)+VLOOKUP(B44,'Pre-Calculation'!$H$1:$L$32,4,FALSE)*'Pre-Calculation'!$D$7,0)</f>
        <v>420</v>
      </c>
      <c r="H44" s="175">
        <f>(E44-(F44+G44)*(1+Tax)+N43)</f>
        <v>381386.9102</v>
      </c>
      <c r="I44" s="175">
        <f>IF(B44&lt;PT+1,VLOOKUP(D44,'Pre-Calculation'!$N$3:$P$79,IF(INPUT!$C$4="M",2,3),FALSE)*(J44/1000)*(1/12),0)</f>
        <v>86.30680634</v>
      </c>
      <c r="J44" s="175">
        <f t="shared" si="3"/>
        <v>668613.0898</v>
      </c>
      <c r="K44" s="175">
        <f>IF('Pre-Calculation'!$D$17="Type 4 a",MAX(SA,H44,1.05*Q44),IF('Pre-Calculation'!$D$17="Type 4 c",H44,IF('Pre-Calculation'!$D$17="Type 4 d",SA+H44,IF('Pre-Calculation'!$D$17="Type 4 e",MAX(SA,H44),IF('Pre-Calculation'!$D$17="Type 4 f",SA,IF('Pre-Calculation'!$D$17="Type 4 g",1000+H44,IF('Pre-Calculation'!$D$17="Type 4 h",SA+X44,IF('Pre-Calculation'!$D$17="Type 4 i",MAX(H44,Q44),IF('Pre-Calculation'!$D$17="Type 4 k",MAX(H44,1.01*Q44),IF('Pre-Calculation'!$D$17="Type 4 m",MAX(105%*Q44,SA+H44),IF('Pre-Calculation'!$D$17="Type 4 o",MAX(SA,105%*Q44)+X44+Z44,IF('Pre-Calculation'!$D$17="Type 5",0))))))))))))</f>
        <v>1050000</v>
      </c>
      <c r="L44" s="175">
        <f>H44-I44*(1+Tax)</f>
        <v>381285.0682</v>
      </c>
      <c r="M44" s="175">
        <f>L44*(1+GROWTH_RATE_L)*(1-FMC*(1+Tax))</f>
        <v>382025.7595</v>
      </c>
      <c r="N44" s="175">
        <f>M44+IF(MOD(A44,B44)=0,VLOOKUP(B44,'Pre-Calculation'!$H$1:$L$31,5,FALSE),0)*IF('Pre-Calculation'!$D$16="% OF FV",M44,IF(OR('Pre-Calculation'!$D$16="% OF AFV(24M)",'Pre-Calculation'!$D$16="% OF AFV(8Q)"),AVERAGE( $M21:$M44),IF('Pre-Calculation'!$D$16="% OF AFV(12M)",AVERAGE($M33:M44),IF('Pre-Calculation'!$D$16="% OF AFV(36M)",AVERAGE($M9:M44)))))</f>
        <v>382025.7595</v>
      </c>
      <c r="O44" s="175">
        <f t="shared" si="4"/>
        <v>382025.7595</v>
      </c>
      <c r="P44" s="175">
        <f>IF('Pre-Calculation'!$D$17="Type 4 a",MAX(SA,N44,1.05*Q44),IF('Pre-Calculation'!$D$17="Type 4 c",N44,IF('Pre-Calculation'!$D$17="Type 4 d",SA+N44,IF('Pre-Calculation'!$D$17="Type 4 e",MAX(SA,N44),IF('Pre-Calculation'!$D$17="Type 4 f",SA,IF('Pre-Calculation'!$D$17="Type 4 g",1000+N44,IF('Pre-Calculation'!$D$17="Type 4 h",SA+X44,IF('Pre-Calculation'!$D$17="Type 4 i",MAX(N44,Q44),IF('Pre-Calculation'!$D$17="Type 4 k",MAX(N44,1.01*Q44),IF('Pre-Calculation'!$D$17="Type 4 m",MAX(105%*Q44,SA+N44),IF('Pre-Calculation'!$D$17="Type 4 o",MAX(SA,105%*Q44)+X44+Z44,IF('Pre-Calculation'!$D$17="Type 5",0))))))))))))</f>
        <v>1050000</v>
      </c>
      <c r="Q44" s="175">
        <f t="shared" si="5"/>
        <v>1000000</v>
      </c>
      <c r="R44" s="119">
        <f>L44*(1+GROWTH_RATE)*FMC</f>
        <v>431.4707827</v>
      </c>
      <c r="S44" s="178">
        <f>S43*(1+'Pre-Calculation'!$E$27)</f>
        <v>724810.4803</v>
      </c>
      <c r="T44" s="175">
        <f>-E44+IF(A43=INPUT!$C$11*12,N44,0)</f>
        <v>0</v>
      </c>
      <c r="U44" s="175">
        <f t="shared" si="6"/>
        <v>412455.0984</v>
      </c>
      <c r="V44" s="175">
        <f>U44*(1+GROWTH_RATE_L)*(1-'Pre-Calculation'!$E$31)</f>
        <v>413116.249</v>
      </c>
      <c r="W44" s="175">
        <f>-E44+IF(A43=INPUT!$C$11*12,V44,0)</f>
        <v>0</v>
      </c>
      <c r="X44" s="179">
        <f t="array" ref="X44">NPV('Pre-Calculation'!$E$20,$E45:E$246)</f>
        <v>479349.0368</v>
      </c>
      <c r="Y44" s="171">
        <f>10%*SA</f>
        <v>100000</v>
      </c>
      <c r="Z44" s="179">
        <f t="array" ref="Z44">NPV('Pre-Calculation'!$E$20,Y45:Y54)</f>
        <v>969592.8037</v>
      </c>
    </row>
    <row r="45" ht="15.75" customHeight="1">
      <c r="A45" s="171">
        <f t="shared" si="1"/>
        <v>39</v>
      </c>
      <c r="B45" s="171">
        <f t="shared" si="2"/>
        <v>4</v>
      </c>
      <c r="C45" s="176">
        <f>EDATE(RCD,A44)</f>
        <v>43707</v>
      </c>
      <c r="D45" s="171">
        <f>Age_At_Entry+'Cashflows_4% from Start'!B45-1</f>
        <v>38</v>
      </c>
      <c r="E45" s="175">
        <f>IF(AND(C45&lt;=Last_Prem,MOD(A44,Mode)=0),Mod_Prem,0)</f>
        <v>0</v>
      </c>
      <c r="F45" s="177">
        <f>IF(B45&lt;PT+1,E45*VLOOKUP(B45,'Pre-Calculation'!$H$1:$I$31,2,FALSE),0)</f>
        <v>0</v>
      </c>
      <c r="G45" s="177">
        <f>IF(B45&lt;PT+1,VLOOKUP(B45,'Pre-Calculation'!$H$1:$L$32,3,FALSE)+VLOOKUP(B45,'Pre-Calculation'!$H$1:$L$32,4,FALSE)*'Pre-Calculation'!$D$7,0)</f>
        <v>420</v>
      </c>
      <c r="H45" s="175">
        <f>(E45-(F45+G45)*(1+Tax)+N44)</f>
        <v>381530.1595</v>
      </c>
      <c r="I45" s="175">
        <f>IF(B45&lt;PT+1,VLOOKUP(D45,'Pre-Calculation'!$N$3:$P$79,IF(INPUT!$C$4="M",2,3),FALSE)*(J45/1000)*(1/12),0)</f>
        <v>86.28831525</v>
      </c>
      <c r="J45" s="175">
        <f t="shared" si="3"/>
        <v>668469.8405</v>
      </c>
      <c r="K45" s="175">
        <f>IF('Pre-Calculation'!$D$17="Type 4 a",MAX(SA,H45,1.05*Q45),IF('Pre-Calculation'!$D$17="Type 4 c",H45,IF('Pre-Calculation'!$D$17="Type 4 d",SA+H45,IF('Pre-Calculation'!$D$17="Type 4 e",MAX(SA,H45),IF('Pre-Calculation'!$D$17="Type 4 f",SA,IF('Pre-Calculation'!$D$17="Type 4 g",1000+H45,IF('Pre-Calculation'!$D$17="Type 4 h",SA+X45,IF('Pre-Calculation'!$D$17="Type 4 i",MAX(H45,Q45),IF('Pre-Calculation'!$D$17="Type 4 k",MAX(H45,1.01*Q45),IF('Pre-Calculation'!$D$17="Type 4 m",MAX(105%*Q45,SA+H45),IF('Pre-Calculation'!$D$17="Type 4 o",MAX(SA,105%*Q45)+X45+Z45,IF('Pre-Calculation'!$D$17="Type 5",0))))))))))))</f>
        <v>1050000</v>
      </c>
      <c r="L45" s="175">
        <f>H45-I45*(1+Tax)</f>
        <v>381428.3392</v>
      </c>
      <c r="M45" s="175">
        <f>L45*(1+GROWTH_RATE_L)*(1-FMC*(1+Tax))</f>
        <v>382169.3089</v>
      </c>
      <c r="N45" s="175">
        <f>M45+IF(MOD(A45,B45)=0,VLOOKUP(B45,'Pre-Calculation'!$H$1:$L$31,5,FALSE),0)*IF('Pre-Calculation'!$D$16="% OF FV",M45,IF(OR('Pre-Calculation'!$D$16="% OF AFV(24M)",'Pre-Calculation'!$D$16="% OF AFV(8Q)"),AVERAGE( $M22:$M45),IF('Pre-Calculation'!$D$16="% OF AFV(12M)",AVERAGE($M34:M45),IF('Pre-Calculation'!$D$16="% OF AFV(36M)",AVERAGE($M10:M45)))))</f>
        <v>382169.3089</v>
      </c>
      <c r="O45" s="175">
        <f t="shared" si="4"/>
        <v>382169.3089</v>
      </c>
      <c r="P45" s="175">
        <f>IF('Pre-Calculation'!$D$17="Type 4 a",MAX(SA,N45,1.05*Q45),IF('Pre-Calculation'!$D$17="Type 4 c",N45,IF('Pre-Calculation'!$D$17="Type 4 d",SA+N45,IF('Pre-Calculation'!$D$17="Type 4 e",MAX(SA,N45),IF('Pre-Calculation'!$D$17="Type 4 f",SA,IF('Pre-Calculation'!$D$17="Type 4 g",1000+N45,IF('Pre-Calculation'!$D$17="Type 4 h",SA+X45,IF('Pre-Calculation'!$D$17="Type 4 i",MAX(N45,Q45),IF('Pre-Calculation'!$D$17="Type 4 k",MAX(N45,1.01*Q45),IF('Pre-Calculation'!$D$17="Type 4 m",MAX(105%*Q45,SA+N45),IF('Pre-Calculation'!$D$17="Type 4 o",MAX(SA,105%*Q45)+X45+Z45,IF('Pre-Calculation'!$D$17="Type 5",0))))))))))))</f>
        <v>1050000</v>
      </c>
      <c r="Q45" s="175">
        <f t="shared" si="5"/>
        <v>1000000</v>
      </c>
      <c r="R45" s="119">
        <f>L45*(1+GROWTH_RATE)*FMC</f>
        <v>431.6329115</v>
      </c>
      <c r="S45" s="178">
        <f>S44*(1+'Pre-Calculation'!$E$27)</f>
        <v>726891.3378</v>
      </c>
      <c r="T45" s="175">
        <f>-E45+IF(A44=INPUT!$C$11*12,N45,0)</f>
        <v>0</v>
      </c>
      <c r="U45" s="175">
        <f t="shared" si="6"/>
        <v>413116.249</v>
      </c>
      <c r="V45" s="175">
        <f>U45*(1+GROWTH_RATE_L)*(1-'Pre-Calculation'!$E$31)</f>
        <v>413778.4594</v>
      </c>
      <c r="W45" s="175">
        <f>-E45+IF(A44=INPUT!$C$11*12,V45,0)</f>
        <v>0</v>
      </c>
      <c r="X45" s="179">
        <f t="array" ref="X45">NPV('Pre-Calculation'!$E$20,$E46:E$246)</f>
        <v>482059.3459</v>
      </c>
      <c r="Y45" s="171">
        <f>10%*SA</f>
        <v>100000</v>
      </c>
      <c r="Z45" s="179">
        <f t="array" ref="Z45">NPV('Pre-Calculation'!$E$20,Y46:Y55)</f>
        <v>969592.8037</v>
      </c>
    </row>
    <row r="46" ht="15.75" customHeight="1">
      <c r="A46" s="171">
        <f t="shared" si="1"/>
        <v>40</v>
      </c>
      <c r="B46" s="171">
        <f t="shared" si="2"/>
        <v>4</v>
      </c>
      <c r="C46" s="176">
        <f>EDATE(RCD,A45)</f>
        <v>43738</v>
      </c>
      <c r="D46" s="171">
        <f>Age_At_Entry+'Cashflows_4% from Start'!B46-1</f>
        <v>38</v>
      </c>
      <c r="E46" s="175">
        <f>IF(AND(C46&lt;=Last_Prem,MOD(A45,Mode)=0),Mod_Prem,0)</f>
        <v>0</v>
      </c>
      <c r="F46" s="177">
        <f>IF(B46&lt;PT+1,E46*VLOOKUP(B46,'Pre-Calculation'!$H$1:$I$31,2,FALSE),0)</f>
        <v>0</v>
      </c>
      <c r="G46" s="177">
        <f>IF(B46&lt;PT+1,VLOOKUP(B46,'Pre-Calculation'!$H$1:$L$32,3,FALSE)+VLOOKUP(B46,'Pre-Calculation'!$H$1:$L$32,4,FALSE)*'Pre-Calculation'!$D$7,0)</f>
        <v>420</v>
      </c>
      <c r="H46" s="175">
        <f>(E46-(F46+G46)*(1+Tax)+N45)</f>
        <v>381673.7089</v>
      </c>
      <c r="I46" s="175">
        <f>IF(B46&lt;PT+1,VLOOKUP(D46,'Pre-Calculation'!$N$3:$P$79,IF(INPUT!$C$4="M",2,3),FALSE)*(J46/1000)*(1/12),0)</f>
        <v>86.26978541</v>
      </c>
      <c r="J46" s="175">
        <f t="shared" si="3"/>
        <v>668326.2911</v>
      </c>
      <c r="K46" s="175">
        <f>IF('Pre-Calculation'!$D$17="Type 4 a",MAX(SA,H46,1.05*Q46),IF('Pre-Calculation'!$D$17="Type 4 c",H46,IF('Pre-Calculation'!$D$17="Type 4 d",SA+H46,IF('Pre-Calculation'!$D$17="Type 4 e",MAX(SA,H46),IF('Pre-Calculation'!$D$17="Type 4 f",SA,IF('Pre-Calculation'!$D$17="Type 4 g",1000+H46,IF('Pre-Calculation'!$D$17="Type 4 h",SA+X46,IF('Pre-Calculation'!$D$17="Type 4 i",MAX(H46,Q46),IF('Pre-Calculation'!$D$17="Type 4 k",MAX(H46,1.01*Q46),IF('Pre-Calculation'!$D$17="Type 4 m",MAX(105%*Q46,SA+H46),IF('Pre-Calculation'!$D$17="Type 4 o",MAX(SA,105%*Q46)+X46+Z46,IF('Pre-Calculation'!$D$17="Type 5",0))))))))))))</f>
        <v>1050000</v>
      </c>
      <c r="L46" s="175">
        <f>H46-I46*(1+Tax)</f>
        <v>381571.9105</v>
      </c>
      <c r="M46" s="175">
        <f>L46*(1+GROWTH_RATE_L)*(1-FMC*(1+Tax))</f>
        <v>382313.159</v>
      </c>
      <c r="N46" s="175">
        <f>M46+IF(MOD(A46,B46)=0,VLOOKUP(B46,'Pre-Calculation'!$H$1:$L$31,5,FALSE),0)*IF('Pre-Calculation'!$D$16="% OF FV",M46,IF(OR('Pre-Calculation'!$D$16="% OF AFV(24M)",'Pre-Calculation'!$D$16="% OF AFV(8Q)"),AVERAGE( $M23:$M46),IF('Pre-Calculation'!$D$16="% OF AFV(12M)",AVERAGE($M35:M46),IF('Pre-Calculation'!$D$16="% OF AFV(36M)",AVERAGE($M11:M46)))))</f>
        <v>382313.159</v>
      </c>
      <c r="O46" s="175">
        <f t="shared" si="4"/>
        <v>382313.159</v>
      </c>
      <c r="P46" s="175">
        <f>IF('Pre-Calculation'!$D$17="Type 4 a",MAX(SA,N46,1.05*Q46),IF('Pre-Calculation'!$D$17="Type 4 c",N46,IF('Pre-Calculation'!$D$17="Type 4 d",SA+N46,IF('Pre-Calculation'!$D$17="Type 4 e",MAX(SA,N46),IF('Pre-Calculation'!$D$17="Type 4 f",SA,IF('Pre-Calculation'!$D$17="Type 4 g",1000+N46,IF('Pre-Calculation'!$D$17="Type 4 h",SA+X46,IF('Pre-Calculation'!$D$17="Type 4 i",MAX(N46,Q46),IF('Pre-Calculation'!$D$17="Type 4 k",MAX(N46,1.01*Q46),IF('Pre-Calculation'!$D$17="Type 4 m",MAX(105%*Q46,SA+N46),IF('Pre-Calculation'!$D$17="Type 4 o",MAX(SA,105%*Q46)+X46+Z46,IF('Pre-Calculation'!$D$17="Type 5",0))))))))))))</f>
        <v>1050000</v>
      </c>
      <c r="Q46" s="175">
        <f t="shared" si="5"/>
        <v>1000000</v>
      </c>
      <c r="R46" s="119">
        <f>L46*(1+GROWTH_RATE)*FMC</f>
        <v>431.79538</v>
      </c>
      <c r="S46" s="178">
        <f>S45*(1+'Pre-Calculation'!$E$27)</f>
        <v>728978.1692</v>
      </c>
      <c r="T46" s="175">
        <f>-E46+IF(A45=INPUT!$C$11*12,N46,0)</f>
        <v>0</v>
      </c>
      <c r="U46" s="175">
        <f t="shared" si="6"/>
        <v>413778.4594</v>
      </c>
      <c r="V46" s="175">
        <f>U46*(1+GROWTH_RATE_L)*(1-'Pre-Calculation'!$E$31)</f>
        <v>414441.7313</v>
      </c>
      <c r="W46" s="175">
        <f>-E46+IF(A45=INPUT!$C$11*12,V46,0)</f>
        <v>0</v>
      </c>
      <c r="X46" s="179">
        <f t="array" ref="X46">NPV('Pre-Calculation'!$E$20,$E47:E$246)</f>
        <v>484784.9796</v>
      </c>
      <c r="Y46" s="171">
        <f>10%*SA</f>
        <v>100000</v>
      </c>
      <c r="Z46" s="179">
        <f t="array" ref="Z46">NPV('Pre-Calculation'!$E$20,Y47:Y56)</f>
        <v>969592.8037</v>
      </c>
    </row>
    <row r="47" ht="15.75" customHeight="1">
      <c r="A47" s="171">
        <f t="shared" si="1"/>
        <v>41</v>
      </c>
      <c r="B47" s="171">
        <f t="shared" si="2"/>
        <v>4</v>
      </c>
      <c r="C47" s="176">
        <f>EDATE(RCD,A46)</f>
        <v>43768</v>
      </c>
      <c r="D47" s="171">
        <f>Age_At_Entry+'Cashflows_4% from Start'!B47-1</f>
        <v>38</v>
      </c>
      <c r="E47" s="175">
        <f>IF(AND(C47&lt;=Last_Prem,MOD(A46,Mode)=0),Mod_Prem,0)</f>
        <v>0</v>
      </c>
      <c r="F47" s="177">
        <f>IF(B47&lt;PT+1,E47*VLOOKUP(B47,'Pre-Calculation'!$H$1:$I$31,2,FALSE),0)</f>
        <v>0</v>
      </c>
      <c r="G47" s="177">
        <f>IF(B47&lt;PT+1,VLOOKUP(B47,'Pre-Calculation'!$H$1:$L$32,3,FALSE)+VLOOKUP(B47,'Pre-Calculation'!$H$1:$L$32,4,FALSE)*'Pre-Calculation'!$D$7,0)</f>
        <v>420</v>
      </c>
      <c r="H47" s="175">
        <f>(E47-(F47+G47)*(1+Tax)+N46)</f>
        <v>381817.559</v>
      </c>
      <c r="I47" s="175">
        <f>IF(B47&lt;PT+1,VLOOKUP(D47,'Pre-Calculation'!$N$3:$P$79,IF(INPUT!$C$4="M",2,3),FALSE)*(J47/1000)*(1/12),0)</f>
        <v>86.25121675</v>
      </c>
      <c r="J47" s="175">
        <f t="shared" si="3"/>
        <v>668182.441</v>
      </c>
      <c r="K47" s="175">
        <f>IF('Pre-Calculation'!$D$17="Type 4 a",MAX(SA,H47,1.05*Q47),IF('Pre-Calculation'!$D$17="Type 4 c",H47,IF('Pre-Calculation'!$D$17="Type 4 d",SA+H47,IF('Pre-Calculation'!$D$17="Type 4 e",MAX(SA,H47),IF('Pre-Calculation'!$D$17="Type 4 f",SA,IF('Pre-Calculation'!$D$17="Type 4 g",1000+H47,IF('Pre-Calculation'!$D$17="Type 4 h",SA+X47,IF('Pre-Calculation'!$D$17="Type 4 i",MAX(H47,Q47),IF('Pre-Calculation'!$D$17="Type 4 k",MAX(H47,1.01*Q47),IF('Pre-Calculation'!$D$17="Type 4 m",MAX(105%*Q47,SA+H47),IF('Pre-Calculation'!$D$17="Type 4 o",MAX(SA,105%*Q47)+X47+Z47,IF('Pre-Calculation'!$D$17="Type 5",0))))))))))))</f>
        <v>1050000</v>
      </c>
      <c r="L47" s="175">
        <f>H47-I47*(1+Tax)</f>
        <v>381715.7826</v>
      </c>
      <c r="M47" s="175">
        <f>L47*(1+GROWTH_RATE_L)*(1-FMC*(1+Tax))</f>
        <v>382457.3106</v>
      </c>
      <c r="N47" s="175">
        <f>M47+IF(MOD(A47,B47)=0,VLOOKUP(B47,'Pre-Calculation'!$H$1:$L$31,5,FALSE),0)*IF('Pre-Calculation'!$D$16="% OF FV",M47,IF(OR('Pre-Calculation'!$D$16="% OF AFV(24M)",'Pre-Calculation'!$D$16="% OF AFV(8Q)"),AVERAGE( $M24:$M47),IF('Pre-Calculation'!$D$16="% OF AFV(12M)",AVERAGE($M36:M47),IF('Pre-Calculation'!$D$16="% OF AFV(36M)",AVERAGE($M12:M47)))))</f>
        <v>382457.3106</v>
      </c>
      <c r="O47" s="175">
        <f t="shared" si="4"/>
        <v>382457.3106</v>
      </c>
      <c r="P47" s="175">
        <f>IF('Pre-Calculation'!$D$17="Type 4 a",MAX(SA,N47,1.05*Q47),IF('Pre-Calculation'!$D$17="Type 4 c",N47,IF('Pre-Calculation'!$D$17="Type 4 d",SA+N47,IF('Pre-Calculation'!$D$17="Type 4 e",MAX(SA,N47),IF('Pre-Calculation'!$D$17="Type 4 f",SA,IF('Pre-Calculation'!$D$17="Type 4 g",1000+N47,IF('Pre-Calculation'!$D$17="Type 4 h",SA+X47,IF('Pre-Calculation'!$D$17="Type 4 i",MAX(N47,Q47),IF('Pre-Calculation'!$D$17="Type 4 k",MAX(N47,1.01*Q47),IF('Pre-Calculation'!$D$17="Type 4 m",MAX(105%*Q47,SA+N47),IF('Pre-Calculation'!$D$17="Type 4 o",MAX(SA,105%*Q47)+X47+Z47,IF('Pre-Calculation'!$D$17="Type 5",0))))))))))))</f>
        <v>1050000</v>
      </c>
      <c r="Q47" s="175">
        <f t="shared" si="5"/>
        <v>1000000</v>
      </c>
      <c r="R47" s="119">
        <f>L47*(1+GROWTH_RATE)*FMC</f>
        <v>431.9581889</v>
      </c>
      <c r="S47" s="178">
        <f>S46*(1+'Pre-Calculation'!$E$27)</f>
        <v>731070.9917</v>
      </c>
      <c r="T47" s="175">
        <f>-E47+IF(A46=INPUT!$C$11*12,N47,0)</f>
        <v>0</v>
      </c>
      <c r="U47" s="175">
        <f t="shared" si="6"/>
        <v>414441.7313</v>
      </c>
      <c r="V47" s="175">
        <f>U47*(1+GROWTH_RATE_L)*(1-'Pre-Calculation'!$E$31)</f>
        <v>415106.0664</v>
      </c>
      <c r="W47" s="175">
        <f>-E47+IF(A46=INPUT!$C$11*12,V47,0)</f>
        <v>0</v>
      </c>
      <c r="X47" s="179">
        <f t="array" ref="X47">NPV('Pre-Calculation'!$E$20,$E48:E$246)</f>
        <v>487526.0243</v>
      </c>
      <c r="Y47" s="171">
        <f>10%*SA</f>
        <v>100000</v>
      </c>
      <c r="Z47" s="179">
        <f t="array" ref="Z47">NPV('Pre-Calculation'!$E$20,Y48:Y57)</f>
        <v>969592.8037</v>
      </c>
    </row>
    <row r="48" ht="15.75" customHeight="1">
      <c r="A48" s="171">
        <f t="shared" si="1"/>
        <v>42</v>
      </c>
      <c r="B48" s="171">
        <f t="shared" si="2"/>
        <v>4</v>
      </c>
      <c r="C48" s="176">
        <f>EDATE(RCD,A47)</f>
        <v>43799</v>
      </c>
      <c r="D48" s="171">
        <f>Age_At_Entry+'Cashflows_4% from Start'!B48-1</f>
        <v>38</v>
      </c>
      <c r="E48" s="175">
        <f>IF(AND(C48&lt;=Last_Prem,MOD(A47,Mode)=0),Mod_Prem,0)</f>
        <v>0</v>
      </c>
      <c r="F48" s="177">
        <f>IF(B48&lt;PT+1,E48*VLOOKUP(B48,'Pre-Calculation'!$H$1:$I$31,2,FALSE),0)</f>
        <v>0</v>
      </c>
      <c r="G48" s="177">
        <f>IF(B48&lt;PT+1,VLOOKUP(B48,'Pre-Calculation'!$H$1:$L$32,3,FALSE)+VLOOKUP(B48,'Pre-Calculation'!$H$1:$L$32,4,FALSE)*'Pre-Calculation'!$D$7,0)</f>
        <v>420</v>
      </c>
      <c r="H48" s="175">
        <f>(E48-(F48+G48)*(1+Tax)+N47)</f>
        <v>381961.7106</v>
      </c>
      <c r="I48" s="175">
        <f>IF(B48&lt;PT+1,VLOOKUP(D48,'Pre-Calculation'!$N$3:$P$79,IF(INPUT!$C$4="M",2,3),FALSE)*(J48/1000)*(1/12),0)</f>
        <v>86.23260919</v>
      </c>
      <c r="J48" s="175">
        <f t="shared" si="3"/>
        <v>668038.2894</v>
      </c>
      <c r="K48" s="175">
        <f>IF('Pre-Calculation'!$D$17="Type 4 a",MAX(SA,H48,1.05*Q48),IF('Pre-Calculation'!$D$17="Type 4 c",H48,IF('Pre-Calculation'!$D$17="Type 4 d",SA+H48,IF('Pre-Calculation'!$D$17="Type 4 e",MAX(SA,H48),IF('Pre-Calculation'!$D$17="Type 4 f",SA,IF('Pre-Calculation'!$D$17="Type 4 g",1000+H48,IF('Pre-Calculation'!$D$17="Type 4 h",SA+X48,IF('Pre-Calculation'!$D$17="Type 4 i",MAX(H48,Q48),IF('Pre-Calculation'!$D$17="Type 4 k",MAX(H48,1.01*Q48),IF('Pre-Calculation'!$D$17="Type 4 m",MAX(105%*Q48,SA+H48),IF('Pre-Calculation'!$D$17="Type 4 o",MAX(SA,105%*Q48)+X48+Z48,IF('Pre-Calculation'!$D$17="Type 5",0))))))))))))</f>
        <v>1050000</v>
      </c>
      <c r="L48" s="175">
        <f>H48-I48*(1+Tax)</f>
        <v>381859.9561</v>
      </c>
      <c r="M48" s="175">
        <f>L48*(1+GROWTH_RATE_L)*(1-FMC*(1+Tax))</f>
        <v>382601.7642</v>
      </c>
      <c r="N48" s="175">
        <f>M48+IF(MOD(A48,B48)=0,VLOOKUP(B48,'Pre-Calculation'!$H$1:$L$31,5,FALSE),0)*IF('Pre-Calculation'!$D$16="% OF FV",M48,IF(OR('Pre-Calculation'!$D$16="% OF AFV(24M)",'Pre-Calculation'!$D$16="% OF AFV(8Q)"),AVERAGE( $M25:$M48),IF('Pre-Calculation'!$D$16="% OF AFV(12M)",AVERAGE($M37:M48),IF('Pre-Calculation'!$D$16="% OF AFV(36M)",AVERAGE($M13:M48)))))</f>
        <v>382601.7642</v>
      </c>
      <c r="O48" s="175">
        <f t="shared" si="4"/>
        <v>382601.7642</v>
      </c>
      <c r="P48" s="175">
        <f>IF('Pre-Calculation'!$D$17="Type 4 a",MAX(SA,N48,1.05*Q48),IF('Pre-Calculation'!$D$17="Type 4 c",N48,IF('Pre-Calculation'!$D$17="Type 4 d",SA+N48,IF('Pre-Calculation'!$D$17="Type 4 e",MAX(SA,N48),IF('Pre-Calculation'!$D$17="Type 4 f",SA,IF('Pre-Calculation'!$D$17="Type 4 g",1000+N48,IF('Pre-Calculation'!$D$17="Type 4 h",SA+X48,IF('Pre-Calculation'!$D$17="Type 4 i",MAX(N48,Q48),IF('Pre-Calculation'!$D$17="Type 4 k",MAX(N48,1.01*Q48),IF('Pre-Calculation'!$D$17="Type 4 m",MAX(105%*Q48,SA+N48),IF('Pre-Calculation'!$D$17="Type 4 o",MAX(SA,105%*Q48)+X48+Z48,IF('Pre-Calculation'!$D$17="Type 5",0))))))))))))</f>
        <v>1050000</v>
      </c>
      <c r="Q48" s="175">
        <f t="shared" si="5"/>
        <v>1000000</v>
      </c>
      <c r="R48" s="119">
        <f>L48*(1+GROWTH_RATE)*FMC</f>
        <v>432.1213389</v>
      </c>
      <c r="S48" s="178">
        <f>S47*(1+'Pre-Calculation'!$E$27)</f>
        <v>733169.8224</v>
      </c>
      <c r="T48" s="175">
        <f>-E48+IF(A47=INPUT!$C$11*12,N48,0)</f>
        <v>0</v>
      </c>
      <c r="U48" s="175">
        <f t="shared" si="6"/>
        <v>415106.0664</v>
      </c>
      <c r="V48" s="175">
        <f>U48*(1+GROWTH_RATE_L)*(1-'Pre-Calculation'!$E$31)</f>
        <v>415771.4664</v>
      </c>
      <c r="W48" s="175">
        <f>-E48+IF(A47=INPUT!$C$11*12,V48,0)</f>
        <v>0</v>
      </c>
      <c r="X48" s="179">
        <f t="array" ref="X48">NPV('Pre-Calculation'!$E$20,$E49:E$246)</f>
        <v>490282.5674</v>
      </c>
      <c r="Y48" s="171">
        <f>10%*SA</f>
        <v>100000</v>
      </c>
      <c r="Z48" s="179">
        <f t="array" ref="Z48">NPV('Pre-Calculation'!$E$20,Y49:Y58)</f>
        <v>969592.8037</v>
      </c>
    </row>
    <row r="49" ht="15.75" customHeight="1">
      <c r="A49" s="171">
        <f t="shared" si="1"/>
        <v>43</v>
      </c>
      <c r="B49" s="171">
        <f t="shared" si="2"/>
        <v>4</v>
      </c>
      <c r="C49" s="176">
        <f>EDATE(RCD,A48)</f>
        <v>43829</v>
      </c>
      <c r="D49" s="171">
        <f>Age_At_Entry+'Cashflows_4% from Start'!B49-1</f>
        <v>38</v>
      </c>
      <c r="E49" s="175">
        <f>IF(AND(C49&lt;=Last_Prem,MOD(A48,Mode)=0),Mod_Prem,0)</f>
        <v>0</v>
      </c>
      <c r="F49" s="177">
        <f>IF(B49&lt;PT+1,E49*VLOOKUP(B49,'Pre-Calculation'!$H$1:$I$31,2,FALSE),0)</f>
        <v>0</v>
      </c>
      <c r="G49" s="177">
        <f>IF(B49&lt;PT+1,VLOOKUP(B49,'Pre-Calculation'!$H$1:$L$32,3,FALSE)+VLOOKUP(B49,'Pre-Calculation'!$H$1:$L$32,4,FALSE)*'Pre-Calculation'!$D$7,0)</f>
        <v>420</v>
      </c>
      <c r="H49" s="175">
        <f>(E49-(F49+G49)*(1+Tax)+N48)</f>
        <v>382106.1642</v>
      </c>
      <c r="I49" s="175">
        <f>IF(B49&lt;PT+1,VLOOKUP(D49,'Pre-Calculation'!$N$3:$P$79,IF(INPUT!$C$4="M",2,3),FALSE)*(J49/1000)*(1/12),0)</f>
        <v>86.21396263</v>
      </c>
      <c r="J49" s="175">
        <f t="shared" si="3"/>
        <v>667893.8358</v>
      </c>
      <c r="K49" s="175">
        <f>IF('Pre-Calculation'!$D$17="Type 4 a",MAX(SA,H49,1.05*Q49),IF('Pre-Calculation'!$D$17="Type 4 c",H49,IF('Pre-Calculation'!$D$17="Type 4 d",SA+H49,IF('Pre-Calculation'!$D$17="Type 4 e",MAX(SA,H49),IF('Pre-Calculation'!$D$17="Type 4 f",SA,IF('Pre-Calculation'!$D$17="Type 4 g",1000+H49,IF('Pre-Calculation'!$D$17="Type 4 h",SA+X49,IF('Pre-Calculation'!$D$17="Type 4 i",MAX(H49,Q49),IF('Pre-Calculation'!$D$17="Type 4 k",MAX(H49,1.01*Q49),IF('Pre-Calculation'!$D$17="Type 4 m",MAX(105%*Q49,SA+H49),IF('Pre-Calculation'!$D$17="Type 4 o",MAX(SA,105%*Q49)+X49+Z49,IF('Pre-Calculation'!$D$17="Type 5",0))))))))))))</f>
        <v>1050000</v>
      </c>
      <c r="L49" s="175">
        <f>H49-I49*(1+Tax)</f>
        <v>382004.4318</v>
      </c>
      <c r="M49" s="175">
        <f>L49*(1+GROWTH_RATE_L)*(1-FMC*(1+Tax))</f>
        <v>382746.5205</v>
      </c>
      <c r="N49" s="175">
        <f>M49+IF(MOD(A49,B49)=0,VLOOKUP(B49,'Pre-Calculation'!$H$1:$L$31,5,FALSE),0)*IF('Pre-Calculation'!$D$16="% OF FV",M49,IF(OR('Pre-Calculation'!$D$16="% OF AFV(24M)",'Pre-Calculation'!$D$16="% OF AFV(8Q)"),AVERAGE( $M26:$M49),IF('Pre-Calculation'!$D$16="% OF AFV(12M)",AVERAGE($M38:M49),IF('Pre-Calculation'!$D$16="% OF AFV(36M)",AVERAGE($M14:M49)))))</f>
        <v>382746.5205</v>
      </c>
      <c r="O49" s="175">
        <f t="shared" si="4"/>
        <v>382746.5205</v>
      </c>
      <c r="P49" s="175">
        <f>IF('Pre-Calculation'!$D$17="Type 4 a",MAX(SA,N49,1.05*Q49),IF('Pre-Calculation'!$D$17="Type 4 c",N49,IF('Pre-Calculation'!$D$17="Type 4 d",SA+N49,IF('Pre-Calculation'!$D$17="Type 4 e",MAX(SA,N49),IF('Pre-Calculation'!$D$17="Type 4 f",SA,IF('Pre-Calculation'!$D$17="Type 4 g",1000+N49,IF('Pre-Calculation'!$D$17="Type 4 h",SA+X49,IF('Pre-Calculation'!$D$17="Type 4 i",MAX(N49,Q49),IF('Pre-Calculation'!$D$17="Type 4 k",MAX(N49,1.01*Q49),IF('Pre-Calculation'!$D$17="Type 4 m",MAX(105%*Q49,SA+N49),IF('Pre-Calculation'!$D$17="Type 4 o",MAX(SA,105%*Q49)+X49+Z49,IF('Pre-Calculation'!$D$17="Type 5",0))))))))))))</f>
        <v>1050000</v>
      </c>
      <c r="Q49" s="175">
        <f t="shared" si="5"/>
        <v>1000000</v>
      </c>
      <c r="R49" s="119">
        <f>L49*(1+GROWTH_RATE)*FMC</f>
        <v>432.2848308</v>
      </c>
      <c r="S49" s="178">
        <f>S48*(1+'Pre-Calculation'!$E$27)</f>
        <v>735274.6787</v>
      </c>
      <c r="T49" s="175">
        <f>-E49+IF(A48=INPUT!$C$11*12,N49,0)</f>
        <v>0</v>
      </c>
      <c r="U49" s="175">
        <f t="shared" si="6"/>
        <v>415771.4664</v>
      </c>
      <c r="V49" s="175">
        <f>U49*(1+GROWTH_RATE_L)*(1-'Pre-Calculation'!$E$31)</f>
        <v>416437.933</v>
      </c>
      <c r="W49" s="175">
        <f>-E49+IF(A48=INPUT!$C$11*12,V49,0)</f>
        <v>0</v>
      </c>
      <c r="X49" s="179">
        <f t="array" ref="X49">NPV('Pre-Calculation'!$E$20,$E50:E$246)</f>
        <v>493054.6963</v>
      </c>
      <c r="Y49" s="171">
        <f>10%*SA</f>
        <v>100000</v>
      </c>
      <c r="Z49" s="179">
        <f t="array" ref="Z49">NPV('Pre-Calculation'!$E$20,Y50:Y59)</f>
        <v>969592.8037</v>
      </c>
    </row>
    <row r="50" ht="15.75" customHeight="1">
      <c r="A50" s="171">
        <f t="shared" si="1"/>
        <v>44</v>
      </c>
      <c r="B50" s="171">
        <f t="shared" si="2"/>
        <v>4</v>
      </c>
      <c r="C50" s="176">
        <f>EDATE(RCD,A49)</f>
        <v>43860</v>
      </c>
      <c r="D50" s="171">
        <f>Age_At_Entry+'Cashflows_4% from Start'!B50-1</f>
        <v>38</v>
      </c>
      <c r="E50" s="175">
        <f>IF(AND(C50&lt;=Last_Prem,MOD(A49,Mode)=0),Mod_Prem,0)</f>
        <v>0</v>
      </c>
      <c r="F50" s="177">
        <f>IF(B50&lt;PT+1,E50*VLOOKUP(B50,'Pre-Calculation'!$H$1:$I$31,2,FALSE),0)</f>
        <v>0</v>
      </c>
      <c r="G50" s="177">
        <f>IF(B50&lt;PT+1,VLOOKUP(B50,'Pre-Calculation'!$H$1:$L$32,3,FALSE)+VLOOKUP(B50,'Pre-Calculation'!$H$1:$L$32,4,FALSE)*'Pre-Calculation'!$D$7,0)</f>
        <v>420</v>
      </c>
      <c r="H50" s="175">
        <f>(E50-(F50+G50)*(1+Tax)+N49)</f>
        <v>382250.9205</v>
      </c>
      <c r="I50" s="175">
        <f>IF(B50&lt;PT+1,VLOOKUP(D50,'Pre-Calculation'!$N$3:$P$79,IF(INPUT!$C$4="M",2,3),FALSE)*(J50/1000)*(1/12),0)</f>
        <v>86.19527701</v>
      </c>
      <c r="J50" s="175">
        <f t="shared" si="3"/>
        <v>667749.0795</v>
      </c>
      <c r="K50" s="175">
        <f>IF('Pre-Calculation'!$D$17="Type 4 a",MAX(SA,H50,1.05*Q50),IF('Pre-Calculation'!$D$17="Type 4 c",H50,IF('Pre-Calculation'!$D$17="Type 4 d",SA+H50,IF('Pre-Calculation'!$D$17="Type 4 e",MAX(SA,H50),IF('Pre-Calculation'!$D$17="Type 4 f",SA,IF('Pre-Calculation'!$D$17="Type 4 g",1000+H50,IF('Pre-Calculation'!$D$17="Type 4 h",SA+X50,IF('Pre-Calculation'!$D$17="Type 4 i",MAX(H50,Q50),IF('Pre-Calculation'!$D$17="Type 4 k",MAX(H50,1.01*Q50),IF('Pre-Calculation'!$D$17="Type 4 m",MAX(105%*Q50,SA+H50),IF('Pre-Calculation'!$D$17="Type 4 o",MAX(SA,105%*Q50)+X50+Z50,IF('Pre-Calculation'!$D$17="Type 5",0))))))))))))</f>
        <v>1050000</v>
      </c>
      <c r="L50" s="175">
        <f>H50-I50*(1+Tax)</f>
        <v>382149.2101</v>
      </c>
      <c r="M50" s="175">
        <f>L50*(1+GROWTH_RATE_L)*(1-FMC*(1+Tax))</f>
        <v>382891.5801</v>
      </c>
      <c r="N50" s="175">
        <f>M50+IF(MOD(A50,B50)=0,VLOOKUP(B50,'Pre-Calculation'!$H$1:$L$31,5,FALSE),0)*IF('Pre-Calculation'!$D$16="% OF FV",M50,IF(OR('Pre-Calculation'!$D$16="% OF AFV(24M)",'Pre-Calculation'!$D$16="% OF AFV(8Q)"),AVERAGE( $M27:$M50),IF('Pre-Calculation'!$D$16="% OF AFV(12M)",AVERAGE($M39:M50),IF('Pre-Calculation'!$D$16="% OF AFV(36M)",AVERAGE($M15:M50)))))</f>
        <v>382891.5801</v>
      </c>
      <c r="O50" s="175">
        <f t="shared" si="4"/>
        <v>382891.5801</v>
      </c>
      <c r="P50" s="175">
        <f>IF('Pre-Calculation'!$D$17="Type 4 a",MAX(SA,N50,1.05*Q50),IF('Pre-Calculation'!$D$17="Type 4 c",N50,IF('Pre-Calculation'!$D$17="Type 4 d",SA+N50,IF('Pre-Calculation'!$D$17="Type 4 e",MAX(SA,N50),IF('Pre-Calculation'!$D$17="Type 4 f",SA,IF('Pre-Calculation'!$D$17="Type 4 g",1000+N50,IF('Pre-Calculation'!$D$17="Type 4 h",SA+X50,IF('Pre-Calculation'!$D$17="Type 4 i",MAX(N50,Q50),IF('Pre-Calculation'!$D$17="Type 4 k",MAX(N50,1.01*Q50),IF('Pre-Calculation'!$D$17="Type 4 m",MAX(105%*Q50,SA+N50),IF('Pre-Calculation'!$D$17="Type 4 o",MAX(SA,105%*Q50)+X50+Z50,IF('Pre-Calculation'!$D$17="Type 5",0))))))))))))</f>
        <v>1050000</v>
      </c>
      <c r="Q50" s="175">
        <f t="shared" si="5"/>
        <v>1000000</v>
      </c>
      <c r="R50" s="119">
        <f>L50*(1+GROWTH_RATE)*FMC</f>
        <v>432.4486652</v>
      </c>
      <c r="S50" s="178">
        <f>S49*(1+'Pre-Calculation'!$E$27)</f>
        <v>737385.5779</v>
      </c>
      <c r="T50" s="175">
        <f>-E50+IF(A49=INPUT!$C$11*12,N50,0)</f>
        <v>0</v>
      </c>
      <c r="U50" s="175">
        <f t="shared" si="6"/>
        <v>416437.933</v>
      </c>
      <c r="V50" s="175">
        <f>U50*(1+GROWTH_RATE_L)*(1-'Pre-Calculation'!$E$31)</f>
        <v>417105.4679</v>
      </c>
      <c r="W50" s="175">
        <f>-E50+IF(A49=INPUT!$C$11*12,V50,0)</f>
        <v>0</v>
      </c>
      <c r="X50" s="179">
        <f t="array" ref="X50">NPV('Pre-Calculation'!$E$20,$E51:E$246)</f>
        <v>495842.4992</v>
      </c>
      <c r="Y50" s="171">
        <f>10%*SA</f>
        <v>100000</v>
      </c>
      <c r="Z50" s="179">
        <f t="array" ref="Z50">NPV('Pre-Calculation'!$E$20,Y51:Y60)</f>
        <v>969592.8037</v>
      </c>
    </row>
    <row r="51" ht="15.75" customHeight="1">
      <c r="A51" s="171">
        <f t="shared" si="1"/>
        <v>45</v>
      </c>
      <c r="B51" s="171">
        <f t="shared" si="2"/>
        <v>4</v>
      </c>
      <c r="C51" s="176">
        <f>EDATE(RCD,A50)</f>
        <v>43890</v>
      </c>
      <c r="D51" s="171">
        <f>Age_At_Entry+'Cashflows_4% from Start'!B51-1</f>
        <v>38</v>
      </c>
      <c r="E51" s="175">
        <f>IF(AND(C51&lt;=Last_Prem,MOD(A50,Mode)=0),Mod_Prem,0)</f>
        <v>0</v>
      </c>
      <c r="F51" s="177">
        <f>IF(B51&lt;PT+1,E51*VLOOKUP(B51,'Pre-Calculation'!$H$1:$I$31,2,FALSE),0)</f>
        <v>0</v>
      </c>
      <c r="G51" s="177">
        <f>IF(B51&lt;PT+1,VLOOKUP(B51,'Pre-Calculation'!$H$1:$L$32,3,FALSE)+VLOOKUP(B51,'Pre-Calculation'!$H$1:$L$32,4,FALSE)*'Pre-Calculation'!$D$7,0)</f>
        <v>420</v>
      </c>
      <c r="H51" s="175">
        <f>(E51-(F51+G51)*(1+Tax)+N50)</f>
        <v>382395.9801</v>
      </c>
      <c r="I51" s="175">
        <f>IF(B51&lt;PT+1,VLOOKUP(D51,'Pre-Calculation'!$N$3:$P$79,IF(INPUT!$C$4="M",2,3),FALSE)*(J51/1000)*(1/12),0)</f>
        <v>86.17655224</v>
      </c>
      <c r="J51" s="175">
        <f t="shared" si="3"/>
        <v>667604.0199</v>
      </c>
      <c r="K51" s="175">
        <f>IF('Pre-Calculation'!$D$17="Type 4 a",MAX(SA,H51,1.05*Q51),IF('Pre-Calculation'!$D$17="Type 4 c",H51,IF('Pre-Calculation'!$D$17="Type 4 d",SA+H51,IF('Pre-Calculation'!$D$17="Type 4 e",MAX(SA,H51),IF('Pre-Calculation'!$D$17="Type 4 f",SA,IF('Pre-Calculation'!$D$17="Type 4 g",1000+H51,IF('Pre-Calculation'!$D$17="Type 4 h",SA+X51,IF('Pre-Calculation'!$D$17="Type 4 i",MAX(H51,Q51),IF('Pre-Calculation'!$D$17="Type 4 k",MAX(H51,1.01*Q51),IF('Pre-Calculation'!$D$17="Type 4 m",MAX(105%*Q51,SA+H51),IF('Pre-Calculation'!$D$17="Type 4 o",MAX(SA,105%*Q51)+X51+Z51,IF('Pre-Calculation'!$D$17="Type 5",0))))))))))))</f>
        <v>1050000</v>
      </c>
      <c r="L51" s="175">
        <f>H51-I51*(1+Tax)</f>
        <v>382294.2918</v>
      </c>
      <c r="M51" s="175">
        <f>L51*(1+GROWTH_RATE_L)*(1-FMC*(1+Tax))</f>
        <v>383036.9436</v>
      </c>
      <c r="N51" s="175">
        <f>M51+IF(MOD(A51,B51)=0,VLOOKUP(B51,'Pre-Calculation'!$H$1:$L$31,5,FALSE),0)*IF('Pre-Calculation'!$D$16="% OF FV",M51,IF(OR('Pre-Calculation'!$D$16="% OF AFV(24M)",'Pre-Calculation'!$D$16="% OF AFV(8Q)"),AVERAGE( $M28:$M51),IF('Pre-Calculation'!$D$16="% OF AFV(12M)",AVERAGE($M40:M51),IF('Pre-Calculation'!$D$16="% OF AFV(36M)",AVERAGE($M16:M51)))))</f>
        <v>383036.9436</v>
      </c>
      <c r="O51" s="175">
        <f t="shared" si="4"/>
        <v>383036.9436</v>
      </c>
      <c r="P51" s="175">
        <f>IF('Pre-Calculation'!$D$17="Type 4 a",MAX(SA,N51,1.05*Q51),IF('Pre-Calculation'!$D$17="Type 4 c",N51,IF('Pre-Calculation'!$D$17="Type 4 d",SA+N51,IF('Pre-Calculation'!$D$17="Type 4 e",MAX(SA,N51),IF('Pre-Calculation'!$D$17="Type 4 f",SA,IF('Pre-Calculation'!$D$17="Type 4 g",1000+N51,IF('Pre-Calculation'!$D$17="Type 4 h",SA+X51,IF('Pre-Calculation'!$D$17="Type 4 i",MAX(N51,Q51),IF('Pre-Calculation'!$D$17="Type 4 k",MAX(N51,1.01*Q51),IF('Pre-Calculation'!$D$17="Type 4 m",MAX(105%*Q51,SA+N51),IF('Pre-Calculation'!$D$17="Type 4 o",MAX(SA,105%*Q51)+X51+Z51,IF('Pre-Calculation'!$D$17="Type 5",0))))))))))))</f>
        <v>1050000</v>
      </c>
      <c r="Q51" s="175">
        <f t="shared" si="5"/>
        <v>1000000</v>
      </c>
      <c r="R51" s="119">
        <f>L51*(1+GROWTH_RATE)*FMC</f>
        <v>432.6128429</v>
      </c>
      <c r="S51" s="178">
        <f>S50*(1+'Pre-Calculation'!$E$27)</f>
        <v>739502.5372</v>
      </c>
      <c r="T51" s="175">
        <f>-E51+IF(A50=INPUT!$C$11*12,N51,0)</f>
        <v>0</v>
      </c>
      <c r="U51" s="175">
        <f t="shared" si="6"/>
        <v>417105.4679</v>
      </c>
      <c r="V51" s="175">
        <f>U51*(1+GROWTH_RATE_L)*(1-'Pre-Calculation'!$E$31)</f>
        <v>417774.0729</v>
      </c>
      <c r="W51" s="175">
        <f>-E51+IF(A50=INPUT!$C$11*12,V51,0)</f>
        <v>0</v>
      </c>
      <c r="X51" s="179">
        <f t="array" ref="X51">NPV('Pre-Calculation'!$E$20,$E52:E$246)</f>
        <v>498646.0648</v>
      </c>
      <c r="Y51" s="171">
        <f>10%*SA</f>
        <v>100000</v>
      </c>
      <c r="Z51" s="179">
        <f t="array" ref="Z51">NPV('Pre-Calculation'!$E$20,Y52:Y61)</f>
        <v>969592.8037</v>
      </c>
    </row>
    <row r="52" ht="15.75" customHeight="1">
      <c r="A52" s="171">
        <f t="shared" si="1"/>
        <v>46</v>
      </c>
      <c r="B52" s="171">
        <f t="shared" si="2"/>
        <v>4</v>
      </c>
      <c r="C52" s="176">
        <f>EDATE(RCD,A51)</f>
        <v>43920</v>
      </c>
      <c r="D52" s="171">
        <f>Age_At_Entry+'Cashflows_4% from Start'!B52-1</f>
        <v>38</v>
      </c>
      <c r="E52" s="175">
        <f>IF(AND(C52&lt;=Last_Prem,MOD(A51,Mode)=0),Mod_Prem,0)</f>
        <v>0</v>
      </c>
      <c r="F52" s="177">
        <f>IF(B52&lt;PT+1,E52*VLOOKUP(B52,'Pre-Calculation'!$H$1:$I$31,2,FALSE),0)</f>
        <v>0</v>
      </c>
      <c r="G52" s="177">
        <f>IF(B52&lt;PT+1,VLOOKUP(B52,'Pre-Calculation'!$H$1:$L$32,3,FALSE)+VLOOKUP(B52,'Pre-Calculation'!$H$1:$L$32,4,FALSE)*'Pre-Calculation'!$D$7,0)</f>
        <v>420</v>
      </c>
      <c r="H52" s="175">
        <f>(E52-(F52+G52)*(1+Tax)+N51)</f>
        <v>382541.3436</v>
      </c>
      <c r="I52" s="175">
        <f>IF(B52&lt;PT+1,VLOOKUP(D52,'Pre-Calculation'!$N$3:$P$79,IF(INPUT!$C$4="M",2,3),FALSE)*(J52/1000)*(1/12),0)</f>
        <v>86.15778823</v>
      </c>
      <c r="J52" s="175">
        <f t="shared" si="3"/>
        <v>667458.6564</v>
      </c>
      <c r="K52" s="175">
        <f>IF('Pre-Calculation'!$D$17="Type 4 a",MAX(SA,H52,1.05*Q52),IF('Pre-Calculation'!$D$17="Type 4 c",H52,IF('Pre-Calculation'!$D$17="Type 4 d",SA+H52,IF('Pre-Calculation'!$D$17="Type 4 e",MAX(SA,H52),IF('Pre-Calculation'!$D$17="Type 4 f",SA,IF('Pre-Calculation'!$D$17="Type 4 g",1000+H52,IF('Pre-Calculation'!$D$17="Type 4 h",SA+X52,IF('Pre-Calculation'!$D$17="Type 4 i",MAX(H52,Q52),IF('Pre-Calculation'!$D$17="Type 4 k",MAX(H52,1.01*Q52),IF('Pre-Calculation'!$D$17="Type 4 m",MAX(105%*Q52,SA+H52),IF('Pre-Calculation'!$D$17="Type 4 o",MAX(SA,105%*Q52)+X52+Z52,IF('Pre-Calculation'!$D$17="Type 5",0))))))))))))</f>
        <v>1050000</v>
      </c>
      <c r="L52" s="175">
        <f>H52-I52*(1+Tax)</f>
        <v>382439.6774</v>
      </c>
      <c r="M52" s="175">
        <f>L52*(1+GROWTH_RATE_L)*(1-FMC*(1+Tax))</f>
        <v>383182.6117</v>
      </c>
      <c r="N52" s="175">
        <f>M52+IF(MOD(A52,B52)=0,VLOOKUP(B52,'Pre-Calculation'!$H$1:$L$31,5,FALSE),0)*IF('Pre-Calculation'!$D$16="% OF FV",M52,IF(OR('Pre-Calculation'!$D$16="% OF AFV(24M)",'Pre-Calculation'!$D$16="% OF AFV(8Q)"),AVERAGE( $M29:$M52),IF('Pre-Calculation'!$D$16="% OF AFV(12M)",AVERAGE($M41:M52),IF('Pre-Calculation'!$D$16="% OF AFV(36M)",AVERAGE($M17:M52)))))</f>
        <v>383182.6117</v>
      </c>
      <c r="O52" s="175">
        <f t="shared" si="4"/>
        <v>383182.6117</v>
      </c>
      <c r="P52" s="175">
        <f>IF('Pre-Calculation'!$D$17="Type 4 a",MAX(SA,N52,1.05*Q52),IF('Pre-Calculation'!$D$17="Type 4 c",N52,IF('Pre-Calculation'!$D$17="Type 4 d",SA+N52,IF('Pre-Calculation'!$D$17="Type 4 e",MAX(SA,N52),IF('Pre-Calculation'!$D$17="Type 4 f",SA,IF('Pre-Calculation'!$D$17="Type 4 g",1000+N52,IF('Pre-Calculation'!$D$17="Type 4 h",SA+X52,IF('Pre-Calculation'!$D$17="Type 4 i",MAX(N52,Q52),IF('Pre-Calculation'!$D$17="Type 4 k",MAX(N52,1.01*Q52),IF('Pre-Calculation'!$D$17="Type 4 m",MAX(105%*Q52,SA+N52),IF('Pre-Calculation'!$D$17="Type 4 o",MAX(SA,105%*Q52)+X52+Z52,IF('Pre-Calculation'!$D$17="Type 5",0))))))))))))</f>
        <v>1050000</v>
      </c>
      <c r="Q52" s="175">
        <f t="shared" si="5"/>
        <v>1000000</v>
      </c>
      <c r="R52" s="119">
        <f>L52*(1+GROWTH_RATE)*FMC</f>
        <v>432.7773646</v>
      </c>
      <c r="S52" s="178">
        <f>S51*(1+'Pre-Calculation'!$E$27)</f>
        <v>741625.5741</v>
      </c>
      <c r="T52" s="175">
        <f>-E52+IF(A51=INPUT!$C$11*12,N52,0)</f>
        <v>0</v>
      </c>
      <c r="U52" s="175">
        <f t="shared" si="6"/>
        <v>417774.0729</v>
      </c>
      <c r="V52" s="175">
        <f>U52*(1+GROWTH_RATE_L)*(1-'Pre-Calculation'!$E$31)</f>
        <v>418443.7496</v>
      </c>
      <c r="W52" s="175">
        <f>-E52+IF(A51=INPUT!$C$11*12,V52,0)</f>
        <v>0</v>
      </c>
      <c r="X52" s="179">
        <f t="array" ref="X52">NPV('Pre-Calculation'!$E$20,$E53:E$246)</f>
        <v>501465.4821</v>
      </c>
      <c r="Y52" s="171">
        <f>10%*SA</f>
        <v>100000</v>
      </c>
      <c r="Z52" s="179">
        <f t="array" ref="Z52">NPV('Pre-Calculation'!$E$20,Y53:Y62)</f>
        <v>969592.8037</v>
      </c>
    </row>
    <row r="53" ht="15.75" customHeight="1">
      <c r="A53" s="171">
        <f t="shared" si="1"/>
        <v>47</v>
      </c>
      <c r="B53" s="171">
        <f t="shared" si="2"/>
        <v>4</v>
      </c>
      <c r="C53" s="176">
        <f>EDATE(RCD,A52)</f>
        <v>43951</v>
      </c>
      <c r="D53" s="171">
        <f>Age_At_Entry+'Cashflows_4% from Start'!B53-1</f>
        <v>38</v>
      </c>
      <c r="E53" s="175">
        <f>IF(AND(C53&lt;=Last_Prem,MOD(A52,Mode)=0),Mod_Prem,0)</f>
        <v>0</v>
      </c>
      <c r="F53" s="177">
        <f>IF(B53&lt;PT+1,E53*VLOOKUP(B53,'Pre-Calculation'!$H$1:$I$31,2,FALSE),0)</f>
        <v>0</v>
      </c>
      <c r="G53" s="177">
        <f>IF(B53&lt;PT+1,VLOOKUP(B53,'Pre-Calculation'!$H$1:$L$32,3,FALSE)+VLOOKUP(B53,'Pre-Calculation'!$H$1:$L$32,4,FALSE)*'Pre-Calculation'!$D$7,0)</f>
        <v>420</v>
      </c>
      <c r="H53" s="175">
        <f>(E53-(F53+G53)*(1+Tax)+N52)</f>
        <v>382687.0117</v>
      </c>
      <c r="I53" s="175">
        <f>IF(B53&lt;PT+1,VLOOKUP(D53,'Pre-Calculation'!$N$3:$P$79,IF(INPUT!$C$4="M",2,3),FALSE)*(J53/1000)*(1/12),0)</f>
        <v>86.13898491</v>
      </c>
      <c r="J53" s="175">
        <f t="shared" si="3"/>
        <v>667312.9883</v>
      </c>
      <c r="K53" s="175">
        <f>IF('Pre-Calculation'!$D$17="Type 4 a",MAX(SA,H53,1.05*Q53),IF('Pre-Calculation'!$D$17="Type 4 c",H53,IF('Pre-Calculation'!$D$17="Type 4 d",SA+H53,IF('Pre-Calculation'!$D$17="Type 4 e",MAX(SA,H53),IF('Pre-Calculation'!$D$17="Type 4 f",SA,IF('Pre-Calculation'!$D$17="Type 4 g",1000+H53,IF('Pre-Calculation'!$D$17="Type 4 h",SA+X53,IF('Pre-Calculation'!$D$17="Type 4 i",MAX(H53,Q53),IF('Pre-Calculation'!$D$17="Type 4 k",MAX(H53,1.01*Q53),IF('Pre-Calculation'!$D$17="Type 4 m",MAX(105%*Q53,SA+H53),IF('Pre-Calculation'!$D$17="Type 4 o",MAX(SA,105%*Q53)+X53+Z53,IF('Pre-Calculation'!$D$17="Type 5",0))))))))))))</f>
        <v>1050000</v>
      </c>
      <c r="L53" s="175">
        <f>H53-I53*(1+Tax)</f>
        <v>382585.3677</v>
      </c>
      <c r="M53" s="175">
        <f>L53*(1+GROWTH_RATE_L)*(1-FMC*(1+Tax))</f>
        <v>383328.585</v>
      </c>
      <c r="N53" s="175">
        <f>M53+IF(MOD(A53,B53)=0,VLOOKUP(B53,'Pre-Calculation'!$H$1:$L$31,5,FALSE),0)*IF('Pre-Calculation'!$D$16="% OF FV",M53,IF(OR('Pre-Calculation'!$D$16="% OF AFV(24M)",'Pre-Calculation'!$D$16="% OF AFV(8Q)"),AVERAGE( $M30:$M53),IF('Pre-Calculation'!$D$16="% OF AFV(12M)",AVERAGE($M42:M53),IF('Pre-Calculation'!$D$16="% OF AFV(36M)",AVERAGE($M18:M53)))))</f>
        <v>383328.585</v>
      </c>
      <c r="O53" s="175">
        <f t="shared" si="4"/>
        <v>383328.585</v>
      </c>
      <c r="P53" s="175">
        <f>IF('Pre-Calculation'!$D$17="Type 4 a",MAX(SA,N53,1.05*Q53),IF('Pre-Calculation'!$D$17="Type 4 c",N53,IF('Pre-Calculation'!$D$17="Type 4 d",SA+N53,IF('Pre-Calculation'!$D$17="Type 4 e",MAX(SA,N53),IF('Pre-Calculation'!$D$17="Type 4 f",SA,IF('Pre-Calculation'!$D$17="Type 4 g",1000+N53,IF('Pre-Calculation'!$D$17="Type 4 h",SA+X53,IF('Pre-Calculation'!$D$17="Type 4 i",MAX(N53,Q53),IF('Pre-Calculation'!$D$17="Type 4 k",MAX(N53,1.01*Q53),IF('Pre-Calculation'!$D$17="Type 4 m",MAX(105%*Q53,SA+N53),IF('Pre-Calculation'!$D$17="Type 4 o",MAX(SA,105%*Q53)+X53+Z53,IF('Pre-Calculation'!$D$17="Type 5",0))))))))))))</f>
        <v>1050000</v>
      </c>
      <c r="Q53" s="175">
        <f t="shared" si="5"/>
        <v>1000000</v>
      </c>
      <c r="R53" s="119">
        <f>L53*(1+GROWTH_RATE)*FMC</f>
        <v>432.942231</v>
      </c>
      <c r="S53" s="178">
        <f>S52*(1+'Pre-Calculation'!$E$27)</f>
        <v>743754.706</v>
      </c>
      <c r="T53" s="175">
        <f>-E53+IF(A52=INPUT!$C$11*12,N53,0)</f>
        <v>0</v>
      </c>
      <c r="U53" s="175">
        <f t="shared" si="6"/>
        <v>418443.7496</v>
      </c>
      <c r="V53" s="175">
        <f>U53*(1+GROWTH_RATE_L)*(1-'Pre-Calculation'!$E$31)</f>
        <v>419114.4998</v>
      </c>
      <c r="W53" s="175">
        <f>-E53+IF(A52=INPUT!$C$11*12,V53,0)</f>
        <v>0</v>
      </c>
      <c r="X53" s="179">
        <f t="array" ref="X53">NPV('Pre-Calculation'!$E$20,$E54:E$246)</f>
        <v>504300.8409</v>
      </c>
      <c r="Y53" s="171">
        <f>10%*SA</f>
        <v>100000</v>
      </c>
      <c r="Z53" s="179">
        <f t="array" ref="Z53">NPV('Pre-Calculation'!$E$20,Y54:Y63)</f>
        <v>969592.8037</v>
      </c>
    </row>
    <row r="54" ht="15.75" customHeight="1">
      <c r="A54" s="171">
        <f t="shared" si="1"/>
        <v>48</v>
      </c>
      <c r="B54" s="171">
        <f t="shared" si="2"/>
        <v>4</v>
      </c>
      <c r="C54" s="176">
        <f>EDATE(RCD,A53)</f>
        <v>43981</v>
      </c>
      <c r="D54" s="171">
        <f>Age_At_Entry+'Cashflows_4% from Start'!B54-1</f>
        <v>38</v>
      </c>
      <c r="E54" s="175">
        <f>IF(AND(C54&lt;=Last_Prem,MOD(A53,Mode)=0),Mod_Prem,0)</f>
        <v>0</v>
      </c>
      <c r="F54" s="177">
        <f>IF(B54&lt;PT+1,E54*VLOOKUP(B54,'Pre-Calculation'!$H$1:$I$31,2,FALSE),0)</f>
        <v>0</v>
      </c>
      <c r="G54" s="177">
        <f>IF(B54&lt;PT+1,VLOOKUP(B54,'Pre-Calculation'!$H$1:$L$32,3,FALSE)+VLOOKUP(B54,'Pre-Calculation'!$H$1:$L$32,4,FALSE)*'Pre-Calculation'!$D$7,0)</f>
        <v>420</v>
      </c>
      <c r="H54" s="175">
        <f>(E54-(F54+G54)*(1+Tax)+N53)</f>
        <v>382832.985</v>
      </c>
      <c r="I54" s="175">
        <f>IF(B54&lt;PT+1,VLOOKUP(D54,'Pre-Calculation'!$N$3:$P$79,IF(INPUT!$C$4="M",2,3),FALSE)*(J54/1000)*(1/12),0)</f>
        <v>86.12014219</v>
      </c>
      <c r="J54" s="175">
        <f t="shared" si="3"/>
        <v>667167.015</v>
      </c>
      <c r="K54" s="175">
        <f>IF('Pre-Calculation'!$D$17="Type 4 a",MAX(SA,H54,1.05*Q54),IF('Pre-Calculation'!$D$17="Type 4 c",H54,IF('Pre-Calculation'!$D$17="Type 4 d",SA+H54,IF('Pre-Calculation'!$D$17="Type 4 e",MAX(SA,H54),IF('Pre-Calculation'!$D$17="Type 4 f",SA,IF('Pre-Calculation'!$D$17="Type 4 g",1000+H54,IF('Pre-Calculation'!$D$17="Type 4 h",SA+X54,IF('Pre-Calculation'!$D$17="Type 4 i",MAX(H54,Q54),IF('Pre-Calculation'!$D$17="Type 4 k",MAX(H54,1.01*Q54),IF('Pre-Calculation'!$D$17="Type 4 m",MAX(105%*Q54,SA+H54),IF('Pre-Calculation'!$D$17="Type 4 o",MAX(SA,105%*Q54)+X54+Z54,IF('Pre-Calculation'!$D$17="Type 5",0))))))))))))</f>
        <v>1050000</v>
      </c>
      <c r="L54" s="175">
        <f>H54-I54*(1+Tax)</f>
        <v>382731.3632</v>
      </c>
      <c r="M54" s="175">
        <f>L54*(1+GROWTH_RATE_L)*(1-FMC*(1+Tax))</f>
        <v>383474.8641</v>
      </c>
      <c r="N54" s="175">
        <f>M54+IF(MOD(A54,B54)=0,VLOOKUP(B54,'Pre-Calculation'!$H$1:$L$31,5,FALSE),0)*IF('Pre-Calculation'!$D$16="% OF FV",M54,IF(OR('Pre-Calculation'!$D$16="% OF AFV(24M)",'Pre-Calculation'!$D$16="% OF AFV(8Q)"),AVERAGE( $M31:$M54),IF('Pre-Calculation'!$D$16="% OF AFV(12M)",AVERAGE($M43:M54),IF('Pre-Calculation'!$D$16="% OF AFV(36M)",AVERAGE($M19:M54)))))</f>
        <v>383474.8641</v>
      </c>
      <c r="O54" s="175">
        <f t="shared" si="4"/>
        <v>383474.8641</v>
      </c>
      <c r="P54" s="175">
        <f>IF('Pre-Calculation'!$D$17="Type 4 a",MAX(SA,N54,1.05*Q54),IF('Pre-Calculation'!$D$17="Type 4 c",N54,IF('Pre-Calculation'!$D$17="Type 4 d",SA+N54,IF('Pre-Calculation'!$D$17="Type 4 e",MAX(SA,N54),IF('Pre-Calculation'!$D$17="Type 4 f",SA,IF('Pre-Calculation'!$D$17="Type 4 g",1000+N54,IF('Pre-Calculation'!$D$17="Type 4 h",SA+X54,IF('Pre-Calculation'!$D$17="Type 4 i",MAX(N54,Q54),IF('Pre-Calculation'!$D$17="Type 4 k",MAX(N54,1.01*Q54),IF('Pre-Calculation'!$D$17="Type 4 m",MAX(105%*Q54,SA+N54),IF('Pre-Calculation'!$D$17="Type 4 o",MAX(SA,105%*Q54)+X54+Z54,IF('Pre-Calculation'!$D$17="Type 5",0))))))))))))</f>
        <v>1050000</v>
      </c>
      <c r="Q54" s="175">
        <f t="shared" si="5"/>
        <v>1000000</v>
      </c>
      <c r="R54" s="119">
        <f>L54*(1+GROWTH_RATE)*FMC</f>
        <v>433.1074428</v>
      </c>
      <c r="S54" s="178">
        <f>S53*(1+'Pre-Calculation'!$E$27)</f>
        <v>745889.9504</v>
      </c>
      <c r="T54" s="175">
        <f>-E54+IF(A53=INPUT!$C$11*12,N54,0)</f>
        <v>0</v>
      </c>
      <c r="U54" s="175">
        <f t="shared" si="6"/>
        <v>419114.4998</v>
      </c>
      <c r="V54" s="175">
        <f>U54*(1+GROWTH_RATE_L)*(1-'Pre-Calculation'!$E$31)</f>
        <v>419786.3252</v>
      </c>
      <c r="W54" s="175">
        <f>-E54+IF(A53=INPUT!$C$11*12,V54,0)</f>
        <v>0</v>
      </c>
      <c r="X54" s="179">
        <f t="array" ref="X54">NPV('Pre-Calculation'!$E$20,$E55:E$246)</f>
        <v>507152.2311</v>
      </c>
      <c r="Y54" s="171">
        <f>10%*SA</f>
        <v>100000</v>
      </c>
      <c r="Z54" s="179">
        <f t="array" ref="Z54">NPV('Pre-Calculation'!$E$20,Y55:Y64)</f>
        <v>969592.8037</v>
      </c>
    </row>
    <row r="55" ht="15.75" customHeight="1">
      <c r="A55" s="171">
        <f t="shared" si="1"/>
        <v>49</v>
      </c>
      <c r="B55" s="171">
        <f t="shared" si="2"/>
        <v>5</v>
      </c>
      <c r="C55" s="176">
        <f>EDATE(RCD,A54)</f>
        <v>44012</v>
      </c>
      <c r="D55" s="171">
        <f>Age_At_Entry+'Cashflows_4% from Start'!B55-1</f>
        <v>39</v>
      </c>
      <c r="E55" s="175">
        <f>IF(AND(C55&lt;=Last_Prem,MOD(A54,Mode)=0),Mod_Prem,0)</f>
        <v>100000</v>
      </c>
      <c r="F55" s="177">
        <f>IF(B55&lt;PT+1,E55*VLOOKUP(B55,'Pre-Calculation'!$H$1:$I$31,2,FALSE),0)</f>
        <v>0</v>
      </c>
      <c r="G55" s="177">
        <f>IF(B55&lt;PT+1,VLOOKUP(B55,'Pre-Calculation'!$H$1:$L$32,3,FALSE)+VLOOKUP(B55,'Pre-Calculation'!$H$1:$L$32,4,FALSE)*'Pre-Calculation'!$D$7,0)</f>
        <v>420</v>
      </c>
      <c r="H55" s="175">
        <f>(E55-(F55+G55)*(1+Tax)+N54)</f>
        <v>482979.2641</v>
      </c>
      <c r="I55" s="175">
        <f>IF(B55&lt;PT+1,VLOOKUP(D55,'Pre-Calculation'!$N$3:$P$79,IF(INPUT!$C$4="M",2,3),FALSE)*(J55/1000)*(1/12),0)</f>
        <v>93.35488056</v>
      </c>
      <c r="J55" s="175">
        <f t="shared" si="3"/>
        <v>672020.7359</v>
      </c>
      <c r="K55" s="175">
        <f>IF('Pre-Calculation'!$D$17="Type 4 a",MAX(SA,H55,1.05*Q55),IF('Pre-Calculation'!$D$17="Type 4 c",H55,IF('Pre-Calculation'!$D$17="Type 4 d",SA+H55,IF('Pre-Calculation'!$D$17="Type 4 e",MAX(SA,H55),IF('Pre-Calculation'!$D$17="Type 4 f",SA,IF('Pre-Calculation'!$D$17="Type 4 g",1000+H55,IF('Pre-Calculation'!$D$17="Type 4 h",SA+X55,IF('Pre-Calculation'!$D$17="Type 4 i",MAX(H55,Q55),IF('Pre-Calculation'!$D$17="Type 4 k",MAX(H55,1.01*Q55),IF('Pre-Calculation'!$D$17="Type 4 m",MAX(105%*Q55,SA+H55),IF('Pre-Calculation'!$D$17="Type 4 o",MAX(SA,105%*Q55)+X55+Z55,IF('Pre-Calculation'!$D$17="Type 5",0))))))))))))</f>
        <v>1155000</v>
      </c>
      <c r="L55" s="175">
        <f>H55-I55*(1+Tax)</f>
        <v>482869.1053</v>
      </c>
      <c r="M55" s="175">
        <f>L55*(1+GROWTH_RATE_L)*(1-FMC*(1+Tax))</f>
        <v>483807.1356</v>
      </c>
      <c r="N55" s="175">
        <f>M55+IF(MOD(A55,B55)=0,VLOOKUP(B55,'Pre-Calculation'!$H$1:$L$31,5,FALSE),0)*IF('Pre-Calculation'!$D$16="% OF FV",M55,IF(OR('Pre-Calculation'!$D$16="% OF AFV(24M)",'Pre-Calculation'!$D$16="% OF AFV(8Q)"),AVERAGE( $M32:$M55),IF('Pre-Calculation'!$D$16="% OF AFV(12M)",AVERAGE($M44:M55),IF('Pre-Calculation'!$D$16="% OF AFV(36M)",AVERAGE($M20:M55)))))</f>
        <v>483807.1356</v>
      </c>
      <c r="O55" s="175">
        <f t="shared" si="4"/>
        <v>483807.1356</v>
      </c>
      <c r="P55" s="175">
        <f>IF('Pre-Calculation'!$D$17="Type 4 a",MAX(SA,N55,1.05*Q55),IF('Pre-Calculation'!$D$17="Type 4 c",N55,IF('Pre-Calculation'!$D$17="Type 4 d",SA+N55,IF('Pre-Calculation'!$D$17="Type 4 e",MAX(SA,N55),IF('Pre-Calculation'!$D$17="Type 4 f",SA,IF('Pre-Calculation'!$D$17="Type 4 g",1000+N55,IF('Pre-Calculation'!$D$17="Type 4 h",SA+X55,IF('Pre-Calculation'!$D$17="Type 4 i",MAX(N55,Q55),IF('Pre-Calculation'!$D$17="Type 4 k",MAX(N55,1.01*Q55),IF('Pre-Calculation'!$D$17="Type 4 m",MAX(105%*Q55,SA+N55),IF('Pre-Calculation'!$D$17="Type 4 o",MAX(SA,105%*Q55)+X55+Z55,IF('Pre-Calculation'!$D$17="Type 5",0))))))))))))</f>
        <v>1155000</v>
      </c>
      <c r="Q55" s="175">
        <f t="shared" si="5"/>
        <v>1100000</v>
      </c>
      <c r="R55" s="119">
        <f>L55*(1+GROWTH_RATE)*FMC</f>
        <v>546.4255703</v>
      </c>
      <c r="S55" s="178">
        <f>S54*(1+'Pre-Calculation'!$E$27)</f>
        <v>748031.3249</v>
      </c>
      <c r="T55" s="175">
        <f>-E55+IF(A54=INPUT!$C$11*12,N55,0)</f>
        <v>-100000</v>
      </c>
      <c r="U55" s="175">
        <f t="shared" si="6"/>
        <v>519786.3252</v>
      </c>
      <c r="V55" s="175">
        <f>U55*(1+GROWTH_RATE_L)*(1-'Pre-Calculation'!$E$31)</f>
        <v>520619.5238</v>
      </c>
      <c r="W55" s="175">
        <f>-E55+IF(A54=INPUT!$C$11*12,V55,0)</f>
        <v>-100000</v>
      </c>
      <c r="X55" s="179">
        <f t="array" ref="X55">NPV('Pre-Calculation'!$E$20,$E56:E$246)</f>
        <v>410019.7436</v>
      </c>
      <c r="Y55" s="171">
        <f>10%*SA</f>
        <v>100000</v>
      </c>
      <c r="Z55" s="179">
        <f t="array" ref="Z55">NPV('Pre-Calculation'!$E$20,Y56:Y65)</f>
        <v>969592.8037</v>
      </c>
    </row>
    <row r="56" ht="15.75" customHeight="1">
      <c r="A56" s="171">
        <f t="shared" si="1"/>
        <v>50</v>
      </c>
      <c r="B56" s="171">
        <f t="shared" si="2"/>
        <v>5</v>
      </c>
      <c r="C56" s="176">
        <f>EDATE(RCD,A55)</f>
        <v>44042</v>
      </c>
      <c r="D56" s="171">
        <f>Age_At_Entry+'Cashflows_4% from Start'!B56-1</f>
        <v>39</v>
      </c>
      <c r="E56" s="175">
        <f>IF(AND(C56&lt;=Last_Prem,MOD(A55,Mode)=0),Mod_Prem,0)</f>
        <v>0</v>
      </c>
      <c r="F56" s="177">
        <f>IF(B56&lt;PT+1,E56*VLOOKUP(B56,'Pre-Calculation'!$H$1:$I$31,2,FALSE),0)</f>
        <v>0</v>
      </c>
      <c r="G56" s="177">
        <f>IF(B56&lt;PT+1,VLOOKUP(B56,'Pre-Calculation'!$H$1:$L$32,3,FALSE)+VLOOKUP(B56,'Pre-Calculation'!$H$1:$L$32,4,FALSE)*'Pre-Calculation'!$D$7,0)</f>
        <v>420</v>
      </c>
      <c r="H56" s="175">
        <f>(E56-(F56+G56)*(1+Tax)+N55)</f>
        <v>483311.5356</v>
      </c>
      <c r="I56" s="175">
        <f>IF(B56&lt;PT+1,VLOOKUP(D56,'Pre-Calculation'!$N$3:$P$79,IF(INPUT!$C$4="M",2,3),FALSE)*(J56/1000)*(1/12),0)</f>
        <v>93.30872251</v>
      </c>
      <c r="J56" s="175">
        <f t="shared" si="3"/>
        <v>671688.4644</v>
      </c>
      <c r="K56" s="175">
        <f>IF('Pre-Calculation'!$D$17="Type 4 a",MAX(SA,H56,1.05*Q56),IF('Pre-Calculation'!$D$17="Type 4 c",H56,IF('Pre-Calculation'!$D$17="Type 4 d",SA+H56,IF('Pre-Calculation'!$D$17="Type 4 e",MAX(SA,H56),IF('Pre-Calculation'!$D$17="Type 4 f",SA,IF('Pre-Calculation'!$D$17="Type 4 g",1000+H56,IF('Pre-Calculation'!$D$17="Type 4 h",SA+X56,IF('Pre-Calculation'!$D$17="Type 4 i",MAX(H56,Q56),IF('Pre-Calculation'!$D$17="Type 4 k",MAX(H56,1.01*Q56),IF('Pre-Calculation'!$D$17="Type 4 m",MAX(105%*Q56,SA+H56),IF('Pre-Calculation'!$D$17="Type 4 o",MAX(SA,105%*Q56)+X56+Z56,IF('Pre-Calculation'!$D$17="Type 5",0))))))))))))</f>
        <v>1155000</v>
      </c>
      <c r="L56" s="175">
        <f>H56-I56*(1+Tax)</f>
        <v>483201.4313</v>
      </c>
      <c r="M56" s="175">
        <f>L56*(1+GROWTH_RATE_L)*(1-FMC*(1+Tax))</f>
        <v>484140.1072</v>
      </c>
      <c r="N56" s="175">
        <f>M56+IF(MOD(A56,B56)=0,VLOOKUP(B56,'Pre-Calculation'!$H$1:$L$31,5,FALSE),0)*IF('Pre-Calculation'!$D$16="% OF FV",M56,IF(OR('Pre-Calculation'!$D$16="% OF AFV(24M)",'Pre-Calculation'!$D$16="% OF AFV(8Q)"),AVERAGE( $M33:$M56),IF('Pre-Calculation'!$D$16="% OF AFV(12M)",AVERAGE($M45:M56),IF('Pre-Calculation'!$D$16="% OF AFV(36M)",AVERAGE($M21:M56)))))</f>
        <v>484140.1072</v>
      </c>
      <c r="O56" s="175">
        <f t="shared" si="4"/>
        <v>484140.1072</v>
      </c>
      <c r="P56" s="175">
        <f>IF('Pre-Calculation'!$D$17="Type 4 a",MAX(SA,N56,1.05*Q56),IF('Pre-Calculation'!$D$17="Type 4 c",N56,IF('Pre-Calculation'!$D$17="Type 4 d",SA+N56,IF('Pre-Calculation'!$D$17="Type 4 e",MAX(SA,N56),IF('Pre-Calculation'!$D$17="Type 4 f",SA,IF('Pre-Calculation'!$D$17="Type 4 g",1000+N56,IF('Pre-Calculation'!$D$17="Type 4 h",SA+X56,IF('Pre-Calculation'!$D$17="Type 4 i",MAX(N56,Q56),IF('Pre-Calculation'!$D$17="Type 4 k",MAX(N56,1.01*Q56),IF('Pre-Calculation'!$D$17="Type 4 m",MAX(105%*Q56,SA+N56),IF('Pre-Calculation'!$D$17="Type 4 o",MAX(SA,105%*Q56)+X56+Z56,IF('Pre-Calculation'!$D$17="Type 5",0))))))))))))</f>
        <v>1155000</v>
      </c>
      <c r="Q56" s="175">
        <f t="shared" si="5"/>
        <v>1100000</v>
      </c>
      <c r="R56" s="119">
        <f>L56*(1+GROWTH_RATE)*FMC</f>
        <v>546.8016379</v>
      </c>
      <c r="S56" s="178">
        <f>S55*(1+'Pre-Calculation'!$E$27)</f>
        <v>750178.8471</v>
      </c>
      <c r="T56" s="175">
        <f>-E56+IF(A55=INPUT!$C$11*12,N56,0)</f>
        <v>0</v>
      </c>
      <c r="U56" s="175">
        <f t="shared" si="6"/>
        <v>520619.5238</v>
      </c>
      <c r="V56" s="175">
        <f>U56*(1+GROWTH_RATE_L)*(1-'Pre-Calculation'!$E$31)</f>
        <v>521454.0581</v>
      </c>
      <c r="W56" s="175">
        <f>-E56+IF(A55=INPUT!$C$11*12,V56,0)</f>
        <v>0</v>
      </c>
      <c r="X56" s="179">
        <f t="array" ref="X56">NPV('Pre-Calculation'!$E$20,$E57:E$246)</f>
        <v>412338.0548</v>
      </c>
      <c r="Y56" s="171">
        <f>10%*SA</f>
        <v>100000</v>
      </c>
      <c r="Z56" s="179">
        <f t="array" ref="Z56">NPV('Pre-Calculation'!$E$20,Y57:Y66)</f>
        <v>969592.8037</v>
      </c>
    </row>
    <row r="57" ht="15.75" customHeight="1">
      <c r="A57" s="171">
        <f t="shared" si="1"/>
        <v>51</v>
      </c>
      <c r="B57" s="171">
        <f t="shared" si="2"/>
        <v>5</v>
      </c>
      <c r="C57" s="176">
        <f>EDATE(RCD,A56)</f>
        <v>44073</v>
      </c>
      <c r="D57" s="171">
        <f>Age_At_Entry+'Cashflows_4% from Start'!B57-1</f>
        <v>39</v>
      </c>
      <c r="E57" s="175">
        <f>IF(AND(C57&lt;=Last_Prem,MOD(A56,Mode)=0),Mod_Prem,0)</f>
        <v>0</v>
      </c>
      <c r="F57" s="177">
        <f>IF(B57&lt;PT+1,E57*VLOOKUP(B57,'Pre-Calculation'!$H$1:$I$31,2,FALSE),0)</f>
        <v>0</v>
      </c>
      <c r="G57" s="177">
        <f>IF(B57&lt;PT+1,VLOOKUP(B57,'Pre-Calculation'!$H$1:$L$32,3,FALSE)+VLOOKUP(B57,'Pre-Calculation'!$H$1:$L$32,4,FALSE)*'Pre-Calculation'!$D$7,0)</f>
        <v>420</v>
      </c>
      <c r="H57" s="175">
        <f>(E57-(F57+G57)*(1+Tax)+N56)</f>
        <v>483644.5072</v>
      </c>
      <c r="I57" s="175">
        <f>IF(B57&lt;PT+1,VLOOKUP(D57,'Pre-Calculation'!$N$3:$P$79,IF(INPUT!$C$4="M",2,3),FALSE)*(J57/1000)*(1/12),0)</f>
        <v>93.26246721</v>
      </c>
      <c r="J57" s="175">
        <f t="shared" si="3"/>
        <v>671355.4928</v>
      </c>
      <c r="K57" s="175">
        <f>IF('Pre-Calculation'!$D$17="Type 4 a",MAX(SA,H57,1.05*Q57),IF('Pre-Calculation'!$D$17="Type 4 c",H57,IF('Pre-Calculation'!$D$17="Type 4 d",SA+H57,IF('Pre-Calculation'!$D$17="Type 4 e",MAX(SA,H57),IF('Pre-Calculation'!$D$17="Type 4 f",SA,IF('Pre-Calculation'!$D$17="Type 4 g",1000+H57,IF('Pre-Calculation'!$D$17="Type 4 h",SA+X57,IF('Pre-Calculation'!$D$17="Type 4 i",MAX(H57,Q57),IF('Pre-Calculation'!$D$17="Type 4 k",MAX(H57,1.01*Q57),IF('Pre-Calculation'!$D$17="Type 4 m",MAX(105%*Q57,SA+H57),IF('Pre-Calculation'!$D$17="Type 4 o",MAX(SA,105%*Q57)+X57+Z57,IF('Pre-Calculation'!$D$17="Type 5",0))))))))))))</f>
        <v>1155000</v>
      </c>
      <c r="L57" s="175">
        <f>H57-I57*(1+Tax)</f>
        <v>483534.4575</v>
      </c>
      <c r="M57" s="175">
        <f>L57*(1+GROWTH_RATE_L)*(1-FMC*(1+Tax))</f>
        <v>484473.7803</v>
      </c>
      <c r="N57" s="175">
        <f>M57+IF(MOD(A57,B57)=0,VLOOKUP(B57,'Pre-Calculation'!$H$1:$L$31,5,FALSE),0)*IF('Pre-Calculation'!$D$16="% OF FV",M57,IF(OR('Pre-Calculation'!$D$16="% OF AFV(24M)",'Pre-Calculation'!$D$16="% OF AFV(8Q)"),AVERAGE( $M34:$M57),IF('Pre-Calculation'!$D$16="% OF AFV(12M)",AVERAGE($M46:M57),IF('Pre-Calculation'!$D$16="% OF AFV(36M)",AVERAGE($M22:M57)))))</f>
        <v>484473.7803</v>
      </c>
      <c r="O57" s="175">
        <f t="shared" si="4"/>
        <v>484473.7803</v>
      </c>
      <c r="P57" s="175">
        <f>IF('Pre-Calculation'!$D$17="Type 4 a",MAX(SA,N57,1.05*Q57),IF('Pre-Calculation'!$D$17="Type 4 c",N57,IF('Pre-Calculation'!$D$17="Type 4 d",SA+N57,IF('Pre-Calculation'!$D$17="Type 4 e",MAX(SA,N57),IF('Pre-Calculation'!$D$17="Type 4 f",SA,IF('Pre-Calculation'!$D$17="Type 4 g",1000+N57,IF('Pre-Calculation'!$D$17="Type 4 h",SA+X57,IF('Pre-Calculation'!$D$17="Type 4 i",MAX(N57,Q57),IF('Pre-Calculation'!$D$17="Type 4 k",MAX(N57,1.01*Q57),IF('Pre-Calculation'!$D$17="Type 4 m",MAX(105%*Q57,SA+N57),IF('Pre-Calculation'!$D$17="Type 4 o",MAX(SA,105%*Q57)+X57+Z57,IF('Pre-Calculation'!$D$17="Type 5",0))))))))))))</f>
        <v>1155000</v>
      </c>
      <c r="Q57" s="175">
        <f t="shared" si="5"/>
        <v>1100000</v>
      </c>
      <c r="R57" s="119">
        <f>L57*(1+GROWTH_RATE)*FMC</f>
        <v>547.1784979</v>
      </c>
      <c r="S57" s="178">
        <f>S56*(1+'Pre-Calculation'!$E$27)</f>
        <v>752332.5346</v>
      </c>
      <c r="T57" s="175">
        <f>-E57+IF(A56=INPUT!$C$11*12,N57,0)</f>
        <v>0</v>
      </c>
      <c r="U57" s="175">
        <f t="shared" si="6"/>
        <v>521454.0581</v>
      </c>
      <c r="V57" s="175">
        <f>U57*(1+GROWTH_RATE_L)*(1-'Pre-Calculation'!$E$31)</f>
        <v>522289.9301</v>
      </c>
      <c r="W57" s="175">
        <f>-E57+IF(A56=INPUT!$C$11*12,V57,0)</f>
        <v>0</v>
      </c>
      <c r="X57" s="179">
        <f t="array" ref="X57">NPV('Pre-Calculation'!$E$20,$E58:E$246)</f>
        <v>414669.4741</v>
      </c>
      <c r="Y57" s="171">
        <f>10%*SA</f>
        <v>100000</v>
      </c>
      <c r="Z57" s="179">
        <f t="array" ref="Z57">NPV('Pre-Calculation'!$E$20,Y58:Y67)</f>
        <v>969592.8037</v>
      </c>
    </row>
    <row r="58" ht="15.75" customHeight="1">
      <c r="A58" s="171">
        <f t="shared" si="1"/>
        <v>52</v>
      </c>
      <c r="B58" s="171">
        <f t="shared" si="2"/>
        <v>5</v>
      </c>
      <c r="C58" s="176">
        <f>EDATE(RCD,A57)</f>
        <v>44104</v>
      </c>
      <c r="D58" s="171">
        <f>Age_At_Entry+'Cashflows_4% from Start'!B58-1</f>
        <v>39</v>
      </c>
      <c r="E58" s="175">
        <f>IF(AND(C58&lt;=Last_Prem,MOD(A57,Mode)=0),Mod_Prem,0)</f>
        <v>0</v>
      </c>
      <c r="F58" s="177">
        <f>IF(B58&lt;PT+1,E58*VLOOKUP(B58,'Pre-Calculation'!$H$1:$I$31,2,FALSE),0)</f>
        <v>0</v>
      </c>
      <c r="G58" s="177">
        <f>IF(B58&lt;PT+1,VLOOKUP(B58,'Pre-Calculation'!$H$1:$L$32,3,FALSE)+VLOOKUP(B58,'Pre-Calculation'!$H$1:$L$32,4,FALSE)*'Pre-Calculation'!$D$7,0)</f>
        <v>420</v>
      </c>
      <c r="H58" s="175">
        <f>(E58-(F58+G58)*(1+Tax)+N57)</f>
        <v>483978.1803</v>
      </c>
      <c r="I58" s="175">
        <f>IF(B58&lt;PT+1,VLOOKUP(D58,'Pre-Calculation'!$N$3:$P$79,IF(INPUT!$C$4="M",2,3),FALSE)*(J58/1000)*(1/12),0)</f>
        <v>93.21611445</v>
      </c>
      <c r="J58" s="175">
        <f t="shared" si="3"/>
        <v>671021.8197</v>
      </c>
      <c r="K58" s="175">
        <f>IF('Pre-Calculation'!$D$17="Type 4 a",MAX(SA,H58,1.05*Q58),IF('Pre-Calculation'!$D$17="Type 4 c",H58,IF('Pre-Calculation'!$D$17="Type 4 d",SA+H58,IF('Pre-Calculation'!$D$17="Type 4 e",MAX(SA,H58),IF('Pre-Calculation'!$D$17="Type 4 f",SA,IF('Pre-Calculation'!$D$17="Type 4 g",1000+H58,IF('Pre-Calculation'!$D$17="Type 4 h",SA+X58,IF('Pre-Calculation'!$D$17="Type 4 i",MAX(H58,Q58),IF('Pre-Calculation'!$D$17="Type 4 k",MAX(H58,1.01*Q58),IF('Pre-Calculation'!$D$17="Type 4 m",MAX(105%*Q58,SA+H58),IF('Pre-Calculation'!$D$17="Type 4 o",MAX(SA,105%*Q58)+X58+Z58,IF('Pre-Calculation'!$D$17="Type 5",0))))))))))))</f>
        <v>1155000</v>
      </c>
      <c r="L58" s="175">
        <f>H58-I58*(1+Tax)</f>
        <v>483868.1853</v>
      </c>
      <c r="M58" s="175">
        <f>L58*(1+GROWTH_RATE_L)*(1-FMC*(1+Tax))</f>
        <v>484808.1564</v>
      </c>
      <c r="N58" s="175">
        <f>M58+IF(MOD(A58,B58)=0,VLOOKUP(B58,'Pre-Calculation'!$H$1:$L$31,5,FALSE),0)*IF('Pre-Calculation'!$D$16="% OF FV",M58,IF(OR('Pre-Calculation'!$D$16="% OF AFV(24M)",'Pre-Calculation'!$D$16="% OF AFV(8Q)"),AVERAGE( $M35:$M58),IF('Pre-Calculation'!$D$16="% OF AFV(12M)",AVERAGE($M47:M58),IF('Pre-Calculation'!$D$16="% OF AFV(36M)",AVERAGE($M23:M58)))))</f>
        <v>484808.1564</v>
      </c>
      <c r="O58" s="175">
        <f t="shared" si="4"/>
        <v>484808.1564</v>
      </c>
      <c r="P58" s="175">
        <f>IF('Pre-Calculation'!$D$17="Type 4 a",MAX(SA,N58,1.05*Q58),IF('Pre-Calculation'!$D$17="Type 4 c",N58,IF('Pre-Calculation'!$D$17="Type 4 d",SA+N58,IF('Pre-Calculation'!$D$17="Type 4 e",MAX(SA,N58),IF('Pre-Calculation'!$D$17="Type 4 f",SA,IF('Pre-Calculation'!$D$17="Type 4 g",1000+N58,IF('Pre-Calculation'!$D$17="Type 4 h",SA+X58,IF('Pre-Calculation'!$D$17="Type 4 i",MAX(N58,Q58),IF('Pre-Calculation'!$D$17="Type 4 k",MAX(N58,1.01*Q58),IF('Pre-Calculation'!$D$17="Type 4 m",MAX(105%*Q58,SA+N58),IF('Pre-Calculation'!$D$17="Type 4 o",MAX(SA,105%*Q58)+X58+Z58,IF('Pre-Calculation'!$D$17="Type 5",0))))))))))))</f>
        <v>1155000</v>
      </c>
      <c r="Q58" s="175">
        <f t="shared" si="5"/>
        <v>1100000</v>
      </c>
      <c r="R58" s="119">
        <f>L58*(1+GROWTH_RATE)*FMC</f>
        <v>547.5561518</v>
      </c>
      <c r="S58" s="178">
        <f>S57*(1+'Pre-Calculation'!$E$27)</f>
        <v>754492.4051</v>
      </c>
      <c r="T58" s="175">
        <f>-E58+IF(A57=INPUT!$C$11*12,N58,0)</f>
        <v>0</v>
      </c>
      <c r="U58" s="175">
        <f t="shared" si="6"/>
        <v>522289.9301</v>
      </c>
      <c r="V58" s="175">
        <f>U58*(1+GROWTH_RATE_L)*(1-'Pre-Calculation'!$E$31)</f>
        <v>523127.1419</v>
      </c>
      <c r="W58" s="175">
        <f>-E58+IF(A57=INPUT!$C$11*12,V58,0)</f>
        <v>0</v>
      </c>
      <c r="X58" s="179">
        <f t="array" ref="X58">NPV('Pre-Calculation'!$E$20,$E59:E$246)</f>
        <v>417014.0756</v>
      </c>
      <c r="Y58" s="171">
        <f>10%*SA</f>
        <v>100000</v>
      </c>
      <c r="Z58" s="179">
        <f t="array" ref="Z58">NPV('Pre-Calculation'!$E$20,Y59:Y68)</f>
        <v>969592.8037</v>
      </c>
    </row>
    <row r="59" ht="15.75" customHeight="1">
      <c r="A59" s="171">
        <f t="shared" si="1"/>
        <v>53</v>
      </c>
      <c r="B59" s="171">
        <f t="shared" si="2"/>
        <v>5</v>
      </c>
      <c r="C59" s="176">
        <f>EDATE(RCD,A58)</f>
        <v>44134</v>
      </c>
      <c r="D59" s="171">
        <f>Age_At_Entry+'Cashflows_4% from Start'!B59-1</f>
        <v>39</v>
      </c>
      <c r="E59" s="175">
        <f>IF(AND(C59&lt;=Last_Prem,MOD(A58,Mode)=0),Mod_Prem,0)</f>
        <v>0</v>
      </c>
      <c r="F59" s="177">
        <f>IF(B59&lt;PT+1,E59*VLOOKUP(B59,'Pre-Calculation'!$H$1:$I$31,2,FALSE),0)</f>
        <v>0</v>
      </c>
      <c r="G59" s="177">
        <f>IF(B59&lt;PT+1,VLOOKUP(B59,'Pre-Calculation'!$H$1:$L$32,3,FALSE)+VLOOKUP(B59,'Pre-Calculation'!$H$1:$L$32,4,FALSE)*'Pre-Calculation'!$D$7,0)</f>
        <v>420</v>
      </c>
      <c r="H59" s="175">
        <f>(E59-(F59+G59)*(1+Tax)+N58)</f>
        <v>484312.5564</v>
      </c>
      <c r="I59" s="175">
        <f>IF(B59&lt;PT+1,VLOOKUP(D59,'Pre-Calculation'!$N$3:$P$79,IF(INPUT!$C$4="M",2,3),FALSE)*(J59/1000)*(1/12),0)</f>
        <v>93.16966403</v>
      </c>
      <c r="J59" s="175">
        <f t="shared" si="3"/>
        <v>670687.4436</v>
      </c>
      <c r="K59" s="175">
        <f>IF('Pre-Calculation'!$D$17="Type 4 a",MAX(SA,H59,1.05*Q59),IF('Pre-Calculation'!$D$17="Type 4 c",H59,IF('Pre-Calculation'!$D$17="Type 4 d",SA+H59,IF('Pre-Calculation'!$D$17="Type 4 e",MAX(SA,H59),IF('Pre-Calculation'!$D$17="Type 4 f",SA,IF('Pre-Calculation'!$D$17="Type 4 g",1000+H59,IF('Pre-Calculation'!$D$17="Type 4 h",SA+X59,IF('Pre-Calculation'!$D$17="Type 4 i",MAX(H59,Q59),IF('Pre-Calculation'!$D$17="Type 4 k",MAX(H59,1.01*Q59),IF('Pre-Calculation'!$D$17="Type 4 m",MAX(105%*Q59,SA+H59),IF('Pre-Calculation'!$D$17="Type 4 o",MAX(SA,105%*Q59)+X59+Z59,IF('Pre-Calculation'!$D$17="Type 5",0))))))))))))</f>
        <v>1155000</v>
      </c>
      <c r="L59" s="175">
        <f>H59-I59*(1+Tax)</f>
        <v>484202.6162</v>
      </c>
      <c r="M59" s="175">
        <f>L59*(1+GROWTH_RATE_L)*(1-FMC*(1+Tax))</f>
        <v>485143.237</v>
      </c>
      <c r="N59" s="175">
        <f>M59+IF(MOD(A59,B59)=0,VLOOKUP(B59,'Pre-Calculation'!$H$1:$L$31,5,FALSE),0)*IF('Pre-Calculation'!$D$16="% OF FV",M59,IF(OR('Pre-Calculation'!$D$16="% OF AFV(24M)",'Pre-Calculation'!$D$16="% OF AFV(8Q)"),AVERAGE( $M36:$M59),IF('Pre-Calculation'!$D$16="% OF AFV(12M)",AVERAGE($M48:M59),IF('Pre-Calculation'!$D$16="% OF AFV(36M)",AVERAGE($M24:M59)))))</f>
        <v>485143.237</v>
      </c>
      <c r="O59" s="175">
        <f t="shared" si="4"/>
        <v>485143.237</v>
      </c>
      <c r="P59" s="175">
        <f>IF('Pre-Calculation'!$D$17="Type 4 a",MAX(SA,N59,1.05*Q59),IF('Pre-Calculation'!$D$17="Type 4 c",N59,IF('Pre-Calculation'!$D$17="Type 4 d",SA+N59,IF('Pre-Calculation'!$D$17="Type 4 e",MAX(SA,N59),IF('Pre-Calculation'!$D$17="Type 4 f",SA,IF('Pre-Calculation'!$D$17="Type 4 g",1000+N59,IF('Pre-Calculation'!$D$17="Type 4 h",SA+X59,IF('Pre-Calculation'!$D$17="Type 4 i",MAX(N59,Q59),IF('Pre-Calculation'!$D$17="Type 4 k",MAX(N59,1.01*Q59),IF('Pre-Calculation'!$D$17="Type 4 m",MAX(105%*Q59,SA+N59),IF('Pre-Calculation'!$D$17="Type 4 o",MAX(SA,105%*Q59)+X59+Z59,IF('Pre-Calculation'!$D$17="Type 5",0))))))))))))</f>
        <v>1155000</v>
      </c>
      <c r="Q59" s="175">
        <f t="shared" si="5"/>
        <v>1100000</v>
      </c>
      <c r="R59" s="119">
        <f>L59*(1+GROWTH_RATE)*FMC</f>
        <v>547.9346014</v>
      </c>
      <c r="S59" s="178">
        <f>S58*(1+'Pre-Calculation'!$E$27)</f>
        <v>756658.4764</v>
      </c>
      <c r="T59" s="175">
        <f>-E59+IF(A58=INPUT!$C$11*12,N59,0)</f>
        <v>0</v>
      </c>
      <c r="U59" s="175">
        <f t="shared" si="6"/>
        <v>523127.1419</v>
      </c>
      <c r="V59" s="175">
        <f>U59*(1+GROWTH_RATE_L)*(1-'Pre-Calculation'!$E$31)</f>
        <v>523965.6958</v>
      </c>
      <c r="W59" s="175">
        <f>-E59+IF(A58=INPUT!$C$11*12,V59,0)</f>
        <v>0</v>
      </c>
      <c r="X59" s="179">
        <f t="array" ref="X59">NPV('Pre-Calculation'!$E$20,$E60:E$246)</f>
        <v>419371.9339</v>
      </c>
      <c r="Y59" s="171">
        <f>10%*SA</f>
        <v>100000</v>
      </c>
      <c r="Z59" s="179">
        <f t="array" ref="Z59">NPV('Pre-Calculation'!$E$20,Y60:Y69)</f>
        <v>969592.8037</v>
      </c>
    </row>
    <row r="60" ht="15.75" customHeight="1">
      <c r="A60" s="171">
        <f t="shared" si="1"/>
        <v>54</v>
      </c>
      <c r="B60" s="171">
        <f t="shared" si="2"/>
        <v>5</v>
      </c>
      <c r="C60" s="176">
        <f>EDATE(RCD,A59)</f>
        <v>44165</v>
      </c>
      <c r="D60" s="171">
        <f>Age_At_Entry+'Cashflows_4% from Start'!B60-1</f>
        <v>39</v>
      </c>
      <c r="E60" s="175">
        <f>IF(AND(C60&lt;=Last_Prem,MOD(A59,Mode)=0),Mod_Prem,0)</f>
        <v>0</v>
      </c>
      <c r="F60" s="177">
        <f>IF(B60&lt;PT+1,E60*VLOOKUP(B60,'Pre-Calculation'!$H$1:$I$31,2,FALSE),0)</f>
        <v>0</v>
      </c>
      <c r="G60" s="177">
        <f>IF(B60&lt;PT+1,VLOOKUP(B60,'Pre-Calculation'!$H$1:$L$32,3,FALSE)+VLOOKUP(B60,'Pre-Calculation'!$H$1:$L$32,4,FALSE)*'Pre-Calculation'!$D$7,0)</f>
        <v>420</v>
      </c>
      <c r="H60" s="175">
        <f>(E60-(F60+G60)*(1+Tax)+N59)</f>
        <v>484647.637</v>
      </c>
      <c r="I60" s="175">
        <f>IF(B60&lt;PT+1,VLOOKUP(D60,'Pre-Calculation'!$N$3:$P$79,IF(INPUT!$C$4="M",2,3),FALSE)*(J60/1000)*(1/12),0)</f>
        <v>93.12311575</v>
      </c>
      <c r="J60" s="175">
        <f t="shared" si="3"/>
        <v>670352.363</v>
      </c>
      <c r="K60" s="175">
        <f>IF('Pre-Calculation'!$D$17="Type 4 a",MAX(SA,H60,1.05*Q60),IF('Pre-Calculation'!$D$17="Type 4 c",H60,IF('Pre-Calculation'!$D$17="Type 4 d",SA+H60,IF('Pre-Calculation'!$D$17="Type 4 e",MAX(SA,H60),IF('Pre-Calculation'!$D$17="Type 4 f",SA,IF('Pre-Calculation'!$D$17="Type 4 g",1000+H60,IF('Pre-Calculation'!$D$17="Type 4 h",SA+X60,IF('Pre-Calculation'!$D$17="Type 4 i",MAX(H60,Q60),IF('Pre-Calculation'!$D$17="Type 4 k",MAX(H60,1.01*Q60),IF('Pre-Calculation'!$D$17="Type 4 m",MAX(105%*Q60,SA+H60),IF('Pre-Calculation'!$D$17="Type 4 o",MAX(SA,105%*Q60)+X60+Z60,IF('Pre-Calculation'!$D$17="Type 5",0))))))))))))</f>
        <v>1155000</v>
      </c>
      <c r="L60" s="175">
        <f>H60-I60*(1+Tax)</f>
        <v>484537.7518</v>
      </c>
      <c r="M60" s="175">
        <f>L60*(1+GROWTH_RATE_L)*(1-FMC*(1+Tax))</f>
        <v>485479.0236</v>
      </c>
      <c r="N60" s="175">
        <f>M60+IF(MOD(A60,B60)=0,VLOOKUP(B60,'Pre-Calculation'!$H$1:$L$31,5,FALSE),0)*IF('Pre-Calculation'!$D$16="% OF FV",M60,IF(OR('Pre-Calculation'!$D$16="% OF AFV(24M)",'Pre-Calculation'!$D$16="% OF AFV(8Q)"),AVERAGE( $M37:$M60),IF('Pre-Calculation'!$D$16="% OF AFV(12M)",AVERAGE($M49:M60),IF('Pre-Calculation'!$D$16="% OF AFV(36M)",AVERAGE($M25:M60)))))</f>
        <v>485479.0236</v>
      </c>
      <c r="O60" s="175">
        <f t="shared" si="4"/>
        <v>485479.0236</v>
      </c>
      <c r="P60" s="175">
        <f>IF('Pre-Calculation'!$D$17="Type 4 a",MAX(SA,N60,1.05*Q60),IF('Pre-Calculation'!$D$17="Type 4 c",N60,IF('Pre-Calculation'!$D$17="Type 4 d",SA+N60,IF('Pre-Calculation'!$D$17="Type 4 e",MAX(SA,N60),IF('Pre-Calculation'!$D$17="Type 4 f",SA,IF('Pre-Calculation'!$D$17="Type 4 g",1000+N60,IF('Pre-Calculation'!$D$17="Type 4 h",SA+X60,IF('Pre-Calculation'!$D$17="Type 4 i",MAX(N60,Q60),IF('Pre-Calculation'!$D$17="Type 4 k",MAX(N60,1.01*Q60),IF('Pre-Calculation'!$D$17="Type 4 m",MAX(105%*Q60,SA+N60),IF('Pre-Calculation'!$D$17="Type 4 o",MAX(SA,105%*Q60)+X60+Z60,IF('Pre-Calculation'!$D$17="Type 5",0))))))))))))</f>
        <v>1155000</v>
      </c>
      <c r="Q60" s="175">
        <f t="shared" si="5"/>
        <v>1100000</v>
      </c>
      <c r="R60" s="119">
        <f>L60*(1+GROWTH_RATE)*FMC</f>
        <v>548.3138483</v>
      </c>
      <c r="S60" s="178">
        <f>S59*(1+'Pre-Calculation'!$E$27)</f>
        <v>758830.7662</v>
      </c>
      <c r="T60" s="175">
        <f>-E60+IF(A59=INPUT!$C$11*12,N60,0)</f>
        <v>0</v>
      </c>
      <c r="U60" s="175">
        <f t="shared" si="6"/>
        <v>523965.6958</v>
      </c>
      <c r="V60" s="175">
        <f>U60*(1+GROWTH_RATE_L)*(1-'Pre-Calculation'!$E$31)</f>
        <v>524805.5938</v>
      </c>
      <c r="W60" s="175">
        <f>-E60+IF(A59=INPUT!$C$11*12,V60,0)</f>
        <v>0</v>
      </c>
      <c r="X60" s="179">
        <f t="array" ref="X60">NPV('Pre-Calculation'!$E$20,$E61:E$246)</f>
        <v>421743.1237</v>
      </c>
      <c r="Y60" s="171">
        <f>10%*SA</f>
        <v>100000</v>
      </c>
      <c r="Z60" s="179">
        <f t="array" ref="Z60">NPV('Pre-Calculation'!$E$20,Y61:Y70)</f>
        <v>969592.8037</v>
      </c>
    </row>
    <row r="61" ht="15.75" customHeight="1">
      <c r="A61" s="171">
        <f t="shared" si="1"/>
        <v>55</v>
      </c>
      <c r="B61" s="171">
        <f t="shared" si="2"/>
        <v>5</v>
      </c>
      <c r="C61" s="176">
        <f>EDATE(RCD,A60)</f>
        <v>44195</v>
      </c>
      <c r="D61" s="171">
        <f>Age_At_Entry+'Cashflows_4% from Start'!B61-1</f>
        <v>39</v>
      </c>
      <c r="E61" s="175">
        <f>IF(AND(C61&lt;=Last_Prem,MOD(A60,Mode)=0),Mod_Prem,0)</f>
        <v>0</v>
      </c>
      <c r="F61" s="177">
        <f>IF(B61&lt;PT+1,E61*VLOOKUP(B61,'Pre-Calculation'!$H$1:$I$31,2,FALSE),0)</f>
        <v>0</v>
      </c>
      <c r="G61" s="177">
        <f>IF(B61&lt;PT+1,VLOOKUP(B61,'Pre-Calculation'!$H$1:$L$32,3,FALSE)+VLOOKUP(B61,'Pre-Calculation'!$H$1:$L$32,4,FALSE)*'Pre-Calculation'!$D$7,0)</f>
        <v>420</v>
      </c>
      <c r="H61" s="175">
        <f>(E61-(F61+G61)*(1+Tax)+N60)</f>
        <v>484983.4236</v>
      </c>
      <c r="I61" s="175">
        <f>IF(B61&lt;PT+1,VLOOKUP(D61,'Pre-Calculation'!$N$3:$P$79,IF(INPUT!$C$4="M",2,3),FALSE)*(J61/1000)*(1/12),0)</f>
        <v>93.0764694</v>
      </c>
      <c r="J61" s="175">
        <f t="shared" si="3"/>
        <v>670016.5764</v>
      </c>
      <c r="K61" s="175">
        <f>IF('Pre-Calculation'!$D$17="Type 4 a",MAX(SA,H61,1.05*Q61),IF('Pre-Calculation'!$D$17="Type 4 c",H61,IF('Pre-Calculation'!$D$17="Type 4 d",SA+H61,IF('Pre-Calculation'!$D$17="Type 4 e",MAX(SA,H61),IF('Pre-Calculation'!$D$17="Type 4 f",SA,IF('Pre-Calculation'!$D$17="Type 4 g",1000+H61,IF('Pre-Calculation'!$D$17="Type 4 h",SA+X61,IF('Pre-Calculation'!$D$17="Type 4 i",MAX(H61,Q61),IF('Pre-Calculation'!$D$17="Type 4 k",MAX(H61,1.01*Q61),IF('Pre-Calculation'!$D$17="Type 4 m",MAX(105%*Q61,SA+H61),IF('Pre-Calculation'!$D$17="Type 4 o",MAX(SA,105%*Q61)+X61+Z61,IF('Pre-Calculation'!$D$17="Type 5",0))))))))))))</f>
        <v>1155000</v>
      </c>
      <c r="L61" s="175">
        <f>H61-I61*(1+Tax)</f>
        <v>484873.5934</v>
      </c>
      <c r="M61" s="175">
        <f>L61*(1+GROWTH_RATE_L)*(1-FMC*(1+Tax))</f>
        <v>485815.5176</v>
      </c>
      <c r="N61" s="175">
        <f>M61+IF(MOD(A61,B61)=0,VLOOKUP(B61,'Pre-Calculation'!$H$1:$L$31,5,FALSE),0)*IF('Pre-Calculation'!$D$16="% OF FV",M61,IF(OR('Pre-Calculation'!$D$16="% OF AFV(24M)",'Pre-Calculation'!$D$16="% OF AFV(8Q)"),AVERAGE( $M38:$M61),IF('Pre-Calculation'!$D$16="% OF AFV(12M)",AVERAGE($M50:M61),IF('Pre-Calculation'!$D$16="% OF AFV(36M)",AVERAGE($M26:M61)))))</f>
        <v>485815.5176</v>
      </c>
      <c r="O61" s="175">
        <f t="shared" si="4"/>
        <v>485815.5176</v>
      </c>
      <c r="P61" s="175">
        <f>IF('Pre-Calculation'!$D$17="Type 4 a",MAX(SA,N61,1.05*Q61),IF('Pre-Calculation'!$D$17="Type 4 c",N61,IF('Pre-Calculation'!$D$17="Type 4 d",SA+N61,IF('Pre-Calculation'!$D$17="Type 4 e",MAX(SA,N61),IF('Pre-Calculation'!$D$17="Type 4 f",SA,IF('Pre-Calculation'!$D$17="Type 4 g",1000+N61,IF('Pre-Calculation'!$D$17="Type 4 h",SA+X61,IF('Pre-Calculation'!$D$17="Type 4 i",MAX(N61,Q61),IF('Pre-Calculation'!$D$17="Type 4 k",MAX(N61,1.01*Q61),IF('Pre-Calculation'!$D$17="Type 4 m",MAX(105%*Q61,SA+N61),IF('Pre-Calculation'!$D$17="Type 4 o",MAX(SA,105%*Q61)+X61+Z61,IF('Pre-Calculation'!$D$17="Type 5",0))))))))))))</f>
        <v>1155000</v>
      </c>
      <c r="Q61" s="175">
        <f t="shared" si="5"/>
        <v>1100000</v>
      </c>
      <c r="R61" s="119">
        <f>L61*(1+GROWTH_RATE)*FMC</f>
        <v>548.6938942</v>
      </c>
      <c r="S61" s="178">
        <f>S60*(1+'Pre-Calculation'!$E$27)</f>
        <v>761009.2925</v>
      </c>
      <c r="T61" s="175">
        <f>-E61+IF(A60=INPUT!$C$11*12,N61,0)</f>
        <v>0</v>
      </c>
      <c r="U61" s="175">
        <f t="shared" si="6"/>
        <v>524805.5938</v>
      </c>
      <c r="V61" s="175">
        <f>U61*(1+GROWTH_RATE_L)*(1-'Pre-Calculation'!$E$31)</f>
        <v>525646.8382</v>
      </c>
      <c r="W61" s="175">
        <f>-E61+IF(A60=INPUT!$C$11*12,V61,0)</f>
        <v>0</v>
      </c>
      <c r="X61" s="179">
        <f t="array" ref="X61">NPV('Pre-Calculation'!$E$20,$E62:E$246)</f>
        <v>424127.7207</v>
      </c>
      <c r="Y61" s="171">
        <f>10%*SA</f>
        <v>100000</v>
      </c>
      <c r="Z61" s="179">
        <f t="array" ref="Z61">NPV('Pre-Calculation'!$E$20,Y62:Y71)</f>
        <v>969592.8037</v>
      </c>
    </row>
    <row r="62" ht="15.75" customHeight="1">
      <c r="A62" s="171">
        <f t="shared" si="1"/>
        <v>56</v>
      </c>
      <c r="B62" s="171">
        <f t="shared" si="2"/>
        <v>5</v>
      </c>
      <c r="C62" s="176">
        <f>EDATE(RCD,A61)</f>
        <v>44226</v>
      </c>
      <c r="D62" s="171">
        <f>Age_At_Entry+'Cashflows_4% from Start'!B62-1</f>
        <v>39</v>
      </c>
      <c r="E62" s="175">
        <f>IF(AND(C62&lt;=Last_Prem,MOD(A61,Mode)=0),Mod_Prem,0)</f>
        <v>0</v>
      </c>
      <c r="F62" s="177">
        <f>IF(B62&lt;PT+1,E62*VLOOKUP(B62,'Pre-Calculation'!$H$1:$I$31,2,FALSE),0)</f>
        <v>0</v>
      </c>
      <c r="G62" s="177">
        <f>IF(B62&lt;PT+1,VLOOKUP(B62,'Pre-Calculation'!$H$1:$L$32,3,FALSE)+VLOOKUP(B62,'Pre-Calculation'!$H$1:$L$32,4,FALSE)*'Pre-Calculation'!$D$7,0)</f>
        <v>420</v>
      </c>
      <c r="H62" s="175">
        <f>(E62-(F62+G62)*(1+Tax)+N61)</f>
        <v>485319.9176</v>
      </c>
      <c r="I62" s="175">
        <f>IF(B62&lt;PT+1,VLOOKUP(D62,'Pre-Calculation'!$N$3:$P$79,IF(INPUT!$C$4="M",2,3),FALSE)*(J62/1000)*(1/12),0)</f>
        <v>93.02972478</v>
      </c>
      <c r="J62" s="175">
        <f t="shared" si="3"/>
        <v>669680.0824</v>
      </c>
      <c r="K62" s="175">
        <f>IF('Pre-Calculation'!$D$17="Type 4 a",MAX(SA,H62,1.05*Q62),IF('Pre-Calculation'!$D$17="Type 4 c",H62,IF('Pre-Calculation'!$D$17="Type 4 d",SA+H62,IF('Pre-Calculation'!$D$17="Type 4 e",MAX(SA,H62),IF('Pre-Calculation'!$D$17="Type 4 f",SA,IF('Pre-Calculation'!$D$17="Type 4 g",1000+H62,IF('Pre-Calculation'!$D$17="Type 4 h",SA+X62,IF('Pre-Calculation'!$D$17="Type 4 i",MAX(H62,Q62),IF('Pre-Calculation'!$D$17="Type 4 k",MAX(H62,1.01*Q62),IF('Pre-Calculation'!$D$17="Type 4 m",MAX(105%*Q62,SA+H62),IF('Pre-Calculation'!$D$17="Type 4 o",MAX(SA,105%*Q62)+X62+Z62,IF('Pre-Calculation'!$D$17="Type 5",0))))))))))))</f>
        <v>1155000</v>
      </c>
      <c r="L62" s="175">
        <f>H62-I62*(1+Tax)</f>
        <v>485210.1425</v>
      </c>
      <c r="M62" s="175">
        <f>L62*(1+GROWTH_RATE_L)*(1-FMC*(1+Tax))</f>
        <v>486152.7206</v>
      </c>
      <c r="N62" s="175">
        <f>M62+IF(MOD(A62,B62)=0,VLOOKUP(B62,'Pre-Calculation'!$H$1:$L$31,5,FALSE),0)*IF('Pre-Calculation'!$D$16="% OF FV",M62,IF(OR('Pre-Calculation'!$D$16="% OF AFV(24M)",'Pre-Calculation'!$D$16="% OF AFV(8Q)"),AVERAGE( $M39:$M62),IF('Pre-Calculation'!$D$16="% OF AFV(12M)",AVERAGE($M51:M62),IF('Pre-Calculation'!$D$16="% OF AFV(36M)",AVERAGE($M27:M62)))))</f>
        <v>486152.7206</v>
      </c>
      <c r="O62" s="175">
        <f t="shared" si="4"/>
        <v>486152.7206</v>
      </c>
      <c r="P62" s="175">
        <f>IF('Pre-Calculation'!$D$17="Type 4 a",MAX(SA,N62,1.05*Q62),IF('Pre-Calculation'!$D$17="Type 4 c",N62,IF('Pre-Calculation'!$D$17="Type 4 d",SA+N62,IF('Pre-Calculation'!$D$17="Type 4 e",MAX(SA,N62),IF('Pre-Calculation'!$D$17="Type 4 f",SA,IF('Pre-Calculation'!$D$17="Type 4 g",1000+N62,IF('Pre-Calculation'!$D$17="Type 4 h",SA+X62,IF('Pre-Calculation'!$D$17="Type 4 i",MAX(N62,Q62),IF('Pre-Calculation'!$D$17="Type 4 k",MAX(N62,1.01*Q62),IF('Pre-Calculation'!$D$17="Type 4 m",MAX(105%*Q62,SA+N62),IF('Pre-Calculation'!$D$17="Type 4 o",MAX(SA,105%*Q62)+X62+Z62,IF('Pre-Calculation'!$D$17="Type 5",0))))))))))))</f>
        <v>1155000</v>
      </c>
      <c r="Q62" s="175">
        <f t="shared" si="5"/>
        <v>1100000</v>
      </c>
      <c r="R62" s="119">
        <f>L62*(1+GROWTH_RATE)*FMC</f>
        <v>549.0747408</v>
      </c>
      <c r="S62" s="178">
        <f>S61*(1+'Pre-Calculation'!$E$27)</f>
        <v>763194.0731</v>
      </c>
      <c r="T62" s="175">
        <f>-E62+IF(A61=INPUT!$C$11*12,N62,0)</f>
        <v>0</v>
      </c>
      <c r="U62" s="175">
        <f t="shared" si="6"/>
        <v>525646.8382</v>
      </c>
      <c r="V62" s="175">
        <f>U62*(1+GROWTH_RATE_L)*(1-'Pre-Calculation'!$E$31)</f>
        <v>526489.4311</v>
      </c>
      <c r="W62" s="175">
        <f>-E62+IF(A61=INPUT!$C$11*12,V62,0)</f>
        <v>0</v>
      </c>
      <c r="X62" s="179">
        <f t="array" ref="X62">NPV('Pre-Calculation'!$E$20,$E63:E$246)</f>
        <v>426525.8005</v>
      </c>
      <c r="Y62" s="171">
        <f>10%*SA</f>
        <v>100000</v>
      </c>
      <c r="Z62" s="179">
        <f t="array" ref="Z62">NPV('Pre-Calculation'!$E$20,Y63:Y72)</f>
        <v>969592.8037</v>
      </c>
    </row>
    <row r="63" ht="15.75" customHeight="1">
      <c r="A63" s="171">
        <f t="shared" si="1"/>
        <v>57</v>
      </c>
      <c r="B63" s="171">
        <f t="shared" si="2"/>
        <v>5</v>
      </c>
      <c r="C63" s="176">
        <f>EDATE(RCD,A62)</f>
        <v>44255</v>
      </c>
      <c r="D63" s="171">
        <f>Age_At_Entry+'Cashflows_4% from Start'!B63-1</f>
        <v>39</v>
      </c>
      <c r="E63" s="175">
        <f>IF(AND(C63&lt;=Last_Prem,MOD(A62,Mode)=0),Mod_Prem,0)</f>
        <v>0</v>
      </c>
      <c r="F63" s="177">
        <f>IF(B63&lt;PT+1,E63*VLOOKUP(B63,'Pre-Calculation'!$H$1:$I$31,2,FALSE),0)</f>
        <v>0</v>
      </c>
      <c r="G63" s="177">
        <f>IF(B63&lt;PT+1,VLOOKUP(B63,'Pre-Calculation'!$H$1:$L$32,3,FALSE)+VLOOKUP(B63,'Pre-Calculation'!$H$1:$L$32,4,FALSE)*'Pre-Calculation'!$D$7,0)</f>
        <v>420</v>
      </c>
      <c r="H63" s="175">
        <f>(E63-(F63+G63)*(1+Tax)+N62)</f>
        <v>485657.1206</v>
      </c>
      <c r="I63" s="175">
        <f>IF(B63&lt;PT+1,VLOOKUP(D63,'Pre-Calculation'!$N$3:$P$79,IF(INPUT!$C$4="M",2,3),FALSE)*(J63/1000)*(1/12),0)</f>
        <v>92.98288166</v>
      </c>
      <c r="J63" s="175">
        <f t="shared" si="3"/>
        <v>669342.8794</v>
      </c>
      <c r="K63" s="175">
        <f>IF('Pre-Calculation'!$D$17="Type 4 a",MAX(SA,H63,1.05*Q63),IF('Pre-Calculation'!$D$17="Type 4 c",H63,IF('Pre-Calculation'!$D$17="Type 4 d",SA+H63,IF('Pre-Calculation'!$D$17="Type 4 e",MAX(SA,H63),IF('Pre-Calculation'!$D$17="Type 4 f",SA,IF('Pre-Calculation'!$D$17="Type 4 g",1000+H63,IF('Pre-Calculation'!$D$17="Type 4 h",SA+X63,IF('Pre-Calculation'!$D$17="Type 4 i",MAX(H63,Q63),IF('Pre-Calculation'!$D$17="Type 4 k",MAX(H63,1.01*Q63),IF('Pre-Calculation'!$D$17="Type 4 m",MAX(105%*Q63,SA+H63),IF('Pre-Calculation'!$D$17="Type 4 o",MAX(SA,105%*Q63)+X63+Z63,IF('Pre-Calculation'!$D$17="Type 5",0))))))))))))</f>
        <v>1155000</v>
      </c>
      <c r="L63" s="175">
        <f>H63-I63*(1+Tax)</f>
        <v>485547.4008</v>
      </c>
      <c r="M63" s="175">
        <f>L63*(1+GROWTH_RATE_L)*(1-FMC*(1+Tax))</f>
        <v>486490.634</v>
      </c>
      <c r="N63" s="175">
        <f>M63+IF(MOD(A63,B63)=0,VLOOKUP(B63,'Pre-Calculation'!$H$1:$L$31,5,FALSE),0)*IF('Pre-Calculation'!$D$16="% OF FV",M63,IF(OR('Pre-Calculation'!$D$16="% OF AFV(24M)",'Pre-Calculation'!$D$16="% OF AFV(8Q)"),AVERAGE( $M40:$M63),IF('Pre-Calculation'!$D$16="% OF AFV(12M)",AVERAGE($M52:M63),IF('Pre-Calculation'!$D$16="% OF AFV(36M)",AVERAGE($M28:M63)))))</f>
        <v>486490.634</v>
      </c>
      <c r="O63" s="175">
        <f t="shared" si="4"/>
        <v>486490.634</v>
      </c>
      <c r="P63" s="175">
        <f>IF('Pre-Calculation'!$D$17="Type 4 a",MAX(SA,N63,1.05*Q63),IF('Pre-Calculation'!$D$17="Type 4 c",N63,IF('Pre-Calculation'!$D$17="Type 4 d",SA+N63,IF('Pre-Calculation'!$D$17="Type 4 e",MAX(SA,N63),IF('Pre-Calculation'!$D$17="Type 4 f",SA,IF('Pre-Calculation'!$D$17="Type 4 g",1000+N63,IF('Pre-Calculation'!$D$17="Type 4 h",SA+X63,IF('Pre-Calculation'!$D$17="Type 4 i",MAX(N63,Q63),IF('Pre-Calculation'!$D$17="Type 4 k",MAX(N63,1.01*Q63),IF('Pre-Calculation'!$D$17="Type 4 m",MAX(105%*Q63,SA+N63),IF('Pre-Calculation'!$D$17="Type 4 o",MAX(SA,105%*Q63)+X63+Z63,IF('Pre-Calculation'!$D$17="Type 5",0))))))))))))</f>
        <v>1155000</v>
      </c>
      <c r="Q63" s="175">
        <f t="shared" si="5"/>
        <v>1100000</v>
      </c>
      <c r="R63" s="119">
        <f>L63*(1+GROWTH_RATE)*FMC</f>
        <v>549.4563899</v>
      </c>
      <c r="S63" s="178">
        <f>S62*(1+'Pre-Calculation'!$E$27)</f>
        <v>765385.126</v>
      </c>
      <c r="T63" s="175">
        <f>-E63+IF(A62=INPUT!$C$11*12,N63,0)</f>
        <v>0</v>
      </c>
      <c r="U63" s="175">
        <f t="shared" si="6"/>
        <v>526489.4311</v>
      </c>
      <c r="V63" s="175">
        <f>U63*(1+GROWTH_RATE_L)*(1-'Pre-Calculation'!$E$31)</f>
        <v>527333.3746</v>
      </c>
      <c r="W63" s="175">
        <f>-E63+IF(A62=INPUT!$C$11*12,V63,0)</f>
        <v>0</v>
      </c>
      <c r="X63" s="179">
        <f t="array" ref="X63">NPV('Pre-Calculation'!$E$20,$E64:E$246)</f>
        <v>428937.4394</v>
      </c>
      <c r="Y63" s="171">
        <f>10%*SA</f>
        <v>100000</v>
      </c>
      <c r="Z63" s="179">
        <f t="array" ref="Z63">NPV('Pre-Calculation'!$E$20,Y64:Y73)</f>
        <v>969592.8037</v>
      </c>
    </row>
    <row r="64" ht="15.75" customHeight="1">
      <c r="A64" s="171">
        <f t="shared" si="1"/>
        <v>58</v>
      </c>
      <c r="B64" s="171">
        <f t="shared" si="2"/>
        <v>5</v>
      </c>
      <c r="C64" s="176">
        <f>EDATE(RCD,A63)</f>
        <v>44285</v>
      </c>
      <c r="D64" s="171">
        <f>Age_At_Entry+'Cashflows_4% from Start'!B64-1</f>
        <v>39</v>
      </c>
      <c r="E64" s="175">
        <f>IF(AND(C64&lt;=Last_Prem,MOD(A63,Mode)=0),Mod_Prem,0)</f>
        <v>0</v>
      </c>
      <c r="F64" s="177">
        <f>IF(B64&lt;PT+1,E64*VLOOKUP(B64,'Pre-Calculation'!$H$1:$I$31,2,FALSE),0)</f>
        <v>0</v>
      </c>
      <c r="G64" s="177">
        <f>IF(B64&lt;PT+1,VLOOKUP(B64,'Pre-Calculation'!$H$1:$L$32,3,FALSE)+VLOOKUP(B64,'Pre-Calculation'!$H$1:$L$32,4,FALSE)*'Pre-Calculation'!$D$7,0)</f>
        <v>420</v>
      </c>
      <c r="H64" s="175">
        <f>(E64-(F64+G64)*(1+Tax)+N63)</f>
        <v>485995.034</v>
      </c>
      <c r="I64" s="175">
        <f>IF(B64&lt;PT+1,VLOOKUP(D64,'Pre-Calculation'!$N$3:$P$79,IF(INPUT!$C$4="M",2,3),FALSE)*(J64/1000)*(1/12),0)</f>
        <v>92.93593986</v>
      </c>
      <c r="J64" s="175">
        <f t="shared" si="3"/>
        <v>669004.966</v>
      </c>
      <c r="K64" s="175">
        <f>IF('Pre-Calculation'!$D$17="Type 4 a",MAX(SA,H64,1.05*Q64),IF('Pre-Calculation'!$D$17="Type 4 c",H64,IF('Pre-Calculation'!$D$17="Type 4 d",SA+H64,IF('Pre-Calculation'!$D$17="Type 4 e",MAX(SA,H64),IF('Pre-Calculation'!$D$17="Type 4 f",SA,IF('Pre-Calculation'!$D$17="Type 4 g",1000+H64,IF('Pre-Calculation'!$D$17="Type 4 h",SA+X64,IF('Pre-Calculation'!$D$17="Type 4 i",MAX(H64,Q64),IF('Pre-Calculation'!$D$17="Type 4 k",MAX(H64,1.01*Q64),IF('Pre-Calculation'!$D$17="Type 4 m",MAX(105%*Q64,SA+H64),IF('Pre-Calculation'!$D$17="Type 4 o",MAX(SA,105%*Q64)+X64+Z64,IF('Pre-Calculation'!$D$17="Type 5",0))))))))))))</f>
        <v>1155000</v>
      </c>
      <c r="L64" s="175">
        <f>H64-I64*(1+Tax)</f>
        <v>485885.3696</v>
      </c>
      <c r="M64" s="175">
        <f>L64*(1+GROWTH_RATE_L)*(1-FMC*(1+Tax))</f>
        <v>486829.2593</v>
      </c>
      <c r="N64" s="175">
        <f>M64+IF(MOD(A64,B64)=0,VLOOKUP(B64,'Pre-Calculation'!$H$1:$L$31,5,FALSE),0)*IF('Pre-Calculation'!$D$16="% OF FV",M64,IF(OR('Pre-Calculation'!$D$16="% OF AFV(24M)",'Pre-Calculation'!$D$16="% OF AFV(8Q)"),AVERAGE( $M41:$M64),IF('Pre-Calculation'!$D$16="% OF AFV(12M)",AVERAGE($M53:M64),IF('Pre-Calculation'!$D$16="% OF AFV(36M)",AVERAGE($M29:M64)))))</f>
        <v>486829.2593</v>
      </c>
      <c r="O64" s="175">
        <f t="shared" si="4"/>
        <v>486829.2593</v>
      </c>
      <c r="P64" s="175">
        <f>IF('Pre-Calculation'!$D$17="Type 4 a",MAX(SA,N64,1.05*Q64),IF('Pre-Calculation'!$D$17="Type 4 c",N64,IF('Pre-Calculation'!$D$17="Type 4 d",SA+N64,IF('Pre-Calculation'!$D$17="Type 4 e",MAX(SA,N64),IF('Pre-Calculation'!$D$17="Type 4 f",SA,IF('Pre-Calculation'!$D$17="Type 4 g",1000+N64,IF('Pre-Calculation'!$D$17="Type 4 h",SA+X64,IF('Pre-Calculation'!$D$17="Type 4 i",MAX(N64,Q64),IF('Pre-Calculation'!$D$17="Type 4 k",MAX(N64,1.01*Q64),IF('Pre-Calculation'!$D$17="Type 4 m",MAX(105%*Q64,SA+N64),IF('Pre-Calculation'!$D$17="Type 4 o",MAX(SA,105%*Q64)+X64+Z64,IF('Pre-Calculation'!$D$17="Type 5",0))))))))))))</f>
        <v>1155000</v>
      </c>
      <c r="Q64" s="175">
        <f t="shared" si="5"/>
        <v>1100000</v>
      </c>
      <c r="R64" s="119">
        <f>L64*(1+GROWTH_RATE)*FMC</f>
        <v>549.838843</v>
      </c>
      <c r="S64" s="178">
        <f>S63*(1+'Pre-Calculation'!$E$27)</f>
        <v>767582.4692</v>
      </c>
      <c r="T64" s="175">
        <f>-E64+IF(A63=INPUT!$C$11*12,N64,0)</f>
        <v>0</v>
      </c>
      <c r="U64" s="175">
        <f t="shared" si="6"/>
        <v>527333.3746</v>
      </c>
      <c r="V64" s="175">
        <f>U64*(1+GROWTH_RATE_L)*(1-'Pre-Calculation'!$E$31)</f>
        <v>528178.6709</v>
      </c>
      <c r="W64" s="175">
        <f>-E64+IF(A63=INPUT!$C$11*12,V64,0)</f>
        <v>0</v>
      </c>
      <c r="X64" s="179">
        <f t="array" ref="X64">NPV('Pre-Calculation'!$E$20,$E65:E$246)</f>
        <v>431362.714</v>
      </c>
      <c r="Y64" s="171">
        <f>10%*SA</f>
        <v>100000</v>
      </c>
      <c r="Z64" s="179">
        <f t="array" ref="Z64">NPV('Pre-Calculation'!$E$20,Y65:Y74)</f>
        <v>969592.8037</v>
      </c>
    </row>
    <row r="65" ht="15.75" customHeight="1">
      <c r="A65" s="171">
        <f t="shared" si="1"/>
        <v>59</v>
      </c>
      <c r="B65" s="171">
        <f t="shared" si="2"/>
        <v>5</v>
      </c>
      <c r="C65" s="176">
        <f>EDATE(RCD,A64)</f>
        <v>44316</v>
      </c>
      <c r="D65" s="171">
        <f>Age_At_Entry+'Cashflows_4% from Start'!B65-1</f>
        <v>39</v>
      </c>
      <c r="E65" s="175">
        <f>IF(AND(C65&lt;=Last_Prem,MOD(A64,Mode)=0),Mod_Prem,0)</f>
        <v>0</v>
      </c>
      <c r="F65" s="177">
        <f>IF(B65&lt;PT+1,E65*VLOOKUP(B65,'Pre-Calculation'!$H$1:$I$31,2,FALSE),0)</f>
        <v>0</v>
      </c>
      <c r="G65" s="177">
        <f>IF(B65&lt;PT+1,VLOOKUP(B65,'Pre-Calculation'!$H$1:$L$32,3,FALSE)+VLOOKUP(B65,'Pre-Calculation'!$H$1:$L$32,4,FALSE)*'Pre-Calculation'!$D$7,0)</f>
        <v>420</v>
      </c>
      <c r="H65" s="175">
        <f>(E65-(F65+G65)*(1+Tax)+N64)</f>
        <v>486333.6593</v>
      </c>
      <c r="I65" s="175">
        <f>IF(B65&lt;PT+1,VLOOKUP(D65,'Pre-Calculation'!$N$3:$P$79,IF(INPUT!$C$4="M",2,3),FALSE)*(J65/1000)*(1/12),0)</f>
        <v>92.88889916</v>
      </c>
      <c r="J65" s="175">
        <f t="shared" si="3"/>
        <v>668666.3407</v>
      </c>
      <c r="K65" s="175">
        <f>IF('Pre-Calculation'!$D$17="Type 4 a",MAX(SA,H65,1.05*Q65),IF('Pre-Calculation'!$D$17="Type 4 c",H65,IF('Pre-Calculation'!$D$17="Type 4 d",SA+H65,IF('Pre-Calculation'!$D$17="Type 4 e",MAX(SA,H65),IF('Pre-Calculation'!$D$17="Type 4 f",SA,IF('Pre-Calculation'!$D$17="Type 4 g",1000+H65,IF('Pre-Calculation'!$D$17="Type 4 h",SA+X65,IF('Pre-Calculation'!$D$17="Type 4 i",MAX(H65,Q65),IF('Pre-Calculation'!$D$17="Type 4 k",MAX(H65,1.01*Q65),IF('Pre-Calculation'!$D$17="Type 4 m",MAX(105%*Q65,SA+H65),IF('Pre-Calculation'!$D$17="Type 4 o",MAX(SA,105%*Q65)+X65+Z65,IF('Pre-Calculation'!$D$17="Type 5",0))))))))))))</f>
        <v>1155000</v>
      </c>
      <c r="L65" s="175">
        <f>H65-I65*(1+Tax)</f>
        <v>486224.0504</v>
      </c>
      <c r="M65" s="175">
        <f>L65*(1+GROWTH_RATE_L)*(1-FMC*(1+Tax))</f>
        <v>487168.5981</v>
      </c>
      <c r="N65" s="175">
        <f>M65+IF(MOD(A65,B65)=0,VLOOKUP(B65,'Pre-Calculation'!$H$1:$L$31,5,FALSE),0)*IF('Pre-Calculation'!$D$16="% OF FV",M65,IF(OR('Pre-Calculation'!$D$16="% OF AFV(24M)",'Pre-Calculation'!$D$16="% OF AFV(8Q)"),AVERAGE( $M42:$M65),IF('Pre-Calculation'!$D$16="% OF AFV(12M)",AVERAGE($M54:M65),IF('Pre-Calculation'!$D$16="% OF AFV(36M)",AVERAGE($M30:M65)))))</f>
        <v>487168.5981</v>
      </c>
      <c r="O65" s="175">
        <f t="shared" si="4"/>
        <v>487168.5981</v>
      </c>
      <c r="P65" s="175">
        <f>IF('Pre-Calculation'!$D$17="Type 4 a",MAX(SA,N65,1.05*Q65),IF('Pre-Calculation'!$D$17="Type 4 c",N65,IF('Pre-Calculation'!$D$17="Type 4 d",SA+N65,IF('Pre-Calculation'!$D$17="Type 4 e",MAX(SA,N65),IF('Pre-Calculation'!$D$17="Type 4 f",SA,IF('Pre-Calculation'!$D$17="Type 4 g",1000+N65,IF('Pre-Calculation'!$D$17="Type 4 h",SA+X65,IF('Pre-Calculation'!$D$17="Type 4 i",MAX(N65,Q65),IF('Pre-Calculation'!$D$17="Type 4 k",MAX(N65,1.01*Q65),IF('Pre-Calculation'!$D$17="Type 4 m",MAX(105%*Q65,SA+N65),IF('Pre-Calculation'!$D$17="Type 4 o",MAX(SA,105%*Q65)+X65+Z65,IF('Pre-Calculation'!$D$17="Type 5",0))))))))))))</f>
        <v>1155000</v>
      </c>
      <c r="Q65" s="175">
        <f t="shared" si="5"/>
        <v>1100000</v>
      </c>
      <c r="R65" s="119">
        <f>L65*(1+GROWTH_RATE)*FMC</f>
        <v>550.2221019</v>
      </c>
      <c r="S65" s="178">
        <f>S64*(1+'Pre-Calculation'!$E$27)</f>
        <v>769786.1207</v>
      </c>
      <c r="T65" s="175">
        <f>-E65+IF(A64=INPUT!$C$11*12,N65,0)</f>
        <v>0</v>
      </c>
      <c r="U65" s="175">
        <f t="shared" si="6"/>
        <v>528178.6709</v>
      </c>
      <c r="V65" s="175">
        <f>U65*(1+GROWTH_RATE_L)*(1-'Pre-Calculation'!$E$31)</f>
        <v>529025.3222</v>
      </c>
      <c r="W65" s="175">
        <f>-E65+IF(A64=INPUT!$C$11*12,V65,0)</f>
        <v>0</v>
      </c>
      <c r="X65" s="179">
        <f t="array" ref="X65">NPV('Pre-Calculation'!$E$20,$E66:E$246)</f>
        <v>433801.7015</v>
      </c>
      <c r="Y65" s="171">
        <f>10%*SA</f>
        <v>100000</v>
      </c>
      <c r="Z65" s="179">
        <f t="array" ref="Z65">NPV('Pre-Calculation'!$E$20,Y66:Y75)</f>
        <v>969592.8037</v>
      </c>
    </row>
    <row r="66" ht="15.75" customHeight="1">
      <c r="A66" s="171">
        <f t="shared" si="1"/>
        <v>60</v>
      </c>
      <c r="B66" s="171">
        <f t="shared" si="2"/>
        <v>5</v>
      </c>
      <c r="C66" s="176">
        <f>EDATE(RCD,A65)</f>
        <v>44346</v>
      </c>
      <c r="D66" s="171">
        <f>Age_At_Entry+'Cashflows_4% from Start'!B66-1</f>
        <v>39</v>
      </c>
      <c r="E66" s="175">
        <f>IF(AND(C66&lt;=Last_Prem,MOD(A65,Mode)=0),Mod_Prem,0)</f>
        <v>0</v>
      </c>
      <c r="F66" s="177">
        <f>IF(B66&lt;PT+1,E66*VLOOKUP(B66,'Pre-Calculation'!$H$1:$I$31,2,FALSE),0)</f>
        <v>0</v>
      </c>
      <c r="G66" s="177">
        <f>IF(B66&lt;PT+1,VLOOKUP(B66,'Pre-Calculation'!$H$1:$L$32,3,FALSE)+VLOOKUP(B66,'Pre-Calculation'!$H$1:$L$32,4,FALSE)*'Pre-Calculation'!$D$7,0)</f>
        <v>420</v>
      </c>
      <c r="H66" s="175">
        <f>(E66-(F66+G66)*(1+Tax)+N65)</f>
        <v>486672.9981</v>
      </c>
      <c r="I66" s="175">
        <f>IF(B66&lt;PT+1,VLOOKUP(D66,'Pre-Calculation'!$N$3:$P$79,IF(INPUT!$C$4="M",2,3),FALSE)*(J66/1000)*(1/12),0)</f>
        <v>92.84175935</v>
      </c>
      <c r="J66" s="175">
        <f t="shared" si="3"/>
        <v>668327.0019</v>
      </c>
      <c r="K66" s="175">
        <f>IF('Pre-Calculation'!$D$17="Type 4 a",MAX(SA,H66,1.05*Q66),IF('Pre-Calculation'!$D$17="Type 4 c",H66,IF('Pre-Calculation'!$D$17="Type 4 d",SA+H66,IF('Pre-Calculation'!$D$17="Type 4 e",MAX(SA,H66),IF('Pre-Calculation'!$D$17="Type 4 f",SA,IF('Pre-Calculation'!$D$17="Type 4 g",1000+H66,IF('Pre-Calculation'!$D$17="Type 4 h",SA+X66,IF('Pre-Calculation'!$D$17="Type 4 i",MAX(H66,Q66),IF('Pre-Calculation'!$D$17="Type 4 k",MAX(H66,1.01*Q66),IF('Pre-Calculation'!$D$17="Type 4 m",MAX(105%*Q66,SA+H66),IF('Pre-Calculation'!$D$17="Type 4 o",MAX(SA,105%*Q66)+X66+Z66,IF('Pre-Calculation'!$D$17="Type 5",0))))))))))))</f>
        <v>1155000</v>
      </c>
      <c r="L66" s="175">
        <f>H66-I66*(1+Tax)</f>
        <v>486563.4448</v>
      </c>
      <c r="M66" s="175">
        <f>L66*(1+GROWTH_RATE_L)*(1-FMC*(1+Tax))</f>
        <v>487508.6518</v>
      </c>
      <c r="N66" s="175">
        <f>M66+IF(MOD(A66,B66)=0,VLOOKUP(B66,'Pre-Calculation'!$H$1:$L$31,5,FALSE),0)*IF('Pre-Calculation'!$D$16="% OF FV",M66,IF(OR('Pre-Calculation'!$D$16="% OF AFV(24M)",'Pre-Calculation'!$D$16="% OF AFV(8Q)"),AVERAGE( $M43:$M66),IF('Pre-Calculation'!$D$16="% OF AFV(12M)",AVERAGE($M55:M66),IF('Pre-Calculation'!$D$16="% OF AFV(36M)",AVERAGE($M31:M66)))))</f>
        <v>487508.6518</v>
      </c>
      <c r="O66" s="175">
        <f t="shared" si="4"/>
        <v>487508.6518</v>
      </c>
      <c r="P66" s="175">
        <f>IF('Pre-Calculation'!$D$17="Type 4 a",MAX(SA,N66,1.05*Q66),IF('Pre-Calculation'!$D$17="Type 4 c",N66,IF('Pre-Calculation'!$D$17="Type 4 d",SA+N66,IF('Pre-Calculation'!$D$17="Type 4 e",MAX(SA,N66),IF('Pre-Calculation'!$D$17="Type 4 f",SA,IF('Pre-Calculation'!$D$17="Type 4 g",1000+N66,IF('Pre-Calculation'!$D$17="Type 4 h",SA+X66,IF('Pre-Calculation'!$D$17="Type 4 i",MAX(N66,Q66),IF('Pre-Calculation'!$D$17="Type 4 k",MAX(N66,1.01*Q66),IF('Pre-Calculation'!$D$17="Type 4 m",MAX(105%*Q66,SA+N66),IF('Pre-Calculation'!$D$17="Type 4 o",MAX(SA,105%*Q66)+X66+Z66,IF('Pre-Calculation'!$D$17="Type 5",0))))))))))))</f>
        <v>1155000</v>
      </c>
      <c r="Q66" s="175">
        <f t="shared" si="5"/>
        <v>1100000</v>
      </c>
      <c r="R66" s="119">
        <f>L66*(1+GROWTH_RATE)*FMC</f>
        <v>550.6061682</v>
      </c>
      <c r="S66" s="178">
        <f>S65*(1+'Pre-Calculation'!$E$27)</f>
        <v>771996.0987</v>
      </c>
      <c r="T66" s="175">
        <f>-E66+IF(A65=INPUT!$C$11*12,N66,0)</f>
        <v>0</v>
      </c>
      <c r="U66" s="175">
        <f t="shared" si="6"/>
        <v>529025.3222</v>
      </c>
      <c r="V66" s="175">
        <f>U66*(1+GROWTH_RATE_L)*(1-'Pre-Calculation'!$E$31)</f>
        <v>529873.3306</v>
      </c>
      <c r="W66" s="175">
        <f>-E66+IF(A65=INPUT!$C$11*12,V66,0)</f>
        <v>0</v>
      </c>
      <c r="X66" s="179">
        <f t="array" ref="X66">NPV('Pre-Calculation'!$E$20,$E67:E$246)</f>
        <v>436254.4794</v>
      </c>
      <c r="Y66" s="171">
        <f>10%*SA</f>
        <v>100000</v>
      </c>
      <c r="Z66" s="179">
        <f t="array" ref="Z66">NPV('Pre-Calculation'!$E$20,Y67:Y76)</f>
        <v>969592.8037</v>
      </c>
    </row>
    <row r="67" ht="15.75" customHeight="1">
      <c r="A67" s="171">
        <f t="shared" si="1"/>
        <v>61</v>
      </c>
      <c r="B67" s="171">
        <f t="shared" si="2"/>
        <v>6</v>
      </c>
      <c r="C67" s="176">
        <f>EDATE(RCD,A66)</f>
        <v>44377</v>
      </c>
      <c r="D67" s="171">
        <f>Age_At_Entry+'Cashflows_4% from Start'!B67-1</f>
        <v>40</v>
      </c>
      <c r="E67" s="175">
        <f>IF(AND(C67&lt;=Last_Prem,MOD(A66,Mode)=0),Mod_Prem,0)</f>
        <v>100000</v>
      </c>
      <c r="F67" s="177">
        <f>IF(B67&lt;PT+1,E67*VLOOKUP(B67,'Pre-Calculation'!$H$1:$I$31,2,FALSE),0)</f>
        <v>0</v>
      </c>
      <c r="G67" s="177">
        <f>IF(B67&lt;PT+1,VLOOKUP(B67,'Pre-Calculation'!$H$1:$L$32,3,FALSE)+VLOOKUP(B67,'Pre-Calculation'!$H$1:$L$32,4,FALSE)*'Pre-Calculation'!$D$7,0)</f>
        <v>830</v>
      </c>
      <c r="H67" s="175">
        <f>(E67-(F67+G67)*(1+Tax)+N66)</f>
        <v>586529.2518</v>
      </c>
      <c r="I67" s="175">
        <f>IF(B67&lt;PT+1,VLOOKUP(D67,'Pre-Calculation'!$N$3:$P$79,IF(INPUT!$C$4="M",2,3),FALSE)*(J67/1000)*(1/12),0)</f>
        <v>101.1609186</v>
      </c>
      <c r="J67" s="175">
        <f t="shared" si="3"/>
        <v>673470.7482</v>
      </c>
      <c r="K67" s="175">
        <f>IF('Pre-Calculation'!$D$17="Type 4 a",MAX(SA,H67,1.05*Q67),IF('Pre-Calculation'!$D$17="Type 4 c",H67,IF('Pre-Calculation'!$D$17="Type 4 d",SA+H67,IF('Pre-Calculation'!$D$17="Type 4 e",MAX(SA,H67),IF('Pre-Calculation'!$D$17="Type 4 f",SA,IF('Pre-Calculation'!$D$17="Type 4 g",1000+H67,IF('Pre-Calculation'!$D$17="Type 4 h",SA+X67,IF('Pre-Calculation'!$D$17="Type 4 i",MAX(H67,Q67),IF('Pre-Calculation'!$D$17="Type 4 k",MAX(H67,1.01*Q67),IF('Pre-Calculation'!$D$17="Type 4 m",MAX(105%*Q67,SA+H67),IF('Pre-Calculation'!$D$17="Type 4 o",MAX(SA,105%*Q67)+X67+Z67,IF('Pre-Calculation'!$D$17="Type 5",0))))))))))))</f>
        <v>1260000</v>
      </c>
      <c r="L67" s="175">
        <f>H67-I67*(1+Tax)</f>
        <v>586409.8819</v>
      </c>
      <c r="M67" s="175">
        <f>L67*(1+GROWTH_RATE_L)*(1-FMC*(1+Tax))</f>
        <v>587549.0524</v>
      </c>
      <c r="N67" s="175">
        <f>M67+IF(MOD(A67,B67)=0,VLOOKUP(B67,'Pre-Calculation'!$H$1:$L$31,5,FALSE),0)*IF('Pre-Calculation'!$D$16="% OF FV",M67,IF(OR('Pre-Calculation'!$D$16="% OF AFV(24M)",'Pre-Calculation'!$D$16="% OF AFV(8Q)"),AVERAGE( $M44:$M67),IF('Pre-Calculation'!$D$16="% OF AFV(12M)",AVERAGE($M56:M67),IF('Pre-Calculation'!$D$16="% OF AFV(36M)",AVERAGE($M32:M67)))))</f>
        <v>587549.0524</v>
      </c>
      <c r="O67" s="175">
        <f t="shared" si="4"/>
        <v>587549.0524</v>
      </c>
      <c r="P67" s="175">
        <f>IF('Pre-Calculation'!$D$17="Type 4 a",MAX(SA,N67,1.05*Q67),IF('Pre-Calculation'!$D$17="Type 4 c",N67,IF('Pre-Calculation'!$D$17="Type 4 d",SA+N67,IF('Pre-Calculation'!$D$17="Type 4 e",MAX(SA,N67),IF('Pre-Calculation'!$D$17="Type 4 f",SA,IF('Pre-Calculation'!$D$17="Type 4 g",1000+N67,IF('Pre-Calculation'!$D$17="Type 4 h",SA+X67,IF('Pre-Calculation'!$D$17="Type 4 i",MAX(N67,Q67),IF('Pre-Calculation'!$D$17="Type 4 k",MAX(N67,1.01*Q67),IF('Pre-Calculation'!$D$17="Type 4 m",MAX(105%*Q67,SA+N67),IF('Pre-Calculation'!$D$17="Type 4 o",MAX(SA,105%*Q67)+X67+Z67,IF('Pre-Calculation'!$D$17="Type 5",0))))))))))))</f>
        <v>1260000</v>
      </c>
      <c r="Q67" s="175">
        <f t="shared" si="5"/>
        <v>1200000</v>
      </c>
      <c r="R67" s="119">
        <f>L67*(1+GROWTH_RATE)*FMC</f>
        <v>663.5946484</v>
      </c>
      <c r="S67" s="178">
        <f>S66*(1+'Pre-Calculation'!$E$27)</f>
        <v>774212.4213</v>
      </c>
      <c r="T67" s="175">
        <f>-E67+IF(A66=INPUT!$C$11*12,N67,0)</f>
        <v>-100000</v>
      </c>
      <c r="U67" s="175">
        <f t="shared" si="6"/>
        <v>629873.3306</v>
      </c>
      <c r="V67" s="175">
        <f>U67*(1+GROWTH_RATE_L)*(1-'Pre-Calculation'!$E$31)</f>
        <v>630882.9948</v>
      </c>
      <c r="W67" s="175">
        <f>-E67+IF(A66=INPUT!$C$11*12,V67,0)</f>
        <v>-100000</v>
      </c>
      <c r="X67" s="179">
        <f t="array" ref="X67">NPV('Pre-Calculation'!$E$20,$E68:E$246)</f>
        <v>338721.1256</v>
      </c>
      <c r="Y67" s="171">
        <f>10%*SA</f>
        <v>100000</v>
      </c>
      <c r="Z67" s="179">
        <f t="array" ref="Z67">NPV('Pre-Calculation'!$E$20,Y68:Y77)</f>
        <v>969592.8037</v>
      </c>
    </row>
    <row r="68" ht="15.75" customHeight="1">
      <c r="A68" s="171">
        <f t="shared" si="1"/>
        <v>62</v>
      </c>
      <c r="B68" s="171">
        <f t="shared" si="2"/>
        <v>6</v>
      </c>
      <c r="C68" s="176">
        <f>EDATE(RCD,A67)</f>
        <v>44407</v>
      </c>
      <c r="D68" s="171">
        <f>Age_At_Entry+'Cashflows_4% from Start'!B68-1</f>
        <v>40</v>
      </c>
      <c r="E68" s="175">
        <f>IF(AND(C68&lt;=Last_Prem,MOD(A67,Mode)=0),Mod_Prem,0)</f>
        <v>0</v>
      </c>
      <c r="F68" s="177">
        <f>IF(B68&lt;PT+1,E68*VLOOKUP(B68,'Pre-Calculation'!$H$1:$I$31,2,FALSE),0)</f>
        <v>0</v>
      </c>
      <c r="G68" s="177">
        <f>IF(B68&lt;PT+1,VLOOKUP(B68,'Pre-Calculation'!$H$1:$L$32,3,FALSE)+VLOOKUP(B68,'Pre-Calculation'!$H$1:$L$32,4,FALSE)*'Pre-Calculation'!$D$7,0)</f>
        <v>830</v>
      </c>
      <c r="H68" s="175">
        <f>(E68-(F68+G68)*(1+Tax)+N67)</f>
        <v>586569.6524</v>
      </c>
      <c r="I68" s="175">
        <f>IF(B68&lt;PT+1,VLOOKUP(D68,'Pre-Calculation'!$N$3:$P$79,IF(INPUT!$C$4="M",2,3),FALSE)*(J68/1000)*(1/12),0)</f>
        <v>101.1548501</v>
      </c>
      <c r="J68" s="175">
        <f t="shared" si="3"/>
        <v>673430.3476</v>
      </c>
      <c r="K68" s="175">
        <f>IF('Pre-Calculation'!$D$17="Type 4 a",MAX(SA,H68,1.05*Q68),IF('Pre-Calculation'!$D$17="Type 4 c",H68,IF('Pre-Calculation'!$D$17="Type 4 d",SA+H68,IF('Pre-Calculation'!$D$17="Type 4 e",MAX(SA,H68),IF('Pre-Calculation'!$D$17="Type 4 f",SA,IF('Pre-Calculation'!$D$17="Type 4 g",1000+H68,IF('Pre-Calculation'!$D$17="Type 4 h",SA+X68,IF('Pre-Calculation'!$D$17="Type 4 i",MAX(H68,Q68),IF('Pre-Calculation'!$D$17="Type 4 k",MAX(H68,1.01*Q68),IF('Pre-Calculation'!$D$17="Type 4 m",MAX(105%*Q68,SA+H68),IF('Pre-Calculation'!$D$17="Type 4 o",MAX(SA,105%*Q68)+X68+Z68,IF('Pre-Calculation'!$D$17="Type 5",0))))))))))))</f>
        <v>1260000</v>
      </c>
      <c r="L68" s="175">
        <f>H68-I68*(1+Tax)</f>
        <v>586450.2897</v>
      </c>
      <c r="M68" s="175">
        <f>L68*(1+GROWTH_RATE_L)*(1-FMC*(1+Tax))</f>
        <v>587589.5387</v>
      </c>
      <c r="N68" s="175">
        <f>M68+IF(MOD(A68,B68)=0,VLOOKUP(B68,'Pre-Calculation'!$H$1:$L$31,5,FALSE),0)*IF('Pre-Calculation'!$D$16="% OF FV",M68,IF(OR('Pre-Calculation'!$D$16="% OF AFV(24M)",'Pre-Calculation'!$D$16="% OF AFV(8Q)"),AVERAGE( $M45:$M68),IF('Pre-Calculation'!$D$16="% OF AFV(12M)",AVERAGE($M57:M68),IF('Pre-Calculation'!$D$16="% OF AFV(36M)",AVERAGE($M33:M68)))))</f>
        <v>587589.5387</v>
      </c>
      <c r="O68" s="175">
        <f t="shared" si="4"/>
        <v>587589.5387</v>
      </c>
      <c r="P68" s="175">
        <f>IF('Pre-Calculation'!$D$17="Type 4 a",MAX(SA,N68,1.05*Q68),IF('Pre-Calculation'!$D$17="Type 4 c",N68,IF('Pre-Calculation'!$D$17="Type 4 d",SA+N68,IF('Pre-Calculation'!$D$17="Type 4 e",MAX(SA,N68),IF('Pre-Calculation'!$D$17="Type 4 f",SA,IF('Pre-Calculation'!$D$17="Type 4 g",1000+N68,IF('Pre-Calculation'!$D$17="Type 4 h",SA+X68,IF('Pre-Calculation'!$D$17="Type 4 i",MAX(N68,Q68),IF('Pre-Calculation'!$D$17="Type 4 k",MAX(N68,1.01*Q68),IF('Pre-Calculation'!$D$17="Type 4 m",MAX(105%*Q68,SA+N68),IF('Pre-Calculation'!$D$17="Type 4 o",MAX(SA,105%*Q68)+X68+Z68,IF('Pre-Calculation'!$D$17="Type 5",0))))))))))))</f>
        <v>1260000</v>
      </c>
      <c r="Q68" s="175">
        <f t="shared" si="5"/>
        <v>1200000</v>
      </c>
      <c r="R68" s="119">
        <f>L68*(1+GROWTH_RATE)*FMC</f>
        <v>663.6403748</v>
      </c>
      <c r="S68" s="178">
        <f>S67*(1+'Pre-Calculation'!$E$27)</f>
        <v>776435.1067</v>
      </c>
      <c r="T68" s="175">
        <f>-E68+IF(A67=INPUT!$C$11*12,N68,0)</f>
        <v>0</v>
      </c>
      <c r="U68" s="175">
        <f t="shared" si="6"/>
        <v>630882.9948</v>
      </c>
      <c r="V68" s="175">
        <f>U68*(1+GROWTH_RATE_L)*(1-'Pre-Calculation'!$E$31)</f>
        <v>631894.2774</v>
      </c>
      <c r="W68" s="175">
        <f>-E68+IF(A67=INPUT!$C$11*12,V68,0)</f>
        <v>0</v>
      </c>
      <c r="X68" s="179">
        <f t="array" ref="X68">NPV('Pre-Calculation'!$E$20,$E69:E$246)</f>
        <v>340636.3041</v>
      </c>
      <c r="Y68" s="171">
        <f>10%*SA</f>
        <v>100000</v>
      </c>
      <c r="Z68" s="179">
        <f t="array" ref="Z68">NPV('Pre-Calculation'!$E$20,Y69:Y78)</f>
        <v>969592.8037</v>
      </c>
    </row>
    <row r="69" ht="15.75" customHeight="1">
      <c r="A69" s="171">
        <f t="shared" si="1"/>
        <v>63</v>
      </c>
      <c r="B69" s="171">
        <f t="shared" si="2"/>
        <v>6</v>
      </c>
      <c r="C69" s="176">
        <f>EDATE(RCD,A68)</f>
        <v>44438</v>
      </c>
      <c r="D69" s="171">
        <f>Age_At_Entry+'Cashflows_4% from Start'!B69-1</f>
        <v>40</v>
      </c>
      <c r="E69" s="175">
        <f>IF(AND(C69&lt;=Last_Prem,MOD(A68,Mode)=0),Mod_Prem,0)</f>
        <v>0</v>
      </c>
      <c r="F69" s="177">
        <f>IF(B69&lt;PT+1,E69*VLOOKUP(B69,'Pre-Calculation'!$H$1:$I$31,2,FALSE),0)</f>
        <v>0</v>
      </c>
      <c r="G69" s="177">
        <f>IF(B69&lt;PT+1,VLOOKUP(B69,'Pre-Calculation'!$H$1:$L$32,3,FALSE)+VLOOKUP(B69,'Pre-Calculation'!$H$1:$L$32,4,FALSE)*'Pre-Calculation'!$D$7,0)</f>
        <v>830</v>
      </c>
      <c r="H69" s="175">
        <f>(E69-(F69+G69)*(1+Tax)+N68)</f>
        <v>586610.1387</v>
      </c>
      <c r="I69" s="175">
        <f>IF(B69&lt;PT+1,VLOOKUP(D69,'Pre-Calculation'!$N$3:$P$79,IF(INPUT!$C$4="M",2,3),FALSE)*(J69/1000)*(1/12),0)</f>
        <v>101.1487687</v>
      </c>
      <c r="J69" s="175">
        <f t="shared" si="3"/>
        <v>673389.8613</v>
      </c>
      <c r="K69" s="175">
        <f>IF('Pre-Calculation'!$D$17="Type 4 a",MAX(SA,H69,1.05*Q69),IF('Pre-Calculation'!$D$17="Type 4 c",H69,IF('Pre-Calculation'!$D$17="Type 4 d",SA+H69,IF('Pre-Calculation'!$D$17="Type 4 e",MAX(SA,H69),IF('Pre-Calculation'!$D$17="Type 4 f",SA,IF('Pre-Calculation'!$D$17="Type 4 g",1000+H69,IF('Pre-Calculation'!$D$17="Type 4 h",SA+X69,IF('Pre-Calculation'!$D$17="Type 4 i",MAX(H69,Q69),IF('Pre-Calculation'!$D$17="Type 4 k",MAX(H69,1.01*Q69),IF('Pre-Calculation'!$D$17="Type 4 m",MAX(105%*Q69,SA+H69),IF('Pre-Calculation'!$D$17="Type 4 o",MAX(SA,105%*Q69)+X69+Z69,IF('Pre-Calculation'!$D$17="Type 5",0))))))))))))</f>
        <v>1260000</v>
      </c>
      <c r="L69" s="175">
        <f>H69-I69*(1+Tax)</f>
        <v>586490.7832</v>
      </c>
      <c r="M69" s="175">
        <f>L69*(1+GROWTH_RATE_L)*(1-FMC*(1+Tax))</f>
        <v>587630.1108</v>
      </c>
      <c r="N69" s="175">
        <f>M69+IF(MOD(A69,B69)=0,VLOOKUP(B69,'Pre-Calculation'!$H$1:$L$31,5,FALSE),0)*IF('Pre-Calculation'!$D$16="% OF FV",M69,IF(OR('Pre-Calculation'!$D$16="% OF AFV(24M)",'Pre-Calculation'!$D$16="% OF AFV(8Q)"),AVERAGE( $M46:$M69),IF('Pre-Calculation'!$D$16="% OF AFV(12M)",AVERAGE($M58:M69),IF('Pre-Calculation'!$D$16="% OF AFV(36M)",AVERAGE($M34:M69)))))</f>
        <v>587630.1108</v>
      </c>
      <c r="O69" s="175">
        <f t="shared" si="4"/>
        <v>587630.1108</v>
      </c>
      <c r="P69" s="175">
        <f>IF('Pre-Calculation'!$D$17="Type 4 a",MAX(SA,N69,1.05*Q69),IF('Pre-Calculation'!$D$17="Type 4 c",N69,IF('Pre-Calculation'!$D$17="Type 4 d",SA+N69,IF('Pre-Calculation'!$D$17="Type 4 e",MAX(SA,N69),IF('Pre-Calculation'!$D$17="Type 4 f",SA,IF('Pre-Calculation'!$D$17="Type 4 g",1000+N69,IF('Pre-Calculation'!$D$17="Type 4 h",SA+X69,IF('Pre-Calculation'!$D$17="Type 4 i",MAX(N69,Q69),IF('Pre-Calculation'!$D$17="Type 4 k",MAX(N69,1.01*Q69),IF('Pre-Calculation'!$D$17="Type 4 m",MAX(105%*Q69,SA+N69),IF('Pre-Calculation'!$D$17="Type 4 o",MAX(SA,105%*Q69)+X69+Z69,IF('Pre-Calculation'!$D$17="Type 5",0))))))))))))</f>
        <v>1260000</v>
      </c>
      <c r="Q69" s="175">
        <f t="shared" si="5"/>
        <v>1200000</v>
      </c>
      <c r="R69" s="119">
        <f>L69*(1+GROWTH_RATE)*FMC</f>
        <v>663.6861981</v>
      </c>
      <c r="S69" s="178">
        <f>S68*(1+'Pre-Calculation'!$E$27)</f>
        <v>778664.1733</v>
      </c>
      <c r="T69" s="175">
        <f>-E69+IF(A68=INPUT!$C$11*12,N69,0)</f>
        <v>0</v>
      </c>
      <c r="U69" s="175">
        <f t="shared" si="6"/>
        <v>631894.2774</v>
      </c>
      <c r="V69" s="175">
        <f>U69*(1+GROWTH_RATE_L)*(1-'Pre-Calculation'!$E$31)</f>
        <v>632907.181</v>
      </c>
      <c r="W69" s="175">
        <f>-E69+IF(A68=INPUT!$C$11*12,V69,0)</f>
        <v>0</v>
      </c>
      <c r="X69" s="179">
        <f t="array" ref="X69">NPV('Pre-Calculation'!$E$20,$E70:E$246)</f>
        <v>342562.3113</v>
      </c>
      <c r="Y69" s="171">
        <f>10%*SA</f>
        <v>100000</v>
      </c>
      <c r="Z69" s="179">
        <f t="array" ref="Z69">NPV('Pre-Calculation'!$E$20,Y70:Y79)</f>
        <v>969592.8037</v>
      </c>
    </row>
    <row r="70" ht="15.75" customHeight="1">
      <c r="A70" s="171">
        <f t="shared" si="1"/>
        <v>64</v>
      </c>
      <c r="B70" s="171">
        <f t="shared" si="2"/>
        <v>6</v>
      </c>
      <c r="C70" s="176">
        <f>EDATE(RCD,A69)</f>
        <v>44469</v>
      </c>
      <c r="D70" s="171">
        <f>Age_At_Entry+'Cashflows_4% from Start'!B70-1</f>
        <v>40</v>
      </c>
      <c r="E70" s="175">
        <f>IF(AND(C70&lt;=Last_Prem,MOD(A69,Mode)=0),Mod_Prem,0)</f>
        <v>0</v>
      </c>
      <c r="F70" s="177">
        <f>IF(B70&lt;PT+1,E70*VLOOKUP(B70,'Pre-Calculation'!$H$1:$I$31,2,FALSE),0)</f>
        <v>0</v>
      </c>
      <c r="G70" s="177">
        <f>IF(B70&lt;PT+1,VLOOKUP(B70,'Pre-Calculation'!$H$1:$L$32,3,FALSE)+VLOOKUP(B70,'Pre-Calculation'!$H$1:$L$32,4,FALSE)*'Pre-Calculation'!$D$7,0)</f>
        <v>830</v>
      </c>
      <c r="H70" s="175">
        <f>(E70-(F70+G70)*(1+Tax)+N69)</f>
        <v>586650.7108</v>
      </c>
      <c r="I70" s="175">
        <f>IF(B70&lt;PT+1,VLOOKUP(D70,'Pre-Calculation'!$N$3:$P$79,IF(INPUT!$C$4="M",2,3),FALSE)*(J70/1000)*(1/12),0)</f>
        <v>101.1426745</v>
      </c>
      <c r="J70" s="175">
        <f t="shared" si="3"/>
        <v>673349.2892</v>
      </c>
      <c r="K70" s="175">
        <f>IF('Pre-Calculation'!$D$17="Type 4 a",MAX(SA,H70,1.05*Q70),IF('Pre-Calculation'!$D$17="Type 4 c",H70,IF('Pre-Calculation'!$D$17="Type 4 d",SA+H70,IF('Pre-Calculation'!$D$17="Type 4 e",MAX(SA,H70),IF('Pre-Calculation'!$D$17="Type 4 f",SA,IF('Pre-Calculation'!$D$17="Type 4 g",1000+H70,IF('Pre-Calculation'!$D$17="Type 4 h",SA+X70,IF('Pre-Calculation'!$D$17="Type 4 i",MAX(H70,Q70),IF('Pre-Calculation'!$D$17="Type 4 k",MAX(H70,1.01*Q70),IF('Pre-Calculation'!$D$17="Type 4 m",MAX(105%*Q70,SA+H70),IF('Pre-Calculation'!$D$17="Type 4 o",MAX(SA,105%*Q70)+X70+Z70,IF('Pre-Calculation'!$D$17="Type 5",0))))))))))))</f>
        <v>1260000</v>
      </c>
      <c r="L70" s="175">
        <f>H70-I70*(1+Tax)</f>
        <v>586531.3624</v>
      </c>
      <c r="M70" s="175">
        <f>L70*(1+GROWTH_RATE_L)*(1-FMC*(1+Tax))</f>
        <v>587670.7689</v>
      </c>
      <c r="N70" s="175">
        <f>M70+IF(MOD(A70,B70)=0,VLOOKUP(B70,'Pre-Calculation'!$H$1:$L$31,5,FALSE),0)*IF('Pre-Calculation'!$D$16="% OF FV",M70,IF(OR('Pre-Calculation'!$D$16="% OF AFV(24M)",'Pre-Calculation'!$D$16="% OF AFV(8Q)"),AVERAGE( $M47:$M70),IF('Pre-Calculation'!$D$16="% OF AFV(12M)",AVERAGE($M59:M70),IF('Pre-Calculation'!$D$16="% OF AFV(36M)",AVERAGE($M35:M70)))))</f>
        <v>587670.7689</v>
      </c>
      <c r="O70" s="175">
        <f t="shared" si="4"/>
        <v>587670.7689</v>
      </c>
      <c r="P70" s="175">
        <f>IF('Pre-Calculation'!$D$17="Type 4 a",MAX(SA,N70,1.05*Q70),IF('Pre-Calculation'!$D$17="Type 4 c",N70,IF('Pre-Calculation'!$D$17="Type 4 d",SA+N70,IF('Pre-Calculation'!$D$17="Type 4 e",MAX(SA,N70),IF('Pre-Calculation'!$D$17="Type 4 f",SA,IF('Pre-Calculation'!$D$17="Type 4 g",1000+N70,IF('Pre-Calculation'!$D$17="Type 4 h",SA+X70,IF('Pre-Calculation'!$D$17="Type 4 i",MAX(N70,Q70),IF('Pre-Calculation'!$D$17="Type 4 k",MAX(N70,1.01*Q70),IF('Pre-Calculation'!$D$17="Type 4 m",MAX(105%*Q70,SA+N70),IF('Pre-Calculation'!$D$17="Type 4 o",MAX(SA,105%*Q70)+X70+Z70,IF('Pre-Calculation'!$D$17="Type 5",0))))))))))))</f>
        <v>1260000</v>
      </c>
      <c r="Q70" s="175">
        <f t="shared" si="5"/>
        <v>1200000</v>
      </c>
      <c r="R70" s="119">
        <f>L70*(1+GROWTH_RATE)*FMC</f>
        <v>663.7321185</v>
      </c>
      <c r="S70" s="178">
        <f>S69*(1+'Pre-Calculation'!$E$27)</f>
        <v>780899.6393</v>
      </c>
      <c r="T70" s="175">
        <f>-E70+IF(A69=INPUT!$C$11*12,N70,0)</f>
        <v>0</v>
      </c>
      <c r="U70" s="175">
        <f t="shared" si="6"/>
        <v>632907.181</v>
      </c>
      <c r="V70" s="175">
        <f>U70*(1+GROWTH_RATE_L)*(1-'Pre-Calculation'!$E$31)</f>
        <v>633921.7084</v>
      </c>
      <c r="W70" s="175">
        <f>-E70+IF(A69=INPUT!$C$11*12,V70,0)</f>
        <v>0</v>
      </c>
      <c r="X70" s="179">
        <f t="array" ref="X70">NPV('Pre-Calculation'!$E$20,$E71:E$246)</f>
        <v>344499.2084</v>
      </c>
      <c r="Y70" s="171">
        <f>10%*SA</f>
        <v>100000</v>
      </c>
      <c r="Z70" s="179">
        <f t="array" ref="Z70">NPV('Pre-Calculation'!$E$20,Y71:Y80)</f>
        <v>969592.8037</v>
      </c>
    </row>
    <row r="71" ht="15.75" customHeight="1">
      <c r="A71" s="171">
        <f t="shared" si="1"/>
        <v>65</v>
      </c>
      <c r="B71" s="171">
        <f t="shared" si="2"/>
        <v>6</v>
      </c>
      <c r="C71" s="176">
        <f>EDATE(RCD,A70)</f>
        <v>44499</v>
      </c>
      <c r="D71" s="171">
        <f>Age_At_Entry+'Cashflows_4% from Start'!B71-1</f>
        <v>40</v>
      </c>
      <c r="E71" s="175">
        <f>IF(AND(C71&lt;=Last_Prem,MOD(A70,Mode)=0),Mod_Prem,0)</f>
        <v>0</v>
      </c>
      <c r="F71" s="177">
        <f>IF(B71&lt;PT+1,E71*VLOOKUP(B71,'Pre-Calculation'!$H$1:$I$31,2,FALSE),0)</f>
        <v>0</v>
      </c>
      <c r="G71" s="177">
        <f>IF(B71&lt;PT+1,VLOOKUP(B71,'Pre-Calculation'!$H$1:$L$32,3,FALSE)+VLOOKUP(B71,'Pre-Calculation'!$H$1:$L$32,4,FALSE)*'Pre-Calculation'!$D$7,0)</f>
        <v>830</v>
      </c>
      <c r="H71" s="175">
        <f>(E71-(F71+G71)*(1+Tax)+N70)</f>
        <v>586691.3689</v>
      </c>
      <c r="I71" s="175">
        <f>IF(B71&lt;PT+1,VLOOKUP(D71,'Pre-Calculation'!$N$3:$P$79,IF(INPUT!$C$4="M",2,3),FALSE)*(J71/1000)*(1/12),0)</f>
        <v>101.1365673</v>
      </c>
      <c r="J71" s="175">
        <f t="shared" si="3"/>
        <v>673308.6311</v>
      </c>
      <c r="K71" s="175">
        <f>IF('Pre-Calculation'!$D$17="Type 4 a",MAX(SA,H71,1.05*Q71),IF('Pre-Calculation'!$D$17="Type 4 c",H71,IF('Pre-Calculation'!$D$17="Type 4 d",SA+H71,IF('Pre-Calculation'!$D$17="Type 4 e",MAX(SA,H71),IF('Pre-Calculation'!$D$17="Type 4 f",SA,IF('Pre-Calculation'!$D$17="Type 4 g",1000+H71,IF('Pre-Calculation'!$D$17="Type 4 h",SA+X71,IF('Pre-Calculation'!$D$17="Type 4 i",MAX(H71,Q71),IF('Pre-Calculation'!$D$17="Type 4 k",MAX(H71,1.01*Q71),IF('Pre-Calculation'!$D$17="Type 4 m",MAX(105%*Q71,SA+H71),IF('Pre-Calculation'!$D$17="Type 4 o",MAX(SA,105%*Q71)+X71+Z71,IF('Pre-Calculation'!$D$17="Type 5",0))))))))))))</f>
        <v>1260000</v>
      </c>
      <c r="L71" s="175">
        <f>H71-I71*(1+Tax)</f>
        <v>586572.0278</v>
      </c>
      <c r="M71" s="175">
        <f>L71*(1+GROWTH_RATE_L)*(1-FMC*(1+Tax))</f>
        <v>587711.5133</v>
      </c>
      <c r="N71" s="175">
        <f>M71+IF(MOD(A71,B71)=0,VLOOKUP(B71,'Pre-Calculation'!$H$1:$L$31,5,FALSE),0)*IF('Pre-Calculation'!$D$16="% OF FV",M71,IF(OR('Pre-Calculation'!$D$16="% OF AFV(24M)",'Pre-Calculation'!$D$16="% OF AFV(8Q)"),AVERAGE( $M48:$M71),IF('Pre-Calculation'!$D$16="% OF AFV(12M)",AVERAGE($M60:M71),IF('Pre-Calculation'!$D$16="% OF AFV(36M)",AVERAGE($M36:M71)))))</f>
        <v>587711.5133</v>
      </c>
      <c r="O71" s="175">
        <f t="shared" si="4"/>
        <v>587711.5133</v>
      </c>
      <c r="P71" s="175">
        <f>IF('Pre-Calculation'!$D$17="Type 4 a",MAX(SA,N71,1.05*Q71),IF('Pre-Calculation'!$D$17="Type 4 c",N71,IF('Pre-Calculation'!$D$17="Type 4 d",SA+N71,IF('Pre-Calculation'!$D$17="Type 4 e",MAX(SA,N71),IF('Pre-Calculation'!$D$17="Type 4 f",SA,IF('Pre-Calculation'!$D$17="Type 4 g",1000+N71,IF('Pre-Calculation'!$D$17="Type 4 h",SA+X71,IF('Pre-Calculation'!$D$17="Type 4 i",MAX(N71,Q71),IF('Pre-Calculation'!$D$17="Type 4 k",MAX(N71,1.01*Q71),IF('Pre-Calculation'!$D$17="Type 4 m",MAX(105%*Q71,SA+N71),IF('Pre-Calculation'!$D$17="Type 4 o",MAX(SA,105%*Q71)+X71+Z71,IF('Pre-Calculation'!$D$17="Type 5",0))))))))))))</f>
        <v>1260000</v>
      </c>
      <c r="Q71" s="175">
        <f t="shared" si="5"/>
        <v>1200000</v>
      </c>
      <c r="R71" s="119">
        <f>L71*(1+GROWTH_RATE)*FMC</f>
        <v>663.7781363</v>
      </c>
      <c r="S71" s="178">
        <f>S70*(1+'Pre-Calculation'!$E$27)</f>
        <v>783141.523</v>
      </c>
      <c r="T71" s="175">
        <f>-E71+IF(A70=INPUT!$C$11*12,N71,0)</f>
        <v>0</v>
      </c>
      <c r="U71" s="175">
        <f t="shared" si="6"/>
        <v>633921.7084</v>
      </c>
      <c r="V71" s="175">
        <f>U71*(1+GROWTH_RATE_L)*(1-'Pre-Calculation'!$E$31)</f>
        <v>634937.8619</v>
      </c>
      <c r="W71" s="175">
        <f>-E71+IF(A70=INPUT!$C$11*12,V71,0)</f>
        <v>0</v>
      </c>
      <c r="X71" s="179">
        <f t="array" ref="X71">NPV('Pre-Calculation'!$E$20,$E72:E$246)</f>
        <v>346447.057</v>
      </c>
      <c r="Y71" s="171">
        <f>10%*SA</f>
        <v>100000</v>
      </c>
      <c r="Z71" s="179">
        <f t="array" ref="Z71">NPV('Pre-Calculation'!$E$20,Y72:Y81)</f>
        <v>969592.8037</v>
      </c>
    </row>
    <row r="72" ht="15.75" customHeight="1">
      <c r="A72" s="171">
        <f t="shared" si="1"/>
        <v>66</v>
      </c>
      <c r="B72" s="171">
        <f t="shared" si="2"/>
        <v>6</v>
      </c>
      <c r="C72" s="176">
        <f>EDATE(RCD,A71)</f>
        <v>44530</v>
      </c>
      <c r="D72" s="171">
        <f>Age_At_Entry+'Cashflows_4% from Start'!B72-1</f>
        <v>40</v>
      </c>
      <c r="E72" s="175">
        <f>IF(AND(C72&lt;=Last_Prem,MOD(A71,Mode)=0),Mod_Prem,0)</f>
        <v>0</v>
      </c>
      <c r="F72" s="177">
        <f>IF(B72&lt;PT+1,E72*VLOOKUP(B72,'Pre-Calculation'!$H$1:$I$31,2,FALSE),0)</f>
        <v>0</v>
      </c>
      <c r="G72" s="177">
        <f>IF(B72&lt;PT+1,VLOOKUP(B72,'Pre-Calculation'!$H$1:$L$32,3,FALSE)+VLOOKUP(B72,'Pre-Calculation'!$H$1:$L$32,4,FALSE)*'Pre-Calculation'!$D$7,0)</f>
        <v>830</v>
      </c>
      <c r="H72" s="175">
        <f>(E72-(F72+G72)*(1+Tax)+N71)</f>
        <v>586732.1133</v>
      </c>
      <c r="I72" s="175">
        <f>IF(B72&lt;PT+1,VLOOKUP(D72,'Pre-Calculation'!$N$3:$P$79,IF(INPUT!$C$4="M",2,3),FALSE)*(J72/1000)*(1/12),0)</f>
        <v>101.1304472</v>
      </c>
      <c r="J72" s="175">
        <f t="shared" si="3"/>
        <v>673267.8867</v>
      </c>
      <c r="K72" s="175">
        <f>IF('Pre-Calculation'!$D$17="Type 4 a",MAX(SA,H72,1.05*Q72),IF('Pre-Calculation'!$D$17="Type 4 c",H72,IF('Pre-Calculation'!$D$17="Type 4 d",SA+H72,IF('Pre-Calculation'!$D$17="Type 4 e",MAX(SA,H72),IF('Pre-Calculation'!$D$17="Type 4 f",SA,IF('Pre-Calculation'!$D$17="Type 4 g",1000+H72,IF('Pre-Calculation'!$D$17="Type 4 h",SA+X72,IF('Pre-Calculation'!$D$17="Type 4 i",MAX(H72,Q72),IF('Pre-Calculation'!$D$17="Type 4 k",MAX(H72,1.01*Q72),IF('Pre-Calculation'!$D$17="Type 4 m",MAX(105%*Q72,SA+H72),IF('Pre-Calculation'!$D$17="Type 4 o",MAX(SA,105%*Q72)+X72+Z72,IF('Pre-Calculation'!$D$17="Type 5",0))))))))))))</f>
        <v>1260000</v>
      </c>
      <c r="L72" s="175">
        <f>H72-I72*(1+Tax)</f>
        <v>586612.7793</v>
      </c>
      <c r="M72" s="175">
        <f>L72*(1+GROWTH_RATE_L)*(1-FMC*(1+Tax))</f>
        <v>587752.344</v>
      </c>
      <c r="N72" s="175">
        <f>M72+IF(MOD(A72,B72)=0,VLOOKUP(B72,'Pre-Calculation'!$H$1:$L$31,5,FALSE),0)*IF('Pre-Calculation'!$D$16="% OF FV",M72,IF(OR('Pre-Calculation'!$D$16="% OF AFV(24M)",'Pre-Calculation'!$D$16="% OF AFV(8Q)"),AVERAGE( $M49:$M72),IF('Pre-Calculation'!$D$16="% OF AFV(12M)",AVERAGE($M61:M72),IF('Pre-Calculation'!$D$16="% OF AFV(36M)",AVERAGE($M37:M72)))))</f>
        <v>587752.344</v>
      </c>
      <c r="O72" s="175">
        <f t="shared" si="4"/>
        <v>587752.344</v>
      </c>
      <c r="P72" s="175">
        <f>IF('Pre-Calculation'!$D$17="Type 4 a",MAX(SA,N72,1.05*Q72),IF('Pre-Calculation'!$D$17="Type 4 c",N72,IF('Pre-Calculation'!$D$17="Type 4 d",SA+N72,IF('Pre-Calculation'!$D$17="Type 4 e",MAX(SA,N72),IF('Pre-Calculation'!$D$17="Type 4 f",SA,IF('Pre-Calculation'!$D$17="Type 4 g",1000+N72,IF('Pre-Calculation'!$D$17="Type 4 h",SA+X72,IF('Pre-Calculation'!$D$17="Type 4 i",MAX(N72,Q72),IF('Pre-Calculation'!$D$17="Type 4 k",MAX(N72,1.01*Q72),IF('Pre-Calculation'!$D$17="Type 4 m",MAX(105%*Q72,SA+N72),IF('Pre-Calculation'!$D$17="Type 4 o",MAX(SA,105%*Q72)+X72+Z72,IF('Pre-Calculation'!$D$17="Type 5",0))))))))))))</f>
        <v>1260000</v>
      </c>
      <c r="Q72" s="175">
        <f t="shared" si="5"/>
        <v>1200000</v>
      </c>
      <c r="R72" s="119">
        <f>L72*(1+GROWTH_RATE)*FMC</f>
        <v>663.8242517</v>
      </c>
      <c r="S72" s="178">
        <f>S71*(1+'Pre-Calculation'!$E$27)</f>
        <v>785389.843</v>
      </c>
      <c r="T72" s="175">
        <f>-E72+IF(A71=INPUT!$C$11*12,N72,0)</f>
        <v>0</v>
      </c>
      <c r="U72" s="175">
        <f t="shared" si="6"/>
        <v>634937.8619</v>
      </c>
      <c r="V72" s="175">
        <f>U72*(1+GROWTH_RATE_L)*(1-'Pre-Calculation'!$E$31)</f>
        <v>635955.6443</v>
      </c>
      <c r="W72" s="175">
        <f>-E72+IF(A71=INPUT!$C$11*12,V72,0)</f>
        <v>0</v>
      </c>
      <c r="X72" s="179">
        <f t="array" ref="X72">NPV('Pre-Calculation'!$E$20,$E73:E$246)</f>
        <v>348405.9191</v>
      </c>
      <c r="Y72" s="171">
        <f>10%*SA</f>
        <v>100000</v>
      </c>
      <c r="Z72" s="179">
        <f t="array" ref="Z72">NPV('Pre-Calculation'!$E$20,Y73:Y82)</f>
        <v>969592.8037</v>
      </c>
    </row>
    <row r="73" ht="15.75" customHeight="1">
      <c r="A73" s="171">
        <f t="shared" si="1"/>
        <v>67</v>
      </c>
      <c r="B73" s="171">
        <f t="shared" si="2"/>
        <v>6</v>
      </c>
      <c r="C73" s="176">
        <f>EDATE(RCD,A72)</f>
        <v>44560</v>
      </c>
      <c r="D73" s="171">
        <f>Age_At_Entry+'Cashflows_4% from Start'!B73-1</f>
        <v>40</v>
      </c>
      <c r="E73" s="175">
        <f>IF(AND(C73&lt;=Last_Prem,MOD(A72,Mode)=0),Mod_Prem,0)</f>
        <v>0</v>
      </c>
      <c r="F73" s="177">
        <f>IF(B73&lt;PT+1,E73*VLOOKUP(B73,'Pre-Calculation'!$H$1:$I$31,2,FALSE),0)</f>
        <v>0</v>
      </c>
      <c r="G73" s="177">
        <f>IF(B73&lt;PT+1,VLOOKUP(B73,'Pre-Calculation'!$H$1:$L$32,3,FALSE)+VLOOKUP(B73,'Pre-Calculation'!$H$1:$L$32,4,FALSE)*'Pre-Calculation'!$D$7,0)</f>
        <v>830</v>
      </c>
      <c r="H73" s="175">
        <f>(E73-(F73+G73)*(1+Tax)+N72)</f>
        <v>586772.944</v>
      </c>
      <c r="I73" s="175">
        <f>IF(B73&lt;PT+1,VLOOKUP(D73,'Pre-Calculation'!$N$3:$P$79,IF(INPUT!$C$4="M",2,3),FALSE)*(J73/1000)*(1/12),0)</f>
        <v>101.124314</v>
      </c>
      <c r="J73" s="175">
        <f t="shared" si="3"/>
        <v>673227.056</v>
      </c>
      <c r="K73" s="175">
        <f>IF('Pre-Calculation'!$D$17="Type 4 a",MAX(SA,H73,1.05*Q73),IF('Pre-Calculation'!$D$17="Type 4 c",H73,IF('Pre-Calculation'!$D$17="Type 4 d",SA+H73,IF('Pre-Calculation'!$D$17="Type 4 e",MAX(SA,H73),IF('Pre-Calculation'!$D$17="Type 4 f",SA,IF('Pre-Calculation'!$D$17="Type 4 g",1000+H73,IF('Pre-Calculation'!$D$17="Type 4 h",SA+X73,IF('Pre-Calculation'!$D$17="Type 4 i",MAX(H73,Q73),IF('Pre-Calculation'!$D$17="Type 4 k",MAX(H73,1.01*Q73),IF('Pre-Calculation'!$D$17="Type 4 m",MAX(105%*Q73,SA+H73),IF('Pre-Calculation'!$D$17="Type 4 o",MAX(SA,105%*Q73)+X73+Z73,IF('Pre-Calculation'!$D$17="Type 5",0))))))))))))</f>
        <v>1260000</v>
      </c>
      <c r="L73" s="175">
        <f>H73-I73*(1+Tax)</f>
        <v>586653.6173</v>
      </c>
      <c r="M73" s="175">
        <f>L73*(1+GROWTH_RATE_L)*(1-FMC*(1+Tax))</f>
        <v>587793.2613</v>
      </c>
      <c r="N73" s="175">
        <f>M73+IF(MOD(A73,B73)=0,VLOOKUP(B73,'Pre-Calculation'!$H$1:$L$31,5,FALSE),0)*IF('Pre-Calculation'!$D$16="% OF FV",M73,IF(OR('Pre-Calculation'!$D$16="% OF AFV(24M)",'Pre-Calculation'!$D$16="% OF AFV(8Q)"),AVERAGE( $M50:$M73),IF('Pre-Calculation'!$D$16="% OF AFV(12M)",AVERAGE($M62:M73),IF('Pre-Calculation'!$D$16="% OF AFV(36M)",AVERAGE($M38:M73)))))</f>
        <v>587793.2613</v>
      </c>
      <c r="O73" s="175">
        <f t="shared" si="4"/>
        <v>587793.2613</v>
      </c>
      <c r="P73" s="175">
        <f>IF('Pre-Calculation'!$D$17="Type 4 a",MAX(SA,N73,1.05*Q73),IF('Pre-Calculation'!$D$17="Type 4 c",N73,IF('Pre-Calculation'!$D$17="Type 4 d",SA+N73,IF('Pre-Calculation'!$D$17="Type 4 e",MAX(SA,N73),IF('Pre-Calculation'!$D$17="Type 4 f",SA,IF('Pre-Calculation'!$D$17="Type 4 g",1000+N73,IF('Pre-Calculation'!$D$17="Type 4 h",SA+X73,IF('Pre-Calculation'!$D$17="Type 4 i",MAX(N73,Q73),IF('Pre-Calculation'!$D$17="Type 4 k",MAX(N73,1.01*Q73),IF('Pre-Calculation'!$D$17="Type 4 m",MAX(105%*Q73,SA+N73),IF('Pre-Calculation'!$D$17="Type 4 o",MAX(SA,105%*Q73)+X73+Z73,IF('Pre-Calculation'!$D$17="Type 5",0))))))))))))</f>
        <v>1260000</v>
      </c>
      <c r="Q73" s="175">
        <f t="shared" si="5"/>
        <v>1200000</v>
      </c>
      <c r="R73" s="119">
        <f>L73*(1+GROWTH_RATE)*FMC</f>
        <v>663.8704648</v>
      </c>
      <c r="S73" s="178">
        <f>S72*(1+'Pre-Calculation'!$E$27)</f>
        <v>787644.6177</v>
      </c>
      <c r="T73" s="175">
        <f>-E73+IF(A72=INPUT!$C$11*12,N73,0)</f>
        <v>0</v>
      </c>
      <c r="U73" s="175">
        <f t="shared" si="6"/>
        <v>635955.6443</v>
      </c>
      <c r="V73" s="175">
        <f>U73*(1+GROWTH_RATE_L)*(1-'Pre-Calculation'!$E$31)</f>
        <v>636975.0582</v>
      </c>
      <c r="W73" s="175">
        <f>-E73+IF(A72=INPUT!$C$11*12,V73,0)</f>
        <v>0</v>
      </c>
      <c r="X73" s="179">
        <f t="array" ref="X73">NPV('Pre-Calculation'!$E$20,$E74:E$246)</f>
        <v>350375.8568</v>
      </c>
      <c r="Y73" s="171">
        <f>10%*SA</f>
        <v>100000</v>
      </c>
      <c r="Z73" s="179">
        <f t="array" ref="Z73">NPV('Pre-Calculation'!$E$20,Y74:Y83)</f>
        <v>969592.8037</v>
      </c>
    </row>
    <row r="74" ht="15.75" customHeight="1">
      <c r="A74" s="171">
        <f t="shared" si="1"/>
        <v>68</v>
      </c>
      <c r="B74" s="171">
        <f t="shared" si="2"/>
        <v>6</v>
      </c>
      <c r="C74" s="176">
        <f>EDATE(RCD,A73)</f>
        <v>44591</v>
      </c>
      <c r="D74" s="171">
        <f>Age_At_Entry+'Cashflows_4% from Start'!B74-1</f>
        <v>40</v>
      </c>
      <c r="E74" s="175">
        <f>IF(AND(C74&lt;=Last_Prem,MOD(A73,Mode)=0),Mod_Prem,0)</f>
        <v>0</v>
      </c>
      <c r="F74" s="177">
        <f>IF(B74&lt;PT+1,E74*VLOOKUP(B74,'Pre-Calculation'!$H$1:$I$31,2,FALSE),0)</f>
        <v>0</v>
      </c>
      <c r="G74" s="177">
        <f>IF(B74&lt;PT+1,VLOOKUP(B74,'Pre-Calculation'!$H$1:$L$32,3,FALSE)+VLOOKUP(B74,'Pre-Calculation'!$H$1:$L$32,4,FALSE)*'Pre-Calculation'!$D$7,0)</f>
        <v>830</v>
      </c>
      <c r="H74" s="175">
        <f>(E74-(F74+G74)*(1+Tax)+N73)</f>
        <v>586813.8613</v>
      </c>
      <c r="I74" s="175">
        <f>IF(B74&lt;PT+1,VLOOKUP(D74,'Pre-Calculation'!$N$3:$P$79,IF(INPUT!$C$4="M",2,3),FALSE)*(J74/1000)*(1/12),0)</f>
        <v>101.1181679</v>
      </c>
      <c r="J74" s="175">
        <f t="shared" si="3"/>
        <v>673186.1387</v>
      </c>
      <c r="K74" s="175">
        <f>IF('Pre-Calculation'!$D$17="Type 4 a",MAX(SA,H74,1.05*Q74),IF('Pre-Calculation'!$D$17="Type 4 c",H74,IF('Pre-Calculation'!$D$17="Type 4 d",SA+H74,IF('Pre-Calculation'!$D$17="Type 4 e",MAX(SA,H74),IF('Pre-Calculation'!$D$17="Type 4 f",SA,IF('Pre-Calculation'!$D$17="Type 4 g",1000+H74,IF('Pre-Calculation'!$D$17="Type 4 h",SA+X74,IF('Pre-Calculation'!$D$17="Type 4 i",MAX(H74,Q74),IF('Pre-Calculation'!$D$17="Type 4 k",MAX(H74,1.01*Q74),IF('Pre-Calculation'!$D$17="Type 4 m",MAX(105%*Q74,SA+H74),IF('Pre-Calculation'!$D$17="Type 4 o",MAX(SA,105%*Q74)+X74+Z74,IF('Pre-Calculation'!$D$17="Type 5",0))))))))))))</f>
        <v>1260000</v>
      </c>
      <c r="L74" s="175">
        <f>H74-I74*(1+Tax)</f>
        <v>586694.5418</v>
      </c>
      <c r="M74" s="175">
        <f>L74*(1+GROWTH_RATE_L)*(1-FMC*(1+Tax))</f>
        <v>587834.2653</v>
      </c>
      <c r="N74" s="175">
        <f>M74+IF(MOD(A74,B74)=0,VLOOKUP(B74,'Pre-Calculation'!$H$1:$L$31,5,FALSE),0)*IF('Pre-Calculation'!$D$16="% OF FV",M74,IF(OR('Pre-Calculation'!$D$16="% OF AFV(24M)",'Pre-Calculation'!$D$16="% OF AFV(8Q)"),AVERAGE( $M51:$M74),IF('Pre-Calculation'!$D$16="% OF AFV(12M)",AVERAGE($M63:M74),IF('Pre-Calculation'!$D$16="% OF AFV(36M)",AVERAGE($M39:M74)))))</f>
        <v>587834.2653</v>
      </c>
      <c r="O74" s="175">
        <f t="shared" si="4"/>
        <v>587834.2653</v>
      </c>
      <c r="P74" s="175">
        <f>IF('Pre-Calculation'!$D$17="Type 4 a",MAX(SA,N74,1.05*Q74),IF('Pre-Calculation'!$D$17="Type 4 c",N74,IF('Pre-Calculation'!$D$17="Type 4 d",SA+N74,IF('Pre-Calculation'!$D$17="Type 4 e",MAX(SA,N74),IF('Pre-Calculation'!$D$17="Type 4 f",SA,IF('Pre-Calculation'!$D$17="Type 4 g",1000+N74,IF('Pre-Calculation'!$D$17="Type 4 h",SA+X74,IF('Pre-Calculation'!$D$17="Type 4 i",MAX(N74,Q74),IF('Pre-Calculation'!$D$17="Type 4 k",MAX(N74,1.01*Q74),IF('Pre-Calculation'!$D$17="Type 4 m",MAX(105%*Q74,SA+N74),IF('Pre-Calculation'!$D$17="Type 4 o",MAX(SA,105%*Q74)+X74+Z74,IF('Pre-Calculation'!$D$17="Type 5",0))))))))))))</f>
        <v>1260000</v>
      </c>
      <c r="Q74" s="175">
        <f t="shared" si="5"/>
        <v>1200000</v>
      </c>
      <c r="R74" s="119">
        <f>L74*(1+GROWTH_RATE)*FMC</f>
        <v>663.916776</v>
      </c>
      <c r="S74" s="178">
        <f>S73*(1+'Pre-Calculation'!$E$27)</f>
        <v>789905.8656</v>
      </c>
      <c r="T74" s="175">
        <f>-E74+IF(A73=INPUT!$C$11*12,N74,0)</f>
        <v>0</v>
      </c>
      <c r="U74" s="175">
        <f t="shared" si="6"/>
        <v>636975.0582</v>
      </c>
      <c r="V74" s="175">
        <f>U74*(1+GROWTH_RATE_L)*(1-'Pre-Calculation'!$E$31)</f>
        <v>637996.1062</v>
      </c>
      <c r="W74" s="175">
        <f>-E74+IF(A73=INPUT!$C$11*12,V74,0)</f>
        <v>0</v>
      </c>
      <c r="X74" s="179">
        <f t="array" ref="X74">NPV('Pre-Calculation'!$E$20,$E75:E$246)</f>
        <v>352356.9328</v>
      </c>
      <c r="Y74" s="171">
        <f>10%*SA</f>
        <v>100000</v>
      </c>
      <c r="Z74" s="179">
        <f t="array" ref="Z74">NPV('Pre-Calculation'!$E$20,Y75:Y84)</f>
        <v>969592.8037</v>
      </c>
    </row>
    <row r="75" ht="15.75" customHeight="1">
      <c r="A75" s="171">
        <f t="shared" si="1"/>
        <v>69</v>
      </c>
      <c r="B75" s="171">
        <f t="shared" si="2"/>
        <v>6</v>
      </c>
      <c r="C75" s="176">
        <f>EDATE(RCD,A74)</f>
        <v>44620</v>
      </c>
      <c r="D75" s="171">
        <f>Age_At_Entry+'Cashflows_4% from Start'!B75-1</f>
        <v>40</v>
      </c>
      <c r="E75" s="175">
        <f>IF(AND(C75&lt;=Last_Prem,MOD(A74,Mode)=0),Mod_Prem,0)</f>
        <v>0</v>
      </c>
      <c r="F75" s="177">
        <f>IF(B75&lt;PT+1,E75*VLOOKUP(B75,'Pre-Calculation'!$H$1:$I$31,2,FALSE),0)</f>
        <v>0</v>
      </c>
      <c r="G75" s="177">
        <f>IF(B75&lt;PT+1,VLOOKUP(B75,'Pre-Calculation'!$H$1:$L$32,3,FALSE)+VLOOKUP(B75,'Pre-Calculation'!$H$1:$L$32,4,FALSE)*'Pre-Calculation'!$D$7,0)</f>
        <v>830</v>
      </c>
      <c r="H75" s="175">
        <f>(E75-(F75+G75)*(1+Tax)+N74)</f>
        <v>586854.8653</v>
      </c>
      <c r="I75" s="175">
        <f>IF(B75&lt;PT+1,VLOOKUP(D75,'Pre-Calculation'!$N$3:$P$79,IF(INPUT!$C$4="M",2,3),FALSE)*(J75/1000)*(1/12),0)</f>
        <v>101.1120088</v>
      </c>
      <c r="J75" s="175">
        <f t="shared" si="3"/>
        <v>673145.1347</v>
      </c>
      <c r="K75" s="175">
        <f>IF('Pre-Calculation'!$D$17="Type 4 a",MAX(SA,H75,1.05*Q75),IF('Pre-Calculation'!$D$17="Type 4 c",H75,IF('Pre-Calculation'!$D$17="Type 4 d",SA+H75,IF('Pre-Calculation'!$D$17="Type 4 e",MAX(SA,H75),IF('Pre-Calculation'!$D$17="Type 4 f",SA,IF('Pre-Calculation'!$D$17="Type 4 g",1000+H75,IF('Pre-Calculation'!$D$17="Type 4 h",SA+X75,IF('Pre-Calculation'!$D$17="Type 4 i",MAX(H75,Q75),IF('Pre-Calculation'!$D$17="Type 4 k",MAX(H75,1.01*Q75),IF('Pre-Calculation'!$D$17="Type 4 m",MAX(105%*Q75,SA+H75),IF('Pre-Calculation'!$D$17="Type 4 o",MAX(SA,105%*Q75)+X75+Z75,IF('Pre-Calculation'!$D$17="Type 5",0))))))))))))</f>
        <v>1260000</v>
      </c>
      <c r="L75" s="175">
        <f>H75-I75*(1+Tax)</f>
        <v>586735.5531</v>
      </c>
      <c r="M75" s="175">
        <f>L75*(1+GROWTH_RATE_L)*(1-FMC*(1+Tax))</f>
        <v>587875.3563</v>
      </c>
      <c r="N75" s="175">
        <f>M75+IF(MOD(A75,B75)=0,VLOOKUP(B75,'Pre-Calculation'!$H$1:$L$31,5,FALSE),0)*IF('Pre-Calculation'!$D$16="% OF FV",M75,IF(OR('Pre-Calculation'!$D$16="% OF AFV(24M)",'Pre-Calculation'!$D$16="% OF AFV(8Q)"),AVERAGE( $M52:$M75),IF('Pre-Calculation'!$D$16="% OF AFV(12M)",AVERAGE($M64:M75),IF('Pre-Calculation'!$D$16="% OF AFV(36M)",AVERAGE($M40:M75)))))</f>
        <v>587875.3563</v>
      </c>
      <c r="O75" s="175">
        <f t="shared" si="4"/>
        <v>587875.3563</v>
      </c>
      <c r="P75" s="175">
        <f>IF('Pre-Calculation'!$D$17="Type 4 a",MAX(SA,N75,1.05*Q75),IF('Pre-Calculation'!$D$17="Type 4 c",N75,IF('Pre-Calculation'!$D$17="Type 4 d",SA+N75,IF('Pre-Calculation'!$D$17="Type 4 e",MAX(SA,N75),IF('Pre-Calculation'!$D$17="Type 4 f",SA,IF('Pre-Calculation'!$D$17="Type 4 g",1000+N75,IF('Pre-Calculation'!$D$17="Type 4 h",SA+X75,IF('Pre-Calculation'!$D$17="Type 4 i",MAX(N75,Q75),IF('Pre-Calculation'!$D$17="Type 4 k",MAX(N75,1.01*Q75),IF('Pre-Calculation'!$D$17="Type 4 m",MAX(105%*Q75,SA+N75),IF('Pre-Calculation'!$D$17="Type 4 o",MAX(SA,105%*Q75)+X75+Z75,IF('Pre-Calculation'!$D$17="Type 5",0))))))))))))</f>
        <v>1260000</v>
      </c>
      <c r="Q75" s="175">
        <f t="shared" si="5"/>
        <v>1200000</v>
      </c>
      <c r="R75" s="119">
        <f>L75*(1+GROWTH_RATE)*FMC</f>
        <v>663.9631853</v>
      </c>
      <c r="S75" s="178">
        <f>S74*(1+'Pre-Calculation'!$E$27)</f>
        <v>792173.6054</v>
      </c>
      <c r="T75" s="175">
        <f>-E75+IF(A74=INPUT!$C$11*12,N75,0)</f>
        <v>0</v>
      </c>
      <c r="U75" s="175">
        <f t="shared" si="6"/>
        <v>637996.1062</v>
      </c>
      <c r="V75" s="175">
        <f>U75*(1+GROWTH_RATE_L)*(1-'Pre-Calculation'!$E$31)</f>
        <v>639018.7908</v>
      </c>
      <c r="W75" s="175">
        <f>-E75+IF(A74=INPUT!$C$11*12,V75,0)</f>
        <v>0</v>
      </c>
      <c r="X75" s="179">
        <f t="array" ref="X75">NPV('Pre-Calculation'!$E$20,$E76:E$246)</f>
        <v>354349.2102</v>
      </c>
      <c r="Y75" s="171">
        <f>10%*SA</f>
        <v>100000</v>
      </c>
      <c r="Z75" s="179">
        <f t="array" ref="Z75">NPV('Pre-Calculation'!$E$20,Y76:Y85)</f>
        <v>969592.8037</v>
      </c>
    </row>
    <row r="76" ht="15.75" customHeight="1">
      <c r="A76" s="171">
        <f t="shared" si="1"/>
        <v>70</v>
      </c>
      <c r="B76" s="171">
        <f t="shared" si="2"/>
        <v>6</v>
      </c>
      <c r="C76" s="176">
        <f>EDATE(RCD,A75)</f>
        <v>44650</v>
      </c>
      <c r="D76" s="171">
        <f>Age_At_Entry+'Cashflows_4% from Start'!B76-1</f>
        <v>40</v>
      </c>
      <c r="E76" s="175">
        <f>IF(AND(C76&lt;=Last_Prem,MOD(A75,Mode)=0),Mod_Prem,0)</f>
        <v>0</v>
      </c>
      <c r="F76" s="177">
        <f>IF(B76&lt;PT+1,E76*VLOOKUP(B76,'Pre-Calculation'!$H$1:$I$31,2,FALSE),0)</f>
        <v>0</v>
      </c>
      <c r="G76" s="177">
        <f>IF(B76&lt;PT+1,VLOOKUP(B76,'Pre-Calculation'!$H$1:$L$32,3,FALSE)+VLOOKUP(B76,'Pre-Calculation'!$H$1:$L$32,4,FALSE)*'Pre-Calculation'!$D$7,0)</f>
        <v>830</v>
      </c>
      <c r="H76" s="175">
        <f>(E76-(F76+G76)*(1+Tax)+N75)</f>
        <v>586895.9563</v>
      </c>
      <c r="I76" s="175">
        <f>IF(B76&lt;PT+1,VLOOKUP(D76,'Pre-Calculation'!$N$3:$P$79,IF(INPUT!$C$4="M",2,3),FALSE)*(J76/1000)*(1/12),0)</f>
        <v>101.1058366</v>
      </c>
      <c r="J76" s="175">
        <f t="shared" si="3"/>
        <v>673104.0437</v>
      </c>
      <c r="K76" s="175">
        <f>IF('Pre-Calculation'!$D$17="Type 4 a",MAX(SA,H76,1.05*Q76),IF('Pre-Calculation'!$D$17="Type 4 c",H76,IF('Pre-Calculation'!$D$17="Type 4 d",SA+H76,IF('Pre-Calculation'!$D$17="Type 4 e",MAX(SA,H76),IF('Pre-Calculation'!$D$17="Type 4 f",SA,IF('Pre-Calculation'!$D$17="Type 4 g",1000+H76,IF('Pre-Calculation'!$D$17="Type 4 h",SA+X76,IF('Pre-Calculation'!$D$17="Type 4 i",MAX(H76,Q76),IF('Pre-Calculation'!$D$17="Type 4 k",MAX(H76,1.01*Q76),IF('Pre-Calculation'!$D$17="Type 4 m",MAX(105%*Q76,SA+H76),IF('Pre-Calculation'!$D$17="Type 4 o",MAX(SA,105%*Q76)+X76+Z76,IF('Pre-Calculation'!$D$17="Type 5",0))))))))))))</f>
        <v>1260000</v>
      </c>
      <c r="L76" s="175">
        <f>H76-I76*(1+Tax)</f>
        <v>586776.6514</v>
      </c>
      <c r="M76" s="175">
        <f>L76*(1+GROWTH_RATE_L)*(1-FMC*(1+Tax))</f>
        <v>587916.5344</v>
      </c>
      <c r="N76" s="175">
        <f>M76+IF(MOD(A76,B76)=0,VLOOKUP(B76,'Pre-Calculation'!$H$1:$L$31,5,FALSE),0)*IF('Pre-Calculation'!$D$16="% OF FV",M76,IF(OR('Pre-Calculation'!$D$16="% OF AFV(24M)",'Pre-Calculation'!$D$16="% OF AFV(8Q)"),AVERAGE( $M53:$M76),IF('Pre-Calculation'!$D$16="% OF AFV(12M)",AVERAGE($M65:M76),IF('Pre-Calculation'!$D$16="% OF AFV(36M)",AVERAGE($M41:M76)))))</f>
        <v>587916.5344</v>
      </c>
      <c r="O76" s="175">
        <f t="shared" si="4"/>
        <v>587916.5344</v>
      </c>
      <c r="P76" s="175">
        <f>IF('Pre-Calculation'!$D$17="Type 4 a",MAX(SA,N76,1.05*Q76),IF('Pre-Calculation'!$D$17="Type 4 c",N76,IF('Pre-Calculation'!$D$17="Type 4 d",SA+N76,IF('Pre-Calculation'!$D$17="Type 4 e",MAX(SA,N76),IF('Pre-Calculation'!$D$17="Type 4 f",SA,IF('Pre-Calculation'!$D$17="Type 4 g",1000+N76,IF('Pre-Calculation'!$D$17="Type 4 h",SA+X76,IF('Pre-Calculation'!$D$17="Type 4 i",MAX(N76,Q76),IF('Pre-Calculation'!$D$17="Type 4 k",MAX(N76,1.01*Q76),IF('Pre-Calculation'!$D$17="Type 4 m",MAX(105%*Q76,SA+N76),IF('Pre-Calculation'!$D$17="Type 4 o",MAX(SA,105%*Q76)+X76+Z76,IF('Pre-Calculation'!$D$17="Type 5",0))))))))))))</f>
        <v>1260000</v>
      </c>
      <c r="Q76" s="175">
        <f t="shared" si="5"/>
        <v>1200000</v>
      </c>
      <c r="R76" s="119">
        <f>L76*(1+GROWTH_RATE)*FMC</f>
        <v>664.009693</v>
      </c>
      <c r="S76" s="178">
        <f>S75*(1+'Pre-Calculation'!$E$27)</f>
        <v>794447.8556</v>
      </c>
      <c r="T76" s="175">
        <f>-E76+IF(A75=INPUT!$C$11*12,N76,0)</f>
        <v>0</v>
      </c>
      <c r="U76" s="175">
        <f t="shared" si="6"/>
        <v>639018.7908</v>
      </c>
      <c r="V76" s="175">
        <f>U76*(1+GROWTH_RATE_L)*(1-'Pre-Calculation'!$E$31)</f>
        <v>640043.1148</v>
      </c>
      <c r="W76" s="175">
        <f>-E76+IF(A75=INPUT!$C$11*12,V76,0)</f>
        <v>0</v>
      </c>
      <c r="X76" s="179">
        <f t="array" ref="X76">NPV('Pre-Calculation'!$E$20,$E77:E$246)</f>
        <v>356352.7521</v>
      </c>
      <c r="Y76" s="171">
        <f>10%*SA</f>
        <v>100000</v>
      </c>
      <c r="Z76" s="179">
        <f t="array" ref="Z76">NPV('Pre-Calculation'!$E$20,Y77:Y86)</f>
        <v>969592.8037</v>
      </c>
    </row>
    <row r="77" ht="15.75" customHeight="1">
      <c r="A77" s="171">
        <f t="shared" si="1"/>
        <v>71</v>
      </c>
      <c r="B77" s="171">
        <f t="shared" si="2"/>
        <v>6</v>
      </c>
      <c r="C77" s="176">
        <f>EDATE(RCD,A76)</f>
        <v>44681</v>
      </c>
      <c r="D77" s="171">
        <f>Age_At_Entry+'Cashflows_4% from Start'!B77-1</f>
        <v>40</v>
      </c>
      <c r="E77" s="175">
        <f>IF(AND(C77&lt;=Last_Prem,MOD(A76,Mode)=0),Mod_Prem,0)</f>
        <v>0</v>
      </c>
      <c r="F77" s="177">
        <f>IF(B77&lt;PT+1,E77*VLOOKUP(B77,'Pre-Calculation'!$H$1:$I$31,2,FALSE),0)</f>
        <v>0</v>
      </c>
      <c r="G77" s="177">
        <f>IF(B77&lt;PT+1,VLOOKUP(B77,'Pre-Calculation'!$H$1:$L$32,3,FALSE)+VLOOKUP(B77,'Pre-Calculation'!$H$1:$L$32,4,FALSE)*'Pre-Calculation'!$D$7,0)</f>
        <v>830</v>
      </c>
      <c r="H77" s="175">
        <f>(E77-(F77+G77)*(1+Tax)+N76)</f>
        <v>586937.1344</v>
      </c>
      <c r="I77" s="175">
        <f>IF(B77&lt;PT+1,VLOOKUP(D77,'Pre-Calculation'!$N$3:$P$79,IF(INPUT!$C$4="M",2,3),FALSE)*(J77/1000)*(1/12),0)</f>
        <v>101.0996513</v>
      </c>
      <c r="J77" s="175">
        <f t="shared" si="3"/>
        <v>673062.8656</v>
      </c>
      <c r="K77" s="175">
        <f>IF('Pre-Calculation'!$D$17="Type 4 a",MAX(SA,H77,1.05*Q77),IF('Pre-Calculation'!$D$17="Type 4 c",H77,IF('Pre-Calculation'!$D$17="Type 4 d",SA+H77,IF('Pre-Calculation'!$D$17="Type 4 e",MAX(SA,H77),IF('Pre-Calculation'!$D$17="Type 4 f",SA,IF('Pre-Calculation'!$D$17="Type 4 g",1000+H77,IF('Pre-Calculation'!$D$17="Type 4 h",SA+X77,IF('Pre-Calculation'!$D$17="Type 4 i",MAX(H77,Q77),IF('Pre-Calculation'!$D$17="Type 4 k",MAX(H77,1.01*Q77),IF('Pre-Calculation'!$D$17="Type 4 m",MAX(105%*Q77,SA+H77),IF('Pre-Calculation'!$D$17="Type 4 o",MAX(SA,105%*Q77)+X77+Z77,IF('Pre-Calculation'!$D$17="Type 5",0))))))))))))</f>
        <v>1260000</v>
      </c>
      <c r="L77" s="175">
        <f>H77-I77*(1+Tax)</f>
        <v>586817.8368</v>
      </c>
      <c r="M77" s="175">
        <f>L77*(1+GROWTH_RATE_L)*(1-FMC*(1+Tax))</f>
        <v>587957.7998</v>
      </c>
      <c r="N77" s="175">
        <f>M77+IF(MOD(A77,B77)=0,VLOOKUP(B77,'Pre-Calculation'!$H$1:$L$31,5,FALSE),0)*IF('Pre-Calculation'!$D$16="% OF FV",M77,IF(OR('Pre-Calculation'!$D$16="% OF AFV(24M)",'Pre-Calculation'!$D$16="% OF AFV(8Q)"),AVERAGE( $M54:$M77),IF('Pre-Calculation'!$D$16="% OF AFV(12M)",AVERAGE($M66:M77),IF('Pre-Calculation'!$D$16="% OF AFV(36M)",AVERAGE($M42:M77)))))</f>
        <v>587957.7998</v>
      </c>
      <c r="O77" s="175">
        <f t="shared" si="4"/>
        <v>587957.7998</v>
      </c>
      <c r="P77" s="175">
        <f>IF('Pre-Calculation'!$D$17="Type 4 a",MAX(SA,N77,1.05*Q77),IF('Pre-Calculation'!$D$17="Type 4 c",N77,IF('Pre-Calculation'!$D$17="Type 4 d",SA+N77,IF('Pre-Calculation'!$D$17="Type 4 e",MAX(SA,N77),IF('Pre-Calculation'!$D$17="Type 4 f",SA,IF('Pre-Calculation'!$D$17="Type 4 g",1000+N77,IF('Pre-Calculation'!$D$17="Type 4 h",SA+X77,IF('Pre-Calculation'!$D$17="Type 4 i",MAX(N77,Q77),IF('Pre-Calculation'!$D$17="Type 4 k",MAX(N77,1.01*Q77),IF('Pre-Calculation'!$D$17="Type 4 m",MAX(105%*Q77,SA+N77),IF('Pre-Calculation'!$D$17="Type 4 o",MAX(SA,105%*Q77)+X77+Z77,IF('Pre-Calculation'!$D$17="Type 5",0))))))))))))</f>
        <v>1260000</v>
      </c>
      <c r="Q77" s="175">
        <f t="shared" si="5"/>
        <v>1200000</v>
      </c>
      <c r="R77" s="119">
        <f>L77*(1+GROWTH_RATE)*FMC</f>
        <v>664.0562993</v>
      </c>
      <c r="S77" s="178">
        <f>S76*(1+'Pre-Calculation'!$E$27)</f>
        <v>796728.6349</v>
      </c>
      <c r="T77" s="175">
        <f>-E77+IF(A76=INPUT!$C$11*12,N77,0)</f>
        <v>0</v>
      </c>
      <c r="U77" s="175">
        <f t="shared" si="6"/>
        <v>640043.1148</v>
      </c>
      <c r="V77" s="175">
        <f>U77*(1+GROWTH_RATE_L)*(1-'Pre-Calculation'!$E$31)</f>
        <v>641069.0808</v>
      </c>
      <c r="W77" s="175">
        <f>-E77+IF(A76=INPUT!$C$11*12,V77,0)</f>
        <v>0</v>
      </c>
      <c r="X77" s="179">
        <f t="array" ref="X77">NPV('Pre-Calculation'!$E$20,$E78:E$246)</f>
        <v>358367.6224</v>
      </c>
      <c r="Y77" s="171">
        <f>10%*SA</f>
        <v>100000</v>
      </c>
      <c r="Z77" s="179">
        <f t="array" ref="Z77">NPV('Pre-Calculation'!$E$20,Y78:Y87)</f>
        <v>969592.8037</v>
      </c>
    </row>
    <row r="78" ht="15.75" customHeight="1">
      <c r="A78" s="171">
        <f t="shared" si="1"/>
        <v>72</v>
      </c>
      <c r="B78" s="171">
        <f t="shared" si="2"/>
        <v>6</v>
      </c>
      <c r="C78" s="176">
        <f>EDATE(RCD,A77)</f>
        <v>44711</v>
      </c>
      <c r="D78" s="171">
        <f>Age_At_Entry+'Cashflows_4% from Start'!B78-1</f>
        <v>40</v>
      </c>
      <c r="E78" s="175">
        <f>IF(AND(C78&lt;=Last_Prem,MOD(A77,Mode)=0),Mod_Prem,0)</f>
        <v>0</v>
      </c>
      <c r="F78" s="177">
        <f>IF(B78&lt;PT+1,E78*VLOOKUP(B78,'Pre-Calculation'!$H$1:$I$31,2,FALSE),0)</f>
        <v>0</v>
      </c>
      <c r="G78" s="177">
        <f>IF(B78&lt;PT+1,VLOOKUP(B78,'Pre-Calculation'!$H$1:$L$32,3,FALSE)+VLOOKUP(B78,'Pre-Calculation'!$H$1:$L$32,4,FALSE)*'Pre-Calculation'!$D$7,0)</f>
        <v>830</v>
      </c>
      <c r="H78" s="175">
        <f>(E78-(F78+G78)*(1+Tax)+N77)</f>
        <v>586978.3998</v>
      </c>
      <c r="I78" s="175">
        <f>IF(B78&lt;PT+1,VLOOKUP(D78,'Pre-Calculation'!$N$3:$P$79,IF(INPUT!$C$4="M",2,3),FALSE)*(J78/1000)*(1/12),0)</f>
        <v>101.0934529</v>
      </c>
      <c r="J78" s="175">
        <f t="shared" si="3"/>
        <v>673021.6002</v>
      </c>
      <c r="K78" s="175">
        <f>IF('Pre-Calculation'!$D$17="Type 4 a",MAX(SA,H78,1.05*Q78),IF('Pre-Calculation'!$D$17="Type 4 c",H78,IF('Pre-Calculation'!$D$17="Type 4 d",SA+H78,IF('Pre-Calculation'!$D$17="Type 4 e",MAX(SA,H78),IF('Pre-Calculation'!$D$17="Type 4 f",SA,IF('Pre-Calculation'!$D$17="Type 4 g",1000+H78,IF('Pre-Calculation'!$D$17="Type 4 h",SA+X78,IF('Pre-Calculation'!$D$17="Type 4 i",MAX(H78,Q78),IF('Pre-Calculation'!$D$17="Type 4 k",MAX(H78,1.01*Q78),IF('Pre-Calculation'!$D$17="Type 4 m",MAX(105%*Q78,SA+H78),IF('Pre-Calculation'!$D$17="Type 4 o",MAX(SA,105%*Q78)+X78+Z78,IF('Pre-Calculation'!$D$17="Type 5",0))))))))))))</f>
        <v>1260000</v>
      </c>
      <c r="L78" s="175">
        <f>H78-I78*(1+Tax)</f>
        <v>586859.1095</v>
      </c>
      <c r="M78" s="175">
        <f>L78*(1+GROWTH_RATE_L)*(1-FMC*(1+Tax))</f>
        <v>587999.1527</v>
      </c>
      <c r="N78" s="175">
        <f>M78+IF(MOD(A78,B78)=0,VLOOKUP(B78,'Pre-Calculation'!$H$1:$L$31,5,FALSE),0)*IF('Pre-Calculation'!$D$16="% OF FV",M78,IF(OR('Pre-Calculation'!$D$16="% OF AFV(24M)",'Pre-Calculation'!$D$16="% OF AFV(8Q)"),AVERAGE( $M55:$M78),IF('Pre-Calculation'!$D$16="% OF AFV(12M)",AVERAGE($M67:M78),IF('Pre-Calculation'!$D$16="% OF AFV(36M)",AVERAGE($M43:M78)))))</f>
        <v>587999.1527</v>
      </c>
      <c r="O78" s="175">
        <f t="shared" si="4"/>
        <v>587999.1527</v>
      </c>
      <c r="P78" s="175">
        <f>IF('Pre-Calculation'!$D$17="Type 4 a",MAX(SA,N78,1.05*Q78),IF('Pre-Calculation'!$D$17="Type 4 c",N78,IF('Pre-Calculation'!$D$17="Type 4 d",SA+N78,IF('Pre-Calculation'!$D$17="Type 4 e",MAX(SA,N78),IF('Pre-Calculation'!$D$17="Type 4 f",SA,IF('Pre-Calculation'!$D$17="Type 4 g",1000+N78,IF('Pre-Calculation'!$D$17="Type 4 h",SA+X78,IF('Pre-Calculation'!$D$17="Type 4 i",MAX(N78,Q78),IF('Pre-Calculation'!$D$17="Type 4 k",MAX(N78,1.01*Q78),IF('Pre-Calculation'!$D$17="Type 4 m",MAX(105%*Q78,SA+N78),IF('Pre-Calculation'!$D$17="Type 4 o",MAX(SA,105%*Q78)+X78+Z78,IF('Pre-Calculation'!$D$17="Type 5",0))))))))))))</f>
        <v>1260000</v>
      </c>
      <c r="Q78" s="175">
        <f t="shared" si="5"/>
        <v>1200000</v>
      </c>
      <c r="R78" s="119">
        <f>L78*(1+GROWTH_RATE)*FMC</f>
        <v>664.1030045</v>
      </c>
      <c r="S78" s="178">
        <f>S77*(1+'Pre-Calculation'!$E$27)</f>
        <v>799015.9621</v>
      </c>
      <c r="T78" s="175">
        <f>-E78+IF(A77=INPUT!$C$11*12,N78,0)</f>
        <v>0</v>
      </c>
      <c r="U78" s="175">
        <f t="shared" si="6"/>
        <v>641069.0808</v>
      </c>
      <c r="V78" s="175">
        <f>U78*(1+GROWTH_RATE_L)*(1-'Pre-Calculation'!$E$31)</f>
        <v>642096.6913</v>
      </c>
      <c r="W78" s="175">
        <f>-E78+IF(A77=INPUT!$C$11*12,V78,0)</f>
        <v>0</v>
      </c>
      <c r="X78" s="179">
        <f t="array" ref="X78">NPV('Pre-Calculation'!$E$20,$E79:E$246)</f>
        <v>360393.885</v>
      </c>
      <c r="Y78" s="171">
        <f>10%*SA</f>
        <v>100000</v>
      </c>
      <c r="Z78" s="179">
        <f t="array" ref="Z78">NPV('Pre-Calculation'!$E$20,Y79:Y88)</f>
        <v>969592.8037</v>
      </c>
    </row>
    <row r="79" ht="15.75" customHeight="1">
      <c r="A79" s="171">
        <f t="shared" si="1"/>
        <v>73</v>
      </c>
      <c r="B79" s="171">
        <f t="shared" si="2"/>
        <v>7</v>
      </c>
      <c r="C79" s="176">
        <f>EDATE(RCD,A78)</f>
        <v>44742</v>
      </c>
      <c r="D79" s="171">
        <f>Age_At_Entry+'Cashflows_4% from Start'!B79-1</f>
        <v>41</v>
      </c>
      <c r="E79" s="175">
        <f>IF(AND(C79&lt;=Last_Prem,MOD(A78,Mode)=0),Mod_Prem,0)</f>
        <v>100000</v>
      </c>
      <c r="F79" s="177">
        <f>IF(B79&lt;PT+1,E79*VLOOKUP(B79,'Pre-Calculation'!$H$1:$I$31,2,FALSE),0)</f>
        <v>0</v>
      </c>
      <c r="G79" s="177">
        <f>IF(B79&lt;PT+1,VLOOKUP(B79,'Pre-Calculation'!$H$1:$L$32,3,FALSE)+VLOOKUP(B79,'Pre-Calculation'!$H$1:$L$32,4,FALSE)*'Pre-Calculation'!$D$7,0)</f>
        <v>830</v>
      </c>
      <c r="H79" s="175">
        <f>(E79-(F79+G79)*(1+Tax)+N78)</f>
        <v>687019.7527</v>
      </c>
      <c r="I79" s="175">
        <f>IF(B79&lt;PT+1,VLOOKUP(D79,'Pre-Calculation'!$N$3:$P$79,IF(INPUT!$C$4="M",2,3),FALSE)*(J79/1000)*(1/12),0)</f>
        <v>110.6802754</v>
      </c>
      <c r="J79" s="175">
        <f t="shared" si="3"/>
        <v>677980.2473</v>
      </c>
      <c r="K79" s="175">
        <f>IF('Pre-Calculation'!$D$17="Type 4 a",MAX(SA,H79,1.05*Q79),IF('Pre-Calculation'!$D$17="Type 4 c",H79,IF('Pre-Calculation'!$D$17="Type 4 d",SA+H79,IF('Pre-Calculation'!$D$17="Type 4 e",MAX(SA,H79),IF('Pre-Calculation'!$D$17="Type 4 f",SA,IF('Pre-Calculation'!$D$17="Type 4 g",1000+H79,IF('Pre-Calculation'!$D$17="Type 4 h",SA+X79,IF('Pre-Calculation'!$D$17="Type 4 i",MAX(H79,Q79),IF('Pre-Calculation'!$D$17="Type 4 k",MAX(H79,1.01*Q79),IF('Pre-Calculation'!$D$17="Type 4 m",MAX(105%*Q79,SA+H79),IF('Pre-Calculation'!$D$17="Type 4 o",MAX(SA,105%*Q79)+X79+Z79,IF('Pre-Calculation'!$D$17="Type 5",0))))))))))))</f>
        <v>1365000</v>
      </c>
      <c r="L79" s="175">
        <f>H79-I79*(1+Tax)</f>
        <v>686889.15</v>
      </c>
      <c r="M79" s="175">
        <f>L79*(1+GROWTH_RATE_L)*(1-FMC*(1+Tax))</f>
        <v>688223.5133</v>
      </c>
      <c r="N79" s="175">
        <f>M79+IF(MOD(A79,B79)=0,VLOOKUP(B79,'Pre-Calculation'!$H$1:$L$31,5,FALSE),0)*IF('Pre-Calculation'!$D$16="% OF FV",M79,IF(OR('Pre-Calculation'!$D$16="% OF AFV(24M)",'Pre-Calculation'!$D$16="% OF AFV(8Q)"),AVERAGE( $M56:$M79),IF('Pre-Calculation'!$D$16="% OF AFV(12M)",AVERAGE($M68:M79),IF('Pre-Calculation'!$D$16="% OF AFV(36M)",AVERAGE($M44:M79)))))</f>
        <v>688223.5133</v>
      </c>
      <c r="O79" s="175">
        <f t="shared" si="4"/>
        <v>688223.5133</v>
      </c>
      <c r="P79" s="175">
        <f>IF('Pre-Calculation'!$D$17="Type 4 a",MAX(SA,N79,1.05*Q79),IF('Pre-Calculation'!$D$17="Type 4 c",N79,IF('Pre-Calculation'!$D$17="Type 4 d",SA+N79,IF('Pre-Calculation'!$D$17="Type 4 e",MAX(SA,N79),IF('Pre-Calculation'!$D$17="Type 4 f",SA,IF('Pre-Calculation'!$D$17="Type 4 g",1000+N79,IF('Pre-Calculation'!$D$17="Type 4 h",SA+X79,IF('Pre-Calculation'!$D$17="Type 4 i",MAX(N79,Q79),IF('Pre-Calculation'!$D$17="Type 4 k",MAX(N79,1.01*Q79),IF('Pre-Calculation'!$D$17="Type 4 m",MAX(105%*Q79,SA+N79),IF('Pre-Calculation'!$D$17="Type 4 o",MAX(SA,105%*Q79)+X79+Z79,IF('Pre-Calculation'!$D$17="Type 5",0))))))))))))</f>
        <v>1365000</v>
      </c>
      <c r="Q79" s="175">
        <f t="shared" si="5"/>
        <v>1300000</v>
      </c>
      <c r="R79" s="119">
        <f>L79*(1+GROWTH_RATE)*FMC</f>
        <v>777.2992543</v>
      </c>
      <c r="S79" s="178">
        <f>S78*(1+'Pre-Calculation'!$E$27)</f>
        <v>801309.856</v>
      </c>
      <c r="T79" s="175">
        <f>-E79+IF(A78=INPUT!$C$11*12,N79,0)</f>
        <v>-100000</v>
      </c>
      <c r="U79" s="175">
        <f t="shared" si="6"/>
        <v>742096.6913</v>
      </c>
      <c r="V79" s="175">
        <f>U79*(1+GROWTH_RATE_L)*(1-'Pre-Calculation'!$E$31)</f>
        <v>743286.2454</v>
      </c>
      <c r="W79" s="175">
        <f>-E79+IF(A78=INPUT!$C$11*12,V79,0)</f>
        <v>-100000</v>
      </c>
      <c r="X79" s="179">
        <f t="array" ref="X79">NPV('Pre-Calculation'!$E$20,$E80:E$246)</f>
        <v>262431.6044</v>
      </c>
      <c r="Y79" s="171">
        <f>10%*SA</f>
        <v>100000</v>
      </c>
      <c r="Z79" s="179">
        <f t="array" ref="Z79">NPV('Pre-Calculation'!$E$20,Y80:Y89)</f>
        <v>969592.8037</v>
      </c>
    </row>
    <row r="80" ht="15.75" customHeight="1">
      <c r="A80" s="171">
        <f t="shared" si="1"/>
        <v>74</v>
      </c>
      <c r="B80" s="171">
        <f t="shared" si="2"/>
        <v>7</v>
      </c>
      <c r="C80" s="176">
        <f>EDATE(RCD,A79)</f>
        <v>44772</v>
      </c>
      <c r="D80" s="171">
        <f>Age_At_Entry+'Cashflows_4% from Start'!B80-1</f>
        <v>41</v>
      </c>
      <c r="E80" s="175">
        <f>IF(AND(C80&lt;=Last_Prem,MOD(A79,Mode)=0),Mod_Prem,0)</f>
        <v>0</v>
      </c>
      <c r="F80" s="177">
        <f>IF(B80&lt;PT+1,E80*VLOOKUP(B80,'Pre-Calculation'!$H$1:$I$31,2,FALSE),0)</f>
        <v>0</v>
      </c>
      <c r="G80" s="177">
        <f>IF(B80&lt;PT+1,VLOOKUP(B80,'Pre-Calculation'!$H$1:$L$32,3,FALSE)+VLOOKUP(B80,'Pre-Calculation'!$H$1:$L$32,4,FALSE)*'Pre-Calculation'!$D$7,0)</f>
        <v>830</v>
      </c>
      <c r="H80" s="175">
        <f>(E80-(F80+G80)*(1+Tax)+N79)</f>
        <v>687244.1133</v>
      </c>
      <c r="I80" s="175">
        <f>IF(B80&lt;PT+1,VLOOKUP(D80,'Pre-Calculation'!$N$3:$P$79,IF(INPUT!$C$4="M",2,3),FALSE)*(J80/1000)*(1/12),0)</f>
        <v>110.6436485</v>
      </c>
      <c r="J80" s="175">
        <f t="shared" si="3"/>
        <v>677755.8867</v>
      </c>
      <c r="K80" s="175">
        <f>IF('Pre-Calculation'!$D$17="Type 4 a",MAX(SA,H80,1.05*Q80),IF('Pre-Calculation'!$D$17="Type 4 c",H80,IF('Pre-Calculation'!$D$17="Type 4 d",SA+H80,IF('Pre-Calculation'!$D$17="Type 4 e",MAX(SA,H80),IF('Pre-Calculation'!$D$17="Type 4 f",SA,IF('Pre-Calculation'!$D$17="Type 4 g",1000+H80,IF('Pre-Calculation'!$D$17="Type 4 h",SA+X80,IF('Pre-Calculation'!$D$17="Type 4 i",MAX(H80,Q80),IF('Pre-Calculation'!$D$17="Type 4 k",MAX(H80,1.01*Q80),IF('Pre-Calculation'!$D$17="Type 4 m",MAX(105%*Q80,SA+H80),IF('Pre-Calculation'!$D$17="Type 4 o",MAX(SA,105%*Q80)+X80+Z80,IF('Pre-Calculation'!$D$17="Type 5",0))))))))))))</f>
        <v>1365000</v>
      </c>
      <c r="L80" s="175">
        <f>H80-I80*(1+Tax)</f>
        <v>687113.5538</v>
      </c>
      <c r="M80" s="175">
        <f>L80*(1+GROWTH_RATE_L)*(1-FMC*(1+Tax))</f>
        <v>688448.3531</v>
      </c>
      <c r="N80" s="175">
        <f>M80+IF(MOD(A80,B80)=0,VLOOKUP(B80,'Pre-Calculation'!$H$1:$L$31,5,FALSE),0)*IF('Pre-Calculation'!$D$16="% OF FV",M80,IF(OR('Pre-Calculation'!$D$16="% OF AFV(24M)",'Pre-Calculation'!$D$16="% OF AFV(8Q)"),AVERAGE( $M57:$M80),IF('Pre-Calculation'!$D$16="% OF AFV(12M)",AVERAGE($M69:M80),IF('Pre-Calculation'!$D$16="% OF AFV(36M)",AVERAGE($M45:M80)))))</f>
        <v>688448.3531</v>
      </c>
      <c r="O80" s="175">
        <f t="shared" si="4"/>
        <v>688448.3531</v>
      </c>
      <c r="P80" s="175">
        <f>IF('Pre-Calculation'!$D$17="Type 4 a",MAX(SA,N80,1.05*Q80),IF('Pre-Calculation'!$D$17="Type 4 c",N80,IF('Pre-Calculation'!$D$17="Type 4 d",SA+N80,IF('Pre-Calculation'!$D$17="Type 4 e",MAX(SA,N80),IF('Pre-Calculation'!$D$17="Type 4 f",SA,IF('Pre-Calculation'!$D$17="Type 4 g",1000+N80,IF('Pre-Calculation'!$D$17="Type 4 h",SA+X80,IF('Pre-Calculation'!$D$17="Type 4 i",MAX(N80,Q80),IF('Pre-Calculation'!$D$17="Type 4 k",MAX(N80,1.01*Q80),IF('Pre-Calculation'!$D$17="Type 4 m",MAX(105%*Q80,SA+N80),IF('Pre-Calculation'!$D$17="Type 4 o",MAX(SA,105%*Q80)+X80+Z80,IF('Pre-Calculation'!$D$17="Type 5",0))))))))))))</f>
        <v>1365000</v>
      </c>
      <c r="Q80" s="175">
        <f t="shared" si="5"/>
        <v>1300000</v>
      </c>
      <c r="R80" s="119">
        <f>L80*(1+GROWTH_RATE)*FMC</f>
        <v>777.5531948</v>
      </c>
      <c r="S80" s="178">
        <f>S79*(1+'Pre-Calculation'!$E$27)</f>
        <v>803610.3355</v>
      </c>
      <c r="T80" s="175">
        <f>-E80+IF(A79=INPUT!$C$11*12,N80,0)</f>
        <v>0</v>
      </c>
      <c r="U80" s="175">
        <f t="shared" si="6"/>
        <v>743286.2454</v>
      </c>
      <c r="V80" s="175">
        <f>U80*(1+GROWTH_RATE_L)*(1-'Pre-Calculation'!$E$31)</f>
        <v>744477.7064</v>
      </c>
      <c r="W80" s="175">
        <f>-E80+IF(A79=INPUT!$C$11*12,V80,0)</f>
        <v>0</v>
      </c>
      <c r="X80" s="179">
        <f t="array" ref="X80">NPV('Pre-Calculation'!$E$20,$E81:E$246)</f>
        <v>263915.4309</v>
      </c>
      <c r="Y80" s="171">
        <f>10%*SA</f>
        <v>100000</v>
      </c>
      <c r="Z80" s="179">
        <f t="array" ref="Z80">NPV('Pre-Calculation'!$E$20,Y81:Y90)</f>
        <v>969592.8037</v>
      </c>
    </row>
    <row r="81" ht="15.75" customHeight="1">
      <c r="A81" s="171">
        <f t="shared" si="1"/>
        <v>75</v>
      </c>
      <c r="B81" s="171">
        <f t="shared" si="2"/>
        <v>7</v>
      </c>
      <c r="C81" s="176">
        <f>EDATE(RCD,A80)</f>
        <v>44803</v>
      </c>
      <c r="D81" s="171">
        <f>Age_At_Entry+'Cashflows_4% from Start'!B81-1</f>
        <v>41</v>
      </c>
      <c r="E81" s="175">
        <f>IF(AND(C81&lt;=Last_Prem,MOD(A80,Mode)=0),Mod_Prem,0)</f>
        <v>0</v>
      </c>
      <c r="F81" s="177">
        <f>IF(B81&lt;PT+1,E81*VLOOKUP(B81,'Pre-Calculation'!$H$1:$I$31,2,FALSE),0)</f>
        <v>0</v>
      </c>
      <c r="G81" s="177">
        <f>IF(B81&lt;PT+1,VLOOKUP(B81,'Pre-Calculation'!$H$1:$L$32,3,FALSE)+VLOOKUP(B81,'Pre-Calculation'!$H$1:$L$32,4,FALSE)*'Pre-Calculation'!$D$7,0)</f>
        <v>830</v>
      </c>
      <c r="H81" s="175">
        <f>(E81-(F81+G81)*(1+Tax)+N80)</f>
        <v>687468.9531</v>
      </c>
      <c r="I81" s="175">
        <f>IF(B81&lt;PT+1,VLOOKUP(D81,'Pre-Calculation'!$N$3:$P$79,IF(INPUT!$C$4="M",2,3),FALSE)*(J81/1000)*(1/12),0)</f>
        <v>110.6069434</v>
      </c>
      <c r="J81" s="175">
        <f t="shared" si="3"/>
        <v>677531.0469</v>
      </c>
      <c r="K81" s="175">
        <f>IF('Pre-Calculation'!$D$17="Type 4 a",MAX(SA,H81,1.05*Q81),IF('Pre-Calculation'!$D$17="Type 4 c",H81,IF('Pre-Calculation'!$D$17="Type 4 d",SA+H81,IF('Pre-Calculation'!$D$17="Type 4 e",MAX(SA,H81),IF('Pre-Calculation'!$D$17="Type 4 f",SA,IF('Pre-Calculation'!$D$17="Type 4 g",1000+H81,IF('Pre-Calculation'!$D$17="Type 4 h",SA+X81,IF('Pre-Calculation'!$D$17="Type 4 i",MAX(H81,Q81),IF('Pre-Calculation'!$D$17="Type 4 k",MAX(H81,1.01*Q81),IF('Pre-Calculation'!$D$17="Type 4 m",MAX(105%*Q81,SA+H81),IF('Pre-Calculation'!$D$17="Type 4 o",MAX(SA,105%*Q81)+X81+Z81,IF('Pre-Calculation'!$D$17="Type 5",0))))))))))))</f>
        <v>1365000</v>
      </c>
      <c r="L81" s="175">
        <f>H81-I81*(1+Tax)</f>
        <v>687338.4369</v>
      </c>
      <c r="M81" s="175">
        <f>L81*(1+GROWTH_RATE_L)*(1-FMC*(1+Tax))</f>
        <v>688673.673</v>
      </c>
      <c r="N81" s="175">
        <f>M81+IF(MOD(A81,B81)=0,VLOOKUP(B81,'Pre-Calculation'!$H$1:$L$31,5,FALSE),0)*IF('Pre-Calculation'!$D$16="% OF FV",M81,IF(OR('Pre-Calculation'!$D$16="% OF AFV(24M)",'Pre-Calculation'!$D$16="% OF AFV(8Q)"),AVERAGE( $M58:$M81),IF('Pre-Calculation'!$D$16="% OF AFV(12M)",AVERAGE($M70:M81),IF('Pre-Calculation'!$D$16="% OF AFV(36M)",AVERAGE($M46:M81)))))</f>
        <v>688673.673</v>
      </c>
      <c r="O81" s="175">
        <f t="shared" si="4"/>
        <v>688673.673</v>
      </c>
      <c r="P81" s="175">
        <f>IF('Pre-Calculation'!$D$17="Type 4 a",MAX(SA,N81,1.05*Q81),IF('Pre-Calculation'!$D$17="Type 4 c",N81,IF('Pre-Calculation'!$D$17="Type 4 d",SA+N81,IF('Pre-Calculation'!$D$17="Type 4 e",MAX(SA,N81),IF('Pre-Calculation'!$D$17="Type 4 f",SA,IF('Pre-Calculation'!$D$17="Type 4 g",1000+N81,IF('Pre-Calculation'!$D$17="Type 4 h",SA+X81,IF('Pre-Calculation'!$D$17="Type 4 i",MAX(N81,Q81),IF('Pre-Calculation'!$D$17="Type 4 k",MAX(N81,1.01*Q81),IF('Pre-Calculation'!$D$17="Type 4 m",MAX(105%*Q81,SA+N81),IF('Pre-Calculation'!$D$17="Type 4 o",MAX(SA,105%*Q81)+X81+Z81,IF('Pre-Calculation'!$D$17="Type 5",0))))))))))))</f>
        <v>1365000</v>
      </c>
      <c r="Q81" s="175">
        <f t="shared" si="5"/>
        <v>1300000</v>
      </c>
      <c r="R81" s="119">
        <f>L81*(1+GROWTH_RATE)*FMC</f>
        <v>777.8076776</v>
      </c>
      <c r="S81" s="178">
        <f>S80*(1+'Pre-Calculation'!$E$27)</f>
        <v>805917.4193</v>
      </c>
      <c r="T81" s="175">
        <f>-E81+IF(A80=INPUT!$C$11*12,N81,0)</f>
        <v>0</v>
      </c>
      <c r="U81" s="175">
        <f t="shared" si="6"/>
        <v>744477.7064</v>
      </c>
      <c r="V81" s="175">
        <f>U81*(1+GROWTH_RATE_L)*(1-'Pre-Calculation'!$E$31)</f>
        <v>745671.0772</v>
      </c>
      <c r="W81" s="175">
        <f>-E81+IF(A80=INPUT!$C$11*12,V81,0)</f>
        <v>0</v>
      </c>
      <c r="X81" s="179">
        <f t="array" ref="X81">NPV('Pre-Calculation'!$E$20,$E82:E$246)</f>
        <v>265407.6471</v>
      </c>
      <c r="Y81" s="171">
        <f>10%*SA</f>
        <v>100000</v>
      </c>
      <c r="Z81" s="179">
        <f t="array" ref="Z81">NPV('Pre-Calculation'!$E$20,Y82:Y91)</f>
        <v>969592.8037</v>
      </c>
    </row>
    <row r="82" ht="15.75" customHeight="1">
      <c r="A82" s="171">
        <f t="shared" si="1"/>
        <v>76</v>
      </c>
      <c r="B82" s="171">
        <f t="shared" si="2"/>
        <v>7</v>
      </c>
      <c r="C82" s="176">
        <f>EDATE(RCD,A81)</f>
        <v>44834</v>
      </c>
      <c r="D82" s="171">
        <f>Age_At_Entry+'Cashflows_4% from Start'!B82-1</f>
        <v>41</v>
      </c>
      <c r="E82" s="175">
        <f>IF(AND(C82&lt;=Last_Prem,MOD(A81,Mode)=0),Mod_Prem,0)</f>
        <v>0</v>
      </c>
      <c r="F82" s="177">
        <f>IF(B82&lt;PT+1,E82*VLOOKUP(B82,'Pre-Calculation'!$H$1:$I$31,2,FALSE),0)</f>
        <v>0</v>
      </c>
      <c r="G82" s="177">
        <f>IF(B82&lt;PT+1,VLOOKUP(B82,'Pre-Calculation'!$H$1:$L$32,3,FALSE)+VLOOKUP(B82,'Pre-Calculation'!$H$1:$L$32,4,FALSE)*'Pre-Calculation'!$D$7,0)</f>
        <v>830</v>
      </c>
      <c r="H82" s="175">
        <f>(E82-(F82+G82)*(1+Tax)+N81)</f>
        <v>687694.273</v>
      </c>
      <c r="I82" s="175">
        <f>IF(B82&lt;PT+1,VLOOKUP(D82,'Pre-Calculation'!$N$3:$P$79,IF(INPUT!$C$4="M",2,3),FALSE)*(J82/1000)*(1/12),0)</f>
        <v>110.5701599</v>
      </c>
      <c r="J82" s="175">
        <f t="shared" si="3"/>
        <v>677305.727</v>
      </c>
      <c r="K82" s="175">
        <f>IF('Pre-Calculation'!$D$17="Type 4 a",MAX(SA,H82,1.05*Q82),IF('Pre-Calculation'!$D$17="Type 4 c",H82,IF('Pre-Calculation'!$D$17="Type 4 d",SA+H82,IF('Pre-Calculation'!$D$17="Type 4 e",MAX(SA,H82),IF('Pre-Calculation'!$D$17="Type 4 f",SA,IF('Pre-Calculation'!$D$17="Type 4 g",1000+H82,IF('Pre-Calculation'!$D$17="Type 4 h",SA+X82,IF('Pre-Calculation'!$D$17="Type 4 i",MAX(H82,Q82),IF('Pre-Calculation'!$D$17="Type 4 k",MAX(H82,1.01*Q82),IF('Pre-Calculation'!$D$17="Type 4 m",MAX(105%*Q82,SA+H82),IF('Pre-Calculation'!$D$17="Type 4 o",MAX(SA,105%*Q82)+X82+Z82,IF('Pre-Calculation'!$D$17="Type 5",0))))))))))))</f>
        <v>1365000</v>
      </c>
      <c r="L82" s="175">
        <f>H82-I82*(1+Tax)</f>
        <v>687563.8002</v>
      </c>
      <c r="M82" s="175">
        <f>L82*(1+GROWTH_RATE_L)*(1-FMC*(1+Tax))</f>
        <v>688899.4742</v>
      </c>
      <c r="N82" s="175">
        <f>M82+IF(MOD(A82,B82)=0,VLOOKUP(B82,'Pre-Calculation'!$H$1:$L$31,5,FALSE),0)*IF('Pre-Calculation'!$D$16="% OF FV",M82,IF(OR('Pre-Calculation'!$D$16="% OF AFV(24M)",'Pre-Calculation'!$D$16="% OF AFV(8Q)"),AVERAGE( $M59:$M82),IF('Pre-Calculation'!$D$16="% OF AFV(12M)",AVERAGE($M71:M82),IF('Pre-Calculation'!$D$16="% OF AFV(36M)",AVERAGE($M47:M82)))))</f>
        <v>688899.4742</v>
      </c>
      <c r="O82" s="175">
        <f t="shared" si="4"/>
        <v>688899.4742</v>
      </c>
      <c r="P82" s="175">
        <f>IF('Pre-Calculation'!$D$17="Type 4 a",MAX(SA,N82,1.05*Q82),IF('Pre-Calculation'!$D$17="Type 4 c",N82,IF('Pre-Calculation'!$D$17="Type 4 d",SA+N82,IF('Pre-Calculation'!$D$17="Type 4 e",MAX(SA,N82),IF('Pre-Calculation'!$D$17="Type 4 f",SA,IF('Pre-Calculation'!$D$17="Type 4 g",1000+N82,IF('Pre-Calculation'!$D$17="Type 4 h",SA+X82,IF('Pre-Calculation'!$D$17="Type 4 i",MAX(N82,Q82),IF('Pre-Calculation'!$D$17="Type 4 k",MAX(N82,1.01*Q82),IF('Pre-Calculation'!$D$17="Type 4 m",MAX(105%*Q82,SA+N82),IF('Pre-Calculation'!$D$17="Type 4 o",MAX(SA,105%*Q82)+X82+Z82,IF('Pre-Calculation'!$D$17="Type 5",0))))))))))))</f>
        <v>1365000</v>
      </c>
      <c r="Q82" s="175">
        <f t="shared" si="5"/>
        <v>1300000</v>
      </c>
      <c r="R82" s="119">
        <f>L82*(1+GROWTH_RATE)*FMC</f>
        <v>778.0627038</v>
      </c>
      <c r="S82" s="178">
        <f>S81*(1+'Pre-Calculation'!$E$27)</f>
        <v>808231.1266</v>
      </c>
      <c r="T82" s="175">
        <f>-E82+IF(A81=INPUT!$C$11*12,N82,0)</f>
        <v>0</v>
      </c>
      <c r="U82" s="175">
        <f t="shared" si="6"/>
        <v>745671.0772</v>
      </c>
      <c r="V82" s="175">
        <f>U82*(1+GROWTH_RATE_L)*(1-'Pre-Calculation'!$E$31)</f>
        <v>746866.361</v>
      </c>
      <c r="W82" s="175">
        <f>-E82+IF(A81=INPUT!$C$11*12,V82,0)</f>
        <v>0</v>
      </c>
      <c r="X82" s="179">
        <f t="array" ref="X82">NPV('Pre-Calculation'!$E$20,$E83:E$246)</f>
        <v>266908.3005</v>
      </c>
      <c r="Y82" s="171">
        <f>10%*SA</f>
        <v>100000</v>
      </c>
      <c r="Z82" s="179">
        <f t="array" ref="Z82">NPV('Pre-Calculation'!$E$20,Y83:Y92)</f>
        <v>969592.8037</v>
      </c>
    </row>
    <row r="83" ht="15.75" customHeight="1">
      <c r="A83" s="171">
        <f t="shared" si="1"/>
        <v>77</v>
      </c>
      <c r="B83" s="171">
        <f t="shared" si="2"/>
        <v>7</v>
      </c>
      <c r="C83" s="176">
        <f>EDATE(RCD,A82)</f>
        <v>44864</v>
      </c>
      <c r="D83" s="171">
        <f>Age_At_Entry+'Cashflows_4% from Start'!B83-1</f>
        <v>41</v>
      </c>
      <c r="E83" s="175">
        <f>IF(AND(C83&lt;=Last_Prem,MOD(A82,Mode)=0),Mod_Prem,0)</f>
        <v>0</v>
      </c>
      <c r="F83" s="177">
        <f>IF(B83&lt;PT+1,E83*VLOOKUP(B83,'Pre-Calculation'!$H$1:$I$31,2,FALSE),0)</f>
        <v>0</v>
      </c>
      <c r="G83" s="177">
        <f>IF(B83&lt;PT+1,VLOOKUP(B83,'Pre-Calculation'!$H$1:$L$32,3,FALSE)+VLOOKUP(B83,'Pre-Calculation'!$H$1:$L$32,4,FALSE)*'Pre-Calculation'!$D$7,0)</f>
        <v>830</v>
      </c>
      <c r="H83" s="175">
        <f>(E83-(F83+G83)*(1+Tax)+N82)</f>
        <v>687920.0742</v>
      </c>
      <c r="I83" s="175">
        <f>IF(B83&lt;PT+1,VLOOKUP(D83,'Pre-Calculation'!$N$3:$P$79,IF(INPUT!$C$4="M",2,3),FALSE)*(J83/1000)*(1/12),0)</f>
        <v>110.5332979</v>
      </c>
      <c r="J83" s="175">
        <f t="shared" si="3"/>
        <v>677079.9258</v>
      </c>
      <c r="K83" s="175">
        <f>IF('Pre-Calculation'!$D$17="Type 4 a",MAX(SA,H83,1.05*Q83),IF('Pre-Calculation'!$D$17="Type 4 c",H83,IF('Pre-Calculation'!$D$17="Type 4 d",SA+H83,IF('Pre-Calculation'!$D$17="Type 4 e",MAX(SA,H83),IF('Pre-Calculation'!$D$17="Type 4 f",SA,IF('Pre-Calculation'!$D$17="Type 4 g",1000+H83,IF('Pre-Calculation'!$D$17="Type 4 h",SA+X83,IF('Pre-Calculation'!$D$17="Type 4 i",MAX(H83,Q83),IF('Pre-Calculation'!$D$17="Type 4 k",MAX(H83,1.01*Q83),IF('Pre-Calculation'!$D$17="Type 4 m",MAX(105%*Q83,SA+H83),IF('Pre-Calculation'!$D$17="Type 4 o",MAX(SA,105%*Q83)+X83+Z83,IF('Pre-Calculation'!$D$17="Type 5",0))))))))))))</f>
        <v>1365000</v>
      </c>
      <c r="L83" s="175">
        <f>H83-I83*(1+Tax)</f>
        <v>687789.6449</v>
      </c>
      <c r="M83" s="175">
        <f>L83*(1+GROWTH_RATE_L)*(1-FMC*(1+Tax))</f>
        <v>689125.7575</v>
      </c>
      <c r="N83" s="175">
        <f>M83+IF(MOD(A83,B83)=0,VLOOKUP(B83,'Pre-Calculation'!$H$1:$L$31,5,FALSE),0)*IF('Pre-Calculation'!$D$16="% OF FV",M83,IF(OR('Pre-Calculation'!$D$16="% OF AFV(24M)",'Pre-Calculation'!$D$16="% OF AFV(8Q)"),AVERAGE( $M60:$M83),IF('Pre-Calculation'!$D$16="% OF AFV(12M)",AVERAGE($M72:M83),IF('Pre-Calculation'!$D$16="% OF AFV(36M)",AVERAGE($M48:M83)))))</f>
        <v>689125.7575</v>
      </c>
      <c r="O83" s="175">
        <f t="shared" si="4"/>
        <v>689125.7575</v>
      </c>
      <c r="P83" s="175">
        <f>IF('Pre-Calculation'!$D$17="Type 4 a",MAX(SA,N83,1.05*Q83),IF('Pre-Calculation'!$D$17="Type 4 c",N83,IF('Pre-Calculation'!$D$17="Type 4 d",SA+N83,IF('Pre-Calculation'!$D$17="Type 4 e",MAX(SA,N83),IF('Pre-Calculation'!$D$17="Type 4 f",SA,IF('Pre-Calculation'!$D$17="Type 4 g",1000+N83,IF('Pre-Calculation'!$D$17="Type 4 h",SA+X83,IF('Pre-Calculation'!$D$17="Type 4 i",MAX(N83,Q83),IF('Pre-Calculation'!$D$17="Type 4 k",MAX(N83,1.01*Q83),IF('Pre-Calculation'!$D$17="Type 4 m",MAX(105%*Q83,SA+N83),IF('Pre-Calculation'!$D$17="Type 4 o",MAX(SA,105%*Q83)+X83+Z83,IF('Pre-Calculation'!$D$17="Type 5",0))))))))))))</f>
        <v>1365000</v>
      </c>
      <c r="Q83" s="175">
        <f t="shared" si="5"/>
        <v>1300000</v>
      </c>
      <c r="R83" s="119">
        <f>L83*(1+GROWTH_RATE)*FMC</f>
        <v>778.3182747</v>
      </c>
      <c r="S83" s="178">
        <f>S82*(1+'Pre-Calculation'!$E$27)</f>
        <v>810551.4763</v>
      </c>
      <c r="T83" s="175">
        <f>-E83+IF(A82=INPUT!$C$11*12,N83,0)</f>
        <v>0</v>
      </c>
      <c r="U83" s="175">
        <f t="shared" si="6"/>
        <v>746866.361</v>
      </c>
      <c r="V83" s="175">
        <f>U83*(1+GROWTH_RATE_L)*(1-'Pre-Calculation'!$E$31)</f>
        <v>748063.5607</v>
      </c>
      <c r="W83" s="175">
        <f>-E83+IF(A82=INPUT!$C$11*12,V83,0)</f>
        <v>0</v>
      </c>
      <c r="X83" s="179">
        <f t="array" ref="X83">NPV('Pre-Calculation'!$E$20,$E84:E$246)</f>
        <v>268417.4389</v>
      </c>
      <c r="Y83" s="171">
        <f>10%*SA</f>
        <v>100000</v>
      </c>
      <c r="Z83" s="179">
        <f t="array" ref="Z83">NPV('Pre-Calculation'!$E$20,Y84:Y93)</f>
        <v>969592.8037</v>
      </c>
    </row>
    <row r="84" ht="15.75" customHeight="1">
      <c r="A84" s="171">
        <f t="shared" si="1"/>
        <v>78</v>
      </c>
      <c r="B84" s="171">
        <f t="shared" si="2"/>
        <v>7</v>
      </c>
      <c r="C84" s="176">
        <f>EDATE(RCD,A83)</f>
        <v>44895</v>
      </c>
      <c r="D84" s="171">
        <f>Age_At_Entry+'Cashflows_4% from Start'!B84-1</f>
        <v>41</v>
      </c>
      <c r="E84" s="175">
        <f>IF(AND(C84&lt;=Last_Prem,MOD(A83,Mode)=0),Mod_Prem,0)</f>
        <v>0</v>
      </c>
      <c r="F84" s="177">
        <f>IF(B84&lt;PT+1,E84*VLOOKUP(B84,'Pre-Calculation'!$H$1:$I$31,2,FALSE),0)</f>
        <v>0</v>
      </c>
      <c r="G84" s="177">
        <f>IF(B84&lt;PT+1,VLOOKUP(B84,'Pre-Calculation'!$H$1:$L$32,3,FALSE)+VLOOKUP(B84,'Pre-Calculation'!$H$1:$L$32,4,FALSE)*'Pre-Calculation'!$D$7,0)</f>
        <v>830</v>
      </c>
      <c r="H84" s="175">
        <f>(E84-(F84+G84)*(1+Tax)+N83)</f>
        <v>688146.3575</v>
      </c>
      <c r="I84" s="175">
        <f>IF(B84&lt;PT+1,VLOOKUP(D84,'Pre-Calculation'!$N$3:$P$79,IF(INPUT!$C$4="M",2,3),FALSE)*(J84/1000)*(1/12),0)</f>
        <v>110.4963571</v>
      </c>
      <c r="J84" s="175">
        <f t="shared" si="3"/>
        <v>676853.6425</v>
      </c>
      <c r="K84" s="175">
        <f>IF('Pre-Calculation'!$D$17="Type 4 a",MAX(SA,H84,1.05*Q84),IF('Pre-Calculation'!$D$17="Type 4 c",H84,IF('Pre-Calculation'!$D$17="Type 4 d",SA+H84,IF('Pre-Calculation'!$D$17="Type 4 e",MAX(SA,H84),IF('Pre-Calculation'!$D$17="Type 4 f",SA,IF('Pre-Calculation'!$D$17="Type 4 g",1000+H84,IF('Pre-Calculation'!$D$17="Type 4 h",SA+X84,IF('Pre-Calculation'!$D$17="Type 4 i",MAX(H84,Q84),IF('Pre-Calculation'!$D$17="Type 4 k",MAX(H84,1.01*Q84),IF('Pre-Calculation'!$D$17="Type 4 m",MAX(105%*Q84,SA+H84),IF('Pre-Calculation'!$D$17="Type 4 o",MAX(SA,105%*Q84)+X84+Z84,IF('Pre-Calculation'!$D$17="Type 5",0))))))))))))</f>
        <v>1365000</v>
      </c>
      <c r="L84" s="175">
        <f>H84-I84*(1+Tax)</f>
        <v>688015.9718</v>
      </c>
      <c r="M84" s="175">
        <f>L84*(1+GROWTH_RATE_L)*(1-FMC*(1+Tax))</f>
        <v>689352.5242</v>
      </c>
      <c r="N84" s="175">
        <f>M84+IF(MOD(A84,B84)=0,VLOOKUP(B84,'Pre-Calculation'!$H$1:$L$31,5,FALSE),0)*IF('Pre-Calculation'!$D$16="% OF FV",M84,IF(OR('Pre-Calculation'!$D$16="% OF AFV(24M)",'Pre-Calculation'!$D$16="% OF AFV(8Q)"),AVERAGE( $M61:$M84),IF('Pre-Calculation'!$D$16="% OF AFV(12M)",AVERAGE($M73:M84),IF('Pre-Calculation'!$D$16="% OF AFV(36M)",AVERAGE($M49:M84)))))</f>
        <v>689352.5242</v>
      </c>
      <c r="O84" s="175">
        <f t="shared" si="4"/>
        <v>689352.5242</v>
      </c>
      <c r="P84" s="175">
        <f>IF('Pre-Calculation'!$D$17="Type 4 a",MAX(SA,N84,1.05*Q84),IF('Pre-Calculation'!$D$17="Type 4 c",N84,IF('Pre-Calculation'!$D$17="Type 4 d",SA+N84,IF('Pre-Calculation'!$D$17="Type 4 e",MAX(SA,N84),IF('Pre-Calculation'!$D$17="Type 4 f",SA,IF('Pre-Calculation'!$D$17="Type 4 g",1000+N84,IF('Pre-Calculation'!$D$17="Type 4 h",SA+X84,IF('Pre-Calculation'!$D$17="Type 4 i",MAX(N84,Q84),IF('Pre-Calculation'!$D$17="Type 4 k",MAX(N84,1.01*Q84),IF('Pre-Calculation'!$D$17="Type 4 m",MAX(105%*Q84,SA+N84),IF('Pre-Calculation'!$D$17="Type 4 o",MAX(SA,105%*Q84)+X84+Z84,IF('Pre-Calculation'!$D$17="Type 5",0))))))))))))</f>
        <v>1365000</v>
      </c>
      <c r="Q84" s="175">
        <f t="shared" si="5"/>
        <v>1300000</v>
      </c>
      <c r="R84" s="119">
        <f>L84*(1+GROWTH_RATE)*FMC</f>
        <v>778.5743914</v>
      </c>
      <c r="S84" s="178">
        <f>S83*(1+'Pre-Calculation'!$E$27)</f>
        <v>812878.4875</v>
      </c>
      <c r="T84" s="175">
        <f>-E84+IF(A83=INPUT!$C$11*12,N84,0)</f>
        <v>0</v>
      </c>
      <c r="U84" s="175">
        <f t="shared" si="6"/>
        <v>748063.5607</v>
      </c>
      <c r="V84" s="175">
        <f>U84*(1+GROWTH_RATE_L)*(1-'Pre-Calculation'!$E$31)</f>
        <v>749262.6795</v>
      </c>
      <c r="W84" s="175">
        <f>-E84+IF(A83=INPUT!$C$11*12,V84,0)</f>
        <v>0</v>
      </c>
      <c r="X84" s="179">
        <f t="array" ref="X84">NPV('Pre-Calculation'!$E$20,$E85:E$246)</f>
        <v>269935.1101</v>
      </c>
      <c r="Y84" s="171">
        <f>10%*SA</f>
        <v>100000</v>
      </c>
      <c r="Z84" s="179">
        <f t="array" ref="Z84">NPV('Pre-Calculation'!$E$20,Y85:Y94)</f>
        <v>969592.8037</v>
      </c>
    </row>
    <row r="85" ht="15.75" customHeight="1">
      <c r="A85" s="171">
        <f t="shared" si="1"/>
        <v>79</v>
      </c>
      <c r="B85" s="171">
        <f t="shared" si="2"/>
        <v>7</v>
      </c>
      <c r="C85" s="176">
        <f>EDATE(RCD,A84)</f>
        <v>44925</v>
      </c>
      <c r="D85" s="171">
        <f>Age_At_Entry+'Cashflows_4% from Start'!B85-1</f>
        <v>41</v>
      </c>
      <c r="E85" s="175">
        <f>IF(AND(C85&lt;=Last_Prem,MOD(A84,Mode)=0),Mod_Prem,0)</f>
        <v>0</v>
      </c>
      <c r="F85" s="177">
        <f>IF(B85&lt;PT+1,E85*VLOOKUP(B85,'Pre-Calculation'!$H$1:$I$31,2,FALSE),0)</f>
        <v>0</v>
      </c>
      <c r="G85" s="177">
        <f>IF(B85&lt;PT+1,VLOOKUP(B85,'Pre-Calculation'!$H$1:$L$32,3,FALSE)+VLOOKUP(B85,'Pre-Calculation'!$H$1:$L$32,4,FALSE)*'Pre-Calculation'!$D$7,0)</f>
        <v>830</v>
      </c>
      <c r="H85" s="175">
        <f>(E85-(F85+G85)*(1+Tax)+N84)</f>
        <v>688373.1242</v>
      </c>
      <c r="I85" s="175">
        <f>IF(B85&lt;PT+1,VLOOKUP(D85,'Pre-Calculation'!$N$3:$P$79,IF(INPUT!$C$4="M",2,3),FALSE)*(J85/1000)*(1/12),0)</f>
        <v>110.4593375</v>
      </c>
      <c r="J85" s="175">
        <f t="shared" si="3"/>
        <v>676626.8758</v>
      </c>
      <c r="K85" s="175">
        <f>IF('Pre-Calculation'!$D$17="Type 4 a",MAX(SA,H85,1.05*Q85),IF('Pre-Calculation'!$D$17="Type 4 c",H85,IF('Pre-Calculation'!$D$17="Type 4 d",SA+H85,IF('Pre-Calculation'!$D$17="Type 4 e",MAX(SA,H85),IF('Pre-Calculation'!$D$17="Type 4 f",SA,IF('Pre-Calculation'!$D$17="Type 4 g",1000+H85,IF('Pre-Calculation'!$D$17="Type 4 h",SA+X85,IF('Pre-Calculation'!$D$17="Type 4 i",MAX(H85,Q85),IF('Pre-Calculation'!$D$17="Type 4 k",MAX(H85,1.01*Q85),IF('Pre-Calculation'!$D$17="Type 4 m",MAX(105%*Q85,SA+H85),IF('Pre-Calculation'!$D$17="Type 4 o",MAX(SA,105%*Q85)+X85+Z85,IF('Pre-Calculation'!$D$17="Type 5",0))))))))))))</f>
        <v>1365000</v>
      </c>
      <c r="L85" s="175">
        <f>H85-I85*(1+Tax)</f>
        <v>688242.7821</v>
      </c>
      <c r="M85" s="175">
        <f>L85*(1+GROWTH_RATE_L)*(1-FMC*(1+Tax))</f>
        <v>689579.7751</v>
      </c>
      <c r="N85" s="175">
        <f>M85+IF(MOD(A85,B85)=0,VLOOKUP(B85,'Pre-Calculation'!$H$1:$L$31,5,FALSE),0)*IF('Pre-Calculation'!$D$16="% OF FV",M85,IF(OR('Pre-Calculation'!$D$16="% OF AFV(24M)",'Pre-Calculation'!$D$16="% OF AFV(8Q)"),AVERAGE( $M62:$M85),IF('Pre-Calculation'!$D$16="% OF AFV(12M)",AVERAGE($M74:M85),IF('Pre-Calculation'!$D$16="% OF AFV(36M)",AVERAGE($M50:M85)))))</f>
        <v>689579.7751</v>
      </c>
      <c r="O85" s="175">
        <f t="shared" si="4"/>
        <v>689579.7751</v>
      </c>
      <c r="P85" s="175">
        <f>IF('Pre-Calculation'!$D$17="Type 4 a",MAX(SA,N85,1.05*Q85),IF('Pre-Calculation'!$D$17="Type 4 c",N85,IF('Pre-Calculation'!$D$17="Type 4 d",SA+N85,IF('Pre-Calculation'!$D$17="Type 4 e",MAX(SA,N85),IF('Pre-Calculation'!$D$17="Type 4 f",SA,IF('Pre-Calculation'!$D$17="Type 4 g",1000+N85,IF('Pre-Calculation'!$D$17="Type 4 h",SA+X85,IF('Pre-Calculation'!$D$17="Type 4 i",MAX(N85,Q85),IF('Pre-Calculation'!$D$17="Type 4 k",MAX(N85,1.01*Q85),IF('Pre-Calculation'!$D$17="Type 4 m",MAX(105%*Q85,SA+N85),IF('Pre-Calculation'!$D$17="Type 4 o",MAX(SA,105%*Q85)+X85+Z85,IF('Pre-Calculation'!$D$17="Type 5",0))))))))))))</f>
        <v>1365000</v>
      </c>
      <c r="Q85" s="175">
        <f t="shared" si="5"/>
        <v>1300000</v>
      </c>
      <c r="R85" s="119">
        <f>L85*(1+GROWTH_RATE)*FMC</f>
        <v>778.8310551</v>
      </c>
      <c r="S85" s="178">
        <f>S84*(1+'Pre-Calculation'!$E$27)</f>
        <v>815212.1793</v>
      </c>
      <c r="T85" s="175">
        <f>-E85+IF(A84=INPUT!$C$11*12,N85,0)</f>
        <v>0</v>
      </c>
      <c r="U85" s="175">
        <f t="shared" si="6"/>
        <v>749262.6795</v>
      </c>
      <c r="V85" s="175">
        <f>U85*(1+GROWTH_RATE_L)*(1-'Pre-Calculation'!$E$31)</f>
        <v>750463.7205</v>
      </c>
      <c r="W85" s="175">
        <f>-E85+IF(A84=INPUT!$C$11*12,V85,0)</f>
        <v>0</v>
      </c>
      <c r="X85" s="179">
        <f t="array" ref="X85">NPV('Pre-Calculation'!$E$20,$E86:E$246)</f>
        <v>271461.3624</v>
      </c>
      <c r="Y85" s="171">
        <f>10%*SA</f>
        <v>100000</v>
      </c>
      <c r="Z85" s="179">
        <f t="array" ref="Z85">NPV('Pre-Calculation'!$E$20,Y86:Y95)</f>
        <v>969592.8037</v>
      </c>
    </row>
    <row r="86" ht="15.75" customHeight="1">
      <c r="A86" s="171">
        <f t="shared" si="1"/>
        <v>80</v>
      </c>
      <c r="B86" s="171">
        <f t="shared" si="2"/>
        <v>7</v>
      </c>
      <c r="C86" s="176">
        <f>EDATE(RCD,A85)</f>
        <v>44956</v>
      </c>
      <c r="D86" s="171">
        <f>Age_At_Entry+'Cashflows_4% from Start'!B86-1</f>
        <v>41</v>
      </c>
      <c r="E86" s="175">
        <f>IF(AND(C86&lt;=Last_Prem,MOD(A85,Mode)=0),Mod_Prem,0)</f>
        <v>0</v>
      </c>
      <c r="F86" s="177">
        <f>IF(B86&lt;PT+1,E86*VLOOKUP(B86,'Pre-Calculation'!$H$1:$I$31,2,FALSE),0)</f>
        <v>0</v>
      </c>
      <c r="G86" s="177">
        <f>IF(B86&lt;PT+1,VLOOKUP(B86,'Pre-Calculation'!$H$1:$L$32,3,FALSE)+VLOOKUP(B86,'Pre-Calculation'!$H$1:$L$32,4,FALSE)*'Pre-Calculation'!$D$7,0)</f>
        <v>830</v>
      </c>
      <c r="H86" s="175">
        <f>(E86-(F86+G86)*(1+Tax)+N85)</f>
        <v>688600.3751</v>
      </c>
      <c r="I86" s="175">
        <f>IF(B86&lt;PT+1,VLOOKUP(D86,'Pre-Calculation'!$N$3:$P$79,IF(INPUT!$C$4="M",2,3),FALSE)*(J86/1000)*(1/12),0)</f>
        <v>110.4222388</v>
      </c>
      <c r="J86" s="175">
        <f t="shared" si="3"/>
        <v>676399.6249</v>
      </c>
      <c r="K86" s="175">
        <f>IF('Pre-Calculation'!$D$17="Type 4 a",MAX(SA,H86,1.05*Q86),IF('Pre-Calculation'!$D$17="Type 4 c",H86,IF('Pre-Calculation'!$D$17="Type 4 d",SA+H86,IF('Pre-Calculation'!$D$17="Type 4 e",MAX(SA,H86),IF('Pre-Calculation'!$D$17="Type 4 f",SA,IF('Pre-Calculation'!$D$17="Type 4 g",1000+H86,IF('Pre-Calculation'!$D$17="Type 4 h",SA+X86,IF('Pre-Calculation'!$D$17="Type 4 i",MAX(H86,Q86),IF('Pre-Calculation'!$D$17="Type 4 k",MAX(H86,1.01*Q86),IF('Pre-Calculation'!$D$17="Type 4 m",MAX(105%*Q86,SA+H86),IF('Pre-Calculation'!$D$17="Type 4 o",MAX(SA,105%*Q86)+X86+Z86,IF('Pre-Calculation'!$D$17="Type 5",0))))))))))))</f>
        <v>1365000</v>
      </c>
      <c r="L86" s="175">
        <f>H86-I86*(1+Tax)</f>
        <v>688470.0768</v>
      </c>
      <c r="M86" s="175">
        <f>L86*(1+GROWTH_RATE_L)*(1-FMC*(1+Tax))</f>
        <v>689807.5113</v>
      </c>
      <c r="N86" s="175">
        <f>M86+IF(MOD(A86,B86)=0,VLOOKUP(B86,'Pre-Calculation'!$H$1:$L$31,5,FALSE),0)*IF('Pre-Calculation'!$D$16="% OF FV",M86,IF(OR('Pre-Calculation'!$D$16="% OF AFV(24M)",'Pre-Calculation'!$D$16="% OF AFV(8Q)"),AVERAGE( $M63:$M86),IF('Pre-Calculation'!$D$16="% OF AFV(12M)",AVERAGE($M75:M86),IF('Pre-Calculation'!$D$16="% OF AFV(36M)",AVERAGE($M51:M86)))))</f>
        <v>689807.5113</v>
      </c>
      <c r="O86" s="175">
        <f t="shared" si="4"/>
        <v>689807.5113</v>
      </c>
      <c r="P86" s="175">
        <f>IF('Pre-Calculation'!$D$17="Type 4 a",MAX(SA,N86,1.05*Q86),IF('Pre-Calculation'!$D$17="Type 4 c",N86,IF('Pre-Calculation'!$D$17="Type 4 d",SA+N86,IF('Pre-Calculation'!$D$17="Type 4 e",MAX(SA,N86),IF('Pre-Calculation'!$D$17="Type 4 f",SA,IF('Pre-Calculation'!$D$17="Type 4 g",1000+N86,IF('Pre-Calculation'!$D$17="Type 4 h",SA+X86,IF('Pre-Calculation'!$D$17="Type 4 i",MAX(N86,Q86),IF('Pre-Calculation'!$D$17="Type 4 k",MAX(N86,1.01*Q86),IF('Pre-Calculation'!$D$17="Type 4 m",MAX(105%*Q86,SA+N86),IF('Pre-Calculation'!$D$17="Type 4 o",MAX(SA,105%*Q86)+X86+Z86,IF('Pre-Calculation'!$D$17="Type 5",0))))))))))))</f>
        <v>1365000</v>
      </c>
      <c r="Q86" s="175">
        <f t="shared" si="5"/>
        <v>1300000</v>
      </c>
      <c r="R86" s="119">
        <f>L86*(1+GROWTH_RATE)*FMC</f>
        <v>779.0882669</v>
      </c>
      <c r="S86" s="178">
        <f>S85*(1+'Pre-Calculation'!$E$27)</f>
        <v>817552.5709</v>
      </c>
      <c r="T86" s="175">
        <f>-E86+IF(A85=INPUT!$C$11*12,N86,0)</f>
        <v>0</v>
      </c>
      <c r="U86" s="175">
        <f t="shared" si="6"/>
        <v>750463.7205</v>
      </c>
      <c r="V86" s="175">
        <f>U86*(1+GROWTH_RATE_L)*(1-'Pre-Calculation'!$E$31)</f>
        <v>751666.6867</v>
      </c>
      <c r="W86" s="175">
        <f>-E86+IF(A85=INPUT!$C$11*12,V86,0)</f>
        <v>0</v>
      </c>
      <c r="X86" s="179">
        <f t="array" ref="X86">NPV('Pre-Calculation'!$E$20,$E87:E$246)</f>
        <v>272996.2445</v>
      </c>
      <c r="Y86" s="171">
        <f>10%*SA</f>
        <v>100000</v>
      </c>
      <c r="Z86" s="179">
        <f t="array" ref="Z86">NPV('Pre-Calculation'!$E$20,Y87:Y96)</f>
        <v>969592.8037</v>
      </c>
    </row>
    <row r="87" ht="15.75" customHeight="1">
      <c r="A87" s="171">
        <f t="shared" si="1"/>
        <v>81</v>
      </c>
      <c r="B87" s="171">
        <f t="shared" si="2"/>
        <v>7</v>
      </c>
      <c r="C87" s="176">
        <f>EDATE(RCD,A86)</f>
        <v>44985</v>
      </c>
      <c r="D87" s="171">
        <f>Age_At_Entry+'Cashflows_4% from Start'!B87-1</f>
        <v>41</v>
      </c>
      <c r="E87" s="175">
        <f>IF(AND(C87&lt;=Last_Prem,MOD(A86,Mode)=0),Mod_Prem,0)</f>
        <v>0</v>
      </c>
      <c r="F87" s="177">
        <f>IF(B87&lt;PT+1,E87*VLOOKUP(B87,'Pre-Calculation'!$H$1:$I$31,2,FALSE),0)</f>
        <v>0</v>
      </c>
      <c r="G87" s="177">
        <f>IF(B87&lt;PT+1,VLOOKUP(B87,'Pre-Calculation'!$H$1:$L$32,3,FALSE)+VLOOKUP(B87,'Pre-Calculation'!$H$1:$L$32,4,FALSE)*'Pre-Calculation'!$D$7,0)</f>
        <v>830</v>
      </c>
      <c r="H87" s="175">
        <f>(E87-(F87+G87)*(1+Tax)+N86)</f>
        <v>688828.1113</v>
      </c>
      <c r="I87" s="175">
        <f>IF(B87&lt;PT+1,VLOOKUP(D87,'Pre-Calculation'!$N$3:$P$79,IF(INPUT!$C$4="M",2,3),FALSE)*(J87/1000)*(1/12),0)</f>
        <v>110.3850608</v>
      </c>
      <c r="J87" s="175">
        <f t="shared" si="3"/>
        <v>676171.8887</v>
      </c>
      <c r="K87" s="175">
        <f>IF('Pre-Calculation'!$D$17="Type 4 a",MAX(SA,H87,1.05*Q87),IF('Pre-Calculation'!$D$17="Type 4 c",H87,IF('Pre-Calculation'!$D$17="Type 4 d",SA+H87,IF('Pre-Calculation'!$D$17="Type 4 e",MAX(SA,H87),IF('Pre-Calculation'!$D$17="Type 4 f",SA,IF('Pre-Calculation'!$D$17="Type 4 g",1000+H87,IF('Pre-Calculation'!$D$17="Type 4 h",SA+X87,IF('Pre-Calculation'!$D$17="Type 4 i",MAX(H87,Q87),IF('Pre-Calculation'!$D$17="Type 4 k",MAX(H87,1.01*Q87),IF('Pre-Calculation'!$D$17="Type 4 m",MAX(105%*Q87,SA+H87),IF('Pre-Calculation'!$D$17="Type 4 o",MAX(SA,105%*Q87)+X87+Z87,IF('Pre-Calculation'!$D$17="Type 5",0))))))))))))</f>
        <v>1365000</v>
      </c>
      <c r="L87" s="175">
        <f>H87-I87*(1+Tax)</f>
        <v>688697.8569</v>
      </c>
      <c r="M87" s="175">
        <f>L87*(1+GROWTH_RATE_L)*(1-FMC*(1+Tax))</f>
        <v>690035.7339</v>
      </c>
      <c r="N87" s="175">
        <f>M87+IF(MOD(A87,B87)=0,VLOOKUP(B87,'Pre-Calculation'!$H$1:$L$31,5,FALSE),0)*IF('Pre-Calculation'!$D$16="% OF FV",M87,IF(OR('Pre-Calculation'!$D$16="% OF AFV(24M)",'Pre-Calculation'!$D$16="% OF AFV(8Q)"),AVERAGE( $M64:$M87),IF('Pre-Calculation'!$D$16="% OF AFV(12M)",AVERAGE($M76:M87),IF('Pre-Calculation'!$D$16="% OF AFV(36M)",AVERAGE($M52:M87)))))</f>
        <v>690035.7339</v>
      </c>
      <c r="O87" s="175">
        <f t="shared" si="4"/>
        <v>690035.7339</v>
      </c>
      <c r="P87" s="175">
        <f>IF('Pre-Calculation'!$D$17="Type 4 a",MAX(SA,N87,1.05*Q87),IF('Pre-Calculation'!$D$17="Type 4 c",N87,IF('Pre-Calculation'!$D$17="Type 4 d",SA+N87,IF('Pre-Calculation'!$D$17="Type 4 e",MAX(SA,N87),IF('Pre-Calculation'!$D$17="Type 4 f",SA,IF('Pre-Calculation'!$D$17="Type 4 g",1000+N87,IF('Pre-Calculation'!$D$17="Type 4 h",SA+X87,IF('Pre-Calculation'!$D$17="Type 4 i",MAX(N87,Q87),IF('Pre-Calculation'!$D$17="Type 4 k",MAX(N87,1.01*Q87),IF('Pre-Calculation'!$D$17="Type 4 m",MAX(105%*Q87,SA+N87),IF('Pre-Calculation'!$D$17="Type 4 o",MAX(SA,105%*Q87)+X87+Z87,IF('Pre-Calculation'!$D$17="Type 5",0))))))))))))</f>
        <v>1365000</v>
      </c>
      <c r="Q87" s="175">
        <f t="shared" si="5"/>
        <v>1300000</v>
      </c>
      <c r="R87" s="119">
        <f>L87*(1+GROWTH_RATE)*FMC</f>
        <v>779.346028</v>
      </c>
      <c r="S87" s="178">
        <f>S86*(1+'Pre-Calculation'!$E$27)</f>
        <v>819899.6816</v>
      </c>
      <c r="T87" s="175">
        <f>-E87+IF(A86=INPUT!$C$11*12,N87,0)</f>
        <v>0</v>
      </c>
      <c r="U87" s="175">
        <f t="shared" si="6"/>
        <v>751666.6867</v>
      </c>
      <c r="V87" s="175">
        <f>U87*(1+GROWTH_RATE_L)*(1-'Pre-Calculation'!$E$31)</f>
        <v>752871.5812</v>
      </c>
      <c r="W87" s="175">
        <f>-E87+IF(A86=INPUT!$C$11*12,V87,0)</f>
        <v>0</v>
      </c>
      <c r="X87" s="179">
        <f t="array" ref="X87">NPV('Pre-Calculation'!$E$20,$E88:E$246)</f>
        <v>274539.8049</v>
      </c>
      <c r="Y87" s="171">
        <f>10%*SA</f>
        <v>100000</v>
      </c>
      <c r="Z87" s="179">
        <f t="array" ref="Z87">NPV('Pre-Calculation'!$E$20,Y88:Y97)</f>
        <v>969592.8037</v>
      </c>
    </row>
    <row r="88" ht="15.75" customHeight="1">
      <c r="A88" s="171">
        <f t="shared" si="1"/>
        <v>82</v>
      </c>
      <c r="B88" s="171">
        <f t="shared" si="2"/>
        <v>7</v>
      </c>
      <c r="C88" s="176">
        <f>EDATE(RCD,A87)</f>
        <v>45015</v>
      </c>
      <c r="D88" s="171">
        <f>Age_At_Entry+'Cashflows_4% from Start'!B88-1</f>
        <v>41</v>
      </c>
      <c r="E88" s="175">
        <f>IF(AND(C88&lt;=Last_Prem,MOD(A87,Mode)=0),Mod_Prem,0)</f>
        <v>0</v>
      </c>
      <c r="F88" s="177">
        <f>IF(B88&lt;PT+1,E88*VLOOKUP(B88,'Pre-Calculation'!$H$1:$I$31,2,FALSE),0)</f>
        <v>0</v>
      </c>
      <c r="G88" s="177">
        <f>IF(B88&lt;PT+1,VLOOKUP(B88,'Pre-Calculation'!$H$1:$L$32,3,FALSE)+VLOOKUP(B88,'Pre-Calculation'!$H$1:$L$32,4,FALSE)*'Pre-Calculation'!$D$7,0)</f>
        <v>830</v>
      </c>
      <c r="H88" s="175">
        <f>(E88-(F88+G88)*(1+Tax)+N87)</f>
        <v>689056.3339</v>
      </c>
      <c r="I88" s="175">
        <f>IF(B88&lt;PT+1,VLOOKUP(D88,'Pre-Calculation'!$N$3:$P$79,IF(INPUT!$C$4="M",2,3),FALSE)*(J88/1000)*(1/12),0)</f>
        <v>110.3478035</v>
      </c>
      <c r="J88" s="175">
        <f t="shared" si="3"/>
        <v>675943.6661</v>
      </c>
      <c r="K88" s="175">
        <f>IF('Pre-Calculation'!$D$17="Type 4 a",MAX(SA,H88,1.05*Q88),IF('Pre-Calculation'!$D$17="Type 4 c",H88,IF('Pre-Calculation'!$D$17="Type 4 d",SA+H88,IF('Pre-Calculation'!$D$17="Type 4 e",MAX(SA,H88),IF('Pre-Calculation'!$D$17="Type 4 f",SA,IF('Pre-Calculation'!$D$17="Type 4 g",1000+H88,IF('Pre-Calculation'!$D$17="Type 4 h",SA+X88,IF('Pre-Calculation'!$D$17="Type 4 i",MAX(H88,Q88),IF('Pre-Calculation'!$D$17="Type 4 k",MAX(H88,1.01*Q88),IF('Pre-Calculation'!$D$17="Type 4 m",MAX(105%*Q88,SA+H88),IF('Pre-Calculation'!$D$17="Type 4 o",MAX(SA,105%*Q88)+X88+Z88,IF('Pre-Calculation'!$D$17="Type 5",0))))))))))))</f>
        <v>1365000</v>
      </c>
      <c r="L88" s="175">
        <f>H88-I88*(1+Tax)</f>
        <v>688926.1235</v>
      </c>
      <c r="M88" s="175">
        <f>L88*(1+GROWTH_RATE_L)*(1-FMC*(1+Tax))</f>
        <v>690264.4439</v>
      </c>
      <c r="N88" s="175">
        <f>M88+IF(MOD(A88,B88)=0,VLOOKUP(B88,'Pre-Calculation'!$H$1:$L$31,5,FALSE),0)*IF('Pre-Calculation'!$D$16="% OF FV",M88,IF(OR('Pre-Calculation'!$D$16="% OF AFV(24M)",'Pre-Calculation'!$D$16="% OF AFV(8Q)"),AVERAGE( $M65:$M88),IF('Pre-Calculation'!$D$16="% OF AFV(12M)",AVERAGE($M77:M88),IF('Pre-Calculation'!$D$16="% OF AFV(36M)",AVERAGE($M53:M88)))))</f>
        <v>690264.4439</v>
      </c>
      <c r="O88" s="175">
        <f t="shared" si="4"/>
        <v>690264.4439</v>
      </c>
      <c r="P88" s="175">
        <f>IF('Pre-Calculation'!$D$17="Type 4 a",MAX(SA,N88,1.05*Q88),IF('Pre-Calculation'!$D$17="Type 4 c",N88,IF('Pre-Calculation'!$D$17="Type 4 d",SA+N88,IF('Pre-Calculation'!$D$17="Type 4 e",MAX(SA,N88),IF('Pre-Calculation'!$D$17="Type 4 f",SA,IF('Pre-Calculation'!$D$17="Type 4 g",1000+N88,IF('Pre-Calculation'!$D$17="Type 4 h",SA+X88,IF('Pre-Calculation'!$D$17="Type 4 i",MAX(N88,Q88),IF('Pre-Calculation'!$D$17="Type 4 k",MAX(N88,1.01*Q88),IF('Pre-Calculation'!$D$17="Type 4 m",MAX(105%*Q88,SA+N88),IF('Pre-Calculation'!$D$17="Type 4 o",MAX(SA,105%*Q88)+X88+Z88,IF('Pre-Calculation'!$D$17="Type 5",0))))))))))))</f>
        <v>1365000</v>
      </c>
      <c r="Q88" s="175">
        <f t="shared" si="5"/>
        <v>1300000</v>
      </c>
      <c r="R88" s="119">
        <f>L88*(1+GROWTH_RATE)*FMC</f>
        <v>779.6043396</v>
      </c>
      <c r="S88" s="178">
        <f>S87*(1+'Pre-Calculation'!$E$27)</f>
        <v>822253.5305</v>
      </c>
      <c r="T88" s="175">
        <f>-E88+IF(A87=INPUT!$C$11*12,N88,0)</f>
        <v>0</v>
      </c>
      <c r="U88" s="175">
        <f t="shared" si="6"/>
        <v>752871.5812</v>
      </c>
      <c r="V88" s="175">
        <f>U88*(1+GROWTH_RATE_L)*(1-'Pre-Calculation'!$E$31)</f>
        <v>754078.4071</v>
      </c>
      <c r="W88" s="175">
        <f>-E88+IF(A87=INPUT!$C$11*12,V88,0)</f>
        <v>0</v>
      </c>
      <c r="X88" s="179">
        <f t="array" ref="X88">NPV('Pre-Calculation'!$E$20,$E89:E$246)</f>
        <v>276092.0929</v>
      </c>
      <c r="Y88" s="171">
        <f>10%*SA</f>
        <v>100000</v>
      </c>
      <c r="Z88" s="179">
        <f t="array" ref="Z88">NPV('Pre-Calculation'!$E$20,Y89:Y98)</f>
        <v>969592.8037</v>
      </c>
    </row>
    <row r="89" ht="15.75" customHeight="1">
      <c r="A89" s="171">
        <f t="shared" si="1"/>
        <v>83</v>
      </c>
      <c r="B89" s="171">
        <f t="shared" si="2"/>
        <v>7</v>
      </c>
      <c r="C89" s="176">
        <f>EDATE(RCD,A88)</f>
        <v>45046</v>
      </c>
      <c r="D89" s="171">
        <f>Age_At_Entry+'Cashflows_4% from Start'!B89-1</f>
        <v>41</v>
      </c>
      <c r="E89" s="175">
        <f>IF(AND(C89&lt;=Last_Prem,MOD(A88,Mode)=0),Mod_Prem,0)</f>
        <v>0</v>
      </c>
      <c r="F89" s="177">
        <f>IF(B89&lt;PT+1,E89*VLOOKUP(B89,'Pre-Calculation'!$H$1:$I$31,2,FALSE),0)</f>
        <v>0</v>
      </c>
      <c r="G89" s="177">
        <f>IF(B89&lt;PT+1,VLOOKUP(B89,'Pre-Calculation'!$H$1:$L$32,3,FALSE)+VLOOKUP(B89,'Pre-Calculation'!$H$1:$L$32,4,FALSE)*'Pre-Calculation'!$D$7,0)</f>
        <v>830</v>
      </c>
      <c r="H89" s="175">
        <f>(E89-(F89+G89)*(1+Tax)+N88)</f>
        <v>689285.0439</v>
      </c>
      <c r="I89" s="175">
        <f>IF(B89&lt;PT+1,VLOOKUP(D89,'Pre-Calculation'!$N$3:$P$79,IF(INPUT!$C$4="M",2,3),FALSE)*(J89/1000)*(1/12),0)</f>
        <v>110.3104666</v>
      </c>
      <c r="J89" s="175">
        <f t="shared" si="3"/>
        <v>675714.9561</v>
      </c>
      <c r="K89" s="175">
        <f>IF('Pre-Calculation'!$D$17="Type 4 a",MAX(SA,H89,1.05*Q89),IF('Pre-Calculation'!$D$17="Type 4 c",H89,IF('Pre-Calculation'!$D$17="Type 4 d",SA+H89,IF('Pre-Calculation'!$D$17="Type 4 e",MAX(SA,H89),IF('Pre-Calculation'!$D$17="Type 4 f",SA,IF('Pre-Calculation'!$D$17="Type 4 g",1000+H89,IF('Pre-Calculation'!$D$17="Type 4 h",SA+X89,IF('Pre-Calculation'!$D$17="Type 4 i",MAX(H89,Q89),IF('Pre-Calculation'!$D$17="Type 4 k",MAX(H89,1.01*Q89),IF('Pre-Calculation'!$D$17="Type 4 m",MAX(105%*Q89,SA+H89),IF('Pre-Calculation'!$D$17="Type 4 o",MAX(SA,105%*Q89)+X89+Z89,IF('Pre-Calculation'!$D$17="Type 5",0))))))))))))</f>
        <v>1365000</v>
      </c>
      <c r="L89" s="175">
        <f>H89-I89*(1+Tax)</f>
        <v>689154.8776</v>
      </c>
      <c r="M89" s="175">
        <f>L89*(1+GROWTH_RATE_L)*(1-FMC*(1+Tax))</f>
        <v>690493.6424</v>
      </c>
      <c r="N89" s="175">
        <f>M89+IF(MOD(A89,B89)=0,VLOOKUP(B89,'Pre-Calculation'!$H$1:$L$31,5,FALSE),0)*IF('Pre-Calculation'!$D$16="% OF FV",M89,IF(OR('Pre-Calculation'!$D$16="% OF AFV(24M)",'Pre-Calculation'!$D$16="% OF AFV(8Q)"),AVERAGE( $M66:$M89),IF('Pre-Calculation'!$D$16="% OF AFV(12M)",AVERAGE($M78:M89),IF('Pre-Calculation'!$D$16="% OF AFV(36M)",AVERAGE($M54:M89)))))</f>
        <v>690493.6424</v>
      </c>
      <c r="O89" s="175">
        <f t="shared" si="4"/>
        <v>690493.6424</v>
      </c>
      <c r="P89" s="175">
        <f>IF('Pre-Calculation'!$D$17="Type 4 a",MAX(SA,N89,1.05*Q89),IF('Pre-Calculation'!$D$17="Type 4 c",N89,IF('Pre-Calculation'!$D$17="Type 4 d",SA+N89,IF('Pre-Calculation'!$D$17="Type 4 e",MAX(SA,N89),IF('Pre-Calculation'!$D$17="Type 4 f",SA,IF('Pre-Calculation'!$D$17="Type 4 g",1000+N89,IF('Pre-Calculation'!$D$17="Type 4 h",SA+X89,IF('Pre-Calculation'!$D$17="Type 4 i",MAX(N89,Q89),IF('Pre-Calculation'!$D$17="Type 4 k",MAX(N89,1.01*Q89),IF('Pre-Calculation'!$D$17="Type 4 m",MAX(105%*Q89,SA+N89),IF('Pre-Calculation'!$D$17="Type 4 o",MAX(SA,105%*Q89)+X89+Z89,IF('Pre-Calculation'!$D$17="Type 5",0))))))))))))</f>
        <v>1365000</v>
      </c>
      <c r="Q89" s="175">
        <f t="shared" si="5"/>
        <v>1300000</v>
      </c>
      <c r="R89" s="119">
        <f>L89*(1+GROWTH_RATE)*FMC</f>
        <v>779.8632028</v>
      </c>
      <c r="S89" s="178">
        <f>S88*(1+'Pre-Calculation'!$E$27)</f>
        <v>824614.1371</v>
      </c>
      <c r="T89" s="175">
        <f>-E89+IF(A88=INPUT!$C$11*12,N89,0)</f>
        <v>0</v>
      </c>
      <c r="U89" s="175">
        <f t="shared" si="6"/>
        <v>754078.4071</v>
      </c>
      <c r="V89" s="175">
        <f>U89*(1+GROWTH_RATE_L)*(1-'Pre-Calculation'!$E$31)</f>
        <v>755287.1675</v>
      </c>
      <c r="W89" s="175">
        <f>-E89+IF(A88=INPUT!$C$11*12,V89,0)</f>
        <v>0</v>
      </c>
      <c r="X89" s="179">
        <f t="array" ref="X89">NPV('Pre-Calculation'!$E$20,$E90:E$246)</f>
        <v>277653.1577</v>
      </c>
      <c r="Y89" s="171">
        <f>10%*SA</f>
        <v>100000</v>
      </c>
      <c r="Z89" s="179">
        <f t="array" ref="Z89">NPV('Pre-Calculation'!$E$20,Y90:Y99)</f>
        <v>969592.8037</v>
      </c>
    </row>
    <row r="90" ht="15.75" customHeight="1">
      <c r="A90" s="171">
        <f t="shared" si="1"/>
        <v>84</v>
      </c>
      <c r="B90" s="171">
        <f t="shared" si="2"/>
        <v>7</v>
      </c>
      <c r="C90" s="176">
        <f>EDATE(RCD,A89)</f>
        <v>45076</v>
      </c>
      <c r="D90" s="171">
        <f>Age_At_Entry+'Cashflows_4% from Start'!B90-1</f>
        <v>41</v>
      </c>
      <c r="E90" s="175">
        <f>IF(AND(C90&lt;=Last_Prem,MOD(A89,Mode)=0),Mod_Prem,0)</f>
        <v>0</v>
      </c>
      <c r="F90" s="177">
        <f>IF(B90&lt;PT+1,E90*VLOOKUP(B90,'Pre-Calculation'!$H$1:$I$31,2,FALSE),0)</f>
        <v>0</v>
      </c>
      <c r="G90" s="177">
        <f>IF(B90&lt;PT+1,VLOOKUP(B90,'Pre-Calculation'!$H$1:$L$32,3,FALSE)+VLOOKUP(B90,'Pre-Calculation'!$H$1:$L$32,4,FALSE)*'Pre-Calculation'!$D$7,0)</f>
        <v>830</v>
      </c>
      <c r="H90" s="175">
        <f>(E90-(F90+G90)*(1+Tax)+N89)</f>
        <v>689514.2424</v>
      </c>
      <c r="I90" s="175">
        <f>IF(B90&lt;PT+1,VLOOKUP(D90,'Pre-Calculation'!$N$3:$P$79,IF(INPUT!$C$4="M",2,3),FALSE)*(J90/1000)*(1/12),0)</f>
        <v>110.2730499</v>
      </c>
      <c r="J90" s="175">
        <f t="shared" si="3"/>
        <v>675485.7576</v>
      </c>
      <c r="K90" s="175">
        <f>IF('Pre-Calculation'!$D$17="Type 4 a",MAX(SA,H90,1.05*Q90),IF('Pre-Calculation'!$D$17="Type 4 c",H90,IF('Pre-Calculation'!$D$17="Type 4 d",SA+H90,IF('Pre-Calculation'!$D$17="Type 4 e",MAX(SA,H90),IF('Pre-Calculation'!$D$17="Type 4 f",SA,IF('Pre-Calculation'!$D$17="Type 4 g",1000+H90,IF('Pre-Calculation'!$D$17="Type 4 h",SA+X90,IF('Pre-Calculation'!$D$17="Type 4 i",MAX(H90,Q90),IF('Pre-Calculation'!$D$17="Type 4 k",MAX(H90,1.01*Q90),IF('Pre-Calculation'!$D$17="Type 4 m",MAX(105%*Q90,SA+H90),IF('Pre-Calculation'!$D$17="Type 4 o",MAX(SA,105%*Q90)+X90+Z90,IF('Pre-Calculation'!$D$17="Type 5",0))))))))))))</f>
        <v>1365000</v>
      </c>
      <c r="L90" s="175">
        <f>H90-I90*(1+Tax)</f>
        <v>689384.1202</v>
      </c>
      <c r="M90" s="175">
        <f>L90*(1+GROWTH_RATE_L)*(1-FMC*(1+Tax))</f>
        <v>690723.3303</v>
      </c>
      <c r="N90" s="175">
        <f>M90+IF(MOD(A90,B90)=0,VLOOKUP(B90,'Pre-Calculation'!$H$1:$L$31,5,FALSE),0)*IF('Pre-Calculation'!$D$16="% OF FV",M90,IF(OR('Pre-Calculation'!$D$16="% OF AFV(24M)",'Pre-Calculation'!$D$16="% OF AFV(8Q)"),AVERAGE( $M67:$M90),IF('Pre-Calculation'!$D$16="% OF AFV(12M)",AVERAGE($M79:M90),IF('Pre-Calculation'!$D$16="% OF AFV(36M)",AVERAGE($M55:M90)))))</f>
        <v>690723.3303</v>
      </c>
      <c r="O90" s="175">
        <f t="shared" si="4"/>
        <v>690723.3303</v>
      </c>
      <c r="P90" s="175">
        <f>IF('Pre-Calculation'!$D$17="Type 4 a",MAX(SA,N90,1.05*Q90),IF('Pre-Calculation'!$D$17="Type 4 c",N90,IF('Pre-Calculation'!$D$17="Type 4 d",SA+N90,IF('Pre-Calculation'!$D$17="Type 4 e",MAX(SA,N90),IF('Pre-Calculation'!$D$17="Type 4 f",SA,IF('Pre-Calculation'!$D$17="Type 4 g",1000+N90,IF('Pre-Calculation'!$D$17="Type 4 h",SA+X90,IF('Pre-Calculation'!$D$17="Type 4 i",MAX(N90,Q90),IF('Pre-Calculation'!$D$17="Type 4 k",MAX(N90,1.01*Q90),IF('Pre-Calculation'!$D$17="Type 4 m",MAX(105%*Q90,SA+N90),IF('Pre-Calculation'!$D$17="Type 4 o",MAX(SA,105%*Q90)+X90+Z90,IF('Pre-Calculation'!$D$17="Type 5",0))))))))))))</f>
        <v>1365000</v>
      </c>
      <c r="Q90" s="175">
        <f t="shared" si="5"/>
        <v>1300000</v>
      </c>
      <c r="R90" s="119">
        <f>L90*(1+GROWTH_RATE)*FMC</f>
        <v>780.1226189</v>
      </c>
      <c r="S90" s="178">
        <f>S89*(1+'Pre-Calculation'!$E$27)</f>
        <v>826981.5208</v>
      </c>
      <c r="T90" s="175">
        <f>-E90+IF(A89=INPUT!$C$11*12,N90,0)</f>
        <v>0</v>
      </c>
      <c r="U90" s="175">
        <f t="shared" si="6"/>
        <v>755287.1675</v>
      </c>
      <c r="V90" s="175">
        <f>U90*(1+GROWTH_RATE_L)*(1-'Pre-Calculation'!$E$31)</f>
        <v>756497.8654</v>
      </c>
      <c r="W90" s="175">
        <f>-E90+IF(A89=INPUT!$C$11*12,V90,0)</f>
        <v>0</v>
      </c>
      <c r="X90" s="179">
        <f t="array" ref="X90">NPV('Pre-Calculation'!$E$20,$E91:E$246)</f>
        <v>279223.049</v>
      </c>
      <c r="Y90" s="171">
        <f>10%*SA</f>
        <v>100000</v>
      </c>
      <c r="Z90" s="179">
        <f t="array" ref="Z90">NPV('Pre-Calculation'!$E$20,Y91:Y100)</f>
        <v>969592.8037</v>
      </c>
    </row>
    <row r="91" ht="15.75" customHeight="1">
      <c r="A91" s="171">
        <f t="shared" si="1"/>
        <v>85</v>
      </c>
      <c r="B91" s="171">
        <f t="shared" si="2"/>
        <v>8</v>
      </c>
      <c r="C91" s="176">
        <f>EDATE(RCD,A90)</f>
        <v>45107</v>
      </c>
      <c r="D91" s="171">
        <f>Age_At_Entry+'Cashflows_4% from Start'!B91-1</f>
        <v>42</v>
      </c>
      <c r="E91" s="175">
        <f>IF(AND(C91&lt;=Last_Prem,MOD(A90,Mode)=0),Mod_Prem,0)</f>
        <v>100000</v>
      </c>
      <c r="F91" s="177">
        <f>IF(B91&lt;PT+1,E91*VLOOKUP(B91,'Pre-Calculation'!$H$1:$I$31,2,FALSE),0)</f>
        <v>0</v>
      </c>
      <c r="G91" s="177">
        <f>IF(B91&lt;PT+1,VLOOKUP(B91,'Pre-Calculation'!$H$1:$L$32,3,FALSE)+VLOOKUP(B91,'Pre-Calculation'!$H$1:$L$32,4,FALSE)*'Pre-Calculation'!$D$7,0)</f>
        <v>830</v>
      </c>
      <c r="H91" s="175">
        <f>(E91-(F91+G91)*(1+Tax)+N90)</f>
        <v>789743.9303</v>
      </c>
      <c r="I91" s="175">
        <f>IF(B91&lt;PT+1,VLOOKUP(D91,'Pre-Calculation'!$N$3:$P$79,IF(INPUT!$C$4="M",2,3),FALSE)*(J91/1000)*(1/12),0)</f>
        <v>121.3123324</v>
      </c>
      <c r="J91" s="175">
        <f t="shared" si="3"/>
        <v>680256.0697</v>
      </c>
      <c r="K91" s="175">
        <f>IF('Pre-Calculation'!$D$17="Type 4 a",MAX(SA,H91,1.05*Q91),IF('Pre-Calculation'!$D$17="Type 4 c",H91,IF('Pre-Calculation'!$D$17="Type 4 d",SA+H91,IF('Pre-Calculation'!$D$17="Type 4 e",MAX(SA,H91),IF('Pre-Calculation'!$D$17="Type 4 f",SA,IF('Pre-Calculation'!$D$17="Type 4 g",1000+H91,IF('Pre-Calculation'!$D$17="Type 4 h",SA+X91,IF('Pre-Calculation'!$D$17="Type 4 i",MAX(H91,Q91),IF('Pre-Calculation'!$D$17="Type 4 k",MAX(H91,1.01*Q91),IF('Pre-Calculation'!$D$17="Type 4 m",MAX(105%*Q91,SA+H91),IF('Pre-Calculation'!$D$17="Type 4 o",MAX(SA,105%*Q91)+X91+Z91,IF('Pre-Calculation'!$D$17="Type 5",0))))))))))))</f>
        <v>1470000</v>
      </c>
      <c r="L91" s="175">
        <f>H91-I91*(1+Tax)</f>
        <v>789600.7817</v>
      </c>
      <c r="M91" s="175">
        <f>L91*(1+GROWTH_RATE_L)*(1-FMC*(1+Tax))</f>
        <v>791134.6746</v>
      </c>
      <c r="N91" s="175">
        <f>M91+IF(MOD(A91,B91)=0,VLOOKUP(B91,'Pre-Calculation'!$H$1:$L$31,5,FALSE),0)*IF('Pre-Calculation'!$D$16="% OF FV",M91,IF(OR('Pre-Calculation'!$D$16="% OF AFV(24M)",'Pre-Calculation'!$D$16="% OF AFV(8Q)"),AVERAGE( $M68:$M91),IF('Pre-Calculation'!$D$16="% OF AFV(12M)",AVERAGE($M80:M91),IF('Pre-Calculation'!$D$16="% OF AFV(36M)",AVERAGE($M56:M91)))))</f>
        <v>791134.6746</v>
      </c>
      <c r="O91" s="175">
        <f t="shared" si="4"/>
        <v>791134.6746</v>
      </c>
      <c r="P91" s="175">
        <f>IF('Pre-Calculation'!$D$17="Type 4 a",MAX(SA,N91,1.05*Q91),IF('Pre-Calculation'!$D$17="Type 4 c",N91,IF('Pre-Calculation'!$D$17="Type 4 d",SA+N91,IF('Pre-Calculation'!$D$17="Type 4 e",MAX(SA,N91),IF('Pre-Calculation'!$D$17="Type 4 f",SA,IF('Pre-Calculation'!$D$17="Type 4 g",1000+N91,IF('Pre-Calculation'!$D$17="Type 4 h",SA+X91,IF('Pre-Calculation'!$D$17="Type 4 i",MAX(N91,Q91),IF('Pre-Calculation'!$D$17="Type 4 k",MAX(N91,1.01*Q91),IF('Pre-Calculation'!$D$17="Type 4 m",MAX(105%*Q91,SA+N91),IF('Pre-Calculation'!$D$17="Type 4 o",MAX(SA,105%*Q91)+X91+Z91,IF('Pre-Calculation'!$D$17="Type 5",0))))))))))))</f>
        <v>1470000</v>
      </c>
      <c r="Q91" s="175">
        <f t="shared" si="5"/>
        <v>1400000</v>
      </c>
      <c r="R91" s="119">
        <f>L91*(1+GROWTH_RATE)*FMC</f>
        <v>893.5300534</v>
      </c>
      <c r="S91" s="178">
        <f>S90*(1+'Pre-Calculation'!$E$27)</f>
        <v>829355.701</v>
      </c>
      <c r="T91" s="175">
        <f>-E91+IF(A90=INPUT!$C$11*12,N91,0)</f>
        <v>-100000</v>
      </c>
      <c r="U91" s="175">
        <f t="shared" si="6"/>
        <v>856497.8654</v>
      </c>
      <c r="V91" s="175">
        <f>U91*(1+GROWTH_RATE_L)*(1-'Pre-Calculation'!$E$31)</f>
        <v>857870.8005</v>
      </c>
      <c r="W91" s="175">
        <f>-E91+IF(A90=INPUT!$C$11*12,V91,0)</f>
        <v>-100000</v>
      </c>
      <c r="X91" s="179">
        <f t="array" ref="X91">NPV('Pre-Calculation'!$E$20,$E92:E$246)</f>
        <v>180801.8168</v>
      </c>
      <c r="Y91" s="171">
        <f>10%*SA</f>
        <v>100000</v>
      </c>
      <c r="Z91" s="179">
        <f t="array" ref="Z91">NPV('Pre-Calculation'!$E$20,Y92:Y101)</f>
        <v>969592.8037</v>
      </c>
    </row>
    <row r="92" ht="15.75" customHeight="1">
      <c r="A92" s="171">
        <f t="shared" si="1"/>
        <v>86</v>
      </c>
      <c r="B92" s="171">
        <f t="shared" si="2"/>
        <v>8</v>
      </c>
      <c r="C92" s="176">
        <f>EDATE(RCD,A91)</f>
        <v>45137</v>
      </c>
      <c r="D92" s="171">
        <f>Age_At_Entry+'Cashflows_4% from Start'!B92-1</f>
        <v>42</v>
      </c>
      <c r="E92" s="175">
        <f>IF(AND(C92&lt;=Last_Prem,MOD(A91,Mode)=0),Mod_Prem,0)</f>
        <v>0</v>
      </c>
      <c r="F92" s="177">
        <f>IF(B92&lt;PT+1,E92*VLOOKUP(B92,'Pre-Calculation'!$H$1:$I$31,2,FALSE),0)</f>
        <v>0</v>
      </c>
      <c r="G92" s="177">
        <f>IF(B92&lt;PT+1,VLOOKUP(B92,'Pre-Calculation'!$H$1:$L$32,3,FALSE)+VLOOKUP(B92,'Pre-Calculation'!$H$1:$L$32,4,FALSE)*'Pre-Calculation'!$D$7,0)</f>
        <v>830</v>
      </c>
      <c r="H92" s="175">
        <f>(E92-(F92+G92)*(1+Tax)+N91)</f>
        <v>790155.2746</v>
      </c>
      <c r="I92" s="175">
        <f>IF(B92&lt;PT+1,VLOOKUP(D92,'Pre-Calculation'!$N$3:$P$79,IF(INPUT!$C$4="M",2,3),FALSE)*(J92/1000)*(1/12),0)</f>
        <v>121.238976</v>
      </c>
      <c r="J92" s="175">
        <f t="shared" si="3"/>
        <v>679844.7254</v>
      </c>
      <c r="K92" s="175">
        <f>IF('Pre-Calculation'!$D$17="Type 4 a",MAX(SA,H92,1.05*Q92),IF('Pre-Calculation'!$D$17="Type 4 c",H92,IF('Pre-Calculation'!$D$17="Type 4 d",SA+H92,IF('Pre-Calculation'!$D$17="Type 4 e",MAX(SA,H92),IF('Pre-Calculation'!$D$17="Type 4 f",SA,IF('Pre-Calculation'!$D$17="Type 4 g",1000+H92,IF('Pre-Calculation'!$D$17="Type 4 h",SA+X92,IF('Pre-Calculation'!$D$17="Type 4 i",MAX(H92,Q92),IF('Pre-Calculation'!$D$17="Type 4 k",MAX(H92,1.01*Q92),IF('Pre-Calculation'!$D$17="Type 4 m",MAX(105%*Q92,SA+H92),IF('Pre-Calculation'!$D$17="Type 4 o",MAX(SA,105%*Q92)+X92+Z92,IF('Pre-Calculation'!$D$17="Type 5",0))))))))))))</f>
        <v>1470000</v>
      </c>
      <c r="L92" s="175">
        <f>H92-I92*(1+Tax)</f>
        <v>790012.2126</v>
      </c>
      <c r="M92" s="175">
        <f>L92*(1+GROWTH_RATE_L)*(1-FMC*(1+Tax))</f>
        <v>791546.9046</v>
      </c>
      <c r="N92" s="175">
        <f>M92+IF(MOD(A92,B92)=0,VLOOKUP(B92,'Pre-Calculation'!$H$1:$L$31,5,FALSE),0)*IF('Pre-Calculation'!$D$16="% OF FV",M92,IF(OR('Pre-Calculation'!$D$16="% OF AFV(24M)",'Pre-Calculation'!$D$16="% OF AFV(8Q)"),AVERAGE( $M69:$M92),IF('Pre-Calculation'!$D$16="% OF AFV(12M)",AVERAGE($M81:M92),IF('Pre-Calculation'!$D$16="% OF AFV(36M)",AVERAGE($M57:M92)))))</f>
        <v>791546.9046</v>
      </c>
      <c r="O92" s="175">
        <f t="shared" si="4"/>
        <v>791546.9046</v>
      </c>
      <c r="P92" s="175">
        <f>IF('Pre-Calculation'!$D$17="Type 4 a",MAX(SA,N92,1.05*Q92),IF('Pre-Calculation'!$D$17="Type 4 c",N92,IF('Pre-Calculation'!$D$17="Type 4 d",SA+N92,IF('Pre-Calculation'!$D$17="Type 4 e",MAX(SA,N92),IF('Pre-Calculation'!$D$17="Type 4 f",SA,IF('Pre-Calculation'!$D$17="Type 4 g",1000+N92,IF('Pre-Calculation'!$D$17="Type 4 h",SA+X92,IF('Pre-Calculation'!$D$17="Type 4 i",MAX(N92,Q92),IF('Pre-Calculation'!$D$17="Type 4 k",MAX(N92,1.01*Q92),IF('Pre-Calculation'!$D$17="Type 4 m",MAX(105%*Q92,SA+N92),IF('Pre-Calculation'!$D$17="Type 4 o",MAX(SA,105%*Q92)+X92+Z92,IF('Pre-Calculation'!$D$17="Type 5",0))))))))))))</f>
        <v>1470000</v>
      </c>
      <c r="Q92" s="175">
        <f t="shared" si="5"/>
        <v>1400000</v>
      </c>
      <c r="R92" s="119">
        <f>L92*(1+GROWTH_RATE)*FMC</f>
        <v>893.9956379</v>
      </c>
      <c r="S92" s="178">
        <f>S91*(1+'Pre-Calculation'!$E$27)</f>
        <v>831736.6972</v>
      </c>
      <c r="T92" s="175">
        <f>-E92+IF(A91=INPUT!$C$11*12,N92,0)</f>
        <v>0</v>
      </c>
      <c r="U92" s="175">
        <f t="shared" si="6"/>
        <v>857870.8005</v>
      </c>
      <c r="V92" s="175">
        <f>U92*(1+GROWTH_RATE_L)*(1-'Pre-Calculation'!$E$31)</f>
        <v>859245.9364</v>
      </c>
      <c r="W92" s="175">
        <f>-E92+IF(A91=INPUT!$C$11*12,V92,0)</f>
        <v>0</v>
      </c>
      <c r="X92" s="179">
        <f t="array" ref="X92">NPV('Pre-Calculation'!$E$20,$E93:E$246)</f>
        <v>181824.0965</v>
      </c>
      <c r="Y92" s="171">
        <f>10%*SA</f>
        <v>100000</v>
      </c>
      <c r="Z92" s="179">
        <f t="array" ref="Z92">NPV('Pre-Calculation'!$E$20,Y93:Y102)</f>
        <v>969592.8037</v>
      </c>
    </row>
    <row r="93" ht="15.75" customHeight="1">
      <c r="A93" s="171">
        <f t="shared" si="1"/>
        <v>87</v>
      </c>
      <c r="B93" s="171">
        <f t="shared" si="2"/>
        <v>8</v>
      </c>
      <c r="C93" s="176">
        <f>EDATE(RCD,A92)</f>
        <v>45168</v>
      </c>
      <c r="D93" s="171">
        <f>Age_At_Entry+'Cashflows_4% from Start'!B93-1</f>
        <v>42</v>
      </c>
      <c r="E93" s="175">
        <f>IF(AND(C93&lt;=Last_Prem,MOD(A92,Mode)=0),Mod_Prem,0)</f>
        <v>0</v>
      </c>
      <c r="F93" s="177">
        <f>IF(B93&lt;PT+1,E93*VLOOKUP(B93,'Pre-Calculation'!$H$1:$I$31,2,FALSE),0)</f>
        <v>0</v>
      </c>
      <c r="G93" s="177">
        <f>IF(B93&lt;PT+1,VLOOKUP(B93,'Pre-Calculation'!$H$1:$L$32,3,FALSE)+VLOOKUP(B93,'Pre-Calculation'!$H$1:$L$32,4,FALSE)*'Pre-Calculation'!$D$7,0)</f>
        <v>830</v>
      </c>
      <c r="H93" s="175">
        <f>(E93-(F93+G93)*(1+Tax)+N92)</f>
        <v>790567.5046</v>
      </c>
      <c r="I93" s="175">
        <f>IF(B93&lt;PT+1,VLOOKUP(D93,'Pre-Calculation'!$N$3:$P$79,IF(INPUT!$C$4="M",2,3),FALSE)*(J93/1000)*(1/12),0)</f>
        <v>121.1654617</v>
      </c>
      <c r="J93" s="175">
        <f t="shared" si="3"/>
        <v>679432.4954</v>
      </c>
      <c r="K93" s="175">
        <f>IF('Pre-Calculation'!$D$17="Type 4 a",MAX(SA,H93,1.05*Q93),IF('Pre-Calculation'!$D$17="Type 4 c",H93,IF('Pre-Calculation'!$D$17="Type 4 d",SA+H93,IF('Pre-Calculation'!$D$17="Type 4 e",MAX(SA,H93),IF('Pre-Calculation'!$D$17="Type 4 f",SA,IF('Pre-Calculation'!$D$17="Type 4 g",1000+H93,IF('Pre-Calculation'!$D$17="Type 4 h",SA+X93,IF('Pre-Calculation'!$D$17="Type 4 i",MAX(H93,Q93),IF('Pre-Calculation'!$D$17="Type 4 k",MAX(H93,1.01*Q93),IF('Pre-Calculation'!$D$17="Type 4 m",MAX(105%*Q93,SA+H93),IF('Pre-Calculation'!$D$17="Type 4 o",MAX(SA,105%*Q93)+X93+Z93,IF('Pre-Calculation'!$D$17="Type 5",0))))))))))))</f>
        <v>1470000</v>
      </c>
      <c r="L93" s="175">
        <f>H93-I93*(1+Tax)</f>
        <v>790424.5294</v>
      </c>
      <c r="M93" s="175">
        <f>L93*(1+GROWTH_RATE_L)*(1-FMC*(1+Tax))</f>
        <v>791960.0225</v>
      </c>
      <c r="N93" s="175">
        <f>M93+IF(MOD(A93,B93)=0,VLOOKUP(B93,'Pre-Calculation'!$H$1:$L$31,5,FALSE),0)*IF('Pre-Calculation'!$D$16="% OF FV",M93,IF(OR('Pre-Calculation'!$D$16="% OF AFV(24M)",'Pre-Calculation'!$D$16="% OF AFV(8Q)"),AVERAGE( $M70:$M93),IF('Pre-Calculation'!$D$16="% OF AFV(12M)",AVERAGE($M82:M93),IF('Pre-Calculation'!$D$16="% OF AFV(36M)",AVERAGE($M58:M93)))))</f>
        <v>791960.0225</v>
      </c>
      <c r="O93" s="175">
        <f t="shared" si="4"/>
        <v>791960.0225</v>
      </c>
      <c r="P93" s="175">
        <f>IF('Pre-Calculation'!$D$17="Type 4 a",MAX(SA,N93,1.05*Q93),IF('Pre-Calculation'!$D$17="Type 4 c",N93,IF('Pre-Calculation'!$D$17="Type 4 d",SA+N93,IF('Pre-Calculation'!$D$17="Type 4 e",MAX(SA,N93),IF('Pre-Calculation'!$D$17="Type 4 f",SA,IF('Pre-Calculation'!$D$17="Type 4 g",1000+N93,IF('Pre-Calculation'!$D$17="Type 4 h",SA+X93,IF('Pre-Calculation'!$D$17="Type 4 i",MAX(N93,Q93),IF('Pre-Calculation'!$D$17="Type 4 k",MAX(N93,1.01*Q93),IF('Pre-Calculation'!$D$17="Type 4 m",MAX(105%*Q93,SA+N93),IF('Pre-Calculation'!$D$17="Type 4 o",MAX(SA,105%*Q93)+X93+Z93,IF('Pre-Calculation'!$D$17="Type 5",0))))))))))))</f>
        <v>1470000</v>
      </c>
      <c r="Q93" s="175">
        <f t="shared" si="5"/>
        <v>1400000</v>
      </c>
      <c r="R93" s="119">
        <f>L93*(1+GROWTH_RATE)*FMC</f>
        <v>894.4622249</v>
      </c>
      <c r="S93" s="178">
        <f>S92*(1+'Pre-Calculation'!$E$27)</f>
        <v>834124.529</v>
      </c>
      <c r="T93" s="175">
        <f>-E93+IF(A92=INPUT!$C$11*12,N93,0)</f>
        <v>0</v>
      </c>
      <c r="U93" s="175">
        <f t="shared" si="6"/>
        <v>859245.9364</v>
      </c>
      <c r="V93" s="175">
        <f>U93*(1+GROWTH_RATE_L)*(1-'Pre-Calculation'!$E$31)</f>
        <v>860623.2765</v>
      </c>
      <c r="W93" s="175">
        <f>-E93+IF(A92=INPUT!$C$11*12,V93,0)</f>
        <v>0</v>
      </c>
      <c r="X93" s="179">
        <f t="array" ref="X93">NPV('Pre-Calculation'!$E$20,$E94:E$246)</f>
        <v>182852.1564</v>
      </c>
      <c r="Y93" s="171">
        <f>10%*SA</f>
        <v>100000</v>
      </c>
      <c r="Z93" s="179">
        <f t="array" ref="Z93">NPV('Pre-Calculation'!$E$20,Y94:Y103)</f>
        <v>969592.8037</v>
      </c>
    </row>
    <row r="94" ht="15.75" customHeight="1">
      <c r="A94" s="171">
        <f t="shared" si="1"/>
        <v>88</v>
      </c>
      <c r="B94" s="171">
        <f t="shared" si="2"/>
        <v>8</v>
      </c>
      <c r="C94" s="176">
        <f>EDATE(RCD,A93)</f>
        <v>45199</v>
      </c>
      <c r="D94" s="171">
        <f>Age_At_Entry+'Cashflows_4% from Start'!B94-1</f>
        <v>42</v>
      </c>
      <c r="E94" s="175">
        <f>IF(AND(C94&lt;=Last_Prem,MOD(A93,Mode)=0),Mod_Prem,0)</f>
        <v>0</v>
      </c>
      <c r="F94" s="177">
        <f>IF(B94&lt;PT+1,E94*VLOOKUP(B94,'Pre-Calculation'!$H$1:$I$31,2,FALSE),0)</f>
        <v>0</v>
      </c>
      <c r="G94" s="177">
        <f>IF(B94&lt;PT+1,VLOOKUP(B94,'Pre-Calculation'!$H$1:$L$32,3,FALSE)+VLOOKUP(B94,'Pre-Calculation'!$H$1:$L$32,4,FALSE)*'Pre-Calculation'!$D$7,0)</f>
        <v>830</v>
      </c>
      <c r="H94" s="175">
        <f>(E94-(F94+G94)*(1+Tax)+N93)</f>
        <v>790980.6225</v>
      </c>
      <c r="I94" s="175">
        <f>IF(B94&lt;PT+1,VLOOKUP(D94,'Pre-Calculation'!$N$3:$P$79,IF(INPUT!$C$4="M",2,3),FALSE)*(J94/1000)*(1/12),0)</f>
        <v>121.091789</v>
      </c>
      <c r="J94" s="175">
        <f t="shared" si="3"/>
        <v>679019.3775</v>
      </c>
      <c r="K94" s="175">
        <f>IF('Pre-Calculation'!$D$17="Type 4 a",MAX(SA,H94,1.05*Q94),IF('Pre-Calculation'!$D$17="Type 4 c",H94,IF('Pre-Calculation'!$D$17="Type 4 d",SA+H94,IF('Pre-Calculation'!$D$17="Type 4 e",MAX(SA,H94),IF('Pre-Calculation'!$D$17="Type 4 f",SA,IF('Pre-Calculation'!$D$17="Type 4 g",1000+H94,IF('Pre-Calculation'!$D$17="Type 4 h",SA+X94,IF('Pre-Calculation'!$D$17="Type 4 i",MAX(H94,Q94),IF('Pre-Calculation'!$D$17="Type 4 k",MAX(H94,1.01*Q94),IF('Pre-Calculation'!$D$17="Type 4 m",MAX(105%*Q94,SA+H94),IF('Pre-Calculation'!$D$17="Type 4 o",MAX(SA,105%*Q94)+X94+Z94,IF('Pre-Calculation'!$D$17="Type 5",0))))))))))))</f>
        <v>1470000</v>
      </c>
      <c r="L94" s="175">
        <f>H94-I94*(1+Tax)</f>
        <v>790837.7341</v>
      </c>
      <c r="M94" s="175">
        <f>L94*(1+GROWTH_RATE_L)*(1-FMC*(1+Tax))</f>
        <v>792374.0299</v>
      </c>
      <c r="N94" s="175">
        <f>M94+IF(MOD(A94,B94)=0,VLOOKUP(B94,'Pre-Calculation'!$H$1:$L$31,5,FALSE),0)*IF('Pre-Calculation'!$D$16="% OF FV",M94,IF(OR('Pre-Calculation'!$D$16="% OF AFV(24M)",'Pre-Calculation'!$D$16="% OF AFV(8Q)"),AVERAGE( $M71:$M94),IF('Pre-Calculation'!$D$16="% OF AFV(12M)",AVERAGE($M83:M94),IF('Pre-Calculation'!$D$16="% OF AFV(36M)",AVERAGE($M59:M94)))))</f>
        <v>792374.0299</v>
      </c>
      <c r="O94" s="175">
        <f t="shared" si="4"/>
        <v>792374.0299</v>
      </c>
      <c r="P94" s="175">
        <f>IF('Pre-Calculation'!$D$17="Type 4 a",MAX(SA,N94,1.05*Q94),IF('Pre-Calculation'!$D$17="Type 4 c",N94,IF('Pre-Calculation'!$D$17="Type 4 d",SA+N94,IF('Pre-Calculation'!$D$17="Type 4 e",MAX(SA,N94),IF('Pre-Calculation'!$D$17="Type 4 f",SA,IF('Pre-Calculation'!$D$17="Type 4 g",1000+N94,IF('Pre-Calculation'!$D$17="Type 4 h",SA+X94,IF('Pre-Calculation'!$D$17="Type 4 i",MAX(N94,Q94),IF('Pre-Calculation'!$D$17="Type 4 k",MAX(N94,1.01*Q94),IF('Pre-Calculation'!$D$17="Type 4 m",MAX(105%*Q94,SA+N94),IF('Pre-Calculation'!$D$17="Type 4 o",MAX(SA,105%*Q94)+X94+Z94,IF('Pre-Calculation'!$D$17="Type 5",0))))))))))))</f>
        <v>1470000</v>
      </c>
      <c r="Q94" s="175">
        <f t="shared" si="5"/>
        <v>1400000</v>
      </c>
      <c r="R94" s="119">
        <f>L94*(1+GROWTH_RATE)*FMC</f>
        <v>894.9298167</v>
      </c>
      <c r="S94" s="178">
        <f>S93*(1+'Pre-Calculation'!$E$27)</f>
        <v>836519.2161</v>
      </c>
      <c r="T94" s="175">
        <f>-E94+IF(A93=INPUT!$C$11*12,N94,0)</f>
        <v>0</v>
      </c>
      <c r="U94" s="175">
        <f t="shared" si="6"/>
        <v>860623.2765</v>
      </c>
      <c r="V94" s="175">
        <f>U94*(1+GROWTH_RATE_L)*(1-'Pre-Calculation'!$E$31)</f>
        <v>862002.8245</v>
      </c>
      <c r="W94" s="175">
        <f>-E94+IF(A93=INPUT!$C$11*12,V94,0)</f>
        <v>0</v>
      </c>
      <c r="X94" s="179">
        <f t="array" ref="X94">NPV('Pre-Calculation'!$E$20,$E95:E$246)</f>
        <v>183886.0291</v>
      </c>
      <c r="Y94" s="171">
        <f>10%*SA</f>
        <v>100000</v>
      </c>
      <c r="Z94" s="179">
        <f t="array" ref="Z94">NPV('Pre-Calculation'!$E$20,Y95:Y104)</f>
        <v>969592.8037</v>
      </c>
    </row>
    <row r="95" ht="15.75" customHeight="1">
      <c r="A95" s="171">
        <f t="shared" si="1"/>
        <v>89</v>
      </c>
      <c r="B95" s="171">
        <f t="shared" si="2"/>
        <v>8</v>
      </c>
      <c r="C95" s="176">
        <f>EDATE(RCD,A94)</f>
        <v>45229</v>
      </c>
      <c r="D95" s="171">
        <f>Age_At_Entry+'Cashflows_4% from Start'!B95-1</f>
        <v>42</v>
      </c>
      <c r="E95" s="175">
        <f>IF(AND(C95&lt;=Last_Prem,MOD(A94,Mode)=0),Mod_Prem,0)</f>
        <v>0</v>
      </c>
      <c r="F95" s="177">
        <f>IF(B95&lt;PT+1,E95*VLOOKUP(B95,'Pre-Calculation'!$H$1:$I$31,2,FALSE),0)</f>
        <v>0</v>
      </c>
      <c r="G95" s="177">
        <f>IF(B95&lt;PT+1,VLOOKUP(B95,'Pre-Calculation'!$H$1:$L$32,3,FALSE)+VLOOKUP(B95,'Pre-Calculation'!$H$1:$L$32,4,FALSE)*'Pre-Calculation'!$D$7,0)</f>
        <v>830</v>
      </c>
      <c r="H95" s="175">
        <f>(E95-(F95+G95)*(1+Tax)+N94)</f>
        <v>791394.6299</v>
      </c>
      <c r="I95" s="175">
        <f>IF(B95&lt;PT+1,VLOOKUP(D95,'Pre-Calculation'!$N$3:$P$79,IF(INPUT!$C$4="M",2,3),FALSE)*(J95/1000)*(1/12),0)</f>
        <v>121.0179577</v>
      </c>
      <c r="J95" s="175">
        <f t="shared" si="3"/>
        <v>678605.3701</v>
      </c>
      <c r="K95" s="175">
        <f>IF('Pre-Calculation'!$D$17="Type 4 a",MAX(SA,H95,1.05*Q95),IF('Pre-Calculation'!$D$17="Type 4 c",H95,IF('Pre-Calculation'!$D$17="Type 4 d",SA+H95,IF('Pre-Calculation'!$D$17="Type 4 e",MAX(SA,H95),IF('Pre-Calculation'!$D$17="Type 4 f",SA,IF('Pre-Calculation'!$D$17="Type 4 g",1000+H95,IF('Pre-Calculation'!$D$17="Type 4 h",SA+X95,IF('Pre-Calculation'!$D$17="Type 4 i",MAX(H95,Q95),IF('Pre-Calculation'!$D$17="Type 4 k",MAX(H95,1.01*Q95),IF('Pre-Calculation'!$D$17="Type 4 m",MAX(105%*Q95,SA+H95),IF('Pre-Calculation'!$D$17="Type 4 o",MAX(SA,105%*Q95)+X95+Z95,IF('Pre-Calculation'!$D$17="Type 5",0))))))))))))</f>
        <v>1470000</v>
      </c>
      <c r="L95" s="175">
        <f>H95-I95*(1+Tax)</f>
        <v>791251.8287</v>
      </c>
      <c r="M95" s="175">
        <f>L95*(1+GROWTH_RATE_L)*(1-FMC*(1+Tax))</f>
        <v>792788.9289</v>
      </c>
      <c r="N95" s="175">
        <f>M95+IF(MOD(A95,B95)=0,VLOOKUP(B95,'Pre-Calculation'!$H$1:$L$31,5,FALSE),0)*IF('Pre-Calculation'!$D$16="% OF FV",M95,IF(OR('Pre-Calculation'!$D$16="% OF AFV(24M)",'Pre-Calculation'!$D$16="% OF AFV(8Q)"),AVERAGE( $M72:$M95),IF('Pre-Calculation'!$D$16="% OF AFV(12M)",AVERAGE($M84:M95),IF('Pre-Calculation'!$D$16="% OF AFV(36M)",AVERAGE($M60:M95)))))</f>
        <v>792788.9289</v>
      </c>
      <c r="O95" s="175">
        <f t="shared" si="4"/>
        <v>792788.9289</v>
      </c>
      <c r="P95" s="175">
        <f>IF('Pre-Calculation'!$D$17="Type 4 a",MAX(SA,N95,1.05*Q95),IF('Pre-Calculation'!$D$17="Type 4 c",N95,IF('Pre-Calculation'!$D$17="Type 4 d",SA+N95,IF('Pre-Calculation'!$D$17="Type 4 e",MAX(SA,N95),IF('Pre-Calculation'!$D$17="Type 4 f",SA,IF('Pre-Calculation'!$D$17="Type 4 g",1000+N95,IF('Pre-Calculation'!$D$17="Type 4 h",SA+X95,IF('Pre-Calculation'!$D$17="Type 4 i",MAX(N95,Q95),IF('Pre-Calculation'!$D$17="Type 4 k",MAX(N95,1.01*Q95),IF('Pre-Calculation'!$D$17="Type 4 m",MAX(105%*Q95,SA+N95),IF('Pre-Calculation'!$D$17="Type 4 o",MAX(SA,105%*Q95)+X95+Z95,IF('Pre-Calculation'!$D$17="Type 5",0))))))))))))</f>
        <v>1470000</v>
      </c>
      <c r="Q95" s="175">
        <f t="shared" si="5"/>
        <v>1400000</v>
      </c>
      <c r="R95" s="119">
        <f>L95*(1+GROWTH_RATE)*FMC</f>
        <v>895.3984154</v>
      </c>
      <c r="S95" s="178">
        <f>S94*(1+'Pre-Calculation'!$E$27)</f>
        <v>838920.778</v>
      </c>
      <c r="T95" s="175">
        <f>-E95+IF(A94=INPUT!$C$11*12,N95,0)</f>
        <v>0</v>
      </c>
      <c r="U95" s="175">
        <f t="shared" si="6"/>
        <v>862002.8245</v>
      </c>
      <c r="V95" s="175">
        <f>U95*(1+GROWTH_RATE_L)*(1-'Pre-Calculation'!$E$31)</f>
        <v>863384.5838</v>
      </c>
      <c r="W95" s="175">
        <f>-E95+IF(A94=INPUT!$C$11*12,V95,0)</f>
        <v>0</v>
      </c>
      <c r="X95" s="179">
        <f t="array" ref="X95">NPV('Pre-Calculation'!$E$20,$E96:E$246)</f>
        <v>184925.7474</v>
      </c>
      <c r="Y95" s="171">
        <f>10%*SA</f>
        <v>100000</v>
      </c>
      <c r="Z95" s="179">
        <f t="array" ref="Z95">NPV('Pre-Calculation'!$E$20,Y96:Y105)</f>
        <v>969592.8037</v>
      </c>
    </row>
    <row r="96" ht="15.75" customHeight="1">
      <c r="A96" s="171">
        <f t="shared" si="1"/>
        <v>90</v>
      </c>
      <c r="B96" s="171">
        <f t="shared" si="2"/>
        <v>8</v>
      </c>
      <c r="C96" s="176">
        <f>EDATE(RCD,A95)</f>
        <v>45260</v>
      </c>
      <c r="D96" s="171">
        <f>Age_At_Entry+'Cashflows_4% from Start'!B96-1</f>
        <v>42</v>
      </c>
      <c r="E96" s="175">
        <f>IF(AND(C96&lt;=Last_Prem,MOD(A95,Mode)=0),Mod_Prem,0)</f>
        <v>0</v>
      </c>
      <c r="F96" s="177">
        <f>IF(B96&lt;PT+1,E96*VLOOKUP(B96,'Pre-Calculation'!$H$1:$I$31,2,FALSE),0)</f>
        <v>0</v>
      </c>
      <c r="G96" s="177">
        <f>IF(B96&lt;PT+1,VLOOKUP(B96,'Pre-Calculation'!$H$1:$L$32,3,FALSE)+VLOOKUP(B96,'Pre-Calculation'!$H$1:$L$32,4,FALSE)*'Pre-Calculation'!$D$7,0)</f>
        <v>830</v>
      </c>
      <c r="H96" s="175">
        <f>(E96-(F96+G96)*(1+Tax)+N95)</f>
        <v>791809.5289</v>
      </c>
      <c r="I96" s="175">
        <f>IF(B96&lt;PT+1,VLOOKUP(D96,'Pre-Calculation'!$N$3:$P$79,IF(INPUT!$C$4="M",2,3),FALSE)*(J96/1000)*(1/12),0)</f>
        <v>120.9439673</v>
      </c>
      <c r="J96" s="175">
        <f t="shared" si="3"/>
        <v>678190.4711</v>
      </c>
      <c r="K96" s="175">
        <f>IF('Pre-Calculation'!$D$17="Type 4 a",MAX(SA,H96,1.05*Q96),IF('Pre-Calculation'!$D$17="Type 4 c",H96,IF('Pre-Calculation'!$D$17="Type 4 d",SA+H96,IF('Pre-Calculation'!$D$17="Type 4 e",MAX(SA,H96),IF('Pre-Calculation'!$D$17="Type 4 f",SA,IF('Pre-Calculation'!$D$17="Type 4 g",1000+H96,IF('Pre-Calculation'!$D$17="Type 4 h",SA+X96,IF('Pre-Calculation'!$D$17="Type 4 i",MAX(H96,Q96),IF('Pre-Calculation'!$D$17="Type 4 k",MAX(H96,1.01*Q96),IF('Pre-Calculation'!$D$17="Type 4 m",MAX(105%*Q96,SA+H96),IF('Pre-Calculation'!$D$17="Type 4 o",MAX(SA,105%*Q96)+X96+Z96,IF('Pre-Calculation'!$D$17="Type 5",0))))))))))))</f>
        <v>1470000</v>
      </c>
      <c r="L96" s="175">
        <f>H96-I96*(1+Tax)</f>
        <v>791666.815</v>
      </c>
      <c r="M96" s="175">
        <f>L96*(1+GROWTH_RATE_L)*(1-FMC*(1+Tax))</f>
        <v>793204.7213</v>
      </c>
      <c r="N96" s="175">
        <f>M96+IF(MOD(A96,B96)=0,VLOOKUP(B96,'Pre-Calculation'!$H$1:$L$31,5,FALSE),0)*IF('Pre-Calculation'!$D$16="% OF FV",M96,IF(OR('Pre-Calculation'!$D$16="% OF AFV(24M)",'Pre-Calculation'!$D$16="% OF AFV(8Q)"),AVERAGE( $M73:$M96),IF('Pre-Calculation'!$D$16="% OF AFV(12M)",AVERAGE($M85:M96),IF('Pre-Calculation'!$D$16="% OF AFV(36M)",AVERAGE($M61:M96)))))</f>
        <v>793204.7213</v>
      </c>
      <c r="O96" s="175">
        <f t="shared" si="4"/>
        <v>793204.7213</v>
      </c>
      <c r="P96" s="175">
        <f>IF('Pre-Calculation'!$D$17="Type 4 a",MAX(SA,N96,1.05*Q96),IF('Pre-Calculation'!$D$17="Type 4 c",N96,IF('Pre-Calculation'!$D$17="Type 4 d",SA+N96,IF('Pre-Calculation'!$D$17="Type 4 e",MAX(SA,N96),IF('Pre-Calculation'!$D$17="Type 4 f",SA,IF('Pre-Calculation'!$D$17="Type 4 g",1000+N96,IF('Pre-Calculation'!$D$17="Type 4 h",SA+X96,IF('Pre-Calculation'!$D$17="Type 4 i",MAX(N96,Q96),IF('Pre-Calculation'!$D$17="Type 4 k",MAX(N96,1.01*Q96),IF('Pre-Calculation'!$D$17="Type 4 m",MAX(105%*Q96,SA+N96),IF('Pre-Calculation'!$D$17="Type 4 o",MAX(SA,105%*Q96)+X96+Z96,IF('Pre-Calculation'!$D$17="Type 5",0))))))))))))</f>
        <v>1470000</v>
      </c>
      <c r="Q96" s="175">
        <f t="shared" si="5"/>
        <v>1400000</v>
      </c>
      <c r="R96" s="119">
        <f>L96*(1+GROWTH_RATE)*FMC</f>
        <v>895.8680233</v>
      </c>
      <c r="S96" s="178">
        <f>S95*(1+'Pre-Calculation'!$E$27)</f>
        <v>841329.2346</v>
      </c>
      <c r="T96" s="175">
        <f>-E96+IF(A95=INPUT!$C$11*12,N96,0)</f>
        <v>0</v>
      </c>
      <c r="U96" s="175">
        <f t="shared" si="6"/>
        <v>863384.5838</v>
      </c>
      <c r="V96" s="175">
        <f>U96*(1+GROWTH_RATE_L)*(1-'Pre-Calculation'!$E$31)</f>
        <v>864768.558</v>
      </c>
      <c r="W96" s="175">
        <f>-E96+IF(A95=INPUT!$C$11*12,V96,0)</f>
        <v>0</v>
      </c>
      <c r="X96" s="179">
        <f t="array" ref="X96">NPV('Pre-Calculation'!$E$20,$E97:E$246)</f>
        <v>185971.3445</v>
      </c>
      <c r="Y96" s="171">
        <f>10%*SA</f>
        <v>100000</v>
      </c>
      <c r="Z96" s="179">
        <f t="array" ref="Z96">NPV('Pre-Calculation'!$E$20,Y97:Y106)</f>
        <v>969592.8037</v>
      </c>
    </row>
    <row r="97" ht="15.75" customHeight="1">
      <c r="A97" s="171">
        <f t="shared" si="1"/>
        <v>91</v>
      </c>
      <c r="B97" s="171">
        <f t="shared" si="2"/>
        <v>8</v>
      </c>
      <c r="C97" s="176">
        <f>EDATE(RCD,A96)</f>
        <v>45290</v>
      </c>
      <c r="D97" s="171">
        <f>Age_At_Entry+'Cashflows_4% from Start'!B97-1</f>
        <v>42</v>
      </c>
      <c r="E97" s="175">
        <f>IF(AND(C97&lt;=Last_Prem,MOD(A96,Mode)=0),Mod_Prem,0)</f>
        <v>0</v>
      </c>
      <c r="F97" s="177">
        <f>IF(B97&lt;PT+1,E97*VLOOKUP(B97,'Pre-Calculation'!$H$1:$I$31,2,FALSE),0)</f>
        <v>0</v>
      </c>
      <c r="G97" s="177">
        <f>IF(B97&lt;PT+1,VLOOKUP(B97,'Pre-Calculation'!$H$1:$L$32,3,FALSE)+VLOOKUP(B97,'Pre-Calculation'!$H$1:$L$32,4,FALSE)*'Pre-Calculation'!$D$7,0)</f>
        <v>830</v>
      </c>
      <c r="H97" s="175">
        <f>(E97-(F97+G97)*(1+Tax)+N96)</f>
        <v>792225.3213</v>
      </c>
      <c r="I97" s="175">
        <f>IF(B97&lt;PT+1,VLOOKUP(D97,'Pre-Calculation'!$N$3:$P$79,IF(INPUT!$C$4="M",2,3),FALSE)*(J97/1000)*(1/12),0)</f>
        <v>120.8698177</v>
      </c>
      <c r="J97" s="175">
        <f t="shared" si="3"/>
        <v>677774.6787</v>
      </c>
      <c r="K97" s="175">
        <f>IF('Pre-Calculation'!$D$17="Type 4 a",MAX(SA,H97,1.05*Q97),IF('Pre-Calculation'!$D$17="Type 4 c",H97,IF('Pre-Calculation'!$D$17="Type 4 d",SA+H97,IF('Pre-Calculation'!$D$17="Type 4 e",MAX(SA,H97),IF('Pre-Calculation'!$D$17="Type 4 f",SA,IF('Pre-Calculation'!$D$17="Type 4 g",1000+H97,IF('Pre-Calculation'!$D$17="Type 4 h",SA+X97,IF('Pre-Calculation'!$D$17="Type 4 i",MAX(H97,Q97),IF('Pre-Calculation'!$D$17="Type 4 k",MAX(H97,1.01*Q97),IF('Pre-Calculation'!$D$17="Type 4 m",MAX(105%*Q97,SA+H97),IF('Pre-Calculation'!$D$17="Type 4 o",MAX(SA,105%*Q97)+X97+Z97,IF('Pre-Calculation'!$D$17="Type 5",0))))))))))))</f>
        <v>1470000</v>
      </c>
      <c r="L97" s="175">
        <f>H97-I97*(1+Tax)</f>
        <v>792082.695</v>
      </c>
      <c r="M97" s="175">
        <f>L97*(1+GROWTH_RATE_L)*(1-FMC*(1+Tax))</f>
        <v>793621.4092</v>
      </c>
      <c r="N97" s="175">
        <f>M97+IF(MOD(A97,B97)=0,VLOOKUP(B97,'Pre-Calculation'!$H$1:$L$31,5,FALSE),0)*IF('Pre-Calculation'!$D$16="% OF FV",M97,IF(OR('Pre-Calculation'!$D$16="% OF AFV(24M)",'Pre-Calculation'!$D$16="% OF AFV(8Q)"),AVERAGE( $M74:$M97),IF('Pre-Calculation'!$D$16="% OF AFV(12M)",AVERAGE($M86:M97),IF('Pre-Calculation'!$D$16="% OF AFV(36M)",AVERAGE($M62:M97)))))</f>
        <v>793621.4092</v>
      </c>
      <c r="O97" s="175">
        <f t="shared" si="4"/>
        <v>793621.4092</v>
      </c>
      <c r="P97" s="175">
        <f>IF('Pre-Calculation'!$D$17="Type 4 a",MAX(SA,N97,1.05*Q97),IF('Pre-Calculation'!$D$17="Type 4 c",N97,IF('Pre-Calculation'!$D$17="Type 4 d",SA+N97,IF('Pre-Calculation'!$D$17="Type 4 e",MAX(SA,N97),IF('Pre-Calculation'!$D$17="Type 4 f",SA,IF('Pre-Calculation'!$D$17="Type 4 g",1000+N97,IF('Pre-Calculation'!$D$17="Type 4 h",SA+X97,IF('Pre-Calculation'!$D$17="Type 4 i",MAX(N97,Q97),IF('Pre-Calculation'!$D$17="Type 4 k",MAX(N97,1.01*Q97),IF('Pre-Calculation'!$D$17="Type 4 m",MAX(105%*Q97,SA+N97),IF('Pre-Calculation'!$D$17="Type 4 o",MAX(SA,105%*Q97)+X97+Z97,IF('Pre-Calculation'!$D$17="Type 5",0))))))))))))</f>
        <v>1470000</v>
      </c>
      <c r="Q97" s="175">
        <f t="shared" si="5"/>
        <v>1400000</v>
      </c>
      <c r="R97" s="119">
        <f>L97*(1+GROWTH_RATE)*FMC</f>
        <v>896.3386424</v>
      </c>
      <c r="S97" s="178">
        <f>S96*(1+'Pre-Calculation'!$E$27)</f>
        <v>843744.6056</v>
      </c>
      <c r="T97" s="175">
        <f>-E97+IF(A96=INPUT!$C$11*12,N97,0)</f>
        <v>0</v>
      </c>
      <c r="U97" s="175">
        <f t="shared" si="6"/>
        <v>864768.558</v>
      </c>
      <c r="V97" s="175">
        <f>U97*(1+GROWTH_RATE_L)*(1-'Pre-Calculation'!$E$31)</f>
        <v>866154.7507</v>
      </c>
      <c r="W97" s="175">
        <f>-E97+IF(A96=INPUT!$C$11*12,V97,0)</f>
        <v>0</v>
      </c>
      <c r="X97" s="179">
        <f t="array" ref="X97">NPV('Pre-Calculation'!$E$20,$E98:E$246)</f>
        <v>187022.8535</v>
      </c>
      <c r="Y97" s="171">
        <f>10%*SA</f>
        <v>100000</v>
      </c>
      <c r="Z97" s="179">
        <f t="array" ref="Z97">NPV('Pre-Calculation'!$E$20,Y98:Y107)</f>
        <v>969592.8037</v>
      </c>
    </row>
    <row r="98" ht="15.75" customHeight="1">
      <c r="A98" s="171">
        <f t="shared" si="1"/>
        <v>92</v>
      </c>
      <c r="B98" s="171">
        <f t="shared" si="2"/>
        <v>8</v>
      </c>
      <c r="C98" s="176">
        <f>EDATE(RCD,A97)</f>
        <v>45321</v>
      </c>
      <c r="D98" s="171">
        <f>Age_At_Entry+'Cashflows_4% from Start'!B98-1</f>
        <v>42</v>
      </c>
      <c r="E98" s="175">
        <f>IF(AND(C98&lt;=Last_Prem,MOD(A97,Mode)=0),Mod_Prem,0)</f>
        <v>0</v>
      </c>
      <c r="F98" s="177">
        <f>IF(B98&lt;PT+1,E98*VLOOKUP(B98,'Pre-Calculation'!$H$1:$I$31,2,FALSE),0)</f>
        <v>0</v>
      </c>
      <c r="G98" s="177">
        <f>IF(B98&lt;PT+1,VLOOKUP(B98,'Pre-Calculation'!$H$1:$L$32,3,FALSE)+VLOOKUP(B98,'Pre-Calculation'!$H$1:$L$32,4,FALSE)*'Pre-Calculation'!$D$7,0)</f>
        <v>830</v>
      </c>
      <c r="H98" s="175">
        <f>(E98-(F98+G98)*(1+Tax)+N97)</f>
        <v>792642.0092</v>
      </c>
      <c r="I98" s="175">
        <f>IF(B98&lt;PT+1,VLOOKUP(D98,'Pre-Calculation'!$N$3:$P$79,IF(INPUT!$C$4="M",2,3),FALSE)*(J98/1000)*(1/12),0)</f>
        <v>120.7955084</v>
      </c>
      <c r="J98" s="175">
        <f t="shared" si="3"/>
        <v>677357.9908</v>
      </c>
      <c r="K98" s="175">
        <f>IF('Pre-Calculation'!$D$17="Type 4 a",MAX(SA,H98,1.05*Q98),IF('Pre-Calculation'!$D$17="Type 4 c",H98,IF('Pre-Calculation'!$D$17="Type 4 d",SA+H98,IF('Pre-Calculation'!$D$17="Type 4 e",MAX(SA,H98),IF('Pre-Calculation'!$D$17="Type 4 f",SA,IF('Pre-Calculation'!$D$17="Type 4 g",1000+H98,IF('Pre-Calculation'!$D$17="Type 4 h",SA+X98,IF('Pre-Calculation'!$D$17="Type 4 i",MAX(H98,Q98),IF('Pre-Calculation'!$D$17="Type 4 k",MAX(H98,1.01*Q98),IF('Pre-Calculation'!$D$17="Type 4 m",MAX(105%*Q98,SA+H98),IF('Pre-Calculation'!$D$17="Type 4 o",MAX(SA,105%*Q98)+X98+Z98,IF('Pre-Calculation'!$D$17="Type 5",0))))))))))))</f>
        <v>1470000</v>
      </c>
      <c r="L98" s="175">
        <f>H98-I98*(1+Tax)</f>
        <v>792499.4705</v>
      </c>
      <c r="M98" s="175">
        <f>L98*(1+GROWTH_RATE_L)*(1-FMC*(1+Tax))</f>
        <v>794038.9944</v>
      </c>
      <c r="N98" s="175">
        <f>M98+IF(MOD(A98,B98)=0,VLOOKUP(B98,'Pre-Calculation'!$H$1:$L$31,5,FALSE),0)*IF('Pre-Calculation'!$D$16="% OF FV",M98,IF(OR('Pre-Calculation'!$D$16="% OF AFV(24M)",'Pre-Calculation'!$D$16="% OF AFV(8Q)"),AVERAGE( $M75:$M98),IF('Pre-Calculation'!$D$16="% OF AFV(12M)",AVERAGE($M87:M98),IF('Pre-Calculation'!$D$16="% OF AFV(36M)",AVERAGE($M63:M98)))))</f>
        <v>794038.9944</v>
      </c>
      <c r="O98" s="175">
        <f t="shared" si="4"/>
        <v>794038.9944</v>
      </c>
      <c r="P98" s="175">
        <f>IF('Pre-Calculation'!$D$17="Type 4 a",MAX(SA,N98,1.05*Q98),IF('Pre-Calculation'!$D$17="Type 4 c",N98,IF('Pre-Calculation'!$D$17="Type 4 d",SA+N98,IF('Pre-Calculation'!$D$17="Type 4 e",MAX(SA,N98),IF('Pre-Calculation'!$D$17="Type 4 f",SA,IF('Pre-Calculation'!$D$17="Type 4 g",1000+N98,IF('Pre-Calculation'!$D$17="Type 4 h",SA+X98,IF('Pre-Calculation'!$D$17="Type 4 i",MAX(N98,Q98),IF('Pre-Calculation'!$D$17="Type 4 k",MAX(N98,1.01*Q98),IF('Pre-Calculation'!$D$17="Type 4 m",MAX(105%*Q98,SA+N98),IF('Pre-Calculation'!$D$17="Type 4 o",MAX(SA,105%*Q98)+X98+Z98,IF('Pre-Calculation'!$D$17="Type 5",0))))))))))))</f>
        <v>1470000</v>
      </c>
      <c r="Q98" s="175">
        <f t="shared" si="5"/>
        <v>1400000</v>
      </c>
      <c r="R98" s="119">
        <f>L98*(1+GROWTH_RATE)*FMC</f>
        <v>896.810275</v>
      </c>
      <c r="S98" s="178">
        <f>S97*(1+'Pre-Calculation'!$E$27)</f>
        <v>846166.9109</v>
      </c>
      <c r="T98" s="175">
        <f>-E98+IF(A97=INPUT!$C$11*12,N98,0)</f>
        <v>0</v>
      </c>
      <c r="U98" s="175">
        <f t="shared" si="6"/>
        <v>866154.7507</v>
      </c>
      <c r="V98" s="175">
        <f>U98*(1+GROWTH_RATE_L)*(1-'Pre-Calculation'!$E$31)</f>
        <v>867543.1655</v>
      </c>
      <c r="W98" s="175">
        <f>-E98+IF(A97=INPUT!$C$11*12,V98,0)</f>
        <v>0</v>
      </c>
      <c r="X98" s="179">
        <f t="array" ref="X98">NPV('Pre-Calculation'!$E$20,$E99:E$246)</f>
        <v>188080.3079</v>
      </c>
      <c r="Y98" s="171">
        <f>10%*SA</f>
        <v>100000</v>
      </c>
      <c r="Z98" s="179">
        <f t="array" ref="Z98">NPV('Pre-Calculation'!$E$20,Y99:Y108)</f>
        <v>969592.8037</v>
      </c>
    </row>
    <row r="99" ht="15.75" customHeight="1">
      <c r="A99" s="171">
        <f t="shared" si="1"/>
        <v>93</v>
      </c>
      <c r="B99" s="171">
        <f t="shared" si="2"/>
        <v>8</v>
      </c>
      <c r="C99" s="176">
        <f>EDATE(RCD,A98)</f>
        <v>45351</v>
      </c>
      <c r="D99" s="171">
        <f>Age_At_Entry+'Cashflows_4% from Start'!B99-1</f>
        <v>42</v>
      </c>
      <c r="E99" s="175">
        <f>IF(AND(C99&lt;=Last_Prem,MOD(A98,Mode)=0),Mod_Prem,0)</f>
        <v>0</v>
      </c>
      <c r="F99" s="177">
        <f>IF(B99&lt;PT+1,E99*VLOOKUP(B99,'Pre-Calculation'!$H$1:$I$31,2,FALSE),0)</f>
        <v>0</v>
      </c>
      <c r="G99" s="177">
        <f>IF(B99&lt;PT+1,VLOOKUP(B99,'Pre-Calculation'!$H$1:$L$32,3,FALSE)+VLOOKUP(B99,'Pre-Calculation'!$H$1:$L$32,4,FALSE)*'Pre-Calculation'!$D$7,0)</f>
        <v>830</v>
      </c>
      <c r="H99" s="175">
        <f>(E99-(F99+G99)*(1+Tax)+N98)</f>
        <v>793059.5944</v>
      </c>
      <c r="I99" s="175">
        <f>IF(B99&lt;PT+1,VLOOKUP(D99,'Pre-Calculation'!$N$3:$P$79,IF(INPUT!$C$4="M",2,3),FALSE)*(J99/1000)*(1/12),0)</f>
        <v>120.721039</v>
      </c>
      <c r="J99" s="175">
        <f t="shared" si="3"/>
        <v>676940.4056</v>
      </c>
      <c r="K99" s="175">
        <f>IF('Pre-Calculation'!$D$17="Type 4 a",MAX(SA,H99,1.05*Q99),IF('Pre-Calculation'!$D$17="Type 4 c",H99,IF('Pre-Calculation'!$D$17="Type 4 d",SA+H99,IF('Pre-Calculation'!$D$17="Type 4 e",MAX(SA,H99),IF('Pre-Calculation'!$D$17="Type 4 f",SA,IF('Pre-Calculation'!$D$17="Type 4 g",1000+H99,IF('Pre-Calculation'!$D$17="Type 4 h",SA+X99,IF('Pre-Calculation'!$D$17="Type 4 i",MAX(H99,Q99),IF('Pre-Calculation'!$D$17="Type 4 k",MAX(H99,1.01*Q99),IF('Pre-Calculation'!$D$17="Type 4 m",MAX(105%*Q99,SA+H99),IF('Pre-Calculation'!$D$17="Type 4 o",MAX(SA,105%*Q99)+X99+Z99,IF('Pre-Calculation'!$D$17="Type 5",0))))))))))))</f>
        <v>1470000</v>
      </c>
      <c r="L99" s="175">
        <f>H99-I99*(1+Tax)</f>
        <v>792917.1435</v>
      </c>
      <c r="M99" s="175">
        <f>L99*(1+GROWTH_RATE_L)*(1-FMC*(1+Tax))</f>
        <v>794457.4788</v>
      </c>
      <c r="N99" s="175">
        <f>M99+IF(MOD(A99,B99)=0,VLOOKUP(B99,'Pre-Calculation'!$H$1:$L$31,5,FALSE),0)*IF('Pre-Calculation'!$D$16="% OF FV",M99,IF(OR('Pre-Calculation'!$D$16="% OF AFV(24M)",'Pre-Calculation'!$D$16="% OF AFV(8Q)"),AVERAGE( $M76:$M99),IF('Pre-Calculation'!$D$16="% OF AFV(12M)",AVERAGE($M88:M99),IF('Pre-Calculation'!$D$16="% OF AFV(36M)",AVERAGE($M64:M99)))))</f>
        <v>794457.4788</v>
      </c>
      <c r="O99" s="175">
        <f t="shared" si="4"/>
        <v>794457.4788</v>
      </c>
      <c r="P99" s="175">
        <f>IF('Pre-Calculation'!$D$17="Type 4 a",MAX(SA,N99,1.05*Q99),IF('Pre-Calculation'!$D$17="Type 4 c",N99,IF('Pre-Calculation'!$D$17="Type 4 d",SA+N99,IF('Pre-Calculation'!$D$17="Type 4 e",MAX(SA,N99),IF('Pre-Calculation'!$D$17="Type 4 f",SA,IF('Pre-Calculation'!$D$17="Type 4 g",1000+N99,IF('Pre-Calculation'!$D$17="Type 4 h",SA+X99,IF('Pre-Calculation'!$D$17="Type 4 i",MAX(N99,Q99),IF('Pre-Calculation'!$D$17="Type 4 k",MAX(N99,1.01*Q99),IF('Pre-Calculation'!$D$17="Type 4 m",MAX(105%*Q99,SA+N99),IF('Pre-Calculation'!$D$17="Type 4 o",MAX(SA,105%*Q99)+X99+Z99,IF('Pre-Calculation'!$D$17="Type 5",0))))))))))))</f>
        <v>1470000</v>
      </c>
      <c r="Q99" s="175">
        <f t="shared" si="5"/>
        <v>1400000</v>
      </c>
      <c r="R99" s="119">
        <f>L99*(1+GROWTH_RATE)*FMC</f>
        <v>897.2829233</v>
      </c>
      <c r="S99" s="178">
        <f>S98*(1+'Pre-Calculation'!$E$27)</f>
        <v>848596.1704</v>
      </c>
      <c r="T99" s="175">
        <f>-E99+IF(A98=INPUT!$C$11*12,N99,0)</f>
        <v>0</v>
      </c>
      <c r="U99" s="175">
        <f t="shared" si="6"/>
        <v>867543.1655</v>
      </c>
      <c r="V99" s="175">
        <f>U99*(1+GROWTH_RATE_L)*(1-'Pre-Calculation'!$E$31)</f>
        <v>868933.8058</v>
      </c>
      <c r="W99" s="175">
        <f>-E99+IF(A98=INPUT!$C$11*12,V99,0)</f>
        <v>0</v>
      </c>
      <c r="X99" s="179">
        <f t="array" ref="X99">NPV('Pre-Calculation'!$E$20,$E100:E$246)</f>
        <v>189143.7413</v>
      </c>
      <c r="Y99" s="171">
        <f>10%*SA</f>
        <v>100000</v>
      </c>
      <c r="Z99" s="179">
        <f t="array" ref="Z99">NPV('Pre-Calculation'!$E$20,Y100:Y109)</f>
        <v>969592.8037</v>
      </c>
    </row>
    <row r="100" ht="15.75" customHeight="1">
      <c r="A100" s="171">
        <f t="shared" si="1"/>
        <v>94</v>
      </c>
      <c r="B100" s="171">
        <f t="shared" si="2"/>
        <v>8</v>
      </c>
      <c r="C100" s="176">
        <f>EDATE(RCD,A99)</f>
        <v>45381</v>
      </c>
      <c r="D100" s="171">
        <f>Age_At_Entry+'Cashflows_4% from Start'!B100-1</f>
        <v>42</v>
      </c>
      <c r="E100" s="175">
        <f>IF(AND(C100&lt;=Last_Prem,MOD(A99,Mode)=0),Mod_Prem,0)</f>
        <v>0</v>
      </c>
      <c r="F100" s="177">
        <f>IF(B100&lt;PT+1,E100*VLOOKUP(B100,'Pre-Calculation'!$H$1:$I$31,2,FALSE),0)</f>
        <v>0</v>
      </c>
      <c r="G100" s="177">
        <f>IF(B100&lt;PT+1,VLOOKUP(B100,'Pre-Calculation'!$H$1:$L$32,3,FALSE)+VLOOKUP(B100,'Pre-Calculation'!$H$1:$L$32,4,FALSE)*'Pre-Calculation'!$D$7,0)</f>
        <v>830</v>
      </c>
      <c r="H100" s="175">
        <f>(E100-(F100+G100)*(1+Tax)+N99)</f>
        <v>793478.0788</v>
      </c>
      <c r="I100" s="175">
        <f>IF(B100&lt;PT+1,VLOOKUP(D100,'Pre-Calculation'!$N$3:$P$79,IF(INPUT!$C$4="M",2,3),FALSE)*(J100/1000)*(1/12),0)</f>
        <v>120.6464093</v>
      </c>
      <c r="J100" s="175">
        <f t="shared" si="3"/>
        <v>676521.9212</v>
      </c>
      <c r="K100" s="175">
        <f>IF('Pre-Calculation'!$D$17="Type 4 a",MAX(SA,H100,1.05*Q100),IF('Pre-Calculation'!$D$17="Type 4 c",H100,IF('Pre-Calculation'!$D$17="Type 4 d",SA+H100,IF('Pre-Calculation'!$D$17="Type 4 e",MAX(SA,H100),IF('Pre-Calculation'!$D$17="Type 4 f",SA,IF('Pre-Calculation'!$D$17="Type 4 g",1000+H100,IF('Pre-Calculation'!$D$17="Type 4 h",SA+X100,IF('Pre-Calculation'!$D$17="Type 4 i",MAX(H100,Q100),IF('Pre-Calculation'!$D$17="Type 4 k",MAX(H100,1.01*Q100),IF('Pre-Calculation'!$D$17="Type 4 m",MAX(105%*Q100,SA+H100),IF('Pre-Calculation'!$D$17="Type 4 o",MAX(SA,105%*Q100)+X100+Z100,IF('Pre-Calculation'!$D$17="Type 5",0))))))))))))</f>
        <v>1470000</v>
      </c>
      <c r="L100" s="175">
        <f>H100-I100*(1+Tax)</f>
        <v>793335.716</v>
      </c>
      <c r="M100" s="175">
        <f>L100*(1+GROWTH_RATE_L)*(1-FMC*(1+Tax))</f>
        <v>794876.8644</v>
      </c>
      <c r="N100" s="175">
        <f>M100+IF(MOD(A100,B100)=0,VLOOKUP(B100,'Pre-Calculation'!$H$1:$L$31,5,FALSE),0)*IF('Pre-Calculation'!$D$16="% OF FV",M100,IF(OR('Pre-Calculation'!$D$16="% OF AFV(24M)",'Pre-Calculation'!$D$16="% OF AFV(8Q)"),AVERAGE( $M77:$M100),IF('Pre-Calculation'!$D$16="% OF AFV(12M)",AVERAGE($M89:M100),IF('Pre-Calculation'!$D$16="% OF AFV(36M)",AVERAGE($M65:M100)))))</f>
        <v>794876.8644</v>
      </c>
      <c r="O100" s="175">
        <f t="shared" si="4"/>
        <v>794876.8644</v>
      </c>
      <c r="P100" s="175">
        <f>IF('Pre-Calculation'!$D$17="Type 4 a",MAX(SA,N100,1.05*Q100),IF('Pre-Calculation'!$D$17="Type 4 c",N100,IF('Pre-Calculation'!$D$17="Type 4 d",SA+N100,IF('Pre-Calculation'!$D$17="Type 4 e",MAX(SA,N100),IF('Pre-Calculation'!$D$17="Type 4 f",SA,IF('Pre-Calculation'!$D$17="Type 4 g",1000+N100,IF('Pre-Calculation'!$D$17="Type 4 h",SA+X100,IF('Pre-Calculation'!$D$17="Type 4 i",MAX(N100,Q100),IF('Pre-Calculation'!$D$17="Type 4 k",MAX(N100,1.01*Q100),IF('Pre-Calculation'!$D$17="Type 4 m",MAX(105%*Q100,SA+N100),IF('Pre-Calculation'!$D$17="Type 4 o",MAX(SA,105%*Q100)+X100+Z100,IF('Pre-Calculation'!$D$17="Type 5",0))))))))))))</f>
        <v>1470000</v>
      </c>
      <c r="Q100" s="175">
        <f t="shared" si="5"/>
        <v>1400000</v>
      </c>
      <c r="R100" s="119">
        <f>L100*(1+GROWTH_RATE)*FMC</f>
        <v>897.7565893</v>
      </c>
      <c r="S100" s="178">
        <f>S99*(1+'Pre-Calculation'!$E$27)</f>
        <v>851032.4041</v>
      </c>
      <c r="T100" s="175">
        <f>-E100+IF(A99=INPUT!$C$11*12,N100,0)</f>
        <v>0</v>
      </c>
      <c r="U100" s="175">
        <f t="shared" si="6"/>
        <v>868933.8058</v>
      </c>
      <c r="V100" s="175">
        <f>U100*(1+GROWTH_RATE_L)*(1-'Pre-Calculation'!$E$31)</f>
        <v>870326.6752</v>
      </c>
      <c r="W100" s="175">
        <f>-E100+IF(A99=INPUT!$C$11*12,V100,0)</f>
        <v>0</v>
      </c>
      <c r="X100" s="179">
        <f t="array" ref="X100">NPV('Pre-Calculation'!$E$20,$E101:E$246)</f>
        <v>190213.1875</v>
      </c>
      <c r="Y100" s="171">
        <f>10%*SA</f>
        <v>100000</v>
      </c>
      <c r="Z100" s="179">
        <f t="array" ref="Z100">NPV('Pre-Calculation'!$E$20,Y101:Y110)</f>
        <v>969592.8037</v>
      </c>
    </row>
    <row r="101" ht="15.75" customHeight="1">
      <c r="A101" s="171">
        <f t="shared" si="1"/>
        <v>95</v>
      </c>
      <c r="B101" s="171">
        <f t="shared" si="2"/>
        <v>8</v>
      </c>
      <c r="C101" s="176">
        <f>EDATE(RCD,A100)</f>
        <v>45412</v>
      </c>
      <c r="D101" s="171">
        <f>Age_At_Entry+'Cashflows_4% from Start'!B101-1</f>
        <v>42</v>
      </c>
      <c r="E101" s="175">
        <f>IF(AND(C101&lt;=Last_Prem,MOD(A100,Mode)=0),Mod_Prem,0)</f>
        <v>0</v>
      </c>
      <c r="F101" s="177">
        <f>IF(B101&lt;PT+1,E101*VLOOKUP(B101,'Pre-Calculation'!$H$1:$I$31,2,FALSE),0)</f>
        <v>0</v>
      </c>
      <c r="G101" s="177">
        <f>IF(B101&lt;PT+1,VLOOKUP(B101,'Pre-Calculation'!$H$1:$L$32,3,FALSE)+VLOOKUP(B101,'Pre-Calculation'!$H$1:$L$32,4,FALSE)*'Pre-Calculation'!$D$7,0)</f>
        <v>830</v>
      </c>
      <c r="H101" s="175">
        <f>(E101-(F101+G101)*(1+Tax)+N100)</f>
        <v>793897.4644</v>
      </c>
      <c r="I101" s="175">
        <f>IF(B101&lt;PT+1,VLOOKUP(D101,'Pre-Calculation'!$N$3:$P$79,IF(INPUT!$C$4="M",2,3),FALSE)*(J101/1000)*(1/12),0)</f>
        <v>120.5716188</v>
      </c>
      <c r="J101" s="175">
        <f t="shared" si="3"/>
        <v>676102.5356</v>
      </c>
      <c r="K101" s="175">
        <f>IF('Pre-Calculation'!$D$17="Type 4 a",MAX(SA,H101,1.05*Q101),IF('Pre-Calculation'!$D$17="Type 4 c",H101,IF('Pre-Calculation'!$D$17="Type 4 d",SA+H101,IF('Pre-Calculation'!$D$17="Type 4 e",MAX(SA,H101),IF('Pre-Calculation'!$D$17="Type 4 f",SA,IF('Pre-Calculation'!$D$17="Type 4 g",1000+H101,IF('Pre-Calculation'!$D$17="Type 4 h",SA+X101,IF('Pre-Calculation'!$D$17="Type 4 i",MAX(H101,Q101),IF('Pre-Calculation'!$D$17="Type 4 k",MAX(H101,1.01*Q101),IF('Pre-Calculation'!$D$17="Type 4 m",MAX(105%*Q101,SA+H101),IF('Pre-Calculation'!$D$17="Type 4 o",MAX(SA,105%*Q101)+X101+Z101,IF('Pre-Calculation'!$D$17="Type 5",0))))))))))))</f>
        <v>1470000</v>
      </c>
      <c r="L101" s="175">
        <f>H101-I101*(1+Tax)</f>
        <v>793755.1899</v>
      </c>
      <c r="M101" s="175">
        <f>L101*(1+GROWTH_RATE_L)*(1-FMC*(1+Tax))</f>
        <v>795297.1532</v>
      </c>
      <c r="N101" s="175">
        <f>M101+IF(MOD(A101,B101)=0,VLOOKUP(B101,'Pre-Calculation'!$H$1:$L$31,5,FALSE),0)*IF('Pre-Calculation'!$D$16="% OF FV",M101,IF(OR('Pre-Calculation'!$D$16="% OF AFV(24M)",'Pre-Calculation'!$D$16="% OF AFV(8Q)"),AVERAGE( $M78:$M101),IF('Pre-Calculation'!$D$16="% OF AFV(12M)",AVERAGE($M90:M101),IF('Pre-Calculation'!$D$16="% OF AFV(36M)",AVERAGE($M66:M101)))))</f>
        <v>795297.1532</v>
      </c>
      <c r="O101" s="175">
        <f t="shared" si="4"/>
        <v>795297.1532</v>
      </c>
      <c r="P101" s="175">
        <f>IF('Pre-Calculation'!$D$17="Type 4 a",MAX(SA,N101,1.05*Q101),IF('Pre-Calculation'!$D$17="Type 4 c",N101,IF('Pre-Calculation'!$D$17="Type 4 d",SA+N101,IF('Pre-Calculation'!$D$17="Type 4 e",MAX(SA,N101),IF('Pre-Calculation'!$D$17="Type 4 f",SA,IF('Pre-Calculation'!$D$17="Type 4 g",1000+N101,IF('Pre-Calculation'!$D$17="Type 4 h",SA+X101,IF('Pre-Calculation'!$D$17="Type 4 i",MAX(N101,Q101),IF('Pre-Calculation'!$D$17="Type 4 k",MAX(N101,1.01*Q101),IF('Pre-Calculation'!$D$17="Type 4 m",MAX(105%*Q101,SA+N101),IF('Pre-Calculation'!$D$17="Type 4 o",MAX(SA,105%*Q101)+X101+Z101,IF('Pre-Calculation'!$D$17="Type 5",0))))))))))))</f>
        <v>1470000</v>
      </c>
      <c r="Q101" s="175">
        <f t="shared" si="5"/>
        <v>1400000</v>
      </c>
      <c r="R101" s="119">
        <f>L101*(1+GROWTH_RATE)*FMC</f>
        <v>898.2312754</v>
      </c>
      <c r="S101" s="178">
        <f>S100*(1+'Pre-Calculation'!$E$27)</f>
        <v>853475.6319</v>
      </c>
      <c r="T101" s="175">
        <f>-E101+IF(A100=INPUT!$C$11*12,N101,0)</f>
        <v>0</v>
      </c>
      <c r="U101" s="175">
        <f t="shared" si="6"/>
        <v>870326.6752</v>
      </c>
      <c r="V101" s="175">
        <f>U101*(1+GROWTH_RATE_L)*(1-'Pre-Calculation'!$E$31)</f>
        <v>871721.7774</v>
      </c>
      <c r="W101" s="175">
        <f>-E101+IF(A100=INPUT!$C$11*12,V101,0)</f>
        <v>0</v>
      </c>
      <c r="X101" s="179">
        <f t="array" ref="X101">NPV('Pre-Calculation'!$E$20,$E102:E$246)</f>
        <v>191288.6805</v>
      </c>
      <c r="Y101" s="171">
        <f>10%*SA</f>
        <v>100000</v>
      </c>
      <c r="Z101" s="179">
        <f t="array" ref="Z101">NPV('Pre-Calculation'!$E$20,Y102:Y111)</f>
        <v>969592.8037</v>
      </c>
    </row>
    <row r="102" ht="15.75" customHeight="1">
      <c r="A102" s="171">
        <f t="shared" si="1"/>
        <v>96</v>
      </c>
      <c r="B102" s="171">
        <f t="shared" si="2"/>
        <v>8</v>
      </c>
      <c r="C102" s="176">
        <f>EDATE(RCD,A101)</f>
        <v>45442</v>
      </c>
      <c r="D102" s="171">
        <f>Age_At_Entry+'Cashflows_4% from Start'!B102-1</f>
        <v>42</v>
      </c>
      <c r="E102" s="175">
        <f>IF(AND(C102&lt;=Last_Prem,MOD(A101,Mode)=0),Mod_Prem,0)</f>
        <v>0</v>
      </c>
      <c r="F102" s="177">
        <f>IF(B102&lt;PT+1,E102*VLOOKUP(B102,'Pre-Calculation'!$H$1:$I$31,2,FALSE),0)</f>
        <v>0</v>
      </c>
      <c r="G102" s="177">
        <f>IF(B102&lt;PT+1,VLOOKUP(B102,'Pre-Calculation'!$H$1:$L$32,3,FALSE)+VLOOKUP(B102,'Pre-Calculation'!$H$1:$L$32,4,FALSE)*'Pre-Calculation'!$D$7,0)</f>
        <v>830</v>
      </c>
      <c r="H102" s="175">
        <f>(E102-(F102+G102)*(1+Tax)+N101)</f>
        <v>794317.7532</v>
      </c>
      <c r="I102" s="175">
        <f>IF(B102&lt;PT+1,VLOOKUP(D102,'Pre-Calculation'!$N$3:$P$79,IF(INPUT!$C$4="M",2,3),FALSE)*(J102/1000)*(1/12),0)</f>
        <v>120.4966674</v>
      </c>
      <c r="J102" s="175">
        <f t="shared" si="3"/>
        <v>675682.2468</v>
      </c>
      <c r="K102" s="175">
        <f>IF('Pre-Calculation'!$D$17="Type 4 a",MAX(SA,H102,1.05*Q102),IF('Pre-Calculation'!$D$17="Type 4 c",H102,IF('Pre-Calculation'!$D$17="Type 4 d",SA+H102,IF('Pre-Calculation'!$D$17="Type 4 e",MAX(SA,H102),IF('Pre-Calculation'!$D$17="Type 4 f",SA,IF('Pre-Calculation'!$D$17="Type 4 g",1000+H102,IF('Pre-Calculation'!$D$17="Type 4 h",SA+X102,IF('Pre-Calculation'!$D$17="Type 4 i",MAX(H102,Q102),IF('Pre-Calculation'!$D$17="Type 4 k",MAX(H102,1.01*Q102),IF('Pre-Calculation'!$D$17="Type 4 m",MAX(105%*Q102,SA+H102),IF('Pre-Calculation'!$D$17="Type 4 o",MAX(SA,105%*Q102)+X102+Z102,IF('Pre-Calculation'!$D$17="Type 5",0))))))))))))</f>
        <v>1470000</v>
      </c>
      <c r="L102" s="175">
        <f>H102-I102*(1+Tax)</f>
        <v>794175.5671</v>
      </c>
      <c r="M102" s="175">
        <f>L102*(1+GROWTH_RATE_L)*(1-FMC*(1+Tax))</f>
        <v>795718.347</v>
      </c>
      <c r="N102" s="175">
        <f>M102+IF(MOD(A102,B102)=0,VLOOKUP(B102,'Pre-Calculation'!$H$1:$L$31,5,FALSE),0)*IF('Pre-Calculation'!$D$16="% OF FV",M102,IF(OR('Pre-Calculation'!$D$16="% OF AFV(24M)",'Pre-Calculation'!$D$16="% OF AFV(8Q)"),AVERAGE( $M79:$M102),IF('Pre-Calculation'!$D$16="% OF AFV(12M)",AVERAGE($M91:M102),IF('Pre-Calculation'!$D$16="% OF AFV(36M)",AVERAGE($M67:M102)))))</f>
        <v>795718.347</v>
      </c>
      <c r="O102" s="175">
        <f t="shared" si="4"/>
        <v>795718.347</v>
      </c>
      <c r="P102" s="175">
        <f>IF('Pre-Calculation'!$D$17="Type 4 a",MAX(SA,N102,1.05*Q102),IF('Pre-Calculation'!$D$17="Type 4 c",N102,IF('Pre-Calculation'!$D$17="Type 4 d",SA+N102,IF('Pre-Calculation'!$D$17="Type 4 e",MAX(SA,N102),IF('Pre-Calculation'!$D$17="Type 4 f",SA,IF('Pre-Calculation'!$D$17="Type 4 g",1000+N102,IF('Pre-Calculation'!$D$17="Type 4 h",SA+X102,IF('Pre-Calculation'!$D$17="Type 4 i",MAX(N102,Q102),IF('Pre-Calculation'!$D$17="Type 4 k",MAX(N102,1.01*Q102),IF('Pre-Calculation'!$D$17="Type 4 m",MAX(105%*Q102,SA+N102),IF('Pre-Calculation'!$D$17="Type 4 o",MAX(SA,105%*Q102)+X102+Z102,IF('Pre-Calculation'!$D$17="Type 5",0))))))))))))</f>
        <v>1470000</v>
      </c>
      <c r="Q102" s="175">
        <f t="shared" si="5"/>
        <v>1400000</v>
      </c>
      <c r="R102" s="119">
        <f>L102*(1+GROWTH_RATE)*FMC</f>
        <v>898.7069837</v>
      </c>
      <c r="S102" s="178">
        <f>S101*(1+'Pre-Calculation'!$E$27)</f>
        <v>855925.874</v>
      </c>
      <c r="T102" s="175">
        <f>-E102+IF(A101=INPUT!$C$11*12,N102,0)</f>
        <v>0</v>
      </c>
      <c r="U102" s="175">
        <f t="shared" si="6"/>
        <v>871721.7774</v>
      </c>
      <c r="V102" s="175">
        <f>U102*(1+GROWTH_RATE_L)*(1-'Pre-Calculation'!$E$31)</f>
        <v>873119.1158</v>
      </c>
      <c r="W102" s="175">
        <f>-E102+IF(A101=INPUT!$C$11*12,V102,0)</f>
        <v>0</v>
      </c>
      <c r="X102" s="179">
        <f t="array" ref="X102">NPV('Pre-Calculation'!$E$20,$E103:E$246)</f>
        <v>192370.2545</v>
      </c>
      <c r="Y102" s="171">
        <f>10%*SA</f>
        <v>100000</v>
      </c>
      <c r="Z102" s="179">
        <f t="array" ref="Z102">NPV('Pre-Calculation'!$E$20,Y103:Y112)</f>
        <v>969592.8037</v>
      </c>
    </row>
    <row r="103" ht="15.75" customHeight="1">
      <c r="A103" s="171">
        <f t="shared" si="1"/>
        <v>97</v>
      </c>
      <c r="B103" s="171">
        <f t="shared" si="2"/>
        <v>9</v>
      </c>
      <c r="C103" s="176">
        <f>EDATE(RCD,A102)</f>
        <v>45473</v>
      </c>
      <c r="D103" s="171">
        <f>Age_At_Entry+'Cashflows_4% from Start'!B103-1</f>
        <v>43</v>
      </c>
      <c r="E103" s="175">
        <f>IF(AND(C103&lt;=Last_Prem,MOD(A102,Mode)=0),Mod_Prem,0)</f>
        <v>100000</v>
      </c>
      <c r="F103" s="177">
        <f>IF(B103&lt;PT+1,E103*VLOOKUP(B103,'Pre-Calculation'!$H$1:$I$31,2,FALSE),0)</f>
        <v>0</v>
      </c>
      <c r="G103" s="177">
        <f>IF(B103&lt;PT+1,VLOOKUP(B103,'Pre-Calculation'!$H$1:$L$32,3,FALSE)+VLOOKUP(B103,'Pre-Calculation'!$H$1:$L$32,4,FALSE)*'Pre-Calculation'!$D$7,0)</f>
        <v>830</v>
      </c>
      <c r="H103" s="175">
        <f>(E103-(F103+G103)*(1+Tax)+N102)</f>
        <v>894738.947</v>
      </c>
      <c r="I103" s="175">
        <f>IF(B103&lt;PT+1,VLOOKUP(D103,'Pre-Calculation'!$N$3:$P$79,IF(INPUT!$C$4="M",2,3),FALSE)*(J103/1000)*(1/12),0)</f>
        <v>133.1894453</v>
      </c>
      <c r="J103" s="175">
        <f t="shared" si="3"/>
        <v>680261.053</v>
      </c>
      <c r="K103" s="175">
        <f>IF('Pre-Calculation'!$D$17="Type 4 a",MAX(SA,H103,1.05*Q103),IF('Pre-Calculation'!$D$17="Type 4 c",H103,IF('Pre-Calculation'!$D$17="Type 4 d",SA+H103,IF('Pre-Calculation'!$D$17="Type 4 e",MAX(SA,H103),IF('Pre-Calculation'!$D$17="Type 4 f",SA,IF('Pre-Calculation'!$D$17="Type 4 g",1000+H103,IF('Pre-Calculation'!$D$17="Type 4 h",SA+X103,IF('Pre-Calculation'!$D$17="Type 4 i",MAX(H103,Q103),IF('Pre-Calculation'!$D$17="Type 4 k",MAX(H103,1.01*Q103),IF('Pre-Calculation'!$D$17="Type 4 m",MAX(105%*Q103,SA+H103),IF('Pre-Calculation'!$D$17="Type 4 o",MAX(SA,105%*Q103)+X103+Z103,IF('Pre-Calculation'!$D$17="Type 5",0))))))))))))</f>
        <v>1575000</v>
      </c>
      <c r="L103" s="175">
        <f>H103-I103*(1+Tax)</f>
        <v>894581.7834</v>
      </c>
      <c r="M103" s="175">
        <f>L103*(1+GROWTH_RATE_L)*(1-FMC*(1+Tax))</f>
        <v>896319.6143</v>
      </c>
      <c r="N103" s="175">
        <f>M103+IF(MOD(A103,B103)=0,VLOOKUP(B103,'Pre-Calculation'!$H$1:$L$31,5,FALSE),0)*IF('Pre-Calculation'!$D$16="% OF FV",M103,IF(OR('Pre-Calculation'!$D$16="% OF AFV(24M)",'Pre-Calculation'!$D$16="% OF AFV(8Q)"),AVERAGE( $M80:$M103),IF('Pre-Calculation'!$D$16="% OF AFV(12M)",AVERAGE($M92:M103),IF('Pre-Calculation'!$D$16="% OF AFV(36M)",AVERAGE($M68:M103)))))</f>
        <v>896319.6143</v>
      </c>
      <c r="O103" s="175">
        <f t="shared" si="4"/>
        <v>896319.6143</v>
      </c>
      <c r="P103" s="175">
        <f>IF('Pre-Calculation'!$D$17="Type 4 a",MAX(SA,N103,1.05*Q103),IF('Pre-Calculation'!$D$17="Type 4 c",N103,IF('Pre-Calculation'!$D$17="Type 4 d",SA+N103,IF('Pre-Calculation'!$D$17="Type 4 e",MAX(SA,N103),IF('Pre-Calculation'!$D$17="Type 4 f",SA,IF('Pre-Calculation'!$D$17="Type 4 g",1000+N103,IF('Pre-Calculation'!$D$17="Type 4 h",SA+X103,IF('Pre-Calculation'!$D$17="Type 4 i",MAX(N103,Q103),IF('Pre-Calculation'!$D$17="Type 4 k",MAX(N103,1.01*Q103),IF('Pre-Calculation'!$D$17="Type 4 m",MAX(105%*Q103,SA+N103),IF('Pre-Calculation'!$D$17="Type 4 o",MAX(SA,105%*Q103)+X103+Z103,IF('Pre-Calculation'!$D$17="Type 5",0))))))))))))</f>
        <v>1575000</v>
      </c>
      <c r="Q103" s="175">
        <f t="shared" si="5"/>
        <v>1500000</v>
      </c>
      <c r="R103" s="119">
        <f>L103*(1+GROWTH_RATE)*FMC</f>
        <v>1012.328923</v>
      </c>
      <c r="S103" s="178">
        <f>S102*(1+'Pre-Calculation'!$E$27)</f>
        <v>858383.1505</v>
      </c>
      <c r="T103" s="175">
        <f>-E103+IF(A102=INPUT!$C$11*12,N103,0)</f>
        <v>-100000</v>
      </c>
      <c r="U103" s="175">
        <f t="shared" si="6"/>
        <v>973119.1158</v>
      </c>
      <c r="V103" s="175">
        <f>U103*(1+GROWTH_RATE_L)*(1-'Pre-Calculation'!$E$31)</f>
        <v>974678.9905</v>
      </c>
      <c r="W103" s="175">
        <f>-E103+IF(A102=INPUT!$C$11*12,V103,0)</f>
        <v>-100000</v>
      </c>
      <c r="X103" s="179">
        <f t="array" ref="X103">NPV('Pre-Calculation'!$E$20,$E104:E$246)</f>
        <v>93457.94393</v>
      </c>
      <c r="Y103" s="171">
        <f>10%*SA</f>
        <v>100000</v>
      </c>
      <c r="Z103" s="179">
        <f t="array" ref="Z103">NPV('Pre-Calculation'!$E$20,Y104:Y113)</f>
        <v>969592.8037</v>
      </c>
    </row>
    <row r="104" ht="15.75" customHeight="1">
      <c r="A104" s="171">
        <f t="shared" si="1"/>
        <v>98</v>
      </c>
      <c r="B104" s="171">
        <f t="shared" si="2"/>
        <v>9</v>
      </c>
      <c r="C104" s="176">
        <f>EDATE(RCD,A103)</f>
        <v>45503</v>
      </c>
      <c r="D104" s="171">
        <f>Age_At_Entry+'Cashflows_4% from Start'!B104-1</f>
        <v>43</v>
      </c>
      <c r="E104" s="175">
        <f>IF(AND(C104&lt;=Last_Prem,MOD(A103,Mode)=0),Mod_Prem,0)</f>
        <v>0</v>
      </c>
      <c r="F104" s="177">
        <f>IF(B104&lt;PT+1,E104*VLOOKUP(B104,'Pre-Calculation'!$H$1:$I$31,2,FALSE),0)</f>
        <v>0</v>
      </c>
      <c r="G104" s="177">
        <f>IF(B104&lt;PT+1,VLOOKUP(B104,'Pre-Calculation'!$H$1:$L$32,3,FALSE)+VLOOKUP(B104,'Pre-Calculation'!$H$1:$L$32,4,FALSE)*'Pre-Calculation'!$D$7,0)</f>
        <v>830</v>
      </c>
      <c r="H104" s="175">
        <f>(E104-(F104+G104)*(1+Tax)+N103)</f>
        <v>895340.2143</v>
      </c>
      <c r="I104" s="175">
        <f>IF(B104&lt;PT+1,VLOOKUP(D104,'Pre-Calculation'!$N$3:$P$79,IF(INPUT!$C$4="M",2,3),FALSE)*(J104/1000)*(1/12),0)</f>
        <v>133.0717222</v>
      </c>
      <c r="J104" s="175">
        <f t="shared" si="3"/>
        <v>679659.7857</v>
      </c>
      <c r="K104" s="175">
        <f>IF('Pre-Calculation'!$D$17="Type 4 a",MAX(SA,H104,1.05*Q104),IF('Pre-Calculation'!$D$17="Type 4 c",H104,IF('Pre-Calculation'!$D$17="Type 4 d",SA+H104,IF('Pre-Calculation'!$D$17="Type 4 e",MAX(SA,H104),IF('Pre-Calculation'!$D$17="Type 4 f",SA,IF('Pre-Calculation'!$D$17="Type 4 g",1000+H104,IF('Pre-Calculation'!$D$17="Type 4 h",SA+X104,IF('Pre-Calculation'!$D$17="Type 4 i",MAX(H104,Q104),IF('Pre-Calculation'!$D$17="Type 4 k",MAX(H104,1.01*Q104),IF('Pre-Calculation'!$D$17="Type 4 m",MAX(105%*Q104,SA+H104),IF('Pre-Calculation'!$D$17="Type 4 o",MAX(SA,105%*Q104)+X104+Z104,IF('Pre-Calculation'!$D$17="Type 5",0))))))))))))</f>
        <v>1575000</v>
      </c>
      <c r="L104" s="175">
        <f>H104-I104*(1+Tax)</f>
        <v>895183.1896</v>
      </c>
      <c r="M104" s="175">
        <f>L104*(1+GROWTH_RATE_L)*(1-FMC*(1+Tax))</f>
        <v>896922.1888</v>
      </c>
      <c r="N104" s="175">
        <f>M104+IF(MOD(A104,B104)=0,VLOOKUP(B104,'Pre-Calculation'!$H$1:$L$31,5,FALSE),0)*IF('Pre-Calculation'!$D$16="% OF FV",M104,IF(OR('Pre-Calculation'!$D$16="% OF AFV(24M)",'Pre-Calculation'!$D$16="% OF AFV(8Q)"),AVERAGE( $M81:$M104),IF('Pre-Calculation'!$D$16="% OF AFV(12M)",AVERAGE($M93:M104),IF('Pre-Calculation'!$D$16="% OF AFV(36M)",AVERAGE($M69:M104)))))</f>
        <v>896922.1888</v>
      </c>
      <c r="O104" s="175">
        <f t="shared" si="4"/>
        <v>896922.1888</v>
      </c>
      <c r="P104" s="175">
        <f>IF('Pre-Calculation'!$D$17="Type 4 a",MAX(SA,N104,1.05*Q104),IF('Pre-Calculation'!$D$17="Type 4 c",N104,IF('Pre-Calculation'!$D$17="Type 4 d",SA+N104,IF('Pre-Calculation'!$D$17="Type 4 e",MAX(SA,N104),IF('Pre-Calculation'!$D$17="Type 4 f",SA,IF('Pre-Calculation'!$D$17="Type 4 g",1000+N104,IF('Pre-Calculation'!$D$17="Type 4 h",SA+X104,IF('Pre-Calculation'!$D$17="Type 4 i",MAX(N104,Q104),IF('Pre-Calculation'!$D$17="Type 4 k",MAX(N104,1.01*Q104),IF('Pre-Calculation'!$D$17="Type 4 m",MAX(105%*Q104,SA+N104),IF('Pre-Calculation'!$D$17="Type 4 o",MAX(SA,105%*Q104)+X104+Z104,IF('Pre-Calculation'!$D$17="Type 5",0))))))))))))</f>
        <v>1575000</v>
      </c>
      <c r="Q104" s="175">
        <f t="shared" si="5"/>
        <v>1500000</v>
      </c>
      <c r="R104" s="119">
        <f>L104*(1+GROWTH_RATE)*FMC</f>
        <v>1013.009488</v>
      </c>
      <c r="S104" s="178">
        <f>S103*(1+'Pre-Calculation'!$E$27)</f>
        <v>860847.4816</v>
      </c>
      <c r="T104" s="175">
        <f>-E104+IF(A103=INPUT!$C$11*12,N104,0)</f>
        <v>0</v>
      </c>
      <c r="U104" s="175">
        <f t="shared" si="6"/>
        <v>974678.9905</v>
      </c>
      <c r="V104" s="175">
        <f>U104*(1+GROWTH_RATE_L)*(1-'Pre-Calculation'!$E$31)</f>
        <v>976241.3657</v>
      </c>
      <c r="W104" s="175">
        <f>-E104+IF(A103=INPUT!$C$11*12,V104,0)</f>
        <v>0</v>
      </c>
      <c r="X104" s="179">
        <f t="array" ref="X104">NPV('Pre-Calculation'!$E$20,$E105:E$246)</f>
        <v>93986.36873</v>
      </c>
      <c r="Y104" s="171">
        <f>10%*SA</f>
        <v>100000</v>
      </c>
      <c r="Z104" s="179">
        <f t="array" ref="Z104">NPV('Pre-Calculation'!$E$20,Y105:Y114)</f>
        <v>969592.8037</v>
      </c>
    </row>
    <row r="105" ht="15.75" customHeight="1">
      <c r="A105" s="171">
        <f t="shared" si="1"/>
        <v>99</v>
      </c>
      <c r="B105" s="171">
        <f t="shared" si="2"/>
        <v>9</v>
      </c>
      <c r="C105" s="176">
        <f>EDATE(RCD,A104)</f>
        <v>45534</v>
      </c>
      <c r="D105" s="171">
        <f>Age_At_Entry+'Cashflows_4% from Start'!B105-1</f>
        <v>43</v>
      </c>
      <c r="E105" s="175">
        <f>IF(AND(C105&lt;=Last_Prem,MOD(A104,Mode)=0),Mod_Prem,0)</f>
        <v>0</v>
      </c>
      <c r="F105" s="177">
        <f>IF(B105&lt;PT+1,E105*VLOOKUP(B105,'Pre-Calculation'!$H$1:$I$31,2,FALSE),0)</f>
        <v>0</v>
      </c>
      <c r="G105" s="177">
        <f>IF(B105&lt;PT+1,VLOOKUP(B105,'Pre-Calculation'!$H$1:$L$32,3,FALSE)+VLOOKUP(B105,'Pre-Calculation'!$H$1:$L$32,4,FALSE)*'Pre-Calculation'!$D$7,0)</f>
        <v>830</v>
      </c>
      <c r="H105" s="175">
        <f>(E105-(F105+G105)*(1+Tax)+N104)</f>
        <v>895942.7888</v>
      </c>
      <c r="I105" s="175">
        <f>IF(B105&lt;PT+1,VLOOKUP(D105,'Pre-Calculation'!$N$3:$P$79,IF(INPUT!$C$4="M",2,3),FALSE)*(J105/1000)*(1/12),0)</f>
        <v>132.9537432</v>
      </c>
      <c r="J105" s="175">
        <f t="shared" si="3"/>
        <v>679057.2112</v>
      </c>
      <c r="K105" s="175">
        <f>IF('Pre-Calculation'!$D$17="Type 4 a",MAX(SA,H105,1.05*Q105),IF('Pre-Calculation'!$D$17="Type 4 c",H105,IF('Pre-Calculation'!$D$17="Type 4 d",SA+H105,IF('Pre-Calculation'!$D$17="Type 4 e",MAX(SA,H105),IF('Pre-Calculation'!$D$17="Type 4 f",SA,IF('Pre-Calculation'!$D$17="Type 4 g",1000+H105,IF('Pre-Calculation'!$D$17="Type 4 h",SA+X105,IF('Pre-Calculation'!$D$17="Type 4 i",MAX(H105,Q105),IF('Pre-Calculation'!$D$17="Type 4 k",MAX(H105,1.01*Q105),IF('Pre-Calculation'!$D$17="Type 4 m",MAX(105%*Q105,SA+H105),IF('Pre-Calculation'!$D$17="Type 4 o",MAX(SA,105%*Q105)+X105+Z105,IF('Pre-Calculation'!$D$17="Type 5",0))))))))))))</f>
        <v>1575000</v>
      </c>
      <c r="L105" s="175">
        <f>H105-I105*(1+Tax)</f>
        <v>895785.9033</v>
      </c>
      <c r="M105" s="175">
        <f>L105*(1+GROWTH_RATE_L)*(1-FMC*(1+Tax))</f>
        <v>897526.0733</v>
      </c>
      <c r="N105" s="175">
        <f>M105+IF(MOD(A105,B105)=0,VLOOKUP(B105,'Pre-Calculation'!$H$1:$L$31,5,FALSE),0)*IF('Pre-Calculation'!$D$16="% OF FV",M105,IF(OR('Pre-Calculation'!$D$16="% OF AFV(24M)",'Pre-Calculation'!$D$16="% OF AFV(8Q)"),AVERAGE( $M82:$M105),IF('Pre-Calculation'!$D$16="% OF AFV(12M)",AVERAGE($M94:M105),IF('Pre-Calculation'!$D$16="% OF AFV(36M)",AVERAGE($M70:M105)))))</f>
        <v>897526.0733</v>
      </c>
      <c r="O105" s="175">
        <f t="shared" si="4"/>
        <v>897526.0733</v>
      </c>
      <c r="P105" s="175">
        <f>IF('Pre-Calculation'!$D$17="Type 4 a",MAX(SA,N105,1.05*Q105),IF('Pre-Calculation'!$D$17="Type 4 c",N105,IF('Pre-Calculation'!$D$17="Type 4 d",SA+N105,IF('Pre-Calculation'!$D$17="Type 4 e",MAX(SA,N105),IF('Pre-Calculation'!$D$17="Type 4 f",SA,IF('Pre-Calculation'!$D$17="Type 4 g",1000+N105,IF('Pre-Calculation'!$D$17="Type 4 h",SA+X105,IF('Pre-Calculation'!$D$17="Type 4 i",MAX(N105,Q105),IF('Pre-Calculation'!$D$17="Type 4 k",MAX(N105,1.01*Q105),IF('Pre-Calculation'!$D$17="Type 4 m",MAX(105%*Q105,SA+N105),IF('Pre-Calculation'!$D$17="Type 4 o",MAX(SA,105%*Q105)+X105+Z105,IF('Pre-Calculation'!$D$17="Type 5",0))))))))))))</f>
        <v>1575000</v>
      </c>
      <c r="Q105" s="175">
        <f t="shared" si="5"/>
        <v>1500000</v>
      </c>
      <c r="R105" s="119">
        <f>L105*(1+GROWTH_RATE)*FMC</f>
        <v>1013.691532</v>
      </c>
      <c r="S105" s="178">
        <f>S104*(1+'Pre-Calculation'!$E$27)</f>
        <v>863318.8875</v>
      </c>
      <c r="T105" s="175">
        <f>-E105+IF(A104=INPUT!$C$11*12,N105,0)</f>
        <v>0</v>
      </c>
      <c r="U105" s="175">
        <f t="shared" si="6"/>
        <v>976241.3657</v>
      </c>
      <c r="V105" s="175">
        <f>U105*(1+GROWTH_RATE_L)*(1-'Pre-Calculation'!$E$31)</f>
        <v>977806.2453</v>
      </c>
      <c r="W105" s="175">
        <f>-E105+IF(A104=INPUT!$C$11*12,V105,0)</f>
        <v>0</v>
      </c>
      <c r="X105" s="179">
        <f t="array" ref="X105">NPV('Pre-Calculation'!$E$20,$E106:E$246)</f>
        <v>94517.78132</v>
      </c>
      <c r="Y105" s="171">
        <f>10%*SA</f>
        <v>100000</v>
      </c>
      <c r="Z105" s="179">
        <f t="array" ref="Z105">NPV('Pre-Calculation'!$E$20,Y106:Y115)</f>
        <v>969592.8037</v>
      </c>
    </row>
    <row r="106" ht="15.75" customHeight="1">
      <c r="A106" s="171">
        <f t="shared" si="1"/>
        <v>100</v>
      </c>
      <c r="B106" s="171">
        <f t="shared" si="2"/>
        <v>9</v>
      </c>
      <c r="C106" s="176">
        <f>EDATE(RCD,A105)</f>
        <v>45565</v>
      </c>
      <c r="D106" s="171">
        <f>Age_At_Entry+'Cashflows_4% from Start'!B106-1</f>
        <v>43</v>
      </c>
      <c r="E106" s="175">
        <f>IF(AND(C106&lt;=Last_Prem,MOD(A105,Mode)=0),Mod_Prem,0)</f>
        <v>0</v>
      </c>
      <c r="F106" s="177">
        <f>IF(B106&lt;PT+1,E106*VLOOKUP(B106,'Pre-Calculation'!$H$1:$I$31,2,FALSE),0)</f>
        <v>0</v>
      </c>
      <c r="G106" s="177">
        <f>IF(B106&lt;PT+1,VLOOKUP(B106,'Pre-Calculation'!$H$1:$L$32,3,FALSE)+VLOOKUP(B106,'Pre-Calculation'!$H$1:$L$32,4,FALSE)*'Pre-Calculation'!$D$7,0)</f>
        <v>830</v>
      </c>
      <c r="H106" s="175">
        <f>(E106-(F106+G106)*(1+Tax)+N105)</f>
        <v>896546.6733</v>
      </c>
      <c r="I106" s="175">
        <f>IF(B106&lt;PT+1,VLOOKUP(D106,'Pre-Calculation'!$N$3:$P$79,IF(INPUT!$C$4="M",2,3),FALSE)*(J106/1000)*(1/12),0)</f>
        <v>132.8355076</v>
      </c>
      <c r="J106" s="175">
        <f t="shared" si="3"/>
        <v>678453.3267</v>
      </c>
      <c r="K106" s="175">
        <f>IF('Pre-Calculation'!$D$17="Type 4 a",MAX(SA,H106,1.05*Q106),IF('Pre-Calculation'!$D$17="Type 4 c",H106,IF('Pre-Calculation'!$D$17="Type 4 d",SA+H106,IF('Pre-Calculation'!$D$17="Type 4 e",MAX(SA,H106),IF('Pre-Calculation'!$D$17="Type 4 f",SA,IF('Pre-Calculation'!$D$17="Type 4 g",1000+H106,IF('Pre-Calculation'!$D$17="Type 4 h",SA+X106,IF('Pre-Calculation'!$D$17="Type 4 i",MAX(H106,Q106),IF('Pre-Calculation'!$D$17="Type 4 k",MAX(H106,1.01*Q106),IF('Pre-Calculation'!$D$17="Type 4 m",MAX(105%*Q106,SA+H106),IF('Pre-Calculation'!$D$17="Type 4 o",MAX(SA,105%*Q106)+X106+Z106,IF('Pre-Calculation'!$D$17="Type 5",0))))))))))))</f>
        <v>1575000</v>
      </c>
      <c r="L106" s="175">
        <f>H106-I106*(1+Tax)</f>
        <v>896389.9274</v>
      </c>
      <c r="M106" s="175">
        <f>L106*(1+GROWTH_RATE_L)*(1-FMC*(1+Tax))</f>
        <v>898131.2708</v>
      </c>
      <c r="N106" s="175">
        <f>M106+IF(MOD(A106,B106)=0,VLOOKUP(B106,'Pre-Calculation'!$H$1:$L$31,5,FALSE),0)*IF('Pre-Calculation'!$D$16="% OF FV",M106,IF(OR('Pre-Calculation'!$D$16="% OF AFV(24M)",'Pre-Calculation'!$D$16="% OF AFV(8Q)"),AVERAGE( $M83:$M106),IF('Pre-Calculation'!$D$16="% OF AFV(12M)",AVERAGE($M95:M106),IF('Pre-Calculation'!$D$16="% OF AFV(36M)",AVERAGE($M71:M106)))))</f>
        <v>898131.2708</v>
      </c>
      <c r="O106" s="175">
        <f t="shared" si="4"/>
        <v>898131.2708</v>
      </c>
      <c r="P106" s="175">
        <f>IF('Pre-Calculation'!$D$17="Type 4 a",MAX(SA,N106,1.05*Q106),IF('Pre-Calculation'!$D$17="Type 4 c",N106,IF('Pre-Calculation'!$D$17="Type 4 d",SA+N106,IF('Pre-Calculation'!$D$17="Type 4 e",MAX(SA,N106),IF('Pre-Calculation'!$D$17="Type 4 f",SA,IF('Pre-Calculation'!$D$17="Type 4 g",1000+N106,IF('Pre-Calculation'!$D$17="Type 4 h",SA+X106,IF('Pre-Calculation'!$D$17="Type 4 i",MAX(N106,Q106),IF('Pre-Calculation'!$D$17="Type 4 k",MAX(N106,1.01*Q106),IF('Pre-Calculation'!$D$17="Type 4 m",MAX(105%*Q106,SA+N106),IF('Pre-Calculation'!$D$17="Type 4 o",MAX(SA,105%*Q106)+X106+Z106,IF('Pre-Calculation'!$D$17="Type 5",0))))))))))))</f>
        <v>1575000</v>
      </c>
      <c r="Q106" s="175">
        <f t="shared" si="5"/>
        <v>1500000</v>
      </c>
      <c r="R106" s="119">
        <f>L106*(1+GROWTH_RATE)*FMC</f>
        <v>1014.375059</v>
      </c>
      <c r="S106" s="178">
        <f>S105*(1+'Pre-Calculation'!$E$27)</f>
        <v>865797.3886</v>
      </c>
      <c r="T106" s="175">
        <f>-E106+IF(A105=INPUT!$C$11*12,N106,0)</f>
        <v>0</v>
      </c>
      <c r="U106" s="175">
        <f t="shared" si="6"/>
        <v>977806.2453</v>
      </c>
      <c r="V106" s="175">
        <f>U106*(1+GROWTH_RATE_L)*(1-'Pre-Calculation'!$E$31)</f>
        <v>979373.6333</v>
      </c>
      <c r="W106" s="175">
        <f>-E106+IF(A105=INPUT!$C$11*12,V106,0)</f>
        <v>0</v>
      </c>
      <c r="X106" s="179">
        <f t="array" ref="X106">NPV('Pre-Calculation'!$E$20,$E107:E$246)</f>
        <v>95052.1986</v>
      </c>
      <c r="Y106" s="171">
        <f>10%*SA</f>
        <v>100000</v>
      </c>
      <c r="Z106" s="179">
        <f t="array" ref="Z106">NPV('Pre-Calculation'!$E$20,Y107:Y116)</f>
        <v>969592.8037</v>
      </c>
    </row>
    <row r="107" ht="15.75" customHeight="1">
      <c r="A107" s="171">
        <f t="shared" si="1"/>
        <v>101</v>
      </c>
      <c r="B107" s="171">
        <f t="shared" si="2"/>
        <v>9</v>
      </c>
      <c r="C107" s="176">
        <f>EDATE(RCD,A106)</f>
        <v>45595</v>
      </c>
      <c r="D107" s="171">
        <f>Age_At_Entry+'Cashflows_4% from Start'!B107-1</f>
        <v>43</v>
      </c>
      <c r="E107" s="175">
        <f>IF(AND(C107&lt;=Last_Prem,MOD(A106,Mode)=0),Mod_Prem,0)</f>
        <v>0</v>
      </c>
      <c r="F107" s="177">
        <f>IF(B107&lt;PT+1,E107*VLOOKUP(B107,'Pre-Calculation'!$H$1:$I$31,2,FALSE),0)</f>
        <v>0</v>
      </c>
      <c r="G107" s="177">
        <f>IF(B107&lt;PT+1,VLOOKUP(B107,'Pre-Calculation'!$H$1:$L$32,3,FALSE)+VLOOKUP(B107,'Pre-Calculation'!$H$1:$L$32,4,FALSE)*'Pre-Calculation'!$D$7,0)</f>
        <v>830</v>
      </c>
      <c r="H107" s="175">
        <f>(E107-(F107+G107)*(1+Tax)+N106)</f>
        <v>897151.8708</v>
      </c>
      <c r="I107" s="175">
        <f>IF(B107&lt;PT+1,VLOOKUP(D107,'Pre-Calculation'!$N$3:$P$79,IF(INPUT!$C$4="M",2,3),FALSE)*(J107/1000)*(1/12),0)</f>
        <v>132.717015</v>
      </c>
      <c r="J107" s="175">
        <f t="shared" si="3"/>
        <v>677848.1292</v>
      </c>
      <c r="K107" s="175">
        <f>IF('Pre-Calculation'!$D$17="Type 4 a",MAX(SA,H107,1.05*Q107),IF('Pre-Calculation'!$D$17="Type 4 c",H107,IF('Pre-Calculation'!$D$17="Type 4 d",SA+H107,IF('Pre-Calculation'!$D$17="Type 4 e",MAX(SA,H107),IF('Pre-Calculation'!$D$17="Type 4 f",SA,IF('Pre-Calculation'!$D$17="Type 4 g",1000+H107,IF('Pre-Calculation'!$D$17="Type 4 h",SA+X107,IF('Pre-Calculation'!$D$17="Type 4 i",MAX(H107,Q107),IF('Pre-Calculation'!$D$17="Type 4 k",MAX(H107,1.01*Q107),IF('Pre-Calculation'!$D$17="Type 4 m",MAX(105%*Q107,SA+H107),IF('Pre-Calculation'!$D$17="Type 4 o",MAX(SA,105%*Q107)+X107+Z107,IF('Pre-Calculation'!$D$17="Type 5",0))))))))))))</f>
        <v>1575000</v>
      </c>
      <c r="L107" s="175">
        <f>H107-I107*(1+Tax)</f>
        <v>896995.2647</v>
      </c>
      <c r="M107" s="175">
        <f>L107*(1+GROWTH_RATE_L)*(1-FMC*(1+Tax))</f>
        <v>898737.784</v>
      </c>
      <c r="N107" s="175">
        <f>M107+IF(MOD(A107,B107)=0,VLOOKUP(B107,'Pre-Calculation'!$H$1:$L$31,5,FALSE),0)*IF('Pre-Calculation'!$D$16="% OF FV",M107,IF(OR('Pre-Calculation'!$D$16="% OF AFV(24M)",'Pre-Calculation'!$D$16="% OF AFV(8Q)"),AVERAGE( $M84:$M107),IF('Pre-Calculation'!$D$16="% OF AFV(12M)",AVERAGE($M96:M107),IF('Pre-Calculation'!$D$16="% OF AFV(36M)",AVERAGE($M72:M107)))))</f>
        <v>898737.784</v>
      </c>
      <c r="O107" s="175">
        <f t="shared" si="4"/>
        <v>898737.784</v>
      </c>
      <c r="P107" s="175">
        <f>IF('Pre-Calculation'!$D$17="Type 4 a",MAX(SA,N107,1.05*Q107),IF('Pre-Calculation'!$D$17="Type 4 c",N107,IF('Pre-Calculation'!$D$17="Type 4 d",SA+N107,IF('Pre-Calculation'!$D$17="Type 4 e",MAX(SA,N107),IF('Pre-Calculation'!$D$17="Type 4 f",SA,IF('Pre-Calculation'!$D$17="Type 4 g",1000+N107,IF('Pre-Calculation'!$D$17="Type 4 h",SA+X107,IF('Pre-Calculation'!$D$17="Type 4 i",MAX(N107,Q107),IF('Pre-Calculation'!$D$17="Type 4 k",MAX(N107,1.01*Q107),IF('Pre-Calculation'!$D$17="Type 4 m",MAX(105%*Q107,SA+N107),IF('Pre-Calculation'!$D$17="Type 4 o",MAX(SA,105%*Q107)+X107+Z107,IF('Pre-Calculation'!$D$17="Type 5",0))))))))))))</f>
        <v>1575000</v>
      </c>
      <c r="Q107" s="175">
        <f t="shared" si="5"/>
        <v>1500000</v>
      </c>
      <c r="R107" s="119">
        <f>L107*(1+GROWTH_RATE)*FMC</f>
        <v>1015.060073</v>
      </c>
      <c r="S107" s="178">
        <f>S106*(1+'Pre-Calculation'!$E$27)</f>
        <v>868283.0052</v>
      </c>
      <c r="T107" s="175">
        <f>-E107+IF(A106=INPUT!$C$11*12,N107,0)</f>
        <v>0</v>
      </c>
      <c r="U107" s="175">
        <f t="shared" si="6"/>
        <v>979373.6333</v>
      </c>
      <c r="V107" s="175">
        <f>U107*(1+GROWTH_RATE_L)*(1-'Pre-Calculation'!$E$31)</f>
        <v>980943.5338</v>
      </c>
      <c r="W107" s="175">
        <f>-E107+IF(A106=INPUT!$C$11*12,V107,0)</f>
        <v>0</v>
      </c>
      <c r="X107" s="179">
        <f t="array" ref="X107">NPV('Pre-Calculation'!$E$20,$E108:E$246)</f>
        <v>95589.63755</v>
      </c>
      <c r="Y107" s="171">
        <f>10%*SA</f>
        <v>100000</v>
      </c>
      <c r="Z107" s="179">
        <f t="array" ref="Z107">NPV('Pre-Calculation'!$E$20,Y108:Y117)</f>
        <v>969592.8037</v>
      </c>
    </row>
    <row r="108" ht="15.75" customHeight="1">
      <c r="A108" s="171">
        <f t="shared" si="1"/>
        <v>102</v>
      </c>
      <c r="B108" s="171">
        <f t="shared" si="2"/>
        <v>9</v>
      </c>
      <c r="C108" s="176">
        <f>EDATE(RCD,A107)</f>
        <v>45626</v>
      </c>
      <c r="D108" s="171">
        <f>Age_At_Entry+'Cashflows_4% from Start'!B108-1</f>
        <v>43</v>
      </c>
      <c r="E108" s="175">
        <f>IF(AND(C108&lt;=Last_Prem,MOD(A107,Mode)=0),Mod_Prem,0)</f>
        <v>0</v>
      </c>
      <c r="F108" s="177">
        <f>IF(B108&lt;PT+1,E108*VLOOKUP(B108,'Pre-Calculation'!$H$1:$I$31,2,FALSE),0)</f>
        <v>0</v>
      </c>
      <c r="G108" s="177">
        <f>IF(B108&lt;PT+1,VLOOKUP(B108,'Pre-Calculation'!$H$1:$L$32,3,FALSE)+VLOOKUP(B108,'Pre-Calculation'!$H$1:$L$32,4,FALSE)*'Pre-Calculation'!$D$7,0)</f>
        <v>830</v>
      </c>
      <c r="H108" s="175">
        <f>(E108-(F108+G108)*(1+Tax)+N107)</f>
        <v>897758.384</v>
      </c>
      <c r="I108" s="175">
        <f>IF(B108&lt;PT+1,VLOOKUP(D108,'Pre-Calculation'!$N$3:$P$79,IF(INPUT!$C$4="M",2,3),FALSE)*(J108/1000)*(1/12),0)</f>
        <v>132.5982647</v>
      </c>
      <c r="J108" s="175">
        <f t="shared" si="3"/>
        <v>677241.616</v>
      </c>
      <c r="K108" s="175">
        <f>IF('Pre-Calculation'!$D$17="Type 4 a",MAX(SA,H108,1.05*Q108),IF('Pre-Calculation'!$D$17="Type 4 c",H108,IF('Pre-Calculation'!$D$17="Type 4 d",SA+H108,IF('Pre-Calculation'!$D$17="Type 4 e",MAX(SA,H108),IF('Pre-Calculation'!$D$17="Type 4 f",SA,IF('Pre-Calculation'!$D$17="Type 4 g",1000+H108,IF('Pre-Calculation'!$D$17="Type 4 h",SA+X108,IF('Pre-Calculation'!$D$17="Type 4 i",MAX(H108,Q108),IF('Pre-Calculation'!$D$17="Type 4 k",MAX(H108,1.01*Q108),IF('Pre-Calculation'!$D$17="Type 4 m",MAX(105%*Q108,SA+H108),IF('Pre-Calculation'!$D$17="Type 4 o",MAX(SA,105%*Q108)+X108+Z108,IF('Pre-Calculation'!$D$17="Type 5",0))))))))))))</f>
        <v>1575000</v>
      </c>
      <c r="L108" s="175">
        <f>H108-I108*(1+Tax)</f>
        <v>897601.9181</v>
      </c>
      <c r="M108" s="175">
        <f>L108*(1+GROWTH_RATE_L)*(1-FMC*(1+Tax))</f>
        <v>899345.6159</v>
      </c>
      <c r="N108" s="175">
        <f>M108+IF(MOD(A108,B108)=0,VLOOKUP(B108,'Pre-Calculation'!$H$1:$L$31,5,FALSE),0)*IF('Pre-Calculation'!$D$16="% OF FV",M108,IF(OR('Pre-Calculation'!$D$16="% OF AFV(24M)",'Pre-Calculation'!$D$16="% OF AFV(8Q)"),AVERAGE( $M85:$M108),IF('Pre-Calculation'!$D$16="% OF AFV(12M)",AVERAGE($M97:M108),IF('Pre-Calculation'!$D$16="% OF AFV(36M)",AVERAGE($M73:M108)))))</f>
        <v>899345.6159</v>
      </c>
      <c r="O108" s="175">
        <f t="shared" si="4"/>
        <v>899345.6159</v>
      </c>
      <c r="P108" s="175">
        <f>IF('Pre-Calculation'!$D$17="Type 4 a",MAX(SA,N108,1.05*Q108),IF('Pre-Calculation'!$D$17="Type 4 c",N108,IF('Pre-Calculation'!$D$17="Type 4 d",SA+N108,IF('Pre-Calculation'!$D$17="Type 4 e",MAX(SA,N108),IF('Pre-Calculation'!$D$17="Type 4 f",SA,IF('Pre-Calculation'!$D$17="Type 4 g",1000+N108,IF('Pre-Calculation'!$D$17="Type 4 h",SA+X108,IF('Pre-Calculation'!$D$17="Type 4 i",MAX(N108,Q108),IF('Pre-Calculation'!$D$17="Type 4 k",MAX(N108,1.01*Q108),IF('Pre-Calculation'!$D$17="Type 4 m",MAX(105%*Q108,SA+N108),IF('Pre-Calculation'!$D$17="Type 4 o",MAX(SA,105%*Q108)+X108+Z108,IF('Pre-Calculation'!$D$17="Type 5",0))))))))))))</f>
        <v>1575000</v>
      </c>
      <c r="Q108" s="175">
        <f t="shared" si="5"/>
        <v>1500000</v>
      </c>
      <c r="R108" s="119">
        <f>L108*(1+GROWTH_RATE)*FMC</f>
        <v>1015.746575</v>
      </c>
      <c r="S108" s="178">
        <f>S107*(1+'Pre-Calculation'!$E$27)</f>
        <v>870775.7578</v>
      </c>
      <c r="T108" s="175">
        <f>-E108+IF(A107=INPUT!$C$11*12,N108,0)</f>
        <v>0</v>
      </c>
      <c r="U108" s="175">
        <f t="shared" si="6"/>
        <v>980943.5338</v>
      </c>
      <c r="V108" s="175">
        <f>U108*(1+GROWTH_RATE_L)*(1-'Pre-Calculation'!$E$31)</f>
        <v>982515.9508</v>
      </c>
      <c r="W108" s="175">
        <f>-E108+IF(A107=INPUT!$C$11*12,V108,0)</f>
        <v>0</v>
      </c>
      <c r="X108" s="179">
        <f t="array" ref="X108">NPV('Pre-Calculation'!$E$20,$E109:E$246)</f>
        <v>96130.11526</v>
      </c>
      <c r="Y108" s="171">
        <f>10%*SA</f>
        <v>100000</v>
      </c>
      <c r="Z108" s="179">
        <f t="array" ref="Z108">NPV('Pre-Calculation'!$E$20,Y109:Y118)</f>
        <v>969592.8037</v>
      </c>
    </row>
    <row r="109" ht="15.75" customHeight="1">
      <c r="A109" s="171">
        <f t="shared" si="1"/>
        <v>103</v>
      </c>
      <c r="B109" s="171">
        <f t="shared" si="2"/>
        <v>9</v>
      </c>
      <c r="C109" s="176">
        <f>EDATE(RCD,A108)</f>
        <v>45656</v>
      </c>
      <c r="D109" s="171">
        <f>Age_At_Entry+'Cashflows_4% from Start'!B109-1</f>
        <v>43</v>
      </c>
      <c r="E109" s="175">
        <f>IF(AND(C109&lt;=Last_Prem,MOD(A108,Mode)=0),Mod_Prem,0)</f>
        <v>0</v>
      </c>
      <c r="F109" s="177">
        <f>IF(B109&lt;PT+1,E109*VLOOKUP(B109,'Pre-Calculation'!$H$1:$I$31,2,FALSE),0)</f>
        <v>0</v>
      </c>
      <c r="G109" s="177">
        <f>IF(B109&lt;PT+1,VLOOKUP(B109,'Pre-Calculation'!$H$1:$L$32,3,FALSE)+VLOOKUP(B109,'Pre-Calculation'!$H$1:$L$32,4,FALSE)*'Pre-Calculation'!$D$7,0)</f>
        <v>830</v>
      </c>
      <c r="H109" s="175">
        <f>(E109-(F109+G109)*(1+Tax)+N108)</f>
        <v>898366.2159</v>
      </c>
      <c r="I109" s="175">
        <f>IF(B109&lt;PT+1,VLOOKUP(D109,'Pre-Calculation'!$N$3:$P$79,IF(INPUT!$C$4="M",2,3),FALSE)*(J109/1000)*(1/12),0)</f>
        <v>132.4792563</v>
      </c>
      <c r="J109" s="175">
        <f t="shared" si="3"/>
        <v>676633.7841</v>
      </c>
      <c r="K109" s="175">
        <f>IF('Pre-Calculation'!$D$17="Type 4 a",MAX(SA,H109,1.05*Q109),IF('Pre-Calculation'!$D$17="Type 4 c",H109,IF('Pre-Calculation'!$D$17="Type 4 d",SA+H109,IF('Pre-Calculation'!$D$17="Type 4 e",MAX(SA,H109),IF('Pre-Calculation'!$D$17="Type 4 f",SA,IF('Pre-Calculation'!$D$17="Type 4 g",1000+H109,IF('Pre-Calculation'!$D$17="Type 4 h",SA+X109,IF('Pre-Calculation'!$D$17="Type 4 i",MAX(H109,Q109),IF('Pre-Calculation'!$D$17="Type 4 k",MAX(H109,1.01*Q109),IF('Pre-Calculation'!$D$17="Type 4 m",MAX(105%*Q109,SA+H109),IF('Pre-Calculation'!$D$17="Type 4 o",MAX(SA,105%*Q109)+X109+Z109,IF('Pre-Calculation'!$D$17="Type 5",0))))))))))))</f>
        <v>1575000</v>
      </c>
      <c r="L109" s="175">
        <f>H109-I109*(1+Tax)</f>
        <v>898209.8903</v>
      </c>
      <c r="M109" s="175">
        <f>L109*(1+GROWTH_RATE_L)*(1-FMC*(1+Tax))</f>
        <v>899954.7692</v>
      </c>
      <c r="N109" s="175">
        <f>M109+IF(MOD(A109,B109)=0,VLOOKUP(B109,'Pre-Calculation'!$H$1:$L$31,5,FALSE),0)*IF('Pre-Calculation'!$D$16="% OF FV",M109,IF(OR('Pre-Calculation'!$D$16="% OF AFV(24M)",'Pre-Calculation'!$D$16="% OF AFV(8Q)"),AVERAGE( $M86:$M109),IF('Pre-Calculation'!$D$16="% OF AFV(12M)",AVERAGE($M98:M109),IF('Pre-Calculation'!$D$16="% OF AFV(36M)",AVERAGE($M74:M109)))))</f>
        <v>899954.7692</v>
      </c>
      <c r="O109" s="175">
        <f t="shared" si="4"/>
        <v>899954.7692</v>
      </c>
      <c r="P109" s="175">
        <f>IF('Pre-Calculation'!$D$17="Type 4 a",MAX(SA,N109,1.05*Q109),IF('Pre-Calculation'!$D$17="Type 4 c",N109,IF('Pre-Calculation'!$D$17="Type 4 d",SA+N109,IF('Pre-Calculation'!$D$17="Type 4 e",MAX(SA,N109),IF('Pre-Calculation'!$D$17="Type 4 f",SA,IF('Pre-Calculation'!$D$17="Type 4 g",1000+N109,IF('Pre-Calculation'!$D$17="Type 4 h",SA+X109,IF('Pre-Calculation'!$D$17="Type 4 i",MAX(N109,Q109),IF('Pre-Calculation'!$D$17="Type 4 k",MAX(N109,1.01*Q109),IF('Pre-Calculation'!$D$17="Type 4 m",MAX(105%*Q109,SA+N109),IF('Pre-Calculation'!$D$17="Type 4 o",MAX(SA,105%*Q109)+X109+Z109,IF('Pre-Calculation'!$D$17="Type 5",0))))))))))))</f>
        <v>1575000</v>
      </c>
      <c r="Q109" s="175">
        <f t="shared" si="5"/>
        <v>1500000</v>
      </c>
      <c r="R109" s="119">
        <f>L109*(1+GROWTH_RATE)*FMC</f>
        <v>1016.43457</v>
      </c>
      <c r="S109" s="178">
        <f>S108*(1+'Pre-Calculation'!$E$27)</f>
        <v>873275.6668</v>
      </c>
      <c r="T109" s="175">
        <f>-E109+IF(A108=INPUT!$C$11*12,N109,0)</f>
        <v>0</v>
      </c>
      <c r="U109" s="175">
        <f t="shared" si="6"/>
        <v>982515.9508</v>
      </c>
      <c r="V109" s="175">
        <f>U109*(1+GROWTH_RATE_L)*(1-'Pre-Calculation'!$E$31)</f>
        <v>984090.8883</v>
      </c>
      <c r="W109" s="175">
        <f>-E109+IF(A108=INPUT!$C$11*12,V109,0)</f>
        <v>0</v>
      </c>
      <c r="X109" s="179">
        <f t="array" ref="X109">NPV('Pre-Calculation'!$E$20,$E110:E$246)</f>
        <v>96673.6489</v>
      </c>
      <c r="Y109" s="171">
        <f>10%*SA</f>
        <v>100000</v>
      </c>
      <c r="Z109" s="179">
        <f t="array" ref="Z109">NPV('Pre-Calculation'!$E$20,Y110:Y119)</f>
        <v>969592.8037</v>
      </c>
    </row>
    <row r="110" ht="15.75" customHeight="1">
      <c r="A110" s="171">
        <f t="shared" si="1"/>
        <v>104</v>
      </c>
      <c r="B110" s="171">
        <f t="shared" si="2"/>
        <v>9</v>
      </c>
      <c r="C110" s="176">
        <f>EDATE(RCD,A109)</f>
        <v>45687</v>
      </c>
      <c r="D110" s="171">
        <f>Age_At_Entry+'Cashflows_4% from Start'!B110-1</f>
        <v>43</v>
      </c>
      <c r="E110" s="175">
        <f>IF(AND(C110&lt;=Last_Prem,MOD(A109,Mode)=0),Mod_Prem,0)</f>
        <v>0</v>
      </c>
      <c r="F110" s="177">
        <f>IF(B110&lt;PT+1,E110*VLOOKUP(B110,'Pre-Calculation'!$H$1:$I$31,2,FALSE),0)</f>
        <v>0</v>
      </c>
      <c r="G110" s="177">
        <f>IF(B110&lt;PT+1,VLOOKUP(B110,'Pre-Calculation'!$H$1:$L$32,3,FALSE)+VLOOKUP(B110,'Pre-Calculation'!$H$1:$L$32,4,FALSE)*'Pre-Calculation'!$D$7,0)</f>
        <v>830</v>
      </c>
      <c r="H110" s="175">
        <f>(E110-(F110+G110)*(1+Tax)+N109)</f>
        <v>898975.3692</v>
      </c>
      <c r="I110" s="175">
        <f>IF(B110&lt;PT+1,VLOOKUP(D110,'Pre-Calculation'!$N$3:$P$79,IF(INPUT!$C$4="M",2,3),FALSE)*(J110/1000)*(1/12),0)</f>
        <v>132.3599892</v>
      </c>
      <c r="J110" s="175">
        <f t="shared" si="3"/>
        <v>676024.6308</v>
      </c>
      <c r="K110" s="175">
        <f>IF('Pre-Calculation'!$D$17="Type 4 a",MAX(SA,H110,1.05*Q110),IF('Pre-Calculation'!$D$17="Type 4 c",H110,IF('Pre-Calculation'!$D$17="Type 4 d",SA+H110,IF('Pre-Calculation'!$D$17="Type 4 e",MAX(SA,H110),IF('Pre-Calculation'!$D$17="Type 4 f",SA,IF('Pre-Calculation'!$D$17="Type 4 g",1000+H110,IF('Pre-Calculation'!$D$17="Type 4 h",SA+X110,IF('Pre-Calculation'!$D$17="Type 4 i",MAX(H110,Q110),IF('Pre-Calculation'!$D$17="Type 4 k",MAX(H110,1.01*Q110),IF('Pre-Calculation'!$D$17="Type 4 m",MAX(105%*Q110,SA+H110),IF('Pre-Calculation'!$D$17="Type 4 o",MAX(SA,105%*Q110)+X110+Z110,IF('Pre-Calculation'!$D$17="Type 5",0))))))))))))</f>
        <v>1575000</v>
      </c>
      <c r="L110" s="175">
        <f>H110-I110*(1+Tax)</f>
        <v>898819.1844</v>
      </c>
      <c r="M110" s="175">
        <f>L110*(1+GROWTH_RATE_L)*(1-FMC*(1+Tax))</f>
        <v>900565.2469</v>
      </c>
      <c r="N110" s="175">
        <f>M110+IF(MOD(A110,B110)=0,VLOOKUP(B110,'Pre-Calculation'!$H$1:$L$31,5,FALSE),0)*IF('Pre-Calculation'!$D$16="% OF FV",M110,IF(OR('Pre-Calculation'!$D$16="% OF AFV(24M)",'Pre-Calculation'!$D$16="% OF AFV(8Q)"),AVERAGE( $M87:$M110),IF('Pre-Calculation'!$D$16="% OF AFV(12M)",AVERAGE($M99:M110),IF('Pre-Calculation'!$D$16="% OF AFV(36M)",AVERAGE($M75:M110)))))</f>
        <v>900565.2469</v>
      </c>
      <c r="O110" s="175">
        <f t="shared" si="4"/>
        <v>900565.2469</v>
      </c>
      <c r="P110" s="175">
        <f>IF('Pre-Calculation'!$D$17="Type 4 a",MAX(SA,N110,1.05*Q110),IF('Pre-Calculation'!$D$17="Type 4 c",N110,IF('Pre-Calculation'!$D$17="Type 4 d",SA+N110,IF('Pre-Calculation'!$D$17="Type 4 e",MAX(SA,N110),IF('Pre-Calculation'!$D$17="Type 4 f",SA,IF('Pre-Calculation'!$D$17="Type 4 g",1000+N110,IF('Pre-Calculation'!$D$17="Type 4 h",SA+X110,IF('Pre-Calculation'!$D$17="Type 4 i",MAX(N110,Q110),IF('Pre-Calculation'!$D$17="Type 4 k",MAX(N110,1.01*Q110),IF('Pre-Calculation'!$D$17="Type 4 m",MAX(105%*Q110,SA+N110),IF('Pre-Calculation'!$D$17="Type 4 o",MAX(SA,105%*Q110)+X110+Z110,IF('Pre-Calculation'!$D$17="Type 5",0))))))))))))</f>
        <v>1575000</v>
      </c>
      <c r="Q110" s="175">
        <f t="shared" si="5"/>
        <v>1500000</v>
      </c>
      <c r="R110" s="119">
        <f>L110*(1+GROWTH_RATE)*FMC</f>
        <v>1017.124061</v>
      </c>
      <c r="S110" s="178">
        <f>S109*(1+'Pre-Calculation'!$E$27)</f>
        <v>875782.7528</v>
      </c>
      <c r="T110" s="175">
        <f>-E110+IF(A109=INPUT!$C$11*12,N110,0)</f>
        <v>0</v>
      </c>
      <c r="U110" s="175">
        <f t="shared" si="6"/>
        <v>984090.8883</v>
      </c>
      <c r="V110" s="175">
        <f>U110*(1+GROWTH_RATE_L)*(1-'Pre-Calculation'!$E$31)</f>
        <v>985668.3503</v>
      </c>
      <c r="W110" s="175">
        <f>-E110+IF(A109=INPUT!$C$11*12,V110,0)</f>
        <v>0</v>
      </c>
      <c r="X110" s="179">
        <f t="array" ref="X110">NPV('Pre-Calculation'!$E$20,$E111:E$246)</f>
        <v>97220.25577</v>
      </c>
      <c r="Y110" s="171">
        <f>10%*SA</f>
        <v>100000</v>
      </c>
      <c r="Z110" s="179">
        <f t="array" ref="Z110">NPV('Pre-Calculation'!$E$20,Y111:Y120)</f>
        <v>969592.8037</v>
      </c>
    </row>
    <row r="111" ht="15.75" customHeight="1">
      <c r="A111" s="171">
        <f t="shared" si="1"/>
        <v>105</v>
      </c>
      <c r="B111" s="171">
        <f t="shared" si="2"/>
        <v>9</v>
      </c>
      <c r="C111" s="176">
        <f>EDATE(RCD,A110)</f>
        <v>45716</v>
      </c>
      <c r="D111" s="171">
        <f>Age_At_Entry+'Cashflows_4% from Start'!B111-1</f>
        <v>43</v>
      </c>
      <c r="E111" s="175">
        <f>IF(AND(C111&lt;=Last_Prem,MOD(A110,Mode)=0),Mod_Prem,0)</f>
        <v>0</v>
      </c>
      <c r="F111" s="177">
        <f>IF(B111&lt;PT+1,E111*VLOOKUP(B111,'Pre-Calculation'!$H$1:$I$31,2,FALSE),0)</f>
        <v>0</v>
      </c>
      <c r="G111" s="177">
        <f>IF(B111&lt;PT+1,VLOOKUP(B111,'Pre-Calculation'!$H$1:$L$32,3,FALSE)+VLOOKUP(B111,'Pre-Calculation'!$H$1:$L$32,4,FALSE)*'Pre-Calculation'!$D$7,0)</f>
        <v>830</v>
      </c>
      <c r="H111" s="175">
        <f>(E111-(F111+G111)*(1+Tax)+N110)</f>
        <v>899585.8469</v>
      </c>
      <c r="I111" s="175">
        <f>IF(B111&lt;PT+1,VLOOKUP(D111,'Pre-Calculation'!$N$3:$P$79,IF(INPUT!$C$4="M",2,3),FALSE)*(J111/1000)*(1/12),0)</f>
        <v>132.2404627</v>
      </c>
      <c r="J111" s="175">
        <f t="shared" si="3"/>
        <v>675414.1531</v>
      </c>
      <c r="K111" s="175">
        <f>IF('Pre-Calculation'!$D$17="Type 4 a",MAX(SA,H111,1.05*Q111),IF('Pre-Calculation'!$D$17="Type 4 c",H111,IF('Pre-Calculation'!$D$17="Type 4 d",SA+H111,IF('Pre-Calculation'!$D$17="Type 4 e",MAX(SA,H111),IF('Pre-Calculation'!$D$17="Type 4 f",SA,IF('Pre-Calculation'!$D$17="Type 4 g",1000+H111,IF('Pre-Calculation'!$D$17="Type 4 h",SA+X111,IF('Pre-Calculation'!$D$17="Type 4 i",MAX(H111,Q111),IF('Pre-Calculation'!$D$17="Type 4 k",MAX(H111,1.01*Q111),IF('Pre-Calculation'!$D$17="Type 4 m",MAX(105%*Q111,SA+H111),IF('Pre-Calculation'!$D$17="Type 4 o",MAX(SA,105%*Q111)+X111+Z111,IF('Pre-Calculation'!$D$17="Type 5",0))))))))))))</f>
        <v>1575000</v>
      </c>
      <c r="L111" s="175">
        <f>H111-I111*(1+Tax)</f>
        <v>899429.8031</v>
      </c>
      <c r="M111" s="175">
        <f>L111*(1+GROWTH_RATE_L)*(1-FMC*(1+Tax))</f>
        <v>901177.0518</v>
      </c>
      <c r="N111" s="175">
        <f>M111+IF(MOD(A111,B111)=0,VLOOKUP(B111,'Pre-Calculation'!$H$1:$L$31,5,FALSE),0)*IF('Pre-Calculation'!$D$16="% OF FV",M111,IF(OR('Pre-Calculation'!$D$16="% OF AFV(24M)",'Pre-Calculation'!$D$16="% OF AFV(8Q)"),AVERAGE( $M88:$M111),IF('Pre-Calculation'!$D$16="% OF AFV(12M)",AVERAGE($M100:M111),IF('Pre-Calculation'!$D$16="% OF AFV(36M)",AVERAGE($M76:M111)))))</f>
        <v>901177.0518</v>
      </c>
      <c r="O111" s="175">
        <f t="shared" si="4"/>
        <v>901177.0518</v>
      </c>
      <c r="P111" s="175">
        <f>IF('Pre-Calculation'!$D$17="Type 4 a",MAX(SA,N111,1.05*Q111),IF('Pre-Calculation'!$D$17="Type 4 c",N111,IF('Pre-Calculation'!$D$17="Type 4 d",SA+N111,IF('Pre-Calculation'!$D$17="Type 4 e",MAX(SA,N111),IF('Pre-Calculation'!$D$17="Type 4 f",SA,IF('Pre-Calculation'!$D$17="Type 4 g",1000+N111,IF('Pre-Calculation'!$D$17="Type 4 h",SA+X111,IF('Pre-Calculation'!$D$17="Type 4 i",MAX(N111,Q111),IF('Pre-Calculation'!$D$17="Type 4 k",MAX(N111,1.01*Q111),IF('Pre-Calculation'!$D$17="Type 4 m",MAX(105%*Q111,SA+N111),IF('Pre-Calculation'!$D$17="Type 4 o",MAX(SA,105%*Q111)+X111+Z111,IF('Pre-Calculation'!$D$17="Type 5",0))))))))))))</f>
        <v>1575000</v>
      </c>
      <c r="Q111" s="175">
        <f t="shared" si="5"/>
        <v>1500000</v>
      </c>
      <c r="R111" s="119">
        <f>L111*(1+GROWTH_RATE)*FMC</f>
        <v>1017.815051</v>
      </c>
      <c r="S111" s="178">
        <f>S110*(1+'Pre-Calculation'!$E$27)</f>
        <v>878297.0364</v>
      </c>
      <c r="T111" s="175">
        <f>-E111+IF(A110=INPUT!$C$11*12,N111,0)</f>
        <v>0</v>
      </c>
      <c r="U111" s="175">
        <f t="shared" si="6"/>
        <v>985668.3503</v>
      </c>
      <c r="V111" s="175">
        <f>U111*(1+GROWTH_RATE_L)*(1-'Pre-Calculation'!$E$31)</f>
        <v>987248.341</v>
      </c>
      <c r="W111" s="175">
        <f>-E111+IF(A110=INPUT!$C$11*12,V111,0)</f>
        <v>0</v>
      </c>
      <c r="X111" s="179">
        <f t="array" ref="X111">NPV('Pre-Calculation'!$E$20,$E112:E$246)</f>
        <v>97769.95323</v>
      </c>
      <c r="Y111" s="171">
        <f>10%*SA</f>
        <v>100000</v>
      </c>
      <c r="Z111" s="179">
        <f t="array" ref="Z111">NPV('Pre-Calculation'!$E$20,Y112:Y121)</f>
        <v>969592.8037</v>
      </c>
    </row>
    <row r="112" ht="15.75" customHeight="1">
      <c r="A112" s="171">
        <f t="shared" si="1"/>
        <v>106</v>
      </c>
      <c r="B112" s="171">
        <f t="shared" si="2"/>
        <v>9</v>
      </c>
      <c r="C112" s="176">
        <f>EDATE(RCD,A111)</f>
        <v>45746</v>
      </c>
      <c r="D112" s="171">
        <f>Age_At_Entry+'Cashflows_4% from Start'!B112-1</f>
        <v>43</v>
      </c>
      <c r="E112" s="175">
        <f>IF(AND(C112&lt;=Last_Prem,MOD(A111,Mode)=0),Mod_Prem,0)</f>
        <v>0</v>
      </c>
      <c r="F112" s="177">
        <f>IF(B112&lt;PT+1,E112*VLOOKUP(B112,'Pre-Calculation'!$H$1:$I$31,2,FALSE),0)</f>
        <v>0</v>
      </c>
      <c r="G112" s="177">
        <f>IF(B112&lt;PT+1,VLOOKUP(B112,'Pre-Calculation'!$H$1:$L$32,3,FALSE)+VLOOKUP(B112,'Pre-Calculation'!$H$1:$L$32,4,FALSE)*'Pre-Calculation'!$D$7,0)</f>
        <v>830</v>
      </c>
      <c r="H112" s="175">
        <f>(E112-(F112+G112)*(1+Tax)+N111)</f>
        <v>900197.6518</v>
      </c>
      <c r="I112" s="175">
        <f>IF(B112&lt;PT+1,VLOOKUP(D112,'Pre-Calculation'!$N$3:$P$79,IF(INPUT!$C$4="M",2,3),FALSE)*(J112/1000)*(1/12),0)</f>
        <v>132.1206764</v>
      </c>
      <c r="J112" s="175">
        <f t="shared" si="3"/>
        <v>674802.3482</v>
      </c>
      <c r="K112" s="175">
        <f>IF('Pre-Calculation'!$D$17="Type 4 a",MAX(SA,H112,1.05*Q112),IF('Pre-Calculation'!$D$17="Type 4 c",H112,IF('Pre-Calculation'!$D$17="Type 4 d",SA+H112,IF('Pre-Calculation'!$D$17="Type 4 e",MAX(SA,H112),IF('Pre-Calculation'!$D$17="Type 4 f",SA,IF('Pre-Calculation'!$D$17="Type 4 g",1000+H112,IF('Pre-Calculation'!$D$17="Type 4 h",SA+X112,IF('Pre-Calculation'!$D$17="Type 4 i",MAX(H112,Q112),IF('Pre-Calculation'!$D$17="Type 4 k",MAX(H112,1.01*Q112),IF('Pre-Calculation'!$D$17="Type 4 m",MAX(105%*Q112,SA+H112),IF('Pre-Calculation'!$D$17="Type 4 o",MAX(SA,105%*Q112)+X112+Z112,IF('Pre-Calculation'!$D$17="Type 5",0))))))))))))</f>
        <v>1575000</v>
      </c>
      <c r="L112" s="175">
        <f>H112-I112*(1+Tax)</f>
        <v>900041.7494</v>
      </c>
      <c r="M112" s="175">
        <f>L112*(1+GROWTH_RATE_L)*(1-FMC*(1+Tax))</f>
        <v>901790.1869</v>
      </c>
      <c r="N112" s="175">
        <f>M112+IF(MOD(A112,B112)=0,VLOOKUP(B112,'Pre-Calculation'!$H$1:$L$31,5,FALSE),0)*IF('Pre-Calculation'!$D$16="% OF FV",M112,IF(OR('Pre-Calculation'!$D$16="% OF AFV(24M)",'Pre-Calculation'!$D$16="% OF AFV(8Q)"),AVERAGE( $M89:$M112),IF('Pre-Calculation'!$D$16="% OF AFV(12M)",AVERAGE($M101:M112),IF('Pre-Calculation'!$D$16="% OF AFV(36M)",AVERAGE($M77:M112)))))</f>
        <v>901790.1869</v>
      </c>
      <c r="O112" s="175">
        <f t="shared" si="4"/>
        <v>901790.1869</v>
      </c>
      <c r="P112" s="175">
        <f>IF('Pre-Calculation'!$D$17="Type 4 a",MAX(SA,N112,1.05*Q112),IF('Pre-Calculation'!$D$17="Type 4 c",N112,IF('Pre-Calculation'!$D$17="Type 4 d",SA+N112,IF('Pre-Calculation'!$D$17="Type 4 e",MAX(SA,N112),IF('Pre-Calculation'!$D$17="Type 4 f",SA,IF('Pre-Calculation'!$D$17="Type 4 g",1000+N112,IF('Pre-Calculation'!$D$17="Type 4 h",SA+X112,IF('Pre-Calculation'!$D$17="Type 4 i",MAX(N112,Q112),IF('Pre-Calculation'!$D$17="Type 4 k",MAX(N112,1.01*Q112),IF('Pre-Calculation'!$D$17="Type 4 m",MAX(105%*Q112,SA+N112),IF('Pre-Calculation'!$D$17="Type 4 o",MAX(SA,105%*Q112)+X112+Z112,IF('Pre-Calculation'!$D$17="Type 5",0))))))))))))</f>
        <v>1575000</v>
      </c>
      <c r="Q112" s="175">
        <f t="shared" si="5"/>
        <v>1500000</v>
      </c>
      <c r="R112" s="119">
        <f>L112*(1+GROWTH_RATE)*FMC</f>
        <v>1018.507543</v>
      </c>
      <c r="S112" s="178">
        <f>S111*(1+'Pre-Calculation'!$E$27)</f>
        <v>880818.5382</v>
      </c>
      <c r="T112" s="175">
        <f>-E112+IF(A111=INPUT!$C$11*12,N112,0)</f>
        <v>0</v>
      </c>
      <c r="U112" s="175">
        <f t="shared" si="6"/>
        <v>987248.341</v>
      </c>
      <c r="V112" s="175">
        <f>U112*(1+GROWTH_RATE_L)*(1-'Pre-Calculation'!$E$31)</f>
        <v>988830.8644</v>
      </c>
      <c r="W112" s="175">
        <f>-E112+IF(A111=INPUT!$C$11*12,V112,0)</f>
        <v>0</v>
      </c>
      <c r="X112" s="179">
        <f t="array" ref="X112">NPV('Pre-Calculation'!$E$20,$E113:E$246)</f>
        <v>98322.75876</v>
      </c>
      <c r="Y112" s="171">
        <f>10%*SA</f>
        <v>100000</v>
      </c>
      <c r="Z112" s="179">
        <f t="array" ref="Z112">NPV('Pre-Calculation'!$E$20,Y113:Y122)</f>
        <v>969592.8037</v>
      </c>
    </row>
    <row r="113" ht="15.75" customHeight="1">
      <c r="A113" s="171">
        <f t="shared" si="1"/>
        <v>107</v>
      </c>
      <c r="B113" s="171">
        <f t="shared" si="2"/>
        <v>9</v>
      </c>
      <c r="C113" s="176">
        <f>EDATE(RCD,A112)</f>
        <v>45777</v>
      </c>
      <c r="D113" s="171">
        <f>Age_At_Entry+'Cashflows_4% from Start'!B113-1</f>
        <v>43</v>
      </c>
      <c r="E113" s="175">
        <f>IF(AND(C113&lt;=Last_Prem,MOD(A112,Mode)=0),Mod_Prem,0)</f>
        <v>0</v>
      </c>
      <c r="F113" s="177">
        <f>IF(B113&lt;PT+1,E113*VLOOKUP(B113,'Pre-Calculation'!$H$1:$I$31,2,FALSE),0)</f>
        <v>0</v>
      </c>
      <c r="G113" s="177">
        <f>IF(B113&lt;PT+1,VLOOKUP(B113,'Pre-Calculation'!$H$1:$L$32,3,FALSE)+VLOOKUP(B113,'Pre-Calculation'!$H$1:$L$32,4,FALSE)*'Pre-Calculation'!$D$7,0)</f>
        <v>830</v>
      </c>
      <c r="H113" s="175">
        <f>(E113-(F113+G113)*(1+Tax)+N112)</f>
        <v>900810.7869</v>
      </c>
      <c r="I113" s="175">
        <f>IF(B113&lt;PT+1,VLOOKUP(D113,'Pre-Calculation'!$N$3:$P$79,IF(INPUT!$C$4="M",2,3),FALSE)*(J113/1000)*(1/12),0)</f>
        <v>132.0006297</v>
      </c>
      <c r="J113" s="175">
        <f t="shared" si="3"/>
        <v>674189.2131</v>
      </c>
      <c r="K113" s="175">
        <f>IF('Pre-Calculation'!$D$17="Type 4 a",MAX(SA,H113,1.05*Q113),IF('Pre-Calculation'!$D$17="Type 4 c",H113,IF('Pre-Calculation'!$D$17="Type 4 d",SA+H113,IF('Pre-Calculation'!$D$17="Type 4 e",MAX(SA,H113),IF('Pre-Calculation'!$D$17="Type 4 f",SA,IF('Pre-Calculation'!$D$17="Type 4 g",1000+H113,IF('Pre-Calculation'!$D$17="Type 4 h",SA+X113,IF('Pre-Calculation'!$D$17="Type 4 i",MAX(H113,Q113),IF('Pre-Calculation'!$D$17="Type 4 k",MAX(H113,1.01*Q113),IF('Pre-Calculation'!$D$17="Type 4 m",MAX(105%*Q113,SA+H113),IF('Pre-Calculation'!$D$17="Type 4 o",MAX(SA,105%*Q113)+X113+Z113,IF('Pre-Calculation'!$D$17="Type 5",0))))))))))))</f>
        <v>1575000</v>
      </c>
      <c r="L113" s="175">
        <f>H113-I113*(1+Tax)</f>
        <v>900655.0261</v>
      </c>
      <c r="M113" s="175">
        <f>L113*(1+GROWTH_RATE_L)*(1-FMC*(1+Tax))</f>
        <v>902404.6549</v>
      </c>
      <c r="N113" s="175">
        <f>M113+IF(MOD(A113,B113)=0,VLOOKUP(B113,'Pre-Calculation'!$H$1:$L$31,5,FALSE),0)*IF('Pre-Calculation'!$D$16="% OF FV",M113,IF(OR('Pre-Calculation'!$D$16="% OF AFV(24M)",'Pre-Calculation'!$D$16="% OF AFV(8Q)"),AVERAGE( $M90:$M113),IF('Pre-Calculation'!$D$16="% OF AFV(12M)",AVERAGE($M102:M113),IF('Pre-Calculation'!$D$16="% OF AFV(36M)",AVERAGE($M78:M113)))))</f>
        <v>902404.6549</v>
      </c>
      <c r="O113" s="175">
        <f t="shared" si="4"/>
        <v>902404.6549</v>
      </c>
      <c r="P113" s="175">
        <f>IF('Pre-Calculation'!$D$17="Type 4 a",MAX(SA,N113,1.05*Q113),IF('Pre-Calculation'!$D$17="Type 4 c",N113,IF('Pre-Calculation'!$D$17="Type 4 d",SA+N113,IF('Pre-Calculation'!$D$17="Type 4 e",MAX(SA,N113),IF('Pre-Calculation'!$D$17="Type 4 f",SA,IF('Pre-Calculation'!$D$17="Type 4 g",1000+N113,IF('Pre-Calculation'!$D$17="Type 4 h",SA+X113,IF('Pre-Calculation'!$D$17="Type 4 i",MAX(N113,Q113),IF('Pre-Calculation'!$D$17="Type 4 k",MAX(N113,1.01*Q113),IF('Pre-Calculation'!$D$17="Type 4 m",MAX(105%*Q113,SA+N113),IF('Pre-Calculation'!$D$17="Type 4 o",MAX(SA,105%*Q113)+X113+Z113,IF('Pre-Calculation'!$D$17="Type 5",0))))))))))))</f>
        <v>1575000</v>
      </c>
      <c r="Q113" s="175">
        <f t="shared" si="5"/>
        <v>1500000</v>
      </c>
      <c r="R113" s="119">
        <f>L113*(1+GROWTH_RATE)*FMC</f>
        <v>1019.201541</v>
      </c>
      <c r="S113" s="178">
        <f>S112*(1+'Pre-Calculation'!$E$27)</f>
        <v>883347.279</v>
      </c>
      <c r="T113" s="175">
        <f>-E113+IF(A112=INPUT!$C$11*12,N113,0)</f>
        <v>0</v>
      </c>
      <c r="U113" s="175">
        <f t="shared" si="6"/>
        <v>988830.8644</v>
      </c>
      <c r="V113" s="175">
        <f>U113*(1+GROWTH_RATE_L)*(1-'Pre-Calculation'!$E$31)</f>
        <v>990415.9245</v>
      </c>
      <c r="W113" s="175">
        <f>-E113+IF(A112=INPUT!$C$11*12,V113,0)</f>
        <v>0</v>
      </c>
      <c r="X113" s="179">
        <f t="array" ref="X113">NPV('Pre-Calculation'!$E$20,$E114:E$246)</f>
        <v>98878.68993</v>
      </c>
      <c r="Y113" s="171">
        <f>10%*SA</f>
        <v>100000</v>
      </c>
      <c r="Z113" s="179">
        <f t="array" ref="Z113">NPV('Pre-Calculation'!$E$20,Y114:Y123)</f>
        <v>969592.8037</v>
      </c>
    </row>
    <row r="114" ht="15.75" customHeight="1">
      <c r="A114" s="171">
        <f t="shared" si="1"/>
        <v>108</v>
      </c>
      <c r="B114" s="171">
        <f t="shared" si="2"/>
        <v>9</v>
      </c>
      <c r="C114" s="176">
        <f>EDATE(RCD,A113)</f>
        <v>45807</v>
      </c>
      <c r="D114" s="171">
        <f>Age_At_Entry+'Cashflows_4% from Start'!B114-1</f>
        <v>43</v>
      </c>
      <c r="E114" s="175">
        <f>IF(AND(C114&lt;=Last_Prem,MOD(A113,Mode)=0),Mod_Prem,0)</f>
        <v>0</v>
      </c>
      <c r="F114" s="177">
        <f>IF(B114&lt;PT+1,E114*VLOOKUP(B114,'Pre-Calculation'!$H$1:$I$31,2,FALSE),0)</f>
        <v>0</v>
      </c>
      <c r="G114" s="177">
        <f>IF(B114&lt;PT+1,VLOOKUP(B114,'Pre-Calculation'!$H$1:$L$32,3,FALSE)+VLOOKUP(B114,'Pre-Calculation'!$H$1:$L$32,4,FALSE)*'Pre-Calculation'!$D$7,0)</f>
        <v>830</v>
      </c>
      <c r="H114" s="175">
        <f>(E114-(F114+G114)*(1+Tax)+N113)</f>
        <v>901425.2549</v>
      </c>
      <c r="I114" s="175">
        <f>IF(B114&lt;PT+1,VLOOKUP(D114,'Pre-Calculation'!$N$3:$P$79,IF(INPUT!$C$4="M",2,3),FALSE)*(J114/1000)*(1/12),0)</f>
        <v>131.880322</v>
      </c>
      <c r="J114" s="175">
        <f t="shared" si="3"/>
        <v>673574.7451</v>
      </c>
      <c r="K114" s="175">
        <f>IF('Pre-Calculation'!$D$17="Type 4 a",MAX(SA,H114,1.05*Q114),IF('Pre-Calculation'!$D$17="Type 4 c",H114,IF('Pre-Calculation'!$D$17="Type 4 d",SA+H114,IF('Pre-Calculation'!$D$17="Type 4 e",MAX(SA,H114),IF('Pre-Calculation'!$D$17="Type 4 f",SA,IF('Pre-Calculation'!$D$17="Type 4 g",1000+H114,IF('Pre-Calculation'!$D$17="Type 4 h",SA+X114,IF('Pre-Calculation'!$D$17="Type 4 i",MAX(H114,Q114),IF('Pre-Calculation'!$D$17="Type 4 k",MAX(H114,1.01*Q114),IF('Pre-Calculation'!$D$17="Type 4 m",MAX(105%*Q114,SA+H114),IF('Pre-Calculation'!$D$17="Type 4 o",MAX(SA,105%*Q114)+X114+Z114,IF('Pre-Calculation'!$D$17="Type 5",0))))))))))))</f>
        <v>1575000</v>
      </c>
      <c r="L114" s="175">
        <f>H114-I114*(1+Tax)</f>
        <v>901269.6362</v>
      </c>
      <c r="M114" s="175">
        <f>L114*(1+GROWTH_RATE_L)*(1-FMC*(1+Tax))</f>
        <v>903020.4589</v>
      </c>
      <c r="N114" s="175">
        <f>M114+IF(MOD(A114,B114)=0,VLOOKUP(B114,'Pre-Calculation'!$H$1:$L$31,5,FALSE),0)*IF('Pre-Calculation'!$D$16="% OF FV",M114,IF(OR('Pre-Calculation'!$D$16="% OF AFV(24M)",'Pre-Calculation'!$D$16="% OF AFV(8Q)"),AVERAGE( $M91:$M114),IF('Pre-Calculation'!$D$16="% OF AFV(12M)",AVERAGE($M103:M114),IF('Pre-Calculation'!$D$16="% OF AFV(36M)",AVERAGE($M79:M114)))))</f>
        <v>903020.4589</v>
      </c>
      <c r="O114" s="175">
        <f t="shared" si="4"/>
        <v>903020.4589</v>
      </c>
      <c r="P114" s="175">
        <f>IF('Pre-Calculation'!$D$17="Type 4 a",MAX(SA,N114,1.05*Q114),IF('Pre-Calculation'!$D$17="Type 4 c",N114,IF('Pre-Calculation'!$D$17="Type 4 d",SA+N114,IF('Pre-Calculation'!$D$17="Type 4 e",MAX(SA,N114),IF('Pre-Calculation'!$D$17="Type 4 f",SA,IF('Pre-Calculation'!$D$17="Type 4 g",1000+N114,IF('Pre-Calculation'!$D$17="Type 4 h",SA+X114,IF('Pre-Calculation'!$D$17="Type 4 i",MAX(N114,Q114),IF('Pre-Calculation'!$D$17="Type 4 k",MAX(N114,1.01*Q114),IF('Pre-Calculation'!$D$17="Type 4 m",MAX(105%*Q114,SA+N114),IF('Pre-Calculation'!$D$17="Type 4 o",MAX(SA,105%*Q114)+X114+Z114,IF('Pre-Calculation'!$D$17="Type 5",0))))))))))))</f>
        <v>1575000</v>
      </c>
      <c r="Q114" s="175">
        <f t="shared" si="5"/>
        <v>1500000</v>
      </c>
      <c r="R114" s="119">
        <f>L114*(1+GROWTH_RATE)*FMC</f>
        <v>1019.897048</v>
      </c>
      <c r="S114" s="178">
        <f>S113*(1+'Pre-Calculation'!$E$27)</f>
        <v>885883.2796</v>
      </c>
      <c r="T114" s="175">
        <f>-E114+IF(A113=INPUT!$C$11*12,N114,0)</f>
        <v>0</v>
      </c>
      <c r="U114" s="175">
        <f t="shared" si="6"/>
        <v>990415.9245</v>
      </c>
      <c r="V114" s="175">
        <f>U114*(1+GROWTH_RATE_L)*(1-'Pre-Calculation'!$E$31)</f>
        <v>992003.5254</v>
      </c>
      <c r="W114" s="175">
        <f>-E114+IF(A113=INPUT!$C$11*12,V114,0)</f>
        <v>0</v>
      </c>
      <c r="X114" s="179">
        <f t="array" ref="X114">NPV('Pre-Calculation'!$E$20,$E115:E$246)</f>
        <v>99437.76442</v>
      </c>
      <c r="Y114" s="171">
        <f>10%*SA</f>
        <v>100000</v>
      </c>
      <c r="Z114" s="179">
        <f t="array" ref="Z114">NPV('Pre-Calculation'!$E$20,Y115:Y124)</f>
        <v>969592.8037</v>
      </c>
    </row>
    <row r="115" ht="15.75" customHeight="1">
      <c r="A115" s="171">
        <f t="shared" si="1"/>
        <v>109</v>
      </c>
      <c r="B115" s="171">
        <f t="shared" si="2"/>
        <v>10</v>
      </c>
      <c r="C115" s="176">
        <f>EDATE(RCD,A114)</f>
        <v>45838</v>
      </c>
      <c r="D115" s="171">
        <f>Age_At_Entry+'Cashflows_4% from Start'!B115-1</f>
        <v>44</v>
      </c>
      <c r="E115" s="175">
        <f>IF(AND(C115&lt;=Last_Prem,MOD(A114,Mode)=0),Mod_Prem,0)</f>
        <v>100000</v>
      </c>
      <c r="F115" s="177">
        <f>IF(B115&lt;PT+1,E115*VLOOKUP(B115,'Pre-Calculation'!$H$1:$I$31,2,FALSE),0)</f>
        <v>0</v>
      </c>
      <c r="G115" s="177">
        <f>IF(B115&lt;PT+1,VLOOKUP(B115,'Pre-Calculation'!$H$1:$L$32,3,FALSE)+VLOOKUP(B115,'Pre-Calculation'!$H$1:$L$32,4,FALSE)*'Pre-Calculation'!$D$7,0)</f>
        <v>830</v>
      </c>
      <c r="H115" s="175">
        <f>(E115-(F115+G115)*(1+Tax)+N114)</f>
        <v>1002041.059</v>
      </c>
      <c r="I115" s="175">
        <f>IF(B115&lt;PT+1,VLOOKUP(D115,'Pre-Calculation'!$N$3:$P$79,IF(INPUT!$C$4="M",2,3),FALSE)*(J115/1000)*(1/12),0)</f>
        <v>146.4673796</v>
      </c>
      <c r="J115" s="175">
        <f t="shared" si="3"/>
        <v>677958.9411</v>
      </c>
      <c r="K115" s="175">
        <f>IF('Pre-Calculation'!$D$17="Type 4 a",MAX(SA,H115,1.05*Q115),IF('Pre-Calculation'!$D$17="Type 4 c",H115,IF('Pre-Calculation'!$D$17="Type 4 d",SA+H115,IF('Pre-Calculation'!$D$17="Type 4 e",MAX(SA,H115),IF('Pre-Calculation'!$D$17="Type 4 f",SA,IF('Pre-Calculation'!$D$17="Type 4 g",1000+H115,IF('Pre-Calculation'!$D$17="Type 4 h",SA+X115,IF('Pre-Calculation'!$D$17="Type 4 i",MAX(H115,Q115),IF('Pre-Calculation'!$D$17="Type 4 k",MAX(H115,1.01*Q115),IF('Pre-Calculation'!$D$17="Type 4 m",MAX(105%*Q115,SA+H115),IF('Pre-Calculation'!$D$17="Type 4 o",MAX(SA,105%*Q115)+X115+Z115,IF('Pre-Calculation'!$D$17="Type 5",0))))))))))))</f>
        <v>1680000</v>
      </c>
      <c r="L115" s="175">
        <f>H115-I115*(1+Tax)</f>
        <v>1001868.227</v>
      </c>
      <c r="M115" s="175">
        <f>L115*(1+GROWTH_RATE_L)*(1-FMC*(1+Tax))</f>
        <v>1003814.475</v>
      </c>
      <c r="N115" s="175">
        <f>M115+IF(MOD(A115,B115)=0,VLOOKUP(B115,'Pre-Calculation'!$H$1:$L$31,5,FALSE),0)*IF('Pre-Calculation'!$D$16="% OF FV",M115,IF(OR('Pre-Calculation'!$D$16="% OF AFV(24M)",'Pre-Calculation'!$D$16="% OF AFV(8Q)"),AVERAGE( $M92:$M115),IF('Pre-Calculation'!$D$16="% OF AFV(12M)",AVERAGE($M104:M115),IF('Pre-Calculation'!$D$16="% OF AFV(36M)",AVERAGE($M80:M115)))))</f>
        <v>1003814.475</v>
      </c>
      <c r="O115" s="175">
        <f t="shared" si="4"/>
        <v>1003814.475</v>
      </c>
      <c r="P115" s="175">
        <f>IF('Pre-Calculation'!$D$17="Type 4 a",MAX(SA,N115,1.05*Q115),IF('Pre-Calculation'!$D$17="Type 4 c",N115,IF('Pre-Calculation'!$D$17="Type 4 d",SA+N115,IF('Pre-Calculation'!$D$17="Type 4 e",MAX(SA,N115),IF('Pre-Calculation'!$D$17="Type 4 f",SA,IF('Pre-Calculation'!$D$17="Type 4 g",1000+N115,IF('Pre-Calculation'!$D$17="Type 4 h",SA+X115,IF('Pre-Calculation'!$D$17="Type 4 i",MAX(N115,Q115),IF('Pre-Calculation'!$D$17="Type 4 k",MAX(N115,1.01*Q115),IF('Pre-Calculation'!$D$17="Type 4 m",MAX(105%*Q115,SA+N115),IF('Pre-Calculation'!$D$17="Type 4 o",MAX(SA,105%*Q115)+X115+Z115,IF('Pre-Calculation'!$D$17="Type 5",0))))))))))))</f>
        <v>1680000</v>
      </c>
      <c r="Q115" s="175">
        <f t="shared" si="5"/>
        <v>1600000</v>
      </c>
      <c r="R115" s="119">
        <f>L115*(1+GROWTH_RATE)*FMC</f>
        <v>1133.736683</v>
      </c>
      <c r="S115" s="178">
        <f>S114*(1+'Pre-Calculation'!$E$27)</f>
        <v>888426.5608</v>
      </c>
      <c r="T115" s="175">
        <f>-E115+IF(A114=INPUT!$C$11*12,N115,0)</f>
        <v>-100000</v>
      </c>
      <c r="U115" s="175">
        <f t="shared" si="6"/>
        <v>1092003.525</v>
      </c>
      <c r="V115" s="175">
        <f>U115*(1+GROWTH_RATE_L)*(1-'Pre-Calculation'!$E$31)</f>
        <v>1093753.967</v>
      </c>
      <c r="W115" s="175">
        <f>-E115+IF(A114=INPUT!$C$11*12,V115,0)</f>
        <v>-100000</v>
      </c>
      <c r="X115" s="179">
        <f t="array" ref="X115">NPV('Pre-Calculation'!$E$20,$E116:E$246)</f>
        <v>0</v>
      </c>
      <c r="Y115" s="171">
        <f>10%*SA</f>
        <v>100000</v>
      </c>
      <c r="Z115" s="179">
        <f t="array" ref="Z115">NPV('Pre-Calculation'!$E$20,Y116:Y125)</f>
        <v>969592.8037</v>
      </c>
    </row>
    <row r="116" ht="15.75" customHeight="1">
      <c r="A116" s="171">
        <f t="shared" si="1"/>
        <v>110</v>
      </c>
      <c r="B116" s="171">
        <f t="shared" si="2"/>
        <v>10</v>
      </c>
      <c r="C116" s="176">
        <f>EDATE(RCD,A115)</f>
        <v>45868</v>
      </c>
      <c r="D116" s="171">
        <f>Age_At_Entry+'Cashflows_4% from Start'!B116-1</f>
        <v>44</v>
      </c>
      <c r="E116" s="175">
        <f>IF(AND(C116&lt;=Last_Prem,MOD(A115,Mode)=0),Mod_Prem,0)</f>
        <v>0</v>
      </c>
      <c r="F116" s="177">
        <f>IF(B116&lt;PT+1,E116*VLOOKUP(B116,'Pre-Calculation'!$H$1:$I$31,2,FALSE),0)</f>
        <v>0</v>
      </c>
      <c r="G116" s="177">
        <f>IF(B116&lt;PT+1,VLOOKUP(B116,'Pre-Calculation'!$H$1:$L$32,3,FALSE)+VLOOKUP(B116,'Pre-Calculation'!$H$1:$L$32,4,FALSE)*'Pre-Calculation'!$D$7,0)</f>
        <v>830</v>
      </c>
      <c r="H116" s="175">
        <f>(E116-(F116+G116)*(1+Tax)+N115)</f>
        <v>1002835.075</v>
      </c>
      <c r="I116" s="175">
        <f>IF(B116&lt;PT+1,VLOOKUP(D116,'Pre-Calculation'!$N$3:$P$79,IF(INPUT!$C$4="M",2,3),FALSE)*(J116/1000)*(1/12),0)</f>
        <v>146.295839</v>
      </c>
      <c r="J116" s="175">
        <f t="shared" si="3"/>
        <v>677164.9251</v>
      </c>
      <c r="K116" s="175">
        <f>IF('Pre-Calculation'!$D$17="Type 4 a",MAX(SA,H116,1.05*Q116),IF('Pre-Calculation'!$D$17="Type 4 c",H116,IF('Pre-Calculation'!$D$17="Type 4 d",SA+H116,IF('Pre-Calculation'!$D$17="Type 4 e",MAX(SA,H116),IF('Pre-Calculation'!$D$17="Type 4 f",SA,IF('Pre-Calculation'!$D$17="Type 4 g",1000+H116,IF('Pre-Calculation'!$D$17="Type 4 h",SA+X116,IF('Pre-Calculation'!$D$17="Type 4 i",MAX(H116,Q116),IF('Pre-Calculation'!$D$17="Type 4 k",MAX(H116,1.01*Q116),IF('Pre-Calculation'!$D$17="Type 4 m",MAX(105%*Q116,SA+H116),IF('Pre-Calculation'!$D$17="Type 4 o",MAX(SA,105%*Q116)+X116+Z116,IF('Pre-Calculation'!$D$17="Type 5",0))))))))))))</f>
        <v>1680000</v>
      </c>
      <c r="L116" s="175">
        <f>H116-I116*(1+Tax)</f>
        <v>1002662.446</v>
      </c>
      <c r="M116" s="175">
        <f>L116*(1+GROWTH_RATE_L)*(1-FMC*(1+Tax))</f>
        <v>1004610.236</v>
      </c>
      <c r="N116" s="175">
        <f>M116+IF(MOD(A116,B116)=0,VLOOKUP(B116,'Pre-Calculation'!$H$1:$L$31,5,FALSE),0)*IF('Pre-Calculation'!$D$16="% OF FV",M116,IF(OR('Pre-Calculation'!$D$16="% OF AFV(24M)",'Pre-Calculation'!$D$16="% OF AFV(8Q)"),AVERAGE( $M93:$M116),IF('Pre-Calculation'!$D$16="% OF AFV(12M)",AVERAGE($M105:M116),IF('Pre-Calculation'!$D$16="% OF AFV(36M)",AVERAGE($M81:M116)))))</f>
        <v>1004610.236</v>
      </c>
      <c r="O116" s="175">
        <f t="shared" si="4"/>
        <v>1004610.236</v>
      </c>
      <c r="P116" s="175">
        <f>IF('Pre-Calculation'!$D$17="Type 4 a",MAX(SA,N116,1.05*Q116),IF('Pre-Calculation'!$D$17="Type 4 c",N116,IF('Pre-Calculation'!$D$17="Type 4 d",SA+N116,IF('Pre-Calculation'!$D$17="Type 4 e",MAX(SA,N116),IF('Pre-Calculation'!$D$17="Type 4 f",SA,IF('Pre-Calculation'!$D$17="Type 4 g",1000+N116,IF('Pre-Calculation'!$D$17="Type 4 h",SA+X116,IF('Pre-Calculation'!$D$17="Type 4 i",MAX(N116,Q116),IF('Pre-Calculation'!$D$17="Type 4 k",MAX(N116,1.01*Q116),IF('Pre-Calculation'!$D$17="Type 4 m",MAX(105%*Q116,SA+N116),IF('Pre-Calculation'!$D$17="Type 4 o",MAX(SA,105%*Q116)+X116+Z116,IF('Pre-Calculation'!$D$17="Type 5",0))))))))))))</f>
        <v>1680000</v>
      </c>
      <c r="Q116" s="175">
        <f t="shared" si="5"/>
        <v>1600000</v>
      </c>
      <c r="R116" s="119">
        <f>L116*(1+GROWTH_RATE)*FMC</f>
        <v>1134.635438</v>
      </c>
      <c r="S116" s="178">
        <f>S115*(1+'Pre-Calculation'!$E$27)</f>
        <v>890977.1435</v>
      </c>
      <c r="T116" s="175">
        <f>-E116+IF(A115=INPUT!$C$11*12,N116,0)</f>
        <v>0</v>
      </c>
      <c r="U116" s="175">
        <f t="shared" si="6"/>
        <v>1093753.967</v>
      </c>
      <c r="V116" s="175">
        <f>U116*(1+GROWTH_RATE_L)*(1-'Pre-Calculation'!$E$31)</f>
        <v>1095507.216</v>
      </c>
      <c r="W116" s="175">
        <f>-E116+IF(A115=INPUT!$C$11*12,V116,0)</f>
        <v>0</v>
      </c>
      <c r="X116" s="179">
        <f t="array" ref="X116">NPV('Pre-Calculation'!$E$20,$E117:E$246)</f>
        <v>0</v>
      </c>
      <c r="Y116" s="171">
        <f>10%*SA</f>
        <v>100000</v>
      </c>
      <c r="Z116" s="179">
        <f t="array" ref="Z116">NPV('Pre-Calculation'!$E$20,Y117:Y126)</f>
        <v>969592.8037</v>
      </c>
    </row>
    <row r="117" ht="15.75" customHeight="1">
      <c r="A117" s="171">
        <f t="shared" si="1"/>
        <v>111</v>
      </c>
      <c r="B117" s="171">
        <f t="shared" si="2"/>
        <v>10</v>
      </c>
      <c r="C117" s="176">
        <f>EDATE(RCD,A116)</f>
        <v>45899</v>
      </c>
      <c r="D117" s="171">
        <f>Age_At_Entry+'Cashflows_4% from Start'!B117-1</f>
        <v>44</v>
      </c>
      <c r="E117" s="175">
        <f>IF(AND(C117&lt;=Last_Prem,MOD(A116,Mode)=0),Mod_Prem,0)</f>
        <v>0</v>
      </c>
      <c r="F117" s="177">
        <f>IF(B117&lt;PT+1,E117*VLOOKUP(B117,'Pre-Calculation'!$H$1:$I$31,2,FALSE),0)</f>
        <v>0</v>
      </c>
      <c r="G117" s="177">
        <f>IF(B117&lt;PT+1,VLOOKUP(B117,'Pre-Calculation'!$H$1:$L$32,3,FALSE)+VLOOKUP(B117,'Pre-Calculation'!$H$1:$L$32,4,FALSE)*'Pre-Calculation'!$D$7,0)</f>
        <v>830</v>
      </c>
      <c r="H117" s="175">
        <f>(E117-(F117+G117)*(1+Tax)+N116)</f>
        <v>1003630.836</v>
      </c>
      <c r="I117" s="175">
        <f>IF(B117&lt;PT+1,VLOOKUP(D117,'Pre-Calculation'!$N$3:$P$79,IF(INPUT!$C$4="M",2,3),FALSE)*(J117/1000)*(1/12),0)</f>
        <v>146.1239215</v>
      </c>
      <c r="J117" s="175">
        <f t="shared" si="3"/>
        <v>676369.1639</v>
      </c>
      <c r="K117" s="175">
        <f>IF('Pre-Calculation'!$D$17="Type 4 a",MAX(SA,H117,1.05*Q117),IF('Pre-Calculation'!$D$17="Type 4 c",H117,IF('Pre-Calculation'!$D$17="Type 4 d",SA+H117,IF('Pre-Calculation'!$D$17="Type 4 e",MAX(SA,H117),IF('Pre-Calculation'!$D$17="Type 4 f",SA,IF('Pre-Calculation'!$D$17="Type 4 g",1000+H117,IF('Pre-Calculation'!$D$17="Type 4 h",SA+X117,IF('Pre-Calculation'!$D$17="Type 4 i",MAX(H117,Q117),IF('Pre-Calculation'!$D$17="Type 4 k",MAX(H117,1.01*Q117),IF('Pre-Calculation'!$D$17="Type 4 m",MAX(105%*Q117,SA+H117),IF('Pre-Calculation'!$D$17="Type 4 o",MAX(SA,105%*Q117)+X117+Z117,IF('Pre-Calculation'!$D$17="Type 5",0))))))))))))</f>
        <v>1680000</v>
      </c>
      <c r="L117" s="175">
        <f>H117-I117*(1+Tax)</f>
        <v>1003458.41</v>
      </c>
      <c r="M117" s="175">
        <f>L117*(1+GROWTH_RATE_L)*(1-FMC*(1+Tax))</f>
        <v>1005407.746</v>
      </c>
      <c r="N117" s="175">
        <f>M117+IF(MOD(A117,B117)=0,VLOOKUP(B117,'Pre-Calculation'!$H$1:$L$31,5,FALSE),0)*IF('Pre-Calculation'!$D$16="% OF FV",M117,IF(OR('Pre-Calculation'!$D$16="% OF AFV(24M)",'Pre-Calculation'!$D$16="% OF AFV(8Q)"),AVERAGE( $M94:$M117),IF('Pre-Calculation'!$D$16="% OF AFV(12M)",AVERAGE($M106:M117),IF('Pre-Calculation'!$D$16="% OF AFV(36M)",AVERAGE($M82:M117)))))</f>
        <v>1005407.746</v>
      </c>
      <c r="O117" s="175">
        <f t="shared" si="4"/>
        <v>1005407.746</v>
      </c>
      <c r="P117" s="175">
        <f>IF('Pre-Calculation'!$D$17="Type 4 a",MAX(SA,N117,1.05*Q117),IF('Pre-Calculation'!$D$17="Type 4 c",N117,IF('Pre-Calculation'!$D$17="Type 4 d",SA+N117,IF('Pre-Calculation'!$D$17="Type 4 e",MAX(SA,N117),IF('Pre-Calculation'!$D$17="Type 4 f",SA,IF('Pre-Calculation'!$D$17="Type 4 g",1000+N117,IF('Pre-Calculation'!$D$17="Type 4 h",SA+X117,IF('Pre-Calculation'!$D$17="Type 4 i",MAX(N117,Q117),IF('Pre-Calculation'!$D$17="Type 4 k",MAX(N117,1.01*Q117),IF('Pre-Calculation'!$D$17="Type 4 m",MAX(105%*Q117,SA+N117),IF('Pre-Calculation'!$D$17="Type 4 o",MAX(SA,105%*Q117)+X117+Z117,IF('Pre-Calculation'!$D$17="Type 5",0))))))))))))</f>
        <v>1680000</v>
      </c>
      <c r="Q117" s="175">
        <f t="shared" si="5"/>
        <v>1600000</v>
      </c>
      <c r="R117" s="119">
        <f>L117*(1+GROWTH_RATE)*FMC</f>
        <v>1135.536169</v>
      </c>
      <c r="S117" s="178">
        <f>S116*(1+'Pre-Calculation'!$E$27)</f>
        <v>893535.0486</v>
      </c>
      <c r="T117" s="175">
        <f>-E117+IF(A116=INPUT!$C$11*12,N117,0)</f>
        <v>0</v>
      </c>
      <c r="U117" s="175">
        <f t="shared" si="6"/>
        <v>1095507.216</v>
      </c>
      <c r="V117" s="175">
        <f>U117*(1+GROWTH_RATE_L)*(1-'Pre-Calculation'!$E$31)</f>
        <v>1097263.274</v>
      </c>
      <c r="W117" s="175">
        <f>-E117+IF(A116=INPUT!$C$11*12,V117,0)</f>
        <v>0</v>
      </c>
      <c r="X117" s="179">
        <f t="array" ref="X117">NPV('Pre-Calculation'!$E$20,$E118:E$246)</f>
        <v>0</v>
      </c>
      <c r="Y117" s="171">
        <f>10%*SA</f>
        <v>100000</v>
      </c>
      <c r="Z117" s="179">
        <f t="array" ref="Z117">NPV('Pre-Calculation'!$E$20,Y118:Y127)</f>
        <v>969592.8037</v>
      </c>
    </row>
    <row r="118" ht="15.75" customHeight="1">
      <c r="A118" s="171">
        <f t="shared" si="1"/>
        <v>112</v>
      </c>
      <c r="B118" s="171">
        <f t="shared" si="2"/>
        <v>10</v>
      </c>
      <c r="C118" s="176">
        <f>EDATE(RCD,A117)</f>
        <v>45930</v>
      </c>
      <c r="D118" s="171">
        <f>Age_At_Entry+'Cashflows_4% from Start'!B118-1</f>
        <v>44</v>
      </c>
      <c r="E118" s="175">
        <f>IF(AND(C118&lt;=Last_Prem,MOD(A117,Mode)=0),Mod_Prem,0)</f>
        <v>0</v>
      </c>
      <c r="F118" s="177">
        <f>IF(B118&lt;PT+1,E118*VLOOKUP(B118,'Pre-Calculation'!$H$1:$I$31,2,FALSE),0)</f>
        <v>0</v>
      </c>
      <c r="G118" s="177">
        <f>IF(B118&lt;PT+1,VLOOKUP(B118,'Pre-Calculation'!$H$1:$L$32,3,FALSE)+VLOOKUP(B118,'Pre-Calculation'!$H$1:$L$32,4,FALSE)*'Pre-Calculation'!$D$7,0)</f>
        <v>830</v>
      </c>
      <c r="H118" s="175">
        <f>(E118-(F118+G118)*(1+Tax)+N117)</f>
        <v>1004428.346</v>
      </c>
      <c r="I118" s="175">
        <f>IF(B118&lt;PT+1,VLOOKUP(D118,'Pre-Calculation'!$N$3:$P$79,IF(INPUT!$C$4="M",2,3),FALSE)*(J118/1000)*(1/12),0)</f>
        <v>145.951626</v>
      </c>
      <c r="J118" s="175">
        <f t="shared" si="3"/>
        <v>675571.6536</v>
      </c>
      <c r="K118" s="175">
        <f>IF('Pre-Calculation'!$D$17="Type 4 a",MAX(SA,H118,1.05*Q118),IF('Pre-Calculation'!$D$17="Type 4 c",H118,IF('Pre-Calculation'!$D$17="Type 4 d",SA+H118,IF('Pre-Calculation'!$D$17="Type 4 e",MAX(SA,H118),IF('Pre-Calculation'!$D$17="Type 4 f",SA,IF('Pre-Calculation'!$D$17="Type 4 g",1000+H118,IF('Pre-Calculation'!$D$17="Type 4 h",SA+X118,IF('Pre-Calculation'!$D$17="Type 4 i",MAX(H118,Q118),IF('Pre-Calculation'!$D$17="Type 4 k",MAX(H118,1.01*Q118),IF('Pre-Calculation'!$D$17="Type 4 m",MAX(105%*Q118,SA+H118),IF('Pre-Calculation'!$D$17="Type 4 o",MAX(SA,105%*Q118)+X118+Z118,IF('Pre-Calculation'!$D$17="Type 5",0))))))))))))</f>
        <v>1680000</v>
      </c>
      <c r="L118" s="175">
        <f>H118-I118*(1+Tax)</f>
        <v>1004256.123</v>
      </c>
      <c r="M118" s="175">
        <f>L118*(1+GROWTH_RATE_L)*(1-FMC*(1+Tax))</f>
        <v>1006207.01</v>
      </c>
      <c r="N118" s="175">
        <f>M118+IF(MOD(A118,B118)=0,VLOOKUP(B118,'Pre-Calculation'!$H$1:$L$31,5,FALSE),0)*IF('Pre-Calculation'!$D$16="% OF FV",M118,IF(OR('Pre-Calculation'!$D$16="% OF AFV(24M)",'Pre-Calculation'!$D$16="% OF AFV(8Q)"),AVERAGE( $M95:$M118),IF('Pre-Calculation'!$D$16="% OF AFV(12M)",AVERAGE($M107:M118),IF('Pre-Calculation'!$D$16="% OF AFV(36M)",AVERAGE($M83:M118)))))</f>
        <v>1006207.01</v>
      </c>
      <c r="O118" s="175">
        <f t="shared" si="4"/>
        <v>1006207.01</v>
      </c>
      <c r="P118" s="175">
        <f>IF('Pre-Calculation'!$D$17="Type 4 a",MAX(SA,N118,1.05*Q118),IF('Pre-Calculation'!$D$17="Type 4 c",N118,IF('Pre-Calculation'!$D$17="Type 4 d",SA+N118,IF('Pre-Calculation'!$D$17="Type 4 e",MAX(SA,N118),IF('Pre-Calculation'!$D$17="Type 4 f",SA,IF('Pre-Calculation'!$D$17="Type 4 g",1000+N118,IF('Pre-Calculation'!$D$17="Type 4 h",SA+X118,IF('Pre-Calculation'!$D$17="Type 4 i",MAX(N118,Q118),IF('Pre-Calculation'!$D$17="Type 4 k",MAX(N118,1.01*Q118),IF('Pre-Calculation'!$D$17="Type 4 m",MAX(105%*Q118,SA+N118),IF('Pre-Calculation'!$D$17="Type 4 o",MAX(SA,105%*Q118)+X118+Z118,IF('Pre-Calculation'!$D$17="Type 5",0))))))))))))</f>
        <v>1680000</v>
      </c>
      <c r="Q118" s="175">
        <f t="shared" si="5"/>
        <v>1600000</v>
      </c>
      <c r="R118" s="119">
        <f>L118*(1+GROWTH_RATE)*FMC</f>
        <v>1136.43888</v>
      </c>
      <c r="S118" s="178">
        <f>S117*(1+'Pre-Calculation'!$E$27)</f>
        <v>896100.2972</v>
      </c>
      <c r="T118" s="175">
        <f>-E118+IF(A117=INPUT!$C$11*12,N118,0)</f>
        <v>0</v>
      </c>
      <c r="U118" s="175">
        <f t="shared" si="6"/>
        <v>1097263.274</v>
      </c>
      <c r="V118" s="175">
        <f>U118*(1+GROWTH_RATE_L)*(1-'Pre-Calculation'!$E$31)</f>
        <v>1099022.147</v>
      </c>
      <c r="W118" s="175">
        <f>-E118+IF(A117=INPUT!$C$11*12,V118,0)</f>
        <v>0</v>
      </c>
      <c r="X118" s="179">
        <f t="array" ref="X118">NPV('Pre-Calculation'!$E$20,$E119:E$246)</f>
        <v>0</v>
      </c>
      <c r="Y118" s="171">
        <f>10%*SA</f>
        <v>100000</v>
      </c>
      <c r="Z118" s="179">
        <f t="array" ref="Z118">NPV('Pre-Calculation'!$E$20,Y119:Y128)</f>
        <v>969592.8037</v>
      </c>
    </row>
    <row r="119" ht="15.75" customHeight="1">
      <c r="A119" s="171">
        <f t="shared" si="1"/>
        <v>113</v>
      </c>
      <c r="B119" s="171">
        <f t="shared" si="2"/>
        <v>10</v>
      </c>
      <c r="C119" s="176">
        <f>EDATE(RCD,A118)</f>
        <v>45960</v>
      </c>
      <c r="D119" s="171">
        <f>Age_At_Entry+'Cashflows_4% from Start'!B119-1</f>
        <v>44</v>
      </c>
      <c r="E119" s="175">
        <f>IF(AND(C119&lt;=Last_Prem,MOD(A118,Mode)=0),Mod_Prem,0)</f>
        <v>0</v>
      </c>
      <c r="F119" s="177">
        <f>IF(B119&lt;PT+1,E119*VLOOKUP(B119,'Pre-Calculation'!$H$1:$I$31,2,FALSE),0)</f>
        <v>0</v>
      </c>
      <c r="G119" s="177">
        <f>IF(B119&lt;PT+1,VLOOKUP(B119,'Pre-Calculation'!$H$1:$L$32,3,FALSE)+VLOOKUP(B119,'Pre-Calculation'!$H$1:$L$32,4,FALSE)*'Pre-Calculation'!$D$7,0)</f>
        <v>830</v>
      </c>
      <c r="H119" s="175">
        <f>(E119-(F119+G119)*(1+Tax)+N118)</f>
        <v>1005227.61</v>
      </c>
      <c r="I119" s="175">
        <f>IF(B119&lt;PT+1,VLOOKUP(D119,'Pre-Calculation'!$N$3:$P$79,IF(INPUT!$C$4="M",2,3),FALSE)*(J119/1000)*(1/12),0)</f>
        <v>145.7789518</v>
      </c>
      <c r="J119" s="175">
        <f t="shared" si="3"/>
        <v>674772.3904</v>
      </c>
      <c r="K119" s="175">
        <f>IF('Pre-Calculation'!$D$17="Type 4 a",MAX(SA,H119,1.05*Q119),IF('Pre-Calculation'!$D$17="Type 4 c",H119,IF('Pre-Calculation'!$D$17="Type 4 d",SA+H119,IF('Pre-Calculation'!$D$17="Type 4 e",MAX(SA,H119),IF('Pre-Calculation'!$D$17="Type 4 f",SA,IF('Pre-Calculation'!$D$17="Type 4 g",1000+H119,IF('Pre-Calculation'!$D$17="Type 4 h",SA+X119,IF('Pre-Calculation'!$D$17="Type 4 i",MAX(H119,Q119),IF('Pre-Calculation'!$D$17="Type 4 k",MAX(H119,1.01*Q119),IF('Pre-Calculation'!$D$17="Type 4 m",MAX(105%*Q119,SA+H119),IF('Pre-Calculation'!$D$17="Type 4 o",MAX(SA,105%*Q119)+X119+Z119,IF('Pre-Calculation'!$D$17="Type 5",0))))))))))))</f>
        <v>1680000</v>
      </c>
      <c r="L119" s="175">
        <f>H119-I119*(1+Tax)</f>
        <v>1005055.59</v>
      </c>
      <c r="M119" s="175">
        <f>L119*(1+GROWTH_RATE_L)*(1-FMC*(1+Tax))</f>
        <v>1007008.03</v>
      </c>
      <c r="N119" s="175">
        <f>M119+IF(MOD(A119,B119)=0,VLOOKUP(B119,'Pre-Calculation'!$H$1:$L$31,5,FALSE),0)*IF('Pre-Calculation'!$D$16="% OF FV",M119,IF(OR('Pre-Calculation'!$D$16="% OF AFV(24M)",'Pre-Calculation'!$D$16="% OF AFV(8Q)"),AVERAGE( $M96:$M119),IF('Pre-Calculation'!$D$16="% OF AFV(12M)",AVERAGE($M108:M119),IF('Pre-Calculation'!$D$16="% OF AFV(36M)",AVERAGE($M84:M119)))))</f>
        <v>1007008.03</v>
      </c>
      <c r="O119" s="175">
        <f t="shared" si="4"/>
        <v>1007008.03</v>
      </c>
      <c r="P119" s="175">
        <f>IF('Pre-Calculation'!$D$17="Type 4 a",MAX(SA,N119,1.05*Q119),IF('Pre-Calculation'!$D$17="Type 4 c",N119,IF('Pre-Calculation'!$D$17="Type 4 d",SA+N119,IF('Pre-Calculation'!$D$17="Type 4 e",MAX(SA,N119),IF('Pre-Calculation'!$D$17="Type 4 f",SA,IF('Pre-Calculation'!$D$17="Type 4 g",1000+N119,IF('Pre-Calculation'!$D$17="Type 4 h",SA+X119,IF('Pre-Calculation'!$D$17="Type 4 i",MAX(N119,Q119),IF('Pre-Calculation'!$D$17="Type 4 k",MAX(N119,1.01*Q119),IF('Pre-Calculation'!$D$17="Type 4 m",MAX(105%*Q119,SA+N119),IF('Pre-Calculation'!$D$17="Type 4 o",MAX(SA,105%*Q119)+X119+Z119,IF('Pre-Calculation'!$D$17="Type 5",0))))))))))))</f>
        <v>1680000</v>
      </c>
      <c r="Q119" s="175">
        <f t="shared" si="5"/>
        <v>1600000</v>
      </c>
      <c r="R119" s="119">
        <f>L119*(1+GROWTH_RATE)*FMC</f>
        <v>1137.343574</v>
      </c>
      <c r="S119" s="178">
        <f>S118*(1+'Pre-Calculation'!$E$27)</f>
        <v>898672.9104</v>
      </c>
      <c r="T119" s="175">
        <f>-E119+IF(A118=INPUT!$C$11*12,N119,0)</f>
        <v>0</v>
      </c>
      <c r="U119" s="175">
        <f t="shared" si="6"/>
        <v>1099022.147</v>
      </c>
      <c r="V119" s="175">
        <f>U119*(1+GROWTH_RATE_L)*(1-'Pre-Calculation'!$E$31)</f>
        <v>1100783.84</v>
      </c>
      <c r="W119" s="175">
        <f>-E119+IF(A118=INPUT!$C$11*12,V119,0)</f>
        <v>0</v>
      </c>
      <c r="X119" s="179">
        <f t="array" ref="X119">NPV('Pre-Calculation'!$E$20,$E120:E$246)</f>
        <v>0</v>
      </c>
      <c r="Y119" s="171">
        <f>10%*SA</f>
        <v>100000</v>
      </c>
      <c r="Z119" s="179">
        <f t="array" ref="Z119">NPV('Pre-Calculation'!$E$20,Y120:Y129)</f>
        <v>969592.8037</v>
      </c>
    </row>
    <row r="120" ht="15.75" customHeight="1">
      <c r="A120" s="171">
        <f t="shared" si="1"/>
        <v>114</v>
      </c>
      <c r="B120" s="171">
        <f t="shared" si="2"/>
        <v>10</v>
      </c>
      <c r="C120" s="176">
        <f>EDATE(RCD,A119)</f>
        <v>45991</v>
      </c>
      <c r="D120" s="171">
        <f>Age_At_Entry+'Cashflows_4% from Start'!B120-1</f>
        <v>44</v>
      </c>
      <c r="E120" s="175">
        <f>IF(AND(C120&lt;=Last_Prem,MOD(A119,Mode)=0),Mod_Prem,0)</f>
        <v>0</v>
      </c>
      <c r="F120" s="177">
        <f>IF(B120&lt;PT+1,E120*VLOOKUP(B120,'Pre-Calculation'!$H$1:$I$31,2,FALSE),0)</f>
        <v>0</v>
      </c>
      <c r="G120" s="177">
        <f>IF(B120&lt;PT+1,VLOOKUP(B120,'Pre-Calculation'!$H$1:$L$32,3,FALSE)+VLOOKUP(B120,'Pre-Calculation'!$H$1:$L$32,4,FALSE)*'Pre-Calculation'!$D$7,0)</f>
        <v>830</v>
      </c>
      <c r="H120" s="175">
        <f>(E120-(F120+G120)*(1+Tax)+N119)</f>
        <v>1006028.63</v>
      </c>
      <c r="I120" s="175">
        <f>IF(B120&lt;PT+1,VLOOKUP(D120,'Pre-Calculation'!$N$3:$P$79,IF(INPUT!$C$4="M",2,3),FALSE)*(J120/1000)*(1/12),0)</f>
        <v>145.6058981</v>
      </c>
      <c r="J120" s="175">
        <f t="shared" si="3"/>
        <v>673971.3703</v>
      </c>
      <c r="K120" s="175">
        <f>IF('Pre-Calculation'!$D$17="Type 4 a",MAX(SA,H120,1.05*Q120),IF('Pre-Calculation'!$D$17="Type 4 c",H120,IF('Pre-Calculation'!$D$17="Type 4 d",SA+H120,IF('Pre-Calculation'!$D$17="Type 4 e",MAX(SA,H120),IF('Pre-Calculation'!$D$17="Type 4 f",SA,IF('Pre-Calculation'!$D$17="Type 4 g",1000+H120,IF('Pre-Calculation'!$D$17="Type 4 h",SA+X120,IF('Pre-Calculation'!$D$17="Type 4 i",MAX(H120,Q120),IF('Pre-Calculation'!$D$17="Type 4 k",MAX(H120,1.01*Q120),IF('Pre-Calculation'!$D$17="Type 4 m",MAX(105%*Q120,SA+H120),IF('Pre-Calculation'!$D$17="Type 4 o",MAX(SA,105%*Q120)+X120+Z120,IF('Pre-Calculation'!$D$17="Type 5",0))))))))))))</f>
        <v>1680000</v>
      </c>
      <c r="L120" s="175">
        <f>H120-I120*(1+Tax)</f>
        <v>1005856.815</v>
      </c>
      <c r="M120" s="175">
        <f>L120*(1+GROWTH_RATE_L)*(1-FMC*(1+Tax))</f>
        <v>1007810.811</v>
      </c>
      <c r="N120" s="175">
        <f>M120+IF(MOD(A120,B120)=0,VLOOKUP(B120,'Pre-Calculation'!$H$1:$L$31,5,FALSE),0)*IF('Pre-Calculation'!$D$16="% OF FV",M120,IF(OR('Pre-Calculation'!$D$16="% OF AFV(24M)",'Pre-Calculation'!$D$16="% OF AFV(8Q)"),AVERAGE( $M97:$M120),IF('Pre-Calculation'!$D$16="% OF AFV(12M)",AVERAGE($M109:M120),IF('Pre-Calculation'!$D$16="% OF AFV(36M)",AVERAGE($M85:M120)))))</f>
        <v>1007810.811</v>
      </c>
      <c r="O120" s="175">
        <f t="shared" si="4"/>
        <v>1007810.811</v>
      </c>
      <c r="P120" s="175">
        <f>IF('Pre-Calculation'!$D$17="Type 4 a",MAX(SA,N120,1.05*Q120),IF('Pre-Calculation'!$D$17="Type 4 c",N120,IF('Pre-Calculation'!$D$17="Type 4 d",SA+N120,IF('Pre-Calculation'!$D$17="Type 4 e",MAX(SA,N120),IF('Pre-Calculation'!$D$17="Type 4 f",SA,IF('Pre-Calculation'!$D$17="Type 4 g",1000+N120,IF('Pre-Calculation'!$D$17="Type 4 h",SA+X120,IF('Pre-Calculation'!$D$17="Type 4 i",MAX(N120,Q120),IF('Pre-Calculation'!$D$17="Type 4 k",MAX(N120,1.01*Q120),IF('Pre-Calculation'!$D$17="Type 4 m",MAX(105%*Q120,SA+N120),IF('Pre-Calculation'!$D$17="Type 4 o",MAX(SA,105%*Q120)+X120+Z120,IF('Pre-Calculation'!$D$17="Type 5",0))))))))))))</f>
        <v>1680000</v>
      </c>
      <c r="Q120" s="175">
        <f t="shared" si="5"/>
        <v>1600000</v>
      </c>
      <c r="R120" s="119">
        <f>L120*(1+GROWTH_RATE)*FMC</f>
        <v>1138.250258</v>
      </c>
      <c r="S120" s="178">
        <f>S119*(1+'Pre-Calculation'!$E$27)</f>
        <v>901252.9093</v>
      </c>
      <c r="T120" s="175">
        <f>-E120+IF(A119=INPUT!$C$11*12,N120,0)</f>
        <v>0</v>
      </c>
      <c r="U120" s="175">
        <f t="shared" si="6"/>
        <v>1100783.84</v>
      </c>
      <c r="V120" s="175">
        <f>U120*(1+GROWTH_RATE_L)*(1-'Pre-Calculation'!$E$31)</f>
        <v>1102548.357</v>
      </c>
      <c r="W120" s="175">
        <f>-E120+IF(A119=INPUT!$C$11*12,V120,0)</f>
        <v>0</v>
      </c>
      <c r="X120" s="179">
        <f t="array" ref="X120">NPV('Pre-Calculation'!$E$20,$E121:E$246)</f>
        <v>0</v>
      </c>
      <c r="Y120" s="171">
        <f>10%*SA</f>
        <v>100000</v>
      </c>
      <c r="Z120" s="179">
        <f t="array" ref="Z120">NPV('Pre-Calculation'!$E$20,Y121:Y130)</f>
        <v>969592.8037</v>
      </c>
    </row>
    <row r="121" ht="15.75" customHeight="1">
      <c r="A121" s="171">
        <f t="shared" si="1"/>
        <v>115</v>
      </c>
      <c r="B121" s="171">
        <f t="shared" si="2"/>
        <v>10</v>
      </c>
      <c r="C121" s="176">
        <f>EDATE(RCD,A120)</f>
        <v>46021</v>
      </c>
      <c r="D121" s="171">
        <f>Age_At_Entry+'Cashflows_4% from Start'!B121-1</f>
        <v>44</v>
      </c>
      <c r="E121" s="175">
        <f>IF(AND(C121&lt;=Last_Prem,MOD(A120,Mode)=0),Mod_Prem,0)</f>
        <v>0</v>
      </c>
      <c r="F121" s="177">
        <f>IF(B121&lt;PT+1,E121*VLOOKUP(B121,'Pre-Calculation'!$H$1:$I$31,2,FALSE),0)</f>
        <v>0</v>
      </c>
      <c r="G121" s="177">
        <f>IF(B121&lt;PT+1,VLOOKUP(B121,'Pre-Calculation'!$H$1:$L$32,3,FALSE)+VLOOKUP(B121,'Pre-Calculation'!$H$1:$L$32,4,FALSE)*'Pre-Calculation'!$D$7,0)</f>
        <v>830</v>
      </c>
      <c r="H121" s="175">
        <f>(E121-(F121+G121)*(1+Tax)+N120)</f>
        <v>1006831.411</v>
      </c>
      <c r="I121" s="175">
        <f>IF(B121&lt;PT+1,VLOOKUP(D121,'Pre-Calculation'!$N$3:$P$79,IF(INPUT!$C$4="M",2,3),FALSE)*(J121/1000)*(1/12),0)</f>
        <v>145.432464</v>
      </c>
      <c r="J121" s="175">
        <f t="shared" si="3"/>
        <v>673168.5895</v>
      </c>
      <c r="K121" s="175">
        <f>IF('Pre-Calculation'!$D$17="Type 4 a",MAX(SA,H121,1.05*Q121),IF('Pre-Calculation'!$D$17="Type 4 c",H121,IF('Pre-Calculation'!$D$17="Type 4 d",SA+H121,IF('Pre-Calculation'!$D$17="Type 4 e",MAX(SA,H121),IF('Pre-Calculation'!$D$17="Type 4 f",SA,IF('Pre-Calculation'!$D$17="Type 4 g",1000+H121,IF('Pre-Calculation'!$D$17="Type 4 h",SA+X121,IF('Pre-Calculation'!$D$17="Type 4 i",MAX(H121,Q121),IF('Pre-Calculation'!$D$17="Type 4 k",MAX(H121,1.01*Q121),IF('Pre-Calculation'!$D$17="Type 4 m",MAX(105%*Q121,SA+H121),IF('Pre-Calculation'!$D$17="Type 4 o",MAX(SA,105%*Q121)+X121+Z121,IF('Pre-Calculation'!$D$17="Type 5",0))))))))))))</f>
        <v>1680000</v>
      </c>
      <c r="L121" s="175">
        <f>H121-I121*(1+Tax)</f>
        <v>1006659.8</v>
      </c>
      <c r="M121" s="175">
        <f>L121*(1+GROWTH_RATE_L)*(1-FMC*(1+Tax))</f>
        <v>1008615.356</v>
      </c>
      <c r="N121" s="175">
        <f>M121+IF(MOD(A121,B121)=0,VLOOKUP(B121,'Pre-Calculation'!$H$1:$L$31,5,FALSE),0)*IF('Pre-Calculation'!$D$16="% OF FV",M121,IF(OR('Pre-Calculation'!$D$16="% OF AFV(24M)",'Pre-Calculation'!$D$16="% OF AFV(8Q)"),AVERAGE( $M98:$M121),IF('Pre-Calculation'!$D$16="% OF AFV(12M)",AVERAGE($M110:M121),IF('Pre-Calculation'!$D$16="% OF AFV(36M)",AVERAGE($M86:M121)))))</f>
        <v>1008615.356</v>
      </c>
      <c r="O121" s="175">
        <f t="shared" si="4"/>
        <v>1008615.356</v>
      </c>
      <c r="P121" s="175">
        <f>IF('Pre-Calculation'!$D$17="Type 4 a",MAX(SA,N121,1.05*Q121),IF('Pre-Calculation'!$D$17="Type 4 c",N121,IF('Pre-Calculation'!$D$17="Type 4 d",SA+N121,IF('Pre-Calculation'!$D$17="Type 4 e",MAX(SA,N121),IF('Pre-Calculation'!$D$17="Type 4 f",SA,IF('Pre-Calculation'!$D$17="Type 4 g",1000+N121,IF('Pre-Calculation'!$D$17="Type 4 h",SA+X121,IF('Pre-Calculation'!$D$17="Type 4 i",MAX(N121,Q121),IF('Pre-Calculation'!$D$17="Type 4 k",MAX(N121,1.01*Q121),IF('Pre-Calculation'!$D$17="Type 4 m",MAX(105%*Q121,SA+N121),IF('Pre-Calculation'!$D$17="Type 4 o",MAX(SA,105%*Q121)+X121+Z121,IF('Pre-Calculation'!$D$17="Type 5",0))))))))))))</f>
        <v>1680000</v>
      </c>
      <c r="Q121" s="175">
        <f t="shared" si="5"/>
        <v>1600000</v>
      </c>
      <c r="R121" s="119">
        <f>L121*(1+GROWTH_RATE)*FMC</f>
        <v>1139.158934</v>
      </c>
      <c r="S121" s="178">
        <f>S120*(1+'Pre-Calculation'!$E$27)</f>
        <v>903840.3152</v>
      </c>
      <c r="T121" s="175">
        <f>-E121+IF(A120=INPUT!$C$11*12,N121,0)</f>
        <v>0</v>
      </c>
      <c r="U121" s="175">
        <f t="shared" si="6"/>
        <v>1102548.357</v>
      </c>
      <c r="V121" s="175">
        <f>U121*(1+GROWTH_RATE_L)*(1-'Pre-Calculation'!$E$31)</f>
        <v>1104315.702</v>
      </c>
      <c r="W121" s="175">
        <f>-E121+IF(A120=INPUT!$C$11*12,V121,0)</f>
        <v>0</v>
      </c>
      <c r="X121" s="179">
        <f t="array" ref="X121">NPV('Pre-Calculation'!$E$20,$E122:E$246)</f>
        <v>0</v>
      </c>
      <c r="Y121" s="171">
        <f>10%*SA</f>
        <v>100000</v>
      </c>
      <c r="Z121" s="179">
        <f t="array" ref="Z121">NPV('Pre-Calculation'!$E$20,Y122:Y131)</f>
        <v>969592.8037</v>
      </c>
    </row>
    <row r="122" ht="15.75" customHeight="1">
      <c r="A122" s="171">
        <f t="shared" si="1"/>
        <v>116</v>
      </c>
      <c r="B122" s="171">
        <f t="shared" si="2"/>
        <v>10</v>
      </c>
      <c r="C122" s="176">
        <f>EDATE(RCD,A121)</f>
        <v>46052</v>
      </c>
      <c r="D122" s="171">
        <f>Age_At_Entry+'Cashflows_4% from Start'!B122-1</f>
        <v>44</v>
      </c>
      <c r="E122" s="175">
        <f>IF(AND(C122&lt;=Last_Prem,MOD(A121,Mode)=0),Mod_Prem,0)</f>
        <v>0</v>
      </c>
      <c r="F122" s="177">
        <f>IF(B122&lt;PT+1,E122*VLOOKUP(B122,'Pre-Calculation'!$H$1:$I$31,2,FALSE),0)</f>
        <v>0</v>
      </c>
      <c r="G122" s="177">
        <f>IF(B122&lt;PT+1,VLOOKUP(B122,'Pre-Calculation'!$H$1:$L$32,3,FALSE)+VLOOKUP(B122,'Pre-Calculation'!$H$1:$L$32,4,FALSE)*'Pre-Calculation'!$D$7,0)</f>
        <v>830</v>
      </c>
      <c r="H122" s="175">
        <f>(E122-(F122+G122)*(1+Tax)+N121)</f>
        <v>1007635.956</v>
      </c>
      <c r="I122" s="175">
        <f>IF(B122&lt;PT+1,VLOOKUP(D122,'Pre-Calculation'!$N$3:$P$79,IF(INPUT!$C$4="M",2,3),FALSE)*(J122/1000)*(1/12),0)</f>
        <v>145.2586487</v>
      </c>
      <c r="J122" s="175">
        <f t="shared" si="3"/>
        <v>672364.0442</v>
      </c>
      <c r="K122" s="175">
        <f>IF('Pre-Calculation'!$D$17="Type 4 a",MAX(SA,H122,1.05*Q122),IF('Pre-Calculation'!$D$17="Type 4 c",H122,IF('Pre-Calculation'!$D$17="Type 4 d",SA+H122,IF('Pre-Calculation'!$D$17="Type 4 e",MAX(SA,H122),IF('Pre-Calculation'!$D$17="Type 4 f",SA,IF('Pre-Calculation'!$D$17="Type 4 g",1000+H122,IF('Pre-Calculation'!$D$17="Type 4 h",SA+X122,IF('Pre-Calculation'!$D$17="Type 4 i",MAX(H122,Q122),IF('Pre-Calculation'!$D$17="Type 4 k",MAX(H122,1.01*Q122),IF('Pre-Calculation'!$D$17="Type 4 m",MAX(105%*Q122,SA+H122),IF('Pre-Calculation'!$D$17="Type 4 o",MAX(SA,105%*Q122)+X122+Z122,IF('Pre-Calculation'!$D$17="Type 5",0))))))))))))</f>
        <v>1680000</v>
      </c>
      <c r="L122" s="175">
        <f>H122-I122*(1+Tax)</f>
        <v>1007464.551</v>
      </c>
      <c r="M122" s="175">
        <f>L122*(1+GROWTH_RATE_L)*(1-FMC*(1+Tax))</f>
        <v>1009421.67</v>
      </c>
      <c r="N122" s="175">
        <f>M122+IF(MOD(A122,B122)=0,VLOOKUP(B122,'Pre-Calculation'!$H$1:$L$31,5,FALSE),0)*IF('Pre-Calculation'!$D$16="% OF FV",M122,IF(OR('Pre-Calculation'!$D$16="% OF AFV(24M)",'Pre-Calculation'!$D$16="% OF AFV(8Q)"),AVERAGE( $M99:$M122),IF('Pre-Calculation'!$D$16="% OF AFV(12M)",AVERAGE($M111:M122),IF('Pre-Calculation'!$D$16="% OF AFV(36M)",AVERAGE($M87:M122)))))</f>
        <v>1009421.67</v>
      </c>
      <c r="O122" s="175">
        <f t="shared" si="4"/>
        <v>1009421.67</v>
      </c>
      <c r="P122" s="175">
        <f>IF('Pre-Calculation'!$D$17="Type 4 a",MAX(SA,N122,1.05*Q122),IF('Pre-Calculation'!$D$17="Type 4 c",N122,IF('Pre-Calculation'!$D$17="Type 4 d",SA+N122,IF('Pre-Calculation'!$D$17="Type 4 e",MAX(SA,N122),IF('Pre-Calculation'!$D$17="Type 4 f",SA,IF('Pre-Calculation'!$D$17="Type 4 g",1000+N122,IF('Pre-Calculation'!$D$17="Type 4 h",SA+X122,IF('Pre-Calculation'!$D$17="Type 4 i",MAX(N122,Q122),IF('Pre-Calculation'!$D$17="Type 4 k",MAX(N122,1.01*Q122),IF('Pre-Calculation'!$D$17="Type 4 m",MAX(105%*Q122,SA+N122),IF('Pre-Calculation'!$D$17="Type 4 o",MAX(SA,105%*Q122)+X122+Z122,IF('Pre-Calculation'!$D$17="Type 5",0))))))))))))</f>
        <v>1680000</v>
      </c>
      <c r="Q122" s="175">
        <f t="shared" si="5"/>
        <v>1600000</v>
      </c>
      <c r="R122" s="119">
        <f>L122*(1+GROWTH_RATE)*FMC</f>
        <v>1140.069608</v>
      </c>
      <c r="S122" s="178">
        <f>S121*(1+'Pre-Calculation'!$E$27)</f>
        <v>906435.1492</v>
      </c>
      <c r="T122" s="175">
        <f>-E122+IF(A121=INPUT!$C$11*12,N122,0)</f>
        <v>0</v>
      </c>
      <c r="U122" s="175">
        <f t="shared" si="6"/>
        <v>1104315.702</v>
      </c>
      <c r="V122" s="175">
        <f>U122*(1+GROWTH_RATE_L)*(1-'Pre-Calculation'!$E$31)</f>
        <v>1106085.88</v>
      </c>
      <c r="W122" s="175">
        <f>-E122+IF(A121=INPUT!$C$11*12,V122,0)</f>
        <v>0</v>
      </c>
      <c r="X122" s="179">
        <f t="array" ref="X122">NPV('Pre-Calculation'!$E$20,$E123:E$246)</f>
        <v>0</v>
      </c>
      <c r="Y122" s="171">
        <f>10%*SA</f>
        <v>100000</v>
      </c>
      <c r="Z122" s="179">
        <f t="array" ref="Z122">NPV('Pre-Calculation'!$E$20,Y123:Y132)</f>
        <v>969592.8037</v>
      </c>
    </row>
    <row r="123" ht="15.75" customHeight="1">
      <c r="A123" s="171">
        <f t="shared" si="1"/>
        <v>117</v>
      </c>
      <c r="B123" s="171">
        <f t="shared" si="2"/>
        <v>10</v>
      </c>
      <c r="C123" s="176">
        <f>EDATE(RCD,A122)</f>
        <v>46081</v>
      </c>
      <c r="D123" s="171">
        <f>Age_At_Entry+'Cashflows_4% from Start'!B123-1</f>
        <v>44</v>
      </c>
      <c r="E123" s="175">
        <f>IF(AND(C123&lt;=Last_Prem,MOD(A122,Mode)=0),Mod_Prem,0)</f>
        <v>0</v>
      </c>
      <c r="F123" s="177">
        <f>IF(B123&lt;PT+1,E123*VLOOKUP(B123,'Pre-Calculation'!$H$1:$I$31,2,FALSE),0)</f>
        <v>0</v>
      </c>
      <c r="G123" s="177">
        <f>IF(B123&lt;PT+1,VLOOKUP(B123,'Pre-Calculation'!$H$1:$L$32,3,FALSE)+VLOOKUP(B123,'Pre-Calculation'!$H$1:$L$32,4,FALSE)*'Pre-Calculation'!$D$7,0)</f>
        <v>830</v>
      </c>
      <c r="H123" s="175">
        <f>(E123-(F123+G123)*(1+Tax)+N122)</f>
        <v>1008442.27</v>
      </c>
      <c r="I123" s="175">
        <f>IF(B123&lt;PT+1,VLOOKUP(D123,'Pre-Calculation'!$N$3:$P$79,IF(INPUT!$C$4="M",2,3),FALSE)*(J123/1000)*(1/12),0)</f>
        <v>145.0844513</v>
      </c>
      <c r="J123" s="175">
        <f t="shared" si="3"/>
        <v>671557.7304</v>
      </c>
      <c r="K123" s="175">
        <f>IF('Pre-Calculation'!$D$17="Type 4 a",MAX(SA,H123,1.05*Q123),IF('Pre-Calculation'!$D$17="Type 4 c",H123,IF('Pre-Calculation'!$D$17="Type 4 d",SA+H123,IF('Pre-Calculation'!$D$17="Type 4 e",MAX(SA,H123),IF('Pre-Calculation'!$D$17="Type 4 f",SA,IF('Pre-Calculation'!$D$17="Type 4 g",1000+H123,IF('Pre-Calculation'!$D$17="Type 4 h",SA+X123,IF('Pre-Calculation'!$D$17="Type 4 i",MAX(H123,Q123),IF('Pre-Calculation'!$D$17="Type 4 k",MAX(H123,1.01*Q123),IF('Pre-Calculation'!$D$17="Type 4 m",MAX(105%*Q123,SA+H123),IF('Pre-Calculation'!$D$17="Type 4 o",MAX(SA,105%*Q123)+X123+Z123,IF('Pre-Calculation'!$D$17="Type 5",0))))))))))))</f>
        <v>1680000</v>
      </c>
      <c r="L123" s="175">
        <f>H123-I123*(1+Tax)</f>
        <v>1008271.07</v>
      </c>
      <c r="M123" s="175">
        <f>L123*(1+GROWTH_RATE_L)*(1-FMC*(1+Tax))</f>
        <v>1010229.756</v>
      </c>
      <c r="N123" s="175">
        <f>M123+IF(MOD(A123,B123)=0,VLOOKUP(B123,'Pre-Calculation'!$H$1:$L$31,5,FALSE),0)*IF('Pre-Calculation'!$D$16="% OF FV",M123,IF(OR('Pre-Calculation'!$D$16="% OF AFV(24M)",'Pre-Calculation'!$D$16="% OF AFV(8Q)"),AVERAGE( $M100:$M123),IF('Pre-Calculation'!$D$16="% OF AFV(12M)",AVERAGE($M112:M123),IF('Pre-Calculation'!$D$16="% OF AFV(36M)",AVERAGE($M88:M123)))))</f>
        <v>1010229.756</v>
      </c>
      <c r="O123" s="175">
        <f t="shared" si="4"/>
        <v>1010229.756</v>
      </c>
      <c r="P123" s="175">
        <f>IF('Pre-Calculation'!$D$17="Type 4 a",MAX(SA,N123,1.05*Q123),IF('Pre-Calculation'!$D$17="Type 4 c",N123,IF('Pre-Calculation'!$D$17="Type 4 d",SA+N123,IF('Pre-Calculation'!$D$17="Type 4 e",MAX(SA,N123),IF('Pre-Calculation'!$D$17="Type 4 f",SA,IF('Pre-Calculation'!$D$17="Type 4 g",1000+N123,IF('Pre-Calculation'!$D$17="Type 4 h",SA+X123,IF('Pre-Calculation'!$D$17="Type 4 i",MAX(N123,Q123),IF('Pre-Calculation'!$D$17="Type 4 k",MAX(N123,1.01*Q123),IF('Pre-Calculation'!$D$17="Type 4 m",MAX(105%*Q123,SA+N123),IF('Pre-Calculation'!$D$17="Type 4 o",MAX(SA,105%*Q123)+X123+Z123,IF('Pre-Calculation'!$D$17="Type 5",0))))))))))))</f>
        <v>1680000</v>
      </c>
      <c r="Q123" s="175">
        <f t="shared" si="5"/>
        <v>1600000</v>
      </c>
      <c r="R123" s="119">
        <f>L123*(1+GROWTH_RATE)*FMC</f>
        <v>1140.982283</v>
      </c>
      <c r="S123" s="178">
        <f>S122*(1+'Pre-Calculation'!$E$27)</f>
        <v>909037.4327</v>
      </c>
      <c r="T123" s="175">
        <f>-E123+IF(A122=INPUT!$C$11*12,N123,0)</f>
        <v>0</v>
      </c>
      <c r="U123" s="175">
        <f t="shared" si="6"/>
        <v>1106085.88</v>
      </c>
      <c r="V123" s="175">
        <f>U123*(1+GROWTH_RATE_L)*(1-'Pre-Calculation'!$E$31)</f>
        <v>1107858.895</v>
      </c>
      <c r="W123" s="175">
        <f>-E123+IF(A122=INPUT!$C$11*12,V123,0)</f>
        <v>0</v>
      </c>
      <c r="X123" s="179">
        <f t="array" ref="X123">NPV('Pre-Calculation'!$E$20,$E124:E$246)</f>
        <v>0</v>
      </c>
      <c r="Y123" s="171">
        <f>10%*SA</f>
        <v>100000</v>
      </c>
      <c r="Z123" s="179">
        <f t="array" ref="Z123">NPV('Pre-Calculation'!$E$20,Y124:Y133)</f>
        <v>969592.8037</v>
      </c>
    </row>
    <row r="124" ht="15.75" customHeight="1">
      <c r="A124" s="171">
        <f t="shared" si="1"/>
        <v>118</v>
      </c>
      <c r="B124" s="171">
        <f t="shared" si="2"/>
        <v>10</v>
      </c>
      <c r="C124" s="176">
        <f>EDATE(RCD,A123)</f>
        <v>46111</v>
      </c>
      <c r="D124" s="171">
        <f>Age_At_Entry+'Cashflows_4% from Start'!B124-1</f>
        <v>44</v>
      </c>
      <c r="E124" s="175">
        <f>IF(AND(C124&lt;=Last_Prem,MOD(A123,Mode)=0),Mod_Prem,0)</f>
        <v>0</v>
      </c>
      <c r="F124" s="177">
        <f>IF(B124&lt;PT+1,E124*VLOOKUP(B124,'Pre-Calculation'!$H$1:$I$31,2,FALSE),0)</f>
        <v>0</v>
      </c>
      <c r="G124" s="177">
        <f>IF(B124&lt;PT+1,VLOOKUP(B124,'Pre-Calculation'!$H$1:$L$32,3,FALSE)+VLOOKUP(B124,'Pre-Calculation'!$H$1:$L$32,4,FALSE)*'Pre-Calculation'!$D$7,0)</f>
        <v>830</v>
      </c>
      <c r="H124" s="175">
        <f>(E124-(F124+G124)*(1+Tax)+N123)</f>
        <v>1009250.356</v>
      </c>
      <c r="I124" s="175">
        <f>IF(B124&lt;PT+1,VLOOKUP(D124,'Pre-Calculation'!$N$3:$P$79,IF(INPUT!$C$4="M",2,3),FALSE)*(J124/1000)*(1/12),0)</f>
        <v>144.9098711</v>
      </c>
      <c r="J124" s="175">
        <f t="shared" si="3"/>
        <v>670749.6444</v>
      </c>
      <c r="K124" s="175">
        <f>IF('Pre-Calculation'!$D$17="Type 4 a",MAX(SA,H124,1.05*Q124),IF('Pre-Calculation'!$D$17="Type 4 c",H124,IF('Pre-Calculation'!$D$17="Type 4 d",SA+H124,IF('Pre-Calculation'!$D$17="Type 4 e",MAX(SA,H124),IF('Pre-Calculation'!$D$17="Type 4 f",SA,IF('Pre-Calculation'!$D$17="Type 4 g",1000+H124,IF('Pre-Calculation'!$D$17="Type 4 h",SA+X124,IF('Pre-Calculation'!$D$17="Type 4 i",MAX(H124,Q124),IF('Pre-Calculation'!$D$17="Type 4 k",MAX(H124,1.01*Q124),IF('Pre-Calculation'!$D$17="Type 4 m",MAX(105%*Q124,SA+H124),IF('Pre-Calculation'!$D$17="Type 4 o",MAX(SA,105%*Q124)+X124+Z124,IF('Pre-Calculation'!$D$17="Type 5",0))))))))))))</f>
        <v>1680000</v>
      </c>
      <c r="L124" s="175">
        <f>H124-I124*(1+Tax)</f>
        <v>1009079.362</v>
      </c>
      <c r="M124" s="175">
        <f>L124*(1+GROWTH_RATE_L)*(1-FMC*(1+Tax))</f>
        <v>1011039.618</v>
      </c>
      <c r="N124" s="175">
        <f>M124+IF(MOD(A124,B124)=0,VLOOKUP(B124,'Pre-Calculation'!$H$1:$L$31,5,FALSE),0)*IF('Pre-Calculation'!$D$16="% OF FV",M124,IF(OR('Pre-Calculation'!$D$16="% OF AFV(24M)",'Pre-Calculation'!$D$16="% OF AFV(8Q)"),AVERAGE( $M101:$M124),IF('Pre-Calculation'!$D$16="% OF AFV(12M)",AVERAGE($M113:M124),IF('Pre-Calculation'!$D$16="% OF AFV(36M)",AVERAGE($M89:M124)))))</f>
        <v>1011039.618</v>
      </c>
      <c r="O124" s="175">
        <f t="shared" si="4"/>
        <v>1011039.618</v>
      </c>
      <c r="P124" s="175">
        <f>IF('Pre-Calculation'!$D$17="Type 4 a",MAX(SA,N124,1.05*Q124),IF('Pre-Calculation'!$D$17="Type 4 c",N124,IF('Pre-Calculation'!$D$17="Type 4 d",SA+N124,IF('Pre-Calculation'!$D$17="Type 4 e",MAX(SA,N124),IF('Pre-Calculation'!$D$17="Type 4 f",SA,IF('Pre-Calculation'!$D$17="Type 4 g",1000+N124,IF('Pre-Calculation'!$D$17="Type 4 h",SA+X124,IF('Pre-Calculation'!$D$17="Type 4 i",MAX(N124,Q124),IF('Pre-Calculation'!$D$17="Type 4 k",MAX(N124,1.01*Q124),IF('Pre-Calculation'!$D$17="Type 4 m",MAX(105%*Q124,SA+N124),IF('Pre-Calculation'!$D$17="Type 4 o",MAX(SA,105%*Q124)+X124+Z124,IF('Pre-Calculation'!$D$17="Type 5",0))))))))))))</f>
        <v>1680000</v>
      </c>
      <c r="Q124" s="175">
        <f t="shared" si="5"/>
        <v>1600000</v>
      </c>
      <c r="R124" s="119">
        <f>L124*(1+GROWTH_RATE)*FMC</f>
        <v>1141.896965</v>
      </c>
      <c r="S124" s="178">
        <f>S123*(1+'Pre-Calculation'!$E$27)</f>
        <v>911647.1871</v>
      </c>
      <c r="T124" s="175">
        <f>-E124+IF(A123=INPUT!$C$11*12,N124,0)</f>
        <v>0</v>
      </c>
      <c r="U124" s="175">
        <f t="shared" si="6"/>
        <v>1107858.895</v>
      </c>
      <c r="V124" s="175">
        <f>U124*(1+GROWTH_RATE_L)*(1-'Pre-Calculation'!$E$31)</f>
        <v>1109634.753</v>
      </c>
      <c r="W124" s="175">
        <f>-E124+IF(A123=INPUT!$C$11*12,V124,0)</f>
        <v>0</v>
      </c>
      <c r="X124" s="179">
        <f t="array" ref="X124">NPV('Pre-Calculation'!$E$20,$E125:E$246)</f>
        <v>0</v>
      </c>
      <c r="Y124" s="171">
        <f>10%*SA</f>
        <v>100000</v>
      </c>
      <c r="Z124" s="179">
        <f t="array" ref="Z124">NPV('Pre-Calculation'!$E$20,Y125:Y134)</f>
        <v>969592.8037</v>
      </c>
    </row>
    <row r="125" ht="15.75" customHeight="1">
      <c r="A125" s="171">
        <f t="shared" si="1"/>
        <v>119</v>
      </c>
      <c r="B125" s="171">
        <f t="shared" si="2"/>
        <v>10</v>
      </c>
      <c r="C125" s="176">
        <f>EDATE(RCD,A124)</f>
        <v>46142</v>
      </c>
      <c r="D125" s="171">
        <f>Age_At_Entry+'Cashflows_4% from Start'!B125-1</f>
        <v>44</v>
      </c>
      <c r="E125" s="175">
        <f>IF(AND(C125&lt;=Last_Prem,MOD(A124,Mode)=0),Mod_Prem,0)</f>
        <v>0</v>
      </c>
      <c r="F125" s="177">
        <f>IF(B125&lt;PT+1,E125*VLOOKUP(B125,'Pre-Calculation'!$H$1:$I$31,2,FALSE),0)</f>
        <v>0</v>
      </c>
      <c r="G125" s="177">
        <f>IF(B125&lt;PT+1,VLOOKUP(B125,'Pre-Calculation'!$H$1:$L$32,3,FALSE)+VLOOKUP(B125,'Pre-Calculation'!$H$1:$L$32,4,FALSE)*'Pre-Calculation'!$D$7,0)</f>
        <v>830</v>
      </c>
      <c r="H125" s="175">
        <f>(E125-(F125+G125)*(1+Tax)+N124)</f>
        <v>1010060.218</v>
      </c>
      <c r="I125" s="175">
        <f>IF(B125&lt;PT+1,VLOOKUP(D125,'Pre-Calculation'!$N$3:$P$79,IF(INPUT!$C$4="M",2,3),FALSE)*(J125/1000)*(1/12),0)</f>
        <v>144.7349071</v>
      </c>
      <c r="J125" s="175">
        <f t="shared" si="3"/>
        <v>669939.7821</v>
      </c>
      <c r="K125" s="175">
        <f>IF('Pre-Calculation'!$D$17="Type 4 a",MAX(SA,H125,1.05*Q125),IF('Pre-Calculation'!$D$17="Type 4 c",H125,IF('Pre-Calculation'!$D$17="Type 4 d",SA+H125,IF('Pre-Calculation'!$D$17="Type 4 e",MAX(SA,H125),IF('Pre-Calculation'!$D$17="Type 4 f",SA,IF('Pre-Calculation'!$D$17="Type 4 g",1000+H125,IF('Pre-Calculation'!$D$17="Type 4 h",SA+X125,IF('Pre-Calculation'!$D$17="Type 4 i",MAX(H125,Q125),IF('Pre-Calculation'!$D$17="Type 4 k",MAX(H125,1.01*Q125),IF('Pre-Calculation'!$D$17="Type 4 m",MAX(105%*Q125,SA+H125),IF('Pre-Calculation'!$D$17="Type 4 o",MAX(SA,105%*Q125)+X125+Z125,IF('Pre-Calculation'!$D$17="Type 5",0))))))))))))</f>
        <v>1680000</v>
      </c>
      <c r="L125" s="175">
        <f>H125-I125*(1+Tax)</f>
        <v>1009889.431</v>
      </c>
      <c r="M125" s="175">
        <f>L125*(1+GROWTH_RATE_L)*(1-FMC*(1+Tax))</f>
        <v>1011851.26</v>
      </c>
      <c r="N125" s="175">
        <f>M125+IF(MOD(A125,B125)=0,VLOOKUP(B125,'Pre-Calculation'!$H$1:$L$31,5,FALSE),0)*IF('Pre-Calculation'!$D$16="% OF FV",M125,IF(OR('Pre-Calculation'!$D$16="% OF AFV(24M)",'Pre-Calculation'!$D$16="% OF AFV(8Q)"),AVERAGE( $M102:$M125),IF('Pre-Calculation'!$D$16="% OF AFV(12M)",AVERAGE($M114:M125),IF('Pre-Calculation'!$D$16="% OF AFV(36M)",AVERAGE($M90:M125)))))</f>
        <v>1011851.26</v>
      </c>
      <c r="O125" s="175">
        <f t="shared" si="4"/>
        <v>1011851.26</v>
      </c>
      <c r="P125" s="175">
        <f>IF('Pre-Calculation'!$D$17="Type 4 a",MAX(SA,N125,1.05*Q125),IF('Pre-Calculation'!$D$17="Type 4 c",N125,IF('Pre-Calculation'!$D$17="Type 4 d",SA+N125,IF('Pre-Calculation'!$D$17="Type 4 e",MAX(SA,N125),IF('Pre-Calculation'!$D$17="Type 4 f",SA,IF('Pre-Calculation'!$D$17="Type 4 g",1000+N125,IF('Pre-Calculation'!$D$17="Type 4 h",SA+X125,IF('Pre-Calculation'!$D$17="Type 4 i",MAX(N125,Q125),IF('Pre-Calculation'!$D$17="Type 4 k",MAX(N125,1.01*Q125),IF('Pre-Calculation'!$D$17="Type 4 m",MAX(105%*Q125,SA+N125),IF('Pre-Calculation'!$D$17="Type 4 o",MAX(SA,105%*Q125)+X125+Z125,IF('Pre-Calculation'!$D$17="Type 5",0))))))))))))</f>
        <v>1680000</v>
      </c>
      <c r="Q125" s="175">
        <f t="shared" si="5"/>
        <v>1600000</v>
      </c>
      <c r="R125" s="119">
        <f>L125*(1+GROWTH_RATE)*FMC</f>
        <v>1142.813657</v>
      </c>
      <c r="S125" s="178">
        <f>S124*(1+'Pre-Calculation'!$E$27)</f>
        <v>914264.4338</v>
      </c>
      <c r="T125" s="175">
        <f>-E125+IF(A124=INPUT!$C$11*12,N125,0)</f>
        <v>0</v>
      </c>
      <c r="U125" s="175">
        <f t="shared" si="6"/>
        <v>1109634.753</v>
      </c>
      <c r="V125" s="175">
        <f>U125*(1+GROWTH_RATE_L)*(1-'Pre-Calculation'!$E$31)</f>
        <v>1111413.458</v>
      </c>
      <c r="W125" s="175">
        <f>-E125+IF(A124=INPUT!$C$11*12,V125,0)</f>
        <v>0</v>
      </c>
      <c r="X125" s="179">
        <f t="array" ref="X125">NPV('Pre-Calculation'!$E$20,$E126:E$246)</f>
        <v>0</v>
      </c>
      <c r="Y125" s="171">
        <f>10%*SA</f>
        <v>100000</v>
      </c>
      <c r="Z125" s="179">
        <f t="array" ref="Z125">NPV('Pre-Calculation'!$E$20,Y126:Y135)</f>
        <v>969592.8037</v>
      </c>
    </row>
    <row r="126" ht="15.75" customHeight="1">
      <c r="A126" s="171">
        <f t="shared" si="1"/>
        <v>120</v>
      </c>
      <c r="B126" s="171">
        <f t="shared" si="2"/>
        <v>10</v>
      </c>
      <c r="C126" s="176">
        <f>EDATE(RCD,A125)</f>
        <v>46172</v>
      </c>
      <c r="D126" s="171">
        <f>Age_At_Entry+'Cashflows_4% from Start'!B126-1</f>
        <v>44</v>
      </c>
      <c r="E126" s="175">
        <f>IF(AND(C126&lt;=Last_Prem,MOD(A125,Mode)=0),Mod_Prem,0)</f>
        <v>0</v>
      </c>
      <c r="F126" s="177">
        <f>IF(B126&lt;PT+1,E126*VLOOKUP(B126,'Pre-Calculation'!$H$1:$I$31,2,FALSE),0)</f>
        <v>0</v>
      </c>
      <c r="G126" s="177">
        <f>IF(B126&lt;PT+1,VLOOKUP(B126,'Pre-Calculation'!$H$1:$L$32,3,FALSE)+VLOOKUP(B126,'Pre-Calculation'!$H$1:$L$32,4,FALSE)*'Pre-Calculation'!$D$7,0)</f>
        <v>830</v>
      </c>
      <c r="H126" s="175">
        <f>(E126-(F126+G126)*(1+Tax)+N125)</f>
        <v>1010871.86</v>
      </c>
      <c r="I126" s="175">
        <f>IF(B126&lt;PT+1,VLOOKUP(D126,'Pre-Calculation'!$N$3:$P$79,IF(INPUT!$C$4="M",2,3),FALSE)*(J126/1000)*(1/12),0)</f>
        <v>144.5595585</v>
      </c>
      <c r="J126" s="175">
        <f t="shared" si="3"/>
        <v>669128.1398</v>
      </c>
      <c r="K126" s="175">
        <f>IF('Pre-Calculation'!$D$17="Type 4 a",MAX(SA,H126,1.05*Q126),IF('Pre-Calculation'!$D$17="Type 4 c",H126,IF('Pre-Calculation'!$D$17="Type 4 d",SA+H126,IF('Pre-Calculation'!$D$17="Type 4 e",MAX(SA,H126),IF('Pre-Calculation'!$D$17="Type 4 f",SA,IF('Pre-Calculation'!$D$17="Type 4 g",1000+H126,IF('Pre-Calculation'!$D$17="Type 4 h",SA+X126,IF('Pre-Calculation'!$D$17="Type 4 i",MAX(H126,Q126),IF('Pre-Calculation'!$D$17="Type 4 k",MAX(H126,1.01*Q126),IF('Pre-Calculation'!$D$17="Type 4 m",MAX(105%*Q126,SA+H126),IF('Pre-Calculation'!$D$17="Type 4 o",MAX(SA,105%*Q126)+X126+Z126,IF('Pre-Calculation'!$D$17="Type 5",0))))))))))))</f>
        <v>1680000</v>
      </c>
      <c r="L126" s="175">
        <f>H126-I126*(1+Tax)</f>
        <v>1010701.28</v>
      </c>
      <c r="M126" s="175">
        <f>L126*(1+GROWTH_RATE_L)*(1-FMC*(1+Tax))</f>
        <v>1012664.687</v>
      </c>
      <c r="N126" s="175">
        <f>M126+IF(MOD(A126,B126)=0,VLOOKUP(B126,'Pre-Calculation'!$H$1:$L$31,5,FALSE),0)*IF('Pre-Calculation'!$D$16="% OF FV",M126,IF(OR('Pre-Calculation'!$D$16="% OF AFV(24M)",'Pre-Calculation'!$D$16="% OF AFV(8Q)"),AVERAGE( $M103:$M126),IF('Pre-Calculation'!$D$16="% OF AFV(12M)",AVERAGE($M115:M126),IF('Pre-Calculation'!$D$16="% OF AFV(36M)",AVERAGE($M91:M126)))))</f>
        <v>1012664.687</v>
      </c>
      <c r="O126" s="175">
        <f t="shared" si="4"/>
        <v>1012664.687</v>
      </c>
      <c r="P126" s="175">
        <f>IF('Pre-Calculation'!$D$17="Type 4 a",MAX(SA,N126,1.05*Q126),IF('Pre-Calculation'!$D$17="Type 4 c",N126,IF('Pre-Calculation'!$D$17="Type 4 d",SA+N126,IF('Pre-Calculation'!$D$17="Type 4 e",MAX(SA,N126),IF('Pre-Calculation'!$D$17="Type 4 f",SA,IF('Pre-Calculation'!$D$17="Type 4 g",1000+N126,IF('Pre-Calculation'!$D$17="Type 4 h",SA+X126,IF('Pre-Calculation'!$D$17="Type 4 i",MAX(N126,Q126),IF('Pre-Calculation'!$D$17="Type 4 k",MAX(N126,1.01*Q126),IF('Pre-Calculation'!$D$17="Type 4 m",MAX(105%*Q126,SA+N126),IF('Pre-Calculation'!$D$17="Type 4 o",MAX(SA,105%*Q126)+X126+Z126,IF('Pre-Calculation'!$D$17="Type 5",0))))))))))))</f>
        <v>1680000</v>
      </c>
      <c r="Q126" s="175">
        <f t="shared" si="5"/>
        <v>1600000</v>
      </c>
      <c r="R126" s="119">
        <f>L126*(1+GROWTH_RATE)*FMC</f>
        <v>1143.732364</v>
      </c>
      <c r="S126" s="178">
        <f>S125*(1+'Pre-Calculation'!$E$27)</f>
        <v>916889.1944</v>
      </c>
      <c r="T126" s="175">
        <f>-E126+IF(A125=INPUT!$C$11*12,N126,0)</f>
        <v>0</v>
      </c>
      <c r="U126" s="175">
        <f t="shared" si="6"/>
        <v>1111413.458</v>
      </c>
      <c r="V126" s="175">
        <f>U126*(1+GROWTH_RATE_L)*(1-'Pre-Calculation'!$E$31)</f>
        <v>1113195.013</v>
      </c>
      <c r="W126" s="175">
        <f>-E126+IF(A125=INPUT!$C$11*12,V126,0)</f>
        <v>0</v>
      </c>
      <c r="X126" s="179">
        <f t="array" ref="X126">NPV('Pre-Calculation'!$E$20,$E127:E$246)</f>
        <v>0</v>
      </c>
      <c r="Y126" s="171">
        <f>10%*SA</f>
        <v>100000</v>
      </c>
      <c r="Z126" s="179">
        <f t="array" ref="Z126">NPV('Pre-Calculation'!$E$20,Y127:Y136)</f>
        <v>969592.8037</v>
      </c>
    </row>
    <row r="127" ht="15.75" customHeight="1">
      <c r="A127" s="171">
        <f t="shared" si="1"/>
        <v>121</v>
      </c>
      <c r="B127" s="171">
        <f t="shared" si="2"/>
        <v>11</v>
      </c>
      <c r="C127" s="176">
        <f>EDATE(RCD,A126)</f>
        <v>46203</v>
      </c>
      <c r="D127" s="171">
        <f>Age_At_Entry+'Cashflows_4% from Start'!B127-1</f>
        <v>45</v>
      </c>
      <c r="E127" s="175">
        <f>IF(AND(C127&lt;=Last_Prem,MOD(A126,Mode)=0),Mod_Prem,0)</f>
        <v>0</v>
      </c>
      <c r="F127" s="177">
        <f>IF(B127&lt;PT+1,E127*VLOOKUP(B127,'Pre-Calculation'!$H$1:$I$31,2,FALSE),0)</f>
        <v>0</v>
      </c>
      <c r="G127" s="177">
        <f>IF(B127&lt;PT+1,VLOOKUP(B127,'Pre-Calculation'!$H$1:$L$32,3,FALSE)+VLOOKUP(B127,'Pre-Calculation'!$H$1:$L$32,4,FALSE)*'Pre-Calculation'!$D$7,0)</f>
        <v>0</v>
      </c>
      <c r="H127" s="175">
        <f>(E127-(F127+G127)*(1+Tax)+N126)</f>
        <v>1012664.687</v>
      </c>
      <c r="I127" s="175">
        <f>IF(B127&lt;PT+1,VLOOKUP(D127,'Pre-Calculation'!$N$3:$P$79,IF(INPUT!$C$4="M",2,3),FALSE)*(J127/1000)*(1/12),0)</f>
        <v>0</v>
      </c>
      <c r="J127" s="175">
        <f t="shared" si="3"/>
        <v>667335.3134</v>
      </c>
      <c r="K127" s="175">
        <f>IF('Pre-Calculation'!$D$17="Type 4 a",MAX(SA,H127,1.05*Q127),IF('Pre-Calculation'!$D$17="Type 4 c",H127,IF('Pre-Calculation'!$D$17="Type 4 d",SA+H127,IF('Pre-Calculation'!$D$17="Type 4 e",MAX(SA,H127),IF('Pre-Calculation'!$D$17="Type 4 f",SA,IF('Pre-Calculation'!$D$17="Type 4 g",1000+H127,IF('Pre-Calculation'!$D$17="Type 4 h",SA+X127,IF('Pre-Calculation'!$D$17="Type 4 i",MAX(H127,Q127),IF('Pre-Calculation'!$D$17="Type 4 k",MAX(H127,1.01*Q127),IF('Pre-Calculation'!$D$17="Type 4 m",MAX(105%*Q127,SA+H127),IF('Pre-Calculation'!$D$17="Type 4 o",MAX(SA,105%*Q127)+X127+Z127,IF('Pre-Calculation'!$D$17="Type 5",0))))))))))))</f>
        <v>1680000</v>
      </c>
      <c r="L127" s="175">
        <f>H127-I127*(1+Tax)</f>
        <v>1012664.687</v>
      </c>
      <c r="M127" s="175">
        <f>L127*(1+GROWTH_RATE_L)*(1-FMC*(1+Tax))</f>
        <v>1014631.907</v>
      </c>
      <c r="N127" s="175">
        <f>M127+IF(MOD(A127,B127)=0,VLOOKUP(B127,'Pre-Calculation'!$H$1:$L$31,5,FALSE),0)*IF('Pre-Calculation'!$D$16="% OF FV",M127,IF(OR('Pre-Calculation'!$D$16="% OF AFV(24M)",'Pre-Calculation'!$D$16="% OF AFV(8Q)"),AVERAGE( $M104:$M127),IF('Pre-Calculation'!$D$16="% OF AFV(12M)",AVERAGE($M116:M127),IF('Pre-Calculation'!$D$16="% OF AFV(36M)",AVERAGE($M92:M127)))))</f>
        <v>1014631.907</v>
      </c>
      <c r="O127" s="175">
        <f t="shared" si="4"/>
        <v>1014631.907</v>
      </c>
      <c r="P127" s="175">
        <f>IF('Pre-Calculation'!$D$17="Type 4 a",MAX(SA,N127,1.05*Q127),IF('Pre-Calculation'!$D$17="Type 4 c",N127,IF('Pre-Calculation'!$D$17="Type 4 d",SA+N127,IF('Pre-Calculation'!$D$17="Type 4 e",MAX(SA,N127),IF('Pre-Calculation'!$D$17="Type 4 f",SA,IF('Pre-Calculation'!$D$17="Type 4 g",1000+N127,IF('Pre-Calculation'!$D$17="Type 4 h",SA+X127,IF('Pre-Calculation'!$D$17="Type 4 i",MAX(N127,Q127),IF('Pre-Calculation'!$D$17="Type 4 k",MAX(N127,1.01*Q127),IF('Pre-Calculation'!$D$17="Type 4 m",MAX(105%*Q127,SA+N127),IF('Pre-Calculation'!$D$17="Type 4 o",MAX(SA,105%*Q127)+X127+Z127,IF('Pre-Calculation'!$D$17="Type 5",0))))))))))))</f>
        <v>1680000</v>
      </c>
      <c r="Q127" s="175">
        <f t="shared" si="5"/>
        <v>1600000</v>
      </c>
      <c r="R127" s="119">
        <f>L127*(1+GROWTH_RATE)*FMC</f>
        <v>1145.954199</v>
      </c>
      <c r="S127" s="178">
        <f>S126*(1+'Pre-Calculation'!$E$27)</f>
        <v>919521.4904</v>
      </c>
      <c r="T127" s="175">
        <f>-E127+IF(A126=INPUT!$C$11*12,N127,0)</f>
        <v>1014631.907</v>
      </c>
      <c r="U127" s="175">
        <f t="shared" si="6"/>
        <v>1113195.013</v>
      </c>
      <c r="V127" s="175">
        <f>U127*(1+GROWTH_RATE_L)*(1-'Pre-Calculation'!$E$31)</f>
        <v>1114979.424</v>
      </c>
      <c r="W127" s="175">
        <f>-E127+IF(A126=INPUT!$C$11*12,V127,0)</f>
        <v>1114979.424</v>
      </c>
      <c r="X127" s="179">
        <f t="array" ref="X127">NPV('Pre-Calculation'!$E$20,$E128:E$246)</f>
        <v>0</v>
      </c>
      <c r="Y127" s="171">
        <f>10%*SA</f>
        <v>100000</v>
      </c>
      <c r="Z127" s="179">
        <f t="array" ref="Z127">NPV('Pre-Calculation'!$E$20,Y128:Y137)</f>
        <v>969592.8037</v>
      </c>
    </row>
    <row r="128" ht="15.75" customHeight="1">
      <c r="A128" s="171">
        <f t="shared" si="1"/>
        <v>122</v>
      </c>
      <c r="B128" s="171">
        <f t="shared" si="2"/>
        <v>11</v>
      </c>
      <c r="C128" s="176">
        <f>EDATE(RCD,A127)</f>
        <v>46233</v>
      </c>
      <c r="D128" s="171">
        <f>Age_At_Entry+'Cashflows_4% from Start'!B128-1</f>
        <v>45</v>
      </c>
      <c r="E128" s="175">
        <f>IF(AND(C128&lt;=Last_Prem,MOD(A127,Mode)=0),Mod_Prem,0)</f>
        <v>0</v>
      </c>
      <c r="F128" s="177">
        <f>IF(B128&lt;PT+1,E128*VLOOKUP(B128,'Pre-Calculation'!$H$1:$I$31,2,FALSE),0)</f>
        <v>0</v>
      </c>
      <c r="G128" s="177">
        <f>IF(B128&lt;PT+1,VLOOKUP(B128,'Pre-Calculation'!$H$1:$L$32,3,FALSE)+VLOOKUP(B128,'Pre-Calculation'!$H$1:$L$32,4,FALSE)*'Pre-Calculation'!$D$7,0)</f>
        <v>0</v>
      </c>
      <c r="H128" s="175">
        <f>(E128-(F128+G128)*(1+Tax)+N127)</f>
        <v>1014631.907</v>
      </c>
      <c r="I128" s="175">
        <f>IF(B128&lt;PT+1,VLOOKUP(D128,'Pre-Calculation'!$N$3:$P$79,IF(INPUT!$C$4="M",2,3),FALSE)*(J128/1000)*(1/12),0)</f>
        <v>0</v>
      </c>
      <c r="J128" s="175">
        <f t="shared" si="3"/>
        <v>665368.0925</v>
      </c>
      <c r="K128" s="175">
        <f>IF('Pre-Calculation'!$D$17="Type 4 a",MAX(SA,H128,1.05*Q128),IF('Pre-Calculation'!$D$17="Type 4 c",H128,IF('Pre-Calculation'!$D$17="Type 4 d",SA+H128,IF('Pre-Calculation'!$D$17="Type 4 e",MAX(SA,H128),IF('Pre-Calculation'!$D$17="Type 4 f",SA,IF('Pre-Calculation'!$D$17="Type 4 g",1000+H128,IF('Pre-Calculation'!$D$17="Type 4 h",SA+X128,IF('Pre-Calculation'!$D$17="Type 4 i",MAX(H128,Q128),IF('Pre-Calculation'!$D$17="Type 4 k",MAX(H128,1.01*Q128),IF('Pre-Calculation'!$D$17="Type 4 m",MAX(105%*Q128,SA+H128),IF('Pre-Calculation'!$D$17="Type 4 o",MAX(SA,105%*Q128)+X128+Z128,IF('Pre-Calculation'!$D$17="Type 5",0))))))))))))</f>
        <v>1680000</v>
      </c>
      <c r="L128" s="175">
        <f>H128-I128*(1+Tax)</f>
        <v>1014631.907</v>
      </c>
      <c r="M128" s="175">
        <f>L128*(1+GROWTH_RATE_L)*(1-FMC*(1+Tax))</f>
        <v>1016602.95</v>
      </c>
      <c r="N128" s="175">
        <f>M128+IF(MOD(A128,B128)=0,VLOOKUP(B128,'Pre-Calculation'!$H$1:$L$31,5,FALSE),0)*IF('Pre-Calculation'!$D$16="% OF FV",M128,IF(OR('Pre-Calculation'!$D$16="% OF AFV(24M)",'Pre-Calculation'!$D$16="% OF AFV(8Q)"),AVERAGE( $M105:$M128),IF('Pre-Calculation'!$D$16="% OF AFV(12M)",AVERAGE($M117:M128),IF('Pre-Calculation'!$D$16="% OF AFV(36M)",AVERAGE($M93:M128)))))</f>
        <v>1016602.95</v>
      </c>
      <c r="O128" s="175">
        <f t="shared" si="4"/>
        <v>1016602.95</v>
      </c>
      <c r="P128" s="175">
        <f>IF('Pre-Calculation'!$D$17="Type 4 a",MAX(SA,N128,1.05*Q128),IF('Pre-Calculation'!$D$17="Type 4 c",N128,IF('Pre-Calculation'!$D$17="Type 4 d",SA+N128,IF('Pre-Calculation'!$D$17="Type 4 e",MAX(SA,N128),IF('Pre-Calculation'!$D$17="Type 4 f",SA,IF('Pre-Calculation'!$D$17="Type 4 g",1000+N128,IF('Pre-Calculation'!$D$17="Type 4 h",SA+X128,IF('Pre-Calculation'!$D$17="Type 4 i",MAX(N128,Q128),IF('Pre-Calculation'!$D$17="Type 4 k",MAX(N128,1.01*Q128),IF('Pre-Calculation'!$D$17="Type 4 m",MAX(105%*Q128,SA+N128),IF('Pre-Calculation'!$D$17="Type 4 o",MAX(SA,105%*Q128)+X128+Z128,IF('Pre-Calculation'!$D$17="Type 5",0))))))))))))</f>
        <v>1680000</v>
      </c>
      <c r="Q128" s="175">
        <f t="shared" si="5"/>
        <v>1600000</v>
      </c>
      <c r="R128" s="119">
        <f>L128*(1+GROWTH_RATE)*FMC</f>
        <v>1148.180351</v>
      </c>
      <c r="S128" s="178">
        <f>S127*(1+'Pre-Calculation'!$E$27)</f>
        <v>922161.3435</v>
      </c>
      <c r="T128" s="175">
        <f>-E128+IF(A127=INPUT!$C$11*12,N128,0)</f>
        <v>0</v>
      </c>
      <c r="U128" s="175">
        <f t="shared" si="6"/>
        <v>1114979.424</v>
      </c>
      <c r="V128" s="175">
        <f>U128*(1+GROWTH_RATE_L)*(1-'Pre-Calculation'!$E$31)</f>
        <v>1116766.696</v>
      </c>
      <c r="W128" s="175">
        <f>-E128+IF(A127=INPUT!$C$11*12,V128,0)</f>
        <v>0</v>
      </c>
      <c r="X128" s="179">
        <f t="array" ref="X128">NPV('Pre-Calculation'!$E$20,$E129:E$246)</f>
        <v>0</v>
      </c>
      <c r="Y128" s="171">
        <f>10%*SA</f>
        <v>100000</v>
      </c>
      <c r="Z128" s="179">
        <f t="array" ref="Z128">NPV('Pre-Calculation'!$E$20,Y129:Y138)</f>
        <v>969592.8037</v>
      </c>
    </row>
    <row r="129" ht="15.75" customHeight="1">
      <c r="A129" s="171">
        <f t="shared" si="1"/>
        <v>123</v>
      </c>
      <c r="B129" s="171">
        <f t="shared" si="2"/>
        <v>11</v>
      </c>
      <c r="C129" s="176">
        <f>EDATE(RCD,A128)</f>
        <v>46264</v>
      </c>
      <c r="D129" s="171">
        <f>Age_At_Entry+'Cashflows_4% from Start'!B129-1</f>
        <v>45</v>
      </c>
      <c r="E129" s="175">
        <f>IF(AND(C129&lt;=Last_Prem,MOD(A128,Mode)=0),Mod_Prem,0)</f>
        <v>0</v>
      </c>
      <c r="F129" s="177">
        <f>IF(B129&lt;PT+1,E129*VLOOKUP(B129,'Pre-Calculation'!$H$1:$I$31,2,FALSE),0)</f>
        <v>0</v>
      </c>
      <c r="G129" s="177">
        <f>IF(B129&lt;PT+1,VLOOKUP(B129,'Pre-Calculation'!$H$1:$L$32,3,FALSE)+VLOOKUP(B129,'Pre-Calculation'!$H$1:$L$32,4,FALSE)*'Pre-Calculation'!$D$7,0)</f>
        <v>0</v>
      </c>
      <c r="H129" s="175">
        <f>(E129-(F129+G129)*(1+Tax)+N128)</f>
        <v>1016602.95</v>
      </c>
      <c r="I129" s="175">
        <f>IF(B129&lt;PT+1,VLOOKUP(D129,'Pre-Calculation'!$N$3:$P$79,IF(INPUT!$C$4="M",2,3),FALSE)*(J129/1000)*(1/12),0)</f>
        <v>0</v>
      </c>
      <c r="J129" s="175">
        <f t="shared" si="3"/>
        <v>663397.0502</v>
      </c>
      <c r="K129" s="175">
        <f>IF('Pre-Calculation'!$D$17="Type 4 a",MAX(SA,H129,1.05*Q129),IF('Pre-Calculation'!$D$17="Type 4 c",H129,IF('Pre-Calculation'!$D$17="Type 4 d",SA+H129,IF('Pre-Calculation'!$D$17="Type 4 e",MAX(SA,H129),IF('Pre-Calculation'!$D$17="Type 4 f",SA,IF('Pre-Calculation'!$D$17="Type 4 g",1000+H129,IF('Pre-Calculation'!$D$17="Type 4 h",SA+X129,IF('Pre-Calculation'!$D$17="Type 4 i",MAX(H129,Q129),IF('Pre-Calculation'!$D$17="Type 4 k",MAX(H129,1.01*Q129),IF('Pre-Calculation'!$D$17="Type 4 m",MAX(105%*Q129,SA+H129),IF('Pre-Calculation'!$D$17="Type 4 o",MAX(SA,105%*Q129)+X129+Z129,IF('Pre-Calculation'!$D$17="Type 5",0))))))))))))</f>
        <v>1680000</v>
      </c>
      <c r="L129" s="175">
        <f>H129-I129*(1+Tax)</f>
        <v>1016602.95</v>
      </c>
      <c r="M129" s="175">
        <f>L129*(1+GROWTH_RATE_L)*(1-FMC*(1+Tax))</f>
        <v>1018577.821</v>
      </c>
      <c r="N129" s="175">
        <f>M129+IF(MOD(A129,B129)=0,VLOOKUP(B129,'Pre-Calculation'!$H$1:$L$31,5,FALSE),0)*IF('Pre-Calculation'!$D$16="% OF FV",M129,IF(OR('Pre-Calculation'!$D$16="% OF AFV(24M)",'Pre-Calculation'!$D$16="% OF AFV(8Q)"),AVERAGE( $M106:$M129),IF('Pre-Calculation'!$D$16="% OF AFV(12M)",AVERAGE($M118:M129),IF('Pre-Calculation'!$D$16="% OF AFV(36M)",AVERAGE($M94:M129)))))</f>
        <v>1018577.821</v>
      </c>
      <c r="O129" s="175">
        <f t="shared" si="4"/>
        <v>1018577.821</v>
      </c>
      <c r="P129" s="175">
        <f>IF('Pre-Calculation'!$D$17="Type 4 a",MAX(SA,N129,1.05*Q129),IF('Pre-Calculation'!$D$17="Type 4 c",N129,IF('Pre-Calculation'!$D$17="Type 4 d",SA+N129,IF('Pre-Calculation'!$D$17="Type 4 e",MAX(SA,N129),IF('Pre-Calculation'!$D$17="Type 4 f",SA,IF('Pre-Calculation'!$D$17="Type 4 g",1000+N129,IF('Pre-Calculation'!$D$17="Type 4 h",SA+X129,IF('Pre-Calculation'!$D$17="Type 4 i",MAX(N129,Q129),IF('Pre-Calculation'!$D$17="Type 4 k",MAX(N129,1.01*Q129),IF('Pre-Calculation'!$D$17="Type 4 m",MAX(105%*Q129,SA+N129),IF('Pre-Calculation'!$D$17="Type 4 o",MAX(SA,105%*Q129)+X129+Z129,IF('Pre-Calculation'!$D$17="Type 5",0))))))))))))</f>
        <v>1680000</v>
      </c>
      <c r="Q129" s="175">
        <f t="shared" si="5"/>
        <v>1600000</v>
      </c>
      <c r="R129" s="119">
        <f>L129*(1+GROWTH_RATE)*FMC</f>
        <v>1150.410827</v>
      </c>
      <c r="S129" s="178">
        <f>S128*(1+'Pre-Calculation'!$E$27)</f>
        <v>924808.7753</v>
      </c>
      <c r="T129" s="175">
        <f>-E129+IF(A128=INPUT!$C$11*12,N129,0)</f>
        <v>0</v>
      </c>
      <c r="U129" s="175">
        <f t="shared" si="6"/>
        <v>1116766.696</v>
      </c>
      <c r="V129" s="175">
        <f>U129*(1+GROWTH_RATE_L)*(1-'Pre-Calculation'!$E$31)</f>
        <v>1118556.833</v>
      </c>
      <c r="W129" s="175">
        <f>-E129+IF(A128=INPUT!$C$11*12,V129,0)</f>
        <v>0</v>
      </c>
      <c r="X129" s="179">
        <f t="array" ref="X129">NPV('Pre-Calculation'!$E$20,$E130:E$246)</f>
        <v>0</v>
      </c>
      <c r="Y129" s="171">
        <f>10%*SA</f>
        <v>100000</v>
      </c>
      <c r="Z129" s="179">
        <f t="array" ref="Z129">NPV('Pre-Calculation'!$E$20,Y130:Y139)</f>
        <v>969592.8037</v>
      </c>
    </row>
    <row r="130" ht="15.75" customHeight="1">
      <c r="A130" s="171">
        <f t="shared" si="1"/>
        <v>124</v>
      </c>
      <c r="B130" s="171">
        <f t="shared" si="2"/>
        <v>11</v>
      </c>
      <c r="C130" s="176">
        <f>EDATE(RCD,A129)</f>
        <v>46295</v>
      </c>
      <c r="D130" s="171">
        <f>Age_At_Entry+'Cashflows_4% from Start'!B130-1</f>
        <v>45</v>
      </c>
      <c r="E130" s="175">
        <f>IF(AND(C130&lt;=Last_Prem,MOD(A129,Mode)=0),Mod_Prem,0)</f>
        <v>0</v>
      </c>
      <c r="F130" s="177">
        <f>IF(B130&lt;PT+1,E130*VLOOKUP(B130,'Pre-Calculation'!$H$1:$I$31,2,FALSE),0)</f>
        <v>0</v>
      </c>
      <c r="G130" s="177">
        <f>IF(B130&lt;PT+1,VLOOKUP(B130,'Pre-Calculation'!$H$1:$L$32,3,FALSE)+VLOOKUP(B130,'Pre-Calculation'!$H$1:$L$32,4,FALSE)*'Pre-Calculation'!$D$7,0)</f>
        <v>0</v>
      </c>
      <c r="H130" s="175">
        <f>(E130-(F130+G130)*(1+Tax)+N129)</f>
        <v>1018577.821</v>
      </c>
      <c r="I130" s="175">
        <f>IF(B130&lt;PT+1,VLOOKUP(D130,'Pre-Calculation'!$N$3:$P$79,IF(INPUT!$C$4="M",2,3),FALSE)*(J130/1000)*(1/12),0)</f>
        <v>0</v>
      </c>
      <c r="J130" s="175">
        <f t="shared" si="3"/>
        <v>661422.1788</v>
      </c>
      <c r="K130" s="175">
        <f>IF('Pre-Calculation'!$D$17="Type 4 a",MAX(SA,H130,1.05*Q130),IF('Pre-Calculation'!$D$17="Type 4 c",H130,IF('Pre-Calculation'!$D$17="Type 4 d",SA+H130,IF('Pre-Calculation'!$D$17="Type 4 e",MAX(SA,H130),IF('Pre-Calculation'!$D$17="Type 4 f",SA,IF('Pre-Calculation'!$D$17="Type 4 g",1000+H130,IF('Pre-Calculation'!$D$17="Type 4 h",SA+X130,IF('Pre-Calculation'!$D$17="Type 4 i",MAX(H130,Q130),IF('Pre-Calculation'!$D$17="Type 4 k",MAX(H130,1.01*Q130),IF('Pre-Calculation'!$D$17="Type 4 m",MAX(105%*Q130,SA+H130),IF('Pre-Calculation'!$D$17="Type 4 o",MAX(SA,105%*Q130)+X130+Z130,IF('Pre-Calculation'!$D$17="Type 5",0))))))))))))</f>
        <v>1680000</v>
      </c>
      <c r="L130" s="175">
        <f>H130-I130*(1+Tax)</f>
        <v>1018577.821</v>
      </c>
      <c r="M130" s="175">
        <f>L130*(1+GROWTH_RATE_L)*(1-FMC*(1+Tax))</f>
        <v>1020556.529</v>
      </c>
      <c r="N130" s="175">
        <f>M130+IF(MOD(A130,B130)=0,VLOOKUP(B130,'Pre-Calculation'!$H$1:$L$31,5,FALSE),0)*IF('Pre-Calculation'!$D$16="% OF FV",M130,IF(OR('Pre-Calculation'!$D$16="% OF AFV(24M)",'Pre-Calculation'!$D$16="% OF AFV(8Q)"),AVERAGE( $M107:$M130),IF('Pre-Calculation'!$D$16="% OF AFV(12M)",AVERAGE($M119:M130),IF('Pre-Calculation'!$D$16="% OF AFV(36M)",AVERAGE($M95:M130)))))</f>
        <v>1020556.529</v>
      </c>
      <c r="O130" s="175">
        <f t="shared" si="4"/>
        <v>1020556.529</v>
      </c>
      <c r="P130" s="175">
        <f>IF('Pre-Calculation'!$D$17="Type 4 a",MAX(SA,N130,1.05*Q130),IF('Pre-Calculation'!$D$17="Type 4 c",N130,IF('Pre-Calculation'!$D$17="Type 4 d",SA+N130,IF('Pre-Calculation'!$D$17="Type 4 e",MAX(SA,N130),IF('Pre-Calculation'!$D$17="Type 4 f",SA,IF('Pre-Calculation'!$D$17="Type 4 g",1000+N130,IF('Pre-Calculation'!$D$17="Type 4 h",SA+X130,IF('Pre-Calculation'!$D$17="Type 4 i",MAX(N130,Q130),IF('Pre-Calculation'!$D$17="Type 4 k",MAX(N130,1.01*Q130),IF('Pre-Calculation'!$D$17="Type 4 m",MAX(105%*Q130,SA+N130),IF('Pre-Calculation'!$D$17="Type 4 o",MAX(SA,105%*Q130)+X130+Z130,IF('Pre-Calculation'!$D$17="Type 5",0))))))))))))</f>
        <v>1680000</v>
      </c>
      <c r="Q130" s="175">
        <f t="shared" si="5"/>
        <v>1600000</v>
      </c>
      <c r="R130" s="119">
        <f>L130*(1+GROWTH_RATE)*FMC</f>
        <v>1152.645636</v>
      </c>
      <c r="S130" s="178">
        <f>S129*(1+'Pre-Calculation'!$E$27)</f>
        <v>927463.8076</v>
      </c>
      <c r="T130" s="175">
        <f>-E130+IF(A129=INPUT!$C$11*12,N130,0)</f>
        <v>0</v>
      </c>
      <c r="U130" s="175">
        <f t="shared" si="6"/>
        <v>1118556.833</v>
      </c>
      <c r="V130" s="175">
        <f>U130*(1+GROWTH_RATE_L)*(1-'Pre-Calculation'!$E$31)</f>
        <v>1120349.839</v>
      </c>
      <c r="W130" s="175">
        <f>-E130+IF(A129=INPUT!$C$11*12,V130,0)</f>
        <v>0</v>
      </c>
      <c r="X130" s="179">
        <f t="array" ref="X130">NPV('Pre-Calculation'!$E$20,$E131:E$246)</f>
        <v>0</v>
      </c>
      <c r="Y130" s="171">
        <f>10%*SA</f>
        <v>100000</v>
      </c>
      <c r="Z130" s="179">
        <f t="array" ref="Z130">NPV('Pre-Calculation'!$E$20,Y131:Y140)</f>
        <v>969592.8037</v>
      </c>
    </row>
    <row r="131" ht="15.75" customHeight="1">
      <c r="A131" s="171">
        <f t="shared" si="1"/>
        <v>125</v>
      </c>
      <c r="B131" s="171">
        <f t="shared" si="2"/>
        <v>11</v>
      </c>
      <c r="C131" s="176">
        <f>EDATE(RCD,A130)</f>
        <v>46325</v>
      </c>
      <c r="D131" s="171">
        <f>Age_At_Entry+'Cashflows_4% from Start'!B131-1</f>
        <v>45</v>
      </c>
      <c r="E131" s="175">
        <f>IF(AND(C131&lt;=Last_Prem,MOD(A130,Mode)=0),Mod_Prem,0)</f>
        <v>0</v>
      </c>
      <c r="F131" s="177">
        <f>IF(B131&lt;PT+1,E131*VLOOKUP(B131,'Pre-Calculation'!$H$1:$I$31,2,FALSE),0)</f>
        <v>0</v>
      </c>
      <c r="G131" s="177">
        <f>IF(B131&lt;PT+1,VLOOKUP(B131,'Pre-Calculation'!$H$1:$L$32,3,FALSE)+VLOOKUP(B131,'Pre-Calculation'!$H$1:$L$32,4,FALSE)*'Pre-Calculation'!$D$7,0)</f>
        <v>0</v>
      </c>
      <c r="H131" s="175">
        <f>(E131-(F131+G131)*(1+Tax)+N130)</f>
        <v>1020556.529</v>
      </c>
      <c r="I131" s="175">
        <f>IF(B131&lt;PT+1,VLOOKUP(D131,'Pre-Calculation'!$N$3:$P$79,IF(INPUT!$C$4="M",2,3),FALSE)*(J131/1000)*(1/12),0)</f>
        <v>0</v>
      </c>
      <c r="J131" s="175">
        <f t="shared" si="3"/>
        <v>659443.471</v>
      </c>
      <c r="K131" s="175">
        <f>IF('Pre-Calculation'!$D$17="Type 4 a",MAX(SA,H131,1.05*Q131),IF('Pre-Calculation'!$D$17="Type 4 c",H131,IF('Pre-Calculation'!$D$17="Type 4 d",SA+H131,IF('Pre-Calculation'!$D$17="Type 4 e",MAX(SA,H131),IF('Pre-Calculation'!$D$17="Type 4 f",SA,IF('Pre-Calculation'!$D$17="Type 4 g",1000+H131,IF('Pre-Calculation'!$D$17="Type 4 h",SA+X131,IF('Pre-Calculation'!$D$17="Type 4 i",MAX(H131,Q131),IF('Pre-Calculation'!$D$17="Type 4 k",MAX(H131,1.01*Q131),IF('Pre-Calculation'!$D$17="Type 4 m",MAX(105%*Q131,SA+H131),IF('Pre-Calculation'!$D$17="Type 4 o",MAX(SA,105%*Q131)+X131+Z131,IF('Pre-Calculation'!$D$17="Type 5",0))))))))))))</f>
        <v>1680000</v>
      </c>
      <c r="L131" s="175">
        <f>H131-I131*(1+Tax)</f>
        <v>1020556.529</v>
      </c>
      <c r="M131" s="175">
        <f>L131*(1+GROWTH_RATE_L)*(1-FMC*(1+Tax))</f>
        <v>1022539.081</v>
      </c>
      <c r="N131" s="175">
        <f>M131+IF(MOD(A131,B131)=0,VLOOKUP(B131,'Pre-Calculation'!$H$1:$L$31,5,FALSE),0)*IF('Pre-Calculation'!$D$16="% OF FV",M131,IF(OR('Pre-Calculation'!$D$16="% OF AFV(24M)",'Pre-Calculation'!$D$16="% OF AFV(8Q)"),AVERAGE( $M108:$M131),IF('Pre-Calculation'!$D$16="% OF AFV(12M)",AVERAGE($M120:M131),IF('Pre-Calculation'!$D$16="% OF AFV(36M)",AVERAGE($M96:M131)))))</f>
        <v>1022539.081</v>
      </c>
      <c r="O131" s="175">
        <f t="shared" si="4"/>
        <v>1022539.081</v>
      </c>
      <c r="P131" s="175">
        <f>IF('Pre-Calculation'!$D$17="Type 4 a",MAX(SA,N131,1.05*Q131),IF('Pre-Calculation'!$D$17="Type 4 c",N131,IF('Pre-Calculation'!$D$17="Type 4 d",SA+N131,IF('Pre-Calculation'!$D$17="Type 4 e",MAX(SA,N131),IF('Pre-Calculation'!$D$17="Type 4 f",SA,IF('Pre-Calculation'!$D$17="Type 4 g",1000+N131,IF('Pre-Calculation'!$D$17="Type 4 h",SA+X131,IF('Pre-Calculation'!$D$17="Type 4 i",MAX(N131,Q131),IF('Pre-Calculation'!$D$17="Type 4 k",MAX(N131,1.01*Q131),IF('Pre-Calculation'!$D$17="Type 4 m",MAX(105%*Q131,SA+N131),IF('Pre-Calculation'!$D$17="Type 4 o",MAX(SA,105%*Q131)+X131+Z131,IF('Pre-Calculation'!$D$17="Type 5",0))))))))))))</f>
        <v>1680000</v>
      </c>
      <c r="Q131" s="175">
        <f t="shared" si="5"/>
        <v>1600000</v>
      </c>
      <c r="R131" s="119">
        <f>L131*(1+GROWTH_RATE)*FMC</f>
        <v>1154.884786</v>
      </c>
      <c r="S131" s="178">
        <f>S130*(1+'Pre-Calculation'!$E$27)</f>
        <v>930126.4623</v>
      </c>
      <c r="T131" s="175">
        <f>-E131+IF(A130=INPUT!$C$11*12,N131,0)</f>
        <v>0</v>
      </c>
      <c r="U131" s="175">
        <f t="shared" si="6"/>
        <v>1120349.839</v>
      </c>
      <c r="V131" s="175">
        <f>U131*(1+GROWTH_RATE_L)*(1-'Pre-Calculation'!$E$31)</f>
        <v>1122145.719</v>
      </c>
      <c r="W131" s="175">
        <f>-E131+IF(A130=INPUT!$C$11*12,V131,0)</f>
        <v>0</v>
      </c>
      <c r="X131" s="179">
        <f t="array" ref="X131">NPV('Pre-Calculation'!$E$20,$E132:E$246)</f>
        <v>0</v>
      </c>
      <c r="Y131" s="171">
        <f>10%*SA</f>
        <v>100000</v>
      </c>
      <c r="Z131" s="179">
        <f t="array" ref="Z131">NPV('Pre-Calculation'!$E$20,Y132:Y141)</f>
        <v>969592.8037</v>
      </c>
    </row>
    <row r="132" ht="15.75" customHeight="1">
      <c r="A132" s="171">
        <f t="shared" si="1"/>
        <v>126</v>
      </c>
      <c r="B132" s="171">
        <f t="shared" si="2"/>
        <v>11</v>
      </c>
      <c r="C132" s="176">
        <f>EDATE(RCD,A131)</f>
        <v>46356</v>
      </c>
      <c r="D132" s="171">
        <f>Age_At_Entry+'Cashflows_4% from Start'!B132-1</f>
        <v>45</v>
      </c>
      <c r="E132" s="175">
        <f>IF(AND(C132&lt;=Last_Prem,MOD(A131,Mode)=0),Mod_Prem,0)</f>
        <v>0</v>
      </c>
      <c r="F132" s="177">
        <f>IF(B132&lt;PT+1,E132*VLOOKUP(B132,'Pre-Calculation'!$H$1:$I$31,2,FALSE),0)</f>
        <v>0</v>
      </c>
      <c r="G132" s="177">
        <f>IF(B132&lt;PT+1,VLOOKUP(B132,'Pre-Calculation'!$H$1:$L$32,3,FALSE)+VLOOKUP(B132,'Pre-Calculation'!$H$1:$L$32,4,FALSE)*'Pre-Calculation'!$D$7,0)</f>
        <v>0</v>
      </c>
      <c r="H132" s="175">
        <f>(E132-(F132+G132)*(1+Tax)+N131)</f>
        <v>1022539.081</v>
      </c>
      <c r="I132" s="175">
        <f>IF(B132&lt;PT+1,VLOOKUP(D132,'Pre-Calculation'!$N$3:$P$79,IF(INPUT!$C$4="M",2,3),FALSE)*(J132/1000)*(1/12),0)</f>
        <v>0</v>
      </c>
      <c r="J132" s="175">
        <f t="shared" si="3"/>
        <v>657460.9194</v>
      </c>
      <c r="K132" s="175">
        <f>IF('Pre-Calculation'!$D$17="Type 4 a",MAX(SA,H132,1.05*Q132),IF('Pre-Calculation'!$D$17="Type 4 c",H132,IF('Pre-Calculation'!$D$17="Type 4 d",SA+H132,IF('Pre-Calculation'!$D$17="Type 4 e",MAX(SA,H132),IF('Pre-Calculation'!$D$17="Type 4 f",SA,IF('Pre-Calculation'!$D$17="Type 4 g",1000+H132,IF('Pre-Calculation'!$D$17="Type 4 h",SA+X132,IF('Pre-Calculation'!$D$17="Type 4 i",MAX(H132,Q132),IF('Pre-Calculation'!$D$17="Type 4 k",MAX(H132,1.01*Q132),IF('Pre-Calculation'!$D$17="Type 4 m",MAX(105%*Q132,SA+H132),IF('Pre-Calculation'!$D$17="Type 4 o",MAX(SA,105%*Q132)+X132+Z132,IF('Pre-Calculation'!$D$17="Type 5",0))))))))))))</f>
        <v>1680000</v>
      </c>
      <c r="L132" s="175">
        <f>H132-I132*(1+Tax)</f>
        <v>1022539.081</v>
      </c>
      <c r="M132" s="175">
        <f>L132*(1+GROWTH_RATE_L)*(1-FMC*(1+Tax))</f>
        <v>1024525.484</v>
      </c>
      <c r="N132" s="175">
        <f>M132+IF(MOD(A132,B132)=0,VLOOKUP(B132,'Pre-Calculation'!$H$1:$L$31,5,FALSE),0)*IF('Pre-Calculation'!$D$16="% OF FV",M132,IF(OR('Pre-Calculation'!$D$16="% OF AFV(24M)",'Pre-Calculation'!$D$16="% OF AFV(8Q)"),AVERAGE( $M109:$M132),IF('Pre-Calculation'!$D$16="% OF AFV(12M)",AVERAGE($M121:M132),IF('Pre-Calculation'!$D$16="% OF AFV(36M)",AVERAGE($M97:M132)))))</f>
        <v>1024525.484</v>
      </c>
      <c r="O132" s="175">
        <f t="shared" si="4"/>
        <v>1024525.484</v>
      </c>
      <c r="P132" s="175">
        <f>IF('Pre-Calculation'!$D$17="Type 4 a",MAX(SA,N132,1.05*Q132),IF('Pre-Calculation'!$D$17="Type 4 c",N132,IF('Pre-Calculation'!$D$17="Type 4 d",SA+N132,IF('Pre-Calculation'!$D$17="Type 4 e",MAX(SA,N132),IF('Pre-Calculation'!$D$17="Type 4 f",SA,IF('Pre-Calculation'!$D$17="Type 4 g",1000+N132,IF('Pre-Calculation'!$D$17="Type 4 h",SA+X132,IF('Pre-Calculation'!$D$17="Type 4 i",MAX(N132,Q132),IF('Pre-Calculation'!$D$17="Type 4 k",MAX(N132,1.01*Q132),IF('Pre-Calculation'!$D$17="Type 4 m",MAX(105%*Q132,SA+N132),IF('Pre-Calculation'!$D$17="Type 4 o",MAX(SA,105%*Q132)+X132+Z132,IF('Pre-Calculation'!$D$17="Type 5",0))))))))))))</f>
        <v>1680000</v>
      </c>
      <c r="Q132" s="175">
        <f t="shared" si="5"/>
        <v>1600000</v>
      </c>
      <c r="R132" s="119">
        <f>L132*(1+GROWTH_RATE)*FMC</f>
        <v>1157.128286</v>
      </c>
      <c r="S132" s="178">
        <f>S131*(1+'Pre-Calculation'!$E$27)</f>
        <v>932796.7612</v>
      </c>
      <c r="T132" s="175">
        <f>-E132+IF(A131=INPUT!$C$11*12,N132,0)</f>
        <v>0</v>
      </c>
      <c r="U132" s="175">
        <f t="shared" si="6"/>
        <v>1122145.719</v>
      </c>
      <c r="V132" s="175">
        <f>U132*(1+GROWTH_RATE_L)*(1-'Pre-Calculation'!$E$31)</f>
        <v>1123944.478</v>
      </c>
      <c r="W132" s="175">
        <f>-E132+IF(A131=INPUT!$C$11*12,V132,0)</f>
        <v>0</v>
      </c>
      <c r="X132" s="179">
        <f t="array" ref="X132">NPV('Pre-Calculation'!$E$20,$E133:E$246)</f>
        <v>0</v>
      </c>
      <c r="Y132" s="171">
        <f>10%*SA</f>
        <v>100000</v>
      </c>
      <c r="Z132" s="179">
        <f t="array" ref="Z132">NPV('Pre-Calculation'!$E$20,Y133:Y142)</f>
        <v>969592.8037</v>
      </c>
    </row>
    <row r="133" ht="15.75" customHeight="1">
      <c r="A133" s="171">
        <f t="shared" si="1"/>
        <v>127</v>
      </c>
      <c r="B133" s="171">
        <f t="shared" si="2"/>
        <v>11</v>
      </c>
      <c r="C133" s="176">
        <f>EDATE(RCD,A132)</f>
        <v>46386</v>
      </c>
      <c r="D133" s="171">
        <f>Age_At_Entry+'Cashflows_4% from Start'!B133-1</f>
        <v>45</v>
      </c>
      <c r="E133" s="175">
        <f>IF(AND(C133&lt;=Last_Prem,MOD(A132,Mode)=0),Mod_Prem,0)</f>
        <v>0</v>
      </c>
      <c r="F133" s="177">
        <f>IF(B133&lt;PT+1,E133*VLOOKUP(B133,'Pre-Calculation'!$H$1:$I$31,2,FALSE),0)</f>
        <v>0</v>
      </c>
      <c r="G133" s="177">
        <f>IF(B133&lt;PT+1,VLOOKUP(B133,'Pre-Calculation'!$H$1:$L$32,3,FALSE)+VLOOKUP(B133,'Pre-Calculation'!$H$1:$L$32,4,FALSE)*'Pre-Calculation'!$D$7,0)</f>
        <v>0</v>
      </c>
      <c r="H133" s="175">
        <f>(E133-(F133+G133)*(1+Tax)+N132)</f>
        <v>1024525.484</v>
      </c>
      <c r="I133" s="175">
        <f>IF(B133&lt;PT+1,VLOOKUP(D133,'Pre-Calculation'!$N$3:$P$79,IF(INPUT!$C$4="M",2,3),FALSE)*(J133/1000)*(1/12),0)</f>
        <v>0</v>
      </c>
      <c r="J133" s="175">
        <f t="shared" si="3"/>
        <v>655474.5164</v>
      </c>
      <c r="K133" s="175">
        <f>IF('Pre-Calculation'!$D$17="Type 4 a",MAX(SA,H133,1.05*Q133),IF('Pre-Calculation'!$D$17="Type 4 c",H133,IF('Pre-Calculation'!$D$17="Type 4 d",SA+H133,IF('Pre-Calculation'!$D$17="Type 4 e",MAX(SA,H133),IF('Pre-Calculation'!$D$17="Type 4 f",SA,IF('Pre-Calculation'!$D$17="Type 4 g",1000+H133,IF('Pre-Calculation'!$D$17="Type 4 h",SA+X133,IF('Pre-Calculation'!$D$17="Type 4 i",MAX(H133,Q133),IF('Pre-Calculation'!$D$17="Type 4 k",MAX(H133,1.01*Q133),IF('Pre-Calculation'!$D$17="Type 4 m",MAX(105%*Q133,SA+H133),IF('Pre-Calculation'!$D$17="Type 4 o",MAX(SA,105%*Q133)+X133+Z133,IF('Pre-Calculation'!$D$17="Type 5",0))))))))))))</f>
        <v>1680000</v>
      </c>
      <c r="L133" s="175">
        <f>H133-I133*(1+Tax)</f>
        <v>1024525.484</v>
      </c>
      <c r="M133" s="175">
        <f>L133*(1+GROWTH_RATE_L)*(1-FMC*(1+Tax))</f>
        <v>1026515.745</v>
      </c>
      <c r="N133" s="175">
        <f>M133+IF(MOD(A133,B133)=0,VLOOKUP(B133,'Pre-Calculation'!$H$1:$L$31,5,FALSE),0)*IF('Pre-Calculation'!$D$16="% OF FV",M133,IF(OR('Pre-Calculation'!$D$16="% OF AFV(24M)",'Pre-Calculation'!$D$16="% OF AFV(8Q)"),AVERAGE( $M110:$M133),IF('Pre-Calculation'!$D$16="% OF AFV(12M)",AVERAGE($M122:M133),IF('Pre-Calculation'!$D$16="% OF AFV(36M)",AVERAGE($M98:M133)))))</f>
        <v>1026515.745</v>
      </c>
      <c r="O133" s="175">
        <f t="shared" si="4"/>
        <v>1026515.745</v>
      </c>
      <c r="P133" s="175">
        <f>IF('Pre-Calculation'!$D$17="Type 4 a",MAX(SA,N133,1.05*Q133),IF('Pre-Calculation'!$D$17="Type 4 c",N133,IF('Pre-Calculation'!$D$17="Type 4 d",SA+N133,IF('Pre-Calculation'!$D$17="Type 4 e",MAX(SA,N133),IF('Pre-Calculation'!$D$17="Type 4 f",SA,IF('Pre-Calculation'!$D$17="Type 4 g",1000+N133,IF('Pre-Calculation'!$D$17="Type 4 h",SA+X133,IF('Pre-Calculation'!$D$17="Type 4 i",MAX(N133,Q133),IF('Pre-Calculation'!$D$17="Type 4 k",MAX(N133,1.01*Q133),IF('Pre-Calculation'!$D$17="Type 4 m",MAX(105%*Q133,SA+N133),IF('Pre-Calculation'!$D$17="Type 4 o",MAX(SA,105%*Q133)+X133+Z133,IF('Pre-Calculation'!$D$17="Type 5",0))))))))))))</f>
        <v>1680000</v>
      </c>
      <c r="Q133" s="175">
        <f t="shared" si="5"/>
        <v>1600000</v>
      </c>
      <c r="R133" s="119">
        <f>L133*(1+GROWTH_RATE)*FMC</f>
        <v>1159.376145</v>
      </c>
      <c r="S133" s="178">
        <f>S132*(1+'Pre-Calculation'!$E$27)</f>
        <v>935474.7262</v>
      </c>
      <c r="T133" s="175">
        <f>-E133+IF(A132=INPUT!$C$11*12,N133,0)</f>
        <v>0</v>
      </c>
      <c r="U133" s="175">
        <f t="shared" si="6"/>
        <v>1123944.478</v>
      </c>
      <c r="V133" s="175">
        <f>U133*(1+GROWTH_RATE_L)*(1-'Pre-Calculation'!$E$31)</f>
        <v>1125746.12</v>
      </c>
      <c r="W133" s="175">
        <f>-E133+IF(A132=INPUT!$C$11*12,V133,0)</f>
        <v>0</v>
      </c>
      <c r="X133" s="179">
        <f t="array" ref="X133">NPV('Pre-Calculation'!$E$20,$E134:E$246)</f>
        <v>0</v>
      </c>
      <c r="Y133" s="171">
        <f>10%*SA</f>
        <v>100000</v>
      </c>
      <c r="Z133" s="179">
        <f t="array" ref="Z133">NPV('Pre-Calculation'!$E$20,Y134:Y143)</f>
        <v>969592.8037</v>
      </c>
    </row>
    <row r="134" ht="15.75" customHeight="1">
      <c r="A134" s="171">
        <f t="shared" si="1"/>
        <v>128</v>
      </c>
      <c r="B134" s="171">
        <f t="shared" si="2"/>
        <v>11</v>
      </c>
      <c r="C134" s="176">
        <f>EDATE(RCD,A133)</f>
        <v>46417</v>
      </c>
      <c r="D134" s="171">
        <f>Age_At_Entry+'Cashflows_4% from Start'!B134-1</f>
        <v>45</v>
      </c>
      <c r="E134" s="175">
        <f>IF(AND(C134&lt;=Last_Prem,MOD(A133,Mode)=0),Mod_Prem,0)</f>
        <v>0</v>
      </c>
      <c r="F134" s="177">
        <f>IF(B134&lt;PT+1,E134*VLOOKUP(B134,'Pre-Calculation'!$H$1:$I$31,2,FALSE),0)</f>
        <v>0</v>
      </c>
      <c r="G134" s="177">
        <f>IF(B134&lt;PT+1,VLOOKUP(B134,'Pre-Calculation'!$H$1:$L$32,3,FALSE)+VLOOKUP(B134,'Pre-Calculation'!$H$1:$L$32,4,FALSE)*'Pre-Calculation'!$D$7,0)</f>
        <v>0</v>
      </c>
      <c r="H134" s="175">
        <f>(E134-(F134+G134)*(1+Tax)+N133)</f>
        <v>1026515.745</v>
      </c>
      <c r="I134" s="175">
        <f>IF(B134&lt;PT+1,VLOOKUP(D134,'Pre-Calculation'!$N$3:$P$79,IF(INPUT!$C$4="M",2,3),FALSE)*(J134/1000)*(1/12),0)</f>
        <v>0</v>
      </c>
      <c r="J134" s="175">
        <f t="shared" si="3"/>
        <v>653484.2545</v>
      </c>
      <c r="K134" s="175">
        <f>IF('Pre-Calculation'!$D$17="Type 4 a",MAX(SA,H134,1.05*Q134),IF('Pre-Calculation'!$D$17="Type 4 c",H134,IF('Pre-Calculation'!$D$17="Type 4 d",SA+H134,IF('Pre-Calculation'!$D$17="Type 4 e",MAX(SA,H134),IF('Pre-Calculation'!$D$17="Type 4 f",SA,IF('Pre-Calculation'!$D$17="Type 4 g",1000+H134,IF('Pre-Calculation'!$D$17="Type 4 h",SA+X134,IF('Pre-Calculation'!$D$17="Type 4 i",MAX(H134,Q134),IF('Pre-Calculation'!$D$17="Type 4 k",MAX(H134,1.01*Q134),IF('Pre-Calculation'!$D$17="Type 4 m",MAX(105%*Q134,SA+H134),IF('Pre-Calculation'!$D$17="Type 4 o",MAX(SA,105%*Q134)+X134+Z134,IF('Pre-Calculation'!$D$17="Type 5",0))))))))))))</f>
        <v>1680000</v>
      </c>
      <c r="L134" s="175">
        <f>H134-I134*(1+Tax)</f>
        <v>1026515.745</v>
      </c>
      <c r="M134" s="175">
        <f>L134*(1+GROWTH_RATE_L)*(1-FMC*(1+Tax))</f>
        <v>1028509.874</v>
      </c>
      <c r="N134" s="175">
        <f>M134+IF(MOD(A134,B134)=0,VLOOKUP(B134,'Pre-Calculation'!$H$1:$L$31,5,FALSE),0)*IF('Pre-Calculation'!$D$16="% OF FV",M134,IF(OR('Pre-Calculation'!$D$16="% OF AFV(24M)",'Pre-Calculation'!$D$16="% OF AFV(8Q)"),AVERAGE( $M111:$M134),IF('Pre-Calculation'!$D$16="% OF AFV(12M)",AVERAGE($M123:M134),IF('Pre-Calculation'!$D$16="% OF AFV(36M)",AVERAGE($M99:M134)))))</f>
        <v>1028509.874</v>
      </c>
      <c r="O134" s="175">
        <f t="shared" si="4"/>
        <v>1028509.874</v>
      </c>
      <c r="P134" s="175">
        <f>IF('Pre-Calculation'!$D$17="Type 4 a",MAX(SA,N134,1.05*Q134),IF('Pre-Calculation'!$D$17="Type 4 c",N134,IF('Pre-Calculation'!$D$17="Type 4 d",SA+N134,IF('Pre-Calculation'!$D$17="Type 4 e",MAX(SA,N134),IF('Pre-Calculation'!$D$17="Type 4 f",SA,IF('Pre-Calculation'!$D$17="Type 4 g",1000+N134,IF('Pre-Calculation'!$D$17="Type 4 h",SA+X134,IF('Pre-Calculation'!$D$17="Type 4 i",MAX(N134,Q134),IF('Pre-Calculation'!$D$17="Type 4 k",MAX(N134,1.01*Q134),IF('Pre-Calculation'!$D$17="Type 4 m",MAX(105%*Q134,SA+N134),IF('Pre-Calculation'!$D$17="Type 4 o",MAX(SA,105%*Q134)+X134+Z134,IF('Pre-Calculation'!$D$17="Type 5",0))))))))))))</f>
        <v>1680000</v>
      </c>
      <c r="Q134" s="175">
        <f t="shared" si="5"/>
        <v>1600000</v>
      </c>
      <c r="R134" s="119">
        <f>L134*(1+GROWTH_RATE)*FMC</f>
        <v>1161.62837</v>
      </c>
      <c r="S134" s="178">
        <f>S133*(1+'Pre-Calculation'!$E$27)</f>
        <v>938160.3794</v>
      </c>
      <c r="T134" s="175">
        <f>-E134+IF(A133=INPUT!$C$11*12,N134,0)</f>
        <v>0</v>
      </c>
      <c r="U134" s="175">
        <f t="shared" si="6"/>
        <v>1125746.12</v>
      </c>
      <c r="V134" s="175">
        <f>U134*(1+GROWTH_RATE_L)*(1-'Pre-Calculation'!$E$31)</f>
        <v>1127550.651</v>
      </c>
      <c r="W134" s="175">
        <f>-E134+IF(A133=INPUT!$C$11*12,V134,0)</f>
        <v>0</v>
      </c>
      <c r="X134" s="179">
        <f t="array" ref="X134">NPV('Pre-Calculation'!$E$20,$E135:E$246)</f>
        <v>0</v>
      </c>
      <c r="Y134" s="171">
        <f>10%*SA</f>
        <v>100000</v>
      </c>
      <c r="Z134" s="179">
        <f t="array" ref="Z134">NPV('Pre-Calculation'!$E$20,Y135:Y144)</f>
        <v>969592.8037</v>
      </c>
    </row>
    <row r="135" ht="15.75" customHeight="1">
      <c r="A135" s="171">
        <f t="shared" si="1"/>
        <v>129</v>
      </c>
      <c r="B135" s="171">
        <f t="shared" si="2"/>
        <v>11</v>
      </c>
      <c r="C135" s="176">
        <f>EDATE(RCD,A134)</f>
        <v>46446</v>
      </c>
      <c r="D135" s="171">
        <f>Age_At_Entry+'Cashflows_4% from Start'!B135-1</f>
        <v>45</v>
      </c>
      <c r="E135" s="175">
        <f>IF(AND(C135&lt;=Last_Prem,MOD(A134,Mode)=0),Mod_Prem,0)</f>
        <v>0</v>
      </c>
      <c r="F135" s="177">
        <f>IF(B135&lt;PT+1,E135*VLOOKUP(B135,'Pre-Calculation'!$H$1:$I$31,2,FALSE),0)</f>
        <v>0</v>
      </c>
      <c r="G135" s="177">
        <f>IF(B135&lt;PT+1,VLOOKUP(B135,'Pre-Calculation'!$H$1:$L$32,3,FALSE)+VLOOKUP(B135,'Pre-Calculation'!$H$1:$L$32,4,FALSE)*'Pre-Calculation'!$D$7,0)</f>
        <v>0</v>
      </c>
      <c r="H135" s="175">
        <f>(E135-(F135+G135)*(1+Tax)+N134)</f>
        <v>1028509.874</v>
      </c>
      <c r="I135" s="175">
        <f>IF(B135&lt;PT+1,VLOOKUP(D135,'Pre-Calculation'!$N$3:$P$79,IF(INPUT!$C$4="M",2,3),FALSE)*(J135/1000)*(1/12),0)</f>
        <v>0</v>
      </c>
      <c r="J135" s="175">
        <f t="shared" si="3"/>
        <v>651490.1264</v>
      </c>
      <c r="K135" s="175">
        <f>IF('Pre-Calculation'!$D$17="Type 4 a",MAX(SA,H135,1.05*Q135),IF('Pre-Calculation'!$D$17="Type 4 c",H135,IF('Pre-Calculation'!$D$17="Type 4 d",SA+H135,IF('Pre-Calculation'!$D$17="Type 4 e",MAX(SA,H135),IF('Pre-Calculation'!$D$17="Type 4 f",SA,IF('Pre-Calculation'!$D$17="Type 4 g",1000+H135,IF('Pre-Calculation'!$D$17="Type 4 h",SA+X135,IF('Pre-Calculation'!$D$17="Type 4 i",MAX(H135,Q135),IF('Pre-Calculation'!$D$17="Type 4 k",MAX(H135,1.01*Q135),IF('Pre-Calculation'!$D$17="Type 4 m",MAX(105%*Q135,SA+H135),IF('Pre-Calculation'!$D$17="Type 4 o",MAX(SA,105%*Q135)+X135+Z135,IF('Pre-Calculation'!$D$17="Type 5",0))))))))))))</f>
        <v>1680000</v>
      </c>
      <c r="L135" s="175">
        <f>H135-I135*(1+Tax)</f>
        <v>1028509.874</v>
      </c>
      <c r="M135" s="175">
        <f>L135*(1+GROWTH_RATE_L)*(1-FMC*(1+Tax))</f>
        <v>1030507.876</v>
      </c>
      <c r="N135" s="175">
        <f>M135+IF(MOD(A135,B135)=0,VLOOKUP(B135,'Pre-Calculation'!$H$1:$L$31,5,FALSE),0)*IF('Pre-Calculation'!$D$16="% OF FV",M135,IF(OR('Pre-Calculation'!$D$16="% OF AFV(24M)",'Pre-Calculation'!$D$16="% OF AFV(8Q)"),AVERAGE( $M112:$M135),IF('Pre-Calculation'!$D$16="% OF AFV(12M)",AVERAGE($M124:M135),IF('Pre-Calculation'!$D$16="% OF AFV(36M)",AVERAGE($M100:M135)))))</f>
        <v>1030507.876</v>
      </c>
      <c r="O135" s="175">
        <f t="shared" si="4"/>
        <v>1030507.876</v>
      </c>
      <c r="P135" s="175">
        <f>IF('Pre-Calculation'!$D$17="Type 4 a",MAX(SA,N135,1.05*Q135),IF('Pre-Calculation'!$D$17="Type 4 c",N135,IF('Pre-Calculation'!$D$17="Type 4 d",SA+N135,IF('Pre-Calculation'!$D$17="Type 4 e",MAX(SA,N135),IF('Pre-Calculation'!$D$17="Type 4 f",SA,IF('Pre-Calculation'!$D$17="Type 4 g",1000+N135,IF('Pre-Calculation'!$D$17="Type 4 h",SA+X135,IF('Pre-Calculation'!$D$17="Type 4 i",MAX(N135,Q135),IF('Pre-Calculation'!$D$17="Type 4 k",MAX(N135,1.01*Q135),IF('Pre-Calculation'!$D$17="Type 4 m",MAX(105%*Q135,SA+N135),IF('Pre-Calculation'!$D$17="Type 4 o",MAX(SA,105%*Q135)+X135+Z135,IF('Pre-Calculation'!$D$17="Type 5",0))))))))))))</f>
        <v>1680000</v>
      </c>
      <c r="Q135" s="175">
        <f t="shared" si="5"/>
        <v>1600000</v>
      </c>
      <c r="R135" s="119">
        <f>L135*(1+GROWTH_RATE)*FMC</f>
        <v>1163.88497</v>
      </c>
      <c r="S135" s="178">
        <f>S134*(1+'Pre-Calculation'!$E$27)</f>
        <v>940853.7428</v>
      </c>
      <c r="T135" s="175">
        <f>-E135+IF(A134=INPUT!$C$11*12,N135,0)</f>
        <v>0</v>
      </c>
      <c r="U135" s="175">
        <f t="shared" si="6"/>
        <v>1127550.651</v>
      </c>
      <c r="V135" s="175">
        <f>U135*(1+GROWTH_RATE_L)*(1-'Pre-Calculation'!$E$31)</f>
        <v>1129358.073</v>
      </c>
      <c r="W135" s="175">
        <f>-E135+IF(A134=INPUT!$C$11*12,V135,0)</f>
        <v>0</v>
      </c>
      <c r="X135" s="179">
        <f t="array" ref="X135">NPV('Pre-Calculation'!$E$20,$E136:E$246)</f>
        <v>0</v>
      </c>
      <c r="Y135" s="171">
        <f>10%*SA</f>
        <v>100000</v>
      </c>
      <c r="Z135" s="179">
        <f t="array" ref="Z135">NPV('Pre-Calculation'!$E$20,Y136:Y145)</f>
        <v>969592.8037</v>
      </c>
    </row>
    <row r="136" ht="15.75" customHeight="1">
      <c r="A136" s="171">
        <f t="shared" si="1"/>
        <v>130</v>
      </c>
      <c r="B136" s="171">
        <f t="shared" si="2"/>
        <v>11</v>
      </c>
      <c r="C136" s="176">
        <f>EDATE(RCD,A135)</f>
        <v>46476</v>
      </c>
      <c r="D136" s="171">
        <f>Age_At_Entry+'Cashflows_4% from Start'!B136-1</f>
        <v>45</v>
      </c>
      <c r="E136" s="175">
        <f>IF(AND(C136&lt;=Last_Prem,MOD(A135,Mode)=0),Mod_Prem,0)</f>
        <v>0</v>
      </c>
      <c r="F136" s="177">
        <f>IF(B136&lt;PT+1,E136*VLOOKUP(B136,'Pre-Calculation'!$H$1:$I$31,2,FALSE),0)</f>
        <v>0</v>
      </c>
      <c r="G136" s="177">
        <f>IF(B136&lt;PT+1,VLOOKUP(B136,'Pre-Calculation'!$H$1:$L$32,3,FALSE)+VLOOKUP(B136,'Pre-Calculation'!$H$1:$L$32,4,FALSE)*'Pre-Calculation'!$D$7,0)</f>
        <v>0</v>
      </c>
      <c r="H136" s="175">
        <f>(E136-(F136+G136)*(1+Tax)+N135)</f>
        <v>1030507.876</v>
      </c>
      <c r="I136" s="175">
        <f>IF(B136&lt;PT+1,VLOOKUP(D136,'Pre-Calculation'!$N$3:$P$79,IF(INPUT!$C$4="M",2,3),FALSE)*(J136/1000)*(1/12),0)</f>
        <v>0</v>
      </c>
      <c r="J136" s="175">
        <f t="shared" si="3"/>
        <v>649492.1244</v>
      </c>
      <c r="K136" s="175">
        <f>IF('Pre-Calculation'!$D$17="Type 4 a",MAX(SA,H136,1.05*Q136),IF('Pre-Calculation'!$D$17="Type 4 c",H136,IF('Pre-Calculation'!$D$17="Type 4 d",SA+H136,IF('Pre-Calculation'!$D$17="Type 4 e",MAX(SA,H136),IF('Pre-Calculation'!$D$17="Type 4 f",SA,IF('Pre-Calculation'!$D$17="Type 4 g",1000+H136,IF('Pre-Calculation'!$D$17="Type 4 h",SA+X136,IF('Pre-Calculation'!$D$17="Type 4 i",MAX(H136,Q136),IF('Pre-Calculation'!$D$17="Type 4 k",MAX(H136,1.01*Q136),IF('Pre-Calculation'!$D$17="Type 4 m",MAX(105%*Q136,SA+H136),IF('Pre-Calculation'!$D$17="Type 4 o",MAX(SA,105%*Q136)+X136+Z136,IF('Pre-Calculation'!$D$17="Type 5",0))))))))))))</f>
        <v>1680000</v>
      </c>
      <c r="L136" s="175">
        <f>H136-I136*(1+Tax)</f>
        <v>1030507.876</v>
      </c>
      <c r="M136" s="175">
        <f>L136*(1+GROWTH_RATE_L)*(1-FMC*(1+Tax))</f>
        <v>1032509.759</v>
      </c>
      <c r="N136" s="175">
        <f>M136+IF(MOD(A136,B136)=0,VLOOKUP(B136,'Pre-Calculation'!$H$1:$L$31,5,FALSE),0)*IF('Pre-Calculation'!$D$16="% OF FV",M136,IF(OR('Pre-Calculation'!$D$16="% OF AFV(24M)",'Pre-Calculation'!$D$16="% OF AFV(8Q)"),AVERAGE( $M113:$M136),IF('Pre-Calculation'!$D$16="% OF AFV(12M)",AVERAGE($M125:M136),IF('Pre-Calculation'!$D$16="% OF AFV(36M)",AVERAGE($M101:M136)))))</f>
        <v>1032509.759</v>
      </c>
      <c r="O136" s="175">
        <f t="shared" si="4"/>
        <v>1032509.759</v>
      </c>
      <c r="P136" s="175">
        <f>IF('Pre-Calculation'!$D$17="Type 4 a",MAX(SA,N136,1.05*Q136),IF('Pre-Calculation'!$D$17="Type 4 c",N136,IF('Pre-Calculation'!$D$17="Type 4 d",SA+N136,IF('Pre-Calculation'!$D$17="Type 4 e",MAX(SA,N136),IF('Pre-Calculation'!$D$17="Type 4 f",SA,IF('Pre-Calculation'!$D$17="Type 4 g",1000+N136,IF('Pre-Calculation'!$D$17="Type 4 h",SA+X136,IF('Pre-Calculation'!$D$17="Type 4 i",MAX(N136,Q136),IF('Pre-Calculation'!$D$17="Type 4 k",MAX(N136,1.01*Q136),IF('Pre-Calculation'!$D$17="Type 4 m",MAX(105%*Q136,SA+N136),IF('Pre-Calculation'!$D$17="Type 4 o",MAX(SA,105%*Q136)+X136+Z136,IF('Pre-Calculation'!$D$17="Type 5",0))))))))))))</f>
        <v>1680000</v>
      </c>
      <c r="Q136" s="175">
        <f t="shared" si="5"/>
        <v>1600000</v>
      </c>
      <c r="R136" s="119">
        <f>L136*(1+GROWTH_RATE)*FMC</f>
        <v>1166.145954</v>
      </c>
      <c r="S136" s="178">
        <f>S135*(1+'Pre-Calculation'!$E$27)</f>
        <v>943554.8386</v>
      </c>
      <c r="T136" s="175">
        <f>-E136+IF(A135=INPUT!$C$11*12,N136,0)</f>
        <v>0</v>
      </c>
      <c r="U136" s="175">
        <f t="shared" si="6"/>
        <v>1129358.073</v>
      </c>
      <c r="V136" s="175">
        <f>U136*(1+GROWTH_RATE_L)*(1-'Pre-Calculation'!$E$31)</f>
        <v>1131168.394</v>
      </c>
      <c r="W136" s="175">
        <f>-E136+IF(A135=INPUT!$C$11*12,V136,0)</f>
        <v>0</v>
      </c>
      <c r="X136" s="179">
        <f t="array" ref="X136">NPV('Pre-Calculation'!$E$20,$E137:E$246)</f>
        <v>0</v>
      </c>
      <c r="Y136" s="171">
        <f>10%*SA</f>
        <v>100000</v>
      </c>
      <c r="Z136" s="179">
        <f t="array" ref="Z136">NPV('Pre-Calculation'!$E$20,Y137:Y146)</f>
        <v>969592.8037</v>
      </c>
    </row>
    <row r="137" ht="15.75" customHeight="1">
      <c r="A137" s="171">
        <f t="shared" si="1"/>
        <v>131</v>
      </c>
      <c r="B137" s="171">
        <f t="shared" si="2"/>
        <v>11</v>
      </c>
      <c r="C137" s="176">
        <f>EDATE(RCD,A136)</f>
        <v>46507</v>
      </c>
      <c r="D137" s="171">
        <f>Age_At_Entry+'Cashflows_4% from Start'!B137-1</f>
        <v>45</v>
      </c>
      <c r="E137" s="175">
        <f>IF(AND(C137&lt;=Last_Prem,MOD(A136,Mode)=0),Mod_Prem,0)</f>
        <v>0</v>
      </c>
      <c r="F137" s="177">
        <f>IF(B137&lt;PT+1,E137*VLOOKUP(B137,'Pre-Calculation'!$H$1:$I$31,2,FALSE),0)</f>
        <v>0</v>
      </c>
      <c r="G137" s="177">
        <f>IF(B137&lt;PT+1,VLOOKUP(B137,'Pre-Calculation'!$H$1:$L$32,3,FALSE)+VLOOKUP(B137,'Pre-Calculation'!$H$1:$L$32,4,FALSE)*'Pre-Calculation'!$D$7,0)</f>
        <v>0</v>
      </c>
      <c r="H137" s="175">
        <f>(E137-(F137+G137)*(1+Tax)+N136)</f>
        <v>1032509.759</v>
      </c>
      <c r="I137" s="175">
        <f>IF(B137&lt;PT+1,VLOOKUP(D137,'Pre-Calculation'!$N$3:$P$79,IF(INPUT!$C$4="M",2,3),FALSE)*(J137/1000)*(1/12),0)</f>
        <v>0</v>
      </c>
      <c r="J137" s="175">
        <f t="shared" si="3"/>
        <v>647490.2411</v>
      </c>
      <c r="K137" s="175">
        <f>IF('Pre-Calculation'!$D$17="Type 4 a",MAX(SA,H137,1.05*Q137),IF('Pre-Calculation'!$D$17="Type 4 c",H137,IF('Pre-Calculation'!$D$17="Type 4 d",SA+H137,IF('Pre-Calculation'!$D$17="Type 4 e",MAX(SA,H137),IF('Pre-Calculation'!$D$17="Type 4 f",SA,IF('Pre-Calculation'!$D$17="Type 4 g",1000+H137,IF('Pre-Calculation'!$D$17="Type 4 h",SA+X137,IF('Pre-Calculation'!$D$17="Type 4 i",MAX(H137,Q137),IF('Pre-Calculation'!$D$17="Type 4 k",MAX(H137,1.01*Q137),IF('Pre-Calculation'!$D$17="Type 4 m",MAX(105%*Q137,SA+H137),IF('Pre-Calculation'!$D$17="Type 4 o",MAX(SA,105%*Q137)+X137+Z137,IF('Pre-Calculation'!$D$17="Type 5",0))))))))))))</f>
        <v>1680000</v>
      </c>
      <c r="L137" s="175">
        <f>H137-I137*(1+Tax)</f>
        <v>1032509.759</v>
      </c>
      <c r="M137" s="175">
        <f>L137*(1+GROWTH_RATE_L)*(1-FMC*(1+Tax))</f>
        <v>1034515.531</v>
      </c>
      <c r="N137" s="175">
        <f>M137+IF(MOD(A137,B137)=0,VLOOKUP(B137,'Pre-Calculation'!$H$1:$L$31,5,FALSE),0)*IF('Pre-Calculation'!$D$16="% OF FV",M137,IF(OR('Pre-Calculation'!$D$16="% OF AFV(24M)",'Pre-Calculation'!$D$16="% OF AFV(8Q)"),AVERAGE( $M114:$M137),IF('Pre-Calculation'!$D$16="% OF AFV(12M)",AVERAGE($M126:M137),IF('Pre-Calculation'!$D$16="% OF AFV(36M)",AVERAGE($M102:M137)))))</f>
        <v>1034515.531</v>
      </c>
      <c r="O137" s="175">
        <f t="shared" si="4"/>
        <v>1034515.531</v>
      </c>
      <c r="P137" s="175">
        <f>IF('Pre-Calculation'!$D$17="Type 4 a",MAX(SA,N137,1.05*Q137),IF('Pre-Calculation'!$D$17="Type 4 c",N137,IF('Pre-Calculation'!$D$17="Type 4 d",SA+N137,IF('Pre-Calculation'!$D$17="Type 4 e",MAX(SA,N137),IF('Pre-Calculation'!$D$17="Type 4 f",SA,IF('Pre-Calculation'!$D$17="Type 4 g",1000+N137,IF('Pre-Calculation'!$D$17="Type 4 h",SA+X137,IF('Pre-Calculation'!$D$17="Type 4 i",MAX(N137,Q137),IF('Pre-Calculation'!$D$17="Type 4 k",MAX(N137,1.01*Q137),IF('Pre-Calculation'!$D$17="Type 4 m",MAX(105%*Q137,SA+N137),IF('Pre-Calculation'!$D$17="Type 4 o",MAX(SA,105%*Q137)+X137+Z137,IF('Pre-Calculation'!$D$17="Type 5",0))))))))))))</f>
        <v>1680000</v>
      </c>
      <c r="Q137" s="175">
        <f t="shared" si="5"/>
        <v>1600000</v>
      </c>
      <c r="R137" s="119">
        <f>L137*(1+GROWTH_RATE)*FMC</f>
        <v>1168.411331</v>
      </c>
      <c r="S137" s="178">
        <f>S136*(1+'Pre-Calculation'!$E$27)</f>
        <v>946263.689</v>
      </c>
      <c r="T137" s="175">
        <f>-E137+IF(A136=INPUT!$C$11*12,N137,0)</f>
        <v>0</v>
      </c>
      <c r="U137" s="175">
        <f t="shared" si="6"/>
        <v>1131168.394</v>
      </c>
      <c r="V137" s="175">
        <f>U137*(1+GROWTH_RATE_L)*(1-'Pre-Calculation'!$E$31)</f>
        <v>1132981.616</v>
      </c>
      <c r="W137" s="175">
        <f>-E137+IF(A136=INPUT!$C$11*12,V137,0)</f>
        <v>0</v>
      </c>
      <c r="X137" s="179">
        <f t="array" ref="X137">NPV('Pre-Calculation'!$E$20,$E138:E$246)</f>
        <v>0</v>
      </c>
      <c r="Y137" s="171">
        <f>10%*SA</f>
        <v>100000</v>
      </c>
      <c r="Z137" s="179">
        <f t="array" ref="Z137">NPV('Pre-Calculation'!$E$20,Y138:Y147)</f>
        <v>969592.8037</v>
      </c>
    </row>
    <row r="138" ht="15.75" customHeight="1">
      <c r="A138" s="171">
        <f t="shared" si="1"/>
        <v>132</v>
      </c>
      <c r="B138" s="171">
        <f t="shared" si="2"/>
        <v>11</v>
      </c>
      <c r="C138" s="176">
        <f>EDATE(RCD,A137)</f>
        <v>46537</v>
      </c>
      <c r="D138" s="171">
        <f>Age_At_Entry+'Cashflows_4% from Start'!B138-1</f>
        <v>45</v>
      </c>
      <c r="E138" s="175">
        <f>IF(AND(C138&lt;=Last_Prem,MOD(A137,Mode)=0),Mod_Prem,0)</f>
        <v>0</v>
      </c>
      <c r="F138" s="177">
        <f>IF(B138&lt;PT+1,E138*VLOOKUP(B138,'Pre-Calculation'!$H$1:$I$31,2,FALSE),0)</f>
        <v>0</v>
      </c>
      <c r="G138" s="177">
        <f>IF(B138&lt;PT+1,VLOOKUP(B138,'Pre-Calculation'!$H$1:$L$32,3,FALSE)+VLOOKUP(B138,'Pre-Calculation'!$H$1:$L$32,4,FALSE)*'Pre-Calculation'!$D$7,0)</f>
        <v>0</v>
      </c>
      <c r="H138" s="175">
        <f>(E138-(F138+G138)*(1+Tax)+N137)</f>
        <v>1034515.531</v>
      </c>
      <c r="I138" s="175">
        <f>IF(B138&lt;PT+1,VLOOKUP(D138,'Pre-Calculation'!$N$3:$P$79,IF(INPUT!$C$4="M",2,3),FALSE)*(J138/1000)*(1/12),0)</f>
        <v>0</v>
      </c>
      <c r="J138" s="175">
        <f t="shared" si="3"/>
        <v>645484.4689</v>
      </c>
      <c r="K138" s="175">
        <f>IF('Pre-Calculation'!$D$17="Type 4 a",MAX(SA,H138,1.05*Q138),IF('Pre-Calculation'!$D$17="Type 4 c",H138,IF('Pre-Calculation'!$D$17="Type 4 d",SA+H138,IF('Pre-Calculation'!$D$17="Type 4 e",MAX(SA,H138),IF('Pre-Calculation'!$D$17="Type 4 f",SA,IF('Pre-Calculation'!$D$17="Type 4 g",1000+H138,IF('Pre-Calculation'!$D$17="Type 4 h",SA+X138,IF('Pre-Calculation'!$D$17="Type 4 i",MAX(H138,Q138),IF('Pre-Calculation'!$D$17="Type 4 k",MAX(H138,1.01*Q138),IF('Pre-Calculation'!$D$17="Type 4 m",MAX(105%*Q138,SA+H138),IF('Pre-Calculation'!$D$17="Type 4 o",MAX(SA,105%*Q138)+X138+Z138,IF('Pre-Calculation'!$D$17="Type 5",0))))))))))))</f>
        <v>1680000</v>
      </c>
      <c r="L138" s="175">
        <f>H138-I138*(1+Tax)</f>
        <v>1034515.531</v>
      </c>
      <c r="M138" s="175">
        <f>L138*(1+GROWTH_RATE_L)*(1-FMC*(1+Tax))</f>
        <v>1036525.2</v>
      </c>
      <c r="N138" s="175">
        <f>M138+IF(MOD(A138,B138)=0,VLOOKUP(B138,'Pre-Calculation'!$H$1:$L$31,5,FALSE),0)*IF('Pre-Calculation'!$D$16="% OF FV",M138,IF(OR('Pre-Calculation'!$D$16="% OF AFV(24M)",'Pre-Calculation'!$D$16="% OF AFV(8Q)"),AVERAGE( $M115:$M138),IF('Pre-Calculation'!$D$16="% OF AFV(12M)",AVERAGE($M127:M138),IF('Pre-Calculation'!$D$16="% OF AFV(36M)",AVERAGE($M103:M138)))))</f>
        <v>1036525.2</v>
      </c>
      <c r="O138" s="175">
        <f t="shared" si="4"/>
        <v>1036525.2</v>
      </c>
      <c r="P138" s="175">
        <f>IF('Pre-Calculation'!$D$17="Type 4 a",MAX(SA,N138,1.05*Q138),IF('Pre-Calculation'!$D$17="Type 4 c",N138,IF('Pre-Calculation'!$D$17="Type 4 d",SA+N138,IF('Pre-Calculation'!$D$17="Type 4 e",MAX(SA,N138),IF('Pre-Calculation'!$D$17="Type 4 f",SA,IF('Pre-Calculation'!$D$17="Type 4 g",1000+N138,IF('Pre-Calculation'!$D$17="Type 4 h",SA+X138,IF('Pre-Calculation'!$D$17="Type 4 i",MAX(N138,Q138),IF('Pre-Calculation'!$D$17="Type 4 k",MAX(N138,1.01*Q138),IF('Pre-Calculation'!$D$17="Type 4 m",MAX(105%*Q138,SA+N138),IF('Pre-Calculation'!$D$17="Type 4 o",MAX(SA,105%*Q138)+X138+Z138,IF('Pre-Calculation'!$D$17="Type 5",0))))))))))))</f>
        <v>1680000</v>
      </c>
      <c r="Q138" s="175">
        <f t="shared" si="5"/>
        <v>1600000</v>
      </c>
      <c r="R138" s="119">
        <f>L138*(1+GROWTH_RATE)*FMC</f>
        <v>1170.681108</v>
      </c>
      <c r="S138" s="178">
        <f>S137*(1+'Pre-Calculation'!$E$27)</f>
        <v>948980.3162</v>
      </c>
      <c r="T138" s="175">
        <f>-E138+IF(A137=INPUT!$C$11*12,N138,0)</f>
        <v>0</v>
      </c>
      <c r="U138" s="175">
        <f t="shared" si="6"/>
        <v>1132981.616</v>
      </c>
      <c r="V138" s="175">
        <f>U138*(1+GROWTH_RATE_L)*(1-'Pre-Calculation'!$E$31)</f>
        <v>1134797.744</v>
      </c>
      <c r="W138" s="175">
        <f>-E138+IF(A137=INPUT!$C$11*12,V138,0)</f>
        <v>0</v>
      </c>
      <c r="X138" s="179">
        <f t="array" ref="X138">NPV('Pre-Calculation'!$E$20,$E139:E$246)</f>
        <v>0</v>
      </c>
      <c r="Y138" s="171">
        <f>10%*SA</f>
        <v>100000</v>
      </c>
      <c r="Z138" s="179">
        <f t="array" ref="Z138">NPV('Pre-Calculation'!$E$20,Y139:Y148)</f>
        <v>969592.8037</v>
      </c>
    </row>
    <row r="139" ht="15.75" customHeight="1">
      <c r="A139" s="171">
        <f t="shared" si="1"/>
        <v>133</v>
      </c>
      <c r="B139" s="171">
        <f t="shared" si="2"/>
        <v>12</v>
      </c>
      <c r="C139" s="176">
        <f>EDATE(RCD,A138)</f>
        <v>46568</v>
      </c>
      <c r="D139" s="171">
        <f>Age_At_Entry+'Cashflows_4% from Start'!B139-1</f>
        <v>46</v>
      </c>
      <c r="E139" s="175">
        <f>IF(AND(C139&lt;=Last_Prem,MOD(A138,Mode)=0),Mod_Prem,0)</f>
        <v>0</v>
      </c>
      <c r="F139" s="177">
        <f>IF(B139&lt;PT+1,E139*VLOOKUP(B139,'Pre-Calculation'!$H$1:$I$31,2,FALSE),0)</f>
        <v>0</v>
      </c>
      <c r="G139" s="177">
        <f>IF(B139&lt;PT+1,VLOOKUP(B139,'Pre-Calculation'!$H$1:$L$32,3,FALSE)+VLOOKUP(B139,'Pre-Calculation'!$H$1:$L$32,4,FALSE)*'Pre-Calculation'!$D$7,0)</f>
        <v>0</v>
      </c>
      <c r="H139" s="175">
        <f>(E139-(F139+G139)*(1+Tax)+N138)</f>
        <v>1036525.2</v>
      </c>
      <c r="I139" s="175">
        <f>IF(B139&lt;PT+1,VLOOKUP(D139,'Pre-Calculation'!$N$3:$P$79,IF(INPUT!$C$4="M",2,3),FALSE)*(J139/1000)*(1/12),0)</f>
        <v>0</v>
      </c>
      <c r="J139" s="175">
        <f t="shared" si="3"/>
        <v>643474.8002</v>
      </c>
      <c r="K139" s="175">
        <f>IF('Pre-Calculation'!$D$17="Type 4 a",MAX(SA,H139,1.05*Q139),IF('Pre-Calculation'!$D$17="Type 4 c",H139,IF('Pre-Calculation'!$D$17="Type 4 d",SA+H139,IF('Pre-Calculation'!$D$17="Type 4 e",MAX(SA,H139),IF('Pre-Calculation'!$D$17="Type 4 f",SA,IF('Pre-Calculation'!$D$17="Type 4 g",1000+H139,IF('Pre-Calculation'!$D$17="Type 4 h",SA+X139,IF('Pre-Calculation'!$D$17="Type 4 i",MAX(H139,Q139),IF('Pre-Calculation'!$D$17="Type 4 k",MAX(H139,1.01*Q139),IF('Pre-Calculation'!$D$17="Type 4 m",MAX(105%*Q139,SA+H139),IF('Pre-Calculation'!$D$17="Type 4 o",MAX(SA,105%*Q139)+X139+Z139,IF('Pre-Calculation'!$D$17="Type 5",0))))))))))))</f>
        <v>1680000</v>
      </c>
      <c r="L139" s="175">
        <f>H139-I139*(1+Tax)</f>
        <v>1036525.2</v>
      </c>
      <c r="M139" s="175">
        <f>L139*(1+GROWTH_RATE_L)*(1-FMC*(1+Tax))</f>
        <v>1038538.772</v>
      </c>
      <c r="N139" s="175">
        <f>M139+IF(MOD(A139,B139)=0,VLOOKUP(B139,'Pre-Calculation'!$H$1:$L$31,5,FALSE),0)*IF('Pre-Calculation'!$D$16="% OF FV",M139,IF(OR('Pre-Calculation'!$D$16="% OF AFV(24M)",'Pre-Calculation'!$D$16="% OF AFV(8Q)"),AVERAGE( $M116:$M139),IF('Pre-Calculation'!$D$16="% OF AFV(12M)",AVERAGE($M128:M139),IF('Pre-Calculation'!$D$16="% OF AFV(36M)",AVERAGE($M104:M139)))))</f>
        <v>1038538.772</v>
      </c>
      <c r="O139" s="175">
        <f t="shared" si="4"/>
        <v>1038538.772</v>
      </c>
      <c r="P139" s="175">
        <f>IF('Pre-Calculation'!$D$17="Type 4 a",MAX(SA,N139,1.05*Q139),IF('Pre-Calculation'!$D$17="Type 4 c",N139,IF('Pre-Calculation'!$D$17="Type 4 d",SA+N139,IF('Pre-Calculation'!$D$17="Type 4 e",MAX(SA,N139),IF('Pre-Calculation'!$D$17="Type 4 f",SA,IF('Pre-Calculation'!$D$17="Type 4 g",1000+N139,IF('Pre-Calculation'!$D$17="Type 4 h",SA+X139,IF('Pre-Calculation'!$D$17="Type 4 i",MAX(N139,Q139),IF('Pre-Calculation'!$D$17="Type 4 k",MAX(N139,1.01*Q139),IF('Pre-Calculation'!$D$17="Type 4 m",MAX(105%*Q139,SA+N139),IF('Pre-Calculation'!$D$17="Type 4 o",MAX(SA,105%*Q139)+X139+Z139,IF('Pre-Calculation'!$D$17="Type 5",0))))))))))))</f>
        <v>1680000</v>
      </c>
      <c r="Q139" s="175">
        <f t="shared" si="5"/>
        <v>1600000</v>
      </c>
      <c r="R139" s="119">
        <f>L139*(1+GROWTH_RATE)*FMC</f>
        <v>1172.955294</v>
      </c>
      <c r="S139" s="178">
        <f>S138*(1+'Pre-Calculation'!$E$27)</f>
        <v>951704.7426</v>
      </c>
      <c r="T139" s="175">
        <f>-E139+IF(A138=INPUT!$C$11*12,N139,0)</f>
        <v>0</v>
      </c>
      <c r="U139" s="175">
        <f t="shared" si="6"/>
        <v>1134797.744</v>
      </c>
      <c r="V139" s="175">
        <f>U139*(1+GROWTH_RATE_L)*(1-'Pre-Calculation'!$E$31)</f>
        <v>1136616.784</v>
      </c>
      <c r="W139" s="175">
        <f>-E139+IF(A138=INPUT!$C$11*12,V139,0)</f>
        <v>0</v>
      </c>
      <c r="X139" s="179">
        <f t="array" ref="X139">NPV('Pre-Calculation'!$E$20,$E140:E$246)</f>
        <v>0</v>
      </c>
      <c r="Y139" s="171">
        <f>10%*SA</f>
        <v>100000</v>
      </c>
      <c r="Z139" s="179">
        <f t="array" ref="Z139">NPV('Pre-Calculation'!$E$20,Y140:Y149)</f>
        <v>969592.8037</v>
      </c>
    </row>
    <row r="140" ht="15.75" customHeight="1">
      <c r="A140" s="171">
        <f t="shared" si="1"/>
        <v>134</v>
      </c>
      <c r="B140" s="171">
        <f t="shared" si="2"/>
        <v>12</v>
      </c>
      <c r="C140" s="176">
        <f>EDATE(RCD,A139)</f>
        <v>46598</v>
      </c>
      <c r="D140" s="171">
        <f>Age_At_Entry+'Cashflows_4% from Start'!B140-1</f>
        <v>46</v>
      </c>
      <c r="E140" s="175">
        <f>IF(AND(C140&lt;=Last_Prem,MOD(A139,Mode)=0),Mod_Prem,0)</f>
        <v>0</v>
      </c>
      <c r="F140" s="177">
        <f>IF(B140&lt;PT+1,E140*VLOOKUP(B140,'Pre-Calculation'!$H$1:$I$31,2,FALSE),0)</f>
        <v>0</v>
      </c>
      <c r="G140" s="177">
        <f>IF(B140&lt;PT+1,VLOOKUP(B140,'Pre-Calculation'!$H$1:$L$32,3,FALSE)+VLOOKUP(B140,'Pre-Calculation'!$H$1:$L$32,4,FALSE)*'Pre-Calculation'!$D$7,0)</f>
        <v>0</v>
      </c>
      <c r="H140" s="175">
        <f>(E140-(F140+G140)*(1+Tax)+N139)</f>
        <v>1038538.772</v>
      </c>
      <c r="I140" s="175">
        <f>IF(B140&lt;PT+1,VLOOKUP(D140,'Pre-Calculation'!$N$3:$P$79,IF(INPUT!$C$4="M",2,3),FALSE)*(J140/1000)*(1/12),0)</f>
        <v>0</v>
      </c>
      <c r="J140" s="175">
        <f t="shared" si="3"/>
        <v>641461.2275</v>
      </c>
      <c r="K140" s="175">
        <f>IF('Pre-Calculation'!$D$17="Type 4 a",MAX(SA,H140,1.05*Q140),IF('Pre-Calculation'!$D$17="Type 4 c",H140,IF('Pre-Calculation'!$D$17="Type 4 d",SA+H140,IF('Pre-Calculation'!$D$17="Type 4 e",MAX(SA,H140),IF('Pre-Calculation'!$D$17="Type 4 f",SA,IF('Pre-Calculation'!$D$17="Type 4 g",1000+H140,IF('Pre-Calculation'!$D$17="Type 4 h",SA+X140,IF('Pre-Calculation'!$D$17="Type 4 i",MAX(H140,Q140),IF('Pre-Calculation'!$D$17="Type 4 k",MAX(H140,1.01*Q140),IF('Pre-Calculation'!$D$17="Type 4 m",MAX(105%*Q140,SA+H140),IF('Pre-Calculation'!$D$17="Type 4 o",MAX(SA,105%*Q140)+X140+Z140,IF('Pre-Calculation'!$D$17="Type 5",0))))))))))))</f>
        <v>1680000</v>
      </c>
      <c r="L140" s="175">
        <f>H140-I140*(1+Tax)</f>
        <v>1038538.772</v>
      </c>
      <c r="M140" s="175">
        <f>L140*(1+GROWTH_RATE_L)*(1-FMC*(1+Tax))</f>
        <v>1040556.257</v>
      </c>
      <c r="N140" s="175">
        <f>M140+IF(MOD(A140,B140)=0,VLOOKUP(B140,'Pre-Calculation'!$H$1:$L$31,5,FALSE),0)*IF('Pre-Calculation'!$D$16="% OF FV",M140,IF(OR('Pre-Calculation'!$D$16="% OF AFV(24M)",'Pre-Calculation'!$D$16="% OF AFV(8Q)"),AVERAGE( $M117:$M140),IF('Pre-Calculation'!$D$16="% OF AFV(12M)",AVERAGE($M129:M140),IF('Pre-Calculation'!$D$16="% OF AFV(36M)",AVERAGE($M105:M140)))))</f>
        <v>1040556.257</v>
      </c>
      <c r="O140" s="175">
        <f t="shared" si="4"/>
        <v>1040556.257</v>
      </c>
      <c r="P140" s="175">
        <f>IF('Pre-Calculation'!$D$17="Type 4 a",MAX(SA,N140,1.05*Q140),IF('Pre-Calculation'!$D$17="Type 4 c",N140,IF('Pre-Calculation'!$D$17="Type 4 d",SA+N140,IF('Pre-Calculation'!$D$17="Type 4 e",MAX(SA,N140),IF('Pre-Calculation'!$D$17="Type 4 f",SA,IF('Pre-Calculation'!$D$17="Type 4 g",1000+N140,IF('Pre-Calculation'!$D$17="Type 4 h",SA+X140,IF('Pre-Calculation'!$D$17="Type 4 i",MAX(N140,Q140),IF('Pre-Calculation'!$D$17="Type 4 k",MAX(N140,1.01*Q140),IF('Pre-Calculation'!$D$17="Type 4 m",MAX(105%*Q140,SA+N140),IF('Pre-Calculation'!$D$17="Type 4 o",MAX(SA,105%*Q140)+X140+Z140,IF('Pre-Calculation'!$D$17="Type 5",0))))))))))))</f>
        <v>1680000</v>
      </c>
      <c r="Q140" s="175">
        <f t="shared" si="5"/>
        <v>1600000</v>
      </c>
      <c r="R140" s="119">
        <f>L140*(1+GROWTH_RATE)*FMC</f>
        <v>1175.233898</v>
      </c>
      <c r="S140" s="178">
        <f>S139*(1+'Pre-Calculation'!$E$27)</f>
        <v>954436.9905</v>
      </c>
      <c r="T140" s="175">
        <f>-E140+IF(A139=INPUT!$C$11*12,N140,0)</f>
        <v>0</v>
      </c>
      <c r="U140" s="175">
        <f t="shared" si="6"/>
        <v>1136616.784</v>
      </c>
      <c r="V140" s="175">
        <f>U140*(1+GROWTH_RATE_L)*(1-'Pre-Calculation'!$E$31)</f>
        <v>1138438.739</v>
      </c>
      <c r="W140" s="175">
        <f>-E140+IF(A139=INPUT!$C$11*12,V140,0)</f>
        <v>0</v>
      </c>
      <c r="X140" s="179">
        <f t="array" ref="X140">NPV('Pre-Calculation'!$E$20,$E141:E$246)</f>
        <v>0</v>
      </c>
      <c r="Y140" s="171">
        <f>10%*SA</f>
        <v>100000</v>
      </c>
      <c r="Z140" s="179">
        <f t="array" ref="Z140">NPV('Pre-Calculation'!$E$20,Y141:Y150)</f>
        <v>969592.8037</v>
      </c>
    </row>
    <row r="141" ht="15.75" customHeight="1">
      <c r="A141" s="171">
        <f t="shared" si="1"/>
        <v>135</v>
      </c>
      <c r="B141" s="171">
        <f t="shared" si="2"/>
        <v>12</v>
      </c>
      <c r="C141" s="176">
        <f>EDATE(RCD,A140)</f>
        <v>46629</v>
      </c>
      <c r="D141" s="171">
        <f>Age_At_Entry+'Cashflows_4% from Start'!B141-1</f>
        <v>46</v>
      </c>
      <c r="E141" s="175">
        <f>IF(AND(C141&lt;=Last_Prem,MOD(A140,Mode)=0),Mod_Prem,0)</f>
        <v>0</v>
      </c>
      <c r="F141" s="177">
        <f>IF(B141&lt;PT+1,E141*VLOOKUP(B141,'Pre-Calculation'!$H$1:$I$31,2,FALSE),0)</f>
        <v>0</v>
      </c>
      <c r="G141" s="177">
        <f>IF(B141&lt;PT+1,VLOOKUP(B141,'Pre-Calculation'!$H$1:$L$32,3,FALSE)+VLOOKUP(B141,'Pre-Calculation'!$H$1:$L$32,4,FALSE)*'Pre-Calculation'!$D$7,0)</f>
        <v>0</v>
      </c>
      <c r="H141" s="175">
        <f>(E141-(F141+G141)*(1+Tax)+N140)</f>
        <v>1040556.257</v>
      </c>
      <c r="I141" s="175">
        <f>IF(B141&lt;PT+1,VLOOKUP(D141,'Pre-Calculation'!$N$3:$P$79,IF(INPUT!$C$4="M",2,3),FALSE)*(J141/1000)*(1/12),0)</f>
        <v>0</v>
      </c>
      <c r="J141" s="175">
        <f t="shared" si="3"/>
        <v>639443.7432</v>
      </c>
      <c r="K141" s="175">
        <f>IF('Pre-Calculation'!$D$17="Type 4 a",MAX(SA,H141,1.05*Q141),IF('Pre-Calculation'!$D$17="Type 4 c",H141,IF('Pre-Calculation'!$D$17="Type 4 d",SA+H141,IF('Pre-Calculation'!$D$17="Type 4 e",MAX(SA,H141),IF('Pre-Calculation'!$D$17="Type 4 f",SA,IF('Pre-Calculation'!$D$17="Type 4 g",1000+H141,IF('Pre-Calculation'!$D$17="Type 4 h",SA+X141,IF('Pre-Calculation'!$D$17="Type 4 i",MAX(H141,Q141),IF('Pre-Calculation'!$D$17="Type 4 k",MAX(H141,1.01*Q141),IF('Pre-Calculation'!$D$17="Type 4 m",MAX(105%*Q141,SA+H141),IF('Pre-Calculation'!$D$17="Type 4 o",MAX(SA,105%*Q141)+X141+Z141,IF('Pre-Calculation'!$D$17="Type 5",0))))))))))))</f>
        <v>1680000</v>
      </c>
      <c r="L141" s="175">
        <f>H141-I141*(1+Tax)</f>
        <v>1040556.257</v>
      </c>
      <c r="M141" s="175">
        <f>L141*(1+GROWTH_RATE_L)*(1-FMC*(1+Tax))</f>
        <v>1042577.66</v>
      </c>
      <c r="N141" s="175">
        <f>M141+IF(MOD(A141,B141)=0,VLOOKUP(B141,'Pre-Calculation'!$H$1:$L$31,5,FALSE),0)*IF('Pre-Calculation'!$D$16="% OF FV",M141,IF(OR('Pre-Calculation'!$D$16="% OF AFV(24M)",'Pre-Calculation'!$D$16="% OF AFV(8Q)"),AVERAGE( $M118:$M141),IF('Pre-Calculation'!$D$16="% OF AFV(12M)",AVERAGE($M130:M141),IF('Pre-Calculation'!$D$16="% OF AFV(36M)",AVERAGE($M106:M141)))))</f>
        <v>1042577.66</v>
      </c>
      <c r="O141" s="175">
        <f t="shared" si="4"/>
        <v>1042577.66</v>
      </c>
      <c r="P141" s="175">
        <f>IF('Pre-Calculation'!$D$17="Type 4 a",MAX(SA,N141,1.05*Q141),IF('Pre-Calculation'!$D$17="Type 4 c",N141,IF('Pre-Calculation'!$D$17="Type 4 d",SA+N141,IF('Pre-Calculation'!$D$17="Type 4 e",MAX(SA,N141),IF('Pre-Calculation'!$D$17="Type 4 f",SA,IF('Pre-Calculation'!$D$17="Type 4 g",1000+N141,IF('Pre-Calculation'!$D$17="Type 4 h",SA+X141,IF('Pre-Calculation'!$D$17="Type 4 i",MAX(N141,Q141),IF('Pre-Calculation'!$D$17="Type 4 k",MAX(N141,1.01*Q141),IF('Pre-Calculation'!$D$17="Type 4 m",MAX(105%*Q141,SA+N141),IF('Pre-Calculation'!$D$17="Type 4 o",MAX(SA,105%*Q141)+X141+Z141,IF('Pre-Calculation'!$D$17="Type 5",0))))))))))))</f>
        <v>1680000</v>
      </c>
      <c r="Q141" s="175">
        <f t="shared" si="5"/>
        <v>1600000</v>
      </c>
      <c r="R141" s="119">
        <f>L141*(1+GROWTH_RATE)*FMC</f>
        <v>1177.516929</v>
      </c>
      <c r="S141" s="178">
        <f>S140*(1+'Pre-Calculation'!$E$27)</f>
        <v>957177.0824</v>
      </c>
      <c r="T141" s="175">
        <f>-E141+IF(A140=INPUT!$C$11*12,N141,0)</f>
        <v>0</v>
      </c>
      <c r="U141" s="175">
        <f t="shared" si="6"/>
        <v>1138438.739</v>
      </c>
      <c r="V141" s="175">
        <f>U141*(1+GROWTH_RATE_L)*(1-'Pre-Calculation'!$E$31)</f>
        <v>1140263.616</v>
      </c>
      <c r="W141" s="175">
        <f>-E141+IF(A140=INPUT!$C$11*12,V141,0)</f>
        <v>0</v>
      </c>
      <c r="X141" s="179">
        <f t="array" ref="X141">NPV('Pre-Calculation'!$E$20,$E142:E$246)</f>
        <v>0</v>
      </c>
      <c r="Y141" s="171">
        <f>10%*SA</f>
        <v>100000</v>
      </c>
      <c r="Z141" s="179">
        <f t="array" ref="Z141">NPV('Pre-Calculation'!$E$20,Y142:Y151)</f>
        <v>969592.8037</v>
      </c>
    </row>
    <row r="142" ht="15.75" customHeight="1">
      <c r="A142" s="171">
        <f t="shared" si="1"/>
        <v>136</v>
      </c>
      <c r="B142" s="171">
        <f t="shared" si="2"/>
        <v>12</v>
      </c>
      <c r="C142" s="176">
        <f>EDATE(RCD,A141)</f>
        <v>46660</v>
      </c>
      <c r="D142" s="171">
        <f>Age_At_Entry+'Cashflows_4% from Start'!B142-1</f>
        <v>46</v>
      </c>
      <c r="E142" s="175">
        <f>IF(AND(C142&lt;=Last_Prem,MOD(A141,Mode)=0),Mod_Prem,0)</f>
        <v>0</v>
      </c>
      <c r="F142" s="177">
        <f>IF(B142&lt;PT+1,E142*VLOOKUP(B142,'Pre-Calculation'!$H$1:$I$31,2,FALSE),0)</f>
        <v>0</v>
      </c>
      <c r="G142" s="177">
        <f>IF(B142&lt;PT+1,VLOOKUP(B142,'Pre-Calculation'!$H$1:$L$32,3,FALSE)+VLOOKUP(B142,'Pre-Calculation'!$H$1:$L$32,4,FALSE)*'Pre-Calculation'!$D$7,0)</f>
        <v>0</v>
      </c>
      <c r="H142" s="175">
        <f>(E142-(F142+G142)*(1+Tax)+N141)</f>
        <v>1042577.66</v>
      </c>
      <c r="I142" s="175">
        <f>IF(B142&lt;PT+1,VLOOKUP(D142,'Pre-Calculation'!$N$3:$P$79,IF(INPUT!$C$4="M",2,3),FALSE)*(J142/1000)*(1/12),0)</f>
        <v>0</v>
      </c>
      <c r="J142" s="175">
        <f t="shared" si="3"/>
        <v>637422.3397</v>
      </c>
      <c r="K142" s="175">
        <f>IF('Pre-Calculation'!$D$17="Type 4 a",MAX(SA,H142,1.05*Q142),IF('Pre-Calculation'!$D$17="Type 4 c",H142,IF('Pre-Calculation'!$D$17="Type 4 d",SA+H142,IF('Pre-Calculation'!$D$17="Type 4 e",MAX(SA,H142),IF('Pre-Calculation'!$D$17="Type 4 f",SA,IF('Pre-Calculation'!$D$17="Type 4 g",1000+H142,IF('Pre-Calculation'!$D$17="Type 4 h",SA+X142,IF('Pre-Calculation'!$D$17="Type 4 i",MAX(H142,Q142),IF('Pre-Calculation'!$D$17="Type 4 k",MAX(H142,1.01*Q142),IF('Pre-Calculation'!$D$17="Type 4 m",MAX(105%*Q142,SA+H142),IF('Pre-Calculation'!$D$17="Type 4 o",MAX(SA,105%*Q142)+X142+Z142,IF('Pre-Calculation'!$D$17="Type 5",0))))))))))))</f>
        <v>1680000</v>
      </c>
      <c r="L142" s="175">
        <f>H142-I142*(1+Tax)</f>
        <v>1042577.66</v>
      </c>
      <c r="M142" s="175">
        <f>L142*(1+GROWTH_RATE_L)*(1-FMC*(1+Tax))</f>
        <v>1044602.991</v>
      </c>
      <c r="N142" s="175">
        <f>M142+IF(MOD(A142,B142)=0,VLOOKUP(B142,'Pre-Calculation'!$H$1:$L$31,5,FALSE),0)*IF('Pre-Calculation'!$D$16="% OF FV",M142,IF(OR('Pre-Calculation'!$D$16="% OF AFV(24M)",'Pre-Calculation'!$D$16="% OF AFV(8Q)"),AVERAGE( $M119:$M142),IF('Pre-Calculation'!$D$16="% OF AFV(12M)",AVERAGE($M131:M142),IF('Pre-Calculation'!$D$16="% OF AFV(36M)",AVERAGE($M107:M142)))))</f>
        <v>1044602.991</v>
      </c>
      <c r="O142" s="175">
        <f t="shared" si="4"/>
        <v>1044602.991</v>
      </c>
      <c r="P142" s="175">
        <f>IF('Pre-Calculation'!$D$17="Type 4 a",MAX(SA,N142,1.05*Q142),IF('Pre-Calculation'!$D$17="Type 4 c",N142,IF('Pre-Calculation'!$D$17="Type 4 d",SA+N142,IF('Pre-Calculation'!$D$17="Type 4 e",MAX(SA,N142),IF('Pre-Calculation'!$D$17="Type 4 f",SA,IF('Pre-Calculation'!$D$17="Type 4 g",1000+N142,IF('Pre-Calculation'!$D$17="Type 4 h",SA+X142,IF('Pre-Calculation'!$D$17="Type 4 i",MAX(N142,Q142),IF('Pre-Calculation'!$D$17="Type 4 k",MAX(N142,1.01*Q142),IF('Pre-Calculation'!$D$17="Type 4 m",MAX(105%*Q142,SA+N142),IF('Pre-Calculation'!$D$17="Type 4 o",MAX(SA,105%*Q142)+X142+Z142,IF('Pre-Calculation'!$D$17="Type 5",0))))))))))))</f>
        <v>1680000</v>
      </c>
      <c r="Q142" s="175">
        <f t="shared" si="5"/>
        <v>1600000</v>
      </c>
      <c r="R142" s="119">
        <f>L142*(1+GROWTH_RATE)*FMC</f>
        <v>1179.804395</v>
      </c>
      <c r="S142" s="178">
        <f>S141*(1+'Pre-Calculation'!$E$27)</f>
        <v>959925.0409</v>
      </c>
      <c r="T142" s="175">
        <f>-E142+IF(A141=INPUT!$C$11*12,N142,0)</f>
        <v>0</v>
      </c>
      <c r="U142" s="175">
        <f t="shared" si="6"/>
        <v>1140263.616</v>
      </c>
      <c r="V142" s="175">
        <f>U142*(1+GROWTH_RATE_L)*(1-'Pre-Calculation'!$E$31)</f>
        <v>1142091.417</v>
      </c>
      <c r="W142" s="175">
        <f>-E142+IF(A141=INPUT!$C$11*12,V142,0)</f>
        <v>0</v>
      </c>
      <c r="X142" s="179">
        <f t="array" ref="X142">NPV('Pre-Calculation'!$E$20,$E143:E$246)</f>
        <v>0</v>
      </c>
      <c r="Y142" s="171">
        <f>10%*SA</f>
        <v>100000</v>
      </c>
      <c r="Z142" s="179">
        <f t="array" ref="Z142">NPV('Pre-Calculation'!$E$20,Y143:Y152)</f>
        <v>969592.8037</v>
      </c>
    </row>
    <row r="143" ht="15.75" customHeight="1">
      <c r="A143" s="171">
        <f t="shared" si="1"/>
        <v>137</v>
      </c>
      <c r="B143" s="171">
        <f t="shared" si="2"/>
        <v>12</v>
      </c>
      <c r="C143" s="176">
        <f>EDATE(RCD,A142)</f>
        <v>46690</v>
      </c>
      <c r="D143" s="171">
        <f>Age_At_Entry+'Cashflows_4% from Start'!B143-1</f>
        <v>46</v>
      </c>
      <c r="E143" s="175">
        <f>IF(AND(C143&lt;=Last_Prem,MOD(A142,Mode)=0),Mod_Prem,0)</f>
        <v>0</v>
      </c>
      <c r="F143" s="177">
        <f>IF(B143&lt;PT+1,E143*VLOOKUP(B143,'Pre-Calculation'!$H$1:$I$31,2,FALSE),0)</f>
        <v>0</v>
      </c>
      <c r="G143" s="177">
        <f>IF(B143&lt;PT+1,VLOOKUP(B143,'Pre-Calculation'!$H$1:$L$32,3,FALSE)+VLOOKUP(B143,'Pre-Calculation'!$H$1:$L$32,4,FALSE)*'Pre-Calculation'!$D$7,0)</f>
        <v>0</v>
      </c>
      <c r="H143" s="175">
        <f>(E143-(F143+G143)*(1+Tax)+N142)</f>
        <v>1044602.991</v>
      </c>
      <c r="I143" s="175">
        <f>IF(B143&lt;PT+1,VLOOKUP(D143,'Pre-Calculation'!$N$3:$P$79,IF(INPUT!$C$4="M",2,3),FALSE)*(J143/1000)*(1/12),0)</f>
        <v>0</v>
      </c>
      <c r="J143" s="175">
        <f t="shared" si="3"/>
        <v>635397.0094</v>
      </c>
      <c r="K143" s="175">
        <f>IF('Pre-Calculation'!$D$17="Type 4 a",MAX(SA,H143,1.05*Q143),IF('Pre-Calculation'!$D$17="Type 4 c",H143,IF('Pre-Calculation'!$D$17="Type 4 d",SA+H143,IF('Pre-Calculation'!$D$17="Type 4 e",MAX(SA,H143),IF('Pre-Calculation'!$D$17="Type 4 f",SA,IF('Pre-Calculation'!$D$17="Type 4 g",1000+H143,IF('Pre-Calculation'!$D$17="Type 4 h",SA+X143,IF('Pre-Calculation'!$D$17="Type 4 i",MAX(H143,Q143),IF('Pre-Calculation'!$D$17="Type 4 k",MAX(H143,1.01*Q143),IF('Pre-Calculation'!$D$17="Type 4 m",MAX(105%*Q143,SA+H143),IF('Pre-Calculation'!$D$17="Type 4 o",MAX(SA,105%*Q143)+X143+Z143,IF('Pre-Calculation'!$D$17="Type 5",0))))))))))))</f>
        <v>1680000</v>
      </c>
      <c r="L143" s="175">
        <f>H143-I143*(1+Tax)</f>
        <v>1044602.991</v>
      </c>
      <c r="M143" s="175">
        <f>L143*(1+GROWTH_RATE_L)*(1-FMC*(1+Tax))</f>
        <v>1046632.255</v>
      </c>
      <c r="N143" s="175">
        <f>M143+IF(MOD(A143,B143)=0,VLOOKUP(B143,'Pre-Calculation'!$H$1:$L$31,5,FALSE),0)*IF('Pre-Calculation'!$D$16="% OF FV",M143,IF(OR('Pre-Calculation'!$D$16="% OF AFV(24M)",'Pre-Calculation'!$D$16="% OF AFV(8Q)"),AVERAGE( $M120:$M143),IF('Pre-Calculation'!$D$16="% OF AFV(12M)",AVERAGE($M132:M143),IF('Pre-Calculation'!$D$16="% OF AFV(36M)",AVERAGE($M108:M143)))))</f>
        <v>1046632.255</v>
      </c>
      <c r="O143" s="175">
        <f t="shared" si="4"/>
        <v>1046632.255</v>
      </c>
      <c r="P143" s="175">
        <f>IF('Pre-Calculation'!$D$17="Type 4 a",MAX(SA,N143,1.05*Q143),IF('Pre-Calculation'!$D$17="Type 4 c",N143,IF('Pre-Calculation'!$D$17="Type 4 d",SA+N143,IF('Pre-Calculation'!$D$17="Type 4 e",MAX(SA,N143),IF('Pre-Calculation'!$D$17="Type 4 f",SA,IF('Pre-Calculation'!$D$17="Type 4 g",1000+N143,IF('Pre-Calculation'!$D$17="Type 4 h",SA+X143,IF('Pre-Calculation'!$D$17="Type 4 i",MAX(N143,Q143),IF('Pre-Calculation'!$D$17="Type 4 k",MAX(N143,1.01*Q143),IF('Pre-Calculation'!$D$17="Type 4 m",MAX(105%*Q143,SA+N143),IF('Pre-Calculation'!$D$17="Type 4 o",MAX(SA,105%*Q143)+X143+Z143,IF('Pre-Calculation'!$D$17="Type 5",0))))))))))))</f>
        <v>1680000</v>
      </c>
      <c r="Q143" s="175">
        <f t="shared" si="5"/>
        <v>1600000</v>
      </c>
      <c r="R143" s="119">
        <f>L143*(1+GROWTH_RATE)*FMC</f>
        <v>1182.096304</v>
      </c>
      <c r="S143" s="178">
        <f>S142*(1+'Pre-Calculation'!$E$27)</f>
        <v>962680.8885</v>
      </c>
      <c r="T143" s="175">
        <f>-E143+IF(A142=INPUT!$C$11*12,N143,0)</f>
        <v>0</v>
      </c>
      <c r="U143" s="175">
        <f t="shared" si="6"/>
        <v>1142091.417</v>
      </c>
      <c r="V143" s="175">
        <f>U143*(1+GROWTH_RATE_L)*(1-'Pre-Calculation'!$E$31)</f>
        <v>1143922.148</v>
      </c>
      <c r="W143" s="175">
        <f>-E143+IF(A142=INPUT!$C$11*12,V143,0)</f>
        <v>0</v>
      </c>
      <c r="X143" s="179">
        <f t="array" ref="X143">NPV('Pre-Calculation'!$E$20,$E144:E$246)</f>
        <v>0</v>
      </c>
      <c r="Y143" s="171">
        <f>10%*SA</f>
        <v>100000</v>
      </c>
      <c r="Z143" s="179">
        <f t="array" ref="Z143">NPV('Pre-Calculation'!$E$20,Y144:Y153)</f>
        <v>969592.8037</v>
      </c>
    </row>
    <row r="144" ht="15.75" customHeight="1">
      <c r="A144" s="171">
        <f t="shared" si="1"/>
        <v>138</v>
      </c>
      <c r="B144" s="171">
        <f t="shared" si="2"/>
        <v>12</v>
      </c>
      <c r="C144" s="176">
        <f>EDATE(RCD,A143)</f>
        <v>46721</v>
      </c>
      <c r="D144" s="171">
        <f>Age_At_Entry+'Cashflows_4% from Start'!B144-1</f>
        <v>46</v>
      </c>
      <c r="E144" s="175">
        <f>IF(AND(C144&lt;=Last_Prem,MOD(A143,Mode)=0),Mod_Prem,0)</f>
        <v>0</v>
      </c>
      <c r="F144" s="177">
        <f>IF(B144&lt;PT+1,E144*VLOOKUP(B144,'Pre-Calculation'!$H$1:$I$31,2,FALSE),0)</f>
        <v>0</v>
      </c>
      <c r="G144" s="177">
        <f>IF(B144&lt;PT+1,VLOOKUP(B144,'Pre-Calculation'!$H$1:$L$32,3,FALSE)+VLOOKUP(B144,'Pre-Calculation'!$H$1:$L$32,4,FALSE)*'Pre-Calculation'!$D$7,0)</f>
        <v>0</v>
      </c>
      <c r="H144" s="175">
        <f>(E144-(F144+G144)*(1+Tax)+N143)</f>
        <v>1046632.255</v>
      </c>
      <c r="I144" s="175">
        <f>IF(B144&lt;PT+1,VLOOKUP(D144,'Pre-Calculation'!$N$3:$P$79,IF(INPUT!$C$4="M",2,3),FALSE)*(J144/1000)*(1/12),0)</f>
        <v>0</v>
      </c>
      <c r="J144" s="175">
        <f t="shared" si="3"/>
        <v>633367.7447</v>
      </c>
      <c r="K144" s="175">
        <f>IF('Pre-Calculation'!$D$17="Type 4 a",MAX(SA,H144,1.05*Q144),IF('Pre-Calculation'!$D$17="Type 4 c",H144,IF('Pre-Calculation'!$D$17="Type 4 d",SA+H144,IF('Pre-Calculation'!$D$17="Type 4 e",MAX(SA,H144),IF('Pre-Calculation'!$D$17="Type 4 f",SA,IF('Pre-Calculation'!$D$17="Type 4 g",1000+H144,IF('Pre-Calculation'!$D$17="Type 4 h",SA+X144,IF('Pre-Calculation'!$D$17="Type 4 i",MAX(H144,Q144),IF('Pre-Calculation'!$D$17="Type 4 k",MAX(H144,1.01*Q144),IF('Pre-Calculation'!$D$17="Type 4 m",MAX(105%*Q144,SA+H144),IF('Pre-Calculation'!$D$17="Type 4 o",MAX(SA,105%*Q144)+X144+Z144,IF('Pre-Calculation'!$D$17="Type 5",0))))))))))))</f>
        <v>1680000</v>
      </c>
      <c r="L144" s="175">
        <f>H144-I144*(1+Tax)</f>
        <v>1046632.255</v>
      </c>
      <c r="M144" s="175">
        <f>L144*(1+GROWTH_RATE_L)*(1-FMC*(1+Tax))</f>
        <v>1048665.462</v>
      </c>
      <c r="N144" s="175">
        <f>M144+IF(MOD(A144,B144)=0,VLOOKUP(B144,'Pre-Calculation'!$H$1:$L$31,5,FALSE),0)*IF('Pre-Calculation'!$D$16="% OF FV",M144,IF(OR('Pre-Calculation'!$D$16="% OF AFV(24M)",'Pre-Calculation'!$D$16="% OF AFV(8Q)"),AVERAGE( $M121:$M144),IF('Pre-Calculation'!$D$16="% OF AFV(12M)",AVERAGE($M133:M144),IF('Pre-Calculation'!$D$16="% OF AFV(36M)",AVERAGE($M109:M144)))))</f>
        <v>1048665.462</v>
      </c>
      <c r="O144" s="175">
        <f t="shared" si="4"/>
        <v>1048665.462</v>
      </c>
      <c r="P144" s="175">
        <f>IF('Pre-Calculation'!$D$17="Type 4 a",MAX(SA,N144,1.05*Q144),IF('Pre-Calculation'!$D$17="Type 4 c",N144,IF('Pre-Calculation'!$D$17="Type 4 d",SA+N144,IF('Pre-Calculation'!$D$17="Type 4 e",MAX(SA,N144),IF('Pre-Calculation'!$D$17="Type 4 f",SA,IF('Pre-Calculation'!$D$17="Type 4 g",1000+N144,IF('Pre-Calculation'!$D$17="Type 4 h",SA+X144,IF('Pre-Calculation'!$D$17="Type 4 i",MAX(N144,Q144),IF('Pre-Calculation'!$D$17="Type 4 k",MAX(N144,1.01*Q144),IF('Pre-Calculation'!$D$17="Type 4 m",MAX(105%*Q144,SA+N144),IF('Pre-Calculation'!$D$17="Type 4 o",MAX(SA,105%*Q144)+X144+Z144,IF('Pre-Calculation'!$D$17="Type 5",0))))))))))))</f>
        <v>1680000</v>
      </c>
      <c r="Q144" s="175">
        <f t="shared" si="5"/>
        <v>1600000</v>
      </c>
      <c r="R144" s="119">
        <f>L144*(1+GROWTH_RATE)*FMC</f>
        <v>1184.392666</v>
      </c>
      <c r="S144" s="178">
        <f>S143*(1+'Pre-Calculation'!$E$27)</f>
        <v>965444.6478</v>
      </c>
      <c r="T144" s="175">
        <f>-E144+IF(A143=INPUT!$C$11*12,N144,0)</f>
        <v>0</v>
      </c>
      <c r="U144" s="175">
        <f t="shared" si="6"/>
        <v>1143922.148</v>
      </c>
      <c r="V144" s="175">
        <f>U144*(1+GROWTH_RATE_L)*(1-'Pre-Calculation'!$E$31)</f>
        <v>1145755.814</v>
      </c>
      <c r="W144" s="175">
        <f>-E144+IF(A143=INPUT!$C$11*12,V144,0)</f>
        <v>0</v>
      </c>
      <c r="X144" s="179">
        <f t="array" ref="X144">NPV('Pre-Calculation'!$E$20,$E145:E$246)</f>
        <v>0</v>
      </c>
      <c r="Y144" s="171">
        <f>10%*SA</f>
        <v>100000</v>
      </c>
      <c r="Z144" s="179">
        <f t="array" ref="Z144">NPV('Pre-Calculation'!$E$20,Y145:Y154)</f>
        <v>969592.8037</v>
      </c>
    </row>
    <row r="145" ht="15.75" customHeight="1">
      <c r="A145" s="171">
        <f t="shared" si="1"/>
        <v>139</v>
      </c>
      <c r="B145" s="171">
        <f t="shared" si="2"/>
        <v>12</v>
      </c>
      <c r="C145" s="176">
        <f>EDATE(RCD,A144)</f>
        <v>46751</v>
      </c>
      <c r="D145" s="171">
        <f>Age_At_Entry+'Cashflows_4% from Start'!B145-1</f>
        <v>46</v>
      </c>
      <c r="E145" s="175">
        <f>IF(AND(C145&lt;=Last_Prem,MOD(A144,Mode)=0),Mod_Prem,0)</f>
        <v>0</v>
      </c>
      <c r="F145" s="177">
        <f>IF(B145&lt;PT+1,E145*VLOOKUP(B145,'Pre-Calculation'!$H$1:$I$31,2,FALSE),0)</f>
        <v>0</v>
      </c>
      <c r="G145" s="177">
        <f>IF(B145&lt;PT+1,VLOOKUP(B145,'Pre-Calculation'!$H$1:$L$32,3,FALSE)+VLOOKUP(B145,'Pre-Calculation'!$H$1:$L$32,4,FALSE)*'Pre-Calculation'!$D$7,0)</f>
        <v>0</v>
      </c>
      <c r="H145" s="175">
        <f>(E145-(F145+G145)*(1+Tax)+N144)</f>
        <v>1048665.462</v>
      </c>
      <c r="I145" s="175">
        <f>IF(B145&lt;PT+1,VLOOKUP(D145,'Pre-Calculation'!$N$3:$P$79,IF(INPUT!$C$4="M",2,3),FALSE)*(J145/1000)*(1/12),0)</f>
        <v>0</v>
      </c>
      <c r="J145" s="175">
        <f t="shared" si="3"/>
        <v>631334.5378</v>
      </c>
      <c r="K145" s="175">
        <f>IF('Pre-Calculation'!$D$17="Type 4 a",MAX(SA,H145,1.05*Q145),IF('Pre-Calculation'!$D$17="Type 4 c",H145,IF('Pre-Calculation'!$D$17="Type 4 d",SA+H145,IF('Pre-Calculation'!$D$17="Type 4 e",MAX(SA,H145),IF('Pre-Calculation'!$D$17="Type 4 f",SA,IF('Pre-Calculation'!$D$17="Type 4 g",1000+H145,IF('Pre-Calculation'!$D$17="Type 4 h",SA+X145,IF('Pre-Calculation'!$D$17="Type 4 i",MAX(H145,Q145),IF('Pre-Calculation'!$D$17="Type 4 k",MAX(H145,1.01*Q145),IF('Pre-Calculation'!$D$17="Type 4 m",MAX(105%*Q145,SA+H145),IF('Pre-Calculation'!$D$17="Type 4 o",MAX(SA,105%*Q145)+X145+Z145,IF('Pre-Calculation'!$D$17="Type 5",0))))))))))))</f>
        <v>1680000</v>
      </c>
      <c r="L145" s="175">
        <f>H145-I145*(1+Tax)</f>
        <v>1048665.462</v>
      </c>
      <c r="M145" s="175">
        <f>L145*(1+GROWTH_RATE_L)*(1-FMC*(1+Tax))</f>
        <v>1050702.619</v>
      </c>
      <c r="N145" s="175">
        <f>M145+IF(MOD(A145,B145)=0,VLOOKUP(B145,'Pre-Calculation'!$H$1:$L$31,5,FALSE),0)*IF('Pre-Calculation'!$D$16="% OF FV",M145,IF(OR('Pre-Calculation'!$D$16="% OF AFV(24M)",'Pre-Calculation'!$D$16="% OF AFV(8Q)"),AVERAGE( $M122:$M145),IF('Pre-Calculation'!$D$16="% OF AFV(12M)",AVERAGE($M134:M145),IF('Pre-Calculation'!$D$16="% OF AFV(36M)",AVERAGE($M110:M145)))))</f>
        <v>1050702.619</v>
      </c>
      <c r="O145" s="175">
        <f t="shared" si="4"/>
        <v>1050702.619</v>
      </c>
      <c r="P145" s="175">
        <f>IF('Pre-Calculation'!$D$17="Type 4 a",MAX(SA,N145,1.05*Q145),IF('Pre-Calculation'!$D$17="Type 4 c",N145,IF('Pre-Calculation'!$D$17="Type 4 d",SA+N145,IF('Pre-Calculation'!$D$17="Type 4 e",MAX(SA,N145),IF('Pre-Calculation'!$D$17="Type 4 f",SA,IF('Pre-Calculation'!$D$17="Type 4 g",1000+N145,IF('Pre-Calculation'!$D$17="Type 4 h",SA+X145,IF('Pre-Calculation'!$D$17="Type 4 i",MAX(N145,Q145),IF('Pre-Calculation'!$D$17="Type 4 k",MAX(N145,1.01*Q145),IF('Pre-Calculation'!$D$17="Type 4 m",MAX(105%*Q145,SA+N145),IF('Pre-Calculation'!$D$17="Type 4 o",MAX(SA,105%*Q145)+X145+Z145,IF('Pre-Calculation'!$D$17="Type 5",0))))))))))))</f>
        <v>1680000</v>
      </c>
      <c r="Q145" s="175">
        <f t="shared" si="5"/>
        <v>1600000</v>
      </c>
      <c r="R145" s="119">
        <f>L145*(1+GROWTH_RATE)*FMC</f>
        <v>1186.693489</v>
      </c>
      <c r="S145" s="178">
        <f>S144*(1+'Pre-Calculation'!$E$27)</f>
        <v>968216.3416</v>
      </c>
      <c r="T145" s="175">
        <f>-E145+IF(A144=INPUT!$C$11*12,N145,0)</f>
        <v>0</v>
      </c>
      <c r="U145" s="175">
        <f t="shared" si="6"/>
        <v>1145755.814</v>
      </c>
      <c r="V145" s="175">
        <f>U145*(1+GROWTH_RATE_L)*(1-'Pre-Calculation'!$E$31)</f>
        <v>1147592.419</v>
      </c>
      <c r="W145" s="175">
        <f>-E145+IF(A144=INPUT!$C$11*12,V145,0)</f>
        <v>0</v>
      </c>
      <c r="X145" s="179">
        <f t="array" ref="X145">NPV('Pre-Calculation'!$E$20,$E146:E$246)</f>
        <v>0</v>
      </c>
      <c r="Y145" s="171">
        <f>10%*SA</f>
        <v>100000</v>
      </c>
      <c r="Z145" s="179">
        <f t="array" ref="Z145">NPV('Pre-Calculation'!$E$20,Y146:Y155)</f>
        <v>969592.8037</v>
      </c>
    </row>
    <row r="146" ht="15.75" customHeight="1">
      <c r="A146" s="171">
        <f t="shared" si="1"/>
        <v>140</v>
      </c>
      <c r="B146" s="171">
        <f t="shared" si="2"/>
        <v>12</v>
      </c>
      <c r="C146" s="176">
        <f>EDATE(RCD,A145)</f>
        <v>46782</v>
      </c>
      <c r="D146" s="171">
        <f>Age_At_Entry+'Cashflows_4% from Start'!B146-1</f>
        <v>46</v>
      </c>
      <c r="E146" s="175">
        <f>IF(AND(C146&lt;=Last_Prem,MOD(A145,Mode)=0),Mod_Prem,0)</f>
        <v>0</v>
      </c>
      <c r="F146" s="177">
        <f>IF(B146&lt;PT+1,E146*VLOOKUP(B146,'Pre-Calculation'!$H$1:$I$31,2,FALSE),0)</f>
        <v>0</v>
      </c>
      <c r="G146" s="177">
        <f>IF(B146&lt;PT+1,VLOOKUP(B146,'Pre-Calculation'!$H$1:$L$32,3,FALSE)+VLOOKUP(B146,'Pre-Calculation'!$H$1:$L$32,4,FALSE)*'Pre-Calculation'!$D$7,0)</f>
        <v>0</v>
      </c>
      <c r="H146" s="175">
        <f>(E146-(F146+G146)*(1+Tax)+N145)</f>
        <v>1050702.619</v>
      </c>
      <c r="I146" s="175">
        <f>IF(B146&lt;PT+1,VLOOKUP(D146,'Pre-Calculation'!$N$3:$P$79,IF(INPUT!$C$4="M",2,3),FALSE)*(J146/1000)*(1/12),0)</f>
        <v>0</v>
      </c>
      <c r="J146" s="175">
        <f t="shared" si="3"/>
        <v>629297.3812</v>
      </c>
      <c r="K146" s="175">
        <f>IF('Pre-Calculation'!$D$17="Type 4 a",MAX(SA,H146,1.05*Q146),IF('Pre-Calculation'!$D$17="Type 4 c",H146,IF('Pre-Calculation'!$D$17="Type 4 d",SA+H146,IF('Pre-Calculation'!$D$17="Type 4 e",MAX(SA,H146),IF('Pre-Calculation'!$D$17="Type 4 f",SA,IF('Pre-Calculation'!$D$17="Type 4 g",1000+H146,IF('Pre-Calculation'!$D$17="Type 4 h",SA+X146,IF('Pre-Calculation'!$D$17="Type 4 i",MAX(H146,Q146),IF('Pre-Calculation'!$D$17="Type 4 k",MAX(H146,1.01*Q146),IF('Pre-Calculation'!$D$17="Type 4 m",MAX(105%*Q146,SA+H146),IF('Pre-Calculation'!$D$17="Type 4 o",MAX(SA,105%*Q146)+X146+Z146,IF('Pre-Calculation'!$D$17="Type 5",0))))))))))))</f>
        <v>1680000</v>
      </c>
      <c r="L146" s="175">
        <f>H146-I146*(1+Tax)</f>
        <v>1050702.619</v>
      </c>
      <c r="M146" s="175">
        <f>L146*(1+GROWTH_RATE_L)*(1-FMC*(1+Tax))</f>
        <v>1052743.733</v>
      </c>
      <c r="N146" s="175">
        <f>M146+IF(MOD(A146,B146)=0,VLOOKUP(B146,'Pre-Calculation'!$H$1:$L$31,5,FALSE),0)*IF('Pre-Calculation'!$D$16="% OF FV",M146,IF(OR('Pre-Calculation'!$D$16="% OF AFV(24M)",'Pre-Calculation'!$D$16="% OF AFV(8Q)"),AVERAGE( $M123:$M146),IF('Pre-Calculation'!$D$16="% OF AFV(12M)",AVERAGE($M135:M146),IF('Pre-Calculation'!$D$16="% OF AFV(36M)",AVERAGE($M111:M146)))))</f>
        <v>1052743.733</v>
      </c>
      <c r="O146" s="175">
        <f t="shared" si="4"/>
        <v>1052743.733</v>
      </c>
      <c r="P146" s="175">
        <f>IF('Pre-Calculation'!$D$17="Type 4 a",MAX(SA,N146,1.05*Q146),IF('Pre-Calculation'!$D$17="Type 4 c",N146,IF('Pre-Calculation'!$D$17="Type 4 d",SA+N146,IF('Pre-Calculation'!$D$17="Type 4 e",MAX(SA,N146),IF('Pre-Calculation'!$D$17="Type 4 f",SA,IF('Pre-Calculation'!$D$17="Type 4 g",1000+N146,IF('Pre-Calculation'!$D$17="Type 4 h",SA+X146,IF('Pre-Calculation'!$D$17="Type 4 i",MAX(N146,Q146),IF('Pre-Calculation'!$D$17="Type 4 k",MAX(N146,1.01*Q146),IF('Pre-Calculation'!$D$17="Type 4 m",MAX(105%*Q146,SA+N146),IF('Pre-Calculation'!$D$17="Type 4 o",MAX(SA,105%*Q146)+X146+Z146,IF('Pre-Calculation'!$D$17="Type 5",0))))))))))))</f>
        <v>1680000</v>
      </c>
      <c r="Q146" s="175">
        <f t="shared" si="5"/>
        <v>1600000</v>
      </c>
      <c r="R146" s="119">
        <f>L146*(1+GROWTH_RATE)*FMC</f>
        <v>1188.998781</v>
      </c>
      <c r="S146" s="178">
        <f>S145*(1+'Pre-Calculation'!$E$27)</f>
        <v>970995.9927</v>
      </c>
      <c r="T146" s="175">
        <f>-E146+IF(A145=INPUT!$C$11*12,N146,0)</f>
        <v>0</v>
      </c>
      <c r="U146" s="175">
        <f t="shared" si="6"/>
        <v>1147592.419</v>
      </c>
      <c r="V146" s="175">
        <f>U146*(1+GROWTH_RATE_L)*(1-'Pre-Calculation'!$E$31)</f>
        <v>1149431.968</v>
      </c>
      <c r="W146" s="175">
        <f>-E146+IF(A145=INPUT!$C$11*12,V146,0)</f>
        <v>0</v>
      </c>
      <c r="X146" s="179">
        <f t="array" ref="X146">NPV('Pre-Calculation'!$E$20,$E147:E$246)</f>
        <v>0</v>
      </c>
      <c r="Y146" s="171">
        <f>10%*SA</f>
        <v>100000</v>
      </c>
      <c r="Z146" s="179">
        <f t="array" ref="Z146">NPV('Pre-Calculation'!$E$20,Y147:Y156)</f>
        <v>969592.8037</v>
      </c>
    </row>
    <row r="147" ht="15.75" customHeight="1">
      <c r="A147" s="171">
        <f t="shared" si="1"/>
        <v>141</v>
      </c>
      <c r="B147" s="171">
        <f t="shared" si="2"/>
        <v>12</v>
      </c>
      <c r="C147" s="176">
        <f>EDATE(RCD,A146)</f>
        <v>46812</v>
      </c>
      <c r="D147" s="171">
        <f>Age_At_Entry+'Cashflows_4% from Start'!B147-1</f>
        <v>46</v>
      </c>
      <c r="E147" s="175">
        <f>IF(AND(C147&lt;=Last_Prem,MOD(A146,Mode)=0),Mod_Prem,0)</f>
        <v>0</v>
      </c>
      <c r="F147" s="177">
        <f>IF(B147&lt;PT+1,E147*VLOOKUP(B147,'Pre-Calculation'!$H$1:$I$31,2,FALSE),0)</f>
        <v>0</v>
      </c>
      <c r="G147" s="177">
        <f>IF(B147&lt;PT+1,VLOOKUP(B147,'Pre-Calculation'!$H$1:$L$32,3,FALSE)+VLOOKUP(B147,'Pre-Calculation'!$H$1:$L$32,4,FALSE)*'Pre-Calculation'!$D$7,0)</f>
        <v>0</v>
      </c>
      <c r="H147" s="175">
        <f>(E147-(F147+G147)*(1+Tax)+N146)</f>
        <v>1052743.733</v>
      </c>
      <c r="I147" s="175">
        <f>IF(B147&lt;PT+1,VLOOKUP(D147,'Pre-Calculation'!$N$3:$P$79,IF(INPUT!$C$4="M",2,3),FALSE)*(J147/1000)*(1/12),0)</f>
        <v>0</v>
      </c>
      <c r="J147" s="175">
        <f t="shared" si="3"/>
        <v>627256.2672</v>
      </c>
      <c r="K147" s="175">
        <f>IF('Pre-Calculation'!$D$17="Type 4 a",MAX(SA,H147,1.05*Q147),IF('Pre-Calculation'!$D$17="Type 4 c",H147,IF('Pre-Calculation'!$D$17="Type 4 d",SA+H147,IF('Pre-Calculation'!$D$17="Type 4 e",MAX(SA,H147),IF('Pre-Calculation'!$D$17="Type 4 f",SA,IF('Pre-Calculation'!$D$17="Type 4 g",1000+H147,IF('Pre-Calculation'!$D$17="Type 4 h",SA+X147,IF('Pre-Calculation'!$D$17="Type 4 i",MAX(H147,Q147),IF('Pre-Calculation'!$D$17="Type 4 k",MAX(H147,1.01*Q147),IF('Pre-Calculation'!$D$17="Type 4 m",MAX(105%*Q147,SA+H147),IF('Pre-Calculation'!$D$17="Type 4 o",MAX(SA,105%*Q147)+X147+Z147,IF('Pre-Calculation'!$D$17="Type 5",0))))))))))))</f>
        <v>1680000</v>
      </c>
      <c r="L147" s="175">
        <f>H147-I147*(1+Tax)</f>
        <v>1052743.733</v>
      </c>
      <c r="M147" s="175">
        <f>L147*(1+GROWTH_RATE_L)*(1-FMC*(1+Tax))</f>
        <v>1054788.812</v>
      </c>
      <c r="N147" s="175">
        <f>M147+IF(MOD(A147,B147)=0,VLOOKUP(B147,'Pre-Calculation'!$H$1:$L$31,5,FALSE),0)*IF('Pre-Calculation'!$D$16="% OF FV",M147,IF(OR('Pre-Calculation'!$D$16="% OF AFV(24M)",'Pre-Calculation'!$D$16="% OF AFV(8Q)"),AVERAGE( $M124:$M147),IF('Pre-Calculation'!$D$16="% OF AFV(12M)",AVERAGE($M136:M147),IF('Pre-Calculation'!$D$16="% OF AFV(36M)",AVERAGE($M112:M147)))))</f>
        <v>1054788.812</v>
      </c>
      <c r="O147" s="175">
        <f t="shared" si="4"/>
        <v>1054788.812</v>
      </c>
      <c r="P147" s="175">
        <f>IF('Pre-Calculation'!$D$17="Type 4 a",MAX(SA,N147,1.05*Q147),IF('Pre-Calculation'!$D$17="Type 4 c",N147,IF('Pre-Calculation'!$D$17="Type 4 d",SA+N147,IF('Pre-Calculation'!$D$17="Type 4 e",MAX(SA,N147),IF('Pre-Calculation'!$D$17="Type 4 f",SA,IF('Pre-Calculation'!$D$17="Type 4 g",1000+N147,IF('Pre-Calculation'!$D$17="Type 4 h",SA+X147,IF('Pre-Calculation'!$D$17="Type 4 i",MAX(N147,Q147),IF('Pre-Calculation'!$D$17="Type 4 k",MAX(N147,1.01*Q147),IF('Pre-Calculation'!$D$17="Type 4 m",MAX(105%*Q147,SA+N147),IF('Pre-Calculation'!$D$17="Type 4 o",MAX(SA,105%*Q147)+X147+Z147,IF('Pre-Calculation'!$D$17="Type 5",0))))))))))))</f>
        <v>1680000</v>
      </c>
      <c r="Q147" s="175">
        <f t="shared" si="5"/>
        <v>1600000</v>
      </c>
      <c r="R147" s="119">
        <f>L147*(1+GROWTH_RATE)*FMC</f>
        <v>1191.308552</v>
      </c>
      <c r="S147" s="178">
        <f>S146*(1+'Pre-Calculation'!$E$27)</f>
        <v>973783.6238</v>
      </c>
      <c r="T147" s="175">
        <f>-E147+IF(A146=INPUT!$C$11*12,N147,0)</f>
        <v>0</v>
      </c>
      <c r="U147" s="175">
        <f t="shared" si="6"/>
        <v>1149431.968</v>
      </c>
      <c r="V147" s="175">
        <f>U147*(1+GROWTH_RATE_L)*(1-'Pre-Calculation'!$E$31)</f>
        <v>1151274.466</v>
      </c>
      <c r="W147" s="175">
        <f>-E147+IF(A146=INPUT!$C$11*12,V147,0)</f>
        <v>0</v>
      </c>
      <c r="X147" s="179">
        <f t="array" ref="X147">NPV('Pre-Calculation'!$E$20,$E148:E$246)</f>
        <v>0</v>
      </c>
      <c r="Y147" s="171">
        <f>10%*SA</f>
        <v>100000</v>
      </c>
      <c r="Z147" s="179">
        <f t="array" ref="Z147">NPV('Pre-Calculation'!$E$20,Y148:Y157)</f>
        <v>969592.8037</v>
      </c>
    </row>
    <row r="148" ht="15.75" customHeight="1">
      <c r="A148" s="171">
        <f t="shared" si="1"/>
        <v>142</v>
      </c>
      <c r="B148" s="171">
        <f t="shared" si="2"/>
        <v>12</v>
      </c>
      <c r="C148" s="176">
        <f>EDATE(RCD,A147)</f>
        <v>46842</v>
      </c>
      <c r="D148" s="171">
        <f>Age_At_Entry+'Cashflows_4% from Start'!B148-1</f>
        <v>46</v>
      </c>
      <c r="E148" s="175">
        <f>IF(AND(C148&lt;=Last_Prem,MOD(A147,Mode)=0),Mod_Prem,0)</f>
        <v>0</v>
      </c>
      <c r="F148" s="177">
        <f>IF(B148&lt;PT+1,E148*VLOOKUP(B148,'Pre-Calculation'!$H$1:$I$31,2,FALSE),0)</f>
        <v>0</v>
      </c>
      <c r="G148" s="177">
        <f>IF(B148&lt;PT+1,VLOOKUP(B148,'Pre-Calculation'!$H$1:$L$32,3,FALSE)+VLOOKUP(B148,'Pre-Calculation'!$H$1:$L$32,4,FALSE)*'Pre-Calculation'!$D$7,0)</f>
        <v>0</v>
      </c>
      <c r="H148" s="175">
        <f>(E148-(F148+G148)*(1+Tax)+N147)</f>
        <v>1054788.812</v>
      </c>
      <c r="I148" s="175">
        <f>IF(B148&lt;PT+1,VLOOKUP(D148,'Pre-Calculation'!$N$3:$P$79,IF(INPUT!$C$4="M",2,3),FALSE)*(J148/1000)*(1/12),0)</f>
        <v>0</v>
      </c>
      <c r="J148" s="175">
        <f t="shared" si="3"/>
        <v>625211.1881</v>
      </c>
      <c r="K148" s="175">
        <f>IF('Pre-Calculation'!$D$17="Type 4 a",MAX(SA,H148,1.05*Q148),IF('Pre-Calculation'!$D$17="Type 4 c",H148,IF('Pre-Calculation'!$D$17="Type 4 d",SA+H148,IF('Pre-Calculation'!$D$17="Type 4 e",MAX(SA,H148),IF('Pre-Calculation'!$D$17="Type 4 f",SA,IF('Pre-Calculation'!$D$17="Type 4 g",1000+H148,IF('Pre-Calculation'!$D$17="Type 4 h",SA+X148,IF('Pre-Calculation'!$D$17="Type 4 i",MAX(H148,Q148),IF('Pre-Calculation'!$D$17="Type 4 k",MAX(H148,1.01*Q148),IF('Pre-Calculation'!$D$17="Type 4 m",MAX(105%*Q148,SA+H148),IF('Pre-Calculation'!$D$17="Type 4 o",MAX(SA,105%*Q148)+X148+Z148,IF('Pre-Calculation'!$D$17="Type 5",0))))))))))))</f>
        <v>1680000</v>
      </c>
      <c r="L148" s="175">
        <f>H148-I148*(1+Tax)</f>
        <v>1054788.812</v>
      </c>
      <c r="M148" s="175">
        <f>L148*(1+GROWTH_RATE_L)*(1-FMC*(1+Tax))</f>
        <v>1056837.864</v>
      </c>
      <c r="N148" s="175">
        <f>M148+IF(MOD(A148,B148)=0,VLOOKUP(B148,'Pre-Calculation'!$H$1:$L$31,5,FALSE),0)*IF('Pre-Calculation'!$D$16="% OF FV",M148,IF(OR('Pre-Calculation'!$D$16="% OF AFV(24M)",'Pre-Calculation'!$D$16="% OF AFV(8Q)"),AVERAGE( $M125:$M148),IF('Pre-Calculation'!$D$16="% OF AFV(12M)",AVERAGE($M137:M148),IF('Pre-Calculation'!$D$16="% OF AFV(36M)",AVERAGE($M113:M148)))))</f>
        <v>1056837.864</v>
      </c>
      <c r="O148" s="175">
        <f t="shared" si="4"/>
        <v>1056837.864</v>
      </c>
      <c r="P148" s="175">
        <f>IF('Pre-Calculation'!$D$17="Type 4 a",MAX(SA,N148,1.05*Q148),IF('Pre-Calculation'!$D$17="Type 4 c",N148,IF('Pre-Calculation'!$D$17="Type 4 d",SA+N148,IF('Pre-Calculation'!$D$17="Type 4 e",MAX(SA,N148),IF('Pre-Calculation'!$D$17="Type 4 f",SA,IF('Pre-Calculation'!$D$17="Type 4 g",1000+N148,IF('Pre-Calculation'!$D$17="Type 4 h",SA+X148,IF('Pre-Calculation'!$D$17="Type 4 i",MAX(N148,Q148),IF('Pre-Calculation'!$D$17="Type 4 k",MAX(N148,1.01*Q148),IF('Pre-Calculation'!$D$17="Type 4 m",MAX(105%*Q148,SA+N148),IF('Pre-Calculation'!$D$17="Type 4 o",MAX(SA,105%*Q148)+X148+Z148,IF('Pre-Calculation'!$D$17="Type 5",0))))))))))))</f>
        <v>1680000</v>
      </c>
      <c r="Q148" s="175">
        <f t="shared" si="5"/>
        <v>1600000</v>
      </c>
      <c r="R148" s="119">
        <f>L148*(1+GROWTH_RATE)*FMC</f>
        <v>1193.622809</v>
      </c>
      <c r="S148" s="178">
        <f>S147*(1+'Pre-Calculation'!$E$27)</f>
        <v>976579.258</v>
      </c>
      <c r="T148" s="175">
        <f>-E148+IF(A147=INPUT!$C$11*12,N148,0)</f>
        <v>0</v>
      </c>
      <c r="U148" s="175">
        <f t="shared" si="6"/>
        <v>1151274.466</v>
      </c>
      <c r="V148" s="175">
        <f>U148*(1+GROWTH_RATE_L)*(1-'Pre-Calculation'!$E$31)</f>
        <v>1153119.917</v>
      </c>
      <c r="W148" s="175">
        <f>-E148+IF(A147=INPUT!$C$11*12,V148,0)</f>
        <v>0</v>
      </c>
      <c r="X148" s="179">
        <f t="array" ref="X148">NPV('Pre-Calculation'!$E$20,$E149:E$246)</f>
        <v>0</v>
      </c>
      <c r="Y148" s="171">
        <f>10%*SA</f>
        <v>100000</v>
      </c>
      <c r="Z148" s="179">
        <f t="array" ref="Z148">NPV('Pre-Calculation'!$E$20,Y149:Y158)</f>
        <v>969592.8037</v>
      </c>
    </row>
    <row r="149" ht="15.75" customHeight="1">
      <c r="A149" s="171">
        <f t="shared" si="1"/>
        <v>143</v>
      </c>
      <c r="B149" s="171">
        <f t="shared" si="2"/>
        <v>12</v>
      </c>
      <c r="C149" s="176">
        <f>EDATE(RCD,A148)</f>
        <v>46873</v>
      </c>
      <c r="D149" s="171">
        <f>Age_At_Entry+'Cashflows_4% from Start'!B149-1</f>
        <v>46</v>
      </c>
      <c r="E149" s="175">
        <f>IF(AND(C149&lt;=Last_Prem,MOD(A148,Mode)=0),Mod_Prem,0)</f>
        <v>0</v>
      </c>
      <c r="F149" s="177">
        <f>IF(B149&lt;PT+1,E149*VLOOKUP(B149,'Pre-Calculation'!$H$1:$I$31,2,FALSE),0)</f>
        <v>0</v>
      </c>
      <c r="G149" s="177">
        <f>IF(B149&lt;PT+1,VLOOKUP(B149,'Pre-Calculation'!$H$1:$L$32,3,FALSE)+VLOOKUP(B149,'Pre-Calculation'!$H$1:$L$32,4,FALSE)*'Pre-Calculation'!$D$7,0)</f>
        <v>0</v>
      </c>
      <c r="H149" s="175">
        <f>(E149-(F149+G149)*(1+Tax)+N148)</f>
        <v>1056837.864</v>
      </c>
      <c r="I149" s="175">
        <f>IF(B149&lt;PT+1,VLOOKUP(D149,'Pre-Calculation'!$N$3:$P$79,IF(INPUT!$C$4="M",2,3),FALSE)*(J149/1000)*(1/12),0)</f>
        <v>0</v>
      </c>
      <c r="J149" s="175">
        <f t="shared" si="3"/>
        <v>623162.1362</v>
      </c>
      <c r="K149" s="175">
        <f>IF('Pre-Calculation'!$D$17="Type 4 a",MAX(SA,H149,1.05*Q149),IF('Pre-Calculation'!$D$17="Type 4 c",H149,IF('Pre-Calculation'!$D$17="Type 4 d",SA+H149,IF('Pre-Calculation'!$D$17="Type 4 e",MAX(SA,H149),IF('Pre-Calculation'!$D$17="Type 4 f",SA,IF('Pre-Calculation'!$D$17="Type 4 g",1000+H149,IF('Pre-Calculation'!$D$17="Type 4 h",SA+X149,IF('Pre-Calculation'!$D$17="Type 4 i",MAX(H149,Q149),IF('Pre-Calculation'!$D$17="Type 4 k",MAX(H149,1.01*Q149),IF('Pre-Calculation'!$D$17="Type 4 m",MAX(105%*Q149,SA+H149),IF('Pre-Calculation'!$D$17="Type 4 o",MAX(SA,105%*Q149)+X149+Z149,IF('Pre-Calculation'!$D$17="Type 5",0))))))))))))</f>
        <v>1680000</v>
      </c>
      <c r="L149" s="175">
        <f>H149-I149*(1+Tax)</f>
        <v>1056837.864</v>
      </c>
      <c r="M149" s="175">
        <f>L149*(1+GROWTH_RATE_L)*(1-FMC*(1+Tax))</f>
        <v>1058890.896</v>
      </c>
      <c r="N149" s="175">
        <f>M149+IF(MOD(A149,B149)=0,VLOOKUP(B149,'Pre-Calculation'!$H$1:$L$31,5,FALSE),0)*IF('Pre-Calculation'!$D$16="% OF FV",M149,IF(OR('Pre-Calculation'!$D$16="% OF AFV(24M)",'Pre-Calculation'!$D$16="% OF AFV(8Q)"),AVERAGE( $M126:$M149),IF('Pre-Calculation'!$D$16="% OF AFV(12M)",AVERAGE($M138:M149),IF('Pre-Calculation'!$D$16="% OF AFV(36M)",AVERAGE($M114:M149)))))</f>
        <v>1058890.896</v>
      </c>
      <c r="O149" s="175">
        <f t="shared" si="4"/>
        <v>1058890.896</v>
      </c>
      <c r="P149" s="175">
        <f>IF('Pre-Calculation'!$D$17="Type 4 a",MAX(SA,N149,1.05*Q149),IF('Pre-Calculation'!$D$17="Type 4 c",N149,IF('Pre-Calculation'!$D$17="Type 4 d",SA+N149,IF('Pre-Calculation'!$D$17="Type 4 e",MAX(SA,N149),IF('Pre-Calculation'!$D$17="Type 4 f",SA,IF('Pre-Calculation'!$D$17="Type 4 g",1000+N149,IF('Pre-Calculation'!$D$17="Type 4 h",SA+X149,IF('Pre-Calculation'!$D$17="Type 4 i",MAX(N149,Q149),IF('Pre-Calculation'!$D$17="Type 4 k",MAX(N149,1.01*Q149),IF('Pre-Calculation'!$D$17="Type 4 m",MAX(105%*Q149,SA+N149),IF('Pre-Calculation'!$D$17="Type 4 o",MAX(SA,105%*Q149)+X149+Z149,IF('Pre-Calculation'!$D$17="Type 5",0))))))))))))</f>
        <v>1680000</v>
      </c>
      <c r="Q149" s="175">
        <f t="shared" si="5"/>
        <v>1600000</v>
      </c>
      <c r="R149" s="119">
        <f>L149*(1+GROWTH_RATE)*FMC</f>
        <v>1195.941563</v>
      </c>
      <c r="S149" s="178">
        <f>S148*(1+'Pre-Calculation'!$E$27)</f>
        <v>979382.9181</v>
      </c>
      <c r="T149" s="175">
        <f>-E149+IF(A148=INPUT!$C$11*12,N149,0)</f>
        <v>0</v>
      </c>
      <c r="U149" s="175">
        <f t="shared" si="6"/>
        <v>1153119.917</v>
      </c>
      <c r="V149" s="175">
        <f>U149*(1+GROWTH_RATE_L)*(1-'Pre-Calculation'!$E$31)</f>
        <v>1154968.327</v>
      </c>
      <c r="W149" s="175">
        <f>-E149+IF(A148=INPUT!$C$11*12,V149,0)</f>
        <v>0</v>
      </c>
      <c r="X149" s="179">
        <f t="array" ref="X149">NPV('Pre-Calculation'!$E$20,$E150:E$246)</f>
        <v>0</v>
      </c>
      <c r="Y149" s="171">
        <f>10%*SA</f>
        <v>100000</v>
      </c>
      <c r="Z149" s="179">
        <f t="array" ref="Z149">NPV('Pre-Calculation'!$E$20,Y150:Y159)</f>
        <v>969592.8037</v>
      </c>
    </row>
    <row r="150" ht="15.75" customHeight="1">
      <c r="A150" s="171">
        <f t="shared" si="1"/>
        <v>144</v>
      </c>
      <c r="B150" s="171">
        <f t="shared" si="2"/>
        <v>12</v>
      </c>
      <c r="C150" s="176">
        <f>EDATE(RCD,A149)</f>
        <v>46903</v>
      </c>
      <c r="D150" s="171">
        <f>Age_At_Entry+'Cashflows_4% from Start'!B150-1</f>
        <v>46</v>
      </c>
      <c r="E150" s="175">
        <f>IF(AND(C150&lt;=Last_Prem,MOD(A149,Mode)=0),Mod_Prem,0)</f>
        <v>0</v>
      </c>
      <c r="F150" s="177">
        <f>IF(B150&lt;PT+1,E150*VLOOKUP(B150,'Pre-Calculation'!$H$1:$I$31,2,FALSE),0)</f>
        <v>0</v>
      </c>
      <c r="G150" s="177">
        <f>IF(B150&lt;PT+1,VLOOKUP(B150,'Pre-Calculation'!$H$1:$L$32,3,FALSE)+VLOOKUP(B150,'Pre-Calculation'!$H$1:$L$32,4,FALSE)*'Pre-Calculation'!$D$7,0)</f>
        <v>0</v>
      </c>
      <c r="H150" s="175">
        <f>(E150-(F150+G150)*(1+Tax)+N149)</f>
        <v>1058890.896</v>
      </c>
      <c r="I150" s="175">
        <f>IF(B150&lt;PT+1,VLOOKUP(D150,'Pre-Calculation'!$N$3:$P$79,IF(INPUT!$C$4="M",2,3),FALSE)*(J150/1000)*(1/12),0)</f>
        <v>0</v>
      </c>
      <c r="J150" s="175">
        <f t="shared" si="3"/>
        <v>621109.1038</v>
      </c>
      <c r="K150" s="175">
        <f>IF('Pre-Calculation'!$D$17="Type 4 a",MAX(SA,H150,1.05*Q150),IF('Pre-Calculation'!$D$17="Type 4 c",H150,IF('Pre-Calculation'!$D$17="Type 4 d",SA+H150,IF('Pre-Calculation'!$D$17="Type 4 e",MAX(SA,H150),IF('Pre-Calculation'!$D$17="Type 4 f",SA,IF('Pre-Calculation'!$D$17="Type 4 g",1000+H150,IF('Pre-Calculation'!$D$17="Type 4 h",SA+X150,IF('Pre-Calculation'!$D$17="Type 4 i",MAX(H150,Q150),IF('Pre-Calculation'!$D$17="Type 4 k",MAX(H150,1.01*Q150),IF('Pre-Calculation'!$D$17="Type 4 m",MAX(105%*Q150,SA+H150),IF('Pre-Calculation'!$D$17="Type 4 o",MAX(SA,105%*Q150)+X150+Z150,IF('Pre-Calculation'!$D$17="Type 5",0))))))))))))</f>
        <v>1680000</v>
      </c>
      <c r="L150" s="175">
        <f>H150-I150*(1+Tax)</f>
        <v>1058890.896</v>
      </c>
      <c r="M150" s="175">
        <f>L150*(1+GROWTH_RATE_L)*(1-FMC*(1+Tax))</f>
        <v>1060947.917</v>
      </c>
      <c r="N150" s="175">
        <f>M150+IF(MOD(A150,B150)=0,VLOOKUP(B150,'Pre-Calculation'!$H$1:$L$31,5,FALSE),0)*IF('Pre-Calculation'!$D$16="% OF FV",M150,IF(OR('Pre-Calculation'!$D$16="% OF AFV(24M)",'Pre-Calculation'!$D$16="% OF AFV(8Q)"),AVERAGE( $M127:$M150),IF('Pre-Calculation'!$D$16="% OF AFV(12M)",AVERAGE($M139:M150),IF('Pre-Calculation'!$D$16="% OF AFV(36M)",AVERAGE($M115:M150)))))</f>
        <v>1060947.917</v>
      </c>
      <c r="O150" s="175">
        <f t="shared" si="4"/>
        <v>1060947.917</v>
      </c>
      <c r="P150" s="175">
        <f>IF('Pre-Calculation'!$D$17="Type 4 a",MAX(SA,N150,1.05*Q150),IF('Pre-Calculation'!$D$17="Type 4 c",N150,IF('Pre-Calculation'!$D$17="Type 4 d",SA+N150,IF('Pre-Calculation'!$D$17="Type 4 e",MAX(SA,N150),IF('Pre-Calculation'!$D$17="Type 4 f",SA,IF('Pre-Calculation'!$D$17="Type 4 g",1000+N150,IF('Pre-Calculation'!$D$17="Type 4 h",SA+X150,IF('Pre-Calculation'!$D$17="Type 4 i",MAX(N150,Q150),IF('Pre-Calculation'!$D$17="Type 4 k",MAX(N150,1.01*Q150),IF('Pre-Calculation'!$D$17="Type 4 m",MAX(105%*Q150,SA+N150),IF('Pre-Calculation'!$D$17="Type 4 o",MAX(SA,105%*Q150)+X150+Z150,IF('Pre-Calculation'!$D$17="Type 5",0))))))))))))</f>
        <v>1680000</v>
      </c>
      <c r="Q150" s="175">
        <f t="shared" si="5"/>
        <v>1600000</v>
      </c>
      <c r="R150" s="119">
        <f>L150*(1+GROWTH_RATE)*FMC</f>
        <v>1198.264821</v>
      </c>
      <c r="S150" s="178">
        <f>S149*(1+'Pre-Calculation'!$E$27)</f>
        <v>982194.6273</v>
      </c>
      <c r="T150" s="175">
        <f>-E150+IF(A149=INPUT!$C$11*12,N150,0)</f>
        <v>0</v>
      </c>
      <c r="U150" s="175">
        <f t="shared" si="6"/>
        <v>1154968.327</v>
      </c>
      <c r="V150" s="175">
        <f>U150*(1+GROWTH_RATE_L)*(1-'Pre-Calculation'!$E$31)</f>
        <v>1156819.699</v>
      </c>
      <c r="W150" s="175">
        <f>-E150+IF(A149=INPUT!$C$11*12,V150,0)</f>
        <v>0</v>
      </c>
      <c r="X150" s="179">
        <f t="array" ref="X150">NPV('Pre-Calculation'!$E$20,$E151:E$246)</f>
        <v>0</v>
      </c>
      <c r="Y150" s="171">
        <f>10%*SA</f>
        <v>100000</v>
      </c>
      <c r="Z150" s="179">
        <f t="array" ref="Z150">NPV('Pre-Calculation'!$E$20,Y151:Y160)</f>
        <v>969592.8037</v>
      </c>
    </row>
    <row r="151" ht="15.75" customHeight="1">
      <c r="A151" s="171">
        <f t="shared" si="1"/>
        <v>145</v>
      </c>
      <c r="B151" s="171">
        <f t="shared" si="2"/>
        <v>13</v>
      </c>
      <c r="C151" s="176">
        <f>EDATE(RCD,A150)</f>
        <v>46934</v>
      </c>
      <c r="D151" s="171">
        <f>Age_At_Entry+'Cashflows_4% from Start'!B151-1</f>
        <v>47</v>
      </c>
      <c r="E151" s="175">
        <f>IF(AND(C151&lt;=Last_Prem,MOD(A150,Mode)=0),Mod_Prem,0)</f>
        <v>0</v>
      </c>
      <c r="F151" s="177">
        <f>IF(B151&lt;PT+1,E151*VLOOKUP(B151,'Pre-Calculation'!$H$1:$I$31,2,FALSE),0)</f>
        <v>0</v>
      </c>
      <c r="G151" s="177">
        <f>IF(B151&lt;PT+1,VLOOKUP(B151,'Pre-Calculation'!$H$1:$L$32,3,FALSE)+VLOOKUP(B151,'Pre-Calculation'!$H$1:$L$32,4,FALSE)*'Pre-Calculation'!$D$7,0)</f>
        <v>0</v>
      </c>
      <c r="H151" s="175">
        <f>(E151-(F151+G151)*(1+Tax)+N150)</f>
        <v>1060947.917</v>
      </c>
      <c r="I151" s="175">
        <f>IF(B151&lt;PT+1,VLOOKUP(D151,'Pre-Calculation'!$N$3:$P$79,IF(INPUT!$C$4="M",2,3),FALSE)*(J151/1000)*(1/12),0)</f>
        <v>0</v>
      </c>
      <c r="J151" s="175">
        <f t="shared" si="3"/>
        <v>619052.0831</v>
      </c>
      <c r="K151" s="175">
        <f>IF('Pre-Calculation'!$D$17="Type 4 a",MAX(SA,H151,1.05*Q151),IF('Pre-Calculation'!$D$17="Type 4 c",H151,IF('Pre-Calculation'!$D$17="Type 4 d",SA+H151,IF('Pre-Calculation'!$D$17="Type 4 e",MAX(SA,H151),IF('Pre-Calculation'!$D$17="Type 4 f",SA,IF('Pre-Calculation'!$D$17="Type 4 g",1000+H151,IF('Pre-Calculation'!$D$17="Type 4 h",SA+X151,IF('Pre-Calculation'!$D$17="Type 4 i",MAX(H151,Q151),IF('Pre-Calculation'!$D$17="Type 4 k",MAX(H151,1.01*Q151),IF('Pre-Calculation'!$D$17="Type 4 m",MAX(105%*Q151,SA+H151),IF('Pre-Calculation'!$D$17="Type 4 o",MAX(SA,105%*Q151)+X151+Z151,IF('Pre-Calculation'!$D$17="Type 5",0))))))))))))</f>
        <v>1680000</v>
      </c>
      <c r="L151" s="175">
        <f>H151-I151*(1+Tax)</f>
        <v>1060947.917</v>
      </c>
      <c r="M151" s="175">
        <f>L151*(1+GROWTH_RATE_L)*(1-FMC*(1+Tax))</f>
        <v>1063008.934</v>
      </c>
      <c r="N151" s="175">
        <f>M151+IF(MOD(A151,B151)=0,VLOOKUP(B151,'Pre-Calculation'!$H$1:$L$31,5,FALSE),0)*IF('Pre-Calculation'!$D$16="% OF FV",M151,IF(OR('Pre-Calculation'!$D$16="% OF AFV(24M)",'Pre-Calculation'!$D$16="% OF AFV(8Q)"),AVERAGE( $M128:$M151),IF('Pre-Calculation'!$D$16="% OF AFV(12M)",AVERAGE($M140:M151),IF('Pre-Calculation'!$D$16="% OF AFV(36M)",AVERAGE($M116:M151)))))</f>
        <v>1063008.934</v>
      </c>
      <c r="O151" s="175">
        <f t="shared" si="4"/>
        <v>1063008.934</v>
      </c>
      <c r="P151" s="175">
        <f>IF('Pre-Calculation'!$D$17="Type 4 a",MAX(SA,N151,1.05*Q151),IF('Pre-Calculation'!$D$17="Type 4 c",N151,IF('Pre-Calculation'!$D$17="Type 4 d",SA+N151,IF('Pre-Calculation'!$D$17="Type 4 e",MAX(SA,N151),IF('Pre-Calculation'!$D$17="Type 4 f",SA,IF('Pre-Calculation'!$D$17="Type 4 g",1000+N151,IF('Pre-Calculation'!$D$17="Type 4 h",SA+X151,IF('Pre-Calculation'!$D$17="Type 4 i",MAX(N151,Q151),IF('Pre-Calculation'!$D$17="Type 4 k",MAX(N151,1.01*Q151),IF('Pre-Calculation'!$D$17="Type 4 m",MAX(105%*Q151,SA+N151),IF('Pre-Calculation'!$D$17="Type 4 o",MAX(SA,105%*Q151)+X151+Z151,IF('Pre-Calculation'!$D$17="Type 5",0))))))))))))</f>
        <v>1680000</v>
      </c>
      <c r="Q151" s="175">
        <f t="shared" si="5"/>
        <v>1600000</v>
      </c>
      <c r="R151" s="119">
        <f>L151*(1+GROWTH_RATE)*FMC</f>
        <v>1200.592592</v>
      </c>
      <c r="S151" s="178">
        <f>S150*(1+'Pre-Calculation'!$E$27)</f>
        <v>985014.4086</v>
      </c>
      <c r="T151" s="175">
        <f>-E151+IF(A150=INPUT!$C$11*12,N151,0)</f>
        <v>0</v>
      </c>
      <c r="U151" s="175">
        <f t="shared" si="6"/>
        <v>1156819.699</v>
      </c>
      <c r="V151" s="175">
        <f>U151*(1+GROWTH_RATE_L)*(1-'Pre-Calculation'!$E$31)</f>
        <v>1158674.039</v>
      </c>
      <c r="W151" s="175">
        <f>-E151+IF(A150=INPUT!$C$11*12,V151,0)</f>
        <v>0</v>
      </c>
      <c r="X151" s="179">
        <f t="array" ref="X151">NPV('Pre-Calculation'!$E$20,$E152:E$246)</f>
        <v>0</v>
      </c>
      <c r="Y151" s="171">
        <f>10%*SA</f>
        <v>100000</v>
      </c>
      <c r="Z151" s="179">
        <f t="array" ref="Z151">NPV('Pre-Calculation'!$E$20,Y152:Y161)</f>
        <v>969592.8037</v>
      </c>
    </row>
    <row r="152" ht="15.75" customHeight="1">
      <c r="A152" s="171">
        <f t="shared" si="1"/>
        <v>146</v>
      </c>
      <c r="B152" s="171">
        <f t="shared" si="2"/>
        <v>13</v>
      </c>
      <c r="C152" s="176">
        <f>EDATE(RCD,A151)</f>
        <v>46964</v>
      </c>
      <c r="D152" s="171">
        <f>Age_At_Entry+'Cashflows_4% from Start'!B152-1</f>
        <v>47</v>
      </c>
      <c r="E152" s="175">
        <f>IF(AND(C152&lt;=Last_Prem,MOD(A151,Mode)=0),Mod_Prem,0)</f>
        <v>0</v>
      </c>
      <c r="F152" s="177">
        <f>IF(B152&lt;PT+1,E152*VLOOKUP(B152,'Pre-Calculation'!$H$1:$I$31,2,FALSE),0)</f>
        <v>0</v>
      </c>
      <c r="G152" s="177">
        <f>IF(B152&lt;PT+1,VLOOKUP(B152,'Pre-Calculation'!$H$1:$L$32,3,FALSE)+VLOOKUP(B152,'Pre-Calculation'!$H$1:$L$32,4,FALSE)*'Pre-Calculation'!$D$7,0)</f>
        <v>0</v>
      </c>
      <c r="H152" s="175">
        <f>(E152-(F152+G152)*(1+Tax)+N151)</f>
        <v>1063008.934</v>
      </c>
      <c r="I152" s="175">
        <f>IF(B152&lt;PT+1,VLOOKUP(D152,'Pre-Calculation'!$N$3:$P$79,IF(INPUT!$C$4="M",2,3),FALSE)*(J152/1000)*(1/12),0)</f>
        <v>0</v>
      </c>
      <c r="J152" s="175">
        <f t="shared" si="3"/>
        <v>616991.0664</v>
      </c>
      <c r="K152" s="175">
        <f>IF('Pre-Calculation'!$D$17="Type 4 a",MAX(SA,H152,1.05*Q152),IF('Pre-Calculation'!$D$17="Type 4 c",H152,IF('Pre-Calculation'!$D$17="Type 4 d",SA+H152,IF('Pre-Calculation'!$D$17="Type 4 e",MAX(SA,H152),IF('Pre-Calculation'!$D$17="Type 4 f",SA,IF('Pre-Calculation'!$D$17="Type 4 g",1000+H152,IF('Pre-Calculation'!$D$17="Type 4 h",SA+X152,IF('Pre-Calculation'!$D$17="Type 4 i",MAX(H152,Q152),IF('Pre-Calculation'!$D$17="Type 4 k",MAX(H152,1.01*Q152),IF('Pre-Calculation'!$D$17="Type 4 m",MAX(105%*Q152,SA+H152),IF('Pre-Calculation'!$D$17="Type 4 o",MAX(SA,105%*Q152)+X152+Z152,IF('Pre-Calculation'!$D$17="Type 5",0))))))))))))</f>
        <v>1680000</v>
      </c>
      <c r="L152" s="175">
        <f>H152-I152*(1+Tax)</f>
        <v>1063008.934</v>
      </c>
      <c r="M152" s="175">
        <f>L152*(1+GROWTH_RATE_L)*(1-FMC*(1+Tax))</f>
        <v>1065073.954</v>
      </c>
      <c r="N152" s="175">
        <f>M152+IF(MOD(A152,B152)=0,VLOOKUP(B152,'Pre-Calculation'!$H$1:$L$31,5,FALSE),0)*IF('Pre-Calculation'!$D$16="% OF FV",M152,IF(OR('Pre-Calculation'!$D$16="% OF AFV(24M)",'Pre-Calculation'!$D$16="% OF AFV(8Q)"),AVERAGE( $M129:$M152),IF('Pre-Calculation'!$D$16="% OF AFV(12M)",AVERAGE($M141:M152),IF('Pre-Calculation'!$D$16="% OF AFV(36M)",AVERAGE($M117:M152)))))</f>
        <v>1065073.954</v>
      </c>
      <c r="O152" s="175">
        <f t="shared" si="4"/>
        <v>1065073.954</v>
      </c>
      <c r="P152" s="175">
        <f>IF('Pre-Calculation'!$D$17="Type 4 a",MAX(SA,N152,1.05*Q152),IF('Pre-Calculation'!$D$17="Type 4 c",N152,IF('Pre-Calculation'!$D$17="Type 4 d",SA+N152,IF('Pre-Calculation'!$D$17="Type 4 e",MAX(SA,N152),IF('Pre-Calculation'!$D$17="Type 4 f",SA,IF('Pre-Calculation'!$D$17="Type 4 g",1000+N152,IF('Pre-Calculation'!$D$17="Type 4 h",SA+X152,IF('Pre-Calculation'!$D$17="Type 4 i",MAX(N152,Q152),IF('Pre-Calculation'!$D$17="Type 4 k",MAX(N152,1.01*Q152),IF('Pre-Calculation'!$D$17="Type 4 m",MAX(105%*Q152,SA+N152),IF('Pre-Calculation'!$D$17="Type 4 o",MAX(SA,105%*Q152)+X152+Z152,IF('Pre-Calculation'!$D$17="Type 5",0))))))))))))</f>
        <v>1680000</v>
      </c>
      <c r="Q152" s="175">
        <f t="shared" si="5"/>
        <v>1600000</v>
      </c>
      <c r="R152" s="119">
        <f>L152*(1+GROWTH_RATE)*FMC</f>
        <v>1202.924885</v>
      </c>
      <c r="S152" s="178">
        <f>S151*(1+'Pre-Calculation'!$E$27)</f>
        <v>987842.2852</v>
      </c>
      <c r="T152" s="175">
        <f>-E152+IF(A151=INPUT!$C$11*12,N152,0)</f>
        <v>0</v>
      </c>
      <c r="U152" s="175">
        <f t="shared" si="6"/>
        <v>1158674.039</v>
      </c>
      <c r="V152" s="175">
        <f>U152*(1+GROWTH_RATE_L)*(1-'Pre-Calculation'!$E$31)</f>
        <v>1160531.352</v>
      </c>
      <c r="W152" s="175">
        <f>-E152+IF(A151=INPUT!$C$11*12,V152,0)</f>
        <v>0</v>
      </c>
      <c r="X152" s="179">
        <f t="array" ref="X152">NPV('Pre-Calculation'!$E$20,$E153:E$246)</f>
        <v>0</v>
      </c>
      <c r="Y152" s="171">
        <f>10%*SA</f>
        <v>100000</v>
      </c>
      <c r="Z152" s="179">
        <f t="array" ref="Z152">NPV('Pre-Calculation'!$E$20,Y153:Y162)</f>
        <v>969592.8037</v>
      </c>
    </row>
    <row r="153" ht="15.75" customHeight="1">
      <c r="A153" s="171">
        <f t="shared" si="1"/>
        <v>147</v>
      </c>
      <c r="B153" s="171">
        <f t="shared" si="2"/>
        <v>13</v>
      </c>
      <c r="C153" s="176">
        <f>EDATE(RCD,A152)</f>
        <v>46995</v>
      </c>
      <c r="D153" s="171">
        <f>Age_At_Entry+'Cashflows_4% from Start'!B153-1</f>
        <v>47</v>
      </c>
      <c r="E153" s="175">
        <f>IF(AND(C153&lt;=Last_Prem,MOD(A152,Mode)=0),Mod_Prem,0)</f>
        <v>0</v>
      </c>
      <c r="F153" s="177">
        <f>IF(B153&lt;PT+1,E153*VLOOKUP(B153,'Pre-Calculation'!$H$1:$I$31,2,FALSE),0)</f>
        <v>0</v>
      </c>
      <c r="G153" s="177">
        <f>IF(B153&lt;PT+1,VLOOKUP(B153,'Pre-Calculation'!$H$1:$L$32,3,FALSE)+VLOOKUP(B153,'Pre-Calculation'!$H$1:$L$32,4,FALSE)*'Pre-Calculation'!$D$7,0)</f>
        <v>0</v>
      </c>
      <c r="H153" s="175">
        <f>(E153-(F153+G153)*(1+Tax)+N152)</f>
        <v>1065073.954</v>
      </c>
      <c r="I153" s="175">
        <f>IF(B153&lt;PT+1,VLOOKUP(D153,'Pre-Calculation'!$N$3:$P$79,IF(INPUT!$C$4="M",2,3),FALSE)*(J153/1000)*(1/12),0)</f>
        <v>0</v>
      </c>
      <c r="J153" s="175">
        <f t="shared" si="3"/>
        <v>614926.0459</v>
      </c>
      <c r="K153" s="175">
        <f>IF('Pre-Calculation'!$D$17="Type 4 a",MAX(SA,H153,1.05*Q153),IF('Pre-Calculation'!$D$17="Type 4 c",H153,IF('Pre-Calculation'!$D$17="Type 4 d",SA+H153,IF('Pre-Calculation'!$D$17="Type 4 e",MAX(SA,H153),IF('Pre-Calculation'!$D$17="Type 4 f",SA,IF('Pre-Calculation'!$D$17="Type 4 g",1000+H153,IF('Pre-Calculation'!$D$17="Type 4 h",SA+X153,IF('Pre-Calculation'!$D$17="Type 4 i",MAX(H153,Q153),IF('Pre-Calculation'!$D$17="Type 4 k",MAX(H153,1.01*Q153),IF('Pre-Calculation'!$D$17="Type 4 m",MAX(105%*Q153,SA+H153),IF('Pre-Calculation'!$D$17="Type 4 o",MAX(SA,105%*Q153)+X153+Z153,IF('Pre-Calculation'!$D$17="Type 5",0))))))))))))</f>
        <v>1680000</v>
      </c>
      <c r="L153" s="175">
        <f>H153-I153*(1+Tax)</f>
        <v>1065073.954</v>
      </c>
      <c r="M153" s="175">
        <f>L153*(1+GROWTH_RATE_L)*(1-FMC*(1+Tax))</f>
        <v>1067142.986</v>
      </c>
      <c r="N153" s="175">
        <f>M153+IF(MOD(A153,B153)=0,VLOOKUP(B153,'Pre-Calculation'!$H$1:$L$31,5,FALSE),0)*IF('Pre-Calculation'!$D$16="% OF FV",M153,IF(OR('Pre-Calculation'!$D$16="% OF AFV(24M)",'Pre-Calculation'!$D$16="% OF AFV(8Q)"),AVERAGE( $M130:$M153),IF('Pre-Calculation'!$D$16="% OF AFV(12M)",AVERAGE($M142:M153),IF('Pre-Calculation'!$D$16="% OF AFV(36M)",AVERAGE($M118:M153)))))</f>
        <v>1067142.986</v>
      </c>
      <c r="O153" s="175">
        <f t="shared" si="4"/>
        <v>1067142.986</v>
      </c>
      <c r="P153" s="175">
        <f>IF('Pre-Calculation'!$D$17="Type 4 a",MAX(SA,N153,1.05*Q153),IF('Pre-Calculation'!$D$17="Type 4 c",N153,IF('Pre-Calculation'!$D$17="Type 4 d",SA+N153,IF('Pre-Calculation'!$D$17="Type 4 e",MAX(SA,N153),IF('Pre-Calculation'!$D$17="Type 4 f",SA,IF('Pre-Calculation'!$D$17="Type 4 g",1000+N153,IF('Pre-Calculation'!$D$17="Type 4 h",SA+X153,IF('Pre-Calculation'!$D$17="Type 4 i",MAX(N153,Q153),IF('Pre-Calculation'!$D$17="Type 4 k",MAX(N153,1.01*Q153),IF('Pre-Calculation'!$D$17="Type 4 m",MAX(105%*Q153,SA+N153),IF('Pre-Calculation'!$D$17="Type 4 o",MAX(SA,105%*Q153)+X153+Z153,IF('Pre-Calculation'!$D$17="Type 5",0))))))))))))</f>
        <v>1680000</v>
      </c>
      <c r="Q153" s="175">
        <f t="shared" si="5"/>
        <v>1600000</v>
      </c>
      <c r="R153" s="119">
        <f>L153*(1+GROWTH_RATE)*FMC</f>
        <v>1205.261708</v>
      </c>
      <c r="S153" s="178">
        <f>S152*(1+'Pre-Calculation'!$E$27)</f>
        <v>990678.2803</v>
      </c>
      <c r="T153" s="175">
        <f>-E153+IF(A152=INPUT!$C$11*12,N153,0)</f>
        <v>0</v>
      </c>
      <c r="U153" s="175">
        <f t="shared" si="6"/>
        <v>1160531.352</v>
      </c>
      <c r="V153" s="175">
        <f>U153*(1+GROWTH_RATE_L)*(1-'Pre-Calculation'!$E$31)</f>
        <v>1162391.642</v>
      </c>
      <c r="W153" s="175">
        <f>-E153+IF(A152=INPUT!$C$11*12,V153,0)</f>
        <v>0</v>
      </c>
      <c r="X153" s="179">
        <f t="array" ref="X153">NPV('Pre-Calculation'!$E$20,$E154:E$246)</f>
        <v>0</v>
      </c>
      <c r="Y153" s="171">
        <f>10%*SA</f>
        <v>100000</v>
      </c>
      <c r="Z153" s="179">
        <f t="array" ref="Z153">NPV('Pre-Calculation'!$E$20,Y154:Y163)</f>
        <v>969592.8037</v>
      </c>
    </row>
    <row r="154" ht="15.75" customHeight="1">
      <c r="A154" s="171">
        <f t="shared" si="1"/>
        <v>148</v>
      </c>
      <c r="B154" s="171">
        <f t="shared" si="2"/>
        <v>13</v>
      </c>
      <c r="C154" s="176">
        <f>EDATE(RCD,A153)</f>
        <v>47026</v>
      </c>
      <c r="D154" s="171">
        <f>Age_At_Entry+'Cashflows_4% from Start'!B154-1</f>
        <v>47</v>
      </c>
      <c r="E154" s="175">
        <f>IF(AND(C154&lt;=Last_Prem,MOD(A153,Mode)=0),Mod_Prem,0)</f>
        <v>0</v>
      </c>
      <c r="F154" s="177">
        <f>IF(B154&lt;PT+1,E154*VLOOKUP(B154,'Pre-Calculation'!$H$1:$I$31,2,FALSE),0)</f>
        <v>0</v>
      </c>
      <c r="G154" s="177">
        <f>IF(B154&lt;PT+1,VLOOKUP(B154,'Pre-Calculation'!$H$1:$L$32,3,FALSE)+VLOOKUP(B154,'Pre-Calculation'!$H$1:$L$32,4,FALSE)*'Pre-Calculation'!$D$7,0)</f>
        <v>0</v>
      </c>
      <c r="H154" s="175">
        <f>(E154-(F154+G154)*(1+Tax)+N153)</f>
        <v>1067142.986</v>
      </c>
      <c r="I154" s="175">
        <f>IF(B154&lt;PT+1,VLOOKUP(D154,'Pre-Calculation'!$N$3:$P$79,IF(INPUT!$C$4="M",2,3),FALSE)*(J154/1000)*(1/12),0)</f>
        <v>0</v>
      </c>
      <c r="J154" s="175">
        <f t="shared" si="3"/>
        <v>612857.0139</v>
      </c>
      <c r="K154" s="175">
        <f>IF('Pre-Calculation'!$D$17="Type 4 a",MAX(SA,H154,1.05*Q154),IF('Pre-Calculation'!$D$17="Type 4 c",H154,IF('Pre-Calculation'!$D$17="Type 4 d",SA+H154,IF('Pre-Calculation'!$D$17="Type 4 e",MAX(SA,H154),IF('Pre-Calculation'!$D$17="Type 4 f",SA,IF('Pre-Calculation'!$D$17="Type 4 g",1000+H154,IF('Pre-Calculation'!$D$17="Type 4 h",SA+X154,IF('Pre-Calculation'!$D$17="Type 4 i",MAX(H154,Q154),IF('Pre-Calculation'!$D$17="Type 4 k",MAX(H154,1.01*Q154),IF('Pre-Calculation'!$D$17="Type 4 m",MAX(105%*Q154,SA+H154),IF('Pre-Calculation'!$D$17="Type 4 o",MAX(SA,105%*Q154)+X154+Z154,IF('Pre-Calculation'!$D$17="Type 5",0))))))))))))</f>
        <v>1680000</v>
      </c>
      <c r="L154" s="175">
        <f>H154-I154*(1+Tax)</f>
        <v>1067142.986</v>
      </c>
      <c r="M154" s="175">
        <f>L154*(1+GROWTH_RATE_L)*(1-FMC*(1+Tax))</f>
        <v>1069216.037</v>
      </c>
      <c r="N154" s="175">
        <f>M154+IF(MOD(A154,B154)=0,VLOOKUP(B154,'Pre-Calculation'!$H$1:$L$31,5,FALSE),0)*IF('Pre-Calculation'!$D$16="% OF FV",M154,IF(OR('Pre-Calculation'!$D$16="% OF AFV(24M)",'Pre-Calculation'!$D$16="% OF AFV(8Q)"),AVERAGE( $M131:$M154),IF('Pre-Calculation'!$D$16="% OF AFV(12M)",AVERAGE($M143:M154),IF('Pre-Calculation'!$D$16="% OF AFV(36M)",AVERAGE($M119:M154)))))</f>
        <v>1069216.037</v>
      </c>
      <c r="O154" s="175">
        <f t="shared" si="4"/>
        <v>1069216.037</v>
      </c>
      <c r="P154" s="175">
        <f>IF('Pre-Calculation'!$D$17="Type 4 a",MAX(SA,N154,1.05*Q154),IF('Pre-Calculation'!$D$17="Type 4 c",N154,IF('Pre-Calculation'!$D$17="Type 4 d",SA+N154,IF('Pre-Calculation'!$D$17="Type 4 e",MAX(SA,N154),IF('Pre-Calculation'!$D$17="Type 4 f",SA,IF('Pre-Calculation'!$D$17="Type 4 g",1000+N154,IF('Pre-Calculation'!$D$17="Type 4 h",SA+X154,IF('Pre-Calculation'!$D$17="Type 4 i",MAX(N154,Q154),IF('Pre-Calculation'!$D$17="Type 4 k",MAX(N154,1.01*Q154),IF('Pre-Calculation'!$D$17="Type 4 m",MAX(105%*Q154,SA+N154),IF('Pre-Calculation'!$D$17="Type 4 o",MAX(SA,105%*Q154)+X154+Z154,IF('Pre-Calculation'!$D$17="Type 5",0))))))))))))</f>
        <v>1680000</v>
      </c>
      <c r="Q154" s="175">
        <f t="shared" si="5"/>
        <v>1600000</v>
      </c>
      <c r="R154" s="119">
        <f>L154*(1+GROWTH_RATE)*FMC</f>
        <v>1207.603072</v>
      </c>
      <c r="S154" s="178">
        <f>S153*(1+'Pre-Calculation'!$E$27)</f>
        <v>993522.4173</v>
      </c>
      <c r="T154" s="175">
        <f>-E154+IF(A153=INPUT!$C$11*12,N154,0)</f>
        <v>0</v>
      </c>
      <c r="U154" s="175">
        <f t="shared" si="6"/>
        <v>1162391.642</v>
      </c>
      <c r="V154" s="175">
        <f>U154*(1+GROWTH_RATE_L)*(1-'Pre-Calculation'!$E$31)</f>
        <v>1164254.913</v>
      </c>
      <c r="W154" s="175">
        <f>-E154+IF(A153=INPUT!$C$11*12,V154,0)</f>
        <v>0</v>
      </c>
      <c r="X154" s="179">
        <f t="array" ref="X154">NPV('Pre-Calculation'!$E$20,$E155:E$246)</f>
        <v>0</v>
      </c>
      <c r="Y154" s="171">
        <f>10%*SA</f>
        <v>100000</v>
      </c>
      <c r="Z154" s="179">
        <f t="array" ref="Z154">NPV('Pre-Calculation'!$E$20,Y155:Y164)</f>
        <v>969592.8037</v>
      </c>
    </row>
    <row r="155" ht="15.75" customHeight="1">
      <c r="A155" s="171">
        <f t="shared" si="1"/>
        <v>149</v>
      </c>
      <c r="B155" s="171">
        <f t="shared" si="2"/>
        <v>13</v>
      </c>
      <c r="C155" s="176">
        <f>EDATE(RCD,A154)</f>
        <v>47056</v>
      </c>
      <c r="D155" s="171">
        <f>Age_At_Entry+'Cashflows_4% from Start'!B155-1</f>
        <v>47</v>
      </c>
      <c r="E155" s="175">
        <f>IF(AND(C155&lt;=Last_Prem,MOD(A154,Mode)=0),Mod_Prem,0)</f>
        <v>0</v>
      </c>
      <c r="F155" s="177">
        <f>IF(B155&lt;PT+1,E155*VLOOKUP(B155,'Pre-Calculation'!$H$1:$I$31,2,FALSE),0)</f>
        <v>0</v>
      </c>
      <c r="G155" s="177">
        <f>IF(B155&lt;PT+1,VLOOKUP(B155,'Pre-Calculation'!$H$1:$L$32,3,FALSE)+VLOOKUP(B155,'Pre-Calculation'!$H$1:$L$32,4,FALSE)*'Pre-Calculation'!$D$7,0)</f>
        <v>0</v>
      </c>
      <c r="H155" s="175">
        <f>(E155-(F155+G155)*(1+Tax)+N154)</f>
        <v>1069216.037</v>
      </c>
      <c r="I155" s="175">
        <f>IF(B155&lt;PT+1,VLOOKUP(D155,'Pre-Calculation'!$N$3:$P$79,IF(INPUT!$C$4="M",2,3),FALSE)*(J155/1000)*(1/12),0)</f>
        <v>0</v>
      </c>
      <c r="J155" s="175">
        <f t="shared" si="3"/>
        <v>610783.9625</v>
      </c>
      <c r="K155" s="175">
        <f>IF('Pre-Calculation'!$D$17="Type 4 a",MAX(SA,H155,1.05*Q155),IF('Pre-Calculation'!$D$17="Type 4 c",H155,IF('Pre-Calculation'!$D$17="Type 4 d",SA+H155,IF('Pre-Calculation'!$D$17="Type 4 e",MAX(SA,H155),IF('Pre-Calculation'!$D$17="Type 4 f",SA,IF('Pre-Calculation'!$D$17="Type 4 g",1000+H155,IF('Pre-Calculation'!$D$17="Type 4 h",SA+X155,IF('Pre-Calculation'!$D$17="Type 4 i",MAX(H155,Q155),IF('Pre-Calculation'!$D$17="Type 4 k",MAX(H155,1.01*Q155),IF('Pre-Calculation'!$D$17="Type 4 m",MAX(105%*Q155,SA+H155),IF('Pre-Calculation'!$D$17="Type 4 o",MAX(SA,105%*Q155)+X155+Z155,IF('Pre-Calculation'!$D$17="Type 5",0))))))))))))</f>
        <v>1680000</v>
      </c>
      <c r="L155" s="175">
        <f>H155-I155*(1+Tax)</f>
        <v>1069216.037</v>
      </c>
      <c r="M155" s="175">
        <f>L155*(1+GROWTH_RATE_L)*(1-FMC*(1+Tax))</f>
        <v>1071293.116</v>
      </c>
      <c r="N155" s="175">
        <f>M155+IF(MOD(A155,B155)=0,VLOOKUP(B155,'Pre-Calculation'!$H$1:$L$31,5,FALSE),0)*IF('Pre-Calculation'!$D$16="% OF FV",M155,IF(OR('Pre-Calculation'!$D$16="% OF AFV(24M)",'Pre-Calculation'!$D$16="% OF AFV(8Q)"),AVERAGE( $M132:$M155),IF('Pre-Calculation'!$D$16="% OF AFV(12M)",AVERAGE($M144:M155),IF('Pre-Calculation'!$D$16="% OF AFV(36M)",AVERAGE($M120:M155)))))</f>
        <v>1071293.116</v>
      </c>
      <c r="O155" s="175">
        <f t="shared" si="4"/>
        <v>1071293.116</v>
      </c>
      <c r="P155" s="175">
        <f>IF('Pre-Calculation'!$D$17="Type 4 a",MAX(SA,N155,1.05*Q155),IF('Pre-Calculation'!$D$17="Type 4 c",N155,IF('Pre-Calculation'!$D$17="Type 4 d",SA+N155,IF('Pre-Calculation'!$D$17="Type 4 e",MAX(SA,N155),IF('Pre-Calculation'!$D$17="Type 4 f",SA,IF('Pre-Calculation'!$D$17="Type 4 g",1000+N155,IF('Pre-Calculation'!$D$17="Type 4 h",SA+X155,IF('Pre-Calculation'!$D$17="Type 4 i",MAX(N155,Q155),IF('Pre-Calculation'!$D$17="Type 4 k",MAX(N155,1.01*Q155),IF('Pre-Calculation'!$D$17="Type 4 m",MAX(105%*Q155,SA+N155),IF('Pre-Calculation'!$D$17="Type 4 o",MAX(SA,105%*Q155)+X155+Z155,IF('Pre-Calculation'!$D$17="Type 5",0))))))))))))</f>
        <v>1680000</v>
      </c>
      <c r="Q155" s="175">
        <f t="shared" si="5"/>
        <v>1600000</v>
      </c>
      <c r="R155" s="119">
        <f>L155*(1+GROWTH_RATE)*FMC</f>
        <v>1209.948983</v>
      </c>
      <c r="S155" s="178">
        <f>S154*(1+'Pre-Calculation'!$E$27)</f>
        <v>996374.7196</v>
      </c>
      <c r="T155" s="175">
        <f>-E155+IF(A154=INPUT!$C$11*12,N155,0)</f>
        <v>0</v>
      </c>
      <c r="U155" s="175">
        <f t="shared" si="6"/>
        <v>1164254.913</v>
      </c>
      <c r="V155" s="175">
        <f>U155*(1+GROWTH_RATE_L)*(1-'Pre-Calculation'!$E$31)</f>
        <v>1166121.172</v>
      </c>
      <c r="W155" s="175">
        <f>-E155+IF(A154=INPUT!$C$11*12,V155,0)</f>
        <v>0</v>
      </c>
      <c r="X155" s="179">
        <f t="array" ref="X155">NPV('Pre-Calculation'!$E$20,$E156:E$246)</f>
        <v>0</v>
      </c>
      <c r="Y155" s="171">
        <f>10%*SA</f>
        <v>100000</v>
      </c>
      <c r="Z155" s="179">
        <f t="array" ref="Z155">NPV('Pre-Calculation'!$E$20,Y156:Y165)</f>
        <v>969592.8037</v>
      </c>
    </row>
    <row r="156" ht="15.75" customHeight="1">
      <c r="A156" s="171">
        <f t="shared" si="1"/>
        <v>150</v>
      </c>
      <c r="B156" s="171">
        <f t="shared" si="2"/>
        <v>13</v>
      </c>
      <c r="C156" s="176">
        <f>EDATE(RCD,A155)</f>
        <v>47087</v>
      </c>
      <c r="D156" s="171">
        <f>Age_At_Entry+'Cashflows_4% from Start'!B156-1</f>
        <v>47</v>
      </c>
      <c r="E156" s="175">
        <f>IF(AND(C156&lt;=Last_Prem,MOD(A155,Mode)=0),Mod_Prem,0)</f>
        <v>0</v>
      </c>
      <c r="F156" s="177">
        <f>IF(B156&lt;PT+1,E156*VLOOKUP(B156,'Pre-Calculation'!$H$1:$I$31,2,FALSE),0)</f>
        <v>0</v>
      </c>
      <c r="G156" s="177">
        <f>IF(B156&lt;PT+1,VLOOKUP(B156,'Pre-Calculation'!$H$1:$L$32,3,FALSE)+VLOOKUP(B156,'Pre-Calculation'!$H$1:$L$32,4,FALSE)*'Pre-Calculation'!$D$7,0)</f>
        <v>0</v>
      </c>
      <c r="H156" s="175">
        <f>(E156-(F156+G156)*(1+Tax)+N155)</f>
        <v>1071293.116</v>
      </c>
      <c r="I156" s="175">
        <f>IF(B156&lt;PT+1,VLOOKUP(D156,'Pre-Calculation'!$N$3:$P$79,IF(INPUT!$C$4="M",2,3),FALSE)*(J156/1000)*(1/12),0)</f>
        <v>0</v>
      </c>
      <c r="J156" s="175">
        <f t="shared" si="3"/>
        <v>608706.884</v>
      </c>
      <c r="K156" s="175">
        <f>IF('Pre-Calculation'!$D$17="Type 4 a",MAX(SA,H156,1.05*Q156),IF('Pre-Calculation'!$D$17="Type 4 c",H156,IF('Pre-Calculation'!$D$17="Type 4 d",SA+H156,IF('Pre-Calculation'!$D$17="Type 4 e",MAX(SA,H156),IF('Pre-Calculation'!$D$17="Type 4 f",SA,IF('Pre-Calculation'!$D$17="Type 4 g",1000+H156,IF('Pre-Calculation'!$D$17="Type 4 h",SA+X156,IF('Pre-Calculation'!$D$17="Type 4 i",MAX(H156,Q156),IF('Pre-Calculation'!$D$17="Type 4 k",MAX(H156,1.01*Q156),IF('Pre-Calculation'!$D$17="Type 4 m",MAX(105%*Q156,SA+H156),IF('Pre-Calculation'!$D$17="Type 4 o",MAX(SA,105%*Q156)+X156+Z156,IF('Pre-Calculation'!$D$17="Type 5",0))))))))))))</f>
        <v>1680000</v>
      </c>
      <c r="L156" s="175">
        <f>H156-I156*(1+Tax)</f>
        <v>1071293.116</v>
      </c>
      <c r="M156" s="175">
        <f>L156*(1+GROWTH_RATE_L)*(1-FMC*(1+Tax))</f>
        <v>1073374.229</v>
      </c>
      <c r="N156" s="175">
        <f>M156+IF(MOD(A156,B156)=0,VLOOKUP(B156,'Pre-Calculation'!$H$1:$L$31,5,FALSE),0)*IF('Pre-Calculation'!$D$16="% OF FV",M156,IF(OR('Pre-Calculation'!$D$16="% OF AFV(24M)",'Pre-Calculation'!$D$16="% OF AFV(8Q)"),AVERAGE( $M133:$M156),IF('Pre-Calculation'!$D$16="% OF AFV(12M)",AVERAGE($M145:M156),IF('Pre-Calculation'!$D$16="% OF AFV(36M)",AVERAGE($M121:M156)))))</f>
        <v>1073374.229</v>
      </c>
      <c r="O156" s="175">
        <f t="shared" si="4"/>
        <v>1073374.229</v>
      </c>
      <c r="P156" s="175">
        <f>IF('Pre-Calculation'!$D$17="Type 4 a",MAX(SA,N156,1.05*Q156),IF('Pre-Calculation'!$D$17="Type 4 c",N156,IF('Pre-Calculation'!$D$17="Type 4 d",SA+N156,IF('Pre-Calculation'!$D$17="Type 4 e",MAX(SA,N156),IF('Pre-Calculation'!$D$17="Type 4 f",SA,IF('Pre-Calculation'!$D$17="Type 4 g",1000+N156,IF('Pre-Calculation'!$D$17="Type 4 h",SA+X156,IF('Pre-Calculation'!$D$17="Type 4 i",MAX(N156,Q156),IF('Pre-Calculation'!$D$17="Type 4 k",MAX(N156,1.01*Q156),IF('Pre-Calculation'!$D$17="Type 4 m",MAX(105%*Q156,SA+N156),IF('Pre-Calculation'!$D$17="Type 4 o",MAX(SA,105%*Q156)+X156+Z156,IF('Pre-Calculation'!$D$17="Type 5",0))))))))))))</f>
        <v>1680000</v>
      </c>
      <c r="Q156" s="175">
        <f t="shared" si="5"/>
        <v>1600000</v>
      </c>
      <c r="R156" s="119">
        <f>L156*(1+GROWTH_RATE)*FMC</f>
        <v>1212.299452</v>
      </c>
      <c r="S156" s="178">
        <f>S155*(1+'Pre-Calculation'!$E$27)</f>
        <v>999235.2105</v>
      </c>
      <c r="T156" s="175">
        <f>-E156+IF(A155=INPUT!$C$11*12,N156,0)</f>
        <v>0</v>
      </c>
      <c r="U156" s="175">
        <f t="shared" si="6"/>
        <v>1166121.172</v>
      </c>
      <c r="V156" s="175">
        <f>U156*(1+GROWTH_RATE_L)*(1-'Pre-Calculation'!$E$31)</f>
        <v>1167990.422</v>
      </c>
      <c r="W156" s="175">
        <f>-E156+IF(A155=INPUT!$C$11*12,V156,0)</f>
        <v>0</v>
      </c>
      <c r="X156" s="179">
        <f t="array" ref="X156">NPV('Pre-Calculation'!$E$20,$E157:E$246)</f>
        <v>0</v>
      </c>
      <c r="Y156" s="171">
        <f>10%*SA</f>
        <v>100000</v>
      </c>
      <c r="Z156" s="179">
        <f t="array" ref="Z156">NPV('Pre-Calculation'!$E$20,Y157:Y166)</f>
        <v>969592.8037</v>
      </c>
    </row>
    <row r="157" ht="15.75" customHeight="1">
      <c r="A157" s="171">
        <f t="shared" si="1"/>
        <v>151</v>
      </c>
      <c r="B157" s="171">
        <f t="shared" si="2"/>
        <v>13</v>
      </c>
      <c r="C157" s="176">
        <f>EDATE(RCD,A156)</f>
        <v>47117</v>
      </c>
      <c r="D157" s="171">
        <f>Age_At_Entry+'Cashflows_4% from Start'!B157-1</f>
        <v>47</v>
      </c>
      <c r="E157" s="175">
        <f>IF(AND(C157&lt;=Last_Prem,MOD(A156,Mode)=0),Mod_Prem,0)</f>
        <v>0</v>
      </c>
      <c r="F157" s="177">
        <f>IF(B157&lt;PT+1,E157*VLOOKUP(B157,'Pre-Calculation'!$H$1:$I$31,2,FALSE),0)</f>
        <v>0</v>
      </c>
      <c r="G157" s="177">
        <f>IF(B157&lt;PT+1,VLOOKUP(B157,'Pre-Calculation'!$H$1:$L$32,3,FALSE)+VLOOKUP(B157,'Pre-Calculation'!$H$1:$L$32,4,FALSE)*'Pre-Calculation'!$D$7,0)</f>
        <v>0</v>
      </c>
      <c r="H157" s="175">
        <f>(E157-(F157+G157)*(1+Tax)+N156)</f>
        <v>1073374.229</v>
      </c>
      <c r="I157" s="175">
        <f>IF(B157&lt;PT+1,VLOOKUP(D157,'Pre-Calculation'!$N$3:$P$79,IF(INPUT!$C$4="M",2,3),FALSE)*(J157/1000)*(1/12),0)</f>
        <v>0</v>
      </c>
      <c r="J157" s="175">
        <f t="shared" si="3"/>
        <v>606625.7706</v>
      </c>
      <c r="K157" s="175">
        <f>IF('Pre-Calculation'!$D$17="Type 4 a",MAX(SA,H157,1.05*Q157),IF('Pre-Calculation'!$D$17="Type 4 c",H157,IF('Pre-Calculation'!$D$17="Type 4 d",SA+H157,IF('Pre-Calculation'!$D$17="Type 4 e",MAX(SA,H157),IF('Pre-Calculation'!$D$17="Type 4 f",SA,IF('Pre-Calculation'!$D$17="Type 4 g",1000+H157,IF('Pre-Calculation'!$D$17="Type 4 h",SA+X157,IF('Pre-Calculation'!$D$17="Type 4 i",MAX(H157,Q157),IF('Pre-Calculation'!$D$17="Type 4 k",MAX(H157,1.01*Q157),IF('Pre-Calculation'!$D$17="Type 4 m",MAX(105%*Q157,SA+H157),IF('Pre-Calculation'!$D$17="Type 4 o",MAX(SA,105%*Q157)+X157+Z157,IF('Pre-Calculation'!$D$17="Type 5",0))))))))))))</f>
        <v>1680000</v>
      </c>
      <c r="L157" s="175">
        <f>H157-I157*(1+Tax)</f>
        <v>1073374.229</v>
      </c>
      <c r="M157" s="175">
        <f>L157*(1+GROWTH_RATE_L)*(1-FMC*(1+Tax))</f>
        <v>1075459.386</v>
      </c>
      <c r="N157" s="175">
        <f>M157+IF(MOD(A157,B157)=0,VLOOKUP(B157,'Pre-Calculation'!$H$1:$L$31,5,FALSE),0)*IF('Pre-Calculation'!$D$16="% OF FV",M157,IF(OR('Pre-Calculation'!$D$16="% OF AFV(24M)",'Pre-Calculation'!$D$16="% OF AFV(8Q)"),AVERAGE( $M134:$M157),IF('Pre-Calculation'!$D$16="% OF AFV(12M)",AVERAGE($M146:M157),IF('Pre-Calculation'!$D$16="% OF AFV(36M)",AVERAGE($M122:M157)))))</f>
        <v>1075459.386</v>
      </c>
      <c r="O157" s="175">
        <f t="shared" si="4"/>
        <v>1075459.386</v>
      </c>
      <c r="P157" s="175">
        <f>IF('Pre-Calculation'!$D$17="Type 4 a",MAX(SA,N157,1.05*Q157),IF('Pre-Calculation'!$D$17="Type 4 c",N157,IF('Pre-Calculation'!$D$17="Type 4 d",SA+N157,IF('Pre-Calculation'!$D$17="Type 4 e",MAX(SA,N157),IF('Pre-Calculation'!$D$17="Type 4 f",SA,IF('Pre-Calculation'!$D$17="Type 4 g",1000+N157,IF('Pre-Calculation'!$D$17="Type 4 h",SA+X157,IF('Pre-Calculation'!$D$17="Type 4 i",MAX(N157,Q157),IF('Pre-Calculation'!$D$17="Type 4 k",MAX(N157,1.01*Q157),IF('Pre-Calculation'!$D$17="Type 4 m",MAX(105%*Q157,SA+N157),IF('Pre-Calculation'!$D$17="Type 4 o",MAX(SA,105%*Q157)+X157+Z157,IF('Pre-Calculation'!$D$17="Type 5",0))))))))))))</f>
        <v>1680000</v>
      </c>
      <c r="Q157" s="175">
        <f t="shared" si="5"/>
        <v>1600000</v>
      </c>
      <c r="R157" s="119">
        <f>L157*(1+GROWTH_RATE)*FMC</f>
        <v>1214.654487</v>
      </c>
      <c r="S157" s="178">
        <f>S156*(1+'Pre-Calculation'!$E$27)</f>
        <v>1002103.914</v>
      </c>
      <c r="T157" s="175">
        <f>-E157+IF(A156=INPUT!$C$11*12,N157,0)</f>
        <v>0</v>
      </c>
      <c r="U157" s="175">
        <f t="shared" si="6"/>
        <v>1167990.422</v>
      </c>
      <c r="V157" s="175">
        <f>U157*(1+GROWTH_RATE_L)*(1-'Pre-Calculation'!$E$31)</f>
        <v>1169862.668</v>
      </c>
      <c r="W157" s="175">
        <f>-E157+IF(A156=INPUT!$C$11*12,V157,0)</f>
        <v>0</v>
      </c>
      <c r="X157" s="179">
        <f t="array" ref="X157">NPV('Pre-Calculation'!$E$20,$E158:E$246)</f>
        <v>0</v>
      </c>
      <c r="Y157" s="171">
        <f>10%*SA</f>
        <v>100000</v>
      </c>
      <c r="Z157" s="179">
        <f t="array" ref="Z157">NPV('Pre-Calculation'!$E$20,Y158:Y167)</f>
        <v>969592.8037</v>
      </c>
    </row>
    <row r="158" ht="15.75" customHeight="1">
      <c r="A158" s="171">
        <f t="shared" si="1"/>
        <v>152</v>
      </c>
      <c r="B158" s="171">
        <f t="shared" si="2"/>
        <v>13</v>
      </c>
      <c r="C158" s="176">
        <f>EDATE(RCD,A157)</f>
        <v>47148</v>
      </c>
      <c r="D158" s="171">
        <f>Age_At_Entry+'Cashflows_4% from Start'!B158-1</f>
        <v>47</v>
      </c>
      <c r="E158" s="175">
        <f>IF(AND(C158&lt;=Last_Prem,MOD(A157,Mode)=0),Mod_Prem,0)</f>
        <v>0</v>
      </c>
      <c r="F158" s="177">
        <f>IF(B158&lt;PT+1,E158*VLOOKUP(B158,'Pre-Calculation'!$H$1:$I$31,2,FALSE),0)</f>
        <v>0</v>
      </c>
      <c r="G158" s="177">
        <f>IF(B158&lt;PT+1,VLOOKUP(B158,'Pre-Calculation'!$H$1:$L$32,3,FALSE)+VLOOKUP(B158,'Pre-Calculation'!$H$1:$L$32,4,FALSE)*'Pre-Calculation'!$D$7,0)</f>
        <v>0</v>
      </c>
      <c r="H158" s="175">
        <f>(E158-(F158+G158)*(1+Tax)+N157)</f>
        <v>1075459.386</v>
      </c>
      <c r="I158" s="175">
        <f>IF(B158&lt;PT+1,VLOOKUP(D158,'Pre-Calculation'!$N$3:$P$79,IF(INPUT!$C$4="M",2,3),FALSE)*(J158/1000)*(1/12),0)</f>
        <v>0</v>
      </c>
      <c r="J158" s="175">
        <f t="shared" si="3"/>
        <v>604540.6143</v>
      </c>
      <c r="K158" s="175">
        <f>IF('Pre-Calculation'!$D$17="Type 4 a",MAX(SA,H158,1.05*Q158),IF('Pre-Calculation'!$D$17="Type 4 c",H158,IF('Pre-Calculation'!$D$17="Type 4 d",SA+H158,IF('Pre-Calculation'!$D$17="Type 4 e",MAX(SA,H158),IF('Pre-Calculation'!$D$17="Type 4 f",SA,IF('Pre-Calculation'!$D$17="Type 4 g",1000+H158,IF('Pre-Calculation'!$D$17="Type 4 h",SA+X158,IF('Pre-Calculation'!$D$17="Type 4 i",MAX(H158,Q158),IF('Pre-Calculation'!$D$17="Type 4 k",MAX(H158,1.01*Q158),IF('Pre-Calculation'!$D$17="Type 4 m",MAX(105%*Q158,SA+H158),IF('Pre-Calculation'!$D$17="Type 4 o",MAX(SA,105%*Q158)+X158+Z158,IF('Pre-Calculation'!$D$17="Type 5",0))))))))))))</f>
        <v>1680000</v>
      </c>
      <c r="L158" s="175">
        <f>H158-I158*(1+Tax)</f>
        <v>1075459.386</v>
      </c>
      <c r="M158" s="175">
        <f>L158*(1+GROWTH_RATE_L)*(1-FMC*(1+Tax))</f>
        <v>1077548.593</v>
      </c>
      <c r="N158" s="175">
        <f>M158+IF(MOD(A158,B158)=0,VLOOKUP(B158,'Pre-Calculation'!$H$1:$L$31,5,FALSE),0)*IF('Pre-Calculation'!$D$16="% OF FV",M158,IF(OR('Pre-Calculation'!$D$16="% OF AFV(24M)",'Pre-Calculation'!$D$16="% OF AFV(8Q)"),AVERAGE( $M135:$M158),IF('Pre-Calculation'!$D$16="% OF AFV(12M)",AVERAGE($M147:M158),IF('Pre-Calculation'!$D$16="% OF AFV(36M)",AVERAGE($M123:M158)))))</f>
        <v>1077548.593</v>
      </c>
      <c r="O158" s="175">
        <f t="shared" si="4"/>
        <v>1077548.593</v>
      </c>
      <c r="P158" s="175">
        <f>IF('Pre-Calculation'!$D$17="Type 4 a",MAX(SA,N158,1.05*Q158),IF('Pre-Calculation'!$D$17="Type 4 c",N158,IF('Pre-Calculation'!$D$17="Type 4 d",SA+N158,IF('Pre-Calculation'!$D$17="Type 4 e",MAX(SA,N158),IF('Pre-Calculation'!$D$17="Type 4 f",SA,IF('Pre-Calculation'!$D$17="Type 4 g",1000+N158,IF('Pre-Calculation'!$D$17="Type 4 h",SA+X158,IF('Pre-Calculation'!$D$17="Type 4 i",MAX(N158,Q158),IF('Pre-Calculation'!$D$17="Type 4 k",MAX(N158,1.01*Q158),IF('Pre-Calculation'!$D$17="Type 4 m",MAX(105%*Q158,SA+N158),IF('Pre-Calculation'!$D$17="Type 4 o",MAX(SA,105%*Q158)+X158+Z158,IF('Pre-Calculation'!$D$17="Type 5",0))))))))))))</f>
        <v>1680000</v>
      </c>
      <c r="Q158" s="175">
        <f t="shared" si="5"/>
        <v>1600000</v>
      </c>
      <c r="R158" s="119">
        <f>L158*(1+GROWTH_RATE)*FMC</f>
        <v>1217.014097</v>
      </c>
      <c r="S158" s="178">
        <f>S157*(1+'Pre-Calculation'!$E$27)</f>
        <v>1004980.852</v>
      </c>
      <c r="T158" s="175">
        <f>-E158+IF(A157=INPUT!$C$11*12,N158,0)</f>
        <v>0</v>
      </c>
      <c r="U158" s="175">
        <f t="shared" si="6"/>
        <v>1169862.668</v>
      </c>
      <c r="V158" s="175">
        <f>U158*(1+GROWTH_RATE_L)*(1-'Pre-Calculation'!$E$31)</f>
        <v>1171737.916</v>
      </c>
      <c r="W158" s="175">
        <f>-E158+IF(A157=INPUT!$C$11*12,V158,0)</f>
        <v>0</v>
      </c>
      <c r="X158" s="179">
        <f t="array" ref="X158">NPV('Pre-Calculation'!$E$20,$E159:E$246)</f>
        <v>0</v>
      </c>
      <c r="Y158" s="171">
        <f>10%*SA</f>
        <v>100000</v>
      </c>
      <c r="Z158" s="179">
        <f t="array" ref="Z158">NPV('Pre-Calculation'!$E$20,Y159:Y168)</f>
        <v>969592.8037</v>
      </c>
    </row>
    <row r="159" ht="15.75" customHeight="1">
      <c r="A159" s="171">
        <f t="shared" si="1"/>
        <v>153</v>
      </c>
      <c r="B159" s="171">
        <f t="shared" si="2"/>
        <v>13</v>
      </c>
      <c r="C159" s="176">
        <f>EDATE(RCD,A158)</f>
        <v>47177</v>
      </c>
      <c r="D159" s="171">
        <f>Age_At_Entry+'Cashflows_4% from Start'!B159-1</f>
        <v>47</v>
      </c>
      <c r="E159" s="175">
        <f>IF(AND(C159&lt;=Last_Prem,MOD(A158,Mode)=0),Mod_Prem,0)</f>
        <v>0</v>
      </c>
      <c r="F159" s="177">
        <f>IF(B159&lt;PT+1,E159*VLOOKUP(B159,'Pre-Calculation'!$H$1:$I$31,2,FALSE),0)</f>
        <v>0</v>
      </c>
      <c r="G159" s="177">
        <f>IF(B159&lt;PT+1,VLOOKUP(B159,'Pre-Calculation'!$H$1:$L$32,3,FALSE)+VLOOKUP(B159,'Pre-Calculation'!$H$1:$L$32,4,FALSE)*'Pre-Calculation'!$D$7,0)</f>
        <v>0</v>
      </c>
      <c r="H159" s="175">
        <f>(E159-(F159+G159)*(1+Tax)+N158)</f>
        <v>1077548.593</v>
      </c>
      <c r="I159" s="175">
        <f>IF(B159&lt;PT+1,VLOOKUP(D159,'Pre-Calculation'!$N$3:$P$79,IF(INPUT!$C$4="M",2,3),FALSE)*(J159/1000)*(1/12),0)</f>
        <v>0</v>
      </c>
      <c r="J159" s="175">
        <f t="shared" si="3"/>
        <v>602451.4073</v>
      </c>
      <c r="K159" s="175">
        <f>IF('Pre-Calculation'!$D$17="Type 4 a",MAX(SA,H159,1.05*Q159),IF('Pre-Calculation'!$D$17="Type 4 c",H159,IF('Pre-Calculation'!$D$17="Type 4 d",SA+H159,IF('Pre-Calculation'!$D$17="Type 4 e",MAX(SA,H159),IF('Pre-Calculation'!$D$17="Type 4 f",SA,IF('Pre-Calculation'!$D$17="Type 4 g",1000+H159,IF('Pre-Calculation'!$D$17="Type 4 h",SA+X159,IF('Pre-Calculation'!$D$17="Type 4 i",MAX(H159,Q159),IF('Pre-Calculation'!$D$17="Type 4 k",MAX(H159,1.01*Q159),IF('Pre-Calculation'!$D$17="Type 4 m",MAX(105%*Q159,SA+H159),IF('Pre-Calculation'!$D$17="Type 4 o",MAX(SA,105%*Q159)+X159+Z159,IF('Pre-Calculation'!$D$17="Type 5",0))))))))))))</f>
        <v>1680000</v>
      </c>
      <c r="L159" s="175">
        <f>H159-I159*(1+Tax)</f>
        <v>1077548.593</v>
      </c>
      <c r="M159" s="175">
        <f>L159*(1+GROWTH_RATE_L)*(1-FMC*(1+Tax))</f>
        <v>1079641.858</v>
      </c>
      <c r="N159" s="175">
        <f>M159+IF(MOD(A159,B159)=0,VLOOKUP(B159,'Pre-Calculation'!$H$1:$L$31,5,FALSE),0)*IF('Pre-Calculation'!$D$16="% OF FV",M159,IF(OR('Pre-Calculation'!$D$16="% OF AFV(24M)",'Pre-Calculation'!$D$16="% OF AFV(8Q)"),AVERAGE( $M136:$M159),IF('Pre-Calculation'!$D$16="% OF AFV(12M)",AVERAGE($M148:M159),IF('Pre-Calculation'!$D$16="% OF AFV(36M)",AVERAGE($M124:M159)))))</f>
        <v>1079641.858</v>
      </c>
      <c r="O159" s="175">
        <f t="shared" si="4"/>
        <v>1079641.858</v>
      </c>
      <c r="P159" s="175">
        <f>IF('Pre-Calculation'!$D$17="Type 4 a",MAX(SA,N159,1.05*Q159),IF('Pre-Calculation'!$D$17="Type 4 c",N159,IF('Pre-Calculation'!$D$17="Type 4 d",SA+N159,IF('Pre-Calculation'!$D$17="Type 4 e",MAX(SA,N159),IF('Pre-Calculation'!$D$17="Type 4 f",SA,IF('Pre-Calculation'!$D$17="Type 4 g",1000+N159,IF('Pre-Calculation'!$D$17="Type 4 h",SA+X159,IF('Pre-Calculation'!$D$17="Type 4 i",MAX(N159,Q159),IF('Pre-Calculation'!$D$17="Type 4 k",MAX(N159,1.01*Q159),IF('Pre-Calculation'!$D$17="Type 4 m",MAX(105%*Q159,SA+N159),IF('Pre-Calculation'!$D$17="Type 4 o",MAX(SA,105%*Q159)+X159+Z159,IF('Pre-Calculation'!$D$17="Type 5",0))))))))))))</f>
        <v>1680000</v>
      </c>
      <c r="Q159" s="175">
        <f t="shared" si="5"/>
        <v>1600000</v>
      </c>
      <c r="R159" s="119">
        <f>L159*(1+GROWTH_RATE)*FMC</f>
        <v>1219.378291</v>
      </c>
      <c r="S159" s="178">
        <f>S158*(1+'Pre-Calculation'!$E$27)</f>
        <v>1007866.051</v>
      </c>
      <c r="T159" s="175">
        <f>-E159+IF(A158=INPUT!$C$11*12,N159,0)</f>
        <v>0</v>
      </c>
      <c r="U159" s="175">
        <f t="shared" si="6"/>
        <v>1171737.916</v>
      </c>
      <c r="V159" s="175">
        <f>U159*(1+GROWTH_RATE_L)*(1-'Pre-Calculation'!$E$31)</f>
        <v>1173616.169</v>
      </c>
      <c r="W159" s="175">
        <f>-E159+IF(A158=INPUT!$C$11*12,V159,0)</f>
        <v>0</v>
      </c>
      <c r="X159" s="179">
        <f t="array" ref="X159">NPV('Pre-Calculation'!$E$20,$E160:E$246)</f>
        <v>0</v>
      </c>
      <c r="Y159" s="171">
        <f>10%*SA</f>
        <v>100000</v>
      </c>
      <c r="Z159" s="179">
        <f t="array" ref="Z159">NPV('Pre-Calculation'!$E$20,Y160:Y169)</f>
        <v>969592.8037</v>
      </c>
    </row>
    <row r="160" ht="15.75" customHeight="1">
      <c r="A160" s="171">
        <f t="shared" si="1"/>
        <v>154</v>
      </c>
      <c r="B160" s="171">
        <f t="shared" si="2"/>
        <v>13</v>
      </c>
      <c r="C160" s="176">
        <f>EDATE(RCD,A159)</f>
        <v>47207</v>
      </c>
      <c r="D160" s="171">
        <f>Age_At_Entry+'Cashflows_4% from Start'!B160-1</f>
        <v>47</v>
      </c>
      <c r="E160" s="175">
        <f>IF(AND(C160&lt;=Last_Prem,MOD(A159,Mode)=0),Mod_Prem,0)</f>
        <v>0</v>
      </c>
      <c r="F160" s="177">
        <f>IF(B160&lt;PT+1,E160*VLOOKUP(B160,'Pre-Calculation'!$H$1:$I$31,2,FALSE),0)</f>
        <v>0</v>
      </c>
      <c r="G160" s="177">
        <f>IF(B160&lt;PT+1,VLOOKUP(B160,'Pre-Calculation'!$H$1:$L$32,3,FALSE)+VLOOKUP(B160,'Pre-Calculation'!$H$1:$L$32,4,FALSE)*'Pre-Calculation'!$D$7,0)</f>
        <v>0</v>
      </c>
      <c r="H160" s="175">
        <f>(E160-(F160+G160)*(1+Tax)+N159)</f>
        <v>1079641.858</v>
      </c>
      <c r="I160" s="175">
        <f>IF(B160&lt;PT+1,VLOOKUP(D160,'Pre-Calculation'!$N$3:$P$79,IF(INPUT!$C$4="M",2,3),FALSE)*(J160/1000)*(1/12),0)</f>
        <v>0</v>
      </c>
      <c r="J160" s="175">
        <f t="shared" si="3"/>
        <v>600358.1419</v>
      </c>
      <c r="K160" s="175">
        <f>IF('Pre-Calculation'!$D$17="Type 4 a",MAX(SA,H160,1.05*Q160),IF('Pre-Calculation'!$D$17="Type 4 c",H160,IF('Pre-Calculation'!$D$17="Type 4 d",SA+H160,IF('Pre-Calculation'!$D$17="Type 4 e",MAX(SA,H160),IF('Pre-Calculation'!$D$17="Type 4 f",SA,IF('Pre-Calculation'!$D$17="Type 4 g",1000+H160,IF('Pre-Calculation'!$D$17="Type 4 h",SA+X160,IF('Pre-Calculation'!$D$17="Type 4 i",MAX(H160,Q160),IF('Pre-Calculation'!$D$17="Type 4 k",MAX(H160,1.01*Q160),IF('Pre-Calculation'!$D$17="Type 4 m",MAX(105%*Q160,SA+H160),IF('Pre-Calculation'!$D$17="Type 4 o",MAX(SA,105%*Q160)+X160+Z160,IF('Pre-Calculation'!$D$17="Type 5",0))))))))))))</f>
        <v>1680000</v>
      </c>
      <c r="L160" s="175">
        <f>H160-I160*(1+Tax)</f>
        <v>1079641.858</v>
      </c>
      <c r="M160" s="175">
        <f>L160*(1+GROWTH_RATE_L)*(1-FMC*(1+Tax))</f>
        <v>1081739.19</v>
      </c>
      <c r="N160" s="175">
        <f>M160+IF(MOD(A160,B160)=0,VLOOKUP(B160,'Pre-Calculation'!$H$1:$L$31,5,FALSE),0)*IF('Pre-Calculation'!$D$16="% OF FV",M160,IF(OR('Pre-Calculation'!$D$16="% OF AFV(24M)",'Pre-Calculation'!$D$16="% OF AFV(8Q)"),AVERAGE( $M137:$M160),IF('Pre-Calculation'!$D$16="% OF AFV(12M)",AVERAGE($M149:M160),IF('Pre-Calculation'!$D$16="% OF AFV(36M)",AVERAGE($M125:M160)))))</f>
        <v>1081739.19</v>
      </c>
      <c r="O160" s="175">
        <f t="shared" si="4"/>
        <v>1081739.19</v>
      </c>
      <c r="P160" s="175">
        <f>IF('Pre-Calculation'!$D$17="Type 4 a",MAX(SA,N160,1.05*Q160),IF('Pre-Calculation'!$D$17="Type 4 c",N160,IF('Pre-Calculation'!$D$17="Type 4 d",SA+N160,IF('Pre-Calculation'!$D$17="Type 4 e",MAX(SA,N160),IF('Pre-Calculation'!$D$17="Type 4 f",SA,IF('Pre-Calculation'!$D$17="Type 4 g",1000+N160,IF('Pre-Calculation'!$D$17="Type 4 h",SA+X160,IF('Pre-Calculation'!$D$17="Type 4 i",MAX(N160,Q160),IF('Pre-Calculation'!$D$17="Type 4 k",MAX(N160,1.01*Q160),IF('Pre-Calculation'!$D$17="Type 4 m",MAX(105%*Q160,SA+N160),IF('Pre-Calculation'!$D$17="Type 4 o",MAX(SA,105%*Q160)+X160+Z160,IF('Pre-Calculation'!$D$17="Type 5",0))))))))))))</f>
        <v>1680000</v>
      </c>
      <c r="Q160" s="175">
        <f t="shared" si="5"/>
        <v>1600000</v>
      </c>
      <c r="R160" s="119">
        <f>L160*(1+GROWTH_RATE)*FMC</f>
        <v>1221.747077</v>
      </c>
      <c r="S160" s="178">
        <f>S159*(1+'Pre-Calculation'!$E$27)</f>
        <v>1010759.532</v>
      </c>
      <c r="T160" s="175">
        <f>-E160+IF(A159=INPUT!$C$11*12,N160,0)</f>
        <v>0</v>
      </c>
      <c r="U160" s="175">
        <f t="shared" si="6"/>
        <v>1173616.169</v>
      </c>
      <c r="V160" s="175">
        <f>U160*(1+GROWTH_RATE_L)*(1-'Pre-Calculation'!$E$31)</f>
        <v>1175497.433</v>
      </c>
      <c r="W160" s="175">
        <f>-E160+IF(A159=INPUT!$C$11*12,V160,0)</f>
        <v>0</v>
      </c>
      <c r="X160" s="179">
        <f t="array" ref="X160">NPV('Pre-Calculation'!$E$20,$E161:E$246)</f>
        <v>0</v>
      </c>
      <c r="Y160" s="171">
        <f>10%*SA</f>
        <v>100000</v>
      </c>
      <c r="Z160" s="179">
        <f t="array" ref="Z160">NPV('Pre-Calculation'!$E$20,Y161:Y170)</f>
        <v>969592.8037</v>
      </c>
    </row>
    <row r="161" ht="15.75" customHeight="1">
      <c r="A161" s="171">
        <f t="shared" si="1"/>
        <v>155</v>
      </c>
      <c r="B161" s="171">
        <f t="shared" si="2"/>
        <v>13</v>
      </c>
      <c r="C161" s="176">
        <f>EDATE(RCD,A160)</f>
        <v>47238</v>
      </c>
      <c r="D161" s="171">
        <f>Age_At_Entry+'Cashflows_4% from Start'!B161-1</f>
        <v>47</v>
      </c>
      <c r="E161" s="175">
        <f>IF(AND(C161&lt;=Last_Prem,MOD(A160,Mode)=0),Mod_Prem,0)</f>
        <v>0</v>
      </c>
      <c r="F161" s="177">
        <f>IF(B161&lt;PT+1,E161*VLOOKUP(B161,'Pre-Calculation'!$H$1:$I$31,2,FALSE),0)</f>
        <v>0</v>
      </c>
      <c r="G161" s="177">
        <f>IF(B161&lt;PT+1,VLOOKUP(B161,'Pre-Calculation'!$H$1:$L$32,3,FALSE)+VLOOKUP(B161,'Pre-Calculation'!$H$1:$L$32,4,FALSE)*'Pre-Calculation'!$D$7,0)</f>
        <v>0</v>
      </c>
      <c r="H161" s="175">
        <f>(E161-(F161+G161)*(1+Tax)+N160)</f>
        <v>1081739.19</v>
      </c>
      <c r="I161" s="175">
        <f>IF(B161&lt;PT+1,VLOOKUP(D161,'Pre-Calculation'!$N$3:$P$79,IF(INPUT!$C$4="M",2,3),FALSE)*(J161/1000)*(1/12),0)</f>
        <v>0</v>
      </c>
      <c r="J161" s="175">
        <f t="shared" si="3"/>
        <v>598260.81</v>
      </c>
      <c r="K161" s="175">
        <f>IF('Pre-Calculation'!$D$17="Type 4 a",MAX(SA,H161,1.05*Q161),IF('Pre-Calculation'!$D$17="Type 4 c",H161,IF('Pre-Calculation'!$D$17="Type 4 d",SA+H161,IF('Pre-Calculation'!$D$17="Type 4 e",MAX(SA,H161),IF('Pre-Calculation'!$D$17="Type 4 f",SA,IF('Pre-Calculation'!$D$17="Type 4 g",1000+H161,IF('Pre-Calculation'!$D$17="Type 4 h",SA+X161,IF('Pre-Calculation'!$D$17="Type 4 i",MAX(H161,Q161),IF('Pre-Calculation'!$D$17="Type 4 k",MAX(H161,1.01*Q161),IF('Pre-Calculation'!$D$17="Type 4 m",MAX(105%*Q161,SA+H161),IF('Pre-Calculation'!$D$17="Type 4 o",MAX(SA,105%*Q161)+X161+Z161,IF('Pre-Calculation'!$D$17="Type 5",0))))))))))))</f>
        <v>1680000</v>
      </c>
      <c r="L161" s="175">
        <f>H161-I161*(1+Tax)</f>
        <v>1081739.19</v>
      </c>
      <c r="M161" s="175">
        <f>L161*(1+GROWTH_RATE_L)*(1-FMC*(1+Tax))</f>
        <v>1083840.596</v>
      </c>
      <c r="N161" s="175">
        <f>M161+IF(MOD(A161,B161)=0,VLOOKUP(B161,'Pre-Calculation'!$H$1:$L$31,5,FALSE),0)*IF('Pre-Calculation'!$D$16="% OF FV",M161,IF(OR('Pre-Calculation'!$D$16="% OF AFV(24M)",'Pre-Calculation'!$D$16="% OF AFV(8Q)"),AVERAGE( $M138:$M161),IF('Pre-Calculation'!$D$16="% OF AFV(12M)",AVERAGE($M150:M161),IF('Pre-Calculation'!$D$16="% OF AFV(36M)",AVERAGE($M126:M161)))))</f>
        <v>1083840.596</v>
      </c>
      <c r="O161" s="175">
        <f t="shared" si="4"/>
        <v>1083840.596</v>
      </c>
      <c r="P161" s="175">
        <f>IF('Pre-Calculation'!$D$17="Type 4 a",MAX(SA,N161,1.05*Q161),IF('Pre-Calculation'!$D$17="Type 4 c",N161,IF('Pre-Calculation'!$D$17="Type 4 d",SA+N161,IF('Pre-Calculation'!$D$17="Type 4 e",MAX(SA,N161),IF('Pre-Calculation'!$D$17="Type 4 f",SA,IF('Pre-Calculation'!$D$17="Type 4 g",1000+N161,IF('Pre-Calculation'!$D$17="Type 4 h",SA+X161,IF('Pre-Calculation'!$D$17="Type 4 i",MAX(N161,Q161),IF('Pre-Calculation'!$D$17="Type 4 k",MAX(N161,1.01*Q161),IF('Pre-Calculation'!$D$17="Type 4 m",MAX(105%*Q161,SA+N161),IF('Pre-Calculation'!$D$17="Type 4 o",MAX(SA,105%*Q161)+X161+Z161,IF('Pre-Calculation'!$D$17="Type 5",0))))))))))))</f>
        <v>1680000</v>
      </c>
      <c r="Q161" s="175">
        <f t="shared" si="5"/>
        <v>1600000</v>
      </c>
      <c r="R161" s="119">
        <f>L161*(1+GROWTH_RATE)*FMC</f>
        <v>1224.120465</v>
      </c>
      <c r="S161" s="178">
        <f>S160*(1+'Pre-Calculation'!$E$27)</f>
        <v>1013661.32</v>
      </c>
      <c r="T161" s="175">
        <f>-E161+IF(A160=INPUT!$C$11*12,N161,0)</f>
        <v>0</v>
      </c>
      <c r="U161" s="175">
        <f t="shared" si="6"/>
        <v>1175497.433</v>
      </c>
      <c r="V161" s="175">
        <f>U161*(1+GROWTH_RATE_L)*(1-'Pre-Calculation'!$E$31)</f>
        <v>1177381.713</v>
      </c>
      <c r="W161" s="175">
        <f>-E161+IF(A160=INPUT!$C$11*12,V161,0)</f>
        <v>0</v>
      </c>
      <c r="X161" s="179">
        <f t="array" ref="X161">NPV('Pre-Calculation'!$E$20,$E162:E$246)</f>
        <v>0</v>
      </c>
      <c r="Y161" s="171">
        <f>10%*SA</f>
        <v>100000</v>
      </c>
      <c r="Z161" s="179">
        <f t="array" ref="Z161">NPV('Pre-Calculation'!$E$20,Y162:Y171)</f>
        <v>969592.8037</v>
      </c>
    </row>
    <row r="162" ht="15.75" customHeight="1">
      <c r="A162" s="171">
        <f t="shared" si="1"/>
        <v>156</v>
      </c>
      <c r="B162" s="171">
        <f t="shared" si="2"/>
        <v>13</v>
      </c>
      <c r="C162" s="176">
        <f>EDATE(RCD,A161)</f>
        <v>47268</v>
      </c>
      <c r="D162" s="171">
        <f>Age_At_Entry+'Cashflows_4% from Start'!B162-1</f>
        <v>47</v>
      </c>
      <c r="E162" s="175">
        <f>IF(AND(C162&lt;=Last_Prem,MOD(A161,Mode)=0),Mod_Prem,0)</f>
        <v>0</v>
      </c>
      <c r="F162" s="177">
        <f>IF(B162&lt;PT+1,E162*VLOOKUP(B162,'Pre-Calculation'!$H$1:$I$31,2,FALSE),0)</f>
        <v>0</v>
      </c>
      <c r="G162" s="177">
        <f>IF(B162&lt;PT+1,VLOOKUP(B162,'Pre-Calculation'!$H$1:$L$32,3,FALSE)+VLOOKUP(B162,'Pre-Calculation'!$H$1:$L$32,4,FALSE)*'Pre-Calculation'!$D$7,0)</f>
        <v>0</v>
      </c>
      <c r="H162" s="175">
        <f>(E162-(F162+G162)*(1+Tax)+N161)</f>
        <v>1083840.596</v>
      </c>
      <c r="I162" s="175">
        <f>IF(B162&lt;PT+1,VLOOKUP(D162,'Pre-Calculation'!$N$3:$P$79,IF(INPUT!$C$4="M",2,3),FALSE)*(J162/1000)*(1/12),0)</f>
        <v>0</v>
      </c>
      <c r="J162" s="175">
        <f t="shared" si="3"/>
        <v>596159.4038</v>
      </c>
      <c r="K162" s="175">
        <f>IF('Pre-Calculation'!$D$17="Type 4 a",MAX(SA,H162,1.05*Q162),IF('Pre-Calculation'!$D$17="Type 4 c",H162,IF('Pre-Calculation'!$D$17="Type 4 d",SA+H162,IF('Pre-Calculation'!$D$17="Type 4 e",MAX(SA,H162),IF('Pre-Calculation'!$D$17="Type 4 f",SA,IF('Pre-Calculation'!$D$17="Type 4 g",1000+H162,IF('Pre-Calculation'!$D$17="Type 4 h",SA+X162,IF('Pre-Calculation'!$D$17="Type 4 i",MAX(H162,Q162),IF('Pre-Calculation'!$D$17="Type 4 k",MAX(H162,1.01*Q162),IF('Pre-Calculation'!$D$17="Type 4 m",MAX(105%*Q162,SA+H162),IF('Pre-Calculation'!$D$17="Type 4 o",MAX(SA,105%*Q162)+X162+Z162,IF('Pre-Calculation'!$D$17="Type 5",0))))))))))))</f>
        <v>1680000</v>
      </c>
      <c r="L162" s="175">
        <f>H162-I162*(1+Tax)</f>
        <v>1083840.596</v>
      </c>
      <c r="M162" s="175">
        <f>L162*(1+GROWTH_RATE_L)*(1-FMC*(1+Tax))</f>
        <v>1085946.085</v>
      </c>
      <c r="N162" s="175">
        <f>M162+IF(MOD(A162,B162)=0,VLOOKUP(B162,'Pre-Calculation'!$H$1:$L$31,5,FALSE),0)*IF('Pre-Calculation'!$D$16="% OF FV",M162,IF(OR('Pre-Calculation'!$D$16="% OF AFV(24M)",'Pre-Calculation'!$D$16="% OF AFV(8Q)"),AVERAGE( $M139:$M162),IF('Pre-Calculation'!$D$16="% OF AFV(12M)",AVERAGE($M151:M162),IF('Pre-Calculation'!$D$16="% OF AFV(36M)",AVERAGE($M127:M162)))))</f>
        <v>1085946.085</v>
      </c>
      <c r="O162" s="175">
        <f t="shared" si="4"/>
        <v>1085946.085</v>
      </c>
      <c r="P162" s="175">
        <f>IF('Pre-Calculation'!$D$17="Type 4 a",MAX(SA,N162,1.05*Q162),IF('Pre-Calculation'!$D$17="Type 4 c",N162,IF('Pre-Calculation'!$D$17="Type 4 d",SA+N162,IF('Pre-Calculation'!$D$17="Type 4 e",MAX(SA,N162),IF('Pre-Calculation'!$D$17="Type 4 f",SA,IF('Pre-Calculation'!$D$17="Type 4 g",1000+N162,IF('Pre-Calculation'!$D$17="Type 4 h",SA+X162,IF('Pre-Calculation'!$D$17="Type 4 i",MAX(N162,Q162),IF('Pre-Calculation'!$D$17="Type 4 k",MAX(N162,1.01*Q162),IF('Pre-Calculation'!$D$17="Type 4 m",MAX(105%*Q162,SA+N162),IF('Pre-Calculation'!$D$17="Type 4 o",MAX(SA,105%*Q162)+X162+Z162,IF('Pre-Calculation'!$D$17="Type 5",0))))))))))))</f>
        <v>1680000</v>
      </c>
      <c r="Q162" s="175">
        <f t="shared" si="5"/>
        <v>1600000</v>
      </c>
      <c r="R162" s="119">
        <f>L162*(1+GROWTH_RATE)*FMC</f>
        <v>1226.498464</v>
      </c>
      <c r="S162" s="178">
        <f>S161*(1+'Pre-Calculation'!$E$27)</f>
        <v>1016571.439</v>
      </c>
      <c r="T162" s="175">
        <f>-E162+IF(A161=INPUT!$C$11*12,N162,0)</f>
        <v>0</v>
      </c>
      <c r="U162" s="175">
        <f t="shared" si="6"/>
        <v>1177381.713</v>
      </c>
      <c r="V162" s="175">
        <f>U162*(1+GROWTH_RATE_L)*(1-'Pre-Calculation'!$E$31)</f>
        <v>1179269.013</v>
      </c>
      <c r="W162" s="175">
        <f>-E162+IF(A161=INPUT!$C$11*12,V162,0)</f>
        <v>0</v>
      </c>
      <c r="X162" s="179">
        <f t="array" ref="X162">NPV('Pre-Calculation'!$E$20,$E163:E$246)</f>
        <v>0</v>
      </c>
      <c r="Y162" s="171">
        <f>10%*SA</f>
        <v>100000</v>
      </c>
      <c r="Z162" s="179">
        <f t="array" ref="Z162">NPV('Pre-Calculation'!$E$20,Y163:Y172)</f>
        <v>969592.8037</v>
      </c>
    </row>
    <row r="163" ht="15.75" customHeight="1">
      <c r="A163" s="171">
        <f t="shared" si="1"/>
        <v>157</v>
      </c>
      <c r="B163" s="171">
        <f t="shared" si="2"/>
        <v>14</v>
      </c>
      <c r="C163" s="176">
        <f>EDATE(RCD,A162)</f>
        <v>47299</v>
      </c>
      <c r="D163" s="171">
        <f>Age_At_Entry+'Cashflows_4% from Start'!B163-1</f>
        <v>48</v>
      </c>
      <c r="E163" s="175">
        <f>IF(AND(C163&lt;=Last_Prem,MOD(A162,Mode)=0),Mod_Prem,0)</f>
        <v>0</v>
      </c>
      <c r="F163" s="177">
        <f>IF(B163&lt;PT+1,E163*VLOOKUP(B163,'Pre-Calculation'!$H$1:$I$31,2,FALSE),0)</f>
        <v>0</v>
      </c>
      <c r="G163" s="177">
        <f>IF(B163&lt;PT+1,VLOOKUP(B163,'Pre-Calculation'!$H$1:$L$32,3,FALSE)+VLOOKUP(B163,'Pre-Calculation'!$H$1:$L$32,4,FALSE)*'Pre-Calculation'!$D$7,0)</f>
        <v>0</v>
      </c>
      <c r="H163" s="175">
        <f>(E163-(F163+G163)*(1+Tax)+N162)</f>
        <v>1085946.085</v>
      </c>
      <c r="I163" s="175">
        <f>IF(B163&lt;PT+1,VLOOKUP(D163,'Pre-Calculation'!$N$3:$P$79,IF(INPUT!$C$4="M",2,3),FALSE)*(J163/1000)*(1/12),0)</f>
        <v>0</v>
      </c>
      <c r="J163" s="175">
        <f t="shared" si="3"/>
        <v>594053.9153</v>
      </c>
      <c r="K163" s="175">
        <f>IF('Pre-Calculation'!$D$17="Type 4 a",MAX(SA,H163,1.05*Q163),IF('Pre-Calculation'!$D$17="Type 4 c",H163,IF('Pre-Calculation'!$D$17="Type 4 d",SA+H163,IF('Pre-Calculation'!$D$17="Type 4 e",MAX(SA,H163),IF('Pre-Calculation'!$D$17="Type 4 f",SA,IF('Pre-Calculation'!$D$17="Type 4 g",1000+H163,IF('Pre-Calculation'!$D$17="Type 4 h",SA+X163,IF('Pre-Calculation'!$D$17="Type 4 i",MAX(H163,Q163),IF('Pre-Calculation'!$D$17="Type 4 k",MAX(H163,1.01*Q163),IF('Pre-Calculation'!$D$17="Type 4 m",MAX(105%*Q163,SA+H163),IF('Pre-Calculation'!$D$17="Type 4 o",MAX(SA,105%*Q163)+X163+Z163,IF('Pre-Calculation'!$D$17="Type 5",0))))))))))))</f>
        <v>1680000</v>
      </c>
      <c r="L163" s="175">
        <f>H163-I163*(1+Tax)</f>
        <v>1085946.085</v>
      </c>
      <c r="M163" s="175">
        <f>L163*(1+GROWTH_RATE_L)*(1-FMC*(1+Tax))</f>
        <v>1088055.663</v>
      </c>
      <c r="N163" s="175">
        <f>M163+IF(MOD(A163,B163)=0,VLOOKUP(B163,'Pre-Calculation'!$H$1:$L$31,5,FALSE),0)*IF('Pre-Calculation'!$D$16="% OF FV",M163,IF(OR('Pre-Calculation'!$D$16="% OF AFV(24M)",'Pre-Calculation'!$D$16="% OF AFV(8Q)"),AVERAGE( $M140:$M163),IF('Pre-Calculation'!$D$16="% OF AFV(12M)",AVERAGE($M152:M163),IF('Pre-Calculation'!$D$16="% OF AFV(36M)",AVERAGE($M128:M163)))))</f>
        <v>1088055.663</v>
      </c>
      <c r="O163" s="175">
        <f t="shared" si="4"/>
        <v>1088055.663</v>
      </c>
      <c r="P163" s="175">
        <f>IF('Pre-Calculation'!$D$17="Type 4 a",MAX(SA,N163,1.05*Q163),IF('Pre-Calculation'!$D$17="Type 4 c",N163,IF('Pre-Calculation'!$D$17="Type 4 d",SA+N163,IF('Pre-Calculation'!$D$17="Type 4 e",MAX(SA,N163),IF('Pre-Calculation'!$D$17="Type 4 f",SA,IF('Pre-Calculation'!$D$17="Type 4 g",1000+N163,IF('Pre-Calculation'!$D$17="Type 4 h",SA+X163,IF('Pre-Calculation'!$D$17="Type 4 i",MAX(N163,Q163),IF('Pre-Calculation'!$D$17="Type 4 k",MAX(N163,1.01*Q163),IF('Pre-Calculation'!$D$17="Type 4 m",MAX(105%*Q163,SA+N163),IF('Pre-Calculation'!$D$17="Type 4 o",MAX(SA,105%*Q163)+X163+Z163,IF('Pre-Calculation'!$D$17="Type 5",0))))))))))))</f>
        <v>1680000</v>
      </c>
      <c r="Q163" s="175">
        <f t="shared" si="5"/>
        <v>1600000</v>
      </c>
      <c r="R163" s="119">
        <f>L163*(1+GROWTH_RATE)*FMC</f>
        <v>1228.881082</v>
      </c>
      <c r="S163" s="178">
        <f>S162*(1+'Pre-Calculation'!$E$27)</f>
        <v>1019489.913</v>
      </c>
      <c r="T163" s="175">
        <f>-E163+IF(A162=INPUT!$C$11*12,N163,0)</f>
        <v>0</v>
      </c>
      <c r="U163" s="175">
        <f t="shared" si="6"/>
        <v>1179269.013</v>
      </c>
      <c r="V163" s="175">
        <f>U163*(1+GROWTH_RATE_L)*(1-'Pre-Calculation'!$E$31)</f>
        <v>1181159.339</v>
      </c>
      <c r="W163" s="175">
        <f>-E163+IF(A162=INPUT!$C$11*12,V163,0)</f>
        <v>0</v>
      </c>
      <c r="X163" s="179">
        <f t="array" ref="X163">NPV('Pre-Calculation'!$E$20,$E164:E$246)</f>
        <v>0</v>
      </c>
      <c r="Y163" s="171">
        <f>10%*SA</f>
        <v>100000</v>
      </c>
      <c r="Z163" s="179">
        <f t="array" ref="Z163">NPV('Pre-Calculation'!$E$20,Y164:Y173)</f>
        <v>969592.8037</v>
      </c>
    </row>
    <row r="164" ht="15.75" customHeight="1">
      <c r="A164" s="171">
        <f t="shared" si="1"/>
        <v>158</v>
      </c>
      <c r="B164" s="171">
        <f t="shared" si="2"/>
        <v>14</v>
      </c>
      <c r="C164" s="176">
        <f>EDATE(RCD,A163)</f>
        <v>47329</v>
      </c>
      <c r="D164" s="171">
        <f>Age_At_Entry+'Cashflows_4% from Start'!B164-1</f>
        <v>48</v>
      </c>
      <c r="E164" s="175">
        <f>IF(AND(C164&lt;=Last_Prem,MOD(A163,Mode)=0),Mod_Prem,0)</f>
        <v>0</v>
      </c>
      <c r="F164" s="177">
        <f>IF(B164&lt;PT+1,E164*VLOOKUP(B164,'Pre-Calculation'!$H$1:$I$31,2,FALSE),0)</f>
        <v>0</v>
      </c>
      <c r="G164" s="177">
        <f>IF(B164&lt;PT+1,VLOOKUP(B164,'Pre-Calculation'!$H$1:$L$32,3,FALSE)+VLOOKUP(B164,'Pre-Calculation'!$H$1:$L$32,4,FALSE)*'Pre-Calculation'!$D$7,0)</f>
        <v>0</v>
      </c>
      <c r="H164" s="175">
        <f>(E164-(F164+G164)*(1+Tax)+N163)</f>
        <v>1088055.663</v>
      </c>
      <c r="I164" s="175">
        <f>IF(B164&lt;PT+1,VLOOKUP(D164,'Pre-Calculation'!$N$3:$P$79,IF(INPUT!$C$4="M",2,3),FALSE)*(J164/1000)*(1/12),0)</f>
        <v>0</v>
      </c>
      <c r="J164" s="175">
        <f t="shared" si="3"/>
        <v>591944.3367</v>
      </c>
      <c r="K164" s="175">
        <f>IF('Pre-Calculation'!$D$17="Type 4 a",MAX(SA,H164,1.05*Q164),IF('Pre-Calculation'!$D$17="Type 4 c",H164,IF('Pre-Calculation'!$D$17="Type 4 d",SA+H164,IF('Pre-Calculation'!$D$17="Type 4 e",MAX(SA,H164),IF('Pre-Calculation'!$D$17="Type 4 f",SA,IF('Pre-Calculation'!$D$17="Type 4 g",1000+H164,IF('Pre-Calculation'!$D$17="Type 4 h",SA+X164,IF('Pre-Calculation'!$D$17="Type 4 i",MAX(H164,Q164),IF('Pre-Calculation'!$D$17="Type 4 k",MAX(H164,1.01*Q164),IF('Pre-Calculation'!$D$17="Type 4 m",MAX(105%*Q164,SA+H164),IF('Pre-Calculation'!$D$17="Type 4 o",MAX(SA,105%*Q164)+X164+Z164,IF('Pre-Calculation'!$D$17="Type 5",0))))))))))))</f>
        <v>1680000</v>
      </c>
      <c r="L164" s="175">
        <f>H164-I164*(1+Tax)</f>
        <v>1088055.663</v>
      </c>
      <c r="M164" s="175">
        <f>L164*(1+GROWTH_RATE_L)*(1-FMC*(1+Tax))</f>
        <v>1090169.34</v>
      </c>
      <c r="N164" s="175">
        <f>M164+IF(MOD(A164,B164)=0,VLOOKUP(B164,'Pre-Calculation'!$H$1:$L$31,5,FALSE),0)*IF('Pre-Calculation'!$D$16="% OF FV",M164,IF(OR('Pre-Calculation'!$D$16="% OF AFV(24M)",'Pre-Calculation'!$D$16="% OF AFV(8Q)"),AVERAGE( $M141:$M164),IF('Pre-Calculation'!$D$16="% OF AFV(12M)",AVERAGE($M153:M164),IF('Pre-Calculation'!$D$16="% OF AFV(36M)",AVERAGE($M129:M164)))))</f>
        <v>1090169.34</v>
      </c>
      <c r="O164" s="175">
        <f t="shared" si="4"/>
        <v>1090169.34</v>
      </c>
      <c r="P164" s="175">
        <f>IF('Pre-Calculation'!$D$17="Type 4 a",MAX(SA,N164,1.05*Q164),IF('Pre-Calculation'!$D$17="Type 4 c",N164,IF('Pre-Calculation'!$D$17="Type 4 d",SA+N164,IF('Pre-Calculation'!$D$17="Type 4 e",MAX(SA,N164),IF('Pre-Calculation'!$D$17="Type 4 f",SA,IF('Pre-Calculation'!$D$17="Type 4 g",1000+N164,IF('Pre-Calculation'!$D$17="Type 4 h",SA+X164,IF('Pre-Calculation'!$D$17="Type 4 i",MAX(N164,Q164),IF('Pre-Calculation'!$D$17="Type 4 k",MAX(N164,1.01*Q164),IF('Pre-Calculation'!$D$17="Type 4 m",MAX(105%*Q164,SA+N164),IF('Pre-Calculation'!$D$17="Type 4 o",MAX(SA,105%*Q164)+X164+Z164,IF('Pre-Calculation'!$D$17="Type 5",0))))))))))))</f>
        <v>1680000</v>
      </c>
      <c r="Q164" s="175">
        <f t="shared" si="5"/>
        <v>1600000</v>
      </c>
      <c r="R164" s="119">
        <f>L164*(1+GROWTH_RATE)*FMC</f>
        <v>1231.268329</v>
      </c>
      <c r="S164" s="178">
        <f>S163*(1+'Pre-Calculation'!$E$27)</f>
        <v>1022416.765</v>
      </c>
      <c r="T164" s="175">
        <f>-E164+IF(A163=INPUT!$C$11*12,N164,0)</f>
        <v>0</v>
      </c>
      <c r="U164" s="175">
        <f t="shared" si="6"/>
        <v>1181159.339</v>
      </c>
      <c r="V164" s="175">
        <f>U164*(1+GROWTH_RATE_L)*(1-'Pre-Calculation'!$E$31)</f>
        <v>1183052.695</v>
      </c>
      <c r="W164" s="175">
        <f>-E164+IF(A163=INPUT!$C$11*12,V164,0)</f>
        <v>0</v>
      </c>
      <c r="X164" s="179">
        <f t="array" ref="X164">NPV('Pre-Calculation'!$E$20,$E165:E$246)</f>
        <v>0</v>
      </c>
      <c r="Y164" s="171">
        <f>10%*SA</f>
        <v>100000</v>
      </c>
      <c r="Z164" s="179">
        <f t="array" ref="Z164">NPV('Pre-Calculation'!$E$20,Y165:Y174)</f>
        <v>969592.8037</v>
      </c>
    </row>
    <row r="165" ht="15.75" customHeight="1">
      <c r="A165" s="171">
        <f t="shared" si="1"/>
        <v>159</v>
      </c>
      <c r="B165" s="171">
        <f t="shared" si="2"/>
        <v>14</v>
      </c>
      <c r="C165" s="176">
        <f>EDATE(RCD,A164)</f>
        <v>47360</v>
      </c>
      <c r="D165" s="171">
        <f>Age_At_Entry+'Cashflows_4% from Start'!B165-1</f>
        <v>48</v>
      </c>
      <c r="E165" s="175">
        <f>IF(AND(C165&lt;=Last_Prem,MOD(A164,Mode)=0),Mod_Prem,0)</f>
        <v>0</v>
      </c>
      <c r="F165" s="177">
        <f>IF(B165&lt;PT+1,E165*VLOOKUP(B165,'Pre-Calculation'!$H$1:$I$31,2,FALSE),0)</f>
        <v>0</v>
      </c>
      <c r="G165" s="177">
        <f>IF(B165&lt;PT+1,VLOOKUP(B165,'Pre-Calculation'!$H$1:$L$32,3,FALSE)+VLOOKUP(B165,'Pre-Calculation'!$H$1:$L$32,4,FALSE)*'Pre-Calculation'!$D$7,0)</f>
        <v>0</v>
      </c>
      <c r="H165" s="175">
        <f>(E165-(F165+G165)*(1+Tax)+N164)</f>
        <v>1090169.34</v>
      </c>
      <c r="I165" s="175">
        <f>IF(B165&lt;PT+1,VLOOKUP(D165,'Pre-Calculation'!$N$3:$P$79,IF(INPUT!$C$4="M",2,3),FALSE)*(J165/1000)*(1/12),0)</f>
        <v>0</v>
      </c>
      <c r="J165" s="175">
        <f t="shared" si="3"/>
        <v>589830.66</v>
      </c>
      <c r="K165" s="175">
        <f>IF('Pre-Calculation'!$D$17="Type 4 a",MAX(SA,H165,1.05*Q165),IF('Pre-Calculation'!$D$17="Type 4 c",H165,IF('Pre-Calculation'!$D$17="Type 4 d",SA+H165,IF('Pre-Calculation'!$D$17="Type 4 e",MAX(SA,H165),IF('Pre-Calculation'!$D$17="Type 4 f",SA,IF('Pre-Calculation'!$D$17="Type 4 g",1000+H165,IF('Pre-Calculation'!$D$17="Type 4 h",SA+X165,IF('Pre-Calculation'!$D$17="Type 4 i",MAX(H165,Q165),IF('Pre-Calculation'!$D$17="Type 4 k",MAX(H165,1.01*Q165),IF('Pre-Calculation'!$D$17="Type 4 m",MAX(105%*Q165,SA+H165),IF('Pre-Calculation'!$D$17="Type 4 o",MAX(SA,105%*Q165)+X165+Z165,IF('Pre-Calculation'!$D$17="Type 5",0))))))))))))</f>
        <v>1680000</v>
      </c>
      <c r="L165" s="175">
        <f>H165-I165*(1+Tax)</f>
        <v>1090169.34</v>
      </c>
      <c r="M165" s="175">
        <f>L165*(1+GROWTH_RATE_L)*(1-FMC*(1+Tax))</f>
        <v>1092287.123</v>
      </c>
      <c r="N165" s="175">
        <f>M165+IF(MOD(A165,B165)=0,VLOOKUP(B165,'Pre-Calculation'!$H$1:$L$31,5,FALSE),0)*IF('Pre-Calculation'!$D$16="% OF FV",M165,IF(OR('Pre-Calculation'!$D$16="% OF AFV(24M)",'Pre-Calculation'!$D$16="% OF AFV(8Q)"),AVERAGE( $M142:$M165),IF('Pre-Calculation'!$D$16="% OF AFV(12M)",AVERAGE($M154:M165),IF('Pre-Calculation'!$D$16="% OF AFV(36M)",AVERAGE($M130:M165)))))</f>
        <v>1092287.123</v>
      </c>
      <c r="O165" s="175">
        <f t="shared" si="4"/>
        <v>1092287.123</v>
      </c>
      <c r="P165" s="175">
        <f>IF('Pre-Calculation'!$D$17="Type 4 a",MAX(SA,N165,1.05*Q165),IF('Pre-Calculation'!$D$17="Type 4 c",N165,IF('Pre-Calculation'!$D$17="Type 4 d",SA+N165,IF('Pre-Calculation'!$D$17="Type 4 e",MAX(SA,N165),IF('Pre-Calculation'!$D$17="Type 4 f",SA,IF('Pre-Calculation'!$D$17="Type 4 g",1000+N165,IF('Pre-Calculation'!$D$17="Type 4 h",SA+X165,IF('Pre-Calculation'!$D$17="Type 4 i",MAX(N165,Q165),IF('Pre-Calculation'!$D$17="Type 4 k",MAX(N165,1.01*Q165),IF('Pre-Calculation'!$D$17="Type 4 m",MAX(105%*Q165,SA+N165),IF('Pre-Calculation'!$D$17="Type 4 o",MAX(SA,105%*Q165)+X165+Z165,IF('Pre-Calculation'!$D$17="Type 5",0))))))))))))</f>
        <v>1680000</v>
      </c>
      <c r="Q165" s="175">
        <f t="shared" si="5"/>
        <v>1600000</v>
      </c>
      <c r="R165" s="119">
        <f>L165*(1+GROWTH_RATE)*FMC</f>
        <v>1233.660213</v>
      </c>
      <c r="S165" s="178">
        <f>S164*(1+'Pre-Calculation'!$E$27)</f>
        <v>1025352.02</v>
      </c>
      <c r="T165" s="175">
        <f>-E165+IF(A164=INPUT!$C$11*12,N165,0)</f>
        <v>0</v>
      </c>
      <c r="U165" s="175">
        <f t="shared" si="6"/>
        <v>1183052.695</v>
      </c>
      <c r="V165" s="175">
        <f>U165*(1+GROWTH_RATE_L)*(1-'Pre-Calculation'!$E$31)</f>
        <v>1184949.085</v>
      </c>
      <c r="W165" s="175">
        <f>-E165+IF(A164=INPUT!$C$11*12,V165,0)</f>
        <v>0</v>
      </c>
      <c r="X165" s="179">
        <f t="array" ref="X165">NPV('Pre-Calculation'!$E$20,$E166:E$246)</f>
        <v>0</v>
      </c>
      <c r="Y165" s="171">
        <f>10%*SA</f>
        <v>100000</v>
      </c>
      <c r="Z165" s="179">
        <f t="array" ref="Z165">NPV('Pre-Calculation'!$E$20,Y166:Y175)</f>
        <v>969592.8037</v>
      </c>
    </row>
    <row r="166" ht="15.75" customHeight="1">
      <c r="A166" s="171">
        <f t="shared" si="1"/>
        <v>160</v>
      </c>
      <c r="B166" s="171">
        <f t="shared" si="2"/>
        <v>14</v>
      </c>
      <c r="C166" s="176">
        <f>EDATE(RCD,A165)</f>
        <v>47391</v>
      </c>
      <c r="D166" s="171">
        <f>Age_At_Entry+'Cashflows_4% from Start'!B166-1</f>
        <v>48</v>
      </c>
      <c r="E166" s="175">
        <f>IF(AND(C166&lt;=Last_Prem,MOD(A165,Mode)=0),Mod_Prem,0)</f>
        <v>0</v>
      </c>
      <c r="F166" s="177">
        <f>IF(B166&lt;PT+1,E166*VLOOKUP(B166,'Pre-Calculation'!$H$1:$I$31,2,FALSE),0)</f>
        <v>0</v>
      </c>
      <c r="G166" s="177">
        <f>IF(B166&lt;PT+1,VLOOKUP(B166,'Pre-Calculation'!$H$1:$L$32,3,FALSE)+VLOOKUP(B166,'Pre-Calculation'!$H$1:$L$32,4,FALSE)*'Pre-Calculation'!$D$7,0)</f>
        <v>0</v>
      </c>
      <c r="H166" s="175">
        <f>(E166-(F166+G166)*(1+Tax)+N165)</f>
        <v>1092287.123</v>
      </c>
      <c r="I166" s="175">
        <f>IF(B166&lt;PT+1,VLOOKUP(D166,'Pre-Calculation'!$N$3:$P$79,IF(INPUT!$C$4="M",2,3),FALSE)*(J166/1000)*(1/12),0)</f>
        <v>0</v>
      </c>
      <c r="J166" s="175">
        <f t="shared" si="3"/>
        <v>587712.8772</v>
      </c>
      <c r="K166" s="175">
        <f>IF('Pre-Calculation'!$D$17="Type 4 a",MAX(SA,H166,1.05*Q166),IF('Pre-Calculation'!$D$17="Type 4 c",H166,IF('Pre-Calculation'!$D$17="Type 4 d",SA+H166,IF('Pre-Calculation'!$D$17="Type 4 e",MAX(SA,H166),IF('Pre-Calculation'!$D$17="Type 4 f",SA,IF('Pre-Calculation'!$D$17="Type 4 g",1000+H166,IF('Pre-Calculation'!$D$17="Type 4 h",SA+X166,IF('Pre-Calculation'!$D$17="Type 4 i",MAX(H166,Q166),IF('Pre-Calculation'!$D$17="Type 4 k",MAX(H166,1.01*Q166),IF('Pre-Calculation'!$D$17="Type 4 m",MAX(105%*Q166,SA+H166),IF('Pre-Calculation'!$D$17="Type 4 o",MAX(SA,105%*Q166)+X166+Z166,IF('Pre-Calculation'!$D$17="Type 5",0))))))))))))</f>
        <v>1680000</v>
      </c>
      <c r="L166" s="175">
        <f>H166-I166*(1+Tax)</f>
        <v>1092287.123</v>
      </c>
      <c r="M166" s="175">
        <f>L166*(1+GROWTH_RATE_L)*(1-FMC*(1+Tax))</f>
        <v>1094409.02</v>
      </c>
      <c r="N166" s="175">
        <f>M166+IF(MOD(A166,B166)=0,VLOOKUP(B166,'Pre-Calculation'!$H$1:$L$31,5,FALSE),0)*IF('Pre-Calculation'!$D$16="% OF FV",M166,IF(OR('Pre-Calculation'!$D$16="% OF AFV(24M)",'Pre-Calculation'!$D$16="% OF AFV(8Q)"),AVERAGE( $M143:$M166),IF('Pre-Calculation'!$D$16="% OF AFV(12M)",AVERAGE($M155:M166),IF('Pre-Calculation'!$D$16="% OF AFV(36M)",AVERAGE($M131:M166)))))</f>
        <v>1094409.02</v>
      </c>
      <c r="O166" s="175">
        <f t="shared" si="4"/>
        <v>1094409.02</v>
      </c>
      <c r="P166" s="175">
        <f>IF('Pre-Calculation'!$D$17="Type 4 a",MAX(SA,N166,1.05*Q166),IF('Pre-Calculation'!$D$17="Type 4 c",N166,IF('Pre-Calculation'!$D$17="Type 4 d",SA+N166,IF('Pre-Calculation'!$D$17="Type 4 e",MAX(SA,N166),IF('Pre-Calculation'!$D$17="Type 4 f",SA,IF('Pre-Calculation'!$D$17="Type 4 g",1000+N166,IF('Pre-Calculation'!$D$17="Type 4 h",SA+X166,IF('Pre-Calculation'!$D$17="Type 4 i",MAX(N166,Q166),IF('Pre-Calculation'!$D$17="Type 4 k",MAX(N166,1.01*Q166),IF('Pre-Calculation'!$D$17="Type 4 m",MAX(105%*Q166,SA+N166),IF('Pre-Calculation'!$D$17="Type 4 o",MAX(SA,105%*Q166)+X166+Z166,IF('Pre-Calculation'!$D$17="Type 5",0))))))))))))</f>
        <v>1680000</v>
      </c>
      <c r="Q166" s="175">
        <f t="shared" si="5"/>
        <v>1600000</v>
      </c>
      <c r="R166" s="119">
        <f>L166*(1+GROWTH_RATE)*FMC</f>
        <v>1236.056744</v>
      </c>
      <c r="S166" s="178">
        <f>S165*(1+'Pre-Calculation'!$E$27)</f>
        <v>1028295.702</v>
      </c>
      <c r="T166" s="175">
        <f>-E166+IF(A165=INPUT!$C$11*12,N166,0)</f>
        <v>0</v>
      </c>
      <c r="U166" s="175">
        <f t="shared" si="6"/>
        <v>1184949.085</v>
      </c>
      <c r="V166" s="175">
        <f>U166*(1+GROWTH_RATE_L)*(1-'Pre-Calculation'!$E$31)</f>
        <v>1186848.516</v>
      </c>
      <c r="W166" s="175">
        <f>-E166+IF(A165=INPUT!$C$11*12,V166,0)</f>
        <v>0</v>
      </c>
      <c r="X166" s="179">
        <f t="array" ref="X166">NPV('Pre-Calculation'!$E$20,$E167:E$246)</f>
        <v>0</v>
      </c>
      <c r="Y166" s="171">
        <f>10%*SA</f>
        <v>100000</v>
      </c>
      <c r="Z166" s="179">
        <f t="array" ref="Z166">NPV('Pre-Calculation'!$E$20,Y167:Y176)</f>
        <v>969592.8037</v>
      </c>
    </row>
    <row r="167" ht="15.75" customHeight="1">
      <c r="A167" s="171">
        <f t="shared" si="1"/>
        <v>161</v>
      </c>
      <c r="B167" s="171">
        <f t="shared" si="2"/>
        <v>14</v>
      </c>
      <c r="C167" s="176">
        <f>EDATE(RCD,A166)</f>
        <v>47421</v>
      </c>
      <c r="D167" s="171">
        <f>Age_At_Entry+'Cashflows_4% from Start'!B167-1</f>
        <v>48</v>
      </c>
      <c r="E167" s="175">
        <f>IF(AND(C167&lt;=Last_Prem,MOD(A166,Mode)=0),Mod_Prem,0)</f>
        <v>0</v>
      </c>
      <c r="F167" s="177">
        <f>IF(B167&lt;PT+1,E167*VLOOKUP(B167,'Pre-Calculation'!$H$1:$I$31,2,FALSE),0)</f>
        <v>0</v>
      </c>
      <c r="G167" s="177">
        <f>IF(B167&lt;PT+1,VLOOKUP(B167,'Pre-Calculation'!$H$1:$L$32,3,FALSE)+VLOOKUP(B167,'Pre-Calculation'!$H$1:$L$32,4,FALSE)*'Pre-Calculation'!$D$7,0)</f>
        <v>0</v>
      </c>
      <c r="H167" s="175">
        <f>(E167-(F167+G167)*(1+Tax)+N166)</f>
        <v>1094409.02</v>
      </c>
      <c r="I167" s="175">
        <f>IF(B167&lt;PT+1,VLOOKUP(D167,'Pre-Calculation'!$N$3:$P$79,IF(INPUT!$C$4="M",2,3),FALSE)*(J167/1000)*(1/12),0)</f>
        <v>0</v>
      </c>
      <c r="J167" s="175">
        <f t="shared" si="3"/>
        <v>585590.9804</v>
      </c>
      <c r="K167" s="175">
        <f>IF('Pre-Calculation'!$D$17="Type 4 a",MAX(SA,H167,1.05*Q167),IF('Pre-Calculation'!$D$17="Type 4 c",H167,IF('Pre-Calculation'!$D$17="Type 4 d",SA+H167,IF('Pre-Calculation'!$D$17="Type 4 e",MAX(SA,H167),IF('Pre-Calculation'!$D$17="Type 4 f",SA,IF('Pre-Calculation'!$D$17="Type 4 g",1000+H167,IF('Pre-Calculation'!$D$17="Type 4 h",SA+X167,IF('Pre-Calculation'!$D$17="Type 4 i",MAX(H167,Q167),IF('Pre-Calculation'!$D$17="Type 4 k",MAX(H167,1.01*Q167),IF('Pre-Calculation'!$D$17="Type 4 m",MAX(105%*Q167,SA+H167),IF('Pre-Calculation'!$D$17="Type 4 o",MAX(SA,105%*Q167)+X167+Z167,IF('Pre-Calculation'!$D$17="Type 5",0))))))))))))</f>
        <v>1680000</v>
      </c>
      <c r="L167" s="175">
        <f>H167-I167*(1+Tax)</f>
        <v>1094409.02</v>
      </c>
      <c r="M167" s="175">
        <f>L167*(1+GROWTH_RATE_L)*(1-FMC*(1+Tax))</f>
        <v>1096535.038</v>
      </c>
      <c r="N167" s="175">
        <f>M167+IF(MOD(A167,B167)=0,VLOOKUP(B167,'Pre-Calculation'!$H$1:$L$31,5,FALSE),0)*IF('Pre-Calculation'!$D$16="% OF FV",M167,IF(OR('Pre-Calculation'!$D$16="% OF AFV(24M)",'Pre-Calculation'!$D$16="% OF AFV(8Q)"),AVERAGE( $M144:$M167),IF('Pre-Calculation'!$D$16="% OF AFV(12M)",AVERAGE($M156:M167),IF('Pre-Calculation'!$D$16="% OF AFV(36M)",AVERAGE($M132:M167)))))</f>
        <v>1096535.038</v>
      </c>
      <c r="O167" s="175">
        <f t="shared" si="4"/>
        <v>1096535.038</v>
      </c>
      <c r="P167" s="175">
        <f>IF('Pre-Calculation'!$D$17="Type 4 a",MAX(SA,N167,1.05*Q167),IF('Pre-Calculation'!$D$17="Type 4 c",N167,IF('Pre-Calculation'!$D$17="Type 4 d",SA+N167,IF('Pre-Calculation'!$D$17="Type 4 e",MAX(SA,N167),IF('Pre-Calculation'!$D$17="Type 4 f",SA,IF('Pre-Calculation'!$D$17="Type 4 g",1000+N167,IF('Pre-Calculation'!$D$17="Type 4 h",SA+X167,IF('Pre-Calculation'!$D$17="Type 4 i",MAX(N167,Q167),IF('Pre-Calculation'!$D$17="Type 4 k",MAX(N167,1.01*Q167),IF('Pre-Calculation'!$D$17="Type 4 m",MAX(105%*Q167,SA+N167),IF('Pre-Calculation'!$D$17="Type 4 o",MAX(SA,105%*Q167)+X167+Z167,IF('Pre-Calculation'!$D$17="Type 5",0))))))))))))</f>
        <v>1680000</v>
      </c>
      <c r="Q167" s="175">
        <f t="shared" si="5"/>
        <v>1600000</v>
      </c>
      <c r="R167" s="119">
        <f>L167*(1+GROWTH_RATE)*FMC</f>
        <v>1238.45793</v>
      </c>
      <c r="S167" s="178">
        <f>S166*(1+'Pre-Calculation'!$E$27)</f>
        <v>1031247.835</v>
      </c>
      <c r="T167" s="175">
        <f>-E167+IF(A166=INPUT!$C$11*12,N167,0)</f>
        <v>0</v>
      </c>
      <c r="U167" s="175">
        <f t="shared" si="6"/>
        <v>1186848.516</v>
      </c>
      <c r="V167" s="175">
        <f>U167*(1+GROWTH_RATE_L)*(1-'Pre-Calculation'!$E$31)</f>
        <v>1188750.991</v>
      </c>
      <c r="W167" s="175">
        <f>-E167+IF(A166=INPUT!$C$11*12,V167,0)</f>
        <v>0</v>
      </c>
      <c r="X167" s="179">
        <f t="array" ref="X167">NPV('Pre-Calculation'!$E$20,$E168:E$246)</f>
        <v>0</v>
      </c>
      <c r="Y167" s="171">
        <f>10%*SA</f>
        <v>100000</v>
      </c>
      <c r="Z167" s="179">
        <f t="array" ref="Z167">NPV('Pre-Calculation'!$E$20,Y168:Y177)</f>
        <v>969592.8037</v>
      </c>
    </row>
    <row r="168" ht="15.75" customHeight="1">
      <c r="A168" s="171">
        <f t="shared" si="1"/>
        <v>162</v>
      </c>
      <c r="B168" s="171">
        <f t="shared" si="2"/>
        <v>14</v>
      </c>
      <c r="C168" s="176">
        <f>EDATE(RCD,A167)</f>
        <v>47452</v>
      </c>
      <c r="D168" s="171">
        <f>Age_At_Entry+'Cashflows_4% from Start'!B168-1</f>
        <v>48</v>
      </c>
      <c r="E168" s="175">
        <f>IF(AND(C168&lt;=Last_Prem,MOD(A167,Mode)=0),Mod_Prem,0)</f>
        <v>0</v>
      </c>
      <c r="F168" s="177">
        <f>IF(B168&lt;PT+1,E168*VLOOKUP(B168,'Pre-Calculation'!$H$1:$I$31,2,FALSE),0)</f>
        <v>0</v>
      </c>
      <c r="G168" s="177">
        <f>IF(B168&lt;PT+1,VLOOKUP(B168,'Pre-Calculation'!$H$1:$L$32,3,FALSE)+VLOOKUP(B168,'Pre-Calculation'!$H$1:$L$32,4,FALSE)*'Pre-Calculation'!$D$7,0)</f>
        <v>0</v>
      </c>
      <c r="H168" s="175">
        <f>(E168-(F168+G168)*(1+Tax)+N167)</f>
        <v>1096535.038</v>
      </c>
      <c r="I168" s="175">
        <f>IF(B168&lt;PT+1,VLOOKUP(D168,'Pre-Calculation'!$N$3:$P$79,IF(INPUT!$C$4="M",2,3),FALSE)*(J168/1000)*(1/12),0)</f>
        <v>0</v>
      </c>
      <c r="J168" s="175">
        <f t="shared" si="3"/>
        <v>583464.9616</v>
      </c>
      <c r="K168" s="175">
        <f>IF('Pre-Calculation'!$D$17="Type 4 a",MAX(SA,H168,1.05*Q168),IF('Pre-Calculation'!$D$17="Type 4 c",H168,IF('Pre-Calculation'!$D$17="Type 4 d",SA+H168,IF('Pre-Calculation'!$D$17="Type 4 e",MAX(SA,H168),IF('Pre-Calculation'!$D$17="Type 4 f",SA,IF('Pre-Calculation'!$D$17="Type 4 g",1000+H168,IF('Pre-Calculation'!$D$17="Type 4 h",SA+X168,IF('Pre-Calculation'!$D$17="Type 4 i",MAX(H168,Q168),IF('Pre-Calculation'!$D$17="Type 4 k",MAX(H168,1.01*Q168),IF('Pre-Calculation'!$D$17="Type 4 m",MAX(105%*Q168,SA+H168),IF('Pre-Calculation'!$D$17="Type 4 o",MAX(SA,105%*Q168)+X168+Z168,IF('Pre-Calculation'!$D$17="Type 5",0))))))))))))</f>
        <v>1680000</v>
      </c>
      <c r="L168" s="175">
        <f>H168-I168*(1+Tax)</f>
        <v>1096535.038</v>
      </c>
      <c r="M168" s="175">
        <f>L168*(1+GROWTH_RATE_L)*(1-FMC*(1+Tax))</f>
        <v>1098665.187</v>
      </c>
      <c r="N168" s="175">
        <f>M168+IF(MOD(A168,B168)=0,VLOOKUP(B168,'Pre-Calculation'!$H$1:$L$31,5,FALSE),0)*IF('Pre-Calculation'!$D$16="% OF FV",M168,IF(OR('Pre-Calculation'!$D$16="% OF AFV(24M)",'Pre-Calculation'!$D$16="% OF AFV(8Q)"),AVERAGE( $M145:$M168),IF('Pre-Calculation'!$D$16="% OF AFV(12M)",AVERAGE($M157:M168),IF('Pre-Calculation'!$D$16="% OF AFV(36M)",AVERAGE($M133:M168)))))</f>
        <v>1098665.187</v>
      </c>
      <c r="O168" s="175">
        <f t="shared" si="4"/>
        <v>1098665.187</v>
      </c>
      <c r="P168" s="175">
        <f>IF('Pre-Calculation'!$D$17="Type 4 a",MAX(SA,N168,1.05*Q168),IF('Pre-Calculation'!$D$17="Type 4 c",N168,IF('Pre-Calculation'!$D$17="Type 4 d",SA+N168,IF('Pre-Calculation'!$D$17="Type 4 e",MAX(SA,N168),IF('Pre-Calculation'!$D$17="Type 4 f",SA,IF('Pre-Calculation'!$D$17="Type 4 g",1000+N168,IF('Pre-Calculation'!$D$17="Type 4 h",SA+X168,IF('Pre-Calculation'!$D$17="Type 4 i",MAX(N168,Q168),IF('Pre-Calculation'!$D$17="Type 4 k",MAX(N168,1.01*Q168),IF('Pre-Calculation'!$D$17="Type 4 m",MAX(105%*Q168,SA+N168),IF('Pre-Calculation'!$D$17="Type 4 o",MAX(SA,105%*Q168)+X168+Z168,IF('Pre-Calculation'!$D$17="Type 5",0))))))))))))</f>
        <v>1680000</v>
      </c>
      <c r="Q168" s="175">
        <f t="shared" si="5"/>
        <v>1600000</v>
      </c>
      <c r="R168" s="119">
        <f>L168*(1+GROWTH_RATE)*FMC</f>
        <v>1240.863781</v>
      </c>
      <c r="S168" s="178">
        <f>S167*(1+'Pre-Calculation'!$E$27)</f>
        <v>1034208.443</v>
      </c>
      <c r="T168" s="175">
        <f>-E168+IF(A167=INPUT!$C$11*12,N168,0)</f>
        <v>0</v>
      </c>
      <c r="U168" s="175">
        <f t="shared" si="6"/>
        <v>1188750.991</v>
      </c>
      <c r="V168" s="175">
        <f>U168*(1+GROWTH_RATE_L)*(1-'Pre-Calculation'!$E$31)</f>
        <v>1190656.516</v>
      </c>
      <c r="W168" s="175">
        <f>-E168+IF(A167=INPUT!$C$11*12,V168,0)</f>
        <v>0</v>
      </c>
      <c r="X168" s="179">
        <f t="array" ref="X168">NPV('Pre-Calculation'!$E$20,$E169:E$246)</f>
        <v>0</v>
      </c>
      <c r="Y168" s="171">
        <f>10%*SA</f>
        <v>100000</v>
      </c>
      <c r="Z168" s="179">
        <f t="array" ref="Z168">NPV('Pre-Calculation'!$E$20,Y169:Y178)</f>
        <v>969592.8037</v>
      </c>
    </row>
    <row r="169" ht="15.75" customHeight="1">
      <c r="A169" s="171">
        <f t="shared" si="1"/>
        <v>163</v>
      </c>
      <c r="B169" s="171">
        <f t="shared" si="2"/>
        <v>14</v>
      </c>
      <c r="C169" s="176">
        <f>EDATE(RCD,A168)</f>
        <v>47482</v>
      </c>
      <c r="D169" s="171">
        <f>Age_At_Entry+'Cashflows_4% from Start'!B169-1</f>
        <v>48</v>
      </c>
      <c r="E169" s="175">
        <f>IF(AND(C169&lt;=Last_Prem,MOD(A168,Mode)=0),Mod_Prem,0)</f>
        <v>0</v>
      </c>
      <c r="F169" s="177">
        <f>IF(B169&lt;PT+1,E169*VLOOKUP(B169,'Pre-Calculation'!$H$1:$I$31,2,FALSE),0)</f>
        <v>0</v>
      </c>
      <c r="G169" s="177">
        <f>IF(B169&lt;PT+1,VLOOKUP(B169,'Pre-Calculation'!$H$1:$L$32,3,FALSE)+VLOOKUP(B169,'Pre-Calculation'!$H$1:$L$32,4,FALSE)*'Pre-Calculation'!$D$7,0)</f>
        <v>0</v>
      </c>
      <c r="H169" s="175">
        <f>(E169-(F169+G169)*(1+Tax)+N168)</f>
        <v>1098665.187</v>
      </c>
      <c r="I169" s="175">
        <f>IF(B169&lt;PT+1,VLOOKUP(D169,'Pre-Calculation'!$N$3:$P$79,IF(INPUT!$C$4="M",2,3),FALSE)*(J169/1000)*(1/12),0)</f>
        <v>0</v>
      </c>
      <c r="J169" s="175">
        <f t="shared" si="3"/>
        <v>581334.8127</v>
      </c>
      <c r="K169" s="175">
        <f>IF('Pre-Calculation'!$D$17="Type 4 a",MAX(SA,H169,1.05*Q169),IF('Pre-Calculation'!$D$17="Type 4 c",H169,IF('Pre-Calculation'!$D$17="Type 4 d",SA+H169,IF('Pre-Calculation'!$D$17="Type 4 e",MAX(SA,H169),IF('Pre-Calculation'!$D$17="Type 4 f",SA,IF('Pre-Calculation'!$D$17="Type 4 g",1000+H169,IF('Pre-Calculation'!$D$17="Type 4 h",SA+X169,IF('Pre-Calculation'!$D$17="Type 4 i",MAX(H169,Q169),IF('Pre-Calculation'!$D$17="Type 4 k",MAX(H169,1.01*Q169),IF('Pre-Calculation'!$D$17="Type 4 m",MAX(105%*Q169,SA+H169),IF('Pre-Calculation'!$D$17="Type 4 o",MAX(SA,105%*Q169)+X169+Z169,IF('Pre-Calculation'!$D$17="Type 5",0))))))))))))</f>
        <v>1680000</v>
      </c>
      <c r="L169" s="175">
        <f>H169-I169*(1+Tax)</f>
        <v>1098665.187</v>
      </c>
      <c r="M169" s="175">
        <f>L169*(1+GROWTH_RATE_L)*(1-FMC*(1+Tax))</f>
        <v>1100799.474</v>
      </c>
      <c r="N169" s="175">
        <f>M169+IF(MOD(A169,B169)=0,VLOOKUP(B169,'Pre-Calculation'!$H$1:$L$31,5,FALSE),0)*IF('Pre-Calculation'!$D$16="% OF FV",M169,IF(OR('Pre-Calculation'!$D$16="% OF AFV(24M)",'Pre-Calculation'!$D$16="% OF AFV(8Q)"),AVERAGE( $M146:$M169),IF('Pre-Calculation'!$D$16="% OF AFV(12M)",AVERAGE($M158:M169),IF('Pre-Calculation'!$D$16="% OF AFV(36M)",AVERAGE($M134:M169)))))</f>
        <v>1100799.474</v>
      </c>
      <c r="O169" s="175">
        <f t="shared" si="4"/>
        <v>1100799.474</v>
      </c>
      <c r="P169" s="175">
        <f>IF('Pre-Calculation'!$D$17="Type 4 a",MAX(SA,N169,1.05*Q169),IF('Pre-Calculation'!$D$17="Type 4 c",N169,IF('Pre-Calculation'!$D$17="Type 4 d",SA+N169,IF('Pre-Calculation'!$D$17="Type 4 e",MAX(SA,N169),IF('Pre-Calculation'!$D$17="Type 4 f",SA,IF('Pre-Calculation'!$D$17="Type 4 g",1000+N169,IF('Pre-Calculation'!$D$17="Type 4 h",SA+X169,IF('Pre-Calculation'!$D$17="Type 4 i",MAX(N169,Q169),IF('Pre-Calculation'!$D$17="Type 4 k",MAX(N169,1.01*Q169),IF('Pre-Calculation'!$D$17="Type 4 m",MAX(105%*Q169,SA+N169),IF('Pre-Calculation'!$D$17="Type 4 o",MAX(SA,105%*Q169)+X169+Z169,IF('Pre-Calculation'!$D$17="Type 5",0))))))))))))</f>
        <v>1680000</v>
      </c>
      <c r="Q169" s="175">
        <f t="shared" si="5"/>
        <v>1600000</v>
      </c>
      <c r="R169" s="119">
        <f>L169*(1+GROWTH_RATE)*FMC</f>
        <v>1243.274306</v>
      </c>
      <c r="S169" s="178">
        <f>S168*(1+'Pre-Calculation'!$E$27)</f>
        <v>1037177.551</v>
      </c>
      <c r="T169" s="175">
        <f>-E169+IF(A168=INPUT!$C$11*12,N169,0)</f>
        <v>0</v>
      </c>
      <c r="U169" s="175">
        <f t="shared" si="6"/>
        <v>1190656.516</v>
      </c>
      <c r="V169" s="175">
        <f>U169*(1+GROWTH_RATE_L)*(1-'Pre-Calculation'!$E$31)</f>
        <v>1192565.095</v>
      </c>
      <c r="W169" s="175">
        <f>-E169+IF(A168=INPUT!$C$11*12,V169,0)</f>
        <v>0</v>
      </c>
      <c r="X169" s="179">
        <f t="array" ref="X169">NPV('Pre-Calculation'!$E$20,$E170:E$246)</f>
        <v>0</v>
      </c>
      <c r="Y169" s="171">
        <f>10%*SA</f>
        <v>100000</v>
      </c>
      <c r="Z169" s="179">
        <f t="array" ref="Z169">NPV('Pre-Calculation'!$E$20,Y170:Y179)</f>
        <v>969592.8037</v>
      </c>
    </row>
    <row r="170" ht="15.75" customHeight="1">
      <c r="A170" s="171">
        <f t="shared" si="1"/>
        <v>164</v>
      </c>
      <c r="B170" s="171">
        <f t="shared" si="2"/>
        <v>14</v>
      </c>
      <c r="C170" s="176">
        <f>EDATE(RCD,A169)</f>
        <v>47513</v>
      </c>
      <c r="D170" s="171">
        <f>Age_At_Entry+'Cashflows_4% from Start'!B170-1</f>
        <v>48</v>
      </c>
      <c r="E170" s="175">
        <f>IF(AND(C170&lt;=Last_Prem,MOD(A169,Mode)=0),Mod_Prem,0)</f>
        <v>0</v>
      </c>
      <c r="F170" s="177">
        <f>IF(B170&lt;PT+1,E170*VLOOKUP(B170,'Pre-Calculation'!$H$1:$I$31,2,FALSE),0)</f>
        <v>0</v>
      </c>
      <c r="G170" s="177">
        <f>IF(B170&lt;PT+1,VLOOKUP(B170,'Pre-Calculation'!$H$1:$L$32,3,FALSE)+VLOOKUP(B170,'Pre-Calculation'!$H$1:$L$32,4,FALSE)*'Pre-Calculation'!$D$7,0)</f>
        <v>0</v>
      </c>
      <c r="H170" s="175">
        <f>(E170-(F170+G170)*(1+Tax)+N169)</f>
        <v>1100799.474</v>
      </c>
      <c r="I170" s="175">
        <f>IF(B170&lt;PT+1,VLOOKUP(D170,'Pre-Calculation'!$N$3:$P$79,IF(INPUT!$C$4="M",2,3),FALSE)*(J170/1000)*(1/12),0)</f>
        <v>0</v>
      </c>
      <c r="J170" s="175">
        <f t="shared" si="3"/>
        <v>579200.5257</v>
      </c>
      <c r="K170" s="175">
        <f>IF('Pre-Calculation'!$D$17="Type 4 a",MAX(SA,H170,1.05*Q170),IF('Pre-Calculation'!$D$17="Type 4 c",H170,IF('Pre-Calculation'!$D$17="Type 4 d",SA+H170,IF('Pre-Calculation'!$D$17="Type 4 e",MAX(SA,H170),IF('Pre-Calculation'!$D$17="Type 4 f",SA,IF('Pre-Calculation'!$D$17="Type 4 g",1000+H170,IF('Pre-Calculation'!$D$17="Type 4 h",SA+X170,IF('Pre-Calculation'!$D$17="Type 4 i",MAX(H170,Q170),IF('Pre-Calculation'!$D$17="Type 4 k",MAX(H170,1.01*Q170),IF('Pre-Calculation'!$D$17="Type 4 m",MAX(105%*Q170,SA+H170),IF('Pre-Calculation'!$D$17="Type 4 o",MAX(SA,105%*Q170)+X170+Z170,IF('Pre-Calculation'!$D$17="Type 5",0))))))))))))</f>
        <v>1680000</v>
      </c>
      <c r="L170" s="175">
        <f>H170-I170*(1+Tax)</f>
        <v>1100799.474</v>
      </c>
      <c r="M170" s="175">
        <f>L170*(1+GROWTH_RATE_L)*(1-FMC*(1+Tax))</f>
        <v>1102937.907</v>
      </c>
      <c r="N170" s="175">
        <f>M170+IF(MOD(A170,B170)=0,VLOOKUP(B170,'Pre-Calculation'!$H$1:$L$31,5,FALSE),0)*IF('Pre-Calculation'!$D$16="% OF FV",M170,IF(OR('Pre-Calculation'!$D$16="% OF AFV(24M)",'Pre-Calculation'!$D$16="% OF AFV(8Q)"),AVERAGE( $M147:$M170),IF('Pre-Calculation'!$D$16="% OF AFV(12M)",AVERAGE($M159:M170),IF('Pre-Calculation'!$D$16="% OF AFV(36M)",AVERAGE($M135:M170)))))</f>
        <v>1102937.907</v>
      </c>
      <c r="O170" s="175">
        <f t="shared" si="4"/>
        <v>1102937.907</v>
      </c>
      <c r="P170" s="175">
        <f>IF('Pre-Calculation'!$D$17="Type 4 a",MAX(SA,N170,1.05*Q170),IF('Pre-Calculation'!$D$17="Type 4 c",N170,IF('Pre-Calculation'!$D$17="Type 4 d",SA+N170,IF('Pre-Calculation'!$D$17="Type 4 e",MAX(SA,N170),IF('Pre-Calculation'!$D$17="Type 4 f",SA,IF('Pre-Calculation'!$D$17="Type 4 g",1000+N170,IF('Pre-Calculation'!$D$17="Type 4 h",SA+X170,IF('Pre-Calculation'!$D$17="Type 4 i",MAX(N170,Q170),IF('Pre-Calculation'!$D$17="Type 4 k",MAX(N170,1.01*Q170),IF('Pre-Calculation'!$D$17="Type 4 m",MAX(105%*Q170,SA+N170),IF('Pre-Calculation'!$D$17="Type 4 o",MAX(SA,105%*Q170)+X170+Z170,IF('Pre-Calculation'!$D$17="Type 5",0))))))))))))</f>
        <v>1680000</v>
      </c>
      <c r="Q170" s="175">
        <f t="shared" si="5"/>
        <v>1600000</v>
      </c>
      <c r="R170" s="119">
        <f>L170*(1+GROWTH_RATE)*FMC</f>
        <v>1245.689513</v>
      </c>
      <c r="S170" s="178">
        <f>S169*(1+'Pre-Calculation'!$E$27)</f>
        <v>1040155.182</v>
      </c>
      <c r="T170" s="175">
        <f>-E170+IF(A169=INPUT!$C$11*12,N170,0)</f>
        <v>0</v>
      </c>
      <c r="U170" s="175">
        <f t="shared" si="6"/>
        <v>1192565.095</v>
      </c>
      <c r="V170" s="175">
        <f>U170*(1+GROWTH_RATE_L)*(1-'Pre-Calculation'!$E$31)</f>
        <v>1194476.734</v>
      </c>
      <c r="W170" s="175">
        <f>-E170+IF(A169=INPUT!$C$11*12,V170,0)</f>
        <v>0</v>
      </c>
      <c r="X170" s="179">
        <f t="array" ref="X170">NPV('Pre-Calculation'!$E$20,$E171:E$246)</f>
        <v>0</v>
      </c>
      <c r="Y170" s="171">
        <f>10%*SA</f>
        <v>100000</v>
      </c>
      <c r="Z170" s="179">
        <f t="array" ref="Z170">NPV('Pre-Calculation'!$E$20,Y171:Y180)</f>
        <v>969592.8037</v>
      </c>
    </row>
    <row r="171" ht="15.75" customHeight="1">
      <c r="A171" s="171">
        <f t="shared" si="1"/>
        <v>165</v>
      </c>
      <c r="B171" s="171">
        <f t="shared" si="2"/>
        <v>14</v>
      </c>
      <c r="C171" s="176">
        <f>EDATE(RCD,A170)</f>
        <v>47542</v>
      </c>
      <c r="D171" s="171">
        <f>Age_At_Entry+'Cashflows_4% from Start'!B171-1</f>
        <v>48</v>
      </c>
      <c r="E171" s="175">
        <f>IF(AND(C171&lt;=Last_Prem,MOD(A170,Mode)=0),Mod_Prem,0)</f>
        <v>0</v>
      </c>
      <c r="F171" s="177">
        <f>IF(B171&lt;PT+1,E171*VLOOKUP(B171,'Pre-Calculation'!$H$1:$I$31,2,FALSE),0)</f>
        <v>0</v>
      </c>
      <c r="G171" s="177">
        <f>IF(B171&lt;PT+1,VLOOKUP(B171,'Pre-Calculation'!$H$1:$L$32,3,FALSE)+VLOOKUP(B171,'Pre-Calculation'!$H$1:$L$32,4,FALSE)*'Pre-Calculation'!$D$7,0)</f>
        <v>0</v>
      </c>
      <c r="H171" s="175">
        <f>(E171-(F171+G171)*(1+Tax)+N170)</f>
        <v>1102937.907</v>
      </c>
      <c r="I171" s="175">
        <f>IF(B171&lt;PT+1,VLOOKUP(D171,'Pre-Calculation'!$N$3:$P$79,IF(INPUT!$C$4="M",2,3),FALSE)*(J171/1000)*(1/12),0)</f>
        <v>0</v>
      </c>
      <c r="J171" s="175">
        <f t="shared" si="3"/>
        <v>577062.0927</v>
      </c>
      <c r="K171" s="175">
        <f>IF('Pre-Calculation'!$D$17="Type 4 a",MAX(SA,H171,1.05*Q171),IF('Pre-Calculation'!$D$17="Type 4 c",H171,IF('Pre-Calculation'!$D$17="Type 4 d",SA+H171,IF('Pre-Calculation'!$D$17="Type 4 e",MAX(SA,H171),IF('Pre-Calculation'!$D$17="Type 4 f",SA,IF('Pre-Calculation'!$D$17="Type 4 g",1000+H171,IF('Pre-Calculation'!$D$17="Type 4 h",SA+X171,IF('Pre-Calculation'!$D$17="Type 4 i",MAX(H171,Q171),IF('Pre-Calculation'!$D$17="Type 4 k",MAX(H171,1.01*Q171),IF('Pre-Calculation'!$D$17="Type 4 m",MAX(105%*Q171,SA+H171),IF('Pre-Calculation'!$D$17="Type 4 o",MAX(SA,105%*Q171)+X171+Z171,IF('Pre-Calculation'!$D$17="Type 5",0))))))))))))</f>
        <v>1680000</v>
      </c>
      <c r="L171" s="175">
        <f>H171-I171*(1+Tax)</f>
        <v>1102937.907</v>
      </c>
      <c r="M171" s="175">
        <f>L171*(1+GROWTH_RATE_L)*(1-FMC*(1+Tax))</f>
        <v>1105080.495</v>
      </c>
      <c r="N171" s="175">
        <f>M171+IF(MOD(A171,B171)=0,VLOOKUP(B171,'Pre-Calculation'!$H$1:$L$31,5,FALSE),0)*IF('Pre-Calculation'!$D$16="% OF FV",M171,IF(OR('Pre-Calculation'!$D$16="% OF AFV(24M)",'Pre-Calculation'!$D$16="% OF AFV(8Q)"),AVERAGE( $M148:$M171),IF('Pre-Calculation'!$D$16="% OF AFV(12M)",AVERAGE($M160:M171),IF('Pre-Calculation'!$D$16="% OF AFV(36M)",AVERAGE($M136:M171)))))</f>
        <v>1105080.495</v>
      </c>
      <c r="O171" s="175">
        <f t="shared" si="4"/>
        <v>1105080.495</v>
      </c>
      <c r="P171" s="175">
        <f>IF('Pre-Calculation'!$D$17="Type 4 a",MAX(SA,N171,1.05*Q171),IF('Pre-Calculation'!$D$17="Type 4 c",N171,IF('Pre-Calculation'!$D$17="Type 4 d",SA+N171,IF('Pre-Calculation'!$D$17="Type 4 e",MAX(SA,N171),IF('Pre-Calculation'!$D$17="Type 4 f",SA,IF('Pre-Calculation'!$D$17="Type 4 g",1000+N171,IF('Pre-Calculation'!$D$17="Type 4 h",SA+X171,IF('Pre-Calculation'!$D$17="Type 4 i",MAX(N171,Q171),IF('Pre-Calculation'!$D$17="Type 4 k",MAX(N171,1.01*Q171),IF('Pre-Calculation'!$D$17="Type 4 m",MAX(105%*Q171,SA+N171),IF('Pre-Calculation'!$D$17="Type 4 o",MAX(SA,105%*Q171)+X171+Z171,IF('Pre-Calculation'!$D$17="Type 5",0))))))))))))</f>
        <v>1680000</v>
      </c>
      <c r="Q171" s="175">
        <f t="shared" si="5"/>
        <v>1600000</v>
      </c>
      <c r="R171" s="119">
        <f>L171*(1+GROWTH_RATE)*FMC</f>
        <v>1248.109412</v>
      </c>
      <c r="S171" s="178">
        <f>S170*(1+'Pre-Calculation'!$E$27)</f>
        <v>1043141.362</v>
      </c>
      <c r="T171" s="175">
        <f>-E171+IF(A170=INPUT!$C$11*12,N171,0)</f>
        <v>0</v>
      </c>
      <c r="U171" s="175">
        <f t="shared" si="6"/>
        <v>1194476.734</v>
      </c>
      <c r="V171" s="175">
        <f>U171*(1+GROWTH_RATE_L)*(1-'Pre-Calculation'!$E$31)</f>
        <v>1196391.437</v>
      </c>
      <c r="W171" s="175">
        <f>-E171+IF(A170=INPUT!$C$11*12,V171,0)</f>
        <v>0</v>
      </c>
      <c r="X171" s="179">
        <f t="array" ref="X171">NPV('Pre-Calculation'!$E$20,$E172:E$246)</f>
        <v>0</v>
      </c>
      <c r="Y171" s="171">
        <f>10%*SA</f>
        <v>100000</v>
      </c>
      <c r="Z171" s="179">
        <f t="array" ref="Z171">NPV('Pre-Calculation'!$E$20,Y172:Y181)</f>
        <v>969592.8037</v>
      </c>
    </row>
    <row r="172" ht="15.75" customHeight="1">
      <c r="A172" s="171">
        <f t="shared" si="1"/>
        <v>166</v>
      </c>
      <c r="B172" s="171">
        <f t="shared" si="2"/>
        <v>14</v>
      </c>
      <c r="C172" s="176">
        <f>EDATE(RCD,A171)</f>
        <v>47572</v>
      </c>
      <c r="D172" s="171">
        <f>Age_At_Entry+'Cashflows_4% from Start'!B172-1</f>
        <v>48</v>
      </c>
      <c r="E172" s="175">
        <f>IF(AND(C172&lt;=Last_Prem,MOD(A171,Mode)=0),Mod_Prem,0)</f>
        <v>0</v>
      </c>
      <c r="F172" s="177">
        <f>IF(B172&lt;PT+1,E172*VLOOKUP(B172,'Pre-Calculation'!$H$1:$I$31,2,FALSE),0)</f>
        <v>0</v>
      </c>
      <c r="G172" s="177">
        <f>IF(B172&lt;PT+1,VLOOKUP(B172,'Pre-Calculation'!$H$1:$L$32,3,FALSE)+VLOOKUP(B172,'Pre-Calculation'!$H$1:$L$32,4,FALSE)*'Pre-Calculation'!$D$7,0)</f>
        <v>0</v>
      </c>
      <c r="H172" s="175">
        <f>(E172-(F172+G172)*(1+Tax)+N171)</f>
        <v>1105080.495</v>
      </c>
      <c r="I172" s="175">
        <f>IF(B172&lt;PT+1,VLOOKUP(D172,'Pre-Calculation'!$N$3:$P$79,IF(INPUT!$C$4="M",2,3),FALSE)*(J172/1000)*(1/12),0)</f>
        <v>0</v>
      </c>
      <c r="J172" s="175">
        <f t="shared" si="3"/>
        <v>574919.5054</v>
      </c>
      <c r="K172" s="175">
        <f>IF('Pre-Calculation'!$D$17="Type 4 a",MAX(SA,H172,1.05*Q172),IF('Pre-Calculation'!$D$17="Type 4 c",H172,IF('Pre-Calculation'!$D$17="Type 4 d",SA+H172,IF('Pre-Calculation'!$D$17="Type 4 e",MAX(SA,H172),IF('Pre-Calculation'!$D$17="Type 4 f",SA,IF('Pre-Calculation'!$D$17="Type 4 g",1000+H172,IF('Pre-Calculation'!$D$17="Type 4 h",SA+X172,IF('Pre-Calculation'!$D$17="Type 4 i",MAX(H172,Q172),IF('Pre-Calculation'!$D$17="Type 4 k",MAX(H172,1.01*Q172),IF('Pre-Calculation'!$D$17="Type 4 m",MAX(105%*Q172,SA+H172),IF('Pre-Calculation'!$D$17="Type 4 o",MAX(SA,105%*Q172)+X172+Z172,IF('Pre-Calculation'!$D$17="Type 5",0))))))))))))</f>
        <v>1680000</v>
      </c>
      <c r="L172" s="175">
        <f>H172-I172*(1+Tax)</f>
        <v>1105080.495</v>
      </c>
      <c r="M172" s="175">
        <f>L172*(1+GROWTH_RATE_L)*(1-FMC*(1+Tax))</f>
        <v>1107227.244</v>
      </c>
      <c r="N172" s="175">
        <f>M172+IF(MOD(A172,B172)=0,VLOOKUP(B172,'Pre-Calculation'!$H$1:$L$31,5,FALSE),0)*IF('Pre-Calculation'!$D$16="% OF FV",M172,IF(OR('Pre-Calculation'!$D$16="% OF AFV(24M)",'Pre-Calculation'!$D$16="% OF AFV(8Q)"),AVERAGE( $M149:$M172),IF('Pre-Calculation'!$D$16="% OF AFV(12M)",AVERAGE($M161:M172),IF('Pre-Calculation'!$D$16="% OF AFV(36M)",AVERAGE($M137:M172)))))</f>
        <v>1107227.244</v>
      </c>
      <c r="O172" s="175">
        <f t="shared" si="4"/>
        <v>1107227.244</v>
      </c>
      <c r="P172" s="175">
        <f>IF('Pre-Calculation'!$D$17="Type 4 a",MAX(SA,N172,1.05*Q172),IF('Pre-Calculation'!$D$17="Type 4 c",N172,IF('Pre-Calculation'!$D$17="Type 4 d",SA+N172,IF('Pre-Calculation'!$D$17="Type 4 e",MAX(SA,N172),IF('Pre-Calculation'!$D$17="Type 4 f",SA,IF('Pre-Calculation'!$D$17="Type 4 g",1000+N172,IF('Pre-Calculation'!$D$17="Type 4 h",SA+X172,IF('Pre-Calculation'!$D$17="Type 4 i",MAX(N172,Q172),IF('Pre-Calculation'!$D$17="Type 4 k",MAX(N172,1.01*Q172),IF('Pre-Calculation'!$D$17="Type 4 m",MAX(105%*Q172,SA+N172),IF('Pre-Calculation'!$D$17="Type 4 o",MAX(SA,105%*Q172)+X172+Z172,IF('Pre-Calculation'!$D$17="Type 5",0))))))))))))</f>
        <v>1680000</v>
      </c>
      <c r="Q172" s="175">
        <f t="shared" si="5"/>
        <v>1600000</v>
      </c>
      <c r="R172" s="119">
        <f>L172*(1+GROWTH_RATE)*FMC</f>
        <v>1250.534012</v>
      </c>
      <c r="S172" s="178">
        <f>S171*(1+'Pre-Calculation'!$E$27)</f>
        <v>1046136.116</v>
      </c>
      <c r="T172" s="175">
        <f>-E172+IF(A171=INPUT!$C$11*12,N172,0)</f>
        <v>0</v>
      </c>
      <c r="U172" s="175">
        <f t="shared" si="6"/>
        <v>1196391.437</v>
      </c>
      <c r="V172" s="175">
        <f>U172*(1+GROWTH_RATE_L)*(1-'Pre-Calculation'!$E$31)</f>
        <v>1198309.209</v>
      </c>
      <c r="W172" s="175">
        <f>-E172+IF(A171=INPUT!$C$11*12,V172,0)</f>
        <v>0</v>
      </c>
      <c r="X172" s="179">
        <f t="array" ref="X172">NPV('Pre-Calculation'!$E$20,$E173:E$246)</f>
        <v>0</v>
      </c>
      <c r="Y172" s="171">
        <f>10%*SA</f>
        <v>100000</v>
      </c>
      <c r="Z172" s="179">
        <f t="array" ref="Z172">NPV('Pre-Calculation'!$E$20,Y173:Y182)</f>
        <v>969592.8037</v>
      </c>
    </row>
    <row r="173" ht="15.75" customHeight="1">
      <c r="A173" s="171">
        <f t="shared" si="1"/>
        <v>167</v>
      </c>
      <c r="B173" s="171">
        <f t="shared" si="2"/>
        <v>14</v>
      </c>
      <c r="C173" s="176">
        <f>EDATE(RCD,A172)</f>
        <v>47603</v>
      </c>
      <c r="D173" s="171">
        <f>Age_At_Entry+'Cashflows_4% from Start'!B173-1</f>
        <v>48</v>
      </c>
      <c r="E173" s="175">
        <f>IF(AND(C173&lt;=Last_Prem,MOD(A172,Mode)=0),Mod_Prem,0)</f>
        <v>0</v>
      </c>
      <c r="F173" s="177">
        <f>IF(B173&lt;PT+1,E173*VLOOKUP(B173,'Pre-Calculation'!$H$1:$I$31,2,FALSE),0)</f>
        <v>0</v>
      </c>
      <c r="G173" s="177">
        <f>IF(B173&lt;PT+1,VLOOKUP(B173,'Pre-Calculation'!$H$1:$L$32,3,FALSE)+VLOOKUP(B173,'Pre-Calculation'!$H$1:$L$32,4,FALSE)*'Pre-Calculation'!$D$7,0)</f>
        <v>0</v>
      </c>
      <c r="H173" s="175">
        <f>(E173-(F173+G173)*(1+Tax)+N172)</f>
        <v>1107227.244</v>
      </c>
      <c r="I173" s="175">
        <f>IF(B173&lt;PT+1,VLOOKUP(D173,'Pre-Calculation'!$N$3:$P$79,IF(INPUT!$C$4="M",2,3),FALSE)*(J173/1000)*(1/12),0)</f>
        <v>0</v>
      </c>
      <c r="J173" s="175">
        <f t="shared" si="3"/>
        <v>572772.756</v>
      </c>
      <c r="K173" s="175">
        <f>IF('Pre-Calculation'!$D$17="Type 4 a",MAX(SA,H173,1.05*Q173),IF('Pre-Calculation'!$D$17="Type 4 c",H173,IF('Pre-Calculation'!$D$17="Type 4 d",SA+H173,IF('Pre-Calculation'!$D$17="Type 4 e",MAX(SA,H173),IF('Pre-Calculation'!$D$17="Type 4 f",SA,IF('Pre-Calculation'!$D$17="Type 4 g",1000+H173,IF('Pre-Calculation'!$D$17="Type 4 h",SA+X173,IF('Pre-Calculation'!$D$17="Type 4 i",MAX(H173,Q173),IF('Pre-Calculation'!$D$17="Type 4 k",MAX(H173,1.01*Q173),IF('Pre-Calculation'!$D$17="Type 4 m",MAX(105%*Q173,SA+H173),IF('Pre-Calculation'!$D$17="Type 4 o",MAX(SA,105%*Q173)+X173+Z173,IF('Pre-Calculation'!$D$17="Type 5",0))))))))))))</f>
        <v>1680000</v>
      </c>
      <c r="L173" s="175">
        <f>H173-I173*(1+Tax)</f>
        <v>1107227.244</v>
      </c>
      <c r="M173" s="175">
        <f>L173*(1+GROWTH_RATE_L)*(1-FMC*(1+Tax))</f>
        <v>1109378.164</v>
      </c>
      <c r="N173" s="175">
        <f>M173+IF(MOD(A173,B173)=0,VLOOKUP(B173,'Pre-Calculation'!$H$1:$L$31,5,FALSE),0)*IF('Pre-Calculation'!$D$16="% OF FV",M173,IF(OR('Pre-Calculation'!$D$16="% OF AFV(24M)",'Pre-Calculation'!$D$16="% OF AFV(8Q)"),AVERAGE( $M150:$M173),IF('Pre-Calculation'!$D$16="% OF AFV(12M)",AVERAGE($M162:M173),IF('Pre-Calculation'!$D$16="% OF AFV(36M)",AVERAGE($M138:M173)))))</f>
        <v>1109378.164</v>
      </c>
      <c r="O173" s="175">
        <f t="shared" si="4"/>
        <v>1109378.164</v>
      </c>
      <c r="P173" s="175">
        <f>IF('Pre-Calculation'!$D$17="Type 4 a",MAX(SA,N173,1.05*Q173),IF('Pre-Calculation'!$D$17="Type 4 c",N173,IF('Pre-Calculation'!$D$17="Type 4 d",SA+N173,IF('Pre-Calculation'!$D$17="Type 4 e",MAX(SA,N173),IF('Pre-Calculation'!$D$17="Type 4 f",SA,IF('Pre-Calculation'!$D$17="Type 4 g",1000+N173,IF('Pre-Calculation'!$D$17="Type 4 h",SA+X173,IF('Pre-Calculation'!$D$17="Type 4 i",MAX(N173,Q173),IF('Pre-Calculation'!$D$17="Type 4 k",MAX(N173,1.01*Q173),IF('Pre-Calculation'!$D$17="Type 4 m",MAX(105%*Q173,SA+N173),IF('Pre-Calculation'!$D$17="Type 4 o",MAX(SA,105%*Q173)+X173+Z173,IF('Pre-Calculation'!$D$17="Type 5",0))))))))))))</f>
        <v>1680000</v>
      </c>
      <c r="Q173" s="175">
        <f t="shared" si="5"/>
        <v>1600000</v>
      </c>
      <c r="R173" s="119">
        <f>L173*(1+GROWTH_RATE)*FMC</f>
        <v>1252.963322</v>
      </c>
      <c r="S173" s="178">
        <f>S172*(1+'Pre-Calculation'!$E$27)</f>
        <v>1049139.466</v>
      </c>
      <c r="T173" s="175">
        <f>-E173+IF(A172=INPUT!$C$11*12,N173,0)</f>
        <v>0</v>
      </c>
      <c r="U173" s="175">
        <f t="shared" si="6"/>
        <v>1198309.209</v>
      </c>
      <c r="V173" s="175">
        <f>U173*(1+GROWTH_RATE_L)*(1-'Pre-Calculation'!$E$31)</f>
        <v>1200230.055</v>
      </c>
      <c r="W173" s="175">
        <f>-E173+IF(A172=INPUT!$C$11*12,V173,0)</f>
        <v>0</v>
      </c>
      <c r="X173" s="179">
        <f t="array" ref="X173">NPV('Pre-Calculation'!$E$20,$E174:E$246)</f>
        <v>0</v>
      </c>
      <c r="Y173" s="171">
        <f>10%*SA</f>
        <v>100000</v>
      </c>
      <c r="Z173" s="179">
        <f t="array" ref="Z173">NPV('Pre-Calculation'!$E$20,Y174:Y183)</f>
        <v>969592.8037</v>
      </c>
    </row>
    <row r="174" ht="15.75" customHeight="1">
      <c r="A174" s="171">
        <f t="shared" si="1"/>
        <v>168</v>
      </c>
      <c r="B174" s="171">
        <f t="shared" si="2"/>
        <v>14</v>
      </c>
      <c r="C174" s="176">
        <f>EDATE(RCD,A173)</f>
        <v>47633</v>
      </c>
      <c r="D174" s="171">
        <f>Age_At_Entry+'Cashflows_4% from Start'!B174-1</f>
        <v>48</v>
      </c>
      <c r="E174" s="175">
        <f>IF(AND(C174&lt;=Last_Prem,MOD(A173,Mode)=0),Mod_Prem,0)</f>
        <v>0</v>
      </c>
      <c r="F174" s="177">
        <f>IF(B174&lt;PT+1,E174*VLOOKUP(B174,'Pre-Calculation'!$H$1:$I$31,2,FALSE),0)</f>
        <v>0</v>
      </c>
      <c r="G174" s="177">
        <f>IF(B174&lt;PT+1,VLOOKUP(B174,'Pre-Calculation'!$H$1:$L$32,3,FALSE)+VLOOKUP(B174,'Pre-Calculation'!$H$1:$L$32,4,FALSE)*'Pre-Calculation'!$D$7,0)</f>
        <v>0</v>
      </c>
      <c r="H174" s="175">
        <f>(E174-(F174+G174)*(1+Tax)+N173)</f>
        <v>1109378.164</v>
      </c>
      <c r="I174" s="175">
        <f>IF(B174&lt;PT+1,VLOOKUP(D174,'Pre-Calculation'!$N$3:$P$79,IF(INPUT!$C$4="M",2,3),FALSE)*(J174/1000)*(1/12),0)</f>
        <v>0</v>
      </c>
      <c r="J174" s="175">
        <f t="shared" si="3"/>
        <v>570621.8362</v>
      </c>
      <c r="K174" s="175">
        <f>IF('Pre-Calculation'!$D$17="Type 4 a",MAX(SA,H174,1.05*Q174),IF('Pre-Calculation'!$D$17="Type 4 c",H174,IF('Pre-Calculation'!$D$17="Type 4 d",SA+H174,IF('Pre-Calculation'!$D$17="Type 4 e",MAX(SA,H174),IF('Pre-Calculation'!$D$17="Type 4 f",SA,IF('Pre-Calculation'!$D$17="Type 4 g",1000+H174,IF('Pre-Calculation'!$D$17="Type 4 h",SA+X174,IF('Pre-Calculation'!$D$17="Type 4 i",MAX(H174,Q174),IF('Pre-Calculation'!$D$17="Type 4 k",MAX(H174,1.01*Q174),IF('Pre-Calculation'!$D$17="Type 4 m",MAX(105%*Q174,SA+H174),IF('Pre-Calculation'!$D$17="Type 4 o",MAX(SA,105%*Q174)+X174+Z174,IF('Pre-Calculation'!$D$17="Type 5",0))))))))))))</f>
        <v>1680000</v>
      </c>
      <c r="L174" s="175">
        <f>H174-I174*(1+Tax)</f>
        <v>1109378.164</v>
      </c>
      <c r="M174" s="175">
        <f>L174*(1+GROWTH_RATE_L)*(1-FMC*(1+Tax))</f>
        <v>1111533.262</v>
      </c>
      <c r="N174" s="175">
        <f>M174+IF(MOD(A174,B174)=0,VLOOKUP(B174,'Pre-Calculation'!$H$1:$L$31,5,FALSE),0)*IF('Pre-Calculation'!$D$16="% OF FV",M174,IF(OR('Pre-Calculation'!$D$16="% OF AFV(24M)",'Pre-Calculation'!$D$16="% OF AFV(8Q)"),AVERAGE( $M151:$M174),IF('Pre-Calculation'!$D$16="% OF AFV(12M)",AVERAGE($M163:M174),IF('Pre-Calculation'!$D$16="% OF AFV(36M)",AVERAGE($M139:M174)))))</f>
        <v>1111533.262</v>
      </c>
      <c r="O174" s="175">
        <f t="shared" si="4"/>
        <v>1111533.262</v>
      </c>
      <c r="P174" s="175">
        <f>IF('Pre-Calculation'!$D$17="Type 4 a",MAX(SA,N174,1.05*Q174),IF('Pre-Calculation'!$D$17="Type 4 c",N174,IF('Pre-Calculation'!$D$17="Type 4 d",SA+N174,IF('Pre-Calculation'!$D$17="Type 4 e",MAX(SA,N174),IF('Pre-Calculation'!$D$17="Type 4 f",SA,IF('Pre-Calculation'!$D$17="Type 4 g",1000+N174,IF('Pre-Calculation'!$D$17="Type 4 h",SA+X174,IF('Pre-Calculation'!$D$17="Type 4 i",MAX(N174,Q174),IF('Pre-Calculation'!$D$17="Type 4 k",MAX(N174,1.01*Q174),IF('Pre-Calculation'!$D$17="Type 4 m",MAX(105%*Q174,SA+N174),IF('Pre-Calculation'!$D$17="Type 4 o",MAX(SA,105%*Q174)+X174+Z174,IF('Pre-Calculation'!$D$17="Type 5",0))))))))))))</f>
        <v>1680000</v>
      </c>
      <c r="Q174" s="175">
        <f t="shared" si="5"/>
        <v>1600000</v>
      </c>
      <c r="R174" s="119">
        <f>L174*(1+GROWTH_RATE)*FMC</f>
        <v>1255.397351</v>
      </c>
      <c r="S174" s="178">
        <f>S173*(1+'Pre-Calculation'!$E$27)</f>
        <v>1052151.44</v>
      </c>
      <c r="T174" s="175">
        <f>-E174+IF(A173=INPUT!$C$11*12,N174,0)</f>
        <v>0</v>
      </c>
      <c r="U174" s="175">
        <f t="shared" si="6"/>
        <v>1200230.055</v>
      </c>
      <c r="V174" s="175">
        <f>U174*(1+GROWTH_RATE_L)*(1-'Pre-Calculation'!$E$31)</f>
        <v>1202153.981</v>
      </c>
      <c r="W174" s="175">
        <f>-E174+IF(A173=INPUT!$C$11*12,V174,0)</f>
        <v>0</v>
      </c>
      <c r="X174" s="179">
        <f t="array" ref="X174">NPV('Pre-Calculation'!$E$20,$E175:E$246)</f>
        <v>0</v>
      </c>
      <c r="Y174" s="171">
        <f>10%*SA</f>
        <v>100000</v>
      </c>
      <c r="Z174" s="179">
        <f t="array" ref="Z174">NPV('Pre-Calculation'!$E$20,Y175:Y184)</f>
        <v>969592.8037</v>
      </c>
    </row>
    <row r="175" ht="15.75" customHeight="1">
      <c r="A175" s="171">
        <f t="shared" si="1"/>
        <v>169</v>
      </c>
      <c r="B175" s="171">
        <f t="shared" si="2"/>
        <v>15</v>
      </c>
      <c r="C175" s="176">
        <f>EDATE(RCD,A174)</f>
        <v>47664</v>
      </c>
      <c r="D175" s="171">
        <f>Age_At_Entry+'Cashflows_4% from Start'!B175-1</f>
        <v>49</v>
      </c>
      <c r="E175" s="175">
        <f>IF(AND(C175&lt;=Last_Prem,MOD(A174,Mode)=0),Mod_Prem,0)</f>
        <v>0</v>
      </c>
      <c r="F175" s="177">
        <f>IF(B175&lt;PT+1,E175*VLOOKUP(B175,'Pre-Calculation'!$H$1:$I$31,2,FALSE),0)</f>
        <v>0</v>
      </c>
      <c r="G175" s="177">
        <f>IF(B175&lt;PT+1,VLOOKUP(B175,'Pre-Calculation'!$H$1:$L$32,3,FALSE)+VLOOKUP(B175,'Pre-Calculation'!$H$1:$L$32,4,FALSE)*'Pre-Calculation'!$D$7,0)</f>
        <v>0</v>
      </c>
      <c r="H175" s="175">
        <f>(E175-(F175+G175)*(1+Tax)+N174)</f>
        <v>1111533.262</v>
      </c>
      <c r="I175" s="175">
        <f>IF(B175&lt;PT+1,VLOOKUP(D175,'Pre-Calculation'!$N$3:$P$79,IF(INPUT!$C$4="M",2,3),FALSE)*(J175/1000)*(1/12),0)</f>
        <v>0</v>
      </c>
      <c r="J175" s="175">
        <f t="shared" si="3"/>
        <v>568466.7381</v>
      </c>
      <c r="K175" s="175">
        <f>IF('Pre-Calculation'!$D$17="Type 4 a",MAX(SA,H175,1.05*Q175),IF('Pre-Calculation'!$D$17="Type 4 c",H175,IF('Pre-Calculation'!$D$17="Type 4 d",SA+H175,IF('Pre-Calculation'!$D$17="Type 4 e",MAX(SA,H175),IF('Pre-Calculation'!$D$17="Type 4 f",SA,IF('Pre-Calculation'!$D$17="Type 4 g",1000+H175,IF('Pre-Calculation'!$D$17="Type 4 h",SA+X175,IF('Pre-Calculation'!$D$17="Type 4 i",MAX(H175,Q175),IF('Pre-Calculation'!$D$17="Type 4 k",MAX(H175,1.01*Q175),IF('Pre-Calculation'!$D$17="Type 4 m",MAX(105%*Q175,SA+H175),IF('Pre-Calculation'!$D$17="Type 4 o",MAX(SA,105%*Q175)+X175+Z175,IF('Pre-Calculation'!$D$17="Type 5",0))))))))))))</f>
        <v>1680000</v>
      </c>
      <c r="L175" s="175">
        <f>H175-I175*(1+Tax)</f>
        <v>1111533.262</v>
      </c>
      <c r="M175" s="175">
        <f>L175*(1+GROWTH_RATE_L)*(1-FMC*(1+Tax))</f>
        <v>1113692.547</v>
      </c>
      <c r="N175" s="175">
        <f>M175+IF(MOD(A175,B175)=0,VLOOKUP(B175,'Pre-Calculation'!$H$1:$L$31,5,FALSE),0)*IF('Pre-Calculation'!$D$16="% OF FV",M175,IF(OR('Pre-Calculation'!$D$16="% OF AFV(24M)",'Pre-Calculation'!$D$16="% OF AFV(8Q)"),AVERAGE( $M152:$M175),IF('Pre-Calculation'!$D$16="% OF AFV(12M)",AVERAGE($M164:M175),IF('Pre-Calculation'!$D$16="% OF AFV(36M)",AVERAGE($M140:M175)))))</f>
        <v>1113692.547</v>
      </c>
      <c r="O175" s="175">
        <f t="shared" si="4"/>
        <v>1113692.547</v>
      </c>
      <c r="P175" s="175">
        <f>IF('Pre-Calculation'!$D$17="Type 4 a",MAX(SA,N175,1.05*Q175),IF('Pre-Calculation'!$D$17="Type 4 c",N175,IF('Pre-Calculation'!$D$17="Type 4 d",SA+N175,IF('Pre-Calculation'!$D$17="Type 4 e",MAX(SA,N175),IF('Pre-Calculation'!$D$17="Type 4 f",SA,IF('Pre-Calculation'!$D$17="Type 4 g",1000+N175,IF('Pre-Calculation'!$D$17="Type 4 h",SA+X175,IF('Pre-Calculation'!$D$17="Type 4 i",MAX(N175,Q175),IF('Pre-Calculation'!$D$17="Type 4 k",MAX(N175,1.01*Q175),IF('Pre-Calculation'!$D$17="Type 4 m",MAX(105%*Q175,SA+N175),IF('Pre-Calculation'!$D$17="Type 4 o",MAX(SA,105%*Q175)+X175+Z175,IF('Pre-Calculation'!$D$17="Type 5",0))))))))))))</f>
        <v>1680000</v>
      </c>
      <c r="Q175" s="175">
        <f t="shared" si="5"/>
        <v>1600000</v>
      </c>
      <c r="R175" s="119">
        <f>L175*(1+GROWTH_RATE)*FMC</f>
        <v>1257.836109</v>
      </c>
      <c r="S175" s="178">
        <f>S174*(1+'Pre-Calculation'!$E$27)</f>
        <v>1055172.06</v>
      </c>
      <c r="T175" s="175">
        <f>-E175+IF(A174=INPUT!$C$11*12,N175,0)</f>
        <v>0</v>
      </c>
      <c r="U175" s="175">
        <f t="shared" si="6"/>
        <v>1202153.981</v>
      </c>
      <c r="V175" s="175">
        <f>U175*(1+GROWTH_RATE_L)*(1-'Pre-Calculation'!$E$31)</f>
        <v>1204080.99</v>
      </c>
      <c r="W175" s="175">
        <f>-E175+IF(A174=INPUT!$C$11*12,V175,0)</f>
        <v>0</v>
      </c>
      <c r="X175" s="179">
        <f t="array" ref="X175">NPV('Pre-Calculation'!$E$20,$E176:E$246)</f>
        <v>0</v>
      </c>
      <c r="Y175" s="171">
        <f>10%*SA</f>
        <v>100000</v>
      </c>
      <c r="Z175" s="179">
        <f t="array" ref="Z175">NPV('Pre-Calculation'!$E$20,Y176:Y185)</f>
        <v>969592.8037</v>
      </c>
    </row>
    <row r="176" ht="15.75" customHeight="1">
      <c r="A176" s="171">
        <f t="shared" si="1"/>
        <v>170</v>
      </c>
      <c r="B176" s="171">
        <f t="shared" si="2"/>
        <v>15</v>
      </c>
      <c r="C176" s="176">
        <f>EDATE(RCD,A175)</f>
        <v>47694</v>
      </c>
      <c r="D176" s="171">
        <f>Age_At_Entry+'Cashflows_4% from Start'!B176-1</f>
        <v>49</v>
      </c>
      <c r="E176" s="175">
        <f>IF(AND(C176&lt;=Last_Prem,MOD(A175,Mode)=0),Mod_Prem,0)</f>
        <v>0</v>
      </c>
      <c r="F176" s="177">
        <f>IF(B176&lt;PT+1,E176*VLOOKUP(B176,'Pre-Calculation'!$H$1:$I$31,2,FALSE),0)</f>
        <v>0</v>
      </c>
      <c r="G176" s="177">
        <f>IF(B176&lt;PT+1,VLOOKUP(B176,'Pre-Calculation'!$H$1:$L$32,3,FALSE)+VLOOKUP(B176,'Pre-Calculation'!$H$1:$L$32,4,FALSE)*'Pre-Calculation'!$D$7,0)</f>
        <v>0</v>
      </c>
      <c r="H176" s="175">
        <f>(E176-(F176+G176)*(1+Tax)+N175)</f>
        <v>1113692.547</v>
      </c>
      <c r="I176" s="175">
        <f>IF(B176&lt;PT+1,VLOOKUP(D176,'Pre-Calculation'!$N$3:$P$79,IF(INPUT!$C$4="M",2,3),FALSE)*(J176/1000)*(1/12),0)</f>
        <v>0</v>
      </c>
      <c r="J176" s="175">
        <f t="shared" si="3"/>
        <v>566307.4533</v>
      </c>
      <c r="K176" s="175">
        <f>IF('Pre-Calculation'!$D$17="Type 4 a",MAX(SA,H176,1.05*Q176),IF('Pre-Calculation'!$D$17="Type 4 c",H176,IF('Pre-Calculation'!$D$17="Type 4 d",SA+H176,IF('Pre-Calculation'!$D$17="Type 4 e",MAX(SA,H176),IF('Pre-Calculation'!$D$17="Type 4 f",SA,IF('Pre-Calculation'!$D$17="Type 4 g",1000+H176,IF('Pre-Calculation'!$D$17="Type 4 h",SA+X176,IF('Pre-Calculation'!$D$17="Type 4 i",MAX(H176,Q176),IF('Pre-Calculation'!$D$17="Type 4 k",MAX(H176,1.01*Q176),IF('Pre-Calculation'!$D$17="Type 4 m",MAX(105%*Q176,SA+H176),IF('Pre-Calculation'!$D$17="Type 4 o",MAX(SA,105%*Q176)+X176+Z176,IF('Pre-Calculation'!$D$17="Type 5",0))))))))))))</f>
        <v>1680000</v>
      </c>
      <c r="L176" s="175">
        <f>H176-I176*(1+Tax)</f>
        <v>1113692.547</v>
      </c>
      <c r="M176" s="175">
        <f>L176*(1+GROWTH_RATE_L)*(1-FMC*(1+Tax))</f>
        <v>1115856.026</v>
      </c>
      <c r="N176" s="175">
        <f>M176+IF(MOD(A176,B176)=0,VLOOKUP(B176,'Pre-Calculation'!$H$1:$L$31,5,FALSE),0)*IF('Pre-Calculation'!$D$16="% OF FV",M176,IF(OR('Pre-Calculation'!$D$16="% OF AFV(24M)",'Pre-Calculation'!$D$16="% OF AFV(8Q)"),AVERAGE( $M153:$M176),IF('Pre-Calculation'!$D$16="% OF AFV(12M)",AVERAGE($M165:M176),IF('Pre-Calculation'!$D$16="% OF AFV(36M)",AVERAGE($M141:M176)))))</f>
        <v>1115856.026</v>
      </c>
      <c r="O176" s="175">
        <f t="shared" si="4"/>
        <v>1115856.026</v>
      </c>
      <c r="P176" s="175">
        <f>IF('Pre-Calculation'!$D$17="Type 4 a",MAX(SA,N176,1.05*Q176),IF('Pre-Calculation'!$D$17="Type 4 c",N176,IF('Pre-Calculation'!$D$17="Type 4 d",SA+N176,IF('Pre-Calculation'!$D$17="Type 4 e",MAX(SA,N176),IF('Pre-Calculation'!$D$17="Type 4 f",SA,IF('Pre-Calculation'!$D$17="Type 4 g",1000+N176,IF('Pre-Calculation'!$D$17="Type 4 h",SA+X176,IF('Pre-Calculation'!$D$17="Type 4 i",MAX(N176,Q176),IF('Pre-Calculation'!$D$17="Type 4 k",MAX(N176,1.01*Q176),IF('Pre-Calculation'!$D$17="Type 4 m",MAX(105%*Q176,SA+N176),IF('Pre-Calculation'!$D$17="Type 4 o",MAX(SA,105%*Q176)+X176+Z176,IF('Pre-Calculation'!$D$17="Type 5",0))))))))))))</f>
        <v>1680000</v>
      </c>
      <c r="Q176" s="175">
        <f t="shared" si="5"/>
        <v>1600000</v>
      </c>
      <c r="R176" s="119">
        <f>L176*(1+GROWTH_RATE)*FMC</f>
        <v>1260.279604</v>
      </c>
      <c r="S176" s="178">
        <f>S175*(1+'Pre-Calculation'!$E$27)</f>
        <v>1058201.352</v>
      </c>
      <c r="T176" s="175">
        <f>-E176+IF(A175=INPUT!$C$11*12,N176,0)</f>
        <v>0</v>
      </c>
      <c r="U176" s="175">
        <f t="shared" si="6"/>
        <v>1204080.99</v>
      </c>
      <c r="V176" s="175">
        <f>U176*(1+GROWTH_RATE_L)*(1-'Pre-Calculation'!$E$31)</f>
        <v>1206011.088</v>
      </c>
      <c r="W176" s="175">
        <f>-E176+IF(A175=INPUT!$C$11*12,V176,0)</f>
        <v>0</v>
      </c>
      <c r="X176" s="179">
        <f t="array" ref="X176">NPV('Pre-Calculation'!$E$20,$E177:E$246)</f>
        <v>0</v>
      </c>
      <c r="Y176" s="171">
        <f>10%*SA</f>
        <v>100000</v>
      </c>
      <c r="Z176" s="179">
        <f t="array" ref="Z176">NPV('Pre-Calculation'!$E$20,Y177:Y186)</f>
        <v>969592.8037</v>
      </c>
    </row>
    <row r="177" ht="15.75" customHeight="1">
      <c r="A177" s="171">
        <f t="shared" si="1"/>
        <v>171</v>
      </c>
      <c r="B177" s="171">
        <f t="shared" si="2"/>
        <v>15</v>
      </c>
      <c r="C177" s="176">
        <f>EDATE(RCD,A176)</f>
        <v>47725</v>
      </c>
      <c r="D177" s="171">
        <f>Age_At_Entry+'Cashflows_4% from Start'!B177-1</f>
        <v>49</v>
      </c>
      <c r="E177" s="175">
        <f>IF(AND(C177&lt;=Last_Prem,MOD(A176,Mode)=0),Mod_Prem,0)</f>
        <v>0</v>
      </c>
      <c r="F177" s="177">
        <f>IF(B177&lt;PT+1,E177*VLOOKUP(B177,'Pre-Calculation'!$H$1:$I$31,2,FALSE),0)</f>
        <v>0</v>
      </c>
      <c r="G177" s="177">
        <f>IF(B177&lt;PT+1,VLOOKUP(B177,'Pre-Calculation'!$H$1:$L$32,3,FALSE)+VLOOKUP(B177,'Pre-Calculation'!$H$1:$L$32,4,FALSE)*'Pre-Calculation'!$D$7,0)</f>
        <v>0</v>
      </c>
      <c r="H177" s="175">
        <f>(E177-(F177+G177)*(1+Tax)+N176)</f>
        <v>1115856.026</v>
      </c>
      <c r="I177" s="175">
        <f>IF(B177&lt;PT+1,VLOOKUP(D177,'Pre-Calculation'!$N$3:$P$79,IF(INPUT!$C$4="M",2,3),FALSE)*(J177/1000)*(1/12),0)</f>
        <v>0</v>
      </c>
      <c r="J177" s="175">
        <f t="shared" si="3"/>
        <v>564143.974</v>
      </c>
      <c r="K177" s="175">
        <f>IF('Pre-Calculation'!$D$17="Type 4 a",MAX(SA,H177,1.05*Q177),IF('Pre-Calculation'!$D$17="Type 4 c",H177,IF('Pre-Calculation'!$D$17="Type 4 d",SA+H177,IF('Pre-Calculation'!$D$17="Type 4 e",MAX(SA,H177),IF('Pre-Calculation'!$D$17="Type 4 f",SA,IF('Pre-Calculation'!$D$17="Type 4 g",1000+H177,IF('Pre-Calculation'!$D$17="Type 4 h",SA+X177,IF('Pre-Calculation'!$D$17="Type 4 i",MAX(H177,Q177),IF('Pre-Calculation'!$D$17="Type 4 k",MAX(H177,1.01*Q177),IF('Pre-Calculation'!$D$17="Type 4 m",MAX(105%*Q177,SA+H177),IF('Pre-Calculation'!$D$17="Type 4 o",MAX(SA,105%*Q177)+X177+Z177,IF('Pre-Calculation'!$D$17="Type 5",0))))))))))))</f>
        <v>1680000</v>
      </c>
      <c r="L177" s="175">
        <f>H177-I177*(1+Tax)</f>
        <v>1115856.026</v>
      </c>
      <c r="M177" s="175">
        <f>L177*(1+GROWTH_RATE_L)*(1-FMC*(1+Tax))</f>
        <v>1118023.708</v>
      </c>
      <c r="N177" s="175">
        <f>M177+IF(MOD(A177,B177)=0,VLOOKUP(B177,'Pre-Calculation'!$H$1:$L$31,5,FALSE),0)*IF('Pre-Calculation'!$D$16="% OF FV",M177,IF(OR('Pre-Calculation'!$D$16="% OF AFV(24M)",'Pre-Calculation'!$D$16="% OF AFV(8Q)"),AVERAGE( $M154:$M177),IF('Pre-Calculation'!$D$16="% OF AFV(12M)",AVERAGE($M166:M177),IF('Pre-Calculation'!$D$16="% OF AFV(36M)",AVERAGE($M142:M177)))))</f>
        <v>1118023.708</v>
      </c>
      <c r="O177" s="175">
        <f t="shared" si="4"/>
        <v>1118023.708</v>
      </c>
      <c r="P177" s="175">
        <f>IF('Pre-Calculation'!$D$17="Type 4 a",MAX(SA,N177,1.05*Q177),IF('Pre-Calculation'!$D$17="Type 4 c",N177,IF('Pre-Calculation'!$D$17="Type 4 d",SA+N177,IF('Pre-Calculation'!$D$17="Type 4 e",MAX(SA,N177),IF('Pre-Calculation'!$D$17="Type 4 f",SA,IF('Pre-Calculation'!$D$17="Type 4 g",1000+N177,IF('Pre-Calculation'!$D$17="Type 4 h",SA+X177,IF('Pre-Calculation'!$D$17="Type 4 i",MAX(N177,Q177),IF('Pre-Calculation'!$D$17="Type 4 k",MAX(N177,1.01*Q177),IF('Pre-Calculation'!$D$17="Type 4 m",MAX(105%*Q177,SA+N177),IF('Pre-Calculation'!$D$17="Type 4 o",MAX(SA,105%*Q177)+X177+Z177,IF('Pre-Calculation'!$D$17="Type 5",0))))))))))))</f>
        <v>1680000</v>
      </c>
      <c r="Q177" s="175">
        <f t="shared" si="5"/>
        <v>1600000</v>
      </c>
      <c r="R177" s="119">
        <f>L177*(1+GROWTH_RATE)*FMC</f>
        <v>1262.727846</v>
      </c>
      <c r="S177" s="178">
        <f>S176*(1+'Pre-Calculation'!$E$27)</f>
        <v>1061239.341</v>
      </c>
      <c r="T177" s="175">
        <f>-E177+IF(A176=INPUT!$C$11*12,N177,0)</f>
        <v>0</v>
      </c>
      <c r="U177" s="175">
        <f t="shared" si="6"/>
        <v>1206011.088</v>
      </c>
      <c r="V177" s="175">
        <f>U177*(1+GROWTH_RATE_L)*(1-'Pre-Calculation'!$E$31)</f>
        <v>1207944.28</v>
      </c>
      <c r="W177" s="175">
        <f>-E177+IF(A176=INPUT!$C$11*12,V177,0)</f>
        <v>0</v>
      </c>
      <c r="X177" s="179">
        <f t="array" ref="X177">NPV('Pre-Calculation'!$E$20,$E178:E$246)</f>
        <v>0</v>
      </c>
      <c r="Y177" s="171">
        <f>10%*SA</f>
        <v>100000</v>
      </c>
      <c r="Z177" s="179">
        <f t="array" ref="Z177">NPV('Pre-Calculation'!$E$20,Y178:Y187)</f>
        <v>969592.8037</v>
      </c>
    </row>
    <row r="178" ht="15.75" customHeight="1">
      <c r="A178" s="171">
        <f t="shared" si="1"/>
        <v>172</v>
      </c>
      <c r="B178" s="171">
        <f t="shared" si="2"/>
        <v>15</v>
      </c>
      <c r="C178" s="176">
        <f>EDATE(RCD,A177)</f>
        <v>47756</v>
      </c>
      <c r="D178" s="171">
        <f>Age_At_Entry+'Cashflows_4% from Start'!B178-1</f>
        <v>49</v>
      </c>
      <c r="E178" s="175">
        <f>IF(AND(C178&lt;=Last_Prem,MOD(A177,Mode)=0),Mod_Prem,0)</f>
        <v>0</v>
      </c>
      <c r="F178" s="177">
        <f>IF(B178&lt;PT+1,E178*VLOOKUP(B178,'Pre-Calculation'!$H$1:$I$31,2,FALSE),0)</f>
        <v>0</v>
      </c>
      <c r="G178" s="177">
        <f>IF(B178&lt;PT+1,VLOOKUP(B178,'Pre-Calculation'!$H$1:$L$32,3,FALSE)+VLOOKUP(B178,'Pre-Calculation'!$H$1:$L$32,4,FALSE)*'Pre-Calculation'!$D$7,0)</f>
        <v>0</v>
      </c>
      <c r="H178" s="175">
        <f>(E178-(F178+G178)*(1+Tax)+N177)</f>
        <v>1118023.708</v>
      </c>
      <c r="I178" s="175">
        <f>IF(B178&lt;PT+1,VLOOKUP(D178,'Pre-Calculation'!$N$3:$P$79,IF(INPUT!$C$4="M",2,3),FALSE)*(J178/1000)*(1/12),0)</f>
        <v>0</v>
      </c>
      <c r="J178" s="175">
        <f t="shared" si="3"/>
        <v>561976.2918</v>
      </c>
      <c r="K178" s="175">
        <f>IF('Pre-Calculation'!$D$17="Type 4 a",MAX(SA,H178,1.05*Q178),IF('Pre-Calculation'!$D$17="Type 4 c",H178,IF('Pre-Calculation'!$D$17="Type 4 d",SA+H178,IF('Pre-Calculation'!$D$17="Type 4 e",MAX(SA,H178),IF('Pre-Calculation'!$D$17="Type 4 f",SA,IF('Pre-Calculation'!$D$17="Type 4 g",1000+H178,IF('Pre-Calculation'!$D$17="Type 4 h",SA+X178,IF('Pre-Calculation'!$D$17="Type 4 i",MAX(H178,Q178),IF('Pre-Calculation'!$D$17="Type 4 k",MAX(H178,1.01*Q178),IF('Pre-Calculation'!$D$17="Type 4 m",MAX(105%*Q178,SA+H178),IF('Pre-Calculation'!$D$17="Type 4 o",MAX(SA,105%*Q178)+X178+Z178,IF('Pre-Calculation'!$D$17="Type 5",0))))))))))))</f>
        <v>1680000</v>
      </c>
      <c r="L178" s="175">
        <f>H178-I178*(1+Tax)</f>
        <v>1118023.708</v>
      </c>
      <c r="M178" s="175">
        <f>L178*(1+GROWTH_RATE_L)*(1-FMC*(1+Tax))</f>
        <v>1120195.601</v>
      </c>
      <c r="N178" s="175">
        <f>M178+IF(MOD(A178,B178)=0,VLOOKUP(B178,'Pre-Calculation'!$H$1:$L$31,5,FALSE),0)*IF('Pre-Calculation'!$D$16="% OF FV",M178,IF(OR('Pre-Calculation'!$D$16="% OF AFV(24M)",'Pre-Calculation'!$D$16="% OF AFV(8Q)"),AVERAGE( $M155:$M178),IF('Pre-Calculation'!$D$16="% OF AFV(12M)",AVERAGE($M167:M178),IF('Pre-Calculation'!$D$16="% OF AFV(36M)",AVERAGE($M143:M178)))))</f>
        <v>1120195.601</v>
      </c>
      <c r="O178" s="175">
        <f t="shared" si="4"/>
        <v>1120195.601</v>
      </c>
      <c r="P178" s="175">
        <f>IF('Pre-Calculation'!$D$17="Type 4 a",MAX(SA,N178,1.05*Q178),IF('Pre-Calculation'!$D$17="Type 4 c",N178,IF('Pre-Calculation'!$D$17="Type 4 d",SA+N178,IF('Pre-Calculation'!$D$17="Type 4 e",MAX(SA,N178),IF('Pre-Calculation'!$D$17="Type 4 f",SA,IF('Pre-Calculation'!$D$17="Type 4 g",1000+N178,IF('Pre-Calculation'!$D$17="Type 4 h",SA+X178,IF('Pre-Calculation'!$D$17="Type 4 i",MAX(N178,Q178),IF('Pre-Calculation'!$D$17="Type 4 k",MAX(N178,1.01*Q178),IF('Pre-Calculation'!$D$17="Type 4 m",MAX(105%*Q178,SA+N178),IF('Pre-Calculation'!$D$17="Type 4 o",MAX(SA,105%*Q178)+X178+Z178,IF('Pre-Calculation'!$D$17="Type 5",0))))))))))))</f>
        <v>1680000</v>
      </c>
      <c r="Q178" s="175">
        <f t="shared" si="5"/>
        <v>1600000</v>
      </c>
      <c r="R178" s="119">
        <f>L178*(1+GROWTH_RATE)*FMC</f>
        <v>1265.180844</v>
      </c>
      <c r="S178" s="178">
        <f>S177*(1+'Pre-Calculation'!$E$27)</f>
        <v>1064286.052</v>
      </c>
      <c r="T178" s="175">
        <f>-E178+IF(A177=INPUT!$C$11*12,N178,0)</f>
        <v>0</v>
      </c>
      <c r="U178" s="175">
        <f t="shared" si="6"/>
        <v>1207944.28</v>
      </c>
      <c r="V178" s="175">
        <f>U178*(1+GROWTH_RATE_L)*(1-'Pre-Calculation'!$E$31)</f>
        <v>1209880.571</v>
      </c>
      <c r="W178" s="175">
        <f>-E178+IF(A177=INPUT!$C$11*12,V178,0)</f>
        <v>0</v>
      </c>
      <c r="X178" s="179">
        <f t="array" ref="X178">NPV('Pre-Calculation'!$E$20,$E179:E$246)</f>
        <v>0</v>
      </c>
      <c r="Y178" s="171">
        <f>10%*SA</f>
        <v>100000</v>
      </c>
      <c r="Z178" s="179">
        <f t="array" ref="Z178">NPV('Pre-Calculation'!$E$20,Y179:Y188)</f>
        <v>969592.8037</v>
      </c>
    </row>
    <row r="179" ht="15.75" customHeight="1">
      <c r="A179" s="171">
        <f t="shared" si="1"/>
        <v>173</v>
      </c>
      <c r="B179" s="171">
        <f t="shared" si="2"/>
        <v>15</v>
      </c>
      <c r="C179" s="176">
        <f>EDATE(RCD,A178)</f>
        <v>47786</v>
      </c>
      <c r="D179" s="171">
        <f>Age_At_Entry+'Cashflows_4% from Start'!B179-1</f>
        <v>49</v>
      </c>
      <c r="E179" s="175">
        <f>IF(AND(C179&lt;=Last_Prem,MOD(A178,Mode)=0),Mod_Prem,0)</f>
        <v>0</v>
      </c>
      <c r="F179" s="177">
        <f>IF(B179&lt;PT+1,E179*VLOOKUP(B179,'Pre-Calculation'!$H$1:$I$31,2,FALSE),0)</f>
        <v>0</v>
      </c>
      <c r="G179" s="177">
        <f>IF(B179&lt;PT+1,VLOOKUP(B179,'Pre-Calculation'!$H$1:$L$32,3,FALSE)+VLOOKUP(B179,'Pre-Calculation'!$H$1:$L$32,4,FALSE)*'Pre-Calculation'!$D$7,0)</f>
        <v>0</v>
      </c>
      <c r="H179" s="175">
        <f>(E179-(F179+G179)*(1+Tax)+N178)</f>
        <v>1120195.601</v>
      </c>
      <c r="I179" s="175">
        <f>IF(B179&lt;PT+1,VLOOKUP(D179,'Pre-Calculation'!$N$3:$P$79,IF(INPUT!$C$4="M",2,3),FALSE)*(J179/1000)*(1/12),0)</f>
        <v>0</v>
      </c>
      <c r="J179" s="175">
        <f t="shared" si="3"/>
        <v>559804.3986</v>
      </c>
      <c r="K179" s="175">
        <f>IF('Pre-Calculation'!$D$17="Type 4 a",MAX(SA,H179,1.05*Q179),IF('Pre-Calculation'!$D$17="Type 4 c",H179,IF('Pre-Calculation'!$D$17="Type 4 d",SA+H179,IF('Pre-Calculation'!$D$17="Type 4 e",MAX(SA,H179),IF('Pre-Calculation'!$D$17="Type 4 f",SA,IF('Pre-Calculation'!$D$17="Type 4 g",1000+H179,IF('Pre-Calculation'!$D$17="Type 4 h",SA+X179,IF('Pre-Calculation'!$D$17="Type 4 i",MAX(H179,Q179),IF('Pre-Calculation'!$D$17="Type 4 k",MAX(H179,1.01*Q179),IF('Pre-Calculation'!$D$17="Type 4 m",MAX(105%*Q179,SA+H179),IF('Pre-Calculation'!$D$17="Type 4 o",MAX(SA,105%*Q179)+X179+Z179,IF('Pre-Calculation'!$D$17="Type 5",0))))))))))))</f>
        <v>1680000</v>
      </c>
      <c r="L179" s="175">
        <f>H179-I179*(1+Tax)</f>
        <v>1120195.601</v>
      </c>
      <c r="M179" s="175">
        <f>L179*(1+GROWTH_RATE_L)*(1-FMC*(1+Tax))</f>
        <v>1122371.714</v>
      </c>
      <c r="N179" s="175">
        <f>M179+IF(MOD(A179,B179)=0,VLOOKUP(B179,'Pre-Calculation'!$H$1:$L$31,5,FALSE),0)*IF('Pre-Calculation'!$D$16="% OF FV",M179,IF(OR('Pre-Calculation'!$D$16="% OF AFV(24M)",'Pre-Calculation'!$D$16="% OF AFV(8Q)"),AVERAGE( $M156:$M179),IF('Pre-Calculation'!$D$16="% OF AFV(12M)",AVERAGE($M168:M179),IF('Pre-Calculation'!$D$16="% OF AFV(36M)",AVERAGE($M144:M179)))))</f>
        <v>1122371.714</v>
      </c>
      <c r="O179" s="175">
        <f t="shared" si="4"/>
        <v>1122371.714</v>
      </c>
      <c r="P179" s="175">
        <f>IF('Pre-Calculation'!$D$17="Type 4 a",MAX(SA,N179,1.05*Q179),IF('Pre-Calculation'!$D$17="Type 4 c",N179,IF('Pre-Calculation'!$D$17="Type 4 d",SA+N179,IF('Pre-Calculation'!$D$17="Type 4 e",MAX(SA,N179),IF('Pre-Calculation'!$D$17="Type 4 f",SA,IF('Pre-Calculation'!$D$17="Type 4 g",1000+N179,IF('Pre-Calculation'!$D$17="Type 4 h",SA+X179,IF('Pre-Calculation'!$D$17="Type 4 i",MAX(N179,Q179),IF('Pre-Calculation'!$D$17="Type 4 k",MAX(N179,1.01*Q179),IF('Pre-Calculation'!$D$17="Type 4 m",MAX(105%*Q179,SA+N179),IF('Pre-Calculation'!$D$17="Type 4 o",MAX(SA,105%*Q179)+X179+Z179,IF('Pre-Calculation'!$D$17="Type 5",0))))))))))))</f>
        <v>1680000</v>
      </c>
      <c r="Q179" s="175">
        <f t="shared" si="5"/>
        <v>1600000</v>
      </c>
      <c r="R179" s="119">
        <f>L179*(1+GROWTH_RATE)*FMC</f>
        <v>1267.638608</v>
      </c>
      <c r="S179" s="178">
        <f>S178*(1+'Pre-Calculation'!$E$27)</f>
        <v>1067341.509</v>
      </c>
      <c r="T179" s="175">
        <f>-E179+IF(A178=INPUT!$C$11*12,N179,0)</f>
        <v>0</v>
      </c>
      <c r="U179" s="175">
        <f t="shared" si="6"/>
        <v>1209880.571</v>
      </c>
      <c r="V179" s="175">
        <f>U179*(1+GROWTH_RATE_L)*(1-'Pre-Calculation'!$E$31)</f>
        <v>1211819.966</v>
      </c>
      <c r="W179" s="175">
        <f>-E179+IF(A178=INPUT!$C$11*12,V179,0)</f>
        <v>0</v>
      </c>
      <c r="X179" s="179">
        <f t="array" ref="X179">NPV('Pre-Calculation'!$E$20,$E180:E$246)</f>
        <v>0</v>
      </c>
      <c r="Y179" s="171">
        <f>10%*SA</f>
        <v>100000</v>
      </c>
      <c r="Z179" s="179">
        <f t="array" ref="Z179">NPV('Pre-Calculation'!$E$20,Y180:Y189)</f>
        <v>969592.8037</v>
      </c>
    </row>
    <row r="180" ht="15.75" customHeight="1">
      <c r="A180" s="171">
        <f t="shared" si="1"/>
        <v>174</v>
      </c>
      <c r="B180" s="171">
        <f t="shared" si="2"/>
        <v>15</v>
      </c>
      <c r="C180" s="176">
        <f>EDATE(RCD,A179)</f>
        <v>47817</v>
      </c>
      <c r="D180" s="171">
        <f>Age_At_Entry+'Cashflows_4% from Start'!B180-1</f>
        <v>49</v>
      </c>
      <c r="E180" s="175">
        <f>IF(AND(C180&lt;=Last_Prem,MOD(A179,Mode)=0),Mod_Prem,0)</f>
        <v>0</v>
      </c>
      <c r="F180" s="177">
        <f>IF(B180&lt;PT+1,E180*VLOOKUP(B180,'Pre-Calculation'!$H$1:$I$31,2,FALSE),0)</f>
        <v>0</v>
      </c>
      <c r="G180" s="177">
        <f>IF(B180&lt;PT+1,VLOOKUP(B180,'Pre-Calculation'!$H$1:$L$32,3,FALSE)+VLOOKUP(B180,'Pre-Calculation'!$H$1:$L$32,4,FALSE)*'Pre-Calculation'!$D$7,0)</f>
        <v>0</v>
      </c>
      <c r="H180" s="175">
        <f>(E180-(F180+G180)*(1+Tax)+N179)</f>
        <v>1122371.714</v>
      </c>
      <c r="I180" s="175">
        <f>IF(B180&lt;PT+1,VLOOKUP(D180,'Pre-Calculation'!$N$3:$P$79,IF(INPUT!$C$4="M",2,3),FALSE)*(J180/1000)*(1/12),0)</f>
        <v>0</v>
      </c>
      <c r="J180" s="175">
        <f t="shared" si="3"/>
        <v>557628.2863</v>
      </c>
      <c r="K180" s="175">
        <f>IF('Pre-Calculation'!$D$17="Type 4 a",MAX(SA,H180,1.05*Q180),IF('Pre-Calculation'!$D$17="Type 4 c",H180,IF('Pre-Calculation'!$D$17="Type 4 d",SA+H180,IF('Pre-Calculation'!$D$17="Type 4 e",MAX(SA,H180),IF('Pre-Calculation'!$D$17="Type 4 f",SA,IF('Pre-Calculation'!$D$17="Type 4 g",1000+H180,IF('Pre-Calculation'!$D$17="Type 4 h",SA+X180,IF('Pre-Calculation'!$D$17="Type 4 i",MAX(H180,Q180),IF('Pre-Calculation'!$D$17="Type 4 k",MAX(H180,1.01*Q180),IF('Pre-Calculation'!$D$17="Type 4 m",MAX(105%*Q180,SA+H180),IF('Pre-Calculation'!$D$17="Type 4 o",MAX(SA,105%*Q180)+X180+Z180,IF('Pre-Calculation'!$D$17="Type 5",0))))))))))))</f>
        <v>1680000</v>
      </c>
      <c r="L180" s="175">
        <f>H180-I180*(1+Tax)</f>
        <v>1122371.714</v>
      </c>
      <c r="M180" s="175">
        <f>L180*(1+GROWTH_RATE_L)*(1-FMC*(1+Tax))</f>
        <v>1124552.053</v>
      </c>
      <c r="N180" s="175">
        <f>M180+IF(MOD(A180,B180)=0,VLOOKUP(B180,'Pre-Calculation'!$H$1:$L$31,5,FALSE),0)*IF('Pre-Calculation'!$D$16="% OF FV",M180,IF(OR('Pre-Calculation'!$D$16="% OF AFV(24M)",'Pre-Calculation'!$D$16="% OF AFV(8Q)"),AVERAGE( $M157:$M180),IF('Pre-Calculation'!$D$16="% OF AFV(12M)",AVERAGE($M169:M180),IF('Pre-Calculation'!$D$16="% OF AFV(36M)",AVERAGE($M145:M180)))))</f>
        <v>1124552.053</v>
      </c>
      <c r="O180" s="175">
        <f t="shared" si="4"/>
        <v>1124552.053</v>
      </c>
      <c r="P180" s="175">
        <f>IF('Pre-Calculation'!$D$17="Type 4 a",MAX(SA,N180,1.05*Q180),IF('Pre-Calculation'!$D$17="Type 4 c",N180,IF('Pre-Calculation'!$D$17="Type 4 d",SA+N180,IF('Pre-Calculation'!$D$17="Type 4 e",MAX(SA,N180),IF('Pre-Calculation'!$D$17="Type 4 f",SA,IF('Pre-Calculation'!$D$17="Type 4 g",1000+N180,IF('Pre-Calculation'!$D$17="Type 4 h",SA+X180,IF('Pre-Calculation'!$D$17="Type 4 i",MAX(N180,Q180),IF('Pre-Calculation'!$D$17="Type 4 k",MAX(N180,1.01*Q180),IF('Pre-Calculation'!$D$17="Type 4 m",MAX(105%*Q180,SA+N180),IF('Pre-Calculation'!$D$17="Type 4 o",MAX(SA,105%*Q180)+X180+Z180,IF('Pre-Calculation'!$D$17="Type 5",0))))))))))))</f>
        <v>1680000</v>
      </c>
      <c r="Q180" s="175">
        <f t="shared" si="5"/>
        <v>1600000</v>
      </c>
      <c r="R180" s="119">
        <f>L180*(1+GROWTH_RATE)*FMC</f>
        <v>1270.101145</v>
      </c>
      <c r="S180" s="178">
        <f>S179*(1+'Pre-Calculation'!$E$27)</f>
        <v>1070405.738</v>
      </c>
      <c r="T180" s="175">
        <f>-E180+IF(A179=INPUT!$C$11*12,N180,0)</f>
        <v>0</v>
      </c>
      <c r="U180" s="175">
        <f t="shared" si="6"/>
        <v>1211819.966</v>
      </c>
      <c r="V180" s="175">
        <f>U180*(1+GROWTH_RATE_L)*(1-'Pre-Calculation'!$E$31)</f>
        <v>1213762.47</v>
      </c>
      <c r="W180" s="175">
        <f>-E180+IF(A179=INPUT!$C$11*12,V180,0)</f>
        <v>0</v>
      </c>
      <c r="X180" s="179">
        <f t="array" ref="X180">NPV('Pre-Calculation'!$E$20,$E181:E$246)</f>
        <v>0</v>
      </c>
      <c r="Y180" s="171">
        <f>10%*SA</f>
        <v>100000</v>
      </c>
      <c r="Z180" s="179">
        <f t="array" ref="Z180">NPV('Pre-Calculation'!$E$20,Y181:Y190)</f>
        <v>969592.8037</v>
      </c>
    </row>
    <row r="181" ht="15.75" customHeight="1">
      <c r="A181" s="171">
        <f t="shared" si="1"/>
        <v>175</v>
      </c>
      <c r="B181" s="171">
        <f t="shared" si="2"/>
        <v>15</v>
      </c>
      <c r="C181" s="176">
        <f>EDATE(RCD,A180)</f>
        <v>47847</v>
      </c>
      <c r="D181" s="171">
        <f>Age_At_Entry+'Cashflows_4% from Start'!B181-1</f>
        <v>49</v>
      </c>
      <c r="E181" s="175">
        <f>IF(AND(C181&lt;=Last_Prem,MOD(A180,Mode)=0),Mod_Prem,0)</f>
        <v>0</v>
      </c>
      <c r="F181" s="177">
        <f>IF(B181&lt;PT+1,E181*VLOOKUP(B181,'Pre-Calculation'!$H$1:$I$31,2,FALSE),0)</f>
        <v>0</v>
      </c>
      <c r="G181" s="177">
        <f>IF(B181&lt;PT+1,VLOOKUP(B181,'Pre-Calculation'!$H$1:$L$32,3,FALSE)+VLOOKUP(B181,'Pre-Calculation'!$H$1:$L$32,4,FALSE)*'Pre-Calculation'!$D$7,0)</f>
        <v>0</v>
      </c>
      <c r="H181" s="175">
        <f>(E181-(F181+G181)*(1+Tax)+N180)</f>
        <v>1124552.053</v>
      </c>
      <c r="I181" s="175">
        <f>IF(B181&lt;PT+1,VLOOKUP(D181,'Pre-Calculation'!$N$3:$P$79,IF(INPUT!$C$4="M",2,3),FALSE)*(J181/1000)*(1/12),0)</f>
        <v>0</v>
      </c>
      <c r="J181" s="175">
        <f t="shared" si="3"/>
        <v>555447.9466</v>
      </c>
      <c r="K181" s="175">
        <f>IF('Pre-Calculation'!$D$17="Type 4 a",MAX(SA,H181,1.05*Q181),IF('Pre-Calculation'!$D$17="Type 4 c",H181,IF('Pre-Calculation'!$D$17="Type 4 d",SA+H181,IF('Pre-Calculation'!$D$17="Type 4 e",MAX(SA,H181),IF('Pre-Calculation'!$D$17="Type 4 f",SA,IF('Pre-Calculation'!$D$17="Type 4 g",1000+H181,IF('Pre-Calculation'!$D$17="Type 4 h",SA+X181,IF('Pre-Calculation'!$D$17="Type 4 i",MAX(H181,Q181),IF('Pre-Calculation'!$D$17="Type 4 k",MAX(H181,1.01*Q181),IF('Pre-Calculation'!$D$17="Type 4 m",MAX(105%*Q181,SA+H181),IF('Pre-Calculation'!$D$17="Type 4 o",MAX(SA,105%*Q181)+X181+Z181,IF('Pre-Calculation'!$D$17="Type 5",0))))))))))))</f>
        <v>1680000</v>
      </c>
      <c r="L181" s="175">
        <f>H181-I181*(1+Tax)</f>
        <v>1124552.053</v>
      </c>
      <c r="M181" s="175">
        <f>L181*(1+GROWTH_RATE_L)*(1-FMC*(1+Tax))</f>
        <v>1126736.629</v>
      </c>
      <c r="N181" s="175">
        <f>M181+IF(MOD(A181,B181)=0,VLOOKUP(B181,'Pre-Calculation'!$H$1:$L$31,5,FALSE),0)*IF('Pre-Calculation'!$D$16="% OF FV",M181,IF(OR('Pre-Calculation'!$D$16="% OF AFV(24M)",'Pre-Calculation'!$D$16="% OF AFV(8Q)"),AVERAGE( $M158:$M181),IF('Pre-Calculation'!$D$16="% OF AFV(12M)",AVERAGE($M170:M181),IF('Pre-Calculation'!$D$16="% OF AFV(36M)",AVERAGE($M146:M181)))))</f>
        <v>1126736.629</v>
      </c>
      <c r="O181" s="175">
        <f t="shared" si="4"/>
        <v>1126736.629</v>
      </c>
      <c r="P181" s="175">
        <f>IF('Pre-Calculation'!$D$17="Type 4 a",MAX(SA,N181,1.05*Q181),IF('Pre-Calculation'!$D$17="Type 4 c",N181,IF('Pre-Calculation'!$D$17="Type 4 d",SA+N181,IF('Pre-Calculation'!$D$17="Type 4 e",MAX(SA,N181),IF('Pre-Calculation'!$D$17="Type 4 f",SA,IF('Pre-Calculation'!$D$17="Type 4 g",1000+N181,IF('Pre-Calculation'!$D$17="Type 4 h",SA+X181,IF('Pre-Calculation'!$D$17="Type 4 i",MAX(N181,Q181),IF('Pre-Calculation'!$D$17="Type 4 k",MAX(N181,1.01*Q181),IF('Pre-Calculation'!$D$17="Type 4 m",MAX(105%*Q181,SA+N181),IF('Pre-Calculation'!$D$17="Type 4 o",MAX(SA,105%*Q181)+X181+Z181,IF('Pre-Calculation'!$D$17="Type 5",0))))))))))))</f>
        <v>1680000</v>
      </c>
      <c r="Q181" s="175">
        <f t="shared" si="5"/>
        <v>1600000</v>
      </c>
      <c r="R181" s="119">
        <f>L181*(1+GROWTH_RATE)*FMC</f>
        <v>1272.568467</v>
      </c>
      <c r="S181" s="178">
        <f>S180*(1+'Pre-Calculation'!$E$27)</f>
        <v>1073478.765</v>
      </c>
      <c r="T181" s="175">
        <f>-E181+IF(A180=INPUT!$C$11*12,N181,0)</f>
        <v>0</v>
      </c>
      <c r="U181" s="175">
        <f t="shared" si="6"/>
        <v>1213762.47</v>
      </c>
      <c r="V181" s="175">
        <f>U181*(1+GROWTH_RATE_L)*(1-'Pre-Calculation'!$E$31)</f>
        <v>1215708.087</v>
      </c>
      <c r="W181" s="175">
        <f>-E181+IF(A180=INPUT!$C$11*12,V181,0)</f>
        <v>0</v>
      </c>
      <c r="X181" s="179">
        <f t="array" ref="X181">NPV('Pre-Calculation'!$E$20,$E182:E$246)</f>
        <v>0</v>
      </c>
      <c r="Y181" s="171">
        <f>10%*SA</f>
        <v>100000</v>
      </c>
      <c r="Z181" s="179">
        <f t="array" ref="Z181">NPV('Pre-Calculation'!$E$20,Y182:Y191)</f>
        <v>969592.8037</v>
      </c>
    </row>
    <row r="182" ht="15.75" customHeight="1">
      <c r="A182" s="171">
        <f t="shared" si="1"/>
        <v>176</v>
      </c>
      <c r="B182" s="171">
        <f t="shared" si="2"/>
        <v>15</v>
      </c>
      <c r="C182" s="176">
        <f>EDATE(RCD,A181)</f>
        <v>47878</v>
      </c>
      <c r="D182" s="171">
        <f>Age_At_Entry+'Cashflows_4% from Start'!B182-1</f>
        <v>49</v>
      </c>
      <c r="E182" s="175">
        <f>IF(AND(C182&lt;=Last_Prem,MOD(A181,Mode)=0),Mod_Prem,0)</f>
        <v>0</v>
      </c>
      <c r="F182" s="177">
        <f>IF(B182&lt;PT+1,E182*VLOOKUP(B182,'Pre-Calculation'!$H$1:$I$31,2,FALSE),0)</f>
        <v>0</v>
      </c>
      <c r="G182" s="177">
        <f>IF(B182&lt;PT+1,VLOOKUP(B182,'Pre-Calculation'!$H$1:$L$32,3,FALSE)+VLOOKUP(B182,'Pre-Calculation'!$H$1:$L$32,4,FALSE)*'Pre-Calculation'!$D$7,0)</f>
        <v>0</v>
      </c>
      <c r="H182" s="175">
        <f>(E182-(F182+G182)*(1+Tax)+N181)</f>
        <v>1126736.629</v>
      </c>
      <c r="I182" s="175">
        <f>IF(B182&lt;PT+1,VLOOKUP(D182,'Pre-Calculation'!$N$3:$P$79,IF(INPUT!$C$4="M",2,3),FALSE)*(J182/1000)*(1/12),0)</f>
        <v>0</v>
      </c>
      <c r="J182" s="175">
        <f t="shared" si="3"/>
        <v>553263.3713</v>
      </c>
      <c r="K182" s="175">
        <f>IF('Pre-Calculation'!$D$17="Type 4 a",MAX(SA,H182,1.05*Q182),IF('Pre-Calculation'!$D$17="Type 4 c",H182,IF('Pre-Calculation'!$D$17="Type 4 d",SA+H182,IF('Pre-Calculation'!$D$17="Type 4 e",MAX(SA,H182),IF('Pre-Calculation'!$D$17="Type 4 f",SA,IF('Pre-Calculation'!$D$17="Type 4 g",1000+H182,IF('Pre-Calculation'!$D$17="Type 4 h",SA+X182,IF('Pre-Calculation'!$D$17="Type 4 i",MAX(H182,Q182),IF('Pre-Calculation'!$D$17="Type 4 k",MAX(H182,1.01*Q182),IF('Pre-Calculation'!$D$17="Type 4 m",MAX(105%*Q182,SA+H182),IF('Pre-Calculation'!$D$17="Type 4 o",MAX(SA,105%*Q182)+X182+Z182,IF('Pre-Calculation'!$D$17="Type 5",0))))))))))))</f>
        <v>1680000</v>
      </c>
      <c r="L182" s="175">
        <f>H182-I182*(1+Tax)</f>
        <v>1126736.629</v>
      </c>
      <c r="M182" s="175">
        <f>L182*(1+GROWTH_RATE_L)*(1-FMC*(1+Tax))</f>
        <v>1128925.448</v>
      </c>
      <c r="N182" s="175">
        <f>M182+IF(MOD(A182,B182)=0,VLOOKUP(B182,'Pre-Calculation'!$H$1:$L$31,5,FALSE),0)*IF('Pre-Calculation'!$D$16="% OF FV",M182,IF(OR('Pre-Calculation'!$D$16="% OF AFV(24M)",'Pre-Calculation'!$D$16="% OF AFV(8Q)"),AVERAGE( $M159:$M182),IF('Pre-Calculation'!$D$16="% OF AFV(12M)",AVERAGE($M171:M182),IF('Pre-Calculation'!$D$16="% OF AFV(36M)",AVERAGE($M147:M182)))))</f>
        <v>1128925.448</v>
      </c>
      <c r="O182" s="175">
        <f t="shared" si="4"/>
        <v>1128925.448</v>
      </c>
      <c r="P182" s="175">
        <f>IF('Pre-Calculation'!$D$17="Type 4 a",MAX(SA,N182,1.05*Q182),IF('Pre-Calculation'!$D$17="Type 4 c",N182,IF('Pre-Calculation'!$D$17="Type 4 d",SA+N182,IF('Pre-Calculation'!$D$17="Type 4 e",MAX(SA,N182),IF('Pre-Calculation'!$D$17="Type 4 f",SA,IF('Pre-Calculation'!$D$17="Type 4 g",1000+N182,IF('Pre-Calculation'!$D$17="Type 4 h",SA+X182,IF('Pre-Calculation'!$D$17="Type 4 i",MAX(N182,Q182),IF('Pre-Calculation'!$D$17="Type 4 k",MAX(N182,1.01*Q182),IF('Pre-Calculation'!$D$17="Type 4 m",MAX(105%*Q182,SA+N182),IF('Pre-Calculation'!$D$17="Type 4 o",MAX(SA,105%*Q182)+X182+Z182,IF('Pre-Calculation'!$D$17="Type 5",0))))))))))))</f>
        <v>1680000</v>
      </c>
      <c r="Q182" s="175">
        <f t="shared" si="5"/>
        <v>1600000</v>
      </c>
      <c r="R182" s="119">
        <f>L182*(1+GROWTH_RATE)*FMC</f>
        <v>1275.040582</v>
      </c>
      <c r="S182" s="178">
        <f>S181*(1+'Pre-Calculation'!$E$27)</f>
        <v>1076560.614</v>
      </c>
      <c r="T182" s="175">
        <f>-E182+IF(A181=INPUT!$C$11*12,N182,0)</f>
        <v>0</v>
      </c>
      <c r="U182" s="175">
        <f t="shared" si="6"/>
        <v>1215708.087</v>
      </c>
      <c r="V182" s="175">
        <f>U182*(1+GROWTH_RATE_L)*(1-'Pre-Calculation'!$E$31)</f>
        <v>1217656.823</v>
      </c>
      <c r="W182" s="175">
        <f>-E182+IF(A181=INPUT!$C$11*12,V182,0)</f>
        <v>0</v>
      </c>
      <c r="X182" s="179">
        <f t="array" ref="X182">NPV('Pre-Calculation'!$E$20,$E183:E$246)</f>
        <v>0</v>
      </c>
      <c r="Y182" s="171">
        <f>10%*SA</f>
        <v>100000</v>
      </c>
      <c r="Z182" s="179">
        <f t="array" ref="Z182">NPV('Pre-Calculation'!$E$20,Y183:Y192)</f>
        <v>969592.8037</v>
      </c>
    </row>
    <row r="183" ht="15.75" customHeight="1">
      <c r="A183" s="171">
        <f t="shared" si="1"/>
        <v>177</v>
      </c>
      <c r="B183" s="171">
        <f t="shared" si="2"/>
        <v>15</v>
      </c>
      <c r="C183" s="176">
        <f>EDATE(RCD,A182)</f>
        <v>47907</v>
      </c>
      <c r="D183" s="171">
        <f>Age_At_Entry+'Cashflows_4% from Start'!B183-1</f>
        <v>49</v>
      </c>
      <c r="E183" s="175">
        <f>IF(AND(C183&lt;=Last_Prem,MOD(A182,Mode)=0),Mod_Prem,0)</f>
        <v>0</v>
      </c>
      <c r="F183" s="177">
        <f>IF(B183&lt;PT+1,E183*VLOOKUP(B183,'Pre-Calculation'!$H$1:$I$31,2,FALSE),0)</f>
        <v>0</v>
      </c>
      <c r="G183" s="177">
        <f>IF(B183&lt;PT+1,VLOOKUP(B183,'Pre-Calculation'!$H$1:$L$32,3,FALSE)+VLOOKUP(B183,'Pre-Calculation'!$H$1:$L$32,4,FALSE)*'Pre-Calculation'!$D$7,0)</f>
        <v>0</v>
      </c>
      <c r="H183" s="175">
        <f>(E183-(F183+G183)*(1+Tax)+N182)</f>
        <v>1128925.448</v>
      </c>
      <c r="I183" s="175">
        <f>IF(B183&lt;PT+1,VLOOKUP(D183,'Pre-Calculation'!$N$3:$P$79,IF(INPUT!$C$4="M",2,3),FALSE)*(J183/1000)*(1/12),0)</f>
        <v>0</v>
      </c>
      <c r="J183" s="175">
        <f t="shared" si="3"/>
        <v>551074.5523</v>
      </c>
      <c r="K183" s="175">
        <f>IF('Pre-Calculation'!$D$17="Type 4 a",MAX(SA,H183,1.05*Q183),IF('Pre-Calculation'!$D$17="Type 4 c",H183,IF('Pre-Calculation'!$D$17="Type 4 d",SA+H183,IF('Pre-Calculation'!$D$17="Type 4 e",MAX(SA,H183),IF('Pre-Calculation'!$D$17="Type 4 f",SA,IF('Pre-Calculation'!$D$17="Type 4 g",1000+H183,IF('Pre-Calculation'!$D$17="Type 4 h",SA+X183,IF('Pre-Calculation'!$D$17="Type 4 i",MAX(H183,Q183),IF('Pre-Calculation'!$D$17="Type 4 k",MAX(H183,1.01*Q183),IF('Pre-Calculation'!$D$17="Type 4 m",MAX(105%*Q183,SA+H183),IF('Pre-Calculation'!$D$17="Type 4 o",MAX(SA,105%*Q183)+X183+Z183,IF('Pre-Calculation'!$D$17="Type 5",0))))))))))))</f>
        <v>1680000</v>
      </c>
      <c r="L183" s="175">
        <f>H183-I183*(1+Tax)</f>
        <v>1128925.448</v>
      </c>
      <c r="M183" s="175">
        <f>L183*(1+GROWTH_RATE_L)*(1-FMC*(1+Tax))</f>
        <v>1131118.519</v>
      </c>
      <c r="N183" s="175">
        <f>M183+IF(MOD(A183,B183)=0,VLOOKUP(B183,'Pre-Calculation'!$H$1:$L$31,5,FALSE),0)*IF('Pre-Calculation'!$D$16="% OF FV",M183,IF(OR('Pre-Calculation'!$D$16="% OF AFV(24M)",'Pre-Calculation'!$D$16="% OF AFV(8Q)"),AVERAGE( $M160:$M183),IF('Pre-Calculation'!$D$16="% OF AFV(12M)",AVERAGE($M172:M183),IF('Pre-Calculation'!$D$16="% OF AFV(36M)",AVERAGE($M148:M183)))))</f>
        <v>1131118.519</v>
      </c>
      <c r="O183" s="175">
        <f t="shared" si="4"/>
        <v>1131118.519</v>
      </c>
      <c r="P183" s="175">
        <f>IF('Pre-Calculation'!$D$17="Type 4 a",MAX(SA,N183,1.05*Q183),IF('Pre-Calculation'!$D$17="Type 4 c",N183,IF('Pre-Calculation'!$D$17="Type 4 d",SA+N183,IF('Pre-Calculation'!$D$17="Type 4 e",MAX(SA,N183),IF('Pre-Calculation'!$D$17="Type 4 f",SA,IF('Pre-Calculation'!$D$17="Type 4 g",1000+N183,IF('Pre-Calculation'!$D$17="Type 4 h",SA+X183,IF('Pre-Calculation'!$D$17="Type 4 i",MAX(N183,Q183),IF('Pre-Calculation'!$D$17="Type 4 k",MAX(N183,1.01*Q183),IF('Pre-Calculation'!$D$17="Type 4 m",MAX(105%*Q183,SA+N183),IF('Pre-Calculation'!$D$17="Type 4 o",MAX(SA,105%*Q183)+X183+Z183,IF('Pre-Calculation'!$D$17="Type 5",0))))))))))))</f>
        <v>1680000</v>
      </c>
      <c r="Q183" s="175">
        <f t="shared" si="5"/>
        <v>1600000</v>
      </c>
      <c r="R183" s="119">
        <f>L183*(1+GROWTH_RATE)*FMC</f>
        <v>1277.517499</v>
      </c>
      <c r="S183" s="178">
        <f>S182*(1+'Pre-Calculation'!$E$27)</f>
        <v>1079651.31</v>
      </c>
      <c r="T183" s="175">
        <f>-E183+IF(A182=INPUT!$C$11*12,N183,0)</f>
        <v>0</v>
      </c>
      <c r="U183" s="175">
        <f t="shared" si="6"/>
        <v>1217656.823</v>
      </c>
      <c r="V183" s="175">
        <f>U183*(1+GROWTH_RATE_L)*(1-'Pre-Calculation'!$E$31)</f>
        <v>1219608.683</v>
      </c>
      <c r="W183" s="175">
        <f>-E183+IF(A182=INPUT!$C$11*12,V183,0)</f>
        <v>0</v>
      </c>
      <c r="X183" s="179">
        <f t="array" ref="X183">NPV('Pre-Calculation'!$E$20,$E184:E$246)</f>
        <v>0</v>
      </c>
      <c r="Y183" s="171">
        <f>10%*SA</f>
        <v>100000</v>
      </c>
      <c r="Z183" s="179">
        <f t="array" ref="Z183">NPV('Pre-Calculation'!$E$20,Y184:Y193)</f>
        <v>969592.8037</v>
      </c>
    </row>
    <row r="184" ht="15.75" customHeight="1">
      <c r="A184" s="171">
        <f t="shared" si="1"/>
        <v>178</v>
      </c>
      <c r="B184" s="171">
        <f t="shared" si="2"/>
        <v>15</v>
      </c>
      <c r="C184" s="176">
        <f>EDATE(RCD,A183)</f>
        <v>47937</v>
      </c>
      <c r="D184" s="171">
        <f>Age_At_Entry+'Cashflows_4% from Start'!B184-1</f>
        <v>49</v>
      </c>
      <c r="E184" s="175">
        <f>IF(AND(C184&lt;=Last_Prem,MOD(A183,Mode)=0),Mod_Prem,0)</f>
        <v>0</v>
      </c>
      <c r="F184" s="177">
        <f>IF(B184&lt;PT+1,E184*VLOOKUP(B184,'Pre-Calculation'!$H$1:$I$31,2,FALSE),0)</f>
        <v>0</v>
      </c>
      <c r="G184" s="177">
        <f>IF(B184&lt;PT+1,VLOOKUP(B184,'Pre-Calculation'!$H$1:$L$32,3,FALSE)+VLOOKUP(B184,'Pre-Calculation'!$H$1:$L$32,4,FALSE)*'Pre-Calculation'!$D$7,0)</f>
        <v>0</v>
      </c>
      <c r="H184" s="175">
        <f>(E184-(F184+G184)*(1+Tax)+N183)</f>
        <v>1131118.519</v>
      </c>
      <c r="I184" s="175">
        <f>IF(B184&lt;PT+1,VLOOKUP(D184,'Pre-Calculation'!$N$3:$P$79,IF(INPUT!$C$4="M",2,3),FALSE)*(J184/1000)*(1/12),0)</f>
        <v>0</v>
      </c>
      <c r="J184" s="175">
        <f t="shared" si="3"/>
        <v>548881.4812</v>
      </c>
      <c r="K184" s="175">
        <f>IF('Pre-Calculation'!$D$17="Type 4 a",MAX(SA,H184,1.05*Q184),IF('Pre-Calculation'!$D$17="Type 4 c",H184,IF('Pre-Calculation'!$D$17="Type 4 d",SA+H184,IF('Pre-Calculation'!$D$17="Type 4 e",MAX(SA,H184),IF('Pre-Calculation'!$D$17="Type 4 f",SA,IF('Pre-Calculation'!$D$17="Type 4 g",1000+H184,IF('Pre-Calculation'!$D$17="Type 4 h",SA+X184,IF('Pre-Calculation'!$D$17="Type 4 i",MAX(H184,Q184),IF('Pre-Calculation'!$D$17="Type 4 k",MAX(H184,1.01*Q184),IF('Pre-Calculation'!$D$17="Type 4 m",MAX(105%*Q184,SA+H184),IF('Pre-Calculation'!$D$17="Type 4 o",MAX(SA,105%*Q184)+X184+Z184,IF('Pre-Calculation'!$D$17="Type 5",0))))))))))))</f>
        <v>1680000</v>
      </c>
      <c r="L184" s="175">
        <f>H184-I184*(1+Tax)</f>
        <v>1131118.519</v>
      </c>
      <c r="M184" s="175">
        <f>L184*(1+GROWTH_RATE_L)*(1-FMC*(1+Tax))</f>
        <v>1133315.85</v>
      </c>
      <c r="N184" s="175">
        <f>M184+IF(MOD(A184,B184)=0,VLOOKUP(B184,'Pre-Calculation'!$H$1:$L$31,5,FALSE),0)*IF('Pre-Calculation'!$D$16="% OF FV",M184,IF(OR('Pre-Calculation'!$D$16="% OF AFV(24M)",'Pre-Calculation'!$D$16="% OF AFV(8Q)"),AVERAGE( $M161:$M184),IF('Pre-Calculation'!$D$16="% OF AFV(12M)",AVERAGE($M173:M184),IF('Pre-Calculation'!$D$16="% OF AFV(36M)",AVERAGE($M149:M184)))))</f>
        <v>1133315.85</v>
      </c>
      <c r="O184" s="175">
        <f t="shared" si="4"/>
        <v>1133315.85</v>
      </c>
      <c r="P184" s="175">
        <f>IF('Pre-Calculation'!$D$17="Type 4 a",MAX(SA,N184,1.05*Q184),IF('Pre-Calculation'!$D$17="Type 4 c",N184,IF('Pre-Calculation'!$D$17="Type 4 d",SA+N184,IF('Pre-Calculation'!$D$17="Type 4 e",MAX(SA,N184),IF('Pre-Calculation'!$D$17="Type 4 f",SA,IF('Pre-Calculation'!$D$17="Type 4 g",1000+N184,IF('Pre-Calculation'!$D$17="Type 4 h",SA+X184,IF('Pre-Calculation'!$D$17="Type 4 i",MAX(N184,Q184),IF('Pre-Calculation'!$D$17="Type 4 k",MAX(N184,1.01*Q184),IF('Pre-Calculation'!$D$17="Type 4 m",MAX(105%*Q184,SA+N184),IF('Pre-Calculation'!$D$17="Type 4 o",MAX(SA,105%*Q184)+X184+Z184,IF('Pre-Calculation'!$D$17="Type 5",0))))))))))))</f>
        <v>1680000</v>
      </c>
      <c r="Q184" s="175">
        <f t="shared" si="5"/>
        <v>1600000</v>
      </c>
      <c r="R184" s="119">
        <f>L184*(1+GROWTH_RATE)*FMC</f>
        <v>1279.999227</v>
      </c>
      <c r="S184" s="178">
        <f>S183*(1+'Pre-Calculation'!$E$27)</f>
        <v>1082750.88</v>
      </c>
      <c r="T184" s="175">
        <f>-E184+IF(A183=INPUT!$C$11*12,N184,0)</f>
        <v>0</v>
      </c>
      <c r="U184" s="175">
        <f t="shared" si="6"/>
        <v>1219608.683</v>
      </c>
      <c r="V184" s="175">
        <f>U184*(1+GROWTH_RATE_L)*(1-'Pre-Calculation'!$E$31)</f>
        <v>1221563.671</v>
      </c>
      <c r="W184" s="175">
        <f>-E184+IF(A183=INPUT!$C$11*12,V184,0)</f>
        <v>0</v>
      </c>
      <c r="X184" s="179">
        <f t="array" ref="X184">NPV('Pre-Calculation'!$E$20,$E185:E$246)</f>
        <v>0</v>
      </c>
      <c r="Y184" s="171">
        <f>10%*SA</f>
        <v>100000</v>
      </c>
      <c r="Z184" s="179">
        <f t="array" ref="Z184">NPV('Pre-Calculation'!$E$20,Y185:Y194)</f>
        <v>969592.8037</v>
      </c>
    </row>
    <row r="185" ht="15.75" customHeight="1">
      <c r="A185" s="171">
        <f t="shared" si="1"/>
        <v>179</v>
      </c>
      <c r="B185" s="171">
        <f t="shared" si="2"/>
        <v>15</v>
      </c>
      <c r="C185" s="176">
        <f>EDATE(RCD,A184)</f>
        <v>47968</v>
      </c>
      <c r="D185" s="171">
        <f>Age_At_Entry+'Cashflows_4% from Start'!B185-1</f>
        <v>49</v>
      </c>
      <c r="E185" s="175">
        <f>IF(AND(C185&lt;=Last_Prem,MOD(A184,Mode)=0),Mod_Prem,0)</f>
        <v>0</v>
      </c>
      <c r="F185" s="177">
        <f>IF(B185&lt;PT+1,E185*VLOOKUP(B185,'Pre-Calculation'!$H$1:$I$31,2,FALSE),0)</f>
        <v>0</v>
      </c>
      <c r="G185" s="177">
        <f>IF(B185&lt;PT+1,VLOOKUP(B185,'Pre-Calculation'!$H$1:$L$32,3,FALSE)+VLOOKUP(B185,'Pre-Calculation'!$H$1:$L$32,4,FALSE)*'Pre-Calculation'!$D$7,0)</f>
        <v>0</v>
      </c>
      <c r="H185" s="175">
        <f>(E185-(F185+G185)*(1+Tax)+N184)</f>
        <v>1133315.85</v>
      </c>
      <c r="I185" s="175">
        <f>IF(B185&lt;PT+1,VLOOKUP(D185,'Pre-Calculation'!$N$3:$P$79,IF(INPUT!$C$4="M",2,3),FALSE)*(J185/1000)*(1/12),0)</f>
        <v>0</v>
      </c>
      <c r="J185" s="175">
        <f t="shared" si="3"/>
        <v>546684.1498</v>
      </c>
      <c r="K185" s="175">
        <f>IF('Pre-Calculation'!$D$17="Type 4 a",MAX(SA,H185,1.05*Q185),IF('Pre-Calculation'!$D$17="Type 4 c",H185,IF('Pre-Calculation'!$D$17="Type 4 d",SA+H185,IF('Pre-Calculation'!$D$17="Type 4 e",MAX(SA,H185),IF('Pre-Calculation'!$D$17="Type 4 f",SA,IF('Pre-Calculation'!$D$17="Type 4 g",1000+H185,IF('Pre-Calculation'!$D$17="Type 4 h",SA+X185,IF('Pre-Calculation'!$D$17="Type 4 i",MAX(H185,Q185),IF('Pre-Calculation'!$D$17="Type 4 k",MAX(H185,1.01*Q185),IF('Pre-Calculation'!$D$17="Type 4 m",MAX(105%*Q185,SA+H185),IF('Pre-Calculation'!$D$17="Type 4 o",MAX(SA,105%*Q185)+X185+Z185,IF('Pre-Calculation'!$D$17="Type 5",0))))))))))))</f>
        <v>1680000</v>
      </c>
      <c r="L185" s="175">
        <f>H185-I185*(1+Tax)</f>
        <v>1133315.85</v>
      </c>
      <c r="M185" s="175">
        <f>L185*(1+GROWTH_RATE_L)*(1-FMC*(1+Tax))</f>
        <v>1135517.45</v>
      </c>
      <c r="N185" s="175">
        <f>M185+IF(MOD(A185,B185)=0,VLOOKUP(B185,'Pre-Calculation'!$H$1:$L$31,5,FALSE),0)*IF('Pre-Calculation'!$D$16="% OF FV",M185,IF(OR('Pre-Calculation'!$D$16="% OF AFV(24M)",'Pre-Calculation'!$D$16="% OF AFV(8Q)"),AVERAGE( $M162:$M185),IF('Pre-Calculation'!$D$16="% OF AFV(12M)",AVERAGE($M174:M185),IF('Pre-Calculation'!$D$16="% OF AFV(36M)",AVERAGE($M150:M185)))))</f>
        <v>1135517.45</v>
      </c>
      <c r="O185" s="175">
        <f t="shared" si="4"/>
        <v>1135517.45</v>
      </c>
      <c r="P185" s="175">
        <f>IF('Pre-Calculation'!$D$17="Type 4 a",MAX(SA,N185,1.05*Q185),IF('Pre-Calculation'!$D$17="Type 4 c",N185,IF('Pre-Calculation'!$D$17="Type 4 d",SA+N185,IF('Pre-Calculation'!$D$17="Type 4 e",MAX(SA,N185),IF('Pre-Calculation'!$D$17="Type 4 f",SA,IF('Pre-Calculation'!$D$17="Type 4 g",1000+N185,IF('Pre-Calculation'!$D$17="Type 4 h",SA+X185,IF('Pre-Calculation'!$D$17="Type 4 i",MAX(N185,Q185),IF('Pre-Calculation'!$D$17="Type 4 k",MAX(N185,1.01*Q185),IF('Pre-Calculation'!$D$17="Type 4 m",MAX(105%*Q185,SA+N185),IF('Pre-Calculation'!$D$17="Type 4 o",MAX(SA,105%*Q185)+X185+Z185,IF('Pre-Calculation'!$D$17="Type 5",0))))))))))))</f>
        <v>1680000</v>
      </c>
      <c r="Q185" s="175">
        <f t="shared" si="5"/>
        <v>1600000</v>
      </c>
      <c r="R185" s="119">
        <f>L185*(1+GROWTH_RATE)*FMC</f>
        <v>1282.485777</v>
      </c>
      <c r="S185" s="178">
        <f>S184*(1+'Pre-Calculation'!$E$27)</f>
        <v>1085859.348</v>
      </c>
      <c r="T185" s="175">
        <f>-E185+IF(A184=INPUT!$C$11*12,N185,0)</f>
        <v>0</v>
      </c>
      <c r="U185" s="175">
        <f t="shared" si="6"/>
        <v>1221563.671</v>
      </c>
      <c r="V185" s="175">
        <f>U185*(1+GROWTH_RATE_L)*(1-'Pre-Calculation'!$E$31)</f>
        <v>1223521.794</v>
      </c>
      <c r="W185" s="175">
        <f>-E185+IF(A184=INPUT!$C$11*12,V185,0)</f>
        <v>0</v>
      </c>
      <c r="X185" s="179">
        <f t="array" ref="X185">NPV('Pre-Calculation'!$E$20,$E186:E$246)</f>
        <v>0</v>
      </c>
      <c r="Y185" s="171">
        <f>10%*SA</f>
        <v>100000</v>
      </c>
      <c r="Z185" s="179">
        <f t="array" ref="Z185">NPV('Pre-Calculation'!$E$20,Y186:Y195)</f>
        <v>969592.8037</v>
      </c>
    </row>
    <row r="186" ht="15.75" customHeight="1">
      <c r="A186" s="171">
        <f t="shared" si="1"/>
        <v>180</v>
      </c>
      <c r="B186" s="171">
        <f t="shared" si="2"/>
        <v>15</v>
      </c>
      <c r="C186" s="176">
        <f>EDATE(RCD,A185)</f>
        <v>47998</v>
      </c>
      <c r="D186" s="171">
        <f>Age_At_Entry+'Cashflows_4% from Start'!B186-1</f>
        <v>49</v>
      </c>
      <c r="E186" s="175">
        <f>IF(AND(C186&lt;=Last_Prem,MOD(A185,Mode)=0),Mod_Prem,0)</f>
        <v>0</v>
      </c>
      <c r="F186" s="177">
        <f>IF(B186&lt;PT+1,E186*VLOOKUP(B186,'Pre-Calculation'!$H$1:$I$31,2,FALSE),0)</f>
        <v>0</v>
      </c>
      <c r="G186" s="177">
        <f>IF(B186&lt;PT+1,VLOOKUP(B186,'Pre-Calculation'!$H$1:$L$32,3,FALSE)+VLOOKUP(B186,'Pre-Calculation'!$H$1:$L$32,4,FALSE)*'Pre-Calculation'!$D$7,0)</f>
        <v>0</v>
      </c>
      <c r="H186" s="175">
        <f>(E186-(F186+G186)*(1+Tax)+N185)</f>
        <v>1135517.45</v>
      </c>
      <c r="I186" s="175">
        <f>IF(B186&lt;PT+1,VLOOKUP(D186,'Pre-Calculation'!$N$3:$P$79,IF(INPUT!$C$4="M",2,3),FALSE)*(J186/1000)*(1/12),0)</f>
        <v>0</v>
      </c>
      <c r="J186" s="175">
        <f t="shared" si="3"/>
        <v>544482.5498</v>
      </c>
      <c r="K186" s="175">
        <f>IF('Pre-Calculation'!$D$17="Type 4 a",MAX(SA,H186,1.05*Q186),IF('Pre-Calculation'!$D$17="Type 4 c",H186,IF('Pre-Calculation'!$D$17="Type 4 d",SA+H186,IF('Pre-Calculation'!$D$17="Type 4 e",MAX(SA,H186),IF('Pre-Calculation'!$D$17="Type 4 f",SA,IF('Pre-Calculation'!$D$17="Type 4 g",1000+H186,IF('Pre-Calculation'!$D$17="Type 4 h",SA+X186,IF('Pre-Calculation'!$D$17="Type 4 i",MAX(H186,Q186),IF('Pre-Calculation'!$D$17="Type 4 k",MAX(H186,1.01*Q186),IF('Pre-Calculation'!$D$17="Type 4 m",MAX(105%*Q186,SA+H186),IF('Pre-Calculation'!$D$17="Type 4 o",MAX(SA,105%*Q186)+X186+Z186,IF('Pre-Calculation'!$D$17="Type 5",0))))))))))))</f>
        <v>1680000</v>
      </c>
      <c r="L186" s="175">
        <f>H186-I186*(1+Tax)</f>
        <v>1135517.45</v>
      </c>
      <c r="M186" s="175">
        <f>L186*(1+GROWTH_RATE_L)*(1-FMC*(1+Tax))</f>
        <v>1137723.327</v>
      </c>
      <c r="N186" s="175">
        <f>M186+IF(MOD(A186,B186)=0,VLOOKUP(B186,'Pre-Calculation'!$H$1:$L$31,5,FALSE),0)*IF('Pre-Calculation'!$D$16="% OF FV",M186,IF(OR('Pre-Calculation'!$D$16="% OF AFV(24M)",'Pre-Calculation'!$D$16="% OF AFV(8Q)"),AVERAGE( $M163:$M186),IF('Pre-Calculation'!$D$16="% OF AFV(12M)",AVERAGE($M175:M186),IF('Pre-Calculation'!$D$16="% OF AFV(36M)",AVERAGE($M151:M186)))))</f>
        <v>1137723.327</v>
      </c>
      <c r="O186" s="175">
        <f t="shared" si="4"/>
        <v>1137723.327</v>
      </c>
      <c r="P186" s="175">
        <f>IF('Pre-Calculation'!$D$17="Type 4 a",MAX(SA,N186,1.05*Q186),IF('Pre-Calculation'!$D$17="Type 4 c",N186,IF('Pre-Calculation'!$D$17="Type 4 d",SA+N186,IF('Pre-Calculation'!$D$17="Type 4 e",MAX(SA,N186),IF('Pre-Calculation'!$D$17="Type 4 f",SA,IF('Pre-Calculation'!$D$17="Type 4 g",1000+N186,IF('Pre-Calculation'!$D$17="Type 4 h",SA+X186,IF('Pre-Calculation'!$D$17="Type 4 i",MAX(N186,Q186),IF('Pre-Calculation'!$D$17="Type 4 k",MAX(N186,1.01*Q186),IF('Pre-Calculation'!$D$17="Type 4 m",MAX(105%*Q186,SA+N186),IF('Pre-Calculation'!$D$17="Type 4 o",MAX(SA,105%*Q186)+X186+Z186,IF('Pre-Calculation'!$D$17="Type 5",0))))))))))))</f>
        <v>1680000</v>
      </c>
      <c r="Q186" s="175">
        <f t="shared" si="5"/>
        <v>1600000</v>
      </c>
      <c r="R186" s="119">
        <f>L186*(1+GROWTH_RATE)*FMC</f>
        <v>1284.977157</v>
      </c>
      <c r="S186" s="178">
        <f>S185*(1+'Pre-Calculation'!$E$27)</f>
        <v>1088976.74</v>
      </c>
      <c r="T186" s="175">
        <f>-E186+IF(A185=INPUT!$C$11*12,N186,0)</f>
        <v>0</v>
      </c>
      <c r="U186" s="175">
        <f t="shared" si="6"/>
        <v>1223521.794</v>
      </c>
      <c r="V186" s="175">
        <f>U186*(1+GROWTH_RATE_L)*(1-'Pre-Calculation'!$E$31)</f>
        <v>1225483.055</v>
      </c>
      <c r="W186" s="175">
        <f>-E186+IF(A185=INPUT!$C$11*12,V186,0)</f>
        <v>0</v>
      </c>
      <c r="X186" s="179">
        <f t="array" ref="X186">NPV('Pre-Calculation'!$E$20,$E187:E$246)</f>
        <v>0</v>
      </c>
      <c r="Y186" s="171">
        <f>10%*SA</f>
        <v>100000</v>
      </c>
      <c r="Z186" s="179">
        <f t="array" ref="Z186">NPV('Pre-Calculation'!$E$20,Y187:Y196)</f>
        <v>969592.8037</v>
      </c>
    </row>
    <row r="187" ht="15.75" customHeight="1">
      <c r="A187" s="171">
        <f t="shared" si="1"/>
        <v>181</v>
      </c>
      <c r="B187" s="171">
        <f t="shared" si="2"/>
        <v>16</v>
      </c>
      <c r="C187" s="176">
        <f>EDATE(RCD,A186)</f>
        <v>48029</v>
      </c>
      <c r="D187" s="171">
        <f>Age_At_Entry+'Cashflows_4% from Start'!B187-1</f>
        <v>50</v>
      </c>
      <c r="E187" s="175">
        <f>IF(AND(C187&lt;=Last_Prem,MOD(A186,Mode)=0),Mod_Prem,0)</f>
        <v>0</v>
      </c>
      <c r="F187" s="177">
        <f>IF(B187&lt;PT+1,E187*VLOOKUP(B187,'Pre-Calculation'!$H$1:$I$31,2,FALSE),0)</f>
        <v>0</v>
      </c>
      <c r="G187" s="177">
        <f>IF(B187&lt;PT+1,VLOOKUP(B187,'Pre-Calculation'!$H$1:$L$32,3,FALSE)+VLOOKUP(B187,'Pre-Calculation'!$H$1:$L$32,4,FALSE)*'Pre-Calculation'!$D$7,0)</f>
        <v>0</v>
      </c>
      <c r="H187" s="175">
        <f>(E187-(F187+G187)*(1+Tax)+N186)</f>
        <v>1137723.327</v>
      </c>
      <c r="I187" s="175">
        <f>IF(B187&lt;PT+1,VLOOKUP(D187,'Pre-Calculation'!$N$3:$P$79,IF(INPUT!$C$4="M",2,3),FALSE)*(J187/1000)*(1/12),0)</f>
        <v>0</v>
      </c>
      <c r="J187" s="175">
        <f t="shared" si="3"/>
        <v>542276.673</v>
      </c>
      <c r="K187" s="175">
        <f>IF('Pre-Calculation'!$D$17="Type 4 a",MAX(SA,H187,1.05*Q187),IF('Pre-Calculation'!$D$17="Type 4 c",H187,IF('Pre-Calculation'!$D$17="Type 4 d",SA+H187,IF('Pre-Calculation'!$D$17="Type 4 e",MAX(SA,H187),IF('Pre-Calculation'!$D$17="Type 4 f",SA,IF('Pre-Calculation'!$D$17="Type 4 g",1000+H187,IF('Pre-Calculation'!$D$17="Type 4 h",SA+X187,IF('Pre-Calculation'!$D$17="Type 4 i",MAX(H187,Q187),IF('Pre-Calculation'!$D$17="Type 4 k",MAX(H187,1.01*Q187),IF('Pre-Calculation'!$D$17="Type 4 m",MAX(105%*Q187,SA+H187),IF('Pre-Calculation'!$D$17="Type 4 o",MAX(SA,105%*Q187)+X187+Z187,IF('Pre-Calculation'!$D$17="Type 5",0))))))))))))</f>
        <v>1680000</v>
      </c>
      <c r="L187" s="175">
        <f>H187-I187*(1+Tax)</f>
        <v>1137723.327</v>
      </c>
      <c r="M187" s="175">
        <f>L187*(1+GROWTH_RATE_L)*(1-FMC*(1+Tax))</f>
        <v>1139933.489</v>
      </c>
      <c r="N187" s="175">
        <f>M187+IF(MOD(A187,B187)=0,VLOOKUP(B187,'Pre-Calculation'!$H$1:$L$31,5,FALSE),0)*IF('Pre-Calculation'!$D$16="% OF FV",M187,IF(OR('Pre-Calculation'!$D$16="% OF AFV(24M)",'Pre-Calculation'!$D$16="% OF AFV(8Q)"),AVERAGE( $M164:$M187),IF('Pre-Calculation'!$D$16="% OF AFV(12M)",AVERAGE($M176:M187),IF('Pre-Calculation'!$D$16="% OF AFV(36M)",AVERAGE($M152:M187)))))</f>
        <v>1139933.489</v>
      </c>
      <c r="O187" s="175">
        <f t="shared" si="4"/>
        <v>1139933.489</v>
      </c>
      <c r="P187" s="175">
        <f>IF('Pre-Calculation'!$D$17="Type 4 a",MAX(SA,N187,1.05*Q187),IF('Pre-Calculation'!$D$17="Type 4 c",N187,IF('Pre-Calculation'!$D$17="Type 4 d",SA+N187,IF('Pre-Calculation'!$D$17="Type 4 e",MAX(SA,N187),IF('Pre-Calculation'!$D$17="Type 4 f",SA,IF('Pre-Calculation'!$D$17="Type 4 g",1000+N187,IF('Pre-Calculation'!$D$17="Type 4 h",SA+X187,IF('Pre-Calculation'!$D$17="Type 4 i",MAX(N187,Q187),IF('Pre-Calculation'!$D$17="Type 4 k",MAX(N187,1.01*Q187),IF('Pre-Calculation'!$D$17="Type 4 m",MAX(105%*Q187,SA+N187),IF('Pre-Calculation'!$D$17="Type 4 o",MAX(SA,105%*Q187)+X187+Z187,IF('Pre-Calculation'!$D$17="Type 5",0))))))))))))</f>
        <v>1680000</v>
      </c>
      <c r="Q187" s="175">
        <f t="shared" si="5"/>
        <v>1600000</v>
      </c>
      <c r="R187" s="119">
        <f>L187*(1+GROWTH_RATE)*FMC</f>
        <v>1287.473377</v>
      </c>
      <c r="S187" s="178">
        <f>S186*(1+'Pre-Calculation'!$E$27)</f>
        <v>1092103.082</v>
      </c>
      <c r="T187" s="175">
        <f>-E187+IF(A186=INPUT!$C$11*12,N187,0)</f>
        <v>0</v>
      </c>
      <c r="U187" s="175">
        <f t="shared" si="6"/>
        <v>1225483.055</v>
      </c>
      <c r="V187" s="175">
        <f>U187*(1+GROWTH_RATE_L)*(1-'Pre-Calculation'!$E$31)</f>
        <v>1227447.46</v>
      </c>
      <c r="W187" s="175">
        <f>-E187+IF(A186=INPUT!$C$11*12,V187,0)</f>
        <v>0</v>
      </c>
      <c r="X187" s="179">
        <f t="array" ref="X187">NPV('Pre-Calculation'!$E$20,$E188:E$246)</f>
        <v>0</v>
      </c>
      <c r="Y187" s="171">
        <f>10%*SA</f>
        <v>100000</v>
      </c>
      <c r="Z187" s="179">
        <f t="array" ref="Z187">NPV('Pre-Calculation'!$E$20,Y188:Y197)</f>
        <v>969592.8037</v>
      </c>
    </row>
    <row r="188" ht="15.75" customHeight="1">
      <c r="A188" s="171">
        <f t="shared" si="1"/>
        <v>182</v>
      </c>
      <c r="B188" s="171">
        <f t="shared" si="2"/>
        <v>16</v>
      </c>
      <c r="C188" s="176">
        <f>EDATE(RCD,A187)</f>
        <v>48059</v>
      </c>
      <c r="D188" s="171">
        <f>Age_At_Entry+'Cashflows_4% from Start'!B188-1</f>
        <v>50</v>
      </c>
      <c r="E188" s="175">
        <f>IF(AND(C188&lt;=Last_Prem,MOD(A187,Mode)=0),Mod_Prem,0)</f>
        <v>0</v>
      </c>
      <c r="F188" s="177">
        <f>IF(B188&lt;PT+1,E188*VLOOKUP(B188,'Pre-Calculation'!$H$1:$I$31,2,FALSE),0)</f>
        <v>0</v>
      </c>
      <c r="G188" s="177">
        <f>IF(B188&lt;PT+1,VLOOKUP(B188,'Pre-Calculation'!$H$1:$L$32,3,FALSE)+VLOOKUP(B188,'Pre-Calculation'!$H$1:$L$32,4,FALSE)*'Pre-Calculation'!$D$7,0)</f>
        <v>0</v>
      </c>
      <c r="H188" s="175">
        <f>(E188-(F188+G188)*(1+Tax)+N187)</f>
        <v>1139933.489</v>
      </c>
      <c r="I188" s="175">
        <f>IF(B188&lt;PT+1,VLOOKUP(D188,'Pre-Calculation'!$N$3:$P$79,IF(INPUT!$C$4="M",2,3),FALSE)*(J188/1000)*(1/12),0)</f>
        <v>0</v>
      </c>
      <c r="J188" s="175">
        <f t="shared" si="3"/>
        <v>540066.511</v>
      </c>
      <c r="K188" s="175">
        <f>IF('Pre-Calculation'!$D$17="Type 4 a",MAX(SA,H188,1.05*Q188),IF('Pre-Calculation'!$D$17="Type 4 c",H188,IF('Pre-Calculation'!$D$17="Type 4 d",SA+H188,IF('Pre-Calculation'!$D$17="Type 4 e",MAX(SA,H188),IF('Pre-Calculation'!$D$17="Type 4 f",SA,IF('Pre-Calculation'!$D$17="Type 4 g",1000+H188,IF('Pre-Calculation'!$D$17="Type 4 h",SA+X188,IF('Pre-Calculation'!$D$17="Type 4 i",MAX(H188,Q188),IF('Pre-Calculation'!$D$17="Type 4 k",MAX(H188,1.01*Q188),IF('Pre-Calculation'!$D$17="Type 4 m",MAX(105%*Q188,SA+H188),IF('Pre-Calculation'!$D$17="Type 4 o",MAX(SA,105%*Q188)+X188+Z188,IF('Pre-Calculation'!$D$17="Type 5",0))))))))))))</f>
        <v>1680000</v>
      </c>
      <c r="L188" s="175">
        <f>H188-I188*(1+Tax)</f>
        <v>1139933.489</v>
      </c>
      <c r="M188" s="175">
        <f>L188*(1+GROWTH_RATE_L)*(1-FMC*(1+Tax))</f>
        <v>1142147.945</v>
      </c>
      <c r="N188" s="175">
        <f>M188+IF(MOD(A188,B188)=0,VLOOKUP(B188,'Pre-Calculation'!$H$1:$L$31,5,FALSE),0)*IF('Pre-Calculation'!$D$16="% OF FV",M188,IF(OR('Pre-Calculation'!$D$16="% OF AFV(24M)",'Pre-Calculation'!$D$16="% OF AFV(8Q)"),AVERAGE( $M165:$M188),IF('Pre-Calculation'!$D$16="% OF AFV(12M)",AVERAGE($M177:M188),IF('Pre-Calculation'!$D$16="% OF AFV(36M)",AVERAGE($M153:M188)))))</f>
        <v>1142147.945</v>
      </c>
      <c r="O188" s="175">
        <f t="shared" si="4"/>
        <v>1142147.945</v>
      </c>
      <c r="P188" s="175">
        <f>IF('Pre-Calculation'!$D$17="Type 4 a",MAX(SA,N188,1.05*Q188),IF('Pre-Calculation'!$D$17="Type 4 c",N188,IF('Pre-Calculation'!$D$17="Type 4 d",SA+N188,IF('Pre-Calculation'!$D$17="Type 4 e",MAX(SA,N188),IF('Pre-Calculation'!$D$17="Type 4 f",SA,IF('Pre-Calculation'!$D$17="Type 4 g",1000+N188,IF('Pre-Calculation'!$D$17="Type 4 h",SA+X188,IF('Pre-Calculation'!$D$17="Type 4 i",MAX(N188,Q188),IF('Pre-Calculation'!$D$17="Type 4 k",MAX(N188,1.01*Q188),IF('Pre-Calculation'!$D$17="Type 4 m",MAX(105%*Q188,SA+N188),IF('Pre-Calculation'!$D$17="Type 4 o",MAX(SA,105%*Q188)+X188+Z188,IF('Pre-Calculation'!$D$17="Type 5",0))))))))))))</f>
        <v>1680000</v>
      </c>
      <c r="Q188" s="175">
        <f t="shared" si="5"/>
        <v>1600000</v>
      </c>
      <c r="R188" s="119">
        <f>L188*(1+GROWTH_RATE)*FMC</f>
        <v>1289.974446</v>
      </c>
      <c r="S188" s="178">
        <f>S187*(1+'Pre-Calculation'!$E$27)</f>
        <v>1095238.399</v>
      </c>
      <c r="T188" s="175">
        <f>-E188+IF(A187=INPUT!$C$11*12,N188,0)</f>
        <v>0</v>
      </c>
      <c r="U188" s="175">
        <f t="shared" si="6"/>
        <v>1227447.46</v>
      </c>
      <c r="V188" s="175">
        <f>U188*(1+GROWTH_RATE_L)*(1-'Pre-Calculation'!$E$31)</f>
        <v>1229415.014</v>
      </c>
      <c r="W188" s="175">
        <f>-E188+IF(A187=INPUT!$C$11*12,V188,0)</f>
        <v>0</v>
      </c>
      <c r="X188" s="179">
        <f t="array" ref="X188">NPV('Pre-Calculation'!$E$20,$E189:E$246)</f>
        <v>0</v>
      </c>
      <c r="Y188" s="171">
        <f>10%*SA</f>
        <v>100000</v>
      </c>
      <c r="Z188" s="179">
        <f t="array" ref="Z188">NPV('Pre-Calculation'!$E$20,Y189:Y198)</f>
        <v>969592.8037</v>
      </c>
    </row>
    <row r="189" ht="15.75" customHeight="1">
      <c r="A189" s="171">
        <f t="shared" si="1"/>
        <v>183</v>
      </c>
      <c r="B189" s="171">
        <f t="shared" si="2"/>
        <v>16</v>
      </c>
      <c r="C189" s="176">
        <f>EDATE(RCD,A188)</f>
        <v>48090</v>
      </c>
      <c r="D189" s="171">
        <f>Age_At_Entry+'Cashflows_4% from Start'!B189-1</f>
        <v>50</v>
      </c>
      <c r="E189" s="175">
        <f>IF(AND(C189&lt;=Last_Prem,MOD(A188,Mode)=0),Mod_Prem,0)</f>
        <v>0</v>
      </c>
      <c r="F189" s="177">
        <f>IF(B189&lt;PT+1,E189*VLOOKUP(B189,'Pre-Calculation'!$H$1:$I$31,2,FALSE),0)</f>
        <v>0</v>
      </c>
      <c r="G189" s="177">
        <f>IF(B189&lt;PT+1,VLOOKUP(B189,'Pre-Calculation'!$H$1:$L$32,3,FALSE)+VLOOKUP(B189,'Pre-Calculation'!$H$1:$L$32,4,FALSE)*'Pre-Calculation'!$D$7,0)</f>
        <v>0</v>
      </c>
      <c r="H189" s="175">
        <f>(E189-(F189+G189)*(1+Tax)+N188)</f>
        <v>1142147.945</v>
      </c>
      <c r="I189" s="175">
        <f>IF(B189&lt;PT+1,VLOOKUP(D189,'Pre-Calculation'!$N$3:$P$79,IF(INPUT!$C$4="M",2,3),FALSE)*(J189/1000)*(1/12),0)</f>
        <v>0</v>
      </c>
      <c r="J189" s="175">
        <f t="shared" si="3"/>
        <v>537852.0555</v>
      </c>
      <c r="K189" s="175">
        <f>IF('Pre-Calculation'!$D$17="Type 4 a",MAX(SA,H189,1.05*Q189),IF('Pre-Calculation'!$D$17="Type 4 c",H189,IF('Pre-Calculation'!$D$17="Type 4 d",SA+H189,IF('Pre-Calculation'!$D$17="Type 4 e",MAX(SA,H189),IF('Pre-Calculation'!$D$17="Type 4 f",SA,IF('Pre-Calculation'!$D$17="Type 4 g",1000+H189,IF('Pre-Calculation'!$D$17="Type 4 h",SA+X189,IF('Pre-Calculation'!$D$17="Type 4 i",MAX(H189,Q189),IF('Pre-Calculation'!$D$17="Type 4 k",MAX(H189,1.01*Q189),IF('Pre-Calculation'!$D$17="Type 4 m",MAX(105%*Q189,SA+H189),IF('Pre-Calculation'!$D$17="Type 4 o",MAX(SA,105%*Q189)+X189+Z189,IF('Pre-Calculation'!$D$17="Type 5",0))))))))))))</f>
        <v>1680000</v>
      </c>
      <c r="L189" s="175">
        <f>H189-I189*(1+Tax)</f>
        <v>1142147.945</v>
      </c>
      <c r="M189" s="175">
        <f>L189*(1+GROWTH_RATE_L)*(1-FMC*(1+Tax))</f>
        <v>1144366.702</v>
      </c>
      <c r="N189" s="175">
        <f>M189+IF(MOD(A189,B189)=0,VLOOKUP(B189,'Pre-Calculation'!$H$1:$L$31,5,FALSE),0)*IF('Pre-Calculation'!$D$16="% OF FV",M189,IF(OR('Pre-Calculation'!$D$16="% OF AFV(24M)",'Pre-Calculation'!$D$16="% OF AFV(8Q)"),AVERAGE( $M166:$M189),IF('Pre-Calculation'!$D$16="% OF AFV(12M)",AVERAGE($M178:M189),IF('Pre-Calculation'!$D$16="% OF AFV(36M)",AVERAGE($M154:M189)))))</f>
        <v>1144366.702</v>
      </c>
      <c r="O189" s="175">
        <f t="shared" si="4"/>
        <v>1144366.702</v>
      </c>
      <c r="P189" s="175">
        <f>IF('Pre-Calculation'!$D$17="Type 4 a",MAX(SA,N189,1.05*Q189),IF('Pre-Calculation'!$D$17="Type 4 c",N189,IF('Pre-Calculation'!$D$17="Type 4 d",SA+N189,IF('Pre-Calculation'!$D$17="Type 4 e",MAX(SA,N189),IF('Pre-Calculation'!$D$17="Type 4 f",SA,IF('Pre-Calculation'!$D$17="Type 4 g",1000+N189,IF('Pre-Calculation'!$D$17="Type 4 h",SA+X189,IF('Pre-Calculation'!$D$17="Type 4 i",MAX(N189,Q189),IF('Pre-Calculation'!$D$17="Type 4 k",MAX(N189,1.01*Q189),IF('Pre-Calculation'!$D$17="Type 4 m",MAX(105%*Q189,SA+N189),IF('Pre-Calculation'!$D$17="Type 4 o",MAX(SA,105%*Q189)+X189+Z189,IF('Pre-Calculation'!$D$17="Type 5",0))))))))))))</f>
        <v>1680000</v>
      </c>
      <c r="Q189" s="175">
        <f t="shared" si="5"/>
        <v>1600000</v>
      </c>
      <c r="R189" s="119">
        <f>L189*(1+GROWTH_RATE)*FMC</f>
        <v>1292.480374</v>
      </c>
      <c r="S189" s="178">
        <f>S188*(1+'Pre-Calculation'!$E$27)</f>
        <v>1098382.718</v>
      </c>
      <c r="T189" s="175">
        <f>-E189+IF(A188=INPUT!$C$11*12,N189,0)</f>
        <v>0</v>
      </c>
      <c r="U189" s="175">
        <f t="shared" si="6"/>
        <v>1229415.014</v>
      </c>
      <c r="V189" s="175">
        <f>U189*(1+GROWTH_RATE_L)*(1-'Pre-Calculation'!$E$31)</f>
        <v>1231385.722</v>
      </c>
      <c r="W189" s="175">
        <f>-E189+IF(A188=INPUT!$C$11*12,V189,0)</f>
        <v>0</v>
      </c>
      <c r="X189" s="179">
        <f t="array" ref="X189">NPV('Pre-Calculation'!$E$20,$E190:E$246)</f>
        <v>0</v>
      </c>
      <c r="Y189" s="171">
        <f>10%*SA</f>
        <v>100000</v>
      </c>
      <c r="Z189" s="179">
        <f t="array" ref="Z189">NPV('Pre-Calculation'!$E$20,Y190:Y199)</f>
        <v>969592.8037</v>
      </c>
    </row>
    <row r="190" ht="15.75" customHeight="1">
      <c r="A190" s="171">
        <f t="shared" si="1"/>
        <v>184</v>
      </c>
      <c r="B190" s="171">
        <f t="shared" si="2"/>
        <v>16</v>
      </c>
      <c r="C190" s="176">
        <f>EDATE(RCD,A189)</f>
        <v>48121</v>
      </c>
      <c r="D190" s="171">
        <f>Age_At_Entry+'Cashflows_4% from Start'!B190-1</f>
        <v>50</v>
      </c>
      <c r="E190" s="175">
        <f>IF(AND(C190&lt;=Last_Prem,MOD(A189,Mode)=0),Mod_Prem,0)</f>
        <v>0</v>
      </c>
      <c r="F190" s="177">
        <f>IF(B190&lt;PT+1,E190*VLOOKUP(B190,'Pre-Calculation'!$H$1:$I$31,2,FALSE),0)</f>
        <v>0</v>
      </c>
      <c r="G190" s="177">
        <f>IF(B190&lt;PT+1,VLOOKUP(B190,'Pre-Calculation'!$H$1:$L$32,3,FALSE)+VLOOKUP(B190,'Pre-Calculation'!$H$1:$L$32,4,FALSE)*'Pre-Calculation'!$D$7,0)</f>
        <v>0</v>
      </c>
      <c r="H190" s="175">
        <f>(E190-(F190+G190)*(1+Tax)+N189)</f>
        <v>1144366.702</v>
      </c>
      <c r="I190" s="175">
        <f>IF(B190&lt;PT+1,VLOOKUP(D190,'Pre-Calculation'!$N$3:$P$79,IF(INPUT!$C$4="M",2,3),FALSE)*(J190/1000)*(1/12),0)</f>
        <v>0</v>
      </c>
      <c r="J190" s="175">
        <f t="shared" si="3"/>
        <v>535633.2981</v>
      </c>
      <c r="K190" s="175">
        <f>IF('Pre-Calculation'!$D$17="Type 4 a",MAX(SA,H190,1.05*Q190),IF('Pre-Calculation'!$D$17="Type 4 c",H190,IF('Pre-Calculation'!$D$17="Type 4 d",SA+H190,IF('Pre-Calculation'!$D$17="Type 4 e",MAX(SA,H190),IF('Pre-Calculation'!$D$17="Type 4 f",SA,IF('Pre-Calculation'!$D$17="Type 4 g",1000+H190,IF('Pre-Calculation'!$D$17="Type 4 h",SA+X190,IF('Pre-Calculation'!$D$17="Type 4 i",MAX(H190,Q190),IF('Pre-Calculation'!$D$17="Type 4 k",MAX(H190,1.01*Q190),IF('Pre-Calculation'!$D$17="Type 4 m",MAX(105%*Q190,SA+H190),IF('Pre-Calculation'!$D$17="Type 4 o",MAX(SA,105%*Q190)+X190+Z190,IF('Pre-Calculation'!$D$17="Type 5",0))))))))))))</f>
        <v>1680000</v>
      </c>
      <c r="L190" s="175">
        <f>H190-I190*(1+Tax)</f>
        <v>1144366.702</v>
      </c>
      <c r="M190" s="175">
        <f>L190*(1+GROWTH_RATE_L)*(1-FMC*(1+Tax))</f>
        <v>1146589.769</v>
      </c>
      <c r="N190" s="175">
        <f>M190+IF(MOD(A190,B190)=0,VLOOKUP(B190,'Pre-Calculation'!$H$1:$L$31,5,FALSE),0)*IF('Pre-Calculation'!$D$16="% OF FV",M190,IF(OR('Pre-Calculation'!$D$16="% OF AFV(24M)",'Pre-Calculation'!$D$16="% OF AFV(8Q)"),AVERAGE( $M167:$M190),IF('Pre-Calculation'!$D$16="% OF AFV(12M)",AVERAGE($M179:M190),IF('Pre-Calculation'!$D$16="% OF AFV(36M)",AVERAGE($M155:M190)))))</f>
        <v>1146589.769</v>
      </c>
      <c r="O190" s="175">
        <f t="shared" si="4"/>
        <v>1146589.769</v>
      </c>
      <c r="P190" s="175">
        <f>IF('Pre-Calculation'!$D$17="Type 4 a",MAX(SA,N190,1.05*Q190),IF('Pre-Calculation'!$D$17="Type 4 c",N190,IF('Pre-Calculation'!$D$17="Type 4 d",SA+N190,IF('Pre-Calculation'!$D$17="Type 4 e",MAX(SA,N190),IF('Pre-Calculation'!$D$17="Type 4 f",SA,IF('Pre-Calculation'!$D$17="Type 4 g",1000+N190,IF('Pre-Calculation'!$D$17="Type 4 h",SA+X190,IF('Pre-Calculation'!$D$17="Type 4 i",MAX(N190,Q190),IF('Pre-Calculation'!$D$17="Type 4 k",MAX(N190,1.01*Q190),IF('Pre-Calculation'!$D$17="Type 4 m",MAX(105%*Q190,SA+N190),IF('Pre-Calculation'!$D$17="Type 4 o",MAX(SA,105%*Q190)+X190+Z190,IF('Pre-Calculation'!$D$17="Type 5",0))))))))))))</f>
        <v>1680000</v>
      </c>
      <c r="Q190" s="175">
        <f t="shared" si="5"/>
        <v>1600000</v>
      </c>
      <c r="R190" s="119">
        <f>L190*(1+GROWTH_RATE)*FMC</f>
        <v>1294.99117</v>
      </c>
      <c r="S190" s="178">
        <f>S189*(1+'Pre-Calculation'!$E$27)</f>
        <v>1101536.063</v>
      </c>
      <c r="T190" s="175">
        <f>-E190+IF(A189=INPUT!$C$11*12,N190,0)</f>
        <v>0</v>
      </c>
      <c r="U190" s="175">
        <f t="shared" si="6"/>
        <v>1231385.722</v>
      </c>
      <c r="V190" s="175">
        <f>U190*(1+GROWTH_RATE_L)*(1-'Pre-Calculation'!$E$31)</f>
        <v>1233359.588</v>
      </c>
      <c r="W190" s="175">
        <f>-E190+IF(A189=INPUT!$C$11*12,V190,0)</f>
        <v>0</v>
      </c>
      <c r="X190" s="179">
        <f t="array" ref="X190">NPV('Pre-Calculation'!$E$20,$E191:E$246)</f>
        <v>0</v>
      </c>
      <c r="Y190" s="171">
        <f>10%*SA</f>
        <v>100000</v>
      </c>
      <c r="Z190" s="179">
        <f t="array" ref="Z190">NPV('Pre-Calculation'!$E$20,Y191:Y200)</f>
        <v>969592.8037</v>
      </c>
    </row>
    <row r="191" ht="15.75" customHeight="1">
      <c r="A191" s="171">
        <f t="shared" si="1"/>
        <v>185</v>
      </c>
      <c r="B191" s="171">
        <f t="shared" si="2"/>
        <v>16</v>
      </c>
      <c r="C191" s="176">
        <f>EDATE(RCD,A190)</f>
        <v>48151</v>
      </c>
      <c r="D191" s="171">
        <f>Age_At_Entry+'Cashflows_4% from Start'!B191-1</f>
        <v>50</v>
      </c>
      <c r="E191" s="175">
        <f>IF(AND(C191&lt;=Last_Prem,MOD(A190,Mode)=0),Mod_Prem,0)</f>
        <v>0</v>
      </c>
      <c r="F191" s="177">
        <f>IF(B191&lt;PT+1,E191*VLOOKUP(B191,'Pre-Calculation'!$H$1:$I$31,2,FALSE),0)</f>
        <v>0</v>
      </c>
      <c r="G191" s="177">
        <f>IF(B191&lt;PT+1,VLOOKUP(B191,'Pre-Calculation'!$H$1:$L$32,3,FALSE)+VLOOKUP(B191,'Pre-Calculation'!$H$1:$L$32,4,FALSE)*'Pre-Calculation'!$D$7,0)</f>
        <v>0</v>
      </c>
      <c r="H191" s="175">
        <f>(E191-(F191+G191)*(1+Tax)+N190)</f>
        <v>1146589.769</v>
      </c>
      <c r="I191" s="175">
        <f>IF(B191&lt;PT+1,VLOOKUP(D191,'Pre-Calculation'!$N$3:$P$79,IF(INPUT!$C$4="M",2,3),FALSE)*(J191/1000)*(1/12),0)</f>
        <v>0</v>
      </c>
      <c r="J191" s="175">
        <f t="shared" si="3"/>
        <v>533410.2306</v>
      </c>
      <c r="K191" s="175">
        <f>IF('Pre-Calculation'!$D$17="Type 4 a",MAX(SA,H191,1.05*Q191),IF('Pre-Calculation'!$D$17="Type 4 c",H191,IF('Pre-Calculation'!$D$17="Type 4 d",SA+H191,IF('Pre-Calculation'!$D$17="Type 4 e",MAX(SA,H191),IF('Pre-Calculation'!$D$17="Type 4 f",SA,IF('Pre-Calculation'!$D$17="Type 4 g",1000+H191,IF('Pre-Calculation'!$D$17="Type 4 h",SA+X191,IF('Pre-Calculation'!$D$17="Type 4 i",MAX(H191,Q191),IF('Pre-Calculation'!$D$17="Type 4 k",MAX(H191,1.01*Q191),IF('Pre-Calculation'!$D$17="Type 4 m",MAX(105%*Q191,SA+H191),IF('Pre-Calculation'!$D$17="Type 4 o",MAX(SA,105%*Q191)+X191+Z191,IF('Pre-Calculation'!$D$17="Type 5",0))))))))))))</f>
        <v>1680000</v>
      </c>
      <c r="L191" s="175">
        <f>H191-I191*(1+Tax)</f>
        <v>1146589.769</v>
      </c>
      <c r="M191" s="175">
        <f>L191*(1+GROWTH_RATE_L)*(1-FMC*(1+Tax))</f>
        <v>1148817.156</v>
      </c>
      <c r="N191" s="175">
        <f>M191+IF(MOD(A191,B191)=0,VLOOKUP(B191,'Pre-Calculation'!$H$1:$L$31,5,FALSE),0)*IF('Pre-Calculation'!$D$16="% OF FV",M191,IF(OR('Pre-Calculation'!$D$16="% OF AFV(24M)",'Pre-Calculation'!$D$16="% OF AFV(8Q)"),AVERAGE( $M168:$M191),IF('Pre-Calculation'!$D$16="% OF AFV(12M)",AVERAGE($M180:M191),IF('Pre-Calculation'!$D$16="% OF AFV(36M)",AVERAGE($M156:M191)))))</f>
        <v>1148817.156</v>
      </c>
      <c r="O191" s="175">
        <f t="shared" si="4"/>
        <v>1148817.156</v>
      </c>
      <c r="P191" s="175">
        <f>IF('Pre-Calculation'!$D$17="Type 4 a",MAX(SA,N191,1.05*Q191),IF('Pre-Calculation'!$D$17="Type 4 c",N191,IF('Pre-Calculation'!$D$17="Type 4 d",SA+N191,IF('Pre-Calculation'!$D$17="Type 4 e",MAX(SA,N191),IF('Pre-Calculation'!$D$17="Type 4 f",SA,IF('Pre-Calculation'!$D$17="Type 4 g",1000+N191,IF('Pre-Calculation'!$D$17="Type 4 h",SA+X191,IF('Pre-Calculation'!$D$17="Type 4 i",MAX(N191,Q191),IF('Pre-Calculation'!$D$17="Type 4 k",MAX(N191,1.01*Q191),IF('Pre-Calculation'!$D$17="Type 4 m",MAX(105%*Q191,SA+N191),IF('Pre-Calculation'!$D$17="Type 4 o",MAX(SA,105%*Q191)+X191+Z191,IF('Pre-Calculation'!$D$17="Type 5",0))))))))))))</f>
        <v>1680000</v>
      </c>
      <c r="Q191" s="175">
        <f t="shared" si="5"/>
        <v>1600000</v>
      </c>
      <c r="R191" s="119">
        <f>L191*(1+GROWTH_RATE)*FMC</f>
        <v>1297.506844</v>
      </c>
      <c r="S191" s="178">
        <f>S190*(1+'Pre-Calculation'!$E$27)</f>
        <v>1104698.462</v>
      </c>
      <c r="T191" s="175">
        <f>-E191+IF(A190=INPUT!$C$11*12,N191,0)</f>
        <v>0</v>
      </c>
      <c r="U191" s="175">
        <f t="shared" si="6"/>
        <v>1233359.588</v>
      </c>
      <c r="V191" s="175">
        <f>U191*(1+GROWTH_RATE_L)*(1-'Pre-Calculation'!$E$31)</f>
        <v>1235336.619</v>
      </c>
      <c r="W191" s="175">
        <f>-E191+IF(A190=INPUT!$C$11*12,V191,0)</f>
        <v>0</v>
      </c>
      <c r="X191" s="179">
        <f t="array" ref="X191">NPV('Pre-Calculation'!$E$20,$E192:E$246)</f>
        <v>0</v>
      </c>
      <c r="Y191" s="171">
        <f>10%*SA</f>
        <v>100000</v>
      </c>
      <c r="Z191" s="179">
        <f t="array" ref="Z191">NPV('Pre-Calculation'!$E$20,Y192:Y201)</f>
        <v>969592.8037</v>
      </c>
    </row>
    <row r="192" ht="15.75" customHeight="1">
      <c r="A192" s="171">
        <f t="shared" si="1"/>
        <v>186</v>
      </c>
      <c r="B192" s="171">
        <f t="shared" si="2"/>
        <v>16</v>
      </c>
      <c r="C192" s="176">
        <f>EDATE(RCD,A191)</f>
        <v>48182</v>
      </c>
      <c r="D192" s="171">
        <f>Age_At_Entry+'Cashflows_4% from Start'!B192-1</f>
        <v>50</v>
      </c>
      <c r="E192" s="175">
        <f>IF(AND(C192&lt;=Last_Prem,MOD(A191,Mode)=0),Mod_Prem,0)</f>
        <v>0</v>
      </c>
      <c r="F192" s="177">
        <f>IF(B192&lt;PT+1,E192*VLOOKUP(B192,'Pre-Calculation'!$H$1:$I$31,2,FALSE),0)</f>
        <v>0</v>
      </c>
      <c r="G192" s="177">
        <f>IF(B192&lt;PT+1,VLOOKUP(B192,'Pre-Calculation'!$H$1:$L$32,3,FALSE)+VLOOKUP(B192,'Pre-Calculation'!$H$1:$L$32,4,FALSE)*'Pre-Calculation'!$D$7,0)</f>
        <v>0</v>
      </c>
      <c r="H192" s="175">
        <f>(E192-(F192+G192)*(1+Tax)+N191)</f>
        <v>1148817.156</v>
      </c>
      <c r="I192" s="175">
        <f>IF(B192&lt;PT+1,VLOOKUP(D192,'Pre-Calculation'!$N$3:$P$79,IF(INPUT!$C$4="M",2,3),FALSE)*(J192/1000)*(1/12),0)</f>
        <v>0</v>
      </c>
      <c r="J192" s="175">
        <f t="shared" si="3"/>
        <v>531182.8444</v>
      </c>
      <c r="K192" s="175">
        <f>IF('Pre-Calculation'!$D$17="Type 4 a",MAX(SA,H192,1.05*Q192),IF('Pre-Calculation'!$D$17="Type 4 c",H192,IF('Pre-Calculation'!$D$17="Type 4 d",SA+H192,IF('Pre-Calculation'!$D$17="Type 4 e",MAX(SA,H192),IF('Pre-Calculation'!$D$17="Type 4 f",SA,IF('Pre-Calculation'!$D$17="Type 4 g",1000+H192,IF('Pre-Calculation'!$D$17="Type 4 h",SA+X192,IF('Pre-Calculation'!$D$17="Type 4 i",MAX(H192,Q192),IF('Pre-Calculation'!$D$17="Type 4 k",MAX(H192,1.01*Q192),IF('Pre-Calculation'!$D$17="Type 4 m",MAX(105%*Q192,SA+H192),IF('Pre-Calculation'!$D$17="Type 4 o",MAX(SA,105%*Q192)+X192+Z192,IF('Pre-Calculation'!$D$17="Type 5",0))))))))))))</f>
        <v>1680000</v>
      </c>
      <c r="L192" s="175">
        <f>H192-I192*(1+Tax)</f>
        <v>1148817.156</v>
      </c>
      <c r="M192" s="175">
        <f>L192*(1+GROWTH_RATE_L)*(1-FMC*(1+Tax))</f>
        <v>1151048.869</v>
      </c>
      <c r="N192" s="175">
        <f>M192+IF(MOD(A192,B192)=0,VLOOKUP(B192,'Pre-Calculation'!$H$1:$L$31,5,FALSE),0)*IF('Pre-Calculation'!$D$16="% OF FV",M192,IF(OR('Pre-Calculation'!$D$16="% OF AFV(24M)",'Pre-Calculation'!$D$16="% OF AFV(8Q)"),AVERAGE( $M169:$M192),IF('Pre-Calculation'!$D$16="% OF AFV(12M)",AVERAGE($M181:M192),IF('Pre-Calculation'!$D$16="% OF AFV(36M)",AVERAGE($M157:M192)))))</f>
        <v>1151048.869</v>
      </c>
      <c r="O192" s="175">
        <f t="shared" si="4"/>
        <v>1151048.869</v>
      </c>
      <c r="P192" s="175">
        <f>IF('Pre-Calculation'!$D$17="Type 4 a",MAX(SA,N192,1.05*Q192),IF('Pre-Calculation'!$D$17="Type 4 c",N192,IF('Pre-Calculation'!$D$17="Type 4 d",SA+N192,IF('Pre-Calculation'!$D$17="Type 4 e",MAX(SA,N192),IF('Pre-Calculation'!$D$17="Type 4 f",SA,IF('Pre-Calculation'!$D$17="Type 4 g",1000+N192,IF('Pre-Calculation'!$D$17="Type 4 h",SA+X192,IF('Pre-Calculation'!$D$17="Type 4 i",MAX(N192,Q192),IF('Pre-Calculation'!$D$17="Type 4 k",MAX(N192,1.01*Q192),IF('Pre-Calculation'!$D$17="Type 4 m",MAX(105%*Q192,SA+N192),IF('Pre-Calculation'!$D$17="Type 4 o",MAX(SA,105%*Q192)+X192+Z192,IF('Pre-Calculation'!$D$17="Type 5",0))))))))))))</f>
        <v>1680000</v>
      </c>
      <c r="Q192" s="175">
        <f t="shared" si="5"/>
        <v>1600000</v>
      </c>
      <c r="R192" s="119">
        <f>L192*(1+GROWTH_RATE)*FMC</f>
        <v>1300.027404</v>
      </c>
      <c r="S192" s="178">
        <f>S191*(1+'Pre-Calculation'!$E$27)</f>
        <v>1107869.939</v>
      </c>
      <c r="T192" s="175">
        <f>-E192+IF(A191=INPUT!$C$11*12,N192,0)</f>
        <v>0</v>
      </c>
      <c r="U192" s="175">
        <f t="shared" si="6"/>
        <v>1235336.619</v>
      </c>
      <c r="V192" s="175">
        <f>U192*(1+GROWTH_RATE_L)*(1-'Pre-Calculation'!$E$31)</f>
        <v>1237316.819</v>
      </c>
      <c r="W192" s="175">
        <f>-E192+IF(A191=INPUT!$C$11*12,V192,0)</f>
        <v>0</v>
      </c>
      <c r="X192" s="179">
        <f t="array" ref="X192">NPV('Pre-Calculation'!$E$20,$E193:E$246)</f>
        <v>0</v>
      </c>
      <c r="Y192" s="171">
        <f>10%*SA</f>
        <v>100000</v>
      </c>
      <c r="Z192" s="179">
        <f t="array" ref="Z192">NPV('Pre-Calculation'!$E$20,Y193:Y202)</f>
        <v>969592.8037</v>
      </c>
    </row>
    <row r="193" ht="15.75" customHeight="1">
      <c r="A193" s="171">
        <f t="shared" si="1"/>
        <v>187</v>
      </c>
      <c r="B193" s="171">
        <f t="shared" si="2"/>
        <v>16</v>
      </c>
      <c r="C193" s="176">
        <f>EDATE(RCD,A192)</f>
        <v>48212</v>
      </c>
      <c r="D193" s="171">
        <f>Age_At_Entry+'Cashflows_4% from Start'!B193-1</f>
        <v>50</v>
      </c>
      <c r="E193" s="175">
        <f>IF(AND(C193&lt;=Last_Prem,MOD(A192,Mode)=0),Mod_Prem,0)</f>
        <v>0</v>
      </c>
      <c r="F193" s="177">
        <f>IF(B193&lt;PT+1,E193*VLOOKUP(B193,'Pre-Calculation'!$H$1:$I$31,2,FALSE),0)</f>
        <v>0</v>
      </c>
      <c r="G193" s="177">
        <f>IF(B193&lt;PT+1,VLOOKUP(B193,'Pre-Calculation'!$H$1:$L$32,3,FALSE)+VLOOKUP(B193,'Pre-Calculation'!$H$1:$L$32,4,FALSE)*'Pre-Calculation'!$D$7,0)</f>
        <v>0</v>
      </c>
      <c r="H193" s="175">
        <f>(E193-(F193+G193)*(1+Tax)+N192)</f>
        <v>1151048.869</v>
      </c>
      <c r="I193" s="175">
        <f>IF(B193&lt;PT+1,VLOOKUP(D193,'Pre-Calculation'!$N$3:$P$79,IF(INPUT!$C$4="M",2,3),FALSE)*(J193/1000)*(1/12),0)</f>
        <v>0</v>
      </c>
      <c r="J193" s="175">
        <f t="shared" si="3"/>
        <v>528951.1314</v>
      </c>
      <c r="K193" s="175">
        <f>IF('Pre-Calculation'!$D$17="Type 4 a",MAX(SA,H193,1.05*Q193),IF('Pre-Calculation'!$D$17="Type 4 c",H193,IF('Pre-Calculation'!$D$17="Type 4 d",SA+H193,IF('Pre-Calculation'!$D$17="Type 4 e",MAX(SA,H193),IF('Pre-Calculation'!$D$17="Type 4 f",SA,IF('Pre-Calculation'!$D$17="Type 4 g",1000+H193,IF('Pre-Calculation'!$D$17="Type 4 h",SA+X193,IF('Pre-Calculation'!$D$17="Type 4 i",MAX(H193,Q193),IF('Pre-Calculation'!$D$17="Type 4 k",MAX(H193,1.01*Q193),IF('Pre-Calculation'!$D$17="Type 4 m",MAX(105%*Q193,SA+H193),IF('Pre-Calculation'!$D$17="Type 4 o",MAX(SA,105%*Q193)+X193+Z193,IF('Pre-Calculation'!$D$17="Type 5",0))))))))))))</f>
        <v>1680000</v>
      </c>
      <c r="L193" s="175">
        <f>H193-I193*(1+Tax)</f>
        <v>1151048.869</v>
      </c>
      <c r="M193" s="175">
        <f>L193*(1+GROWTH_RATE_L)*(1-FMC*(1+Tax))</f>
        <v>1153284.917</v>
      </c>
      <c r="N193" s="175">
        <f>M193+IF(MOD(A193,B193)=0,VLOOKUP(B193,'Pre-Calculation'!$H$1:$L$31,5,FALSE),0)*IF('Pre-Calculation'!$D$16="% OF FV",M193,IF(OR('Pre-Calculation'!$D$16="% OF AFV(24M)",'Pre-Calculation'!$D$16="% OF AFV(8Q)"),AVERAGE( $M170:$M193),IF('Pre-Calculation'!$D$16="% OF AFV(12M)",AVERAGE($M182:M193),IF('Pre-Calculation'!$D$16="% OF AFV(36M)",AVERAGE($M158:M193)))))</f>
        <v>1153284.917</v>
      </c>
      <c r="O193" s="175">
        <f t="shared" si="4"/>
        <v>1153284.917</v>
      </c>
      <c r="P193" s="175">
        <f>IF('Pre-Calculation'!$D$17="Type 4 a",MAX(SA,N193,1.05*Q193),IF('Pre-Calculation'!$D$17="Type 4 c",N193,IF('Pre-Calculation'!$D$17="Type 4 d",SA+N193,IF('Pre-Calculation'!$D$17="Type 4 e",MAX(SA,N193),IF('Pre-Calculation'!$D$17="Type 4 f",SA,IF('Pre-Calculation'!$D$17="Type 4 g",1000+N193,IF('Pre-Calculation'!$D$17="Type 4 h",SA+X193,IF('Pre-Calculation'!$D$17="Type 4 i",MAX(N193,Q193),IF('Pre-Calculation'!$D$17="Type 4 k",MAX(N193,1.01*Q193),IF('Pre-Calculation'!$D$17="Type 4 m",MAX(105%*Q193,SA+N193),IF('Pre-Calculation'!$D$17="Type 4 o",MAX(SA,105%*Q193)+X193+Z193,IF('Pre-Calculation'!$D$17="Type 5",0))))))))))))</f>
        <v>1680000</v>
      </c>
      <c r="Q193" s="175">
        <f t="shared" si="5"/>
        <v>1600000</v>
      </c>
      <c r="R193" s="119">
        <f>L193*(1+GROWTH_RATE)*FMC</f>
        <v>1302.552861</v>
      </c>
      <c r="S193" s="178">
        <f>S192*(1+'Pre-Calculation'!$E$27)</f>
        <v>1111050.522</v>
      </c>
      <c r="T193" s="175">
        <f>-E193+IF(A192=INPUT!$C$11*12,N193,0)</f>
        <v>0</v>
      </c>
      <c r="U193" s="175">
        <f t="shared" si="6"/>
        <v>1237316.819</v>
      </c>
      <c r="V193" s="175">
        <f>U193*(1+GROWTH_RATE_L)*(1-'Pre-Calculation'!$E$31)</f>
        <v>1239300.193</v>
      </c>
      <c r="W193" s="175">
        <f>-E193+IF(A192=INPUT!$C$11*12,V193,0)</f>
        <v>0</v>
      </c>
      <c r="X193" s="179">
        <f t="array" ref="X193">NPV('Pre-Calculation'!$E$20,$E194:E$246)</f>
        <v>0</v>
      </c>
      <c r="Y193" s="171">
        <f>10%*SA</f>
        <v>100000</v>
      </c>
      <c r="Z193" s="179">
        <f t="array" ref="Z193">NPV('Pre-Calculation'!$E$20,Y194:Y203)</f>
        <v>969592.8037</v>
      </c>
    </row>
    <row r="194" ht="15.75" customHeight="1">
      <c r="A194" s="171">
        <f t="shared" si="1"/>
        <v>188</v>
      </c>
      <c r="B194" s="171">
        <f t="shared" si="2"/>
        <v>16</v>
      </c>
      <c r="C194" s="176">
        <f>EDATE(RCD,A193)</f>
        <v>48243</v>
      </c>
      <c r="D194" s="171">
        <f>Age_At_Entry+'Cashflows_4% from Start'!B194-1</f>
        <v>50</v>
      </c>
      <c r="E194" s="175">
        <f>IF(AND(C194&lt;=Last_Prem,MOD(A193,Mode)=0),Mod_Prem,0)</f>
        <v>0</v>
      </c>
      <c r="F194" s="177">
        <f>IF(B194&lt;PT+1,E194*VLOOKUP(B194,'Pre-Calculation'!$H$1:$I$31,2,FALSE),0)</f>
        <v>0</v>
      </c>
      <c r="G194" s="177">
        <f>IF(B194&lt;PT+1,VLOOKUP(B194,'Pre-Calculation'!$H$1:$L$32,3,FALSE)+VLOOKUP(B194,'Pre-Calculation'!$H$1:$L$32,4,FALSE)*'Pre-Calculation'!$D$7,0)</f>
        <v>0</v>
      </c>
      <c r="H194" s="175">
        <f>(E194-(F194+G194)*(1+Tax)+N193)</f>
        <v>1153284.917</v>
      </c>
      <c r="I194" s="175">
        <f>IF(B194&lt;PT+1,VLOOKUP(D194,'Pre-Calculation'!$N$3:$P$79,IF(INPUT!$C$4="M",2,3),FALSE)*(J194/1000)*(1/12),0)</f>
        <v>0</v>
      </c>
      <c r="J194" s="175">
        <f t="shared" si="3"/>
        <v>526715.0829</v>
      </c>
      <c r="K194" s="175">
        <f>IF('Pre-Calculation'!$D$17="Type 4 a",MAX(SA,H194,1.05*Q194),IF('Pre-Calculation'!$D$17="Type 4 c",H194,IF('Pre-Calculation'!$D$17="Type 4 d",SA+H194,IF('Pre-Calculation'!$D$17="Type 4 e",MAX(SA,H194),IF('Pre-Calculation'!$D$17="Type 4 f",SA,IF('Pre-Calculation'!$D$17="Type 4 g",1000+H194,IF('Pre-Calculation'!$D$17="Type 4 h",SA+X194,IF('Pre-Calculation'!$D$17="Type 4 i",MAX(H194,Q194),IF('Pre-Calculation'!$D$17="Type 4 k",MAX(H194,1.01*Q194),IF('Pre-Calculation'!$D$17="Type 4 m",MAX(105%*Q194,SA+H194),IF('Pre-Calculation'!$D$17="Type 4 o",MAX(SA,105%*Q194)+X194+Z194,IF('Pre-Calculation'!$D$17="Type 5",0))))))))))))</f>
        <v>1680000</v>
      </c>
      <c r="L194" s="175">
        <f>H194-I194*(1+Tax)</f>
        <v>1153284.917</v>
      </c>
      <c r="M194" s="175">
        <f>L194*(1+GROWTH_RATE_L)*(1-FMC*(1+Tax))</f>
        <v>1155525.309</v>
      </c>
      <c r="N194" s="175">
        <f>M194+IF(MOD(A194,B194)=0,VLOOKUP(B194,'Pre-Calculation'!$H$1:$L$31,5,FALSE),0)*IF('Pre-Calculation'!$D$16="% OF FV",M194,IF(OR('Pre-Calculation'!$D$16="% OF AFV(24M)",'Pre-Calculation'!$D$16="% OF AFV(8Q)"),AVERAGE( $M171:$M194),IF('Pre-Calculation'!$D$16="% OF AFV(12M)",AVERAGE($M183:M194),IF('Pre-Calculation'!$D$16="% OF AFV(36M)",AVERAGE($M159:M194)))))</f>
        <v>1155525.309</v>
      </c>
      <c r="O194" s="175">
        <f t="shared" si="4"/>
        <v>1155525.309</v>
      </c>
      <c r="P194" s="175">
        <f>IF('Pre-Calculation'!$D$17="Type 4 a",MAX(SA,N194,1.05*Q194),IF('Pre-Calculation'!$D$17="Type 4 c",N194,IF('Pre-Calculation'!$D$17="Type 4 d",SA+N194,IF('Pre-Calculation'!$D$17="Type 4 e",MAX(SA,N194),IF('Pre-Calculation'!$D$17="Type 4 f",SA,IF('Pre-Calculation'!$D$17="Type 4 g",1000+N194,IF('Pre-Calculation'!$D$17="Type 4 h",SA+X194,IF('Pre-Calculation'!$D$17="Type 4 i",MAX(N194,Q194),IF('Pre-Calculation'!$D$17="Type 4 k",MAX(N194,1.01*Q194),IF('Pre-Calculation'!$D$17="Type 4 m",MAX(105%*Q194,SA+N194),IF('Pre-Calculation'!$D$17="Type 4 o",MAX(SA,105%*Q194)+X194+Z194,IF('Pre-Calculation'!$D$17="Type 5",0))))))))))))</f>
        <v>1680000</v>
      </c>
      <c r="Q194" s="175">
        <f t="shared" si="5"/>
        <v>1600000</v>
      </c>
      <c r="R194" s="119">
        <f>L194*(1+GROWTH_RATE)*FMC</f>
        <v>1305.083224</v>
      </c>
      <c r="S194" s="178">
        <f>S193*(1+'Pre-Calculation'!$E$27)</f>
        <v>1114240.235</v>
      </c>
      <c r="T194" s="175">
        <f>-E194+IF(A193=INPUT!$C$11*12,N194,0)</f>
        <v>0</v>
      </c>
      <c r="U194" s="175">
        <f t="shared" si="6"/>
        <v>1239300.193</v>
      </c>
      <c r="V194" s="175">
        <f>U194*(1+GROWTH_RATE_L)*(1-'Pre-Calculation'!$E$31)</f>
        <v>1241286.746</v>
      </c>
      <c r="W194" s="175">
        <f>-E194+IF(A193=INPUT!$C$11*12,V194,0)</f>
        <v>0</v>
      </c>
      <c r="X194" s="179">
        <f t="array" ref="X194">NPV('Pre-Calculation'!$E$20,$E195:E$246)</f>
        <v>0</v>
      </c>
      <c r="Y194" s="171">
        <f>10%*SA</f>
        <v>100000</v>
      </c>
      <c r="Z194" s="179">
        <f t="array" ref="Z194">NPV('Pre-Calculation'!$E$20,Y195:Y204)</f>
        <v>969592.8037</v>
      </c>
    </row>
    <row r="195" ht="15.75" customHeight="1">
      <c r="A195" s="171">
        <f t="shared" si="1"/>
        <v>189</v>
      </c>
      <c r="B195" s="171">
        <f t="shared" si="2"/>
        <v>16</v>
      </c>
      <c r="C195" s="176">
        <f>EDATE(RCD,A194)</f>
        <v>48273</v>
      </c>
      <c r="D195" s="171">
        <f>Age_At_Entry+'Cashflows_4% from Start'!B195-1</f>
        <v>50</v>
      </c>
      <c r="E195" s="175">
        <f>IF(AND(C195&lt;=Last_Prem,MOD(A194,Mode)=0),Mod_Prem,0)</f>
        <v>0</v>
      </c>
      <c r="F195" s="177">
        <f>IF(B195&lt;PT+1,E195*VLOOKUP(B195,'Pre-Calculation'!$H$1:$I$31,2,FALSE),0)</f>
        <v>0</v>
      </c>
      <c r="G195" s="177">
        <f>IF(B195&lt;PT+1,VLOOKUP(B195,'Pre-Calculation'!$H$1:$L$32,3,FALSE)+VLOOKUP(B195,'Pre-Calculation'!$H$1:$L$32,4,FALSE)*'Pre-Calculation'!$D$7,0)</f>
        <v>0</v>
      </c>
      <c r="H195" s="175">
        <f>(E195-(F195+G195)*(1+Tax)+N194)</f>
        <v>1155525.309</v>
      </c>
      <c r="I195" s="175">
        <f>IF(B195&lt;PT+1,VLOOKUP(D195,'Pre-Calculation'!$N$3:$P$79,IF(INPUT!$C$4="M",2,3),FALSE)*(J195/1000)*(1/12),0)</f>
        <v>0</v>
      </c>
      <c r="J195" s="175">
        <f t="shared" si="3"/>
        <v>524474.6907</v>
      </c>
      <c r="K195" s="175">
        <f>IF('Pre-Calculation'!$D$17="Type 4 a",MAX(SA,H195,1.05*Q195),IF('Pre-Calculation'!$D$17="Type 4 c",H195,IF('Pre-Calculation'!$D$17="Type 4 d",SA+H195,IF('Pre-Calculation'!$D$17="Type 4 e",MAX(SA,H195),IF('Pre-Calculation'!$D$17="Type 4 f",SA,IF('Pre-Calculation'!$D$17="Type 4 g",1000+H195,IF('Pre-Calculation'!$D$17="Type 4 h",SA+X195,IF('Pre-Calculation'!$D$17="Type 4 i",MAX(H195,Q195),IF('Pre-Calculation'!$D$17="Type 4 k",MAX(H195,1.01*Q195),IF('Pre-Calculation'!$D$17="Type 4 m",MAX(105%*Q195,SA+H195),IF('Pre-Calculation'!$D$17="Type 4 o",MAX(SA,105%*Q195)+X195+Z195,IF('Pre-Calculation'!$D$17="Type 5",0))))))))))))</f>
        <v>1680000</v>
      </c>
      <c r="L195" s="175">
        <f>H195-I195*(1+Tax)</f>
        <v>1155525.309</v>
      </c>
      <c r="M195" s="175">
        <f>L195*(1+GROWTH_RATE_L)*(1-FMC*(1+Tax))</f>
        <v>1157770.054</v>
      </c>
      <c r="N195" s="175">
        <f>M195+IF(MOD(A195,B195)=0,VLOOKUP(B195,'Pre-Calculation'!$H$1:$L$31,5,FALSE),0)*IF('Pre-Calculation'!$D$16="% OF FV",M195,IF(OR('Pre-Calculation'!$D$16="% OF AFV(24M)",'Pre-Calculation'!$D$16="% OF AFV(8Q)"),AVERAGE( $M172:$M195),IF('Pre-Calculation'!$D$16="% OF AFV(12M)",AVERAGE($M184:M195),IF('Pre-Calculation'!$D$16="% OF AFV(36M)",AVERAGE($M160:M195)))))</f>
        <v>1157770.054</v>
      </c>
      <c r="O195" s="175">
        <f t="shared" si="4"/>
        <v>1157770.054</v>
      </c>
      <c r="P195" s="175">
        <f>IF('Pre-Calculation'!$D$17="Type 4 a",MAX(SA,N195,1.05*Q195),IF('Pre-Calculation'!$D$17="Type 4 c",N195,IF('Pre-Calculation'!$D$17="Type 4 d",SA+N195,IF('Pre-Calculation'!$D$17="Type 4 e",MAX(SA,N195),IF('Pre-Calculation'!$D$17="Type 4 f",SA,IF('Pre-Calculation'!$D$17="Type 4 g",1000+N195,IF('Pre-Calculation'!$D$17="Type 4 h",SA+X195,IF('Pre-Calculation'!$D$17="Type 4 i",MAX(N195,Q195),IF('Pre-Calculation'!$D$17="Type 4 k",MAX(N195,1.01*Q195),IF('Pre-Calculation'!$D$17="Type 4 m",MAX(105%*Q195,SA+N195),IF('Pre-Calculation'!$D$17="Type 4 o",MAX(SA,105%*Q195)+X195+Z195,IF('Pre-Calculation'!$D$17="Type 5",0))))))))))))</f>
        <v>1680000</v>
      </c>
      <c r="Q195" s="175">
        <f t="shared" si="5"/>
        <v>1600000</v>
      </c>
      <c r="R195" s="119">
        <f>L195*(1+GROWTH_RATE)*FMC</f>
        <v>1307.618502</v>
      </c>
      <c r="S195" s="178">
        <f>S194*(1+'Pre-Calculation'!$E$27)</f>
        <v>1117439.106</v>
      </c>
      <c r="T195" s="175">
        <f>-E195+IF(A194=INPUT!$C$11*12,N195,0)</f>
        <v>0</v>
      </c>
      <c r="U195" s="175">
        <f t="shared" si="6"/>
        <v>1241286.746</v>
      </c>
      <c r="V195" s="175">
        <f>U195*(1+GROWTH_RATE_L)*(1-'Pre-Calculation'!$E$31)</f>
        <v>1243276.484</v>
      </c>
      <c r="W195" s="175">
        <f>-E195+IF(A194=INPUT!$C$11*12,V195,0)</f>
        <v>0</v>
      </c>
      <c r="X195" s="179">
        <f t="array" ref="X195">NPV('Pre-Calculation'!$E$20,$E196:E$246)</f>
        <v>0</v>
      </c>
      <c r="Y195" s="171">
        <f>10%*SA</f>
        <v>100000</v>
      </c>
      <c r="Z195" s="179">
        <f t="array" ref="Z195">NPV('Pre-Calculation'!$E$20,Y196:Y205)</f>
        <v>969592.8037</v>
      </c>
    </row>
    <row r="196" ht="15.75" customHeight="1">
      <c r="A196" s="171">
        <f t="shared" si="1"/>
        <v>190</v>
      </c>
      <c r="B196" s="171">
        <f t="shared" si="2"/>
        <v>16</v>
      </c>
      <c r="C196" s="176">
        <f>EDATE(RCD,A195)</f>
        <v>48303</v>
      </c>
      <c r="D196" s="171">
        <f>Age_At_Entry+'Cashflows_4% from Start'!B196-1</f>
        <v>50</v>
      </c>
      <c r="E196" s="175">
        <f>IF(AND(C196&lt;=Last_Prem,MOD(A195,Mode)=0),Mod_Prem,0)</f>
        <v>0</v>
      </c>
      <c r="F196" s="177">
        <f>IF(B196&lt;PT+1,E196*VLOOKUP(B196,'Pre-Calculation'!$H$1:$I$31,2,FALSE),0)</f>
        <v>0</v>
      </c>
      <c r="G196" s="177">
        <f>IF(B196&lt;PT+1,VLOOKUP(B196,'Pre-Calculation'!$H$1:$L$32,3,FALSE)+VLOOKUP(B196,'Pre-Calculation'!$H$1:$L$32,4,FALSE)*'Pre-Calculation'!$D$7,0)</f>
        <v>0</v>
      </c>
      <c r="H196" s="175">
        <f>(E196-(F196+G196)*(1+Tax)+N195)</f>
        <v>1157770.054</v>
      </c>
      <c r="I196" s="175">
        <f>IF(B196&lt;PT+1,VLOOKUP(D196,'Pre-Calculation'!$N$3:$P$79,IF(INPUT!$C$4="M",2,3),FALSE)*(J196/1000)*(1/12),0)</f>
        <v>0</v>
      </c>
      <c r="J196" s="175">
        <f t="shared" si="3"/>
        <v>522229.9462</v>
      </c>
      <c r="K196" s="175">
        <f>IF('Pre-Calculation'!$D$17="Type 4 a",MAX(SA,H196,1.05*Q196),IF('Pre-Calculation'!$D$17="Type 4 c",H196,IF('Pre-Calculation'!$D$17="Type 4 d",SA+H196,IF('Pre-Calculation'!$D$17="Type 4 e",MAX(SA,H196),IF('Pre-Calculation'!$D$17="Type 4 f",SA,IF('Pre-Calculation'!$D$17="Type 4 g",1000+H196,IF('Pre-Calculation'!$D$17="Type 4 h",SA+X196,IF('Pre-Calculation'!$D$17="Type 4 i",MAX(H196,Q196),IF('Pre-Calculation'!$D$17="Type 4 k",MAX(H196,1.01*Q196),IF('Pre-Calculation'!$D$17="Type 4 m",MAX(105%*Q196,SA+H196),IF('Pre-Calculation'!$D$17="Type 4 o",MAX(SA,105%*Q196)+X196+Z196,IF('Pre-Calculation'!$D$17="Type 5",0))))))))))))</f>
        <v>1680000</v>
      </c>
      <c r="L196" s="175">
        <f>H196-I196*(1+Tax)</f>
        <v>1157770.054</v>
      </c>
      <c r="M196" s="175">
        <f>L196*(1+GROWTH_RATE_L)*(1-FMC*(1+Tax))</f>
        <v>1160019.159</v>
      </c>
      <c r="N196" s="175">
        <f>M196+IF(MOD(A196,B196)=0,VLOOKUP(B196,'Pre-Calculation'!$H$1:$L$31,5,FALSE),0)*IF('Pre-Calculation'!$D$16="% OF FV",M196,IF(OR('Pre-Calculation'!$D$16="% OF AFV(24M)",'Pre-Calculation'!$D$16="% OF AFV(8Q)"),AVERAGE( $M173:$M196),IF('Pre-Calculation'!$D$16="% OF AFV(12M)",AVERAGE($M185:M196),IF('Pre-Calculation'!$D$16="% OF AFV(36M)",AVERAGE($M161:M196)))))</f>
        <v>1160019.159</v>
      </c>
      <c r="O196" s="175">
        <f t="shared" si="4"/>
        <v>1160019.159</v>
      </c>
      <c r="P196" s="175">
        <f>IF('Pre-Calculation'!$D$17="Type 4 a",MAX(SA,N196,1.05*Q196),IF('Pre-Calculation'!$D$17="Type 4 c",N196,IF('Pre-Calculation'!$D$17="Type 4 d",SA+N196,IF('Pre-Calculation'!$D$17="Type 4 e",MAX(SA,N196),IF('Pre-Calculation'!$D$17="Type 4 f",SA,IF('Pre-Calculation'!$D$17="Type 4 g",1000+N196,IF('Pre-Calculation'!$D$17="Type 4 h",SA+X196,IF('Pre-Calculation'!$D$17="Type 4 i",MAX(N196,Q196),IF('Pre-Calculation'!$D$17="Type 4 k",MAX(N196,1.01*Q196),IF('Pre-Calculation'!$D$17="Type 4 m",MAX(105%*Q196,SA+N196),IF('Pre-Calculation'!$D$17="Type 4 o",MAX(SA,105%*Q196)+X196+Z196,IF('Pre-Calculation'!$D$17="Type 5",0))))))))))))</f>
        <v>1680000</v>
      </c>
      <c r="Q196" s="175">
        <f t="shared" si="5"/>
        <v>1600000</v>
      </c>
      <c r="R196" s="119">
        <f>L196*(1+GROWTH_RATE)*FMC</f>
        <v>1310.158705</v>
      </c>
      <c r="S196" s="178">
        <f>S195*(1+'Pre-Calculation'!$E$27)</f>
        <v>1120647.16</v>
      </c>
      <c r="T196" s="175">
        <f>-E196+IF(A195=INPUT!$C$11*12,N196,0)</f>
        <v>0</v>
      </c>
      <c r="U196" s="175">
        <f t="shared" si="6"/>
        <v>1243276.484</v>
      </c>
      <c r="V196" s="175">
        <f>U196*(1+GROWTH_RATE_L)*(1-'Pre-Calculation'!$E$31)</f>
        <v>1245269.411</v>
      </c>
      <c r="W196" s="175">
        <f>-E196+IF(A195=INPUT!$C$11*12,V196,0)</f>
        <v>0</v>
      </c>
      <c r="X196" s="179">
        <f t="array" ref="X196">NPV('Pre-Calculation'!$E$20,$E197:E$246)</f>
        <v>0</v>
      </c>
      <c r="Y196" s="171">
        <f>10%*SA</f>
        <v>100000</v>
      </c>
      <c r="Z196" s="179">
        <f t="array" ref="Z196">NPV('Pre-Calculation'!$E$20,Y197:Y206)</f>
        <v>969592.8037</v>
      </c>
    </row>
    <row r="197" ht="15.75" customHeight="1">
      <c r="A197" s="171">
        <f t="shared" si="1"/>
        <v>191</v>
      </c>
      <c r="B197" s="171">
        <f t="shared" si="2"/>
        <v>16</v>
      </c>
      <c r="C197" s="176">
        <f>EDATE(RCD,A196)</f>
        <v>48334</v>
      </c>
      <c r="D197" s="171">
        <f>Age_At_Entry+'Cashflows_4% from Start'!B197-1</f>
        <v>50</v>
      </c>
      <c r="E197" s="175">
        <f>IF(AND(C197&lt;=Last_Prem,MOD(A196,Mode)=0),Mod_Prem,0)</f>
        <v>0</v>
      </c>
      <c r="F197" s="177">
        <f>IF(B197&lt;PT+1,E197*VLOOKUP(B197,'Pre-Calculation'!$H$1:$I$31,2,FALSE),0)</f>
        <v>0</v>
      </c>
      <c r="G197" s="177">
        <f>IF(B197&lt;PT+1,VLOOKUP(B197,'Pre-Calculation'!$H$1:$L$32,3,FALSE)+VLOOKUP(B197,'Pre-Calculation'!$H$1:$L$32,4,FALSE)*'Pre-Calculation'!$D$7,0)</f>
        <v>0</v>
      </c>
      <c r="H197" s="175">
        <f>(E197-(F197+G197)*(1+Tax)+N196)</f>
        <v>1160019.159</v>
      </c>
      <c r="I197" s="175">
        <f>IF(B197&lt;PT+1,VLOOKUP(D197,'Pre-Calculation'!$N$3:$P$79,IF(INPUT!$C$4="M",2,3),FALSE)*(J197/1000)*(1/12),0)</f>
        <v>0</v>
      </c>
      <c r="J197" s="175">
        <f t="shared" si="3"/>
        <v>519980.8411</v>
      </c>
      <c r="K197" s="175">
        <f>IF('Pre-Calculation'!$D$17="Type 4 a",MAX(SA,H197,1.05*Q197),IF('Pre-Calculation'!$D$17="Type 4 c",H197,IF('Pre-Calculation'!$D$17="Type 4 d",SA+H197,IF('Pre-Calculation'!$D$17="Type 4 e",MAX(SA,H197),IF('Pre-Calculation'!$D$17="Type 4 f",SA,IF('Pre-Calculation'!$D$17="Type 4 g",1000+H197,IF('Pre-Calculation'!$D$17="Type 4 h",SA+X197,IF('Pre-Calculation'!$D$17="Type 4 i",MAX(H197,Q197),IF('Pre-Calculation'!$D$17="Type 4 k",MAX(H197,1.01*Q197),IF('Pre-Calculation'!$D$17="Type 4 m",MAX(105%*Q197,SA+H197),IF('Pre-Calculation'!$D$17="Type 4 o",MAX(SA,105%*Q197)+X197+Z197,IF('Pre-Calculation'!$D$17="Type 5",0))))))))))))</f>
        <v>1680000</v>
      </c>
      <c r="L197" s="175">
        <f>H197-I197*(1+Tax)</f>
        <v>1160019.159</v>
      </c>
      <c r="M197" s="175">
        <f>L197*(1+GROWTH_RATE_L)*(1-FMC*(1+Tax))</f>
        <v>1162272.633</v>
      </c>
      <c r="N197" s="175">
        <f>M197+IF(MOD(A197,B197)=0,VLOOKUP(B197,'Pre-Calculation'!$H$1:$L$31,5,FALSE),0)*IF('Pre-Calculation'!$D$16="% OF FV",M197,IF(OR('Pre-Calculation'!$D$16="% OF AFV(24M)",'Pre-Calculation'!$D$16="% OF AFV(8Q)"),AVERAGE( $M174:$M197),IF('Pre-Calculation'!$D$16="% OF AFV(12M)",AVERAGE($M186:M197),IF('Pre-Calculation'!$D$16="% OF AFV(36M)",AVERAGE($M162:M197)))))</f>
        <v>1162272.633</v>
      </c>
      <c r="O197" s="175">
        <f t="shared" si="4"/>
        <v>1162272.633</v>
      </c>
      <c r="P197" s="175">
        <f>IF('Pre-Calculation'!$D$17="Type 4 a",MAX(SA,N197,1.05*Q197),IF('Pre-Calculation'!$D$17="Type 4 c",N197,IF('Pre-Calculation'!$D$17="Type 4 d",SA+N197,IF('Pre-Calculation'!$D$17="Type 4 e",MAX(SA,N197),IF('Pre-Calculation'!$D$17="Type 4 f",SA,IF('Pre-Calculation'!$D$17="Type 4 g",1000+N197,IF('Pre-Calculation'!$D$17="Type 4 h",SA+X197,IF('Pre-Calculation'!$D$17="Type 4 i",MAX(N197,Q197),IF('Pre-Calculation'!$D$17="Type 4 k",MAX(N197,1.01*Q197),IF('Pre-Calculation'!$D$17="Type 4 m",MAX(105%*Q197,SA+N197),IF('Pre-Calculation'!$D$17="Type 4 o",MAX(SA,105%*Q197)+X197+Z197,IF('Pre-Calculation'!$D$17="Type 5",0))))))))))))</f>
        <v>1680000</v>
      </c>
      <c r="Q197" s="175">
        <f t="shared" si="5"/>
        <v>1600000</v>
      </c>
      <c r="R197" s="119">
        <f>L197*(1+GROWTH_RATE)*FMC</f>
        <v>1312.703844</v>
      </c>
      <c r="S197" s="178">
        <f>S196*(1+'Pre-Calculation'!$E$27)</f>
        <v>1123864.425</v>
      </c>
      <c r="T197" s="175">
        <f>-E197+IF(A196=INPUT!$C$11*12,N197,0)</f>
        <v>0</v>
      </c>
      <c r="U197" s="175">
        <f t="shared" si="6"/>
        <v>1245269.411</v>
      </c>
      <c r="V197" s="175">
        <f>U197*(1+GROWTH_RATE_L)*(1-'Pre-Calculation'!$E$31)</f>
        <v>1247265.533</v>
      </c>
      <c r="W197" s="175">
        <f>-E197+IF(A196=INPUT!$C$11*12,V197,0)</f>
        <v>0</v>
      </c>
      <c r="X197" s="179">
        <f t="array" ref="X197">NPV('Pre-Calculation'!$E$20,$E198:E$246)</f>
        <v>0</v>
      </c>
      <c r="Y197" s="171">
        <f>10%*SA</f>
        <v>100000</v>
      </c>
      <c r="Z197" s="179">
        <f t="array" ref="Z197">NPV('Pre-Calculation'!$E$20,Y198:Y207)</f>
        <v>969592.8037</v>
      </c>
    </row>
    <row r="198" ht="15.75" customHeight="1">
      <c r="A198" s="171">
        <f t="shared" si="1"/>
        <v>192</v>
      </c>
      <c r="B198" s="171">
        <f t="shared" si="2"/>
        <v>16</v>
      </c>
      <c r="C198" s="176">
        <f>EDATE(RCD,A197)</f>
        <v>48364</v>
      </c>
      <c r="D198" s="171">
        <f>Age_At_Entry+'Cashflows_4% from Start'!B198-1</f>
        <v>50</v>
      </c>
      <c r="E198" s="175">
        <f>IF(AND(C198&lt;=Last_Prem,MOD(A197,Mode)=0),Mod_Prem,0)</f>
        <v>0</v>
      </c>
      <c r="F198" s="177">
        <f>IF(B198&lt;PT+1,E198*VLOOKUP(B198,'Pre-Calculation'!$H$1:$I$31,2,FALSE),0)</f>
        <v>0</v>
      </c>
      <c r="G198" s="177">
        <f>IF(B198&lt;PT+1,VLOOKUP(B198,'Pre-Calculation'!$H$1:$L$32,3,FALSE)+VLOOKUP(B198,'Pre-Calculation'!$H$1:$L$32,4,FALSE)*'Pre-Calculation'!$D$7,0)</f>
        <v>0</v>
      </c>
      <c r="H198" s="175">
        <f>(E198-(F198+G198)*(1+Tax)+N197)</f>
        <v>1162272.633</v>
      </c>
      <c r="I198" s="175">
        <f>IF(B198&lt;PT+1,VLOOKUP(D198,'Pre-Calculation'!$N$3:$P$79,IF(INPUT!$C$4="M",2,3),FALSE)*(J198/1000)*(1/12),0)</f>
        <v>0</v>
      </c>
      <c r="J198" s="175">
        <f t="shared" si="3"/>
        <v>517727.3668</v>
      </c>
      <c r="K198" s="175">
        <f>IF('Pre-Calculation'!$D$17="Type 4 a",MAX(SA,H198,1.05*Q198),IF('Pre-Calculation'!$D$17="Type 4 c",H198,IF('Pre-Calculation'!$D$17="Type 4 d",SA+H198,IF('Pre-Calculation'!$D$17="Type 4 e",MAX(SA,H198),IF('Pre-Calculation'!$D$17="Type 4 f",SA,IF('Pre-Calculation'!$D$17="Type 4 g",1000+H198,IF('Pre-Calculation'!$D$17="Type 4 h",SA+X198,IF('Pre-Calculation'!$D$17="Type 4 i",MAX(H198,Q198),IF('Pre-Calculation'!$D$17="Type 4 k",MAX(H198,1.01*Q198),IF('Pre-Calculation'!$D$17="Type 4 m",MAX(105%*Q198,SA+H198),IF('Pre-Calculation'!$D$17="Type 4 o",MAX(SA,105%*Q198)+X198+Z198,IF('Pre-Calculation'!$D$17="Type 5",0))))))))))))</f>
        <v>1680000</v>
      </c>
      <c r="L198" s="175">
        <f>H198-I198*(1+Tax)</f>
        <v>1162272.633</v>
      </c>
      <c r="M198" s="175">
        <f>L198*(1+GROWTH_RATE_L)*(1-FMC*(1+Tax))</f>
        <v>1164530.485</v>
      </c>
      <c r="N198" s="175">
        <f>M198+IF(MOD(A198,B198)=0,VLOOKUP(B198,'Pre-Calculation'!$H$1:$L$31,5,FALSE),0)*IF('Pre-Calculation'!$D$16="% OF FV",M198,IF(OR('Pre-Calculation'!$D$16="% OF AFV(24M)",'Pre-Calculation'!$D$16="% OF AFV(8Q)"),AVERAGE( $M175:$M198),IF('Pre-Calculation'!$D$16="% OF AFV(12M)",AVERAGE($M187:M198),IF('Pre-Calculation'!$D$16="% OF AFV(36M)",AVERAGE($M163:M198)))))</f>
        <v>1164530.485</v>
      </c>
      <c r="O198" s="175">
        <f t="shared" si="4"/>
        <v>1164530.485</v>
      </c>
      <c r="P198" s="175">
        <f>IF('Pre-Calculation'!$D$17="Type 4 a",MAX(SA,N198,1.05*Q198),IF('Pre-Calculation'!$D$17="Type 4 c",N198,IF('Pre-Calculation'!$D$17="Type 4 d",SA+N198,IF('Pre-Calculation'!$D$17="Type 4 e",MAX(SA,N198),IF('Pre-Calculation'!$D$17="Type 4 f",SA,IF('Pre-Calculation'!$D$17="Type 4 g",1000+N198,IF('Pre-Calculation'!$D$17="Type 4 h",SA+X198,IF('Pre-Calculation'!$D$17="Type 4 i",MAX(N198,Q198),IF('Pre-Calculation'!$D$17="Type 4 k",MAX(N198,1.01*Q198),IF('Pre-Calculation'!$D$17="Type 4 m",MAX(105%*Q198,SA+N198),IF('Pre-Calculation'!$D$17="Type 4 o",MAX(SA,105%*Q198)+X198+Z198,IF('Pre-Calculation'!$D$17="Type 5",0))))))))))))</f>
        <v>1680000</v>
      </c>
      <c r="Q198" s="175">
        <f t="shared" si="5"/>
        <v>1600000</v>
      </c>
      <c r="R198" s="119">
        <f>L198*(1+GROWTH_RATE)*FMC</f>
        <v>1315.253926</v>
      </c>
      <c r="S198" s="178">
        <f>S197*(1+'Pre-Calculation'!$E$27)</f>
        <v>1127090.926</v>
      </c>
      <c r="T198" s="175">
        <f>-E198+IF(A197=INPUT!$C$11*12,N198,0)</f>
        <v>0</v>
      </c>
      <c r="U198" s="175">
        <f t="shared" si="6"/>
        <v>1247265.533</v>
      </c>
      <c r="V198" s="175">
        <f>U198*(1+GROWTH_RATE_L)*(1-'Pre-Calculation'!$E$31)</f>
        <v>1249264.855</v>
      </c>
      <c r="W198" s="175">
        <f>-E198+IF(A197=INPUT!$C$11*12,V198,0)</f>
        <v>0</v>
      </c>
      <c r="X198" s="179">
        <f t="array" ref="X198">NPV('Pre-Calculation'!$E$20,$E199:E$246)</f>
        <v>0</v>
      </c>
      <c r="Y198" s="171">
        <f>10%*SA</f>
        <v>100000</v>
      </c>
      <c r="Z198" s="179">
        <f t="array" ref="Z198">NPV('Pre-Calculation'!$E$20,Y199:Y208)</f>
        <v>969592.8037</v>
      </c>
    </row>
    <row r="199" ht="15.75" customHeight="1">
      <c r="A199" s="171">
        <f t="shared" si="1"/>
        <v>193</v>
      </c>
      <c r="B199" s="171">
        <f t="shared" si="2"/>
        <v>17</v>
      </c>
      <c r="C199" s="176">
        <f>EDATE(RCD,A198)</f>
        <v>48395</v>
      </c>
      <c r="D199" s="171">
        <f>Age_At_Entry+'Cashflows_4% from Start'!B199-1</f>
        <v>51</v>
      </c>
      <c r="E199" s="175">
        <f>IF(AND(C199&lt;=Last_Prem,MOD(A198,Mode)=0),Mod_Prem,0)</f>
        <v>0</v>
      </c>
      <c r="F199" s="177">
        <f>IF(B199&lt;PT+1,E199*VLOOKUP(B199,'Pre-Calculation'!$H$1:$I$31,2,FALSE),0)</f>
        <v>0</v>
      </c>
      <c r="G199" s="177">
        <f>IF(B199&lt;PT+1,VLOOKUP(B199,'Pre-Calculation'!$H$1:$L$32,3,FALSE)+VLOOKUP(B199,'Pre-Calculation'!$H$1:$L$32,4,FALSE)*'Pre-Calculation'!$D$7,0)</f>
        <v>0</v>
      </c>
      <c r="H199" s="175">
        <f>(E199-(F199+G199)*(1+Tax)+N198)</f>
        <v>1164530.485</v>
      </c>
      <c r="I199" s="175">
        <f>IF(B199&lt;PT+1,VLOOKUP(D199,'Pre-Calculation'!$N$3:$P$79,IF(INPUT!$C$4="M",2,3),FALSE)*(J199/1000)*(1/12),0)</f>
        <v>0</v>
      </c>
      <c r="J199" s="175">
        <f t="shared" si="3"/>
        <v>515469.5148</v>
      </c>
      <c r="K199" s="175">
        <f>IF('Pre-Calculation'!$D$17="Type 4 a",MAX(SA,H199,1.05*Q199),IF('Pre-Calculation'!$D$17="Type 4 c",H199,IF('Pre-Calculation'!$D$17="Type 4 d",SA+H199,IF('Pre-Calculation'!$D$17="Type 4 e",MAX(SA,H199),IF('Pre-Calculation'!$D$17="Type 4 f",SA,IF('Pre-Calculation'!$D$17="Type 4 g",1000+H199,IF('Pre-Calculation'!$D$17="Type 4 h",SA+X199,IF('Pre-Calculation'!$D$17="Type 4 i",MAX(H199,Q199),IF('Pre-Calculation'!$D$17="Type 4 k",MAX(H199,1.01*Q199),IF('Pre-Calculation'!$D$17="Type 4 m",MAX(105%*Q199,SA+H199),IF('Pre-Calculation'!$D$17="Type 4 o",MAX(SA,105%*Q199)+X199+Z199,IF('Pre-Calculation'!$D$17="Type 5",0))))))))))))</f>
        <v>1680000</v>
      </c>
      <c r="L199" s="175">
        <f>H199-I199*(1+Tax)</f>
        <v>1164530.485</v>
      </c>
      <c r="M199" s="175">
        <f>L199*(1+GROWTH_RATE_L)*(1-FMC*(1+Tax))</f>
        <v>1166792.723</v>
      </c>
      <c r="N199" s="175">
        <f>M199+IF(MOD(A199,B199)=0,VLOOKUP(B199,'Pre-Calculation'!$H$1:$L$31,5,FALSE),0)*IF('Pre-Calculation'!$D$16="% OF FV",M199,IF(OR('Pre-Calculation'!$D$16="% OF AFV(24M)",'Pre-Calculation'!$D$16="% OF AFV(8Q)"),AVERAGE( $M176:$M199),IF('Pre-Calculation'!$D$16="% OF AFV(12M)",AVERAGE($M188:M199),IF('Pre-Calculation'!$D$16="% OF AFV(36M)",AVERAGE($M164:M199)))))</f>
        <v>1166792.723</v>
      </c>
      <c r="O199" s="175">
        <f t="shared" si="4"/>
        <v>1166792.723</v>
      </c>
      <c r="P199" s="175">
        <f>IF('Pre-Calculation'!$D$17="Type 4 a",MAX(SA,N199,1.05*Q199),IF('Pre-Calculation'!$D$17="Type 4 c",N199,IF('Pre-Calculation'!$D$17="Type 4 d",SA+N199,IF('Pre-Calculation'!$D$17="Type 4 e",MAX(SA,N199),IF('Pre-Calculation'!$D$17="Type 4 f",SA,IF('Pre-Calculation'!$D$17="Type 4 g",1000+N199,IF('Pre-Calculation'!$D$17="Type 4 h",SA+X199,IF('Pre-Calculation'!$D$17="Type 4 i",MAX(N199,Q199),IF('Pre-Calculation'!$D$17="Type 4 k",MAX(N199,1.01*Q199),IF('Pre-Calculation'!$D$17="Type 4 m",MAX(105%*Q199,SA+N199),IF('Pre-Calculation'!$D$17="Type 4 o",MAX(SA,105%*Q199)+X199+Z199,IF('Pre-Calculation'!$D$17="Type 5",0))))))))))))</f>
        <v>1680000</v>
      </c>
      <c r="Q199" s="175">
        <f t="shared" si="5"/>
        <v>1600000</v>
      </c>
      <c r="R199" s="119">
        <f>L199*(1+GROWTH_RATE)*FMC</f>
        <v>1317.808962</v>
      </c>
      <c r="S199" s="178">
        <f>S198*(1+'Pre-Calculation'!$E$27)</f>
        <v>1130326.69</v>
      </c>
      <c r="T199" s="175">
        <f>-E199+IF(A198=INPUT!$C$11*12,N199,0)</f>
        <v>0</v>
      </c>
      <c r="U199" s="175">
        <f t="shared" si="6"/>
        <v>1249264.855</v>
      </c>
      <c r="V199" s="175">
        <f>U199*(1+GROWTH_RATE_L)*(1-'Pre-Calculation'!$E$31)</f>
        <v>1251267.381</v>
      </c>
      <c r="W199" s="175">
        <f>-E199+IF(A198=INPUT!$C$11*12,V199,0)</f>
        <v>0</v>
      </c>
      <c r="X199" s="179">
        <f t="array" ref="X199">NPV('Pre-Calculation'!$E$20,$E200:E$246)</f>
        <v>0</v>
      </c>
      <c r="Y199" s="171">
        <f>10%*SA</f>
        <v>100000</v>
      </c>
      <c r="Z199" s="179">
        <f t="array" ref="Z199">NPV('Pre-Calculation'!$E$20,Y200:Y209)</f>
        <v>969592.8037</v>
      </c>
    </row>
    <row r="200" ht="15.75" customHeight="1">
      <c r="A200" s="171">
        <f t="shared" si="1"/>
        <v>194</v>
      </c>
      <c r="B200" s="171">
        <f t="shared" si="2"/>
        <v>17</v>
      </c>
      <c r="C200" s="176">
        <f>EDATE(RCD,A199)</f>
        <v>48425</v>
      </c>
      <c r="D200" s="171">
        <f>Age_At_Entry+'Cashflows_4% from Start'!B200-1</f>
        <v>51</v>
      </c>
      <c r="E200" s="175">
        <f>IF(AND(C200&lt;=Last_Prem,MOD(A199,Mode)=0),Mod_Prem,0)</f>
        <v>0</v>
      </c>
      <c r="F200" s="177">
        <f>IF(B200&lt;PT+1,E200*VLOOKUP(B200,'Pre-Calculation'!$H$1:$I$31,2,FALSE),0)</f>
        <v>0</v>
      </c>
      <c r="G200" s="177">
        <f>IF(B200&lt;PT+1,VLOOKUP(B200,'Pre-Calculation'!$H$1:$L$32,3,FALSE)+VLOOKUP(B200,'Pre-Calculation'!$H$1:$L$32,4,FALSE)*'Pre-Calculation'!$D$7,0)</f>
        <v>0</v>
      </c>
      <c r="H200" s="175">
        <f>(E200-(F200+G200)*(1+Tax)+N199)</f>
        <v>1166792.723</v>
      </c>
      <c r="I200" s="175">
        <f>IF(B200&lt;PT+1,VLOOKUP(D200,'Pre-Calculation'!$N$3:$P$79,IF(INPUT!$C$4="M",2,3),FALSE)*(J200/1000)*(1/12),0)</f>
        <v>0</v>
      </c>
      <c r="J200" s="175">
        <f t="shared" si="3"/>
        <v>513207.2767</v>
      </c>
      <c r="K200" s="175">
        <f>IF('Pre-Calculation'!$D$17="Type 4 a",MAX(SA,H200,1.05*Q200),IF('Pre-Calculation'!$D$17="Type 4 c",H200,IF('Pre-Calculation'!$D$17="Type 4 d",SA+H200,IF('Pre-Calculation'!$D$17="Type 4 e",MAX(SA,H200),IF('Pre-Calculation'!$D$17="Type 4 f",SA,IF('Pre-Calculation'!$D$17="Type 4 g",1000+H200,IF('Pre-Calculation'!$D$17="Type 4 h",SA+X200,IF('Pre-Calculation'!$D$17="Type 4 i",MAX(H200,Q200),IF('Pre-Calculation'!$D$17="Type 4 k",MAX(H200,1.01*Q200),IF('Pre-Calculation'!$D$17="Type 4 m",MAX(105%*Q200,SA+H200),IF('Pre-Calculation'!$D$17="Type 4 o",MAX(SA,105%*Q200)+X200+Z200,IF('Pre-Calculation'!$D$17="Type 5",0))))))))))))</f>
        <v>1680000</v>
      </c>
      <c r="L200" s="175">
        <f>H200-I200*(1+Tax)</f>
        <v>1166792.723</v>
      </c>
      <c r="M200" s="175">
        <f>L200*(1+GROWTH_RATE_L)*(1-FMC*(1+Tax))</f>
        <v>1169059.356</v>
      </c>
      <c r="N200" s="175">
        <f>M200+IF(MOD(A200,B200)=0,VLOOKUP(B200,'Pre-Calculation'!$H$1:$L$31,5,FALSE),0)*IF('Pre-Calculation'!$D$16="% OF FV",M200,IF(OR('Pre-Calculation'!$D$16="% OF AFV(24M)",'Pre-Calculation'!$D$16="% OF AFV(8Q)"),AVERAGE( $M177:$M200),IF('Pre-Calculation'!$D$16="% OF AFV(12M)",AVERAGE($M189:M200),IF('Pre-Calculation'!$D$16="% OF AFV(36M)",AVERAGE($M165:M200)))))</f>
        <v>1169059.356</v>
      </c>
      <c r="O200" s="175">
        <f t="shared" si="4"/>
        <v>1169059.356</v>
      </c>
      <c r="P200" s="175">
        <f>IF('Pre-Calculation'!$D$17="Type 4 a",MAX(SA,N200,1.05*Q200),IF('Pre-Calculation'!$D$17="Type 4 c",N200,IF('Pre-Calculation'!$D$17="Type 4 d",SA+N200,IF('Pre-Calculation'!$D$17="Type 4 e",MAX(SA,N200),IF('Pre-Calculation'!$D$17="Type 4 f",SA,IF('Pre-Calculation'!$D$17="Type 4 g",1000+N200,IF('Pre-Calculation'!$D$17="Type 4 h",SA+X200,IF('Pre-Calculation'!$D$17="Type 4 i",MAX(N200,Q200),IF('Pre-Calculation'!$D$17="Type 4 k",MAX(N200,1.01*Q200),IF('Pre-Calculation'!$D$17="Type 4 m",MAX(105%*Q200,SA+N200),IF('Pre-Calculation'!$D$17="Type 4 o",MAX(SA,105%*Q200)+X200+Z200,IF('Pre-Calculation'!$D$17="Type 5",0))))))))))))</f>
        <v>1680000</v>
      </c>
      <c r="Q200" s="175">
        <f t="shared" si="5"/>
        <v>1600000</v>
      </c>
      <c r="R200" s="119">
        <f>L200*(1+GROWTH_RATE)*FMC</f>
        <v>1320.368962</v>
      </c>
      <c r="S200" s="178">
        <f>S199*(1+'Pre-Calculation'!$E$27)</f>
        <v>1133571.743</v>
      </c>
      <c r="T200" s="175">
        <f>-E200+IF(A199=INPUT!$C$11*12,N200,0)</f>
        <v>0</v>
      </c>
      <c r="U200" s="175">
        <f t="shared" si="6"/>
        <v>1251267.381</v>
      </c>
      <c r="V200" s="175">
        <f>U200*(1+GROWTH_RATE_L)*(1-'Pre-Calculation'!$E$31)</f>
        <v>1253273.117</v>
      </c>
      <c r="W200" s="175">
        <f>-E200+IF(A199=INPUT!$C$11*12,V200,0)</f>
        <v>0</v>
      </c>
      <c r="X200" s="179">
        <f t="array" ref="X200">NPV('Pre-Calculation'!$E$20,$E201:E$246)</f>
        <v>0</v>
      </c>
      <c r="Y200" s="171">
        <f>10%*SA</f>
        <v>100000</v>
      </c>
      <c r="Z200" s="179">
        <f t="array" ref="Z200">NPV('Pre-Calculation'!$E$20,Y201:Y210)</f>
        <v>969592.8037</v>
      </c>
    </row>
    <row r="201" ht="15.75" customHeight="1">
      <c r="A201" s="171">
        <f t="shared" si="1"/>
        <v>195</v>
      </c>
      <c r="B201" s="171">
        <f t="shared" si="2"/>
        <v>17</v>
      </c>
      <c r="C201" s="176">
        <f>EDATE(RCD,A200)</f>
        <v>48456</v>
      </c>
      <c r="D201" s="171">
        <f>Age_At_Entry+'Cashflows_4% from Start'!B201-1</f>
        <v>51</v>
      </c>
      <c r="E201" s="175">
        <f>IF(AND(C201&lt;=Last_Prem,MOD(A200,Mode)=0),Mod_Prem,0)</f>
        <v>0</v>
      </c>
      <c r="F201" s="177">
        <f>IF(B201&lt;PT+1,E201*VLOOKUP(B201,'Pre-Calculation'!$H$1:$I$31,2,FALSE),0)</f>
        <v>0</v>
      </c>
      <c r="G201" s="177">
        <f>IF(B201&lt;PT+1,VLOOKUP(B201,'Pre-Calculation'!$H$1:$L$32,3,FALSE)+VLOOKUP(B201,'Pre-Calculation'!$H$1:$L$32,4,FALSE)*'Pre-Calculation'!$D$7,0)</f>
        <v>0</v>
      </c>
      <c r="H201" s="175">
        <f>(E201-(F201+G201)*(1+Tax)+N200)</f>
        <v>1169059.356</v>
      </c>
      <c r="I201" s="175">
        <f>IF(B201&lt;PT+1,VLOOKUP(D201,'Pre-Calculation'!$N$3:$P$79,IF(INPUT!$C$4="M",2,3),FALSE)*(J201/1000)*(1/12),0)</f>
        <v>0</v>
      </c>
      <c r="J201" s="175">
        <f t="shared" si="3"/>
        <v>510940.644</v>
      </c>
      <c r="K201" s="175">
        <f>IF('Pre-Calculation'!$D$17="Type 4 a",MAX(SA,H201,1.05*Q201),IF('Pre-Calculation'!$D$17="Type 4 c",H201,IF('Pre-Calculation'!$D$17="Type 4 d",SA+H201,IF('Pre-Calculation'!$D$17="Type 4 e",MAX(SA,H201),IF('Pre-Calculation'!$D$17="Type 4 f",SA,IF('Pre-Calculation'!$D$17="Type 4 g",1000+H201,IF('Pre-Calculation'!$D$17="Type 4 h",SA+X201,IF('Pre-Calculation'!$D$17="Type 4 i",MAX(H201,Q201),IF('Pre-Calculation'!$D$17="Type 4 k",MAX(H201,1.01*Q201),IF('Pre-Calculation'!$D$17="Type 4 m",MAX(105%*Q201,SA+H201),IF('Pre-Calculation'!$D$17="Type 4 o",MAX(SA,105%*Q201)+X201+Z201,IF('Pre-Calculation'!$D$17="Type 5",0))))))))))))</f>
        <v>1680000</v>
      </c>
      <c r="L201" s="175">
        <f>H201-I201*(1+Tax)</f>
        <v>1169059.356</v>
      </c>
      <c r="M201" s="175">
        <f>L201*(1+GROWTH_RATE_L)*(1-FMC*(1+Tax))</f>
        <v>1171330.392</v>
      </c>
      <c r="N201" s="175">
        <f>M201+IF(MOD(A201,B201)=0,VLOOKUP(B201,'Pre-Calculation'!$H$1:$L$31,5,FALSE),0)*IF('Pre-Calculation'!$D$16="% OF FV",M201,IF(OR('Pre-Calculation'!$D$16="% OF AFV(24M)",'Pre-Calculation'!$D$16="% OF AFV(8Q)"),AVERAGE( $M178:$M201),IF('Pre-Calculation'!$D$16="% OF AFV(12M)",AVERAGE($M190:M201),IF('Pre-Calculation'!$D$16="% OF AFV(36M)",AVERAGE($M166:M201)))))</f>
        <v>1171330.392</v>
      </c>
      <c r="O201" s="175">
        <f t="shared" si="4"/>
        <v>1171330.392</v>
      </c>
      <c r="P201" s="175">
        <f>IF('Pre-Calculation'!$D$17="Type 4 a",MAX(SA,N201,1.05*Q201),IF('Pre-Calculation'!$D$17="Type 4 c",N201,IF('Pre-Calculation'!$D$17="Type 4 d",SA+N201,IF('Pre-Calculation'!$D$17="Type 4 e",MAX(SA,N201),IF('Pre-Calculation'!$D$17="Type 4 f",SA,IF('Pre-Calculation'!$D$17="Type 4 g",1000+N201,IF('Pre-Calculation'!$D$17="Type 4 h",SA+X201,IF('Pre-Calculation'!$D$17="Type 4 i",MAX(N201,Q201),IF('Pre-Calculation'!$D$17="Type 4 k",MAX(N201,1.01*Q201),IF('Pre-Calculation'!$D$17="Type 4 m",MAX(105%*Q201,SA+N201),IF('Pre-Calculation'!$D$17="Type 4 o",MAX(SA,105%*Q201)+X201+Z201,IF('Pre-Calculation'!$D$17="Type 5",0))))))))))))</f>
        <v>1680000</v>
      </c>
      <c r="Q201" s="175">
        <f t="shared" si="5"/>
        <v>1600000</v>
      </c>
      <c r="R201" s="119">
        <f>L201*(1+GROWTH_RATE)*FMC</f>
        <v>1322.933934</v>
      </c>
      <c r="S201" s="178">
        <f>S200*(1+'Pre-Calculation'!$E$27)</f>
        <v>1136826.113</v>
      </c>
      <c r="T201" s="175">
        <f>-E201+IF(A200=INPUT!$C$11*12,N201,0)</f>
        <v>0</v>
      </c>
      <c r="U201" s="175">
        <f t="shared" si="6"/>
        <v>1253273.117</v>
      </c>
      <c r="V201" s="175">
        <f>U201*(1+GROWTH_RATE_L)*(1-'Pre-Calculation'!$E$31)</f>
        <v>1255282.069</v>
      </c>
      <c r="W201" s="175">
        <f>-E201+IF(A200=INPUT!$C$11*12,V201,0)</f>
        <v>0</v>
      </c>
      <c r="X201" s="179">
        <f t="array" ref="X201">NPV('Pre-Calculation'!$E$20,$E202:E$246)</f>
        <v>0</v>
      </c>
      <c r="Y201" s="171">
        <f>10%*SA</f>
        <v>100000</v>
      </c>
      <c r="Z201" s="179">
        <f t="array" ref="Z201">NPV('Pre-Calculation'!$E$20,Y202:Y211)</f>
        <v>969592.8037</v>
      </c>
    </row>
    <row r="202" ht="15.75" customHeight="1">
      <c r="A202" s="171">
        <f t="shared" si="1"/>
        <v>196</v>
      </c>
      <c r="B202" s="171">
        <f t="shared" si="2"/>
        <v>17</v>
      </c>
      <c r="C202" s="176">
        <f>EDATE(RCD,A201)</f>
        <v>48487</v>
      </c>
      <c r="D202" s="171">
        <f>Age_At_Entry+'Cashflows_4% from Start'!B202-1</f>
        <v>51</v>
      </c>
      <c r="E202" s="175">
        <f>IF(AND(C202&lt;=Last_Prem,MOD(A201,Mode)=0),Mod_Prem,0)</f>
        <v>0</v>
      </c>
      <c r="F202" s="177">
        <f>IF(B202&lt;PT+1,E202*VLOOKUP(B202,'Pre-Calculation'!$H$1:$I$31,2,FALSE),0)</f>
        <v>0</v>
      </c>
      <c r="G202" s="177">
        <f>IF(B202&lt;PT+1,VLOOKUP(B202,'Pre-Calculation'!$H$1:$L$32,3,FALSE)+VLOOKUP(B202,'Pre-Calculation'!$H$1:$L$32,4,FALSE)*'Pre-Calculation'!$D$7,0)</f>
        <v>0</v>
      </c>
      <c r="H202" s="175">
        <f>(E202-(F202+G202)*(1+Tax)+N201)</f>
        <v>1171330.392</v>
      </c>
      <c r="I202" s="175">
        <f>IF(B202&lt;PT+1,VLOOKUP(D202,'Pre-Calculation'!$N$3:$P$79,IF(INPUT!$C$4="M",2,3),FALSE)*(J202/1000)*(1/12),0)</f>
        <v>0</v>
      </c>
      <c r="J202" s="175">
        <f t="shared" si="3"/>
        <v>508669.6081</v>
      </c>
      <c r="K202" s="175">
        <f>IF('Pre-Calculation'!$D$17="Type 4 a",MAX(SA,H202,1.05*Q202),IF('Pre-Calculation'!$D$17="Type 4 c",H202,IF('Pre-Calculation'!$D$17="Type 4 d",SA+H202,IF('Pre-Calculation'!$D$17="Type 4 e",MAX(SA,H202),IF('Pre-Calculation'!$D$17="Type 4 f",SA,IF('Pre-Calculation'!$D$17="Type 4 g",1000+H202,IF('Pre-Calculation'!$D$17="Type 4 h",SA+X202,IF('Pre-Calculation'!$D$17="Type 4 i",MAX(H202,Q202),IF('Pre-Calculation'!$D$17="Type 4 k",MAX(H202,1.01*Q202),IF('Pre-Calculation'!$D$17="Type 4 m",MAX(105%*Q202,SA+H202),IF('Pre-Calculation'!$D$17="Type 4 o",MAX(SA,105%*Q202)+X202+Z202,IF('Pre-Calculation'!$D$17="Type 5",0))))))))))))</f>
        <v>1680000</v>
      </c>
      <c r="L202" s="175">
        <f>H202-I202*(1+Tax)</f>
        <v>1171330.392</v>
      </c>
      <c r="M202" s="175">
        <f>L202*(1+GROWTH_RATE_L)*(1-FMC*(1+Tax))</f>
        <v>1173605.84</v>
      </c>
      <c r="N202" s="175">
        <f>M202+IF(MOD(A202,B202)=0,VLOOKUP(B202,'Pre-Calculation'!$H$1:$L$31,5,FALSE),0)*IF('Pre-Calculation'!$D$16="% OF FV",M202,IF(OR('Pre-Calculation'!$D$16="% OF AFV(24M)",'Pre-Calculation'!$D$16="% OF AFV(8Q)"),AVERAGE( $M179:$M202),IF('Pre-Calculation'!$D$16="% OF AFV(12M)",AVERAGE($M191:M202),IF('Pre-Calculation'!$D$16="% OF AFV(36M)",AVERAGE($M167:M202)))))</f>
        <v>1173605.84</v>
      </c>
      <c r="O202" s="175">
        <f t="shared" si="4"/>
        <v>1173605.84</v>
      </c>
      <c r="P202" s="175">
        <f>IF('Pre-Calculation'!$D$17="Type 4 a",MAX(SA,N202,1.05*Q202),IF('Pre-Calculation'!$D$17="Type 4 c",N202,IF('Pre-Calculation'!$D$17="Type 4 d",SA+N202,IF('Pre-Calculation'!$D$17="Type 4 e",MAX(SA,N202),IF('Pre-Calculation'!$D$17="Type 4 f",SA,IF('Pre-Calculation'!$D$17="Type 4 g",1000+N202,IF('Pre-Calculation'!$D$17="Type 4 h",SA+X202,IF('Pre-Calculation'!$D$17="Type 4 i",MAX(N202,Q202),IF('Pre-Calculation'!$D$17="Type 4 k",MAX(N202,1.01*Q202),IF('Pre-Calculation'!$D$17="Type 4 m",MAX(105%*Q202,SA+N202),IF('Pre-Calculation'!$D$17="Type 4 o",MAX(SA,105%*Q202)+X202+Z202,IF('Pre-Calculation'!$D$17="Type 5",0))))))))))))</f>
        <v>1680000</v>
      </c>
      <c r="Q202" s="175">
        <f t="shared" si="5"/>
        <v>1600000</v>
      </c>
      <c r="R202" s="119">
        <f>L202*(1+GROWTH_RATE)*FMC</f>
        <v>1325.50389</v>
      </c>
      <c r="S202" s="178">
        <f>S201*(1+'Pre-Calculation'!$E$27)</f>
        <v>1140089.826</v>
      </c>
      <c r="T202" s="175">
        <f>-E202+IF(A201=INPUT!$C$11*12,N202,0)</f>
        <v>0</v>
      </c>
      <c r="U202" s="175">
        <f t="shared" si="6"/>
        <v>1255282.069</v>
      </c>
      <c r="V202" s="175">
        <f>U202*(1+GROWTH_RATE_L)*(1-'Pre-Calculation'!$E$31)</f>
        <v>1257294.24</v>
      </c>
      <c r="W202" s="175">
        <f>-E202+IF(A201=INPUT!$C$11*12,V202,0)</f>
        <v>0</v>
      </c>
      <c r="X202" s="179">
        <f t="array" ref="X202">NPV('Pre-Calculation'!$E$20,$E203:E$246)</f>
        <v>0</v>
      </c>
      <c r="Y202" s="171">
        <f>10%*SA</f>
        <v>100000</v>
      </c>
      <c r="Z202" s="179">
        <f t="array" ref="Z202">NPV('Pre-Calculation'!$E$20,Y203:Y212)</f>
        <v>969592.8037</v>
      </c>
    </row>
    <row r="203" ht="15.75" customHeight="1">
      <c r="A203" s="171">
        <f t="shared" si="1"/>
        <v>197</v>
      </c>
      <c r="B203" s="171">
        <f t="shared" si="2"/>
        <v>17</v>
      </c>
      <c r="C203" s="176">
        <f>EDATE(RCD,A202)</f>
        <v>48517</v>
      </c>
      <c r="D203" s="171">
        <f>Age_At_Entry+'Cashflows_4% from Start'!B203-1</f>
        <v>51</v>
      </c>
      <c r="E203" s="175">
        <f>IF(AND(C203&lt;=Last_Prem,MOD(A202,Mode)=0),Mod_Prem,0)</f>
        <v>0</v>
      </c>
      <c r="F203" s="177">
        <f>IF(B203&lt;PT+1,E203*VLOOKUP(B203,'Pre-Calculation'!$H$1:$I$31,2,FALSE),0)</f>
        <v>0</v>
      </c>
      <c r="G203" s="177">
        <f>IF(B203&lt;PT+1,VLOOKUP(B203,'Pre-Calculation'!$H$1:$L$32,3,FALSE)+VLOOKUP(B203,'Pre-Calculation'!$H$1:$L$32,4,FALSE)*'Pre-Calculation'!$D$7,0)</f>
        <v>0</v>
      </c>
      <c r="H203" s="175">
        <f>(E203-(F203+G203)*(1+Tax)+N202)</f>
        <v>1173605.84</v>
      </c>
      <c r="I203" s="175">
        <f>IF(B203&lt;PT+1,VLOOKUP(D203,'Pre-Calculation'!$N$3:$P$79,IF(INPUT!$C$4="M",2,3),FALSE)*(J203/1000)*(1/12),0)</f>
        <v>0</v>
      </c>
      <c r="J203" s="175">
        <f t="shared" si="3"/>
        <v>506394.1603</v>
      </c>
      <c r="K203" s="175">
        <f>IF('Pre-Calculation'!$D$17="Type 4 a",MAX(SA,H203,1.05*Q203),IF('Pre-Calculation'!$D$17="Type 4 c",H203,IF('Pre-Calculation'!$D$17="Type 4 d",SA+H203,IF('Pre-Calculation'!$D$17="Type 4 e",MAX(SA,H203),IF('Pre-Calculation'!$D$17="Type 4 f",SA,IF('Pre-Calculation'!$D$17="Type 4 g",1000+H203,IF('Pre-Calculation'!$D$17="Type 4 h",SA+X203,IF('Pre-Calculation'!$D$17="Type 4 i",MAX(H203,Q203),IF('Pre-Calculation'!$D$17="Type 4 k",MAX(H203,1.01*Q203),IF('Pre-Calculation'!$D$17="Type 4 m",MAX(105%*Q203,SA+H203),IF('Pre-Calculation'!$D$17="Type 4 o",MAX(SA,105%*Q203)+X203+Z203,IF('Pre-Calculation'!$D$17="Type 5",0))))))))))))</f>
        <v>1680000</v>
      </c>
      <c r="L203" s="175">
        <f>H203-I203*(1+Tax)</f>
        <v>1173605.84</v>
      </c>
      <c r="M203" s="175">
        <f>L203*(1+GROWTH_RATE_L)*(1-FMC*(1+Tax))</f>
        <v>1175885.708</v>
      </c>
      <c r="N203" s="175">
        <f>M203+IF(MOD(A203,B203)=0,VLOOKUP(B203,'Pre-Calculation'!$H$1:$L$31,5,FALSE),0)*IF('Pre-Calculation'!$D$16="% OF FV",M203,IF(OR('Pre-Calculation'!$D$16="% OF AFV(24M)",'Pre-Calculation'!$D$16="% OF AFV(8Q)"),AVERAGE( $M180:$M203),IF('Pre-Calculation'!$D$16="% OF AFV(12M)",AVERAGE($M192:M203),IF('Pre-Calculation'!$D$16="% OF AFV(36M)",AVERAGE($M168:M203)))))</f>
        <v>1175885.708</v>
      </c>
      <c r="O203" s="175">
        <f t="shared" si="4"/>
        <v>1175885.708</v>
      </c>
      <c r="P203" s="175">
        <f>IF('Pre-Calculation'!$D$17="Type 4 a",MAX(SA,N203,1.05*Q203),IF('Pre-Calculation'!$D$17="Type 4 c",N203,IF('Pre-Calculation'!$D$17="Type 4 d",SA+N203,IF('Pre-Calculation'!$D$17="Type 4 e",MAX(SA,N203),IF('Pre-Calculation'!$D$17="Type 4 f",SA,IF('Pre-Calculation'!$D$17="Type 4 g",1000+N203,IF('Pre-Calculation'!$D$17="Type 4 h",SA+X203,IF('Pre-Calculation'!$D$17="Type 4 i",MAX(N203,Q203),IF('Pre-Calculation'!$D$17="Type 4 k",MAX(N203,1.01*Q203),IF('Pre-Calculation'!$D$17="Type 4 m",MAX(105%*Q203,SA+N203),IF('Pre-Calculation'!$D$17="Type 4 o",MAX(SA,105%*Q203)+X203+Z203,IF('Pre-Calculation'!$D$17="Type 5",0))))))))))))</f>
        <v>1680000</v>
      </c>
      <c r="Q203" s="175">
        <f t="shared" si="5"/>
        <v>1600000</v>
      </c>
      <c r="R203" s="119">
        <f>L203*(1+GROWTH_RATE)*FMC</f>
        <v>1328.078838</v>
      </c>
      <c r="S203" s="178">
        <f>S202*(1+'Pre-Calculation'!$E$27)</f>
        <v>1143362.908</v>
      </c>
      <c r="T203" s="175">
        <f>-E203+IF(A202=INPUT!$C$11*12,N203,0)</f>
        <v>0</v>
      </c>
      <c r="U203" s="175">
        <f t="shared" si="6"/>
        <v>1257294.24</v>
      </c>
      <c r="V203" s="175">
        <f>U203*(1+GROWTH_RATE_L)*(1-'Pre-Calculation'!$E$31)</f>
        <v>1259309.638</v>
      </c>
      <c r="W203" s="175">
        <f>-E203+IF(A202=INPUT!$C$11*12,V203,0)</f>
        <v>0</v>
      </c>
      <c r="X203" s="179">
        <f t="array" ref="X203">NPV('Pre-Calculation'!$E$20,$E204:E$246)</f>
        <v>0</v>
      </c>
      <c r="Y203" s="171">
        <f>10%*SA</f>
        <v>100000</v>
      </c>
      <c r="Z203" s="179">
        <f t="array" ref="Z203">NPV('Pre-Calculation'!$E$20,Y204:Y213)</f>
        <v>969592.8037</v>
      </c>
    </row>
    <row r="204" ht="15.75" customHeight="1">
      <c r="A204" s="171">
        <f t="shared" si="1"/>
        <v>198</v>
      </c>
      <c r="B204" s="171">
        <f t="shared" si="2"/>
        <v>17</v>
      </c>
      <c r="C204" s="176">
        <f>EDATE(RCD,A203)</f>
        <v>48548</v>
      </c>
      <c r="D204" s="171">
        <f>Age_At_Entry+'Cashflows_4% from Start'!B204-1</f>
        <v>51</v>
      </c>
      <c r="E204" s="175">
        <f>IF(AND(C204&lt;=Last_Prem,MOD(A203,Mode)=0),Mod_Prem,0)</f>
        <v>0</v>
      </c>
      <c r="F204" s="177">
        <f>IF(B204&lt;PT+1,E204*VLOOKUP(B204,'Pre-Calculation'!$H$1:$I$31,2,FALSE),0)</f>
        <v>0</v>
      </c>
      <c r="G204" s="177">
        <f>IF(B204&lt;PT+1,VLOOKUP(B204,'Pre-Calculation'!$H$1:$L$32,3,FALSE)+VLOOKUP(B204,'Pre-Calculation'!$H$1:$L$32,4,FALSE)*'Pre-Calculation'!$D$7,0)</f>
        <v>0</v>
      </c>
      <c r="H204" s="175">
        <f>(E204-(F204+G204)*(1+Tax)+N203)</f>
        <v>1175885.708</v>
      </c>
      <c r="I204" s="175">
        <f>IF(B204&lt;PT+1,VLOOKUP(D204,'Pre-Calculation'!$N$3:$P$79,IF(INPUT!$C$4="M",2,3),FALSE)*(J204/1000)*(1/12),0)</f>
        <v>0</v>
      </c>
      <c r="J204" s="175">
        <f t="shared" si="3"/>
        <v>504114.2923</v>
      </c>
      <c r="K204" s="175">
        <f>IF('Pre-Calculation'!$D$17="Type 4 a",MAX(SA,H204,1.05*Q204),IF('Pre-Calculation'!$D$17="Type 4 c",H204,IF('Pre-Calculation'!$D$17="Type 4 d",SA+H204,IF('Pre-Calculation'!$D$17="Type 4 e",MAX(SA,H204),IF('Pre-Calculation'!$D$17="Type 4 f",SA,IF('Pre-Calculation'!$D$17="Type 4 g",1000+H204,IF('Pre-Calculation'!$D$17="Type 4 h",SA+X204,IF('Pre-Calculation'!$D$17="Type 4 i",MAX(H204,Q204),IF('Pre-Calculation'!$D$17="Type 4 k",MAX(H204,1.01*Q204),IF('Pre-Calculation'!$D$17="Type 4 m",MAX(105%*Q204,SA+H204),IF('Pre-Calculation'!$D$17="Type 4 o",MAX(SA,105%*Q204)+X204+Z204,IF('Pre-Calculation'!$D$17="Type 5",0))))))))))))</f>
        <v>1680000</v>
      </c>
      <c r="L204" s="175">
        <f>H204-I204*(1+Tax)</f>
        <v>1175885.708</v>
      </c>
      <c r="M204" s="175">
        <f>L204*(1+GROWTH_RATE_L)*(1-FMC*(1+Tax))</f>
        <v>1178170.005</v>
      </c>
      <c r="N204" s="175">
        <f>M204+IF(MOD(A204,B204)=0,VLOOKUP(B204,'Pre-Calculation'!$H$1:$L$31,5,FALSE),0)*IF('Pre-Calculation'!$D$16="% OF FV",M204,IF(OR('Pre-Calculation'!$D$16="% OF AFV(24M)",'Pre-Calculation'!$D$16="% OF AFV(8Q)"),AVERAGE( $M181:$M204),IF('Pre-Calculation'!$D$16="% OF AFV(12M)",AVERAGE($M193:M204),IF('Pre-Calculation'!$D$16="% OF AFV(36M)",AVERAGE($M169:M204)))))</f>
        <v>1178170.005</v>
      </c>
      <c r="O204" s="175">
        <f t="shared" si="4"/>
        <v>1178170.005</v>
      </c>
      <c r="P204" s="175">
        <f>IF('Pre-Calculation'!$D$17="Type 4 a",MAX(SA,N204,1.05*Q204),IF('Pre-Calculation'!$D$17="Type 4 c",N204,IF('Pre-Calculation'!$D$17="Type 4 d",SA+N204,IF('Pre-Calculation'!$D$17="Type 4 e",MAX(SA,N204),IF('Pre-Calculation'!$D$17="Type 4 f",SA,IF('Pre-Calculation'!$D$17="Type 4 g",1000+N204,IF('Pre-Calculation'!$D$17="Type 4 h",SA+X204,IF('Pre-Calculation'!$D$17="Type 4 i",MAX(N204,Q204),IF('Pre-Calculation'!$D$17="Type 4 k",MAX(N204,1.01*Q204),IF('Pre-Calculation'!$D$17="Type 4 m",MAX(105%*Q204,SA+N204),IF('Pre-Calculation'!$D$17="Type 4 o",MAX(SA,105%*Q204)+X204+Z204,IF('Pre-Calculation'!$D$17="Type 5",0))))))))))))</f>
        <v>1680000</v>
      </c>
      <c r="Q204" s="175">
        <f t="shared" si="5"/>
        <v>1600000</v>
      </c>
      <c r="R204" s="119">
        <f>L204*(1+GROWTH_RATE)*FMC</f>
        <v>1330.658788</v>
      </c>
      <c r="S204" s="178">
        <f>S203*(1+'Pre-Calculation'!$E$27)</f>
        <v>1146645.387</v>
      </c>
      <c r="T204" s="175">
        <f>-E204+IF(A203=INPUT!$C$11*12,N204,0)</f>
        <v>0</v>
      </c>
      <c r="U204" s="175">
        <f t="shared" si="6"/>
        <v>1259309.638</v>
      </c>
      <c r="V204" s="175">
        <f>U204*(1+GROWTH_RATE_L)*(1-'Pre-Calculation'!$E$31)</f>
        <v>1261328.265</v>
      </c>
      <c r="W204" s="175">
        <f>-E204+IF(A203=INPUT!$C$11*12,V204,0)</f>
        <v>0</v>
      </c>
      <c r="X204" s="179">
        <f t="array" ref="X204">NPV('Pre-Calculation'!$E$20,$E205:E$246)</f>
        <v>0</v>
      </c>
      <c r="Y204" s="171">
        <f>10%*SA</f>
        <v>100000</v>
      </c>
      <c r="Z204" s="179">
        <f t="array" ref="Z204">NPV('Pre-Calculation'!$E$20,Y205:Y214)</f>
        <v>969592.8037</v>
      </c>
    </row>
    <row r="205" ht="15.75" customHeight="1">
      <c r="A205" s="171">
        <f t="shared" si="1"/>
        <v>199</v>
      </c>
      <c r="B205" s="171">
        <f t="shared" si="2"/>
        <v>17</v>
      </c>
      <c r="C205" s="176">
        <f>EDATE(RCD,A204)</f>
        <v>48578</v>
      </c>
      <c r="D205" s="171">
        <f>Age_At_Entry+'Cashflows_4% from Start'!B205-1</f>
        <v>51</v>
      </c>
      <c r="E205" s="175">
        <f>IF(AND(C205&lt;=Last_Prem,MOD(A204,Mode)=0),Mod_Prem,0)</f>
        <v>0</v>
      </c>
      <c r="F205" s="177">
        <f>IF(B205&lt;PT+1,E205*VLOOKUP(B205,'Pre-Calculation'!$H$1:$I$31,2,FALSE),0)</f>
        <v>0</v>
      </c>
      <c r="G205" s="177">
        <f>IF(B205&lt;PT+1,VLOOKUP(B205,'Pre-Calculation'!$H$1:$L$32,3,FALSE)+VLOOKUP(B205,'Pre-Calculation'!$H$1:$L$32,4,FALSE)*'Pre-Calculation'!$D$7,0)</f>
        <v>0</v>
      </c>
      <c r="H205" s="175">
        <f>(E205-(F205+G205)*(1+Tax)+N204)</f>
        <v>1178170.005</v>
      </c>
      <c r="I205" s="175">
        <f>IF(B205&lt;PT+1,VLOOKUP(D205,'Pre-Calculation'!$N$3:$P$79,IF(INPUT!$C$4="M",2,3),FALSE)*(J205/1000)*(1/12),0)</f>
        <v>0</v>
      </c>
      <c r="J205" s="175">
        <f t="shared" si="3"/>
        <v>501829.9954</v>
      </c>
      <c r="K205" s="175">
        <f>IF('Pre-Calculation'!$D$17="Type 4 a",MAX(SA,H205,1.05*Q205),IF('Pre-Calculation'!$D$17="Type 4 c",H205,IF('Pre-Calculation'!$D$17="Type 4 d",SA+H205,IF('Pre-Calculation'!$D$17="Type 4 e",MAX(SA,H205),IF('Pre-Calculation'!$D$17="Type 4 f",SA,IF('Pre-Calculation'!$D$17="Type 4 g",1000+H205,IF('Pre-Calculation'!$D$17="Type 4 h",SA+X205,IF('Pre-Calculation'!$D$17="Type 4 i",MAX(H205,Q205),IF('Pre-Calculation'!$D$17="Type 4 k",MAX(H205,1.01*Q205),IF('Pre-Calculation'!$D$17="Type 4 m",MAX(105%*Q205,SA+H205),IF('Pre-Calculation'!$D$17="Type 4 o",MAX(SA,105%*Q205)+X205+Z205,IF('Pre-Calculation'!$D$17="Type 5",0))))))))))))</f>
        <v>1680000</v>
      </c>
      <c r="L205" s="175">
        <f>H205-I205*(1+Tax)</f>
        <v>1178170.005</v>
      </c>
      <c r="M205" s="175">
        <f>L205*(1+GROWTH_RATE_L)*(1-FMC*(1+Tax))</f>
        <v>1180458.739</v>
      </c>
      <c r="N205" s="175">
        <f>M205+IF(MOD(A205,B205)=0,VLOOKUP(B205,'Pre-Calculation'!$H$1:$L$31,5,FALSE),0)*IF('Pre-Calculation'!$D$16="% OF FV",M205,IF(OR('Pre-Calculation'!$D$16="% OF AFV(24M)",'Pre-Calculation'!$D$16="% OF AFV(8Q)"),AVERAGE( $M182:$M205),IF('Pre-Calculation'!$D$16="% OF AFV(12M)",AVERAGE($M194:M205),IF('Pre-Calculation'!$D$16="% OF AFV(36M)",AVERAGE($M170:M205)))))</f>
        <v>1180458.739</v>
      </c>
      <c r="O205" s="175">
        <f t="shared" si="4"/>
        <v>1180458.739</v>
      </c>
      <c r="P205" s="175">
        <f>IF('Pre-Calculation'!$D$17="Type 4 a",MAX(SA,N205,1.05*Q205),IF('Pre-Calculation'!$D$17="Type 4 c",N205,IF('Pre-Calculation'!$D$17="Type 4 d",SA+N205,IF('Pre-Calculation'!$D$17="Type 4 e",MAX(SA,N205),IF('Pre-Calculation'!$D$17="Type 4 f",SA,IF('Pre-Calculation'!$D$17="Type 4 g",1000+N205,IF('Pre-Calculation'!$D$17="Type 4 h",SA+X205,IF('Pre-Calculation'!$D$17="Type 4 i",MAX(N205,Q205),IF('Pre-Calculation'!$D$17="Type 4 k",MAX(N205,1.01*Q205),IF('Pre-Calculation'!$D$17="Type 4 m",MAX(105%*Q205,SA+N205),IF('Pre-Calculation'!$D$17="Type 4 o",MAX(SA,105%*Q205)+X205+Z205,IF('Pre-Calculation'!$D$17="Type 5",0))))))))))))</f>
        <v>1680000</v>
      </c>
      <c r="Q205" s="175">
        <f t="shared" si="5"/>
        <v>1600000</v>
      </c>
      <c r="R205" s="119">
        <f>L205*(1+GROWTH_RATE)*FMC</f>
        <v>1333.24375</v>
      </c>
      <c r="S205" s="178">
        <f>S204*(1+'Pre-Calculation'!$E$27)</f>
        <v>1149937.29</v>
      </c>
      <c r="T205" s="175">
        <f>-E205+IF(A204=INPUT!$C$11*12,N205,0)</f>
        <v>0</v>
      </c>
      <c r="U205" s="175">
        <f t="shared" si="6"/>
        <v>1261328.265</v>
      </c>
      <c r="V205" s="175">
        <f>U205*(1+GROWTH_RATE_L)*(1-'Pre-Calculation'!$E$31)</f>
        <v>1263350.129</v>
      </c>
      <c r="W205" s="175">
        <f>-E205+IF(A204=INPUT!$C$11*12,V205,0)</f>
        <v>0</v>
      </c>
      <c r="X205" s="179">
        <f t="array" ref="X205">NPV('Pre-Calculation'!$E$20,$E206:E$246)</f>
        <v>0</v>
      </c>
      <c r="Y205" s="171">
        <f>10%*SA</f>
        <v>100000</v>
      </c>
      <c r="Z205" s="179">
        <f t="array" ref="Z205">NPV('Pre-Calculation'!$E$20,Y206:Y215)</f>
        <v>969592.8037</v>
      </c>
    </row>
    <row r="206" ht="15.75" customHeight="1">
      <c r="A206" s="171">
        <f t="shared" si="1"/>
        <v>200</v>
      </c>
      <c r="B206" s="171">
        <f t="shared" si="2"/>
        <v>17</v>
      </c>
      <c r="C206" s="176">
        <f>EDATE(RCD,A205)</f>
        <v>48609</v>
      </c>
      <c r="D206" s="171">
        <f>Age_At_Entry+'Cashflows_4% from Start'!B206-1</f>
        <v>51</v>
      </c>
      <c r="E206" s="175">
        <f>IF(AND(C206&lt;=Last_Prem,MOD(A205,Mode)=0),Mod_Prem,0)</f>
        <v>0</v>
      </c>
      <c r="F206" s="177">
        <f>IF(B206&lt;PT+1,E206*VLOOKUP(B206,'Pre-Calculation'!$H$1:$I$31,2,FALSE),0)</f>
        <v>0</v>
      </c>
      <c r="G206" s="177">
        <f>IF(B206&lt;PT+1,VLOOKUP(B206,'Pre-Calculation'!$H$1:$L$32,3,FALSE)+VLOOKUP(B206,'Pre-Calculation'!$H$1:$L$32,4,FALSE)*'Pre-Calculation'!$D$7,0)</f>
        <v>0</v>
      </c>
      <c r="H206" s="175">
        <f>(E206-(F206+G206)*(1+Tax)+N205)</f>
        <v>1180458.739</v>
      </c>
      <c r="I206" s="175">
        <f>IF(B206&lt;PT+1,VLOOKUP(D206,'Pre-Calculation'!$N$3:$P$79,IF(INPUT!$C$4="M",2,3),FALSE)*(J206/1000)*(1/12),0)</f>
        <v>0</v>
      </c>
      <c r="J206" s="175">
        <f t="shared" si="3"/>
        <v>499541.2609</v>
      </c>
      <c r="K206" s="175">
        <f>IF('Pre-Calculation'!$D$17="Type 4 a",MAX(SA,H206,1.05*Q206),IF('Pre-Calculation'!$D$17="Type 4 c",H206,IF('Pre-Calculation'!$D$17="Type 4 d",SA+H206,IF('Pre-Calculation'!$D$17="Type 4 e",MAX(SA,H206),IF('Pre-Calculation'!$D$17="Type 4 f",SA,IF('Pre-Calculation'!$D$17="Type 4 g",1000+H206,IF('Pre-Calculation'!$D$17="Type 4 h",SA+X206,IF('Pre-Calculation'!$D$17="Type 4 i",MAX(H206,Q206),IF('Pre-Calculation'!$D$17="Type 4 k",MAX(H206,1.01*Q206),IF('Pre-Calculation'!$D$17="Type 4 m",MAX(105%*Q206,SA+H206),IF('Pre-Calculation'!$D$17="Type 4 o",MAX(SA,105%*Q206)+X206+Z206,IF('Pre-Calculation'!$D$17="Type 5",0))))))))))))</f>
        <v>1680000</v>
      </c>
      <c r="L206" s="175">
        <f>H206-I206*(1+Tax)</f>
        <v>1180458.739</v>
      </c>
      <c r="M206" s="175">
        <f>L206*(1+GROWTH_RATE_L)*(1-FMC*(1+Tax))</f>
        <v>1182751.92</v>
      </c>
      <c r="N206" s="175">
        <f>M206+IF(MOD(A206,B206)=0,VLOOKUP(B206,'Pre-Calculation'!$H$1:$L$31,5,FALSE),0)*IF('Pre-Calculation'!$D$16="% OF FV",M206,IF(OR('Pre-Calculation'!$D$16="% OF AFV(24M)",'Pre-Calculation'!$D$16="% OF AFV(8Q)"),AVERAGE( $M183:$M206),IF('Pre-Calculation'!$D$16="% OF AFV(12M)",AVERAGE($M195:M206),IF('Pre-Calculation'!$D$16="% OF AFV(36M)",AVERAGE($M171:M206)))))</f>
        <v>1182751.92</v>
      </c>
      <c r="O206" s="175">
        <f t="shared" si="4"/>
        <v>1182751.92</v>
      </c>
      <c r="P206" s="175">
        <f>IF('Pre-Calculation'!$D$17="Type 4 a",MAX(SA,N206,1.05*Q206),IF('Pre-Calculation'!$D$17="Type 4 c",N206,IF('Pre-Calculation'!$D$17="Type 4 d",SA+N206,IF('Pre-Calculation'!$D$17="Type 4 e",MAX(SA,N206),IF('Pre-Calculation'!$D$17="Type 4 f",SA,IF('Pre-Calculation'!$D$17="Type 4 g",1000+N206,IF('Pre-Calculation'!$D$17="Type 4 h",SA+X206,IF('Pre-Calculation'!$D$17="Type 4 i",MAX(N206,Q206),IF('Pre-Calculation'!$D$17="Type 4 k",MAX(N206,1.01*Q206),IF('Pre-Calculation'!$D$17="Type 4 m",MAX(105%*Q206,SA+N206),IF('Pre-Calculation'!$D$17="Type 4 o",MAX(SA,105%*Q206)+X206+Z206,IF('Pre-Calculation'!$D$17="Type 5",0))))))))))))</f>
        <v>1680000</v>
      </c>
      <c r="Q206" s="175">
        <f t="shared" si="5"/>
        <v>1600000</v>
      </c>
      <c r="R206" s="119">
        <f>L206*(1+GROWTH_RATE)*FMC</f>
        <v>1335.833733</v>
      </c>
      <c r="S206" s="178">
        <f>S205*(1+'Pre-Calculation'!$E$27)</f>
        <v>1153238.643</v>
      </c>
      <c r="T206" s="175">
        <f>-E206+IF(A205=INPUT!$C$11*12,N206,0)</f>
        <v>0</v>
      </c>
      <c r="U206" s="175">
        <f t="shared" si="6"/>
        <v>1263350.129</v>
      </c>
      <c r="V206" s="175">
        <f>U206*(1+GROWTH_RATE_L)*(1-'Pre-Calculation'!$E$31)</f>
        <v>1265375.233</v>
      </c>
      <c r="W206" s="175">
        <f>-E206+IF(A205=INPUT!$C$11*12,V206,0)</f>
        <v>0</v>
      </c>
      <c r="X206" s="179">
        <f t="array" ref="X206">NPV('Pre-Calculation'!$E$20,$E207:E$246)</f>
        <v>0</v>
      </c>
      <c r="Y206" s="171">
        <f>10%*SA</f>
        <v>100000</v>
      </c>
      <c r="Z206" s="179">
        <f t="array" ref="Z206">NPV('Pre-Calculation'!$E$20,Y207:Y216)</f>
        <v>969592.8037</v>
      </c>
    </row>
    <row r="207" ht="15.75" customHeight="1">
      <c r="A207" s="171">
        <f t="shared" si="1"/>
        <v>201</v>
      </c>
      <c r="B207" s="171">
        <f t="shared" si="2"/>
        <v>17</v>
      </c>
      <c r="C207" s="176">
        <f>EDATE(RCD,A206)</f>
        <v>48638</v>
      </c>
      <c r="D207" s="171">
        <f>Age_At_Entry+'Cashflows_4% from Start'!B207-1</f>
        <v>51</v>
      </c>
      <c r="E207" s="175">
        <f>IF(AND(C207&lt;=Last_Prem,MOD(A206,Mode)=0),Mod_Prem,0)</f>
        <v>0</v>
      </c>
      <c r="F207" s="177">
        <f>IF(B207&lt;PT+1,E207*VLOOKUP(B207,'Pre-Calculation'!$H$1:$I$31,2,FALSE),0)</f>
        <v>0</v>
      </c>
      <c r="G207" s="177">
        <f>IF(B207&lt;PT+1,VLOOKUP(B207,'Pre-Calculation'!$H$1:$L$32,3,FALSE)+VLOOKUP(B207,'Pre-Calculation'!$H$1:$L$32,4,FALSE)*'Pre-Calculation'!$D$7,0)</f>
        <v>0</v>
      </c>
      <c r="H207" s="175">
        <f>(E207-(F207+G207)*(1+Tax)+N206)</f>
        <v>1182751.92</v>
      </c>
      <c r="I207" s="175">
        <f>IF(B207&lt;PT+1,VLOOKUP(D207,'Pre-Calculation'!$N$3:$P$79,IF(INPUT!$C$4="M",2,3),FALSE)*(J207/1000)*(1/12),0)</f>
        <v>0</v>
      </c>
      <c r="J207" s="175">
        <f t="shared" si="3"/>
        <v>497248.0803</v>
      </c>
      <c r="K207" s="175">
        <f>IF('Pre-Calculation'!$D$17="Type 4 a",MAX(SA,H207,1.05*Q207),IF('Pre-Calculation'!$D$17="Type 4 c",H207,IF('Pre-Calculation'!$D$17="Type 4 d",SA+H207,IF('Pre-Calculation'!$D$17="Type 4 e",MAX(SA,H207),IF('Pre-Calculation'!$D$17="Type 4 f",SA,IF('Pre-Calculation'!$D$17="Type 4 g",1000+H207,IF('Pre-Calculation'!$D$17="Type 4 h",SA+X207,IF('Pre-Calculation'!$D$17="Type 4 i",MAX(H207,Q207),IF('Pre-Calculation'!$D$17="Type 4 k",MAX(H207,1.01*Q207),IF('Pre-Calculation'!$D$17="Type 4 m",MAX(105%*Q207,SA+H207),IF('Pre-Calculation'!$D$17="Type 4 o",MAX(SA,105%*Q207)+X207+Z207,IF('Pre-Calculation'!$D$17="Type 5",0))))))))))))</f>
        <v>1680000</v>
      </c>
      <c r="L207" s="175">
        <f>H207-I207*(1+Tax)</f>
        <v>1182751.92</v>
      </c>
      <c r="M207" s="175">
        <f>L207*(1+GROWTH_RATE_L)*(1-FMC*(1+Tax))</f>
        <v>1185049.555</v>
      </c>
      <c r="N207" s="175">
        <f>M207+IF(MOD(A207,B207)=0,VLOOKUP(B207,'Pre-Calculation'!$H$1:$L$31,5,FALSE),0)*IF('Pre-Calculation'!$D$16="% OF FV",M207,IF(OR('Pre-Calculation'!$D$16="% OF AFV(24M)",'Pre-Calculation'!$D$16="% OF AFV(8Q)"),AVERAGE( $M184:$M207),IF('Pre-Calculation'!$D$16="% OF AFV(12M)",AVERAGE($M196:M207),IF('Pre-Calculation'!$D$16="% OF AFV(36M)",AVERAGE($M172:M207)))))</f>
        <v>1185049.555</v>
      </c>
      <c r="O207" s="175">
        <f t="shared" si="4"/>
        <v>1185049.555</v>
      </c>
      <c r="P207" s="175">
        <f>IF('Pre-Calculation'!$D$17="Type 4 a",MAX(SA,N207,1.05*Q207),IF('Pre-Calculation'!$D$17="Type 4 c",N207,IF('Pre-Calculation'!$D$17="Type 4 d",SA+N207,IF('Pre-Calculation'!$D$17="Type 4 e",MAX(SA,N207),IF('Pre-Calculation'!$D$17="Type 4 f",SA,IF('Pre-Calculation'!$D$17="Type 4 g",1000+N207,IF('Pre-Calculation'!$D$17="Type 4 h",SA+X207,IF('Pre-Calculation'!$D$17="Type 4 i",MAX(N207,Q207),IF('Pre-Calculation'!$D$17="Type 4 k",MAX(N207,1.01*Q207),IF('Pre-Calculation'!$D$17="Type 4 m",MAX(105%*Q207,SA+N207),IF('Pre-Calculation'!$D$17="Type 4 o",MAX(SA,105%*Q207)+X207+Z207,IF('Pre-Calculation'!$D$17="Type 5",0))))))))))))</f>
        <v>1680000</v>
      </c>
      <c r="Q207" s="175">
        <f t="shared" si="5"/>
        <v>1600000</v>
      </c>
      <c r="R207" s="119">
        <f>L207*(1+GROWTH_RATE)*FMC</f>
        <v>1338.428748</v>
      </c>
      <c r="S207" s="178">
        <f>S206*(1+'Pre-Calculation'!$E$27)</f>
        <v>1156549.475</v>
      </c>
      <c r="T207" s="175">
        <f>-E207+IF(A206=INPUT!$C$11*12,N207,0)</f>
        <v>0</v>
      </c>
      <c r="U207" s="175">
        <f t="shared" si="6"/>
        <v>1265375.233</v>
      </c>
      <c r="V207" s="175">
        <f>U207*(1+GROWTH_RATE_L)*(1-'Pre-Calculation'!$E$31)</f>
        <v>1267403.584</v>
      </c>
      <c r="W207" s="175">
        <f>-E207+IF(A206=INPUT!$C$11*12,V207,0)</f>
        <v>0</v>
      </c>
      <c r="X207" s="179">
        <f t="array" ref="X207">NPV('Pre-Calculation'!$E$20,$E208:E$246)</f>
        <v>0</v>
      </c>
      <c r="Y207" s="171">
        <f>10%*SA</f>
        <v>100000</v>
      </c>
      <c r="Z207" s="179">
        <f t="array" ref="Z207">NPV('Pre-Calculation'!$E$20,Y208:Y217)</f>
        <v>969592.8037</v>
      </c>
    </row>
    <row r="208" ht="15.75" customHeight="1">
      <c r="A208" s="171">
        <f t="shared" si="1"/>
        <v>202</v>
      </c>
      <c r="B208" s="171">
        <f t="shared" si="2"/>
        <v>17</v>
      </c>
      <c r="C208" s="176">
        <f>EDATE(RCD,A207)</f>
        <v>48668</v>
      </c>
      <c r="D208" s="171">
        <f>Age_At_Entry+'Cashflows_4% from Start'!B208-1</f>
        <v>51</v>
      </c>
      <c r="E208" s="175">
        <f>IF(AND(C208&lt;=Last_Prem,MOD(A207,Mode)=0),Mod_Prem,0)</f>
        <v>0</v>
      </c>
      <c r="F208" s="177">
        <f>IF(B208&lt;PT+1,E208*VLOOKUP(B208,'Pre-Calculation'!$H$1:$I$31,2,FALSE),0)</f>
        <v>0</v>
      </c>
      <c r="G208" s="177">
        <f>IF(B208&lt;PT+1,VLOOKUP(B208,'Pre-Calculation'!$H$1:$L$32,3,FALSE)+VLOOKUP(B208,'Pre-Calculation'!$H$1:$L$32,4,FALSE)*'Pre-Calculation'!$D$7,0)</f>
        <v>0</v>
      </c>
      <c r="H208" s="175">
        <f>(E208-(F208+G208)*(1+Tax)+N207)</f>
        <v>1185049.555</v>
      </c>
      <c r="I208" s="175">
        <f>IF(B208&lt;PT+1,VLOOKUP(D208,'Pre-Calculation'!$N$3:$P$79,IF(INPUT!$C$4="M",2,3),FALSE)*(J208/1000)*(1/12),0)</f>
        <v>0</v>
      </c>
      <c r="J208" s="175">
        <f t="shared" si="3"/>
        <v>494950.4449</v>
      </c>
      <c r="K208" s="175">
        <f>IF('Pre-Calculation'!$D$17="Type 4 a",MAX(SA,H208,1.05*Q208),IF('Pre-Calculation'!$D$17="Type 4 c",H208,IF('Pre-Calculation'!$D$17="Type 4 d",SA+H208,IF('Pre-Calculation'!$D$17="Type 4 e",MAX(SA,H208),IF('Pre-Calculation'!$D$17="Type 4 f",SA,IF('Pre-Calculation'!$D$17="Type 4 g",1000+H208,IF('Pre-Calculation'!$D$17="Type 4 h",SA+X208,IF('Pre-Calculation'!$D$17="Type 4 i",MAX(H208,Q208),IF('Pre-Calculation'!$D$17="Type 4 k",MAX(H208,1.01*Q208),IF('Pre-Calculation'!$D$17="Type 4 m",MAX(105%*Q208,SA+H208),IF('Pre-Calculation'!$D$17="Type 4 o",MAX(SA,105%*Q208)+X208+Z208,IF('Pre-Calculation'!$D$17="Type 5",0))))))))))))</f>
        <v>1680000</v>
      </c>
      <c r="L208" s="175">
        <f>H208-I208*(1+Tax)</f>
        <v>1185049.555</v>
      </c>
      <c r="M208" s="175">
        <f>L208*(1+GROWTH_RATE_L)*(1-FMC*(1+Tax))</f>
        <v>1187351.654</v>
      </c>
      <c r="N208" s="175">
        <f>M208+IF(MOD(A208,B208)=0,VLOOKUP(B208,'Pre-Calculation'!$H$1:$L$31,5,FALSE),0)*IF('Pre-Calculation'!$D$16="% OF FV",M208,IF(OR('Pre-Calculation'!$D$16="% OF AFV(24M)",'Pre-Calculation'!$D$16="% OF AFV(8Q)"),AVERAGE( $M185:$M208),IF('Pre-Calculation'!$D$16="% OF AFV(12M)",AVERAGE($M197:M208),IF('Pre-Calculation'!$D$16="% OF AFV(36M)",AVERAGE($M173:M208)))))</f>
        <v>1187351.654</v>
      </c>
      <c r="O208" s="175">
        <f t="shared" si="4"/>
        <v>1187351.654</v>
      </c>
      <c r="P208" s="175">
        <f>IF('Pre-Calculation'!$D$17="Type 4 a",MAX(SA,N208,1.05*Q208),IF('Pre-Calculation'!$D$17="Type 4 c",N208,IF('Pre-Calculation'!$D$17="Type 4 d",SA+N208,IF('Pre-Calculation'!$D$17="Type 4 e",MAX(SA,N208),IF('Pre-Calculation'!$D$17="Type 4 f",SA,IF('Pre-Calculation'!$D$17="Type 4 g",1000+N208,IF('Pre-Calculation'!$D$17="Type 4 h",SA+X208,IF('Pre-Calculation'!$D$17="Type 4 i",MAX(N208,Q208),IF('Pre-Calculation'!$D$17="Type 4 k",MAX(N208,1.01*Q208),IF('Pre-Calculation'!$D$17="Type 4 m",MAX(105%*Q208,SA+N208),IF('Pre-Calculation'!$D$17="Type 4 o",MAX(SA,105%*Q208)+X208+Z208,IF('Pre-Calculation'!$D$17="Type 5",0))))))))))))</f>
        <v>1680000</v>
      </c>
      <c r="Q208" s="175">
        <f t="shared" si="5"/>
        <v>1600000</v>
      </c>
      <c r="R208" s="119">
        <f>L208*(1+GROWTH_RATE)*FMC</f>
        <v>1341.028804</v>
      </c>
      <c r="S208" s="178">
        <f>S207*(1+'Pre-Calculation'!$E$27)</f>
        <v>1159869.811</v>
      </c>
      <c r="T208" s="175">
        <f>-E208+IF(A207=INPUT!$C$11*12,N208,0)</f>
        <v>0</v>
      </c>
      <c r="U208" s="175">
        <f t="shared" si="6"/>
        <v>1267403.584</v>
      </c>
      <c r="V208" s="175">
        <f>U208*(1+GROWTH_RATE_L)*(1-'Pre-Calculation'!$E$31)</f>
        <v>1269435.186</v>
      </c>
      <c r="W208" s="175">
        <f>-E208+IF(A207=INPUT!$C$11*12,V208,0)</f>
        <v>0</v>
      </c>
      <c r="X208" s="179">
        <f t="array" ref="X208">NPV('Pre-Calculation'!$E$20,$E209:E$246)</f>
        <v>0</v>
      </c>
      <c r="Y208" s="171">
        <f>10%*SA</f>
        <v>100000</v>
      </c>
      <c r="Z208" s="179">
        <f t="array" ref="Z208">NPV('Pre-Calculation'!$E$20,Y209:Y218)</f>
        <v>969592.8037</v>
      </c>
    </row>
    <row r="209" ht="15.75" customHeight="1">
      <c r="A209" s="171">
        <f t="shared" si="1"/>
        <v>203</v>
      </c>
      <c r="B209" s="171">
        <f t="shared" si="2"/>
        <v>17</v>
      </c>
      <c r="C209" s="176">
        <f>EDATE(RCD,A208)</f>
        <v>48699</v>
      </c>
      <c r="D209" s="171">
        <f>Age_At_Entry+'Cashflows_4% from Start'!B209-1</f>
        <v>51</v>
      </c>
      <c r="E209" s="175">
        <f>IF(AND(C209&lt;=Last_Prem,MOD(A208,Mode)=0),Mod_Prem,0)</f>
        <v>0</v>
      </c>
      <c r="F209" s="177">
        <f>IF(B209&lt;PT+1,E209*VLOOKUP(B209,'Pre-Calculation'!$H$1:$I$31,2,FALSE),0)</f>
        <v>0</v>
      </c>
      <c r="G209" s="177">
        <f>IF(B209&lt;PT+1,VLOOKUP(B209,'Pre-Calculation'!$H$1:$L$32,3,FALSE)+VLOOKUP(B209,'Pre-Calculation'!$H$1:$L$32,4,FALSE)*'Pre-Calculation'!$D$7,0)</f>
        <v>0</v>
      </c>
      <c r="H209" s="175">
        <f>(E209-(F209+G209)*(1+Tax)+N208)</f>
        <v>1187351.654</v>
      </c>
      <c r="I209" s="175">
        <f>IF(B209&lt;PT+1,VLOOKUP(D209,'Pre-Calculation'!$N$3:$P$79,IF(INPUT!$C$4="M",2,3),FALSE)*(J209/1000)*(1/12),0)</f>
        <v>0</v>
      </c>
      <c r="J209" s="175">
        <f t="shared" si="3"/>
        <v>492648.3461</v>
      </c>
      <c r="K209" s="175">
        <f>IF('Pre-Calculation'!$D$17="Type 4 a",MAX(SA,H209,1.05*Q209),IF('Pre-Calculation'!$D$17="Type 4 c",H209,IF('Pre-Calculation'!$D$17="Type 4 d",SA+H209,IF('Pre-Calculation'!$D$17="Type 4 e",MAX(SA,H209),IF('Pre-Calculation'!$D$17="Type 4 f",SA,IF('Pre-Calculation'!$D$17="Type 4 g",1000+H209,IF('Pre-Calculation'!$D$17="Type 4 h",SA+X209,IF('Pre-Calculation'!$D$17="Type 4 i",MAX(H209,Q209),IF('Pre-Calculation'!$D$17="Type 4 k",MAX(H209,1.01*Q209),IF('Pre-Calculation'!$D$17="Type 4 m",MAX(105%*Q209,SA+H209),IF('Pre-Calculation'!$D$17="Type 4 o",MAX(SA,105%*Q209)+X209+Z209,IF('Pre-Calculation'!$D$17="Type 5",0))))))))))))</f>
        <v>1680000</v>
      </c>
      <c r="L209" s="175">
        <f>H209-I209*(1+Tax)</f>
        <v>1187351.654</v>
      </c>
      <c r="M209" s="175">
        <f>L209*(1+GROWTH_RATE_L)*(1-FMC*(1+Tax))</f>
        <v>1189658.225</v>
      </c>
      <c r="N209" s="175">
        <f>M209+IF(MOD(A209,B209)=0,VLOOKUP(B209,'Pre-Calculation'!$H$1:$L$31,5,FALSE),0)*IF('Pre-Calculation'!$D$16="% OF FV",M209,IF(OR('Pre-Calculation'!$D$16="% OF AFV(24M)",'Pre-Calculation'!$D$16="% OF AFV(8Q)"),AVERAGE( $M186:$M209),IF('Pre-Calculation'!$D$16="% OF AFV(12M)",AVERAGE($M198:M209),IF('Pre-Calculation'!$D$16="% OF AFV(36M)",AVERAGE($M174:M209)))))</f>
        <v>1189658.225</v>
      </c>
      <c r="O209" s="175">
        <f t="shared" si="4"/>
        <v>1189658.225</v>
      </c>
      <c r="P209" s="175">
        <f>IF('Pre-Calculation'!$D$17="Type 4 a",MAX(SA,N209,1.05*Q209),IF('Pre-Calculation'!$D$17="Type 4 c",N209,IF('Pre-Calculation'!$D$17="Type 4 d",SA+N209,IF('Pre-Calculation'!$D$17="Type 4 e",MAX(SA,N209),IF('Pre-Calculation'!$D$17="Type 4 f",SA,IF('Pre-Calculation'!$D$17="Type 4 g",1000+N209,IF('Pre-Calculation'!$D$17="Type 4 h",SA+X209,IF('Pre-Calculation'!$D$17="Type 4 i",MAX(N209,Q209),IF('Pre-Calculation'!$D$17="Type 4 k",MAX(N209,1.01*Q209),IF('Pre-Calculation'!$D$17="Type 4 m",MAX(105%*Q209,SA+N209),IF('Pre-Calculation'!$D$17="Type 4 o",MAX(SA,105%*Q209)+X209+Z209,IF('Pre-Calculation'!$D$17="Type 5",0))))))))))))</f>
        <v>1680000</v>
      </c>
      <c r="Q209" s="175">
        <f t="shared" si="5"/>
        <v>1600000</v>
      </c>
      <c r="R209" s="119">
        <f>L209*(1+GROWTH_RATE)*FMC</f>
        <v>1343.633911</v>
      </c>
      <c r="S209" s="178">
        <f>S208*(1+'Pre-Calculation'!$E$27)</f>
        <v>1163199.68</v>
      </c>
      <c r="T209" s="175">
        <f>-E209+IF(A208=INPUT!$C$11*12,N209,0)</f>
        <v>0</v>
      </c>
      <c r="U209" s="175">
        <f t="shared" si="6"/>
        <v>1269435.186</v>
      </c>
      <c r="V209" s="175">
        <f>U209*(1+GROWTH_RATE_L)*(1-'Pre-Calculation'!$E$31)</f>
        <v>1271470.045</v>
      </c>
      <c r="W209" s="175">
        <f>-E209+IF(A208=INPUT!$C$11*12,V209,0)</f>
        <v>0</v>
      </c>
      <c r="X209" s="179">
        <f t="array" ref="X209">NPV('Pre-Calculation'!$E$20,$E210:E$246)</f>
        <v>0</v>
      </c>
      <c r="Y209" s="171">
        <f>10%*SA</f>
        <v>100000</v>
      </c>
      <c r="Z209" s="179">
        <f t="array" ref="Z209">NPV('Pre-Calculation'!$E$20,Y210:Y219)</f>
        <v>969592.8037</v>
      </c>
    </row>
    <row r="210" ht="15.75" customHeight="1">
      <c r="A210" s="171">
        <f t="shared" si="1"/>
        <v>204</v>
      </c>
      <c r="B210" s="171">
        <f t="shared" si="2"/>
        <v>17</v>
      </c>
      <c r="C210" s="176">
        <f>EDATE(RCD,A209)</f>
        <v>48729</v>
      </c>
      <c r="D210" s="171">
        <f>Age_At_Entry+'Cashflows_4% from Start'!B210-1</f>
        <v>51</v>
      </c>
      <c r="E210" s="175">
        <f>IF(AND(C210&lt;=Last_Prem,MOD(A209,Mode)=0),Mod_Prem,0)</f>
        <v>0</v>
      </c>
      <c r="F210" s="177">
        <f>IF(B210&lt;PT+1,E210*VLOOKUP(B210,'Pre-Calculation'!$H$1:$I$31,2,FALSE),0)</f>
        <v>0</v>
      </c>
      <c r="G210" s="177">
        <f>IF(B210&lt;PT+1,VLOOKUP(B210,'Pre-Calculation'!$H$1:$L$32,3,FALSE)+VLOOKUP(B210,'Pre-Calculation'!$H$1:$L$32,4,FALSE)*'Pre-Calculation'!$D$7,0)</f>
        <v>0</v>
      </c>
      <c r="H210" s="175">
        <f>(E210-(F210+G210)*(1+Tax)+N209)</f>
        <v>1189658.225</v>
      </c>
      <c r="I210" s="175">
        <f>IF(B210&lt;PT+1,VLOOKUP(D210,'Pre-Calculation'!$N$3:$P$79,IF(INPUT!$C$4="M",2,3),FALSE)*(J210/1000)*(1/12),0)</f>
        <v>0</v>
      </c>
      <c r="J210" s="175">
        <f t="shared" si="3"/>
        <v>490341.7752</v>
      </c>
      <c r="K210" s="175">
        <f>IF('Pre-Calculation'!$D$17="Type 4 a",MAX(SA,H210,1.05*Q210),IF('Pre-Calculation'!$D$17="Type 4 c",H210,IF('Pre-Calculation'!$D$17="Type 4 d",SA+H210,IF('Pre-Calculation'!$D$17="Type 4 e",MAX(SA,H210),IF('Pre-Calculation'!$D$17="Type 4 f",SA,IF('Pre-Calculation'!$D$17="Type 4 g",1000+H210,IF('Pre-Calculation'!$D$17="Type 4 h",SA+X210,IF('Pre-Calculation'!$D$17="Type 4 i",MAX(H210,Q210),IF('Pre-Calculation'!$D$17="Type 4 k",MAX(H210,1.01*Q210),IF('Pre-Calculation'!$D$17="Type 4 m",MAX(105%*Q210,SA+H210),IF('Pre-Calculation'!$D$17="Type 4 o",MAX(SA,105%*Q210)+X210+Z210,IF('Pre-Calculation'!$D$17="Type 5",0))))))))))))</f>
        <v>1680000</v>
      </c>
      <c r="L210" s="175">
        <f>H210-I210*(1+Tax)</f>
        <v>1189658.225</v>
      </c>
      <c r="M210" s="175">
        <f>L210*(1+GROWTH_RATE_L)*(1-FMC*(1+Tax))</f>
        <v>1191969.276</v>
      </c>
      <c r="N210" s="175">
        <f>M210+IF(MOD(A210,B210)=0,VLOOKUP(B210,'Pre-Calculation'!$H$1:$L$31,5,FALSE),0)*IF('Pre-Calculation'!$D$16="% OF FV",M210,IF(OR('Pre-Calculation'!$D$16="% OF AFV(24M)",'Pre-Calculation'!$D$16="% OF AFV(8Q)"),AVERAGE( $M187:$M210),IF('Pre-Calculation'!$D$16="% OF AFV(12M)",AVERAGE($M199:M210),IF('Pre-Calculation'!$D$16="% OF AFV(36M)",AVERAGE($M175:M210)))))</f>
        <v>1191969.276</v>
      </c>
      <c r="O210" s="175">
        <f t="shared" si="4"/>
        <v>1191969.276</v>
      </c>
      <c r="P210" s="175">
        <f>IF('Pre-Calculation'!$D$17="Type 4 a",MAX(SA,N210,1.05*Q210),IF('Pre-Calculation'!$D$17="Type 4 c",N210,IF('Pre-Calculation'!$D$17="Type 4 d",SA+N210,IF('Pre-Calculation'!$D$17="Type 4 e",MAX(SA,N210),IF('Pre-Calculation'!$D$17="Type 4 f",SA,IF('Pre-Calculation'!$D$17="Type 4 g",1000+N210,IF('Pre-Calculation'!$D$17="Type 4 h",SA+X210,IF('Pre-Calculation'!$D$17="Type 4 i",MAX(N210,Q210),IF('Pre-Calculation'!$D$17="Type 4 k",MAX(N210,1.01*Q210),IF('Pre-Calculation'!$D$17="Type 4 m",MAX(105%*Q210,SA+N210),IF('Pre-Calculation'!$D$17="Type 4 o",MAX(SA,105%*Q210)+X210+Z210,IF('Pre-Calculation'!$D$17="Type 5",0))))))))))))</f>
        <v>1680000</v>
      </c>
      <c r="Q210" s="175">
        <f t="shared" si="5"/>
        <v>1600000</v>
      </c>
      <c r="R210" s="119">
        <f>L210*(1+GROWTH_RATE)*FMC</f>
        <v>1346.244079</v>
      </c>
      <c r="S210" s="178">
        <f>S209*(1+'Pre-Calculation'!$E$27)</f>
        <v>1166539.108</v>
      </c>
      <c r="T210" s="175">
        <f>-E210+IF(A209=INPUT!$C$11*12,N210,0)</f>
        <v>0</v>
      </c>
      <c r="U210" s="175">
        <f t="shared" si="6"/>
        <v>1271470.045</v>
      </c>
      <c r="V210" s="175">
        <f>U210*(1+GROWTH_RATE_L)*(1-'Pre-Calculation'!$E$31)</f>
        <v>1273508.165</v>
      </c>
      <c r="W210" s="175">
        <f>-E210+IF(A209=INPUT!$C$11*12,V210,0)</f>
        <v>0</v>
      </c>
      <c r="X210" s="179">
        <f t="array" ref="X210">NPV('Pre-Calculation'!$E$20,$E211:E$246)</f>
        <v>0</v>
      </c>
      <c r="Y210" s="171">
        <f>10%*SA</f>
        <v>100000</v>
      </c>
      <c r="Z210" s="179">
        <f t="array" ref="Z210">NPV('Pre-Calculation'!$E$20,Y211:Y220)</f>
        <v>969592.8037</v>
      </c>
    </row>
    <row r="211" ht="15.75" customHeight="1">
      <c r="A211" s="171">
        <f t="shared" si="1"/>
        <v>205</v>
      </c>
      <c r="B211" s="171">
        <f t="shared" si="2"/>
        <v>18</v>
      </c>
      <c r="C211" s="176">
        <f>EDATE(RCD,A210)</f>
        <v>48760</v>
      </c>
      <c r="D211" s="171">
        <f>Age_At_Entry+'Cashflows_4% from Start'!B211-1</f>
        <v>52</v>
      </c>
      <c r="E211" s="175">
        <f>IF(AND(C211&lt;=Last_Prem,MOD(A210,Mode)=0),Mod_Prem,0)</f>
        <v>0</v>
      </c>
      <c r="F211" s="177">
        <f>IF(B211&lt;PT+1,E211*VLOOKUP(B211,'Pre-Calculation'!$H$1:$I$31,2,FALSE),0)</f>
        <v>0</v>
      </c>
      <c r="G211" s="177">
        <f>IF(B211&lt;PT+1,VLOOKUP(B211,'Pre-Calculation'!$H$1:$L$32,3,FALSE)+VLOOKUP(B211,'Pre-Calculation'!$H$1:$L$32,4,FALSE)*'Pre-Calculation'!$D$7,0)</f>
        <v>0</v>
      </c>
      <c r="H211" s="175">
        <f>(E211-(F211+G211)*(1+Tax)+N210)</f>
        <v>1191969.276</v>
      </c>
      <c r="I211" s="175">
        <f>IF(B211&lt;PT+1,VLOOKUP(D211,'Pre-Calculation'!$N$3:$P$79,IF(INPUT!$C$4="M",2,3),FALSE)*(J211/1000)*(1/12),0)</f>
        <v>0</v>
      </c>
      <c r="J211" s="175">
        <f t="shared" si="3"/>
        <v>488030.7236</v>
      </c>
      <c r="K211" s="175">
        <f>IF('Pre-Calculation'!$D$17="Type 4 a",MAX(SA,H211,1.05*Q211),IF('Pre-Calculation'!$D$17="Type 4 c",H211,IF('Pre-Calculation'!$D$17="Type 4 d",SA+H211,IF('Pre-Calculation'!$D$17="Type 4 e",MAX(SA,H211),IF('Pre-Calculation'!$D$17="Type 4 f",SA,IF('Pre-Calculation'!$D$17="Type 4 g",1000+H211,IF('Pre-Calculation'!$D$17="Type 4 h",SA+X211,IF('Pre-Calculation'!$D$17="Type 4 i",MAX(H211,Q211),IF('Pre-Calculation'!$D$17="Type 4 k",MAX(H211,1.01*Q211),IF('Pre-Calculation'!$D$17="Type 4 m",MAX(105%*Q211,SA+H211),IF('Pre-Calculation'!$D$17="Type 4 o",MAX(SA,105%*Q211)+X211+Z211,IF('Pre-Calculation'!$D$17="Type 5",0))))))))))))</f>
        <v>1680000</v>
      </c>
      <c r="L211" s="175">
        <f>H211-I211*(1+Tax)</f>
        <v>1191969.276</v>
      </c>
      <c r="M211" s="175">
        <f>L211*(1+GROWTH_RATE_L)*(1-FMC*(1+Tax))</f>
        <v>1194284.818</v>
      </c>
      <c r="N211" s="175">
        <f>M211+IF(MOD(A211,B211)=0,VLOOKUP(B211,'Pre-Calculation'!$H$1:$L$31,5,FALSE),0)*IF('Pre-Calculation'!$D$16="% OF FV",M211,IF(OR('Pre-Calculation'!$D$16="% OF AFV(24M)",'Pre-Calculation'!$D$16="% OF AFV(8Q)"),AVERAGE( $M188:$M211),IF('Pre-Calculation'!$D$16="% OF AFV(12M)",AVERAGE($M200:M211),IF('Pre-Calculation'!$D$16="% OF AFV(36M)",AVERAGE($M176:M211)))))</f>
        <v>1194284.818</v>
      </c>
      <c r="O211" s="175">
        <f t="shared" si="4"/>
        <v>1194284.818</v>
      </c>
      <c r="P211" s="175">
        <f>IF('Pre-Calculation'!$D$17="Type 4 a",MAX(SA,N211,1.05*Q211),IF('Pre-Calculation'!$D$17="Type 4 c",N211,IF('Pre-Calculation'!$D$17="Type 4 d",SA+N211,IF('Pre-Calculation'!$D$17="Type 4 e",MAX(SA,N211),IF('Pre-Calculation'!$D$17="Type 4 f",SA,IF('Pre-Calculation'!$D$17="Type 4 g",1000+N211,IF('Pre-Calculation'!$D$17="Type 4 h",SA+X211,IF('Pre-Calculation'!$D$17="Type 4 i",MAX(N211,Q211),IF('Pre-Calculation'!$D$17="Type 4 k",MAX(N211,1.01*Q211),IF('Pre-Calculation'!$D$17="Type 4 m",MAX(105%*Q211,SA+N211),IF('Pre-Calculation'!$D$17="Type 4 o",MAX(SA,105%*Q211)+X211+Z211,IF('Pre-Calculation'!$D$17="Type 5",0))))))))))))</f>
        <v>1680000</v>
      </c>
      <c r="Q211" s="175">
        <f t="shared" si="5"/>
        <v>1600000</v>
      </c>
      <c r="R211" s="119">
        <f>L211*(1+GROWTH_RATE)*FMC</f>
        <v>1348.859317</v>
      </c>
      <c r="S211" s="178">
        <f>S210*(1+'Pre-Calculation'!$E$27)</f>
        <v>1169888.124</v>
      </c>
      <c r="T211" s="175">
        <f>-E211+IF(A210=INPUT!$C$11*12,N211,0)</f>
        <v>0</v>
      </c>
      <c r="U211" s="175">
        <f t="shared" si="6"/>
        <v>1273508.165</v>
      </c>
      <c r="V211" s="175">
        <f>U211*(1+GROWTH_RATE_L)*(1-'Pre-Calculation'!$E$31)</f>
        <v>1275549.553</v>
      </c>
      <c r="W211" s="175">
        <f>-E211+IF(A210=INPUT!$C$11*12,V211,0)</f>
        <v>0</v>
      </c>
      <c r="X211" s="179">
        <f t="array" ref="X211">NPV('Pre-Calculation'!$E$20,$E212:E$246)</f>
        <v>0</v>
      </c>
      <c r="Y211" s="171">
        <f>10%*SA</f>
        <v>100000</v>
      </c>
      <c r="Z211" s="179">
        <f t="array" ref="Z211">NPV('Pre-Calculation'!$E$20,Y212:Y221)</f>
        <v>969592.8037</v>
      </c>
    </row>
    <row r="212" ht="15.75" customHeight="1">
      <c r="A212" s="171">
        <f t="shared" si="1"/>
        <v>206</v>
      </c>
      <c r="B212" s="171">
        <f t="shared" si="2"/>
        <v>18</v>
      </c>
      <c r="C212" s="176">
        <f>EDATE(RCD,A211)</f>
        <v>48790</v>
      </c>
      <c r="D212" s="171">
        <f>Age_At_Entry+'Cashflows_4% from Start'!B212-1</f>
        <v>52</v>
      </c>
      <c r="E212" s="175">
        <f>IF(AND(C212&lt;=Last_Prem,MOD(A211,Mode)=0),Mod_Prem,0)</f>
        <v>0</v>
      </c>
      <c r="F212" s="177">
        <f>IF(B212&lt;PT+1,E212*VLOOKUP(B212,'Pre-Calculation'!$H$1:$I$31,2,FALSE),0)</f>
        <v>0</v>
      </c>
      <c r="G212" s="177">
        <f>IF(B212&lt;PT+1,VLOOKUP(B212,'Pre-Calculation'!$H$1:$L$32,3,FALSE)+VLOOKUP(B212,'Pre-Calculation'!$H$1:$L$32,4,FALSE)*'Pre-Calculation'!$D$7,0)</f>
        <v>0</v>
      </c>
      <c r="H212" s="175">
        <f>(E212-(F212+G212)*(1+Tax)+N211)</f>
        <v>1194284.818</v>
      </c>
      <c r="I212" s="175">
        <f>IF(B212&lt;PT+1,VLOOKUP(D212,'Pre-Calculation'!$N$3:$P$79,IF(INPUT!$C$4="M",2,3),FALSE)*(J212/1000)*(1/12),0)</f>
        <v>0</v>
      </c>
      <c r="J212" s="175">
        <f t="shared" si="3"/>
        <v>485715.1824</v>
      </c>
      <c r="K212" s="175">
        <f>IF('Pre-Calculation'!$D$17="Type 4 a",MAX(SA,H212,1.05*Q212),IF('Pre-Calculation'!$D$17="Type 4 c",H212,IF('Pre-Calculation'!$D$17="Type 4 d",SA+H212,IF('Pre-Calculation'!$D$17="Type 4 e",MAX(SA,H212),IF('Pre-Calculation'!$D$17="Type 4 f",SA,IF('Pre-Calculation'!$D$17="Type 4 g",1000+H212,IF('Pre-Calculation'!$D$17="Type 4 h",SA+X212,IF('Pre-Calculation'!$D$17="Type 4 i",MAX(H212,Q212),IF('Pre-Calculation'!$D$17="Type 4 k",MAX(H212,1.01*Q212),IF('Pre-Calculation'!$D$17="Type 4 m",MAX(105%*Q212,SA+H212),IF('Pre-Calculation'!$D$17="Type 4 o",MAX(SA,105%*Q212)+X212+Z212,IF('Pre-Calculation'!$D$17="Type 5",0))))))))))))</f>
        <v>1680000</v>
      </c>
      <c r="L212" s="175">
        <f>H212-I212*(1+Tax)</f>
        <v>1194284.818</v>
      </c>
      <c r="M212" s="175">
        <f>L212*(1+GROWTH_RATE_L)*(1-FMC*(1+Tax))</f>
        <v>1196604.857</v>
      </c>
      <c r="N212" s="175">
        <f>M212+IF(MOD(A212,B212)=0,VLOOKUP(B212,'Pre-Calculation'!$H$1:$L$31,5,FALSE),0)*IF('Pre-Calculation'!$D$16="% OF FV",M212,IF(OR('Pre-Calculation'!$D$16="% OF AFV(24M)",'Pre-Calculation'!$D$16="% OF AFV(8Q)"),AVERAGE( $M189:$M212),IF('Pre-Calculation'!$D$16="% OF AFV(12M)",AVERAGE($M201:M212),IF('Pre-Calculation'!$D$16="% OF AFV(36M)",AVERAGE($M177:M212)))))</f>
        <v>1196604.857</v>
      </c>
      <c r="O212" s="175">
        <f t="shared" si="4"/>
        <v>1196604.857</v>
      </c>
      <c r="P212" s="175">
        <f>IF('Pre-Calculation'!$D$17="Type 4 a",MAX(SA,N212,1.05*Q212),IF('Pre-Calculation'!$D$17="Type 4 c",N212,IF('Pre-Calculation'!$D$17="Type 4 d",SA+N212,IF('Pre-Calculation'!$D$17="Type 4 e",MAX(SA,N212),IF('Pre-Calculation'!$D$17="Type 4 f",SA,IF('Pre-Calculation'!$D$17="Type 4 g",1000+N212,IF('Pre-Calculation'!$D$17="Type 4 h",SA+X212,IF('Pre-Calculation'!$D$17="Type 4 i",MAX(N212,Q212),IF('Pre-Calculation'!$D$17="Type 4 k",MAX(N212,1.01*Q212),IF('Pre-Calculation'!$D$17="Type 4 m",MAX(105%*Q212,SA+N212),IF('Pre-Calculation'!$D$17="Type 4 o",MAX(SA,105%*Q212)+X212+Z212,IF('Pre-Calculation'!$D$17="Type 5",0))))))))))))</f>
        <v>1680000</v>
      </c>
      <c r="Q212" s="175">
        <f t="shared" si="5"/>
        <v>1600000</v>
      </c>
      <c r="R212" s="119">
        <f>L212*(1+GROWTH_RATE)*FMC</f>
        <v>1351.479636</v>
      </c>
      <c r="S212" s="178">
        <f>S211*(1+'Pre-Calculation'!$E$27)</f>
        <v>1173246.754</v>
      </c>
      <c r="T212" s="175">
        <f>-E212+IF(A211=INPUT!$C$11*12,N212,0)</f>
        <v>0</v>
      </c>
      <c r="U212" s="175">
        <f t="shared" si="6"/>
        <v>1275549.553</v>
      </c>
      <c r="V212" s="175">
        <f>U212*(1+GROWTH_RATE_L)*(1-'Pre-Calculation'!$E$31)</f>
        <v>1277594.213</v>
      </c>
      <c r="W212" s="175">
        <f>-E212+IF(A211=INPUT!$C$11*12,V212,0)</f>
        <v>0</v>
      </c>
      <c r="X212" s="179">
        <f t="array" ref="X212">NPV('Pre-Calculation'!$E$20,$E213:E$246)</f>
        <v>0</v>
      </c>
      <c r="Y212" s="171">
        <f>10%*SA</f>
        <v>100000</v>
      </c>
      <c r="Z212" s="179">
        <f t="array" ref="Z212">NPV('Pre-Calculation'!$E$20,Y213:Y222)</f>
        <v>969592.8037</v>
      </c>
    </row>
    <row r="213" ht="15.75" customHeight="1">
      <c r="A213" s="171">
        <f t="shared" si="1"/>
        <v>207</v>
      </c>
      <c r="B213" s="171">
        <f t="shared" si="2"/>
        <v>18</v>
      </c>
      <c r="C213" s="176">
        <f>EDATE(RCD,A212)</f>
        <v>48821</v>
      </c>
      <c r="D213" s="171">
        <f>Age_At_Entry+'Cashflows_4% from Start'!B213-1</f>
        <v>52</v>
      </c>
      <c r="E213" s="175">
        <f>IF(AND(C213&lt;=Last_Prem,MOD(A212,Mode)=0),Mod_Prem,0)</f>
        <v>0</v>
      </c>
      <c r="F213" s="177">
        <f>IF(B213&lt;PT+1,E213*VLOOKUP(B213,'Pre-Calculation'!$H$1:$I$31,2,FALSE),0)</f>
        <v>0</v>
      </c>
      <c r="G213" s="177">
        <f>IF(B213&lt;PT+1,VLOOKUP(B213,'Pre-Calculation'!$H$1:$L$32,3,FALSE)+VLOOKUP(B213,'Pre-Calculation'!$H$1:$L$32,4,FALSE)*'Pre-Calculation'!$D$7,0)</f>
        <v>0</v>
      </c>
      <c r="H213" s="175">
        <f>(E213-(F213+G213)*(1+Tax)+N212)</f>
        <v>1196604.857</v>
      </c>
      <c r="I213" s="175">
        <f>IF(B213&lt;PT+1,VLOOKUP(D213,'Pre-Calculation'!$N$3:$P$79,IF(INPUT!$C$4="M",2,3),FALSE)*(J213/1000)*(1/12),0)</f>
        <v>0</v>
      </c>
      <c r="J213" s="175">
        <f t="shared" si="3"/>
        <v>483395.143</v>
      </c>
      <c r="K213" s="175">
        <f>IF('Pre-Calculation'!$D$17="Type 4 a",MAX(SA,H213,1.05*Q213),IF('Pre-Calculation'!$D$17="Type 4 c",H213,IF('Pre-Calculation'!$D$17="Type 4 d",SA+H213,IF('Pre-Calculation'!$D$17="Type 4 e",MAX(SA,H213),IF('Pre-Calculation'!$D$17="Type 4 f",SA,IF('Pre-Calculation'!$D$17="Type 4 g",1000+H213,IF('Pre-Calculation'!$D$17="Type 4 h",SA+X213,IF('Pre-Calculation'!$D$17="Type 4 i",MAX(H213,Q213),IF('Pre-Calculation'!$D$17="Type 4 k",MAX(H213,1.01*Q213),IF('Pre-Calculation'!$D$17="Type 4 m",MAX(105%*Q213,SA+H213),IF('Pre-Calculation'!$D$17="Type 4 o",MAX(SA,105%*Q213)+X213+Z213,IF('Pre-Calculation'!$D$17="Type 5",0))))))))))))</f>
        <v>1680000</v>
      </c>
      <c r="L213" s="175">
        <f>H213-I213*(1+Tax)</f>
        <v>1196604.857</v>
      </c>
      <c r="M213" s="175">
        <f>L213*(1+GROWTH_RATE_L)*(1-FMC*(1+Tax))</f>
        <v>1198929.403</v>
      </c>
      <c r="N213" s="175">
        <f>M213+IF(MOD(A213,B213)=0,VLOOKUP(B213,'Pre-Calculation'!$H$1:$L$31,5,FALSE),0)*IF('Pre-Calculation'!$D$16="% OF FV",M213,IF(OR('Pre-Calculation'!$D$16="% OF AFV(24M)",'Pre-Calculation'!$D$16="% OF AFV(8Q)"),AVERAGE( $M190:$M213),IF('Pre-Calculation'!$D$16="% OF AFV(12M)",AVERAGE($M202:M213),IF('Pre-Calculation'!$D$16="% OF AFV(36M)",AVERAGE($M178:M213)))))</f>
        <v>1198929.403</v>
      </c>
      <c r="O213" s="175">
        <f t="shared" si="4"/>
        <v>1198929.403</v>
      </c>
      <c r="P213" s="175">
        <f>IF('Pre-Calculation'!$D$17="Type 4 a",MAX(SA,N213,1.05*Q213),IF('Pre-Calculation'!$D$17="Type 4 c",N213,IF('Pre-Calculation'!$D$17="Type 4 d",SA+N213,IF('Pre-Calculation'!$D$17="Type 4 e",MAX(SA,N213),IF('Pre-Calculation'!$D$17="Type 4 f",SA,IF('Pre-Calculation'!$D$17="Type 4 g",1000+N213,IF('Pre-Calculation'!$D$17="Type 4 h",SA+X213,IF('Pre-Calculation'!$D$17="Type 4 i",MAX(N213,Q213),IF('Pre-Calculation'!$D$17="Type 4 k",MAX(N213,1.01*Q213),IF('Pre-Calculation'!$D$17="Type 4 m",MAX(105%*Q213,SA+N213),IF('Pre-Calculation'!$D$17="Type 4 o",MAX(SA,105%*Q213)+X213+Z213,IF('Pre-Calculation'!$D$17="Type 5",0))))))))))))</f>
        <v>1680000</v>
      </c>
      <c r="Q213" s="175">
        <f t="shared" si="5"/>
        <v>1600000</v>
      </c>
      <c r="R213" s="119">
        <f>L213*(1+GROWTH_RATE)*FMC</f>
        <v>1354.105045</v>
      </c>
      <c r="S213" s="178">
        <f>S212*(1+'Pre-Calculation'!$E$27)</f>
        <v>1176615.027</v>
      </c>
      <c r="T213" s="175">
        <f>-E213+IF(A212=INPUT!$C$11*12,N213,0)</f>
        <v>0</v>
      </c>
      <c r="U213" s="175">
        <f t="shared" si="6"/>
        <v>1277594.213</v>
      </c>
      <c r="V213" s="175">
        <f>U213*(1+GROWTH_RATE_L)*(1-'Pre-Calculation'!$E$31)</f>
        <v>1279642.15</v>
      </c>
      <c r="W213" s="175">
        <f>-E213+IF(A212=INPUT!$C$11*12,V213,0)</f>
        <v>0</v>
      </c>
      <c r="X213" s="179">
        <f t="array" ref="X213">NPV('Pre-Calculation'!$E$20,$E214:E$246)</f>
        <v>0</v>
      </c>
      <c r="Y213" s="171">
        <f>10%*SA</f>
        <v>100000</v>
      </c>
      <c r="Z213" s="179">
        <f t="array" ref="Z213">NPV('Pre-Calculation'!$E$20,Y214:Y223)</f>
        <v>969592.8037</v>
      </c>
    </row>
    <row r="214" ht="15.75" customHeight="1">
      <c r="A214" s="171">
        <f t="shared" si="1"/>
        <v>208</v>
      </c>
      <c r="B214" s="171">
        <f t="shared" si="2"/>
        <v>18</v>
      </c>
      <c r="C214" s="176">
        <f>EDATE(RCD,A213)</f>
        <v>48852</v>
      </c>
      <c r="D214" s="171">
        <f>Age_At_Entry+'Cashflows_4% from Start'!B214-1</f>
        <v>52</v>
      </c>
      <c r="E214" s="175">
        <f>IF(AND(C214&lt;=Last_Prem,MOD(A213,Mode)=0),Mod_Prem,0)</f>
        <v>0</v>
      </c>
      <c r="F214" s="177">
        <f>IF(B214&lt;PT+1,E214*VLOOKUP(B214,'Pre-Calculation'!$H$1:$I$31,2,FALSE),0)</f>
        <v>0</v>
      </c>
      <c r="G214" s="177">
        <f>IF(B214&lt;PT+1,VLOOKUP(B214,'Pre-Calculation'!$H$1:$L$32,3,FALSE)+VLOOKUP(B214,'Pre-Calculation'!$H$1:$L$32,4,FALSE)*'Pre-Calculation'!$D$7,0)</f>
        <v>0</v>
      </c>
      <c r="H214" s="175">
        <f>(E214-(F214+G214)*(1+Tax)+N213)</f>
        <v>1198929.403</v>
      </c>
      <c r="I214" s="175">
        <f>IF(B214&lt;PT+1,VLOOKUP(D214,'Pre-Calculation'!$N$3:$P$79,IF(INPUT!$C$4="M",2,3),FALSE)*(J214/1000)*(1/12),0)</f>
        <v>0</v>
      </c>
      <c r="J214" s="175">
        <f t="shared" si="3"/>
        <v>481070.5966</v>
      </c>
      <c r="K214" s="175">
        <f>IF('Pre-Calculation'!$D$17="Type 4 a",MAX(SA,H214,1.05*Q214),IF('Pre-Calculation'!$D$17="Type 4 c",H214,IF('Pre-Calculation'!$D$17="Type 4 d",SA+H214,IF('Pre-Calculation'!$D$17="Type 4 e",MAX(SA,H214),IF('Pre-Calculation'!$D$17="Type 4 f",SA,IF('Pre-Calculation'!$D$17="Type 4 g",1000+H214,IF('Pre-Calculation'!$D$17="Type 4 h",SA+X214,IF('Pre-Calculation'!$D$17="Type 4 i",MAX(H214,Q214),IF('Pre-Calculation'!$D$17="Type 4 k",MAX(H214,1.01*Q214),IF('Pre-Calculation'!$D$17="Type 4 m",MAX(105%*Q214,SA+H214),IF('Pre-Calculation'!$D$17="Type 4 o",MAX(SA,105%*Q214)+X214+Z214,IF('Pre-Calculation'!$D$17="Type 5",0))))))))))))</f>
        <v>1680000</v>
      </c>
      <c r="L214" s="175">
        <f>H214-I214*(1+Tax)</f>
        <v>1198929.403</v>
      </c>
      <c r="M214" s="175">
        <f>L214*(1+GROWTH_RATE_L)*(1-FMC*(1+Tax))</f>
        <v>1201258.465</v>
      </c>
      <c r="N214" s="175">
        <f>M214+IF(MOD(A214,B214)=0,VLOOKUP(B214,'Pre-Calculation'!$H$1:$L$31,5,FALSE),0)*IF('Pre-Calculation'!$D$16="% OF FV",M214,IF(OR('Pre-Calculation'!$D$16="% OF AFV(24M)",'Pre-Calculation'!$D$16="% OF AFV(8Q)"),AVERAGE( $M191:$M214),IF('Pre-Calculation'!$D$16="% OF AFV(12M)",AVERAGE($M203:M214),IF('Pre-Calculation'!$D$16="% OF AFV(36M)",AVERAGE($M179:M214)))))</f>
        <v>1201258.465</v>
      </c>
      <c r="O214" s="175">
        <f t="shared" si="4"/>
        <v>1201258.465</v>
      </c>
      <c r="P214" s="175">
        <f>IF('Pre-Calculation'!$D$17="Type 4 a",MAX(SA,N214,1.05*Q214),IF('Pre-Calculation'!$D$17="Type 4 c",N214,IF('Pre-Calculation'!$D$17="Type 4 d",SA+N214,IF('Pre-Calculation'!$D$17="Type 4 e",MAX(SA,N214),IF('Pre-Calculation'!$D$17="Type 4 f",SA,IF('Pre-Calculation'!$D$17="Type 4 g",1000+N214,IF('Pre-Calculation'!$D$17="Type 4 h",SA+X214,IF('Pre-Calculation'!$D$17="Type 4 i",MAX(N214,Q214),IF('Pre-Calculation'!$D$17="Type 4 k",MAX(N214,1.01*Q214),IF('Pre-Calculation'!$D$17="Type 4 m",MAX(105%*Q214,SA+N214),IF('Pre-Calculation'!$D$17="Type 4 o",MAX(SA,105%*Q214)+X214+Z214,IF('Pre-Calculation'!$D$17="Type 5",0))))))))))))</f>
        <v>1680000</v>
      </c>
      <c r="Q214" s="175">
        <f t="shared" si="5"/>
        <v>1600000</v>
      </c>
      <c r="R214" s="119">
        <f>L214*(1+GROWTH_RATE)*FMC</f>
        <v>1356.735554</v>
      </c>
      <c r="S214" s="178">
        <f>S213*(1+'Pre-Calculation'!$E$27)</f>
        <v>1179992.969</v>
      </c>
      <c r="T214" s="175">
        <f>-E214+IF(A213=INPUT!$C$11*12,N214,0)</f>
        <v>0</v>
      </c>
      <c r="U214" s="175">
        <f t="shared" si="6"/>
        <v>1279642.15</v>
      </c>
      <c r="V214" s="175">
        <f>U214*(1+GROWTH_RATE_L)*(1-'Pre-Calculation'!$E$31)</f>
        <v>1281693.37</v>
      </c>
      <c r="W214" s="175">
        <f>-E214+IF(A213=INPUT!$C$11*12,V214,0)</f>
        <v>0</v>
      </c>
      <c r="X214" s="179">
        <f t="array" ref="X214">NPV('Pre-Calculation'!$E$20,$E215:E$246)</f>
        <v>0</v>
      </c>
      <c r="Y214" s="171">
        <f>10%*SA</f>
        <v>100000</v>
      </c>
      <c r="Z214" s="179">
        <f t="array" ref="Z214">NPV('Pre-Calculation'!$E$20,Y215:Y224)</f>
        <v>969592.8037</v>
      </c>
    </row>
    <row r="215" ht="15.75" customHeight="1">
      <c r="A215" s="171">
        <f t="shared" si="1"/>
        <v>209</v>
      </c>
      <c r="B215" s="171">
        <f t="shared" si="2"/>
        <v>18</v>
      </c>
      <c r="C215" s="176">
        <f>EDATE(RCD,A214)</f>
        <v>48882</v>
      </c>
      <c r="D215" s="171">
        <f>Age_At_Entry+'Cashflows_4% from Start'!B215-1</f>
        <v>52</v>
      </c>
      <c r="E215" s="175">
        <f>IF(AND(C215&lt;=Last_Prem,MOD(A214,Mode)=0),Mod_Prem,0)</f>
        <v>0</v>
      </c>
      <c r="F215" s="177">
        <f>IF(B215&lt;PT+1,E215*VLOOKUP(B215,'Pre-Calculation'!$H$1:$I$31,2,FALSE),0)</f>
        <v>0</v>
      </c>
      <c r="G215" s="177">
        <f>IF(B215&lt;PT+1,VLOOKUP(B215,'Pre-Calculation'!$H$1:$L$32,3,FALSE)+VLOOKUP(B215,'Pre-Calculation'!$H$1:$L$32,4,FALSE)*'Pre-Calculation'!$D$7,0)</f>
        <v>0</v>
      </c>
      <c r="H215" s="175">
        <f>(E215-(F215+G215)*(1+Tax)+N214)</f>
        <v>1201258.465</v>
      </c>
      <c r="I215" s="175">
        <f>IF(B215&lt;PT+1,VLOOKUP(D215,'Pre-Calculation'!$N$3:$P$79,IF(INPUT!$C$4="M",2,3),FALSE)*(J215/1000)*(1/12),0)</f>
        <v>0</v>
      </c>
      <c r="J215" s="175">
        <f t="shared" si="3"/>
        <v>478741.5346</v>
      </c>
      <c r="K215" s="175">
        <f>IF('Pre-Calculation'!$D$17="Type 4 a",MAX(SA,H215,1.05*Q215),IF('Pre-Calculation'!$D$17="Type 4 c",H215,IF('Pre-Calculation'!$D$17="Type 4 d",SA+H215,IF('Pre-Calculation'!$D$17="Type 4 e",MAX(SA,H215),IF('Pre-Calculation'!$D$17="Type 4 f",SA,IF('Pre-Calculation'!$D$17="Type 4 g",1000+H215,IF('Pre-Calculation'!$D$17="Type 4 h",SA+X215,IF('Pre-Calculation'!$D$17="Type 4 i",MAX(H215,Q215),IF('Pre-Calculation'!$D$17="Type 4 k",MAX(H215,1.01*Q215),IF('Pre-Calculation'!$D$17="Type 4 m",MAX(105%*Q215,SA+H215),IF('Pre-Calculation'!$D$17="Type 4 o",MAX(SA,105%*Q215)+X215+Z215,IF('Pre-Calculation'!$D$17="Type 5",0))))))))))))</f>
        <v>1680000</v>
      </c>
      <c r="L215" s="175">
        <f>H215-I215*(1+Tax)</f>
        <v>1201258.465</v>
      </c>
      <c r="M215" s="175">
        <f>L215*(1+GROWTH_RATE_L)*(1-FMC*(1+Tax))</f>
        <v>1203592.052</v>
      </c>
      <c r="N215" s="175">
        <f>M215+IF(MOD(A215,B215)=0,VLOOKUP(B215,'Pre-Calculation'!$H$1:$L$31,5,FALSE),0)*IF('Pre-Calculation'!$D$16="% OF FV",M215,IF(OR('Pre-Calculation'!$D$16="% OF AFV(24M)",'Pre-Calculation'!$D$16="% OF AFV(8Q)"),AVERAGE( $M192:$M215),IF('Pre-Calculation'!$D$16="% OF AFV(12M)",AVERAGE($M204:M215),IF('Pre-Calculation'!$D$16="% OF AFV(36M)",AVERAGE($M180:M215)))))</f>
        <v>1203592.052</v>
      </c>
      <c r="O215" s="175">
        <f t="shared" si="4"/>
        <v>1203592.052</v>
      </c>
      <c r="P215" s="175">
        <f>IF('Pre-Calculation'!$D$17="Type 4 a",MAX(SA,N215,1.05*Q215),IF('Pre-Calculation'!$D$17="Type 4 c",N215,IF('Pre-Calculation'!$D$17="Type 4 d",SA+N215,IF('Pre-Calculation'!$D$17="Type 4 e",MAX(SA,N215),IF('Pre-Calculation'!$D$17="Type 4 f",SA,IF('Pre-Calculation'!$D$17="Type 4 g",1000+N215,IF('Pre-Calculation'!$D$17="Type 4 h",SA+X215,IF('Pre-Calculation'!$D$17="Type 4 i",MAX(N215,Q215),IF('Pre-Calculation'!$D$17="Type 4 k",MAX(N215,1.01*Q215),IF('Pre-Calculation'!$D$17="Type 4 m",MAX(105%*Q215,SA+N215),IF('Pre-Calculation'!$D$17="Type 4 o",MAX(SA,105%*Q215)+X215+Z215,IF('Pre-Calculation'!$D$17="Type 5",0))))))))))))</f>
        <v>1680000</v>
      </c>
      <c r="Q215" s="175">
        <f t="shared" si="5"/>
        <v>1600000</v>
      </c>
      <c r="R215" s="119">
        <f>L215*(1+GROWTH_RATE)*FMC</f>
        <v>1359.371173</v>
      </c>
      <c r="S215" s="178">
        <f>S214*(1+'Pre-Calculation'!$E$27)</f>
        <v>1183380.61</v>
      </c>
      <c r="T215" s="175">
        <f>-E215+IF(A214=INPUT!$C$11*12,N215,0)</f>
        <v>0</v>
      </c>
      <c r="U215" s="175">
        <f t="shared" si="6"/>
        <v>1281693.37</v>
      </c>
      <c r="V215" s="175">
        <f>U215*(1+GROWTH_RATE_L)*(1-'Pre-Calculation'!$E$31)</f>
        <v>1283747.878</v>
      </c>
      <c r="W215" s="175">
        <f>-E215+IF(A214=INPUT!$C$11*12,V215,0)</f>
        <v>0</v>
      </c>
      <c r="X215" s="179">
        <f t="array" ref="X215">NPV('Pre-Calculation'!$E$20,$E216:E$246)</f>
        <v>0</v>
      </c>
      <c r="Y215" s="171">
        <f>10%*SA</f>
        <v>100000</v>
      </c>
      <c r="Z215" s="179">
        <f t="array" ref="Z215">NPV('Pre-Calculation'!$E$20,Y216:Y225)</f>
        <v>969592.8037</v>
      </c>
    </row>
    <row r="216" ht="15.75" customHeight="1">
      <c r="A216" s="171">
        <f t="shared" si="1"/>
        <v>210</v>
      </c>
      <c r="B216" s="171">
        <f t="shared" si="2"/>
        <v>18</v>
      </c>
      <c r="C216" s="176">
        <f>EDATE(RCD,A215)</f>
        <v>48913</v>
      </c>
      <c r="D216" s="171">
        <f>Age_At_Entry+'Cashflows_4% from Start'!B216-1</f>
        <v>52</v>
      </c>
      <c r="E216" s="175">
        <f>IF(AND(C216&lt;=Last_Prem,MOD(A215,Mode)=0),Mod_Prem,0)</f>
        <v>0</v>
      </c>
      <c r="F216" s="177">
        <f>IF(B216&lt;PT+1,E216*VLOOKUP(B216,'Pre-Calculation'!$H$1:$I$31,2,FALSE),0)</f>
        <v>0</v>
      </c>
      <c r="G216" s="177">
        <f>IF(B216&lt;PT+1,VLOOKUP(B216,'Pre-Calculation'!$H$1:$L$32,3,FALSE)+VLOOKUP(B216,'Pre-Calculation'!$H$1:$L$32,4,FALSE)*'Pre-Calculation'!$D$7,0)</f>
        <v>0</v>
      </c>
      <c r="H216" s="175">
        <f>(E216-(F216+G216)*(1+Tax)+N215)</f>
        <v>1203592.052</v>
      </c>
      <c r="I216" s="175">
        <f>IF(B216&lt;PT+1,VLOOKUP(D216,'Pre-Calculation'!$N$3:$P$79,IF(INPUT!$C$4="M",2,3),FALSE)*(J216/1000)*(1/12),0)</f>
        <v>0</v>
      </c>
      <c r="J216" s="175">
        <f t="shared" si="3"/>
        <v>476407.9481</v>
      </c>
      <c r="K216" s="175">
        <f>IF('Pre-Calculation'!$D$17="Type 4 a",MAX(SA,H216,1.05*Q216),IF('Pre-Calculation'!$D$17="Type 4 c",H216,IF('Pre-Calculation'!$D$17="Type 4 d",SA+H216,IF('Pre-Calculation'!$D$17="Type 4 e",MAX(SA,H216),IF('Pre-Calculation'!$D$17="Type 4 f",SA,IF('Pre-Calculation'!$D$17="Type 4 g",1000+H216,IF('Pre-Calculation'!$D$17="Type 4 h",SA+X216,IF('Pre-Calculation'!$D$17="Type 4 i",MAX(H216,Q216),IF('Pre-Calculation'!$D$17="Type 4 k",MAX(H216,1.01*Q216),IF('Pre-Calculation'!$D$17="Type 4 m",MAX(105%*Q216,SA+H216),IF('Pre-Calculation'!$D$17="Type 4 o",MAX(SA,105%*Q216)+X216+Z216,IF('Pre-Calculation'!$D$17="Type 5",0))))))))))))</f>
        <v>1680000</v>
      </c>
      <c r="L216" s="175">
        <f>H216-I216*(1+Tax)</f>
        <v>1203592.052</v>
      </c>
      <c r="M216" s="175">
        <f>L216*(1+GROWTH_RATE_L)*(1-FMC*(1+Tax))</f>
        <v>1205930.172</v>
      </c>
      <c r="N216" s="175">
        <f>M216+IF(MOD(A216,B216)=0,VLOOKUP(B216,'Pre-Calculation'!$H$1:$L$31,5,FALSE),0)*IF('Pre-Calculation'!$D$16="% OF FV",M216,IF(OR('Pre-Calculation'!$D$16="% OF AFV(24M)",'Pre-Calculation'!$D$16="% OF AFV(8Q)"),AVERAGE( $M193:$M216),IF('Pre-Calculation'!$D$16="% OF AFV(12M)",AVERAGE($M205:M216),IF('Pre-Calculation'!$D$16="% OF AFV(36M)",AVERAGE($M181:M216)))))</f>
        <v>1205930.172</v>
      </c>
      <c r="O216" s="175">
        <f t="shared" si="4"/>
        <v>1205930.172</v>
      </c>
      <c r="P216" s="175">
        <f>IF('Pre-Calculation'!$D$17="Type 4 a",MAX(SA,N216,1.05*Q216),IF('Pre-Calculation'!$D$17="Type 4 c",N216,IF('Pre-Calculation'!$D$17="Type 4 d",SA+N216,IF('Pre-Calculation'!$D$17="Type 4 e",MAX(SA,N216),IF('Pre-Calculation'!$D$17="Type 4 f",SA,IF('Pre-Calculation'!$D$17="Type 4 g",1000+N216,IF('Pre-Calculation'!$D$17="Type 4 h",SA+X216,IF('Pre-Calculation'!$D$17="Type 4 i",MAX(N216,Q216),IF('Pre-Calculation'!$D$17="Type 4 k",MAX(N216,1.01*Q216),IF('Pre-Calculation'!$D$17="Type 4 m",MAX(105%*Q216,SA+N216),IF('Pre-Calculation'!$D$17="Type 4 o",MAX(SA,105%*Q216)+X216+Z216,IF('Pre-Calculation'!$D$17="Type 5",0))))))))))))</f>
        <v>1680000</v>
      </c>
      <c r="Q216" s="175">
        <f t="shared" si="5"/>
        <v>1600000</v>
      </c>
      <c r="R216" s="119">
        <f>L216*(1+GROWTH_RATE)*FMC</f>
        <v>1362.011912</v>
      </c>
      <c r="S216" s="178">
        <f>S215*(1+'Pre-Calculation'!$E$27)</f>
        <v>1186777.976</v>
      </c>
      <c r="T216" s="175">
        <f>-E216+IF(A215=INPUT!$C$11*12,N216,0)</f>
        <v>0</v>
      </c>
      <c r="U216" s="175">
        <f t="shared" si="6"/>
        <v>1283747.878</v>
      </c>
      <c r="V216" s="175">
        <f>U216*(1+GROWTH_RATE_L)*(1-'Pre-Calculation'!$E$31)</f>
        <v>1285805.679</v>
      </c>
      <c r="W216" s="175">
        <f>-E216+IF(A215=INPUT!$C$11*12,V216,0)</f>
        <v>0</v>
      </c>
      <c r="X216" s="179">
        <f t="array" ref="X216">NPV('Pre-Calculation'!$E$20,$E217:E$246)</f>
        <v>0</v>
      </c>
      <c r="Y216" s="171">
        <f>10%*SA</f>
        <v>100000</v>
      </c>
      <c r="Z216" s="179">
        <f t="array" ref="Z216">NPV('Pre-Calculation'!$E$20,Y217:Y226)</f>
        <v>969592.8037</v>
      </c>
    </row>
    <row r="217" ht="15.75" customHeight="1">
      <c r="A217" s="171">
        <f t="shared" si="1"/>
        <v>211</v>
      </c>
      <c r="B217" s="171">
        <f t="shared" si="2"/>
        <v>18</v>
      </c>
      <c r="C217" s="176">
        <f>EDATE(RCD,A216)</f>
        <v>48943</v>
      </c>
      <c r="D217" s="171">
        <f>Age_At_Entry+'Cashflows_4% from Start'!B217-1</f>
        <v>52</v>
      </c>
      <c r="E217" s="175">
        <f>IF(AND(C217&lt;=Last_Prem,MOD(A216,Mode)=0),Mod_Prem,0)</f>
        <v>0</v>
      </c>
      <c r="F217" s="177">
        <f>IF(B217&lt;PT+1,E217*VLOOKUP(B217,'Pre-Calculation'!$H$1:$I$31,2,FALSE),0)</f>
        <v>0</v>
      </c>
      <c r="G217" s="177">
        <f>IF(B217&lt;PT+1,VLOOKUP(B217,'Pre-Calculation'!$H$1:$L$32,3,FALSE)+VLOOKUP(B217,'Pre-Calculation'!$H$1:$L$32,4,FALSE)*'Pre-Calculation'!$D$7,0)</f>
        <v>0</v>
      </c>
      <c r="H217" s="175">
        <f>(E217-(F217+G217)*(1+Tax)+N216)</f>
        <v>1205930.172</v>
      </c>
      <c r="I217" s="175">
        <f>IF(B217&lt;PT+1,VLOOKUP(D217,'Pre-Calculation'!$N$3:$P$79,IF(INPUT!$C$4="M",2,3),FALSE)*(J217/1000)*(1/12),0)</f>
        <v>0</v>
      </c>
      <c r="J217" s="175">
        <f t="shared" si="3"/>
        <v>474069.8283</v>
      </c>
      <c r="K217" s="175">
        <f>IF('Pre-Calculation'!$D$17="Type 4 a",MAX(SA,H217,1.05*Q217),IF('Pre-Calculation'!$D$17="Type 4 c",H217,IF('Pre-Calculation'!$D$17="Type 4 d",SA+H217,IF('Pre-Calculation'!$D$17="Type 4 e",MAX(SA,H217),IF('Pre-Calculation'!$D$17="Type 4 f",SA,IF('Pre-Calculation'!$D$17="Type 4 g",1000+H217,IF('Pre-Calculation'!$D$17="Type 4 h",SA+X217,IF('Pre-Calculation'!$D$17="Type 4 i",MAX(H217,Q217),IF('Pre-Calculation'!$D$17="Type 4 k",MAX(H217,1.01*Q217),IF('Pre-Calculation'!$D$17="Type 4 m",MAX(105%*Q217,SA+H217),IF('Pre-Calculation'!$D$17="Type 4 o",MAX(SA,105%*Q217)+X217+Z217,IF('Pre-Calculation'!$D$17="Type 5",0))))))))))))</f>
        <v>1680000</v>
      </c>
      <c r="L217" s="175">
        <f>H217-I217*(1+Tax)</f>
        <v>1205930.172</v>
      </c>
      <c r="M217" s="175">
        <f>L217*(1+GROWTH_RATE_L)*(1-FMC*(1+Tax))</f>
        <v>1208272.834</v>
      </c>
      <c r="N217" s="175">
        <f>M217+IF(MOD(A217,B217)=0,VLOOKUP(B217,'Pre-Calculation'!$H$1:$L$31,5,FALSE),0)*IF('Pre-Calculation'!$D$16="% OF FV",M217,IF(OR('Pre-Calculation'!$D$16="% OF AFV(24M)",'Pre-Calculation'!$D$16="% OF AFV(8Q)"),AVERAGE( $M194:$M217),IF('Pre-Calculation'!$D$16="% OF AFV(12M)",AVERAGE($M206:M217),IF('Pre-Calculation'!$D$16="% OF AFV(36M)",AVERAGE($M182:M217)))))</f>
        <v>1208272.834</v>
      </c>
      <c r="O217" s="175">
        <f t="shared" si="4"/>
        <v>1208272.834</v>
      </c>
      <c r="P217" s="175">
        <f>IF('Pre-Calculation'!$D$17="Type 4 a",MAX(SA,N217,1.05*Q217),IF('Pre-Calculation'!$D$17="Type 4 c",N217,IF('Pre-Calculation'!$D$17="Type 4 d",SA+N217,IF('Pre-Calculation'!$D$17="Type 4 e",MAX(SA,N217),IF('Pre-Calculation'!$D$17="Type 4 f",SA,IF('Pre-Calculation'!$D$17="Type 4 g",1000+N217,IF('Pre-Calculation'!$D$17="Type 4 h",SA+X217,IF('Pre-Calculation'!$D$17="Type 4 i",MAX(N217,Q217),IF('Pre-Calculation'!$D$17="Type 4 k",MAX(N217,1.01*Q217),IF('Pre-Calculation'!$D$17="Type 4 m",MAX(105%*Q217,SA+N217),IF('Pre-Calculation'!$D$17="Type 4 o",MAX(SA,105%*Q217)+X217+Z217,IF('Pre-Calculation'!$D$17="Type 5",0))))))))))))</f>
        <v>1680000</v>
      </c>
      <c r="Q217" s="175">
        <f t="shared" si="5"/>
        <v>1600000</v>
      </c>
      <c r="R217" s="119">
        <f>L217*(1+GROWTH_RATE)*FMC</f>
        <v>1364.657781</v>
      </c>
      <c r="S217" s="178">
        <f>S216*(1+'Pre-Calculation'!$E$27)</f>
        <v>1190185.095</v>
      </c>
      <c r="T217" s="175">
        <f>-E217+IF(A216=INPUT!$C$11*12,N217,0)</f>
        <v>0</v>
      </c>
      <c r="U217" s="175">
        <f t="shared" si="6"/>
        <v>1285805.679</v>
      </c>
      <c r="V217" s="175">
        <f>U217*(1+GROWTH_RATE_L)*(1-'Pre-Calculation'!$E$31)</f>
        <v>1287866.779</v>
      </c>
      <c r="W217" s="175">
        <f>-E217+IF(A216=INPUT!$C$11*12,V217,0)</f>
        <v>0</v>
      </c>
      <c r="X217" s="179">
        <f t="array" ref="X217">NPV('Pre-Calculation'!$E$20,$E218:E$246)</f>
        <v>0</v>
      </c>
      <c r="Y217" s="171">
        <f>10%*SA</f>
        <v>100000</v>
      </c>
      <c r="Z217" s="179">
        <f t="array" ref="Z217">NPV('Pre-Calculation'!$E$20,Y218:Y227)</f>
        <v>969592.8037</v>
      </c>
    </row>
    <row r="218" ht="15.75" customHeight="1">
      <c r="A218" s="171">
        <f t="shared" si="1"/>
        <v>212</v>
      </c>
      <c r="B218" s="171">
        <f t="shared" si="2"/>
        <v>18</v>
      </c>
      <c r="C218" s="176">
        <f>EDATE(RCD,A217)</f>
        <v>48974</v>
      </c>
      <c r="D218" s="171">
        <f>Age_At_Entry+'Cashflows_4% from Start'!B218-1</f>
        <v>52</v>
      </c>
      <c r="E218" s="175">
        <f>IF(AND(C218&lt;=Last_Prem,MOD(A217,Mode)=0),Mod_Prem,0)</f>
        <v>0</v>
      </c>
      <c r="F218" s="177">
        <f>IF(B218&lt;PT+1,E218*VLOOKUP(B218,'Pre-Calculation'!$H$1:$I$31,2,FALSE),0)</f>
        <v>0</v>
      </c>
      <c r="G218" s="177">
        <f>IF(B218&lt;PT+1,VLOOKUP(B218,'Pre-Calculation'!$H$1:$L$32,3,FALSE)+VLOOKUP(B218,'Pre-Calculation'!$H$1:$L$32,4,FALSE)*'Pre-Calculation'!$D$7,0)</f>
        <v>0</v>
      </c>
      <c r="H218" s="175">
        <f>(E218-(F218+G218)*(1+Tax)+N217)</f>
        <v>1208272.834</v>
      </c>
      <c r="I218" s="175">
        <f>IF(B218&lt;PT+1,VLOOKUP(D218,'Pre-Calculation'!$N$3:$P$79,IF(INPUT!$C$4="M",2,3),FALSE)*(J218/1000)*(1/12),0)</f>
        <v>0</v>
      </c>
      <c r="J218" s="175">
        <f t="shared" si="3"/>
        <v>471727.1664</v>
      </c>
      <c r="K218" s="175">
        <f>IF('Pre-Calculation'!$D$17="Type 4 a",MAX(SA,H218,1.05*Q218),IF('Pre-Calculation'!$D$17="Type 4 c",H218,IF('Pre-Calculation'!$D$17="Type 4 d",SA+H218,IF('Pre-Calculation'!$D$17="Type 4 e",MAX(SA,H218),IF('Pre-Calculation'!$D$17="Type 4 f",SA,IF('Pre-Calculation'!$D$17="Type 4 g",1000+H218,IF('Pre-Calculation'!$D$17="Type 4 h",SA+X218,IF('Pre-Calculation'!$D$17="Type 4 i",MAX(H218,Q218),IF('Pre-Calculation'!$D$17="Type 4 k",MAX(H218,1.01*Q218),IF('Pre-Calculation'!$D$17="Type 4 m",MAX(105%*Q218,SA+H218),IF('Pre-Calculation'!$D$17="Type 4 o",MAX(SA,105%*Q218)+X218+Z218,IF('Pre-Calculation'!$D$17="Type 5",0))))))))))))</f>
        <v>1680000</v>
      </c>
      <c r="L218" s="175">
        <f>H218-I218*(1+Tax)</f>
        <v>1208272.834</v>
      </c>
      <c r="M218" s="175">
        <f>L218*(1+GROWTH_RATE_L)*(1-FMC*(1+Tax))</f>
        <v>1210620.046</v>
      </c>
      <c r="N218" s="175">
        <f>M218+IF(MOD(A218,B218)=0,VLOOKUP(B218,'Pre-Calculation'!$H$1:$L$31,5,FALSE),0)*IF('Pre-Calculation'!$D$16="% OF FV",M218,IF(OR('Pre-Calculation'!$D$16="% OF AFV(24M)",'Pre-Calculation'!$D$16="% OF AFV(8Q)"),AVERAGE( $M195:$M218),IF('Pre-Calculation'!$D$16="% OF AFV(12M)",AVERAGE($M207:M218),IF('Pre-Calculation'!$D$16="% OF AFV(36M)",AVERAGE($M183:M218)))))</f>
        <v>1210620.046</v>
      </c>
      <c r="O218" s="175">
        <f t="shared" si="4"/>
        <v>1210620.046</v>
      </c>
      <c r="P218" s="175">
        <f>IF('Pre-Calculation'!$D$17="Type 4 a",MAX(SA,N218,1.05*Q218),IF('Pre-Calculation'!$D$17="Type 4 c",N218,IF('Pre-Calculation'!$D$17="Type 4 d",SA+N218,IF('Pre-Calculation'!$D$17="Type 4 e",MAX(SA,N218),IF('Pre-Calculation'!$D$17="Type 4 f",SA,IF('Pre-Calculation'!$D$17="Type 4 g",1000+N218,IF('Pre-Calculation'!$D$17="Type 4 h",SA+X218,IF('Pre-Calculation'!$D$17="Type 4 i",MAX(N218,Q218),IF('Pre-Calculation'!$D$17="Type 4 k",MAX(N218,1.01*Q218),IF('Pre-Calculation'!$D$17="Type 4 m",MAX(105%*Q218,SA+N218),IF('Pre-Calculation'!$D$17="Type 4 o",MAX(SA,105%*Q218)+X218+Z218,IF('Pre-Calculation'!$D$17="Type 5",0))))))))))))</f>
        <v>1680000</v>
      </c>
      <c r="Q218" s="175">
        <f t="shared" si="5"/>
        <v>1600000</v>
      </c>
      <c r="R218" s="119">
        <f>L218*(1+GROWTH_RATE)*FMC</f>
        <v>1367.30879</v>
      </c>
      <c r="S218" s="178">
        <f>S217*(1+'Pre-Calculation'!$E$27)</f>
        <v>1193601.996</v>
      </c>
      <c r="T218" s="175">
        <f>-E218+IF(A217=INPUT!$C$11*12,N218,0)</f>
        <v>0</v>
      </c>
      <c r="U218" s="175">
        <f t="shared" si="6"/>
        <v>1287866.779</v>
      </c>
      <c r="V218" s="175">
        <f>U218*(1+GROWTH_RATE_L)*(1-'Pre-Calculation'!$E$31)</f>
        <v>1289931.183</v>
      </c>
      <c r="W218" s="175">
        <f>-E218+IF(A217=INPUT!$C$11*12,V218,0)</f>
        <v>0</v>
      </c>
      <c r="X218" s="179">
        <f t="array" ref="X218">NPV('Pre-Calculation'!$E$20,$E219:E$246)</f>
        <v>0</v>
      </c>
      <c r="Y218" s="171">
        <f>10%*SA</f>
        <v>100000</v>
      </c>
      <c r="Z218" s="179">
        <f t="array" ref="Z218">NPV('Pre-Calculation'!$E$20,Y219:Y228)</f>
        <v>969592.8037</v>
      </c>
    </row>
    <row r="219" ht="15.75" customHeight="1">
      <c r="A219" s="171">
        <f t="shared" si="1"/>
        <v>213</v>
      </c>
      <c r="B219" s="171">
        <f t="shared" si="2"/>
        <v>18</v>
      </c>
      <c r="C219" s="176">
        <f>EDATE(RCD,A218)</f>
        <v>49003</v>
      </c>
      <c r="D219" s="171">
        <f>Age_At_Entry+'Cashflows_4% from Start'!B219-1</f>
        <v>52</v>
      </c>
      <c r="E219" s="175">
        <f>IF(AND(C219&lt;=Last_Prem,MOD(A218,Mode)=0),Mod_Prem,0)</f>
        <v>0</v>
      </c>
      <c r="F219" s="177">
        <f>IF(B219&lt;PT+1,E219*VLOOKUP(B219,'Pre-Calculation'!$H$1:$I$31,2,FALSE),0)</f>
        <v>0</v>
      </c>
      <c r="G219" s="177">
        <f>IF(B219&lt;PT+1,VLOOKUP(B219,'Pre-Calculation'!$H$1:$L$32,3,FALSE)+VLOOKUP(B219,'Pre-Calculation'!$H$1:$L$32,4,FALSE)*'Pre-Calculation'!$D$7,0)</f>
        <v>0</v>
      </c>
      <c r="H219" s="175">
        <f>(E219-(F219+G219)*(1+Tax)+N218)</f>
        <v>1210620.046</v>
      </c>
      <c r="I219" s="175">
        <f>IF(B219&lt;PT+1,VLOOKUP(D219,'Pre-Calculation'!$N$3:$P$79,IF(INPUT!$C$4="M",2,3),FALSE)*(J219/1000)*(1/12),0)</f>
        <v>0</v>
      </c>
      <c r="J219" s="175">
        <f t="shared" si="3"/>
        <v>469379.9537</v>
      </c>
      <c r="K219" s="175">
        <f>IF('Pre-Calculation'!$D$17="Type 4 a",MAX(SA,H219,1.05*Q219),IF('Pre-Calculation'!$D$17="Type 4 c",H219,IF('Pre-Calculation'!$D$17="Type 4 d",SA+H219,IF('Pre-Calculation'!$D$17="Type 4 e",MAX(SA,H219),IF('Pre-Calculation'!$D$17="Type 4 f",SA,IF('Pre-Calculation'!$D$17="Type 4 g",1000+H219,IF('Pre-Calculation'!$D$17="Type 4 h",SA+X219,IF('Pre-Calculation'!$D$17="Type 4 i",MAX(H219,Q219),IF('Pre-Calculation'!$D$17="Type 4 k",MAX(H219,1.01*Q219),IF('Pre-Calculation'!$D$17="Type 4 m",MAX(105%*Q219,SA+H219),IF('Pre-Calculation'!$D$17="Type 4 o",MAX(SA,105%*Q219)+X219+Z219,IF('Pre-Calculation'!$D$17="Type 5",0))))))))))))</f>
        <v>1680000</v>
      </c>
      <c r="L219" s="175">
        <f>H219-I219*(1+Tax)</f>
        <v>1210620.046</v>
      </c>
      <c r="M219" s="175">
        <f>L219*(1+GROWTH_RATE_L)*(1-FMC*(1+Tax))</f>
        <v>1212971.819</v>
      </c>
      <c r="N219" s="175">
        <f>M219+IF(MOD(A219,B219)=0,VLOOKUP(B219,'Pre-Calculation'!$H$1:$L$31,5,FALSE),0)*IF('Pre-Calculation'!$D$16="% OF FV",M219,IF(OR('Pre-Calculation'!$D$16="% OF AFV(24M)",'Pre-Calculation'!$D$16="% OF AFV(8Q)"),AVERAGE( $M196:$M219),IF('Pre-Calculation'!$D$16="% OF AFV(12M)",AVERAGE($M208:M219),IF('Pre-Calculation'!$D$16="% OF AFV(36M)",AVERAGE($M184:M219)))))</f>
        <v>1212971.819</v>
      </c>
      <c r="O219" s="175">
        <f t="shared" si="4"/>
        <v>1212971.819</v>
      </c>
      <c r="P219" s="175">
        <f>IF('Pre-Calculation'!$D$17="Type 4 a",MAX(SA,N219,1.05*Q219),IF('Pre-Calculation'!$D$17="Type 4 c",N219,IF('Pre-Calculation'!$D$17="Type 4 d",SA+N219,IF('Pre-Calculation'!$D$17="Type 4 e",MAX(SA,N219),IF('Pre-Calculation'!$D$17="Type 4 f",SA,IF('Pre-Calculation'!$D$17="Type 4 g",1000+N219,IF('Pre-Calculation'!$D$17="Type 4 h",SA+X219,IF('Pre-Calculation'!$D$17="Type 4 i",MAX(N219,Q219),IF('Pre-Calculation'!$D$17="Type 4 k",MAX(N219,1.01*Q219),IF('Pre-Calculation'!$D$17="Type 4 m",MAX(105%*Q219,SA+N219),IF('Pre-Calculation'!$D$17="Type 4 o",MAX(SA,105%*Q219)+X219+Z219,IF('Pre-Calculation'!$D$17="Type 5",0))))))))))))</f>
        <v>1680000</v>
      </c>
      <c r="Q219" s="175">
        <f t="shared" si="5"/>
        <v>1600000</v>
      </c>
      <c r="R219" s="119">
        <f>L219*(1+GROWTH_RATE)*FMC</f>
        <v>1369.964949</v>
      </c>
      <c r="S219" s="178">
        <f>S218*(1+'Pre-Calculation'!$E$27)</f>
        <v>1197028.706</v>
      </c>
      <c r="T219" s="175">
        <f>-E219+IF(A218=INPUT!$C$11*12,N219,0)</f>
        <v>0</v>
      </c>
      <c r="U219" s="175">
        <f t="shared" si="6"/>
        <v>1289931.183</v>
      </c>
      <c r="V219" s="175">
        <f>U219*(1+GROWTH_RATE_L)*(1-'Pre-Calculation'!$E$31)</f>
        <v>1291998.896</v>
      </c>
      <c r="W219" s="175">
        <f>-E219+IF(A218=INPUT!$C$11*12,V219,0)</f>
        <v>0</v>
      </c>
      <c r="X219" s="179">
        <f t="array" ref="X219">NPV('Pre-Calculation'!$E$20,$E220:E$246)</f>
        <v>0</v>
      </c>
      <c r="Y219" s="171">
        <f>10%*SA</f>
        <v>100000</v>
      </c>
      <c r="Z219" s="179">
        <f t="array" ref="Z219">NPV('Pre-Calculation'!$E$20,Y220:Y229)</f>
        <v>969592.8037</v>
      </c>
    </row>
    <row r="220" ht="15.75" customHeight="1">
      <c r="A220" s="171">
        <f t="shared" si="1"/>
        <v>214</v>
      </c>
      <c r="B220" s="171">
        <f t="shared" si="2"/>
        <v>18</v>
      </c>
      <c r="C220" s="176">
        <f>EDATE(RCD,A219)</f>
        <v>49033</v>
      </c>
      <c r="D220" s="171">
        <f>Age_At_Entry+'Cashflows_4% from Start'!B220-1</f>
        <v>52</v>
      </c>
      <c r="E220" s="175">
        <f>IF(AND(C220&lt;=Last_Prem,MOD(A219,Mode)=0),Mod_Prem,0)</f>
        <v>0</v>
      </c>
      <c r="F220" s="177">
        <f>IF(B220&lt;PT+1,E220*VLOOKUP(B220,'Pre-Calculation'!$H$1:$I$31,2,FALSE),0)</f>
        <v>0</v>
      </c>
      <c r="G220" s="177">
        <f>IF(B220&lt;PT+1,VLOOKUP(B220,'Pre-Calculation'!$H$1:$L$32,3,FALSE)+VLOOKUP(B220,'Pre-Calculation'!$H$1:$L$32,4,FALSE)*'Pre-Calculation'!$D$7,0)</f>
        <v>0</v>
      </c>
      <c r="H220" s="175">
        <f>(E220-(F220+G220)*(1+Tax)+N219)</f>
        <v>1212971.819</v>
      </c>
      <c r="I220" s="175">
        <f>IF(B220&lt;PT+1,VLOOKUP(D220,'Pre-Calculation'!$N$3:$P$79,IF(INPUT!$C$4="M",2,3),FALSE)*(J220/1000)*(1/12),0)</f>
        <v>0</v>
      </c>
      <c r="J220" s="175">
        <f t="shared" si="3"/>
        <v>467028.1812</v>
      </c>
      <c r="K220" s="175">
        <f>IF('Pre-Calculation'!$D$17="Type 4 a",MAX(SA,H220,1.05*Q220),IF('Pre-Calculation'!$D$17="Type 4 c",H220,IF('Pre-Calculation'!$D$17="Type 4 d",SA+H220,IF('Pre-Calculation'!$D$17="Type 4 e",MAX(SA,H220),IF('Pre-Calculation'!$D$17="Type 4 f",SA,IF('Pre-Calculation'!$D$17="Type 4 g",1000+H220,IF('Pre-Calculation'!$D$17="Type 4 h",SA+X220,IF('Pre-Calculation'!$D$17="Type 4 i",MAX(H220,Q220),IF('Pre-Calculation'!$D$17="Type 4 k",MAX(H220,1.01*Q220),IF('Pre-Calculation'!$D$17="Type 4 m",MAX(105%*Q220,SA+H220),IF('Pre-Calculation'!$D$17="Type 4 o",MAX(SA,105%*Q220)+X220+Z220,IF('Pre-Calculation'!$D$17="Type 5",0))))))))))))</f>
        <v>1680000</v>
      </c>
      <c r="L220" s="175">
        <f>H220-I220*(1+Tax)</f>
        <v>1212971.819</v>
      </c>
      <c r="M220" s="175">
        <f>L220*(1+GROWTH_RATE_L)*(1-FMC*(1+Tax))</f>
        <v>1215328.16</v>
      </c>
      <c r="N220" s="175">
        <f>M220+IF(MOD(A220,B220)=0,VLOOKUP(B220,'Pre-Calculation'!$H$1:$L$31,5,FALSE),0)*IF('Pre-Calculation'!$D$16="% OF FV",M220,IF(OR('Pre-Calculation'!$D$16="% OF AFV(24M)",'Pre-Calculation'!$D$16="% OF AFV(8Q)"),AVERAGE( $M197:$M220),IF('Pre-Calculation'!$D$16="% OF AFV(12M)",AVERAGE($M209:M220),IF('Pre-Calculation'!$D$16="% OF AFV(36M)",AVERAGE($M185:M220)))))</f>
        <v>1215328.16</v>
      </c>
      <c r="O220" s="175">
        <f t="shared" si="4"/>
        <v>1215328.16</v>
      </c>
      <c r="P220" s="175">
        <f>IF('Pre-Calculation'!$D$17="Type 4 a",MAX(SA,N220,1.05*Q220),IF('Pre-Calculation'!$D$17="Type 4 c",N220,IF('Pre-Calculation'!$D$17="Type 4 d",SA+N220,IF('Pre-Calculation'!$D$17="Type 4 e",MAX(SA,N220),IF('Pre-Calculation'!$D$17="Type 4 f",SA,IF('Pre-Calculation'!$D$17="Type 4 g",1000+N220,IF('Pre-Calculation'!$D$17="Type 4 h",SA+X220,IF('Pre-Calculation'!$D$17="Type 4 i",MAX(N220,Q220),IF('Pre-Calculation'!$D$17="Type 4 k",MAX(N220,1.01*Q220),IF('Pre-Calculation'!$D$17="Type 4 m",MAX(105%*Q220,SA+N220),IF('Pre-Calculation'!$D$17="Type 4 o",MAX(SA,105%*Q220)+X220+Z220,IF('Pre-Calculation'!$D$17="Type 5",0))))))))))))</f>
        <v>1680000</v>
      </c>
      <c r="Q220" s="175">
        <f t="shared" si="5"/>
        <v>1600000</v>
      </c>
      <c r="R220" s="119">
        <f>L220*(1+GROWTH_RATE)*FMC</f>
        <v>1372.626268</v>
      </c>
      <c r="S220" s="178">
        <f>S219*(1+'Pre-Calculation'!$E$27)</f>
        <v>1200465.254</v>
      </c>
      <c r="T220" s="175">
        <f>-E220+IF(A219=INPUT!$C$11*12,N220,0)</f>
        <v>0</v>
      </c>
      <c r="U220" s="175">
        <f t="shared" si="6"/>
        <v>1291998.896</v>
      </c>
      <c r="V220" s="175">
        <f>U220*(1+GROWTH_RATE_L)*(1-'Pre-Calculation'!$E$31)</f>
        <v>1294069.924</v>
      </c>
      <c r="W220" s="175">
        <f>-E220+IF(A219=INPUT!$C$11*12,V220,0)</f>
        <v>0</v>
      </c>
      <c r="X220" s="179">
        <f t="array" ref="X220">NPV('Pre-Calculation'!$E$20,$E221:E$246)</f>
        <v>0</v>
      </c>
      <c r="Y220" s="171">
        <f>10%*SA</f>
        <v>100000</v>
      </c>
      <c r="Z220" s="179">
        <f t="array" ref="Z220">NPV('Pre-Calculation'!$E$20,Y221:Y230)</f>
        <v>969592.8037</v>
      </c>
    </row>
    <row r="221" ht="15.75" customHeight="1">
      <c r="A221" s="171">
        <f t="shared" si="1"/>
        <v>215</v>
      </c>
      <c r="B221" s="171">
        <f t="shared" si="2"/>
        <v>18</v>
      </c>
      <c r="C221" s="176">
        <f>EDATE(RCD,A220)</f>
        <v>49064</v>
      </c>
      <c r="D221" s="171">
        <f>Age_At_Entry+'Cashflows_4% from Start'!B221-1</f>
        <v>52</v>
      </c>
      <c r="E221" s="175">
        <f>IF(AND(C221&lt;=Last_Prem,MOD(A220,Mode)=0),Mod_Prem,0)</f>
        <v>0</v>
      </c>
      <c r="F221" s="177">
        <f>IF(B221&lt;PT+1,E221*VLOOKUP(B221,'Pre-Calculation'!$H$1:$I$31,2,FALSE),0)</f>
        <v>0</v>
      </c>
      <c r="G221" s="177">
        <f>IF(B221&lt;PT+1,VLOOKUP(B221,'Pre-Calculation'!$H$1:$L$32,3,FALSE)+VLOOKUP(B221,'Pre-Calculation'!$H$1:$L$32,4,FALSE)*'Pre-Calculation'!$D$7,0)</f>
        <v>0</v>
      </c>
      <c r="H221" s="175">
        <f>(E221-(F221+G221)*(1+Tax)+N220)</f>
        <v>1215328.16</v>
      </c>
      <c r="I221" s="175">
        <f>IF(B221&lt;PT+1,VLOOKUP(D221,'Pre-Calculation'!$N$3:$P$79,IF(INPUT!$C$4="M",2,3),FALSE)*(J221/1000)*(1/12),0)</f>
        <v>0</v>
      </c>
      <c r="J221" s="175">
        <f t="shared" si="3"/>
        <v>464671.8401</v>
      </c>
      <c r="K221" s="175">
        <f>IF('Pre-Calculation'!$D$17="Type 4 a",MAX(SA,H221,1.05*Q221),IF('Pre-Calculation'!$D$17="Type 4 c",H221,IF('Pre-Calculation'!$D$17="Type 4 d",SA+H221,IF('Pre-Calculation'!$D$17="Type 4 e",MAX(SA,H221),IF('Pre-Calculation'!$D$17="Type 4 f",SA,IF('Pre-Calculation'!$D$17="Type 4 g",1000+H221,IF('Pre-Calculation'!$D$17="Type 4 h",SA+X221,IF('Pre-Calculation'!$D$17="Type 4 i",MAX(H221,Q221),IF('Pre-Calculation'!$D$17="Type 4 k",MAX(H221,1.01*Q221),IF('Pre-Calculation'!$D$17="Type 4 m",MAX(105%*Q221,SA+H221),IF('Pre-Calculation'!$D$17="Type 4 o",MAX(SA,105%*Q221)+X221+Z221,IF('Pre-Calculation'!$D$17="Type 5",0))))))))))))</f>
        <v>1680000</v>
      </c>
      <c r="L221" s="175">
        <f>H221-I221*(1+Tax)</f>
        <v>1215328.16</v>
      </c>
      <c r="M221" s="175">
        <f>L221*(1+GROWTH_RATE_L)*(1-FMC*(1+Tax))</f>
        <v>1217689.079</v>
      </c>
      <c r="N221" s="175">
        <f>M221+IF(MOD(A221,B221)=0,VLOOKUP(B221,'Pre-Calculation'!$H$1:$L$31,5,FALSE),0)*IF('Pre-Calculation'!$D$16="% OF FV",M221,IF(OR('Pre-Calculation'!$D$16="% OF AFV(24M)",'Pre-Calculation'!$D$16="% OF AFV(8Q)"),AVERAGE( $M198:$M221),IF('Pre-Calculation'!$D$16="% OF AFV(12M)",AVERAGE($M210:M221),IF('Pre-Calculation'!$D$16="% OF AFV(36M)",AVERAGE($M186:M221)))))</f>
        <v>1217689.079</v>
      </c>
      <c r="O221" s="175">
        <f t="shared" si="4"/>
        <v>1217689.079</v>
      </c>
      <c r="P221" s="175">
        <f>IF('Pre-Calculation'!$D$17="Type 4 a",MAX(SA,N221,1.05*Q221),IF('Pre-Calculation'!$D$17="Type 4 c",N221,IF('Pre-Calculation'!$D$17="Type 4 d",SA+N221,IF('Pre-Calculation'!$D$17="Type 4 e",MAX(SA,N221),IF('Pre-Calculation'!$D$17="Type 4 f",SA,IF('Pre-Calculation'!$D$17="Type 4 g",1000+N221,IF('Pre-Calculation'!$D$17="Type 4 h",SA+X221,IF('Pre-Calculation'!$D$17="Type 4 i",MAX(N221,Q221),IF('Pre-Calculation'!$D$17="Type 4 k",MAX(N221,1.01*Q221),IF('Pre-Calculation'!$D$17="Type 4 m",MAX(105%*Q221,SA+N221),IF('Pre-Calculation'!$D$17="Type 4 o",MAX(SA,105%*Q221)+X221+Z221,IF('Pre-Calculation'!$D$17="Type 5",0))))))))))))</f>
        <v>1680000</v>
      </c>
      <c r="Q221" s="175">
        <f t="shared" si="5"/>
        <v>1600000</v>
      </c>
      <c r="R221" s="119">
        <f>L221*(1+GROWTH_RATE)*FMC</f>
        <v>1375.292757</v>
      </c>
      <c r="S221" s="178">
        <f>S220*(1+'Pre-Calculation'!$E$27)</f>
        <v>1203911.669</v>
      </c>
      <c r="T221" s="175">
        <f>-E221+IF(A220=INPUT!$C$11*12,N221,0)</f>
        <v>0</v>
      </c>
      <c r="U221" s="175">
        <f t="shared" si="6"/>
        <v>1294069.924</v>
      </c>
      <c r="V221" s="175">
        <f>U221*(1+GROWTH_RATE_L)*(1-'Pre-Calculation'!$E$31)</f>
        <v>1296144.271</v>
      </c>
      <c r="W221" s="175">
        <f>-E221+IF(A220=INPUT!$C$11*12,V221,0)</f>
        <v>0</v>
      </c>
      <c r="X221" s="179">
        <f t="array" ref="X221">NPV('Pre-Calculation'!$E$20,$E222:E$246)</f>
        <v>0</v>
      </c>
      <c r="Y221" s="171">
        <f>10%*SA</f>
        <v>100000</v>
      </c>
      <c r="Z221" s="179">
        <f t="array" ref="Z221">NPV('Pre-Calculation'!$E$20,Y222:Y231)</f>
        <v>969592.8037</v>
      </c>
    </row>
    <row r="222" ht="15.75" customHeight="1">
      <c r="A222" s="171">
        <f t="shared" si="1"/>
        <v>216</v>
      </c>
      <c r="B222" s="171">
        <f t="shared" si="2"/>
        <v>18</v>
      </c>
      <c r="C222" s="176">
        <f>EDATE(RCD,A221)</f>
        <v>49094</v>
      </c>
      <c r="D222" s="171">
        <f>Age_At_Entry+'Cashflows_4% from Start'!B222-1</f>
        <v>52</v>
      </c>
      <c r="E222" s="175">
        <f>IF(AND(C222&lt;=Last_Prem,MOD(A221,Mode)=0),Mod_Prem,0)</f>
        <v>0</v>
      </c>
      <c r="F222" s="177">
        <f>IF(B222&lt;PT+1,E222*VLOOKUP(B222,'Pre-Calculation'!$H$1:$I$31,2,FALSE),0)</f>
        <v>0</v>
      </c>
      <c r="G222" s="177">
        <f>IF(B222&lt;PT+1,VLOOKUP(B222,'Pre-Calculation'!$H$1:$L$32,3,FALSE)+VLOOKUP(B222,'Pre-Calculation'!$H$1:$L$32,4,FALSE)*'Pre-Calculation'!$D$7,0)</f>
        <v>0</v>
      </c>
      <c r="H222" s="175">
        <f>(E222-(F222+G222)*(1+Tax)+N221)</f>
        <v>1217689.079</v>
      </c>
      <c r="I222" s="175">
        <f>IF(B222&lt;PT+1,VLOOKUP(D222,'Pre-Calculation'!$N$3:$P$79,IF(INPUT!$C$4="M",2,3),FALSE)*(J222/1000)*(1/12),0)</f>
        <v>0</v>
      </c>
      <c r="J222" s="175">
        <f t="shared" si="3"/>
        <v>462310.9215</v>
      </c>
      <c r="K222" s="175">
        <f>IF('Pre-Calculation'!$D$17="Type 4 a",MAX(SA,H222,1.05*Q222),IF('Pre-Calculation'!$D$17="Type 4 c",H222,IF('Pre-Calculation'!$D$17="Type 4 d",SA+H222,IF('Pre-Calculation'!$D$17="Type 4 e",MAX(SA,H222),IF('Pre-Calculation'!$D$17="Type 4 f",SA,IF('Pre-Calculation'!$D$17="Type 4 g",1000+H222,IF('Pre-Calculation'!$D$17="Type 4 h",SA+X222,IF('Pre-Calculation'!$D$17="Type 4 i",MAX(H222,Q222),IF('Pre-Calculation'!$D$17="Type 4 k",MAX(H222,1.01*Q222),IF('Pre-Calculation'!$D$17="Type 4 m",MAX(105%*Q222,SA+H222),IF('Pre-Calculation'!$D$17="Type 4 o",MAX(SA,105%*Q222)+X222+Z222,IF('Pre-Calculation'!$D$17="Type 5",0))))))))))))</f>
        <v>1680000</v>
      </c>
      <c r="L222" s="175">
        <f>H222-I222*(1+Tax)</f>
        <v>1217689.079</v>
      </c>
      <c r="M222" s="175">
        <f>L222*(1+GROWTH_RATE_L)*(1-FMC*(1+Tax))</f>
        <v>1220054.583</v>
      </c>
      <c r="N222" s="175">
        <f>M222+IF(MOD(A222,B222)=0,VLOOKUP(B222,'Pre-Calculation'!$H$1:$L$31,5,FALSE),0)*IF('Pre-Calculation'!$D$16="% OF FV",M222,IF(OR('Pre-Calculation'!$D$16="% OF AFV(24M)",'Pre-Calculation'!$D$16="% OF AFV(8Q)"),AVERAGE( $M199:$M222),IF('Pre-Calculation'!$D$16="% OF AFV(12M)",AVERAGE($M211:M222),IF('Pre-Calculation'!$D$16="% OF AFV(36M)",AVERAGE($M187:M222)))))</f>
        <v>1220054.583</v>
      </c>
      <c r="O222" s="175">
        <f t="shared" si="4"/>
        <v>1220054.583</v>
      </c>
      <c r="P222" s="175">
        <f>IF('Pre-Calculation'!$D$17="Type 4 a",MAX(SA,N222,1.05*Q222),IF('Pre-Calculation'!$D$17="Type 4 c",N222,IF('Pre-Calculation'!$D$17="Type 4 d",SA+N222,IF('Pre-Calculation'!$D$17="Type 4 e",MAX(SA,N222),IF('Pre-Calculation'!$D$17="Type 4 f",SA,IF('Pre-Calculation'!$D$17="Type 4 g",1000+N222,IF('Pre-Calculation'!$D$17="Type 4 h",SA+X222,IF('Pre-Calculation'!$D$17="Type 4 i",MAX(N222,Q222),IF('Pre-Calculation'!$D$17="Type 4 k",MAX(N222,1.01*Q222),IF('Pre-Calculation'!$D$17="Type 4 m",MAX(105%*Q222,SA+N222),IF('Pre-Calculation'!$D$17="Type 4 o",MAX(SA,105%*Q222)+X222+Z222,IF('Pre-Calculation'!$D$17="Type 5",0))))))))))))</f>
        <v>1680000</v>
      </c>
      <c r="Q222" s="175">
        <f t="shared" si="5"/>
        <v>1600000</v>
      </c>
      <c r="R222" s="119">
        <f>L222*(1+GROWTH_RATE)*FMC</f>
        <v>1377.964425</v>
      </c>
      <c r="S222" s="178">
        <f>S221*(1+'Pre-Calculation'!$E$27)</f>
        <v>1207367.977</v>
      </c>
      <c r="T222" s="175">
        <f>-E222+IF(A221=INPUT!$C$11*12,N222,0)</f>
        <v>0</v>
      </c>
      <c r="U222" s="175">
        <f t="shared" si="6"/>
        <v>1296144.271</v>
      </c>
      <c r="V222" s="175">
        <f>U222*(1+GROWTH_RATE_L)*(1-'Pre-Calculation'!$E$31)</f>
        <v>1298221.943</v>
      </c>
      <c r="W222" s="175">
        <f>-E222+IF(A221=INPUT!$C$11*12,V222,0)</f>
        <v>0</v>
      </c>
      <c r="X222" s="179">
        <f t="array" ref="X222">NPV('Pre-Calculation'!$E$20,$E223:E$246)</f>
        <v>0</v>
      </c>
      <c r="Y222" s="171">
        <f>10%*SA</f>
        <v>100000</v>
      </c>
      <c r="Z222" s="179">
        <f t="array" ref="Z222">NPV('Pre-Calculation'!$E$20,Y223:Y232)</f>
        <v>969592.8037</v>
      </c>
    </row>
    <row r="223" ht="15.75" customHeight="1">
      <c r="A223" s="171">
        <f t="shared" si="1"/>
        <v>217</v>
      </c>
      <c r="B223" s="171">
        <f t="shared" si="2"/>
        <v>19</v>
      </c>
      <c r="C223" s="176">
        <f>EDATE(RCD,A222)</f>
        <v>49125</v>
      </c>
      <c r="D223" s="171">
        <f>Age_At_Entry+'Cashflows_4% from Start'!B223-1</f>
        <v>53</v>
      </c>
      <c r="E223" s="175">
        <f>IF(AND(C223&lt;=Last_Prem,MOD(A222,Mode)=0),Mod_Prem,0)</f>
        <v>0</v>
      </c>
      <c r="F223" s="177">
        <f>IF(B223&lt;PT+1,E223*VLOOKUP(B223,'Pre-Calculation'!$H$1:$I$31,2,FALSE),0)</f>
        <v>0</v>
      </c>
      <c r="G223" s="177">
        <f>IF(B223&lt;PT+1,VLOOKUP(B223,'Pre-Calculation'!$H$1:$L$32,3,FALSE)+VLOOKUP(B223,'Pre-Calculation'!$H$1:$L$32,4,FALSE)*'Pre-Calculation'!$D$7,0)</f>
        <v>0</v>
      </c>
      <c r="H223" s="175">
        <f>(E223-(F223+G223)*(1+Tax)+N222)</f>
        <v>1220054.583</v>
      </c>
      <c r="I223" s="175">
        <f>IF(B223&lt;PT+1,VLOOKUP(D223,'Pre-Calculation'!$N$3:$P$79,IF(INPUT!$C$4="M",2,3),FALSE)*(J223/1000)*(1/12),0)</f>
        <v>0</v>
      </c>
      <c r="J223" s="175">
        <f t="shared" si="3"/>
        <v>459945.4166</v>
      </c>
      <c r="K223" s="175">
        <f>IF('Pre-Calculation'!$D$17="Type 4 a",MAX(SA,H223,1.05*Q223),IF('Pre-Calculation'!$D$17="Type 4 c",H223,IF('Pre-Calculation'!$D$17="Type 4 d",SA+H223,IF('Pre-Calculation'!$D$17="Type 4 e",MAX(SA,H223),IF('Pre-Calculation'!$D$17="Type 4 f",SA,IF('Pre-Calculation'!$D$17="Type 4 g",1000+H223,IF('Pre-Calculation'!$D$17="Type 4 h",SA+X223,IF('Pre-Calculation'!$D$17="Type 4 i",MAX(H223,Q223),IF('Pre-Calculation'!$D$17="Type 4 k",MAX(H223,1.01*Q223),IF('Pre-Calculation'!$D$17="Type 4 m",MAX(105%*Q223,SA+H223),IF('Pre-Calculation'!$D$17="Type 4 o",MAX(SA,105%*Q223)+X223+Z223,IF('Pre-Calculation'!$D$17="Type 5",0))))))))))))</f>
        <v>1680000</v>
      </c>
      <c r="L223" s="175">
        <f>H223-I223*(1+Tax)</f>
        <v>1220054.583</v>
      </c>
      <c r="M223" s="175">
        <f>L223*(1+GROWTH_RATE_L)*(1-FMC*(1+Tax))</f>
        <v>1222424.684</v>
      </c>
      <c r="N223" s="175">
        <f>M223+IF(MOD(A223,B223)=0,VLOOKUP(B223,'Pre-Calculation'!$H$1:$L$31,5,FALSE),0)*IF('Pre-Calculation'!$D$16="% OF FV",M223,IF(OR('Pre-Calculation'!$D$16="% OF AFV(24M)",'Pre-Calculation'!$D$16="% OF AFV(8Q)"),AVERAGE( $M200:$M223),IF('Pre-Calculation'!$D$16="% OF AFV(12M)",AVERAGE($M212:M223),IF('Pre-Calculation'!$D$16="% OF AFV(36M)",AVERAGE($M188:M223)))))</f>
        <v>1222424.684</v>
      </c>
      <c r="O223" s="175">
        <f t="shared" si="4"/>
        <v>1222424.684</v>
      </c>
      <c r="P223" s="175">
        <f>IF('Pre-Calculation'!$D$17="Type 4 a",MAX(SA,N223,1.05*Q223),IF('Pre-Calculation'!$D$17="Type 4 c",N223,IF('Pre-Calculation'!$D$17="Type 4 d",SA+N223,IF('Pre-Calculation'!$D$17="Type 4 e",MAX(SA,N223),IF('Pre-Calculation'!$D$17="Type 4 f",SA,IF('Pre-Calculation'!$D$17="Type 4 g",1000+N223,IF('Pre-Calculation'!$D$17="Type 4 h",SA+X223,IF('Pre-Calculation'!$D$17="Type 4 i",MAX(N223,Q223),IF('Pre-Calculation'!$D$17="Type 4 k",MAX(N223,1.01*Q223),IF('Pre-Calculation'!$D$17="Type 4 m",MAX(105%*Q223,SA+N223),IF('Pre-Calculation'!$D$17="Type 4 o",MAX(SA,105%*Q223)+X223+Z223,IF('Pre-Calculation'!$D$17="Type 5",0))))))))))))</f>
        <v>1680000</v>
      </c>
      <c r="Q223" s="175">
        <f t="shared" si="5"/>
        <v>1600000</v>
      </c>
      <c r="R223" s="119">
        <f>L223*(1+GROWTH_RATE)*FMC</f>
        <v>1380.641284</v>
      </c>
      <c r="S223" s="178">
        <f>S222*(1+'Pre-Calculation'!$E$27)</f>
        <v>1210834.208</v>
      </c>
      <c r="T223" s="175">
        <f>-E223+IF(A222=INPUT!$C$11*12,N223,0)</f>
        <v>0</v>
      </c>
      <c r="U223" s="175">
        <f t="shared" si="6"/>
        <v>1298221.943</v>
      </c>
      <c r="V223" s="175">
        <f>U223*(1+GROWTH_RATE_L)*(1-'Pre-Calculation'!$E$31)</f>
        <v>1300302.946</v>
      </c>
      <c r="W223" s="175">
        <f>-E223+IF(A222=INPUT!$C$11*12,V223,0)</f>
        <v>0</v>
      </c>
      <c r="X223" s="179">
        <f t="array" ref="X223">NPV('Pre-Calculation'!$E$20,$E224:E$246)</f>
        <v>0</v>
      </c>
      <c r="Y223" s="171">
        <f>10%*SA</f>
        <v>100000</v>
      </c>
      <c r="Z223" s="179">
        <f t="array" ref="Z223">NPV('Pre-Calculation'!$E$20,Y224:Y233)</f>
        <v>969592.8037</v>
      </c>
    </row>
    <row r="224" ht="15.75" customHeight="1">
      <c r="A224" s="171">
        <f t="shared" si="1"/>
        <v>218</v>
      </c>
      <c r="B224" s="171">
        <f t="shared" si="2"/>
        <v>19</v>
      </c>
      <c r="C224" s="176">
        <f>EDATE(RCD,A223)</f>
        <v>49155</v>
      </c>
      <c r="D224" s="171">
        <f>Age_At_Entry+'Cashflows_4% from Start'!B224-1</f>
        <v>53</v>
      </c>
      <c r="E224" s="175">
        <f>IF(AND(C224&lt;=Last_Prem,MOD(A223,Mode)=0),Mod_Prem,0)</f>
        <v>0</v>
      </c>
      <c r="F224" s="177">
        <f>IF(B224&lt;PT+1,E224*VLOOKUP(B224,'Pre-Calculation'!$H$1:$I$31,2,FALSE),0)</f>
        <v>0</v>
      </c>
      <c r="G224" s="177">
        <f>IF(B224&lt;PT+1,VLOOKUP(B224,'Pre-Calculation'!$H$1:$L$32,3,FALSE)+VLOOKUP(B224,'Pre-Calculation'!$H$1:$L$32,4,FALSE)*'Pre-Calculation'!$D$7,0)</f>
        <v>0</v>
      </c>
      <c r="H224" s="175">
        <f>(E224-(F224+G224)*(1+Tax)+N223)</f>
        <v>1222424.684</v>
      </c>
      <c r="I224" s="175">
        <f>IF(B224&lt;PT+1,VLOOKUP(D224,'Pre-Calculation'!$N$3:$P$79,IF(INPUT!$C$4="M",2,3),FALSE)*(J224/1000)*(1/12),0)</f>
        <v>0</v>
      </c>
      <c r="J224" s="175">
        <f t="shared" si="3"/>
        <v>457575.3163</v>
      </c>
      <c r="K224" s="175">
        <f>IF('Pre-Calculation'!$D$17="Type 4 a",MAX(SA,H224,1.05*Q224),IF('Pre-Calculation'!$D$17="Type 4 c",H224,IF('Pre-Calculation'!$D$17="Type 4 d",SA+H224,IF('Pre-Calculation'!$D$17="Type 4 e",MAX(SA,H224),IF('Pre-Calculation'!$D$17="Type 4 f",SA,IF('Pre-Calculation'!$D$17="Type 4 g",1000+H224,IF('Pre-Calculation'!$D$17="Type 4 h",SA+X224,IF('Pre-Calculation'!$D$17="Type 4 i",MAX(H224,Q224),IF('Pre-Calculation'!$D$17="Type 4 k",MAX(H224,1.01*Q224),IF('Pre-Calculation'!$D$17="Type 4 m",MAX(105%*Q224,SA+H224),IF('Pre-Calculation'!$D$17="Type 4 o",MAX(SA,105%*Q224)+X224+Z224,IF('Pre-Calculation'!$D$17="Type 5",0))))))))))))</f>
        <v>1680000</v>
      </c>
      <c r="L224" s="175">
        <f>H224-I224*(1+Tax)</f>
        <v>1222424.684</v>
      </c>
      <c r="M224" s="175">
        <f>L224*(1+GROWTH_RATE_L)*(1-FMC*(1+Tax))</f>
        <v>1224799.388</v>
      </c>
      <c r="N224" s="175">
        <f>M224+IF(MOD(A224,B224)=0,VLOOKUP(B224,'Pre-Calculation'!$H$1:$L$31,5,FALSE),0)*IF('Pre-Calculation'!$D$16="% OF FV",M224,IF(OR('Pre-Calculation'!$D$16="% OF AFV(24M)",'Pre-Calculation'!$D$16="% OF AFV(8Q)"),AVERAGE( $M201:$M224),IF('Pre-Calculation'!$D$16="% OF AFV(12M)",AVERAGE($M213:M224),IF('Pre-Calculation'!$D$16="% OF AFV(36M)",AVERAGE($M189:M224)))))</f>
        <v>1224799.388</v>
      </c>
      <c r="O224" s="175">
        <f t="shared" si="4"/>
        <v>1224799.388</v>
      </c>
      <c r="P224" s="175">
        <f>IF('Pre-Calculation'!$D$17="Type 4 a",MAX(SA,N224,1.05*Q224),IF('Pre-Calculation'!$D$17="Type 4 c",N224,IF('Pre-Calculation'!$D$17="Type 4 d",SA+N224,IF('Pre-Calculation'!$D$17="Type 4 e",MAX(SA,N224),IF('Pre-Calculation'!$D$17="Type 4 f",SA,IF('Pre-Calculation'!$D$17="Type 4 g",1000+N224,IF('Pre-Calculation'!$D$17="Type 4 h",SA+X224,IF('Pre-Calculation'!$D$17="Type 4 i",MAX(N224,Q224),IF('Pre-Calculation'!$D$17="Type 4 k",MAX(N224,1.01*Q224),IF('Pre-Calculation'!$D$17="Type 4 m",MAX(105%*Q224,SA+N224),IF('Pre-Calculation'!$D$17="Type 4 o",MAX(SA,105%*Q224)+X224+Z224,IF('Pre-Calculation'!$D$17="Type 5",0))))))))))))</f>
        <v>1680000</v>
      </c>
      <c r="Q224" s="175">
        <f t="shared" si="5"/>
        <v>1600000</v>
      </c>
      <c r="R224" s="119">
        <f>L224*(1+GROWTH_RATE)*FMC</f>
        <v>1383.323343</v>
      </c>
      <c r="S224" s="178">
        <f>S223*(1+'Pre-Calculation'!$E$27)</f>
        <v>1214310.391</v>
      </c>
      <c r="T224" s="175">
        <f>-E224+IF(A223=INPUT!$C$11*12,N224,0)</f>
        <v>0</v>
      </c>
      <c r="U224" s="175">
        <f t="shared" si="6"/>
        <v>1300302.946</v>
      </c>
      <c r="V224" s="175">
        <f>U224*(1+GROWTH_RATE_L)*(1-'Pre-Calculation'!$E$31)</f>
        <v>1302387.285</v>
      </c>
      <c r="W224" s="175">
        <f>-E224+IF(A223=INPUT!$C$11*12,V224,0)</f>
        <v>0</v>
      </c>
      <c r="X224" s="179">
        <f t="array" ref="X224">NPV('Pre-Calculation'!$E$20,$E225:E$246)</f>
        <v>0</v>
      </c>
      <c r="Y224" s="171">
        <f>10%*SA</f>
        <v>100000</v>
      </c>
      <c r="Z224" s="179">
        <f t="array" ref="Z224">NPV('Pre-Calculation'!$E$20,Y225:Y234)</f>
        <v>969592.8037</v>
      </c>
    </row>
    <row r="225" ht="15.75" customHeight="1">
      <c r="A225" s="171">
        <f t="shared" si="1"/>
        <v>219</v>
      </c>
      <c r="B225" s="171">
        <f t="shared" si="2"/>
        <v>19</v>
      </c>
      <c r="C225" s="176">
        <f>EDATE(RCD,A224)</f>
        <v>49186</v>
      </c>
      <c r="D225" s="171">
        <f>Age_At_Entry+'Cashflows_4% from Start'!B225-1</f>
        <v>53</v>
      </c>
      <c r="E225" s="175">
        <f>IF(AND(C225&lt;=Last_Prem,MOD(A224,Mode)=0),Mod_Prem,0)</f>
        <v>0</v>
      </c>
      <c r="F225" s="177">
        <f>IF(B225&lt;PT+1,E225*VLOOKUP(B225,'Pre-Calculation'!$H$1:$I$31,2,FALSE),0)</f>
        <v>0</v>
      </c>
      <c r="G225" s="177">
        <f>IF(B225&lt;PT+1,VLOOKUP(B225,'Pre-Calculation'!$H$1:$L$32,3,FALSE)+VLOOKUP(B225,'Pre-Calculation'!$H$1:$L$32,4,FALSE)*'Pre-Calculation'!$D$7,0)</f>
        <v>0</v>
      </c>
      <c r="H225" s="175">
        <f>(E225-(F225+G225)*(1+Tax)+N224)</f>
        <v>1224799.388</v>
      </c>
      <c r="I225" s="175">
        <f>IF(B225&lt;PT+1,VLOOKUP(D225,'Pre-Calculation'!$N$3:$P$79,IF(INPUT!$C$4="M",2,3),FALSE)*(J225/1000)*(1/12),0)</f>
        <v>0</v>
      </c>
      <c r="J225" s="175">
        <f t="shared" si="3"/>
        <v>455200.6119</v>
      </c>
      <c r="K225" s="175">
        <f>IF('Pre-Calculation'!$D$17="Type 4 a",MAX(SA,H225,1.05*Q225),IF('Pre-Calculation'!$D$17="Type 4 c",H225,IF('Pre-Calculation'!$D$17="Type 4 d",SA+H225,IF('Pre-Calculation'!$D$17="Type 4 e",MAX(SA,H225),IF('Pre-Calculation'!$D$17="Type 4 f",SA,IF('Pre-Calculation'!$D$17="Type 4 g",1000+H225,IF('Pre-Calculation'!$D$17="Type 4 h",SA+X225,IF('Pre-Calculation'!$D$17="Type 4 i",MAX(H225,Q225),IF('Pre-Calculation'!$D$17="Type 4 k",MAX(H225,1.01*Q225),IF('Pre-Calculation'!$D$17="Type 4 m",MAX(105%*Q225,SA+H225),IF('Pre-Calculation'!$D$17="Type 4 o",MAX(SA,105%*Q225)+X225+Z225,IF('Pre-Calculation'!$D$17="Type 5",0))))))))))))</f>
        <v>1680000</v>
      </c>
      <c r="L225" s="175">
        <f>H225-I225*(1+Tax)</f>
        <v>1224799.388</v>
      </c>
      <c r="M225" s="175">
        <f>L225*(1+GROWTH_RATE_L)*(1-FMC*(1+Tax))</f>
        <v>1227178.706</v>
      </c>
      <c r="N225" s="175">
        <f>M225+IF(MOD(A225,B225)=0,VLOOKUP(B225,'Pre-Calculation'!$H$1:$L$31,5,FALSE),0)*IF('Pre-Calculation'!$D$16="% OF FV",M225,IF(OR('Pre-Calculation'!$D$16="% OF AFV(24M)",'Pre-Calculation'!$D$16="% OF AFV(8Q)"),AVERAGE( $M202:$M225),IF('Pre-Calculation'!$D$16="% OF AFV(12M)",AVERAGE($M214:M225),IF('Pre-Calculation'!$D$16="% OF AFV(36M)",AVERAGE($M190:M225)))))</f>
        <v>1227178.706</v>
      </c>
      <c r="O225" s="175">
        <f t="shared" si="4"/>
        <v>1227178.706</v>
      </c>
      <c r="P225" s="175">
        <f>IF('Pre-Calculation'!$D$17="Type 4 a",MAX(SA,N225,1.05*Q225),IF('Pre-Calculation'!$D$17="Type 4 c",N225,IF('Pre-Calculation'!$D$17="Type 4 d",SA+N225,IF('Pre-Calculation'!$D$17="Type 4 e",MAX(SA,N225),IF('Pre-Calculation'!$D$17="Type 4 f",SA,IF('Pre-Calculation'!$D$17="Type 4 g",1000+N225,IF('Pre-Calculation'!$D$17="Type 4 h",SA+X225,IF('Pre-Calculation'!$D$17="Type 4 i",MAX(N225,Q225),IF('Pre-Calculation'!$D$17="Type 4 k",MAX(N225,1.01*Q225),IF('Pre-Calculation'!$D$17="Type 4 m",MAX(105%*Q225,SA+N225),IF('Pre-Calculation'!$D$17="Type 4 o",MAX(SA,105%*Q225)+X225+Z225,IF('Pre-Calculation'!$D$17="Type 5",0))))))))))))</f>
        <v>1680000</v>
      </c>
      <c r="Q225" s="175">
        <f t="shared" si="5"/>
        <v>1600000</v>
      </c>
      <c r="R225" s="119">
        <f>L225*(1+GROWTH_RATE)*FMC</f>
        <v>1386.010612</v>
      </c>
      <c r="S225" s="178">
        <f>S224*(1+'Pre-Calculation'!$E$27)</f>
        <v>1217796.553</v>
      </c>
      <c r="T225" s="175">
        <f>-E225+IF(A224=INPUT!$C$11*12,N225,0)</f>
        <v>0</v>
      </c>
      <c r="U225" s="175">
        <f t="shared" si="6"/>
        <v>1302387.285</v>
      </c>
      <c r="V225" s="175">
        <f>U225*(1+GROWTH_RATE_L)*(1-'Pre-Calculation'!$E$31)</f>
        <v>1304474.964</v>
      </c>
      <c r="W225" s="175">
        <f>-E225+IF(A224=INPUT!$C$11*12,V225,0)</f>
        <v>0</v>
      </c>
      <c r="X225" s="179">
        <f t="array" ref="X225">NPV('Pre-Calculation'!$E$20,$E226:E$246)</f>
        <v>0</v>
      </c>
      <c r="Y225" s="171">
        <f>10%*SA</f>
        <v>100000</v>
      </c>
      <c r="Z225" s="179">
        <f t="array" ref="Z225">NPV('Pre-Calculation'!$E$20,Y226:Y235)</f>
        <v>969592.8037</v>
      </c>
    </row>
    <row r="226" ht="15.75" customHeight="1">
      <c r="A226" s="171">
        <f t="shared" si="1"/>
        <v>220</v>
      </c>
      <c r="B226" s="171">
        <f t="shared" si="2"/>
        <v>19</v>
      </c>
      <c r="C226" s="176">
        <f>EDATE(RCD,A225)</f>
        <v>49217</v>
      </c>
      <c r="D226" s="171">
        <f>Age_At_Entry+'Cashflows_4% from Start'!B226-1</f>
        <v>53</v>
      </c>
      <c r="E226" s="175">
        <f>IF(AND(C226&lt;=Last_Prem,MOD(A225,Mode)=0),Mod_Prem,0)</f>
        <v>0</v>
      </c>
      <c r="F226" s="177">
        <f>IF(B226&lt;PT+1,E226*VLOOKUP(B226,'Pre-Calculation'!$H$1:$I$31,2,FALSE),0)</f>
        <v>0</v>
      </c>
      <c r="G226" s="177">
        <f>IF(B226&lt;PT+1,VLOOKUP(B226,'Pre-Calculation'!$H$1:$L$32,3,FALSE)+VLOOKUP(B226,'Pre-Calculation'!$H$1:$L$32,4,FALSE)*'Pre-Calculation'!$D$7,0)</f>
        <v>0</v>
      </c>
      <c r="H226" s="175">
        <f>(E226-(F226+G226)*(1+Tax)+N225)</f>
        <v>1227178.706</v>
      </c>
      <c r="I226" s="175">
        <f>IF(B226&lt;PT+1,VLOOKUP(D226,'Pre-Calculation'!$N$3:$P$79,IF(INPUT!$C$4="M",2,3),FALSE)*(J226/1000)*(1/12),0)</f>
        <v>0</v>
      </c>
      <c r="J226" s="175">
        <f t="shared" si="3"/>
        <v>452821.2944</v>
      </c>
      <c r="K226" s="175">
        <f>IF('Pre-Calculation'!$D$17="Type 4 a",MAX(SA,H226,1.05*Q226),IF('Pre-Calculation'!$D$17="Type 4 c",H226,IF('Pre-Calculation'!$D$17="Type 4 d",SA+H226,IF('Pre-Calculation'!$D$17="Type 4 e",MAX(SA,H226),IF('Pre-Calculation'!$D$17="Type 4 f",SA,IF('Pre-Calculation'!$D$17="Type 4 g",1000+H226,IF('Pre-Calculation'!$D$17="Type 4 h",SA+X226,IF('Pre-Calculation'!$D$17="Type 4 i",MAX(H226,Q226),IF('Pre-Calculation'!$D$17="Type 4 k",MAX(H226,1.01*Q226),IF('Pre-Calculation'!$D$17="Type 4 m",MAX(105%*Q226,SA+H226),IF('Pre-Calculation'!$D$17="Type 4 o",MAX(SA,105%*Q226)+X226+Z226,IF('Pre-Calculation'!$D$17="Type 5",0))))))))))))</f>
        <v>1680000</v>
      </c>
      <c r="L226" s="175">
        <f>H226-I226*(1+Tax)</f>
        <v>1227178.706</v>
      </c>
      <c r="M226" s="175">
        <f>L226*(1+GROWTH_RATE_L)*(1-FMC*(1+Tax))</f>
        <v>1229562.645</v>
      </c>
      <c r="N226" s="175">
        <f>M226+IF(MOD(A226,B226)=0,VLOOKUP(B226,'Pre-Calculation'!$H$1:$L$31,5,FALSE),0)*IF('Pre-Calculation'!$D$16="% OF FV",M226,IF(OR('Pre-Calculation'!$D$16="% OF AFV(24M)",'Pre-Calculation'!$D$16="% OF AFV(8Q)"),AVERAGE( $M203:$M226),IF('Pre-Calculation'!$D$16="% OF AFV(12M)",AVERAGE($M215:M226),IF('Pre-Calculation'!$D$16="% OF AFV(36M)",AVERAGE($M191:M226)))))</f>
        <v>1229562.645</v>
      </c>
      <c r="O226" s="175">
        <f t="shared" si="4"/>
        <v>1229562.645</v>
      </c>
      <c r="P226" s="175">
        <f>IF('Pre-Calculation'!$D$17="Type 4 a",MAX(SA,N226,1.05*Q226),IF('Pre-Calculation'!$D$17="Type 4 c",N226,IF('Pre-Calculation'!$D$17="Type 4 d",SA+N226,IF('Pre-Calculation'!$D$17="Type 4 e",MAX(SA,N226),IF('Pre-Calculation'!$D$17="Type 4 f",SA,IF('Pre-Calculation'!$D$17="Type 4 g",1000+N226,IF('Pre-Calculation'!$D$17="Type 4 h",SA+X226,IF('Pre-Calculation'!$D$17="Type 4 i",MAX(N226,Q226),IF('Pre-Calculation'!$D$17="Type 4 k",MAX(N226,1.01*Q226),IF('Pre-Calculation'!$D$17="Type 4 m",MAX(105%*Q226,SA+N226),IF('Pre-Calculation'!$D$17="Type 4 o",MAX(SA,105%*Q226)+X226+Z226,IF('Pre-Calculation'!$D$17="Type 5",0))))))))))))</f>
        <v>1680000</v>
      </c>
      <c r="Q226" s="175">
        <f t="shared" si="5"/>
        <v>1600000</v>
      </c>
      <c r="R226" s="119">
        <f>L226*(1+GROWTH_RATE)*FMC</f>
        <v>1388.703101</v>
      </c>
      <c r="S226" s="178">
        <f>S225*(1+'Pre-Calculation'!$E$27)</f>
        <v>1221292.723</v>
      </c>
      <c r="T226" s="175">
        <f>-E226+IF(A225=INPUT!$C$11*12,N226,0)</f>
        <v>0</v>
      </c>
      <c r="U226" s="175">
        <f t="shared" si="6"/>
        <v>1304474.964</v>
      </c>
      <c r="V226" s="175">
        <f>U226*(1+GROWTH_RATE_L)*(1-'Pre-Calculation'!$E$31)</f>
        <v>1306565.991</v>
      </c>
      <c r="W226" s="175">
        <f>-E226+IF(A225=INPUT!$C$11*12,V226,0)</f>
        <v>0</v>
      </c>
      <c r="X226" s="179">
        <f t="array" ref="X226">NPV('Pre-Calculation'!$E$20,$E227:E$246)</f>
        <v>0</v>
      </c>
      <c r="Y226" s="171">
        <f>10%*SA</f>
        <v>100000</v>
      </c>
      <c r="Z226" s="179">
        <f t="array" ref="Z226">NPV('Pre-Calculation'!$E$20,Y227:Y236)</f>
        <v>969592.8037</v>
      </c>
    </row>
    <row r="227" ht="15.75" customHeight="1">
      <c r="A227" s="171">
        <f t="shared" si="1"/>
        <v>221</v>
      </c>
      <c r="B227" s="171">
        <f t="shared" si="2"/>
        <v>19</v>
      </c>
      <c r="C227" s="176">
        <f>EDATE(RCD,A226)</f>
        <v>49247</v>
      </c>
      <c r="D227" s="171">
        <f>Age_At_Entry+'Cashflows_4% from Start'!B227-1</f>
        <v>53</v>
      </c>
      <c r="E227" s="175">
        <f>IF(AND(C227&lt;=Last_Prem,MOD(A226,Mode)=0),Mod_Prem,0)</f>
        <v>0</v>
      </c>
      <c r="F227" s="177">
        <f>IF(B227&lt;PT+1,E227*VLOOKUP(B227,'Pre-Calculation'!$H$1:$I$31,2,FALSE),0)</f>
        <v>0</v>
      </c>
      <c r="G227" s="177">
        <f>IF(B227&lt;PT+1,VLOOKUP(B227,'Pre-Calculation'!$H$1:$L$32,3,FALSE)+VLOOKUP(B227,'Pre-Calculation'!$H$1:$L$32,4,FALSE)*'Pre-Calculation'!$D$7,0)</f>
        <v>0</v>
      </c>
      <c r="H227" s="175">
        <f>(E227-(F227+G227)*(1+Tax)+N226)</f>
        <v>1229562.645</v>
      </c>
      <c r="I227" s="175">
        <f>IF(B227&lt;PT+1,VLOOKUP(D227,'Pre-Calculation'!$N$3:$P$79,IF(INPUT!$C$4="M",2,3),FALSE)*(J227/1000)*(1/12),0)</f>
        <v>0</v>
      </c>
      <c r="J227" s="175">
        <f t="shared" si="3"/>
        <v>450437.3547</v>
      </c>
      <c r="K227" s="175">
        <f>IF('Pre-Calculation'!$D$17="Type 4 a",MAX(SA,H227,1.05*Q227),IF('Pre-Calculation'!$D$17="Type 4 c",H227,IF('Pre-Calculation'!$D$17="Type 4 d",SA+H227,IF('Pre-Calculation'!$D$17="Type 4 e",MAX(SA,H227),IF('Pre-Calculation'!$D$17="Type 4 f",SA,IF('Pre-Calculation'!$D$17="Type 4 g",1000+H227,IF('Pre-Calculation'!$D$17="Type 4 h",SA+X227,IF('Pre-Calculation'!$D$17="Type 4 i",MAX(H227,Q227),IF('Pre-Calculation'!$D$17="Type 4 k",MAX(H227,1.01*Q227),IF('Pre-Calculation'!$D$17="Type 4 m",MAX(105%*Q227,SA+H227),IF('Pre-Calculation'!$D$17="Type 4 o",MAX(SA,105%*Q227)+X227+Z227,IF('Pre-Calculation'!$D$17="Type 5",0))))))))))))</f>
        <v>1680000</v>
      </c>
      <c r="L227" s="175">
        <f>H227-I227*(1+Tax)</f>
        <v>1229562.645</v>
      </c>
      <c r="M227" s="175">
        <f>L227*(1+GROWTH_RATE_L)*(1-FMC*(1+Tax))</f>
        <v>1231951.216</v>
      </c>
      <c r="N227" s="175">
        <f>M227+IF(MOD(A227,B227)=0,VLOOKUP(B227,'Pre-Calculation'!$H$1:$L$31,5,FALSE),0)*IF('Pre-Calculation'!$D$16="% OF FV",M227,IF(OR('Pre-Calculation'!$D$16="% OF AFV(24M)",'Pre-Calculation'!$D$16="% OF AFV(8Q)"),AVERAGE( $M204:$M227),IF('Pre-Calculation'!$D$16="% OF AFV(12M)",AVERAGE($M216:M227),IF('Pre-Calculation'!$D$16="% OF AFV(36M)",AVERAGE($M192:M227)))))</f>
        <v>1231951.216</v>
      </c>
      <c r="O227" s="175">
        <f t="shared" si="4"/>
        <v>1231951.216</v>
      </c>
      <c r="P227" s="175">
        <f>IF('Pre-Calculation'!$D$17="Type 4 a",MAX(SA,N227,1.05*Q227),IF('Pre-Calculation'!$D$17="Type 4 c",N227,IF('Pre-Calculation'!$D$17="Type 4 d",SA+N227,IF('Pre-Calculation'!$D$17="Type 4 e",MAX(SA,N227),IF('Pre-Calculation'!$D$17="Type 4 f",SA,IF('Pre-Calculation'!$D$17="Type 4 g",1000+N227,IF('Pre-Calculation'!$D$17="Type 4 h",SA+X227,IF('Pre-Calculation'!$D$17="Type 4 i",MAX(N227,Q227),IF('Pre-Calculation'!$D$17="Type 4 k",MAX(N227,1.01*Q227),IF('Pre-Calculation'!$D$17="Type 4 m",MAX(105%*Q227,SA+N227),IF('Pre-Calculation'!$D$17="Type 4 o",MAX(SA,105%*Q227)+X227+Z227,IF('Pre-Calculation'!$D$17="Type 5",0))))))))))))</f>
        <v>1680000</v>
      </c>
      <c r="Q227" s="175">
        <f t="shared" si="5"/>
        <v>1600000</v>
      </c>
      <c r="R227" s="119">
        <f>L227*(1+GROWTH_RATE)*FMC</f>
        <v>1391.400821</v>
      </c>
      <c r="S227" s="178">
        <f>S226*(1+'Pre-Calculation'!$E$27)</f>
        <v>1224798.931</v>
      </c>
      <c r="T227" s="175">
        <f>-E227+IF(A226=INPUT!$C$11*12,N227,0)</f>
        <v>0</v>
      </c>
      <c r="U227" s="175">
        <f t="shared" si="6"/>
        <v>1306565.991</v>
      </c>
      <c r="V227" s="175">
        <f>U227*(1+GROWTH_RATE_L)*(1-'Pre-Calculation'!$E$31)</f>
        <v>1308660.369</v>
      </c>
      <c r="W227" s="175">
        <f>-E227+IF(A226=INPUT!$C$11*12,V227,0)</f>
        <v>0</v>
      </c>
      <c r="X227" s="179">
        <f t="array" ref="X227">NPV('Pre-Calculation'!$E$20,$E228:E$246)</f>
        <v>0</v>
      </c>
      <c r="Y227" s="171">
        <f>10%*SA</f>
        <v>100000</v>
      </c>
      <c r="Z227" s="179">
        <f t="array" ref="Z227">NPV('Pre-Calculation'!$E$20,Y228:Y237)</f>
        <v>969592.8037</v>
      </c>
    </row>
    <row r="228" ht="15.75" customHeight="1">
      <c r="A228" s="171">
        <f t="shared" si="1"/>
        <v>222</v>
      </c>
      <c r="B228" s="171">
        <f t="shared" si="2"/>
        <v>19</v>
      </c>
      <c r="C228" s="176">
        <f>EDATE(RCD,A227)</f>
        <v>49278</v>
      </c>
      <c r="D228" s="171">
        <f>Age_At_Entry+'Cashflows_4% from Start'!B228-1</f>
        <v>53</v>
      </c>
      <c r="E228" s="175">
        <f>IF(AND(C228&lt;=Last_Prem,MOD(A227,Mode)=0),Mod_Prem,0)</f>
        <v>0</v>
      </c>
      <c r="F228" s="177">
        <f>IF(B228&lt;PT+1,E228*VLOOKUP(B228,'Pre-Calculation'!$H$1:$I$31,2,FALSE),0)</f>
        <v>0</v>
      </c>
      <c r="G228" s="177">
        <f>IF(B228&lt;PT+1,VLOOKUP(B228,'Pre-Calculation'!$H$1:$L$32,3,FALSE)+VLOOKUP(B228,'Pre-Calculation'!$H$1:$L$32,4,FALSE)*'Pre-Calculation'!$D$7,0)</f>
        <v>0</v>
      </c>
      <c r="H228" s="175">
        <f>(E228-(F228+G228)*(1+Tax)+N227)</f>
        <v>1231951.216</v>
      </c>
      <c r="I228" s="175">
        <f>IF(B228&lt;PT+1,VLOOKUP(D228,'Pre-Calculation'!$N$3:$P$79,IF(INPUT!$C$4="M",2,3),FALSE)*(J228/1000)*(1/12),0)</f>
        <v>0</v>
      </c>
      <c r="J228" s="175">
        <f t="shared" si="3"/>
        <v>448048.784</v>
      </c>
      <c r="K228" s="175">
        <f>IF('Pre-Calculation'!$D$17="Type 4 a",MAX(SA,H228,1.05*Q228),IF('Pre-Calculation'!$D$17="Type 4 c",H228,IF('Pre-Calculation'!$D$17="Type 4 d",SA+H228,IF('Pre-Calculation'!$D$17="Type 4 e",MAX(SA,H228),IF('Pre-Calculation'!$D$17="Type 4 f",SA,IF('Pre-Calculation'!$D$17="Type 4 g",1000+H228,IF('Pre-Calculation'!$D$17="Type 4 h",SA+X228,IF('Pre-Calculation'!$D$17="Type 4 i",MAX(H228,Q228),IF('Pre-Calculation'!$D$17="Type 4 k",MAX(H228,1.01*Q228),IF('Pre-Calculation'!$D$17="Type 4 m",MAX(105%*Q228,SA+H228),IF('Pre-Calculation'!$D$17="Type 4 o",MAX(SA,105%*Q228)+X228+Z228,IF('Pre-Calculation'!$D$17="Type 5",0))))))))))))</f>
        <v>1680000</v>
      </c>
      <c r="L228" s="175">
        <f>H228-I228*(1+Tax)</f>
        <v>1231951.216</v>
      </c>
      <c r="M228" s="175">
        <f>L228*(1+GROWTH_RATE_L)*(1-FMC*(1+Tax))</f>
        <v>1234344.427</v>
      </c>
      <c r="N228" s="175">
        <f>M228+IF(MOD(A228,B228)=0,VLOOKUP(B228,'Pre-Calculation'!$H$1:$L$31,5,FALSE),0)*IF('Pre-Calculation'!$D$16="% OF FV",M228,IF(OR('Pre-Calculation'!$D$16="% OF AFV(24M)",'Pre-Calculation'!$D$16="% OF AFV(8Q)"),AVERAGE( $M205:$M228),IF('Pre-Calculation'!$D$16="% OF AFV(12M)",AVERAGE($M217:M228),IF('Pre-Calculation'!$D$16="% OF AFV(36M)",AVERAGE($M193:M228)))))</f>
        <v>1234344.427</v>
      </c>
      <c r="O228" s="175">
        <f t="shared" si="4"/>
        <v>1234344.427</v>
      </c>
      <c r="P228" s="175">
        <f>IF('Pre-Calculation'!$D$17="Type 4 a",MAX(SA,N228,1.05*Q228),IF('Pre-Calculation'!$D$17="Type 4 c",N228,IF('Pre-Calculation'!$D$17="Type 4 d",SA+N228,IF('Pre-Calculation'!$D$17="Type 4 e",MAX(SA,N228),IF('Pre-Calculation'!$D$17="Type 4 f",SA,IF('Pre-Calculation'!$D$17="Type 4 g",1000+N228,IF('Pre-Calculation'!$D$17="Type 4 h",SA+X228,IF('Pre-Calculation'!$D$17="Type 4 i",MAX(N228,Q228),IF('Pre-Calculation'!$D$17="Type 4 k",MAX(N228,1.01*Q228),IF('Pre-Calculation'!$D$17="Type 4 m",MAX(105%*Q228,SA+N228),IF('Pre-Calculation'!$D$17="Type 4 o",MAX(SA,105%*Q228)+X228+Z228,IF('Pre-Calculation'!$D$17="Type 5",0))))))))))))</f>
        <v>1680000</v>
      </c>
      <c r="Q228" s="175">
        <f t="shared" si="5"/>
        <v>1600000</v>
      </c>
      <c r="R228" s="119">
        <f>L228*(1+GROWTH_RATE)*FMC</f>
        <v>1394.103782</v>
      </c>
      <c r="S228" s="178">
        <f>S227*(1+'Pre-Calculation'!$E$27)</f>
        <v>1228315.205</v>
      </c>
      <c r="T228" s="175">
        <f>-E228+IF(A227=INPUT!$C$11*12,N228,0)</f>
        <v>0</v>
      </c>
      <c r="U228" s="175">
        <f t="shared" si="6"/>
        <v>1308660.369</v>
      </c>
      <c r="V228" s="175">
        <f>U228*(1+GROWTH_RATE_L)*(1-'Pre-Calculation'!$E$31)</f>
        <v>1310758.104</v>
      </c>
      <c r="W228" s="175">
        <f>-E228+IF(A227=INPUT!$C$11*12,V228,0)</f>
        <v>0</v>
      </c>
      <c r="X228" s="179">
        <f t="array" ref="X228">NPV('Pre-Calculation'!$E$20,$E229:E$246)</f>
        <v>0</v>
      </c>
      <c r="Y228" s="171">
        <f>10%*SA</f>
        <v>100000</v>
      </c>
      <c r="Z228" s="179">
        <f t="array" ref="Z228">NPV('Pre-Calculation'!$E$20,Y229:Y238)</f>
        <v>969592.8037</v>
      </c>
    </row>
    <row r="229" ht="15.75" customHeight="1">
      <c r="A229" s="171">
        <f t="shared" si="1"/>
        <v>223</v>
      </c>
      <c r="B229" s="171">
        <f t="shared" si="2"/>
        <v>19</v>
      </c>
      <c r="C229" s="176">
        <f>EDATE(RCD,A228)</f>
        <v>49308</v>
      </c>
      <c r="D229" s="171">
        <f>Age_At_Entry+'Cashflows_4% from Start'!B229-1</f>
        <v>53</v>
      </c>
      <c r="E229" s="175">
        <f>IF(AND(C229&lt;=Last_Prem,MOD(A228,Mode)=0),Mod_Prem,0)</f>
        <v>0</v>
      </c>
      <c r="F229" s="177">
        <f>IF(B229&lt;PT+1,E229*VLOOKUP(B229,'Pre-Calculation'!$H$1:$I$31,2,FALSE),0)</f>
        <v>0</v>
      </c>
      <c r="G229" s="177">
        <f>IF(B229&lt;PT+1,VLOOKUP(B229,'Pre-Calculation'!$H$1:$L$32,3,FALSE)+VLOOKUP(B229,'Pre-Calculation'!$H$1:$L$32,4,FALSE)*'Pre-Calculation'!$D$7,0)</f>
        <v>0</v>
      </c>
      <c r="H229" s="175">
        <f>(E229-(F229+G229)*(1+Tax)+N228)</f>
        <v>1234344.427</v>
      </c>
      <c r="I229" s="175">
        <f>IF(B229&lt;PT+1,VLOOKUP(D229,'Pre-Calculation'!$N$3:$P$79,IF(INPUT!$C$4="M",2,3),FALSE)*(J229/1000)*(1/12),0)</f>
        <v>0</v>
      </c>
      <c r="J229" s="175">
        <f t="shared" si="3"/>
        <v>445655.5732</v>
      </c>
      <c r="K229" s="175">
        <f>IF('Pre-Calculation'!$D$17="Type 4 a",MAX(SA,H229,1.05*Q229),IF('Pre-Calculation'!$D$17="Type 4 c",H229,IF('Pre-Calculation'!$D$17="Type 4 d",SA+H229,IF('Pre-Calculation'!$D$17="Type 4 e",MAX(SA,H229),IF('Pre-Calculation'!$D$17="Type 4 f",SA,IF('Pre-Calculation'!$D$17="Type 4 g",1000+H229,IF('Pre-Calculation'!$D$17="Type 4 h",SA+X229,IF('Pre-Calculation'!$D$17="Type 4 i",MAX(H229,Q229),IF('Pre-Calculation'!$D$17="Type 4 k",MAX(H229,1.01*Q229),IF('Pre-Calculation'!$D$17="Type 4 m",MAX(105%*Q229,SA+H229),IF('Pre-Calculation'!$D$17="Type 4 o",MAX(SA,105%*Q229)+X229+Z229,IF('Pre-Calculation'!$D$17="Type 5",0))))))))))))</f>
        <v>1680000</v>
      </c>
      <c r="L229" s="175">
        <f>H229-I229*(1+Tax)</f>
        <v>1234344.427</v>
      </c>
      <c r="M229" s="175">
        <f>L229*(1+GROWTH_RATE_L)*(1-FMC*(1+Tax))</f>
        <v>1236742.287</v>
      </c>
      <c r="N229" s="175">
        <f>M229+IF(MOD(A229,B229)=0,VLOOKUP(B229,'Pre-Calculation'!$H$1:$L$31,5,FALSE),0)*IF('Pre-Calculation'!$D$16="% OF FV",M229,IF(OR('Pre-Calculation'!$D$16="% OF AFV(24M)",'Pre-Calculation'!$D$16="% OF AFV(8Q)"),AVERAGE( $M206:$M229),IF('Pre-Calculation'!$D$16="% OF AFV(12M)",AVERAGE($M218:M229),IF('Pre-Calculation'!$D$16="% OF AFV(36M)",AVERAGE($M194:M229)))))</f>
        <v>1236742.287</v>
      </c>
      <c r="O229" s="175">
        <f t="shared" si="4"/>
        <v>1236742.287</v>
      </c>
      <c r="P229" s="175">
        <f>IF('Pre-Calculation'!$D$17="Type 4 a",MAX(SA,N229,1.05*Q229),IF('Pre-Calculation'!$D$17="Type 4 c",N229,IF('Pre-Calculation'!$D$17="Type 4 d",SA+N229,IF('Pre-Calculation'!$D$17="Type 4 e",MAX(SA,N229),IF('Pre-Calculation'!$D$17="Type 4 f",SA,IF('Pre-Calculation'!$D$17="Type 4 g",1000+N229,IF('Pre-Calculation'!$D$17="Type 4 h",SA+X229,IF('Pre-Calculation'!$D$17="Type 4 i",MAX(N229,Q229),IF('Pre-Calculation'!$D$17="Type 4 k",MAX(N229,1.01*Q229),IF('Pre-Calculation'!$D$17="Type 4 m",MAX(105%*Q229,SA+N229),IF('Pre-Calculation'!$D$17="Type 4 o",MAX(SA,105%*Q229)+X229+Z229,IF('Pre-Calculation'!$D$17="Type 5",0))))))))))))</f>
        <v>1680000</v>
      </c>
      <c r="Q229" s="175">
        <f t="shared" si="5"/>
        <v>1600000</v>
      </c>
      <c r="R229" s="119">
        <f>L229*(1+GROWTH_RATE)*FMC</f>
        <v>1396.811993</v>
      </c>
      <c r="S229" s="178">
        <f>S228*(1+'Pre-Calculation'!$E$27)</f>
        <v>1231841.573</v>
      </c>
      <c r="T229" s="175">
        <f>-E229+IF(A228=INPUT!$C$11*12,N229,0)</f>
        <v>0</v>
      </c>
      <c r="U229" s="175">
        <f t="shared" si="6"/>
        <v>1310758.104</v>
      </c>
      <c r="V229" s="175">
        <f>U229*(1+GROWTH_RATE_L)*(1-'Pre-Calculation'!$E$31)</f>
        <v>1312859.202</v>
      </c>
      <c r="W229" s="175">
        <f>-E229+IF(A228=INPUT!$C$11*12,V229,0)</f>
        <v>0</v>
      </c>
      <c r="X229" s="179">
        <f t="array" ref="X229">NPV('Pre-Calculation'!$E$20,$E230:E$246)</f>
        <v>0</v>
      </c>
      <c r="Y229" s="171">
        <f>10%*SA</f>
        <v>100000</v>
      </c>
      <c r="Z229" s="179">
        <f t="array" ref="Z229">NPV('Pre-Calculation'!$E$20,Y230:Y239)</f>
        <v>969592.8037</v>
      </c>
    </row>
    <row r="230" ht="15.75" customHeight="1">
      <c r="A230" s="171">
        <f t="shared" si="1"/>
        <v>224</v>
      </c>
      <c r="B230" s="171">
        <f t="shared" si="2"/>
        <v>19</v>
      </c>
      <c r="C230" s="176">
        <f>EDATE(RCD,A229)</f>
        <v>49339</v>
      </c>
      <c r="D230" s="171">
        <f>Age_At_Entry+'Cashflows_4% from Start'!B230-1</f>
        <v>53</v>
      </c>
      <c r="E230" s="175">
        <f>IF(AND(C230&lt;=Last_Prem,MOD(A229,Mode)=0),Mod_Prem,0)</f>
        <v>0</v>
      </c>
      <c r="F230" s="177">
        <f>IF(B230&lt;PT+1,E230*VLOOKUP(B230,'Pre-Calculation'!$H$1:$I$31,2,FALSE),0)</f>
        <v>0</v>
      </c>
      <c r="G230" s="177">
        <f>IF(B230&lt;PT+1,VLOOKUP(B230,'Pre-Calculation'!$H$1:$L$32,3,FALSE)+VLOOKUP(B230,'Pre-Calculation'!$H$1:$L$32,4,FALSE)*'Pre-Calculation'!$D$7,0)</f>
        <v>0</v>
      </c>
      <c r="H230" s="175">
        <f>(E230-(F230+G230)*(1+Tax)+N229)</f>
        <v>1236742.287</v>
      </c>
      <c r="I230" s="175">
        <f>IF(B230&lt;PT+1,VLOOKUP(D230,'Pre-Calculation'!$N$3:$P$79,IF(INPUT!$C$4="M",2,3),FALSE)*(J230/1000)*(1/12),0)</f>
        <v>0</v>
      </c>
      <c r="J230" s="175">
        <f t="shared" si="3"/>
        <v>443257.7133</v>
      </c>
      <c r="K230" s="175">
        <f>IF('Pre-Calculation'!$D$17="Type 4 a",MAX(SA,H230,1.05*Q230),IF('Pre-Calculation'!$D$17="Type 4 c",H230,IF('Pre-Calculation'!$D$17="Type 4 d",SA+H230,IF('Pre-Calculation'!$D$17="Type 4 e",MAX(SA,H230),IF('Pre-Calculation'!$D$17="Type 4 f",SA,IF('Pre-Calculation'!$D$17="Type 4 g",1000+H230,IF('Pre-Calculation'!$D$17="Type 4 h",SA+X230,IF('Pre-Calculation'!$D$17="Type 4 i",MAX(H230,Q230),IF('Pre-Calculation'!$D$17="Type 4 k",MAX(H230,1.01*Q230),IF('Pre-Calculation'!$D$17="Type 4 m",MAX(105%*Q230,SA+H230),IF('Pre-Calculation'!$D$17="Type 4 o",MAX(SA,105%*Q230)+X230+Z230,IF('Pre-Calculation'!$D$17="Type 5",0))))))))))))</f>
        <v>1680000</v>
      </c>
      <c r="L230" s="175">
        <f>H230-I230*(1+Tax)</f>
        <v>1236742.287</v>
      </c>
      <c r="M230" s="175">
        <f>L230*(1+GROWTH_RATE_L)*(1-FMC*(1+Tax))</f>
        <v>1239144.805</v>
      </c>
      <c r="N230" s="175">
        <f>M230+IF(MOD(A230,B230)=0,VLOOKUP(B230,'Pre-Calculation'!$H$1:$L$31,5,FALSE),0)*IF('Pre-Calculation'!$D$16="% OF FV",M230,IF(OR('Pre-Calculation'!$D$16="% OF AFV(24M)",'Pre-Calculation'!$D$16="% OF AFV(8Q)"),AVERAGE( $M207:$M230),IF('Pre-Calculation'!$D$16="% OF AFV(12M)",AVERAGE($M219:M230),IF('Pre-Calculation'!$D$16="% OF AFV(36M)",AVERAGE($M195:M230)))))</f>
        <v>1239144.805</v>
      </c>
      <c r="O230" s="175">
        <f t="shared" si="4"/>
        <v>1239144.805</v>
      </c>
      <c r="P230" s="175">
        <f>IF('Pre-Calculation'!$D$17="Type 4 a",MAX(SA,N230,1.05*Q230),IF('Pre-Calculation'!$D$17="Type 4 c",N230,IF('Pre-Calculation'!$D$17="Type 4 d",SA+N230,IF('Pre-Calculation'!$D$17="Type 4 e",MAX(SA,N230),IF('Pre-Calculation'!$D$17="Type 4 f",SA,IF('Pre-Calculation'!$D$17="Type 4 g",1000+N230,IF('Pre-Calculation'!$D$17="Type 4 h",SA+X230,IF('Pre-Calculation'!$D$17="Type 4 i",MAX(N230,Q230),IF('Pre-Calculation'!$D$17="Type 4 k",MAX(N230,1.01*Q230),IF('Pre-Calculation'!$D$17="Type 4 m",MAX(105%*Q230,SA+N230),IF('Pre-Calculation'!$D$17="Type 4 o",MAX(SA,105%*Q230)+X230+Z230,IF('Pre-Calculation'!$D$17="Type 5",0))))))))))))</f>
        <v>1680000</v>
      </c>
      <c r="Q230" s="175">
        <f t="shared" si="5"/>
        <v>1600000</v>
      </c>
      <c r="R230" s="119">
        <f>L230*(1+GROWTH_RATE)*FMC</f>
        <v>1399.525465</v>
      </c>
      <c r="S230" s="178">
        <f>S229*(1+'Pre-Calculation'!$E$27)</f>
        <v>1235378.066</v>
      </c>
      <c r="T230" s="175">
        <f>-E230+IF(A229=INPUT!$C$11*12,N230,0)</f>
        <v>0</v>
      </c>
      <c r="U230" s="175">
        <f t="shared" si="6"/>
        <v>1312859.202</v>
      </c>
      <c r="V230" s="175">
        <f>U230*(1+GROWTH_RATE_L)*(1-'Pre-Calculation'!$E$31)</f>
        <v>1314963.667</v>
      </c>
      <c r="W230" s="175">
        <f>-E230+IF(A229=INPUT!$C$11*12,V230,0)</f>
        <v>0</v>
      </c>
      <c r="X230" s="179">
        <f t="array" ref="X230">NPV('Pre-Calculation'!$E$20,$E231:E$246)</f>
        <v>0</v>
      </c>
      <c r="Y230" s="171">
        <f>10%*SA</f>
        <v>100000</v>
      </c>
      <c r="Z230" s="179">
        <f t="array" ref="Z230">NPV('Pre-Calculation'!$E$20,Y231:Y240)</f>
        <v>969592.8037</v>
      </c>
    </row>
    <row r="231" ht="15.75" customHeight="1">
      <c r="A231" s="171">
        <f t="shared" si="1"/>
        <v>225</v>
      </c>
      <c r="B231" s="171">
        <f t="shared" si="2"/>
        <v>19</v>
      </c>
      <c r="C231" s="176">
        <f>EDATE(RCD,A230)</f>
        <v>49368</v>
      </c>
      <c r="D231" s="171">
        <f>Age_At_Entry+'Cashflows_4% from Start'!B231-1</f>
        <v>53</v>
      </c>
      <c r="E231" s="175">
        <f>IF(AND(C231&lt;=Last_Prem,MOD(A230,Mode)=0),Mod_Prem,0)</f>
        <v>0</v>
      </c>
      <c r="F231" s="177">
        <f>IF(B231&lt;PT+1,E231*VLOOKUP(B231,'Pre-Calculation'!$H$1:$I$31,2,FALSE),0)</f>
        <v>0</v>
      </c>
      <c r="G231" s="177">
        <f>IF(B231&lt;PT+1,VLOOKUP(B231,'Pre-Calculation'!$H$1:$L$32,3,FALSE)+VLOOKUP(B231,'Pre-Calculation'!$H$1:$L$32,4,FALSE)*'Pre-Calculation'!$D$7,0)</f>
        <v>0</v>
      </c>
      <c r="H231" s="175">
        <f>(E231-(F231+G231)*(1+Tax)+N230)</f>
        <v>1239144.805</v>
      </c>
      <c r="I231" s="175">
        <f>IF(B231&lt;PT+1,VLOOKUP(D231,'Pre-Calculation'!$N$3:$P$79,IF(INPUT!$C$4="M",2,3),FALSE)*(J231/1000)*(1/12),0)</f>
        <v>0</v>
      </c>
      <c r="J231" s="175">
        <f t="shared" si="3"/>
        <v>440855.1952</v>
      </c>
      <c r="K231" s="175">
        <f>IF('Pre-Calculation'!$D$17="Type 4 a",MAX(SA,H231,1.05*Q231),IF('Pre-Calculation'!$D$17="Type 4 c",H231,IF('Pre-Calculation'!$D$17="Type 4 d",SA+H231,IF('Pre-Calculation'!$D$17="Type 4 e",MAX(SA,H231),IF('Pre-Calculation'!$D$17="Type 4 f",SA,IF('Pre-Calculation'!$D$17="Type 4 g",1000+H231,IF('Pre-Calculation'!$D$17="Type 4 h",SA+X231,IF('Pre-Calculation'!$D$17="Type 4 i",MAX(H231,Q231),IF('Pre-Calculation'!$D$17="Type 4 k",MAX(H231,1.01*Q231),IF('Pre-Calculation'!$D$17="Type 4 m",MAX(105%*Q231,SA+H231),IF('Pre-Calculation'!$D$17="Type 4 o",MAX(SA,105%*Q231)+X231+Z231,IF('Pre-Calculation'!$D$17="Type 5",0))))))))))))</f>
        <v>1680000</v>
      </c>
      <c r="L231" s="175">
        <f>H231-I231*(1+Tax)</f>
        <v>1239144.805</v>
      </c>
      <c r="M231" s="175">
        <f>L231*(1+GROWTH_RATE_L)*(1-FMC*(1+Tax))</f>
        <v>1241551.99</v>
      </c>
      <c r="N231" s="175">
        <f>M231+IF(MOD(A231,B231)=0,VLOOKUP(B231,'Pre-Calculation'!$H$1:$L$31,5,FALSE),0)*IF('Pre-Calculation'!$D$16="% OF FV",M231,IF(OR('Pre-Calculation'!$D$16="% OF AFV(24M)",'Pre-Calculation'!$D$16="% OF AFV(8Q)"),AVERAGE( $M208:$M231),IF('Pre-Calculation'!$D$16="% OF AFV(12M)",AVERAGE($M220:M231),IF('Pre-Calculation'!$D$16="% OF AFV(36M)",AVERAGE($M196:M231)))))</f>
        <v>1241551.99</v>
      </c>
      <c r="O231" s="175">
        <f t="shared" si="4"/>
        <v>1241551.99</v>
      </c>
      <c r="P231" s="175">
        <f>IF('Pre-Calculation'!$D$17="Type 4 a",MAX(SA,N231,1.05*Q231),IF('Pre-Calculation'!$D$17="Type 4 c",N231,IF('Pre-Calculation'!$D$17="Type 4 d",SA+N231,IF('Pre-Calculation'!$D$17="Type 4 e",MAX(SA,N231),IF('Pre-Calculation'!$D$17="Type 4 f",SA,IF('Pre-Calculation'!$D$17="Type 4 g",1000+N231,IF('Pre-Calculation'!$D$17="Type 4 h",SA+X231,IF('Pre-Calculation'!$D$17="Type 4 i",MAX(N231,Q231),IF('Pre-Calculation'!$D$17="Type 4 k",MAX(N231,1.01*Q231),IF('Pre-Calculation'!$D$17="Type 4 m",MAX(105%*Q231,SA+N231),IF('Pre-Calculation'!$D$17="Type 4 o",MAX(SA,105%*Q231)+X231+Z231,IF('Pre-Calculation'!$D$17="Type 5",0))))))))))))</f>
        <v>1680000</v>
      </c>
      <c r="Q231" s="175">
        <f t="shared" si="5"/>
        <v>1600000</v>
      </c>
      <c r="R231" s="119">
        <f>L231*(1+GROWTH_RATE)*FMC</f>
        <v>1402.244209</v>
      </c>
      <c r="S231" s="178">
        <f>S230*(1+'Pre-Calculation'!$E$27)</f>
        <v>1238924.711</v>
      </c>
      <c r="T231" s="175">
        <f>-E231+IF(A230=INPUT!$C$11*12,N231,0)</f>
        <v>0</v>
      </c>
      <c r="U231" s="175">
        <f t="shared" si="6"/>
        <v>1314963.667</v>
      </c>
      <c r="V231" s="175">
        <f>U231*(1+GROWTH_RATE_L)*(1-'Pre-Calculation'!$E$31)</f>
        <v>1317071.506</v>
      </c>
      <c r="W231" s="175">
        <f>-E231+IF(A230=INPUT!$C$11*12,V231,0)</f>
        <v>0</v>
      </c>
      <c r="X231" s="179">
        <f t="array" ref="X231">NPV('Pre-Calculation'!$E$20,$E232:E$246)</f>
        <v>0</v>
      </c>
      <c r="Y231" s="171">
        <f>10%*SA</f>
        <v>100000</v>
      </c>
      <c r="Z231" s="179">
        <f t="array" ref="Z231">NPV('Pre-Calculation'!$E$20,Y232:Y241)</f>
        <v>969592.8037</v>
      </c>
    </row>
    <row r="232" ht="15.75" customHeight="1">
      <c r="A232" s="171">
        <f t="shared" si="1"/>
        <v>226</v>
      </c>
      <c r="B232" s="171">
        <f t="shared" si="2"/>
        <v>19</v>
      </c>
      <c r="C232" s="176">
        <f>EDATE(RCD,A231)</f>
        <v>49398</v>
      </c>
      <c r="D232" s="171">
        <f>Age_At_Entry+'Cashflows_4% from Start'!B232-1</f>
        <v>53</v>
      </c>
      <c r="E232" s="175">
        <f>IF(AND(C232&lt;=Last_Prem,MOD(A231,Mode)=0),Mod_Prem,0)</f>
        <v>0</v>
      </c>
      <c r="F232" s="177">
        <f>IF(B232&lt;PT+1,E232*VLOOKUP(B232,'Pre-Calculation'!$H$1:$I$31,2,FALSE),0)</f>
        <v>0</v>
      </c>
      <c r="G232" s="177">
        <f>IF(B232&lt;PT+1,VLOOKUP(B232,'Pre-Calculation'!$H$1:$L$32,3,FALSE)+VLOOKUP(B232,'Pre-Calculation'!$H$1:$L$32,4,FALSE)*'Pre-Calculation'!$D$7,0)</f>
        <v>0</v>
      </c>
      <c r="H232" s="175">
        <f>(E232-(F232+G232)*(1+Tax)+N231)</f>
        <v>1241551.99</v>
      </c>
      <c r="I232" s="175">
        <f>IF(B232&lt;PT+1,VLOOKUP(D232,'Pre-Calculation'!$N$3:$P$79,IF(INPUT!$C$4="M",2,3),FALSE)*(J232/1000)*(1/12),0)</f>
        <v>0</v>
      </c>
      <c r="J232" s="175">
        <f t="shared" si="3"/>
        <v>438448.01</v>
      </c>
      <c r="K232" s="175">
        <f>IF('Pre-Calculation'!$D$17="Type 4 a",MAX(SA,H232,1.05*Q232),IF('Pre-Calculation'!$D$17="Type 4 c",H232,IF('Pre-Calculation'!$D$17="Type 4 d",SA+H232,IF('Pre-Calculation'!$D$17="Type 4 e",MAX(SA,H232),IF('Pre-Calculation'!$D$17="Type 4 f",SA,IF('Pre-Calculation'!$D$17="Type 4 g",1000+H232,IF('Pre-Calculation'!$D$17="Type 4 h",SA+X232,IF('Pre-Calculation'!$D$17="Type 4 i",MAX(H232,Q232),IF('Pre-Calculation'!$D$17="Type 4 k",MAX(H232,1.01*Q232),IF('Pre-Calculation'!$D$17="Type 4 m",MAX(105%*Q232,SA+H232),IF('Pre-Calculation'!$D$17="Type 4 o",MAX(SA,105%*Q232)+X232+Z232,IF('Pre-Calculation'!$D$17="Type 5",0))))))))))))</f>
        <v>1680000</v>
      </c>
      <c r="L232" s="175">
        <f>H232-I232*(1+Tax)</f>
        <v>1241551.99</v>
      </c>
      <c r="M232" s="175">
        <f>L232*(1+GROWTH_RATE_L)*(1-FMC*(1+Tax))</f>
        <v>1243963.851</v>
      </c>
      <c r="N232" s="175">
        <f>M232+IF(MOD(A232,B232)=0,VLOOKUP(B232,'Pre-Calculation'!$H$1:$L$31,5,FALSE),0)*IF('Pre-Calculation'!$D$16="% OF FV",M232,IF(OR('Pre-Calculation'!$D$16="% OF AFV(24M)",'Pre-Calculation'!$D$16="% OF AFV(8Q)"),AVERAGE( $M209:$M232),IF('Pre-Calculation'!$D$16="% OF AFV(12M)",AVERAGE($M221:M232),IF('Pre-Calculation'!$D$16="% OF AFV(36M)",AVERAGE($M197:M232)))))</f>
        <v>1243963.851</v>
      </c>
      <c r="O232" s="175">
        <f t="shared" si="4"/>
        <v>1243963.851</v>
      </c>
      <c r="P232" s="175">
        <f>IF('Pre-Calculation'!$D$17="Type 4 a",MAX(SA,N232,1.05*Q232),IF('Pre-Calculation'!$D$17="Type 4 c",N232,IF('Pre-Calculation'!$D$17="Type 4 d",SA+N232,IF('Pre-Calculation'!$D$17="Type 4 e",MAX(SA,N232),IF('Pre-Calculation'!$D$17="Type 4 f",SA,IF('Pre-Calculation'!$D$17="Type 4 g",1000+N232,IF('Pre-Calculation'!$D$17="Type 4 h",SA+X232,IF('Pre-Calculation'!$D$17="Type 4 i",MAX(N232,Q232),IF('Pre-Calculation'!$D$17="Type 4 k",MAX(N232,1.01*Q232),IF('Pre-Calculation'!$D$17="Type 4 m",MAX(105%*Q232,SA+N232),IF('Pre-Calculation'!$D$17="Type 4 o",MAX(SA,105%*Q232)+X232+Z232,IF('Pre-Calculation'!$D$17="Type 5",0))))))))))))</f>
        <v>1680000</v>
      </c>
      <c r="Q232" s="175">
        <f t="shared" si="5"/>
        <v>1600000</v>
      </c>
      <c r="R232" s="119">
        <f>L232*(1+GROWTH_RATE)*FMC</f>
        <v>1404.968234</v>
      </c>
      <c r="S232" s="178">
        <f>S231*(1+'Pre-Calculation'!$E$27)</f>
        <v>1242481.538</v>
      </c>
      <c r="T232" s="175">
        <f>-E232+IF(A231=INPUT!$C$11*12,N232,0)</f>
        <v>0</v>
      </c>
      <c r="U232" s="175">
        <f t="shared" si="6"/>
        <v>1317071.506</v>
      </c>
      <c r="V232" s="175">
        <f>U232*(1+GROWTH_RATE_L)*(1-'Pre-Calculation'!$E$31)</f>
        <v>1319182.724</v>
      </c>
      <c r="W232" s="175">
        <f>-E232+IF(A231=INPUT!$C$11*12,V232,0)</f>
        <v>0</v>
      </c>
      <c r="X232" s="179">
        <f t="array" ref="X232">NPV('Pre-Calculation'!$E$20,$E233:E$246)</f>
        <v>0</v>
      </c>
      <c r="Y232" s="171">
        <f>10%*SA</f>
        <v>100000</v>
      </c>
      <c r="Z232" s="179">
        <f t="array" ref="Z232">NPV('Pre-Calculation'!$E$20,Y233:Y242)</f>
        <v>969592.8037</v>
      </c>
    </row>
    <row r="233" ht="15.75" customHeight="1">
      <c r="A233" s="171">
        <f t="shared" si="1"/>
        <v>227</v>
      </c>
      <c r="B233" s="171">
        <f t="shared" si="2"/>
        <v>19</v>
      </c>
      <c r="C233" s="176">
        <f>EDATE(RCD,A232)</f>
        <v>49429</v>
      </c>
      <c r="D233" s="171">
        <f>Age_At_Entry+'Cashflows_4% from Start'!B233-1</f>
        <v>53</v>
      </c>
      <c r="E233" s="175">
        <f>IF(AND(C233&lt;=Last_Prem,MOD(A232,Mode)=0),Mod_Prem,0)</f>
        <v>0</v>
      </c>
      <c r="F233" s="177">
        <f>IF(B233&lt;PT+1,E233*VLOOKUP(B233,'Pre-Calculation'!$H$1:$I$31,2,FALSE),0)</f>
        <v>0</v>
      </c>
      <c r="G233" s="177">
        <f>IF(B233&lt;PT+1,VLOOKUP(B233,'Pre-Calculation'!$H$1:$L$32,3,FALSE)+VLOOKUP(B233,'Pre-Calculation'!$H$1:$L$32,4,FALSE)*'Pre-Calculation'!$D$7,0)</f>
        <v>0</v>
      </c>
      <c r="H233" s="175">
        <f>(E233-(F233+G233)*(1+Tax)+N232)</f>
        <v>1243963.851</v>
      </c>
      <c r="I233" s="175">
        <f>IF(B233&lt;PT+1,VLOOKUP(D233,'Pre-Calculation'!$N$3:$P$79,IF(INPUT!$C$4="M",2,3),FALSE)*(J233/1000)*(1/12),0)</f>
        <v>0</v>
      </c>
      <c r="J233" s="175">
        <f t="shared" si="3"/>
        <v>436036.1486</v>
      </c>
      <c r="K233" s="175">
        <f>IF('Pre-Calculation'!$D$17="Type 4 a",MAX(SA,H233,1.05*Q233),IF('Pre-Calculation'!$D$17="Type 4 c",H233,IF('Pre-Calculation'!$D$17="Type 4 d",SA+H233,IF('Pre-Calculation'!$D$17="Type 4 e",MAX(SA,H233),IF('Pre-Calculation'!$D$17="Type 4 f",SA,IF('Pre-Calculation'!$D$17="Type 4 g",1000+H233,IF('Pre-Calculation'!$D$17="Type 4 h",SA+X233,IF('Pre-Calculation'!$D$17="Type 4 i",MAX(H233,Q233),IF('Pre-Calculation'!$D$17="Type 4 k",MAX(H233,1.01*Q233),IF('Pre-Calculation'!$D$17="Type 4 m",MAX(105%*Q233,SA+H233),IF('Pre-Calculation'!$D$17="Type 4 o",MAX(SA,105%*Q233)+X233+Z233,IF('Pre-Calculation'!$D$17="Type 5",0))))))))))))</f>
        <v>1680000</v>
      </c>
      <c r="L233" s="175">
        <f>H233-I233*(1+Tax)</f>
        <v>1243963.851</v>
      </c>
      <c r="M233" s="175">
        <f>L233*(1+GROWTH_RATE_L)*(1-FMC*(1+Tax))</f>
        <v>1246380.398</v>
      </c>
      <c r="N233" s="175">
        <f>M233+IF(MOD(A233,B233)=0,VLOOKUP(B233,'Pre-Calculation'!$H$1:$L$31,5,FALSE),0)*IF('Pre-Calculation'!$D$16="% OF FV",M233,IF(OR('Pre-Calculation'!$D$16="% OF AFV(24M)",'Pre-Calculation'!$D$16="% OF AFV(8Q)"),AVERAGE( $M210:$M233),IF('Pre-Calculation'!$D$16="% OF AFV(12M)",AVERAGE($M222:M233),IF('Pre-Calculation'!$D$16="% OF AFV(36M)",AVERAGE($M198:M233)))))</f>
        <v>1246380.398</v>
      </c>
      <c r="O233" s="175">
        <f t="shared" si="4"/>
        <v>1246380.398</v>
      </c>
      <c r="P233" s="175">
        <f>IF('Pre-Calculation'!$D$17="Type 4 a",MAX(SA,N233,1.05*Q233),IF('Pre-Calculation'!$D$17="Type 4 c",N233,IF('Pre-Calculation'!$D$17="Type 4 d",SA+N233,IF('Pre-Calculation'!$D$17="Type 4 e",MAX(SA,N233),IF('Pre-Calculation'!$D$17="Type 4 f",SA,IF('Pre-Calculation'!$D$17="Type 4 g",1000+N233,IF('Pre-Calculation'!$D$17="Type 4 h",SA+X233,IF('Pre-Calculation'!$D$17="Type 4 i",MAX(N233,Q233),IF('Pre-Calculation'!$D$17="Type 4 k",MAX(N233,1.01*Q233),IF('Pre-Calculation'!$D$17="Type 4 m",MAX(105%*Q233,SA+N233),IF('Pre-Calculation'!$D$17="Type 4 o",MAX(SA,105%*Q233)+X233+Z233,IF('Pre-Calculation'!$D$17="Type 5",0))))))))))))</f>
        <v>1680000</v>
      </c>
      <c r="Q233" s="175">
        <f t="shared" si="5"/>
        <v>1600000</v>
      </c>
      <c r="R233" s="119">
        <f>L233*(1+GROWTH_RATE)*FMC</f>
        <v>1407.697551</v>
      </c>
      <c r="S233" s="178">
        <f>S232*(1+'Pre-Calculation'!$E$27)</f>
        <v>1246048.577</v>
      </c>
      <c r="T233" s="175">
        <f>-E233+IF(A232=INPUT!$C$11*12,N233,0)</f>
        <v>0</v>
      </c>
      <c r="U233" s="175">
        <f t="shared" si="6"/>
        <v>1319182.724</v>
      </c>
      <c r="V233" s="175">
        <f>U233*(1+GROWTH_RATE_L)*(1-'Pre-Calculation'!$E$31)</f>
        <v>1321297.327</v>
      </c>
      <c r="W233" s="175">
        <f>-E233+IF(A232=INPUT!$C$11*12,V233,0)</f>
        <v>0</v>
      </c>
      <c r="X233" s="179">
        <f t="array" ref="X233">NPV('Pre-Calculation'!$E$20,$E234:E$246)</f>
        <v>0</v>
      </c>
      <c r="Y233" s="171">
        <f>10%*SA</f>
        <v>100000</v>
      </c>
      <c r="Z233" s="179">
        <f t="array" ref="Z233">NPV('Pre-Calculation'!$E$20,Y234:Y243)</f>
        <v>969592.8037</v>
      </c>
    </row>
    <row r="234" ht="15.75" customHeight="1">
      <c r="A234" s="171">
        <f t="shared" si="1"/>
        <v>228</v>
      </c>
      <c r="B234" s="171">
        <f t="shared" si="2"/>
        <v>19</v>
      </c>
      <c r="C234" s="176">
        <f>EDATE(RCD,A233)</f>
        <v>49459</v>
      </c>
      <c r="D234" s="171">
        <f>Age_At_Entry+'Cashflows_4% from Start'!B234-1</f>
        <v>53</v>
      </c>
      <c r="E234" s="175">
        <f>IF(AND(C234&lt;=Last_Prem,MOD(A233,Mode)=0),Mod_Prem,0)</f>
        <v>0</v>
      </c>
      <c r="F234" s="177">
        <f>IF(B234&lt;PT+1,E234*VLOOKUP(B234,'Pre-Calculation'!$H$1:$I$31,2,FALSE),0)</f>
        <v>0</v>
      </c>
      <c r="G234" s="177">
        <f>IF(B234&lt;PT+1,VLOOKUP(B234,'Pre-Calculation'!$H$1:$L$32,3,FALSE)+VLOOKUP(B234,'Pre-Calculation'!$H$1:$L$32,4,FALSE)*'Pre-Calculation'!$D$7,0)</f>
        <v>0</v>
      </c>
      <c r="H234" s="175">
        <f>(E234-(F234+G234)*(1+Tax)+N233)</f>
        <v>1246380.398</v>
      </c>
      <c r="I234" s="175">
        <f>IF(B234&lt;PT+1,VLOOKUP(D234,'Pre-Calculation'!$N$3:$P$79,IF(INPUT!$C$4="M",2,3),FALSE)*(J234/1000)*(1/12),0)</f>
        <v>0</v>
      </c>
      <c r="J234" s="175">
        <f t="shared" si="3"/>
        <v>433619.6018</v>
      </c>
      <c r="K234" s="175">
        <f>IF('Pre-Calculation'!$D$17="Type 4 a",MAX(SA,H234,1.05*Q234),IF('Pre-Calculation'!$D$17="Type 4 c",H234,IF('Pre-Calculation'!$D$17="Type 4 d",SA+H234,IF('Pre-Calculation'!$D$17="Type 4 e",MAX(SA,H234),IF('Pre-Calculation'!$D$17="Type 4 f",SA,IF('Pre-Calculation'!$D$17="Type 4 g",1000+H234,IF('Pre-Calculation'!$D$17="Type 4 h",SA+X234,IF('Pre-Calculation'!$D$17="Type 4 i",MAX(H234,Q234),IF('Pre-Calculation'!$D$17="Type 4 k",MAX(H234,1.01*Q234),IF('Pre-Calculation'!$D$17="Type 4 m",MAX(105%*Q234,SA+H234),IF('Pre-Calculation'!$D$17="Type 4 o",MAX(SA,105%*Q234)+X234+Z234,IF('Pre-Calculation'!$D$17="Type 5",0))))))))))))</f>
        <v>1680000</v>
      </c>
      <c r="L234" s="175">
        <f>H234-I234*(1+Tax)</f>
        <v>1246380.398</v>
      </c>
      <c r="M234" s="175">
        <f>L234*(1+GROWTH_RATE_L)*(1-FMC*(1+Tax))</f>
        <v>1248801.639</v>
      </c>
      <c r="N234" s="175">
        <f>M234+IF(MOD(A234,B234)=0,VLOOKUP(B234,'Pre-Calculation'!$H$1:$L$31,5,FALSE),0)*IF('Pre-Calculation'!$D$16="% OF FV",M234,IF(OR('Pre-Calculation'!$D$16="% OF AFV(24M)",'Pre-Calculation'!$D$16="% OF AFV(8Q)"),AVERAGE( $M211:$M234),IF('Pre-Calculation'!$D$16="% OF AFV(12M)",AVERAGE($M223:M234),IF('Pre-Calculation'!$D$16="% OF AFV(36M)",AVERAGE($M199:M234)))))</f>
        <v>1248801.639</v>
      </c>
      <c r="O234" s="175">
        <f t="shared" si="4"/>
        <v>1248801.639</v>
      </c>
      <c r="P234" s="175">
        <f>IF('Pre-Calculation'!$D$17="Type 4 a",MAX(SA,N234,1.05*Q234),IF('Pre-Calculation'!$D$17="Type 4 c",N234,IF('Pre-Calculation'!$D$17="Type 4 d",SA+N234,IF('Pre-Calculation'!$D$17="Type 4 e",MAX(SA,N234),IF('Pre-Calculation'!$D$17="Type 4 f",SA,IF('Pre-Calculation'!$D$17="Type 4 g",1000+N234,IF('Pre-Calculation'!$D$17="Type 4 h",SA+X234,IF('Pre-Calculation'!$D$17="Type 4 i",MAX(N234,Q234),IF('Pre-Calculation'!$D$17="Type 4 k",MAX(N234,1.01*Q234),IF('Pre-Calculation'!$D$17="Type 4 m",MAX(105%*Q234,SA+N234),IF('Pre-Calculation'!$D$17="Type 4 o",MAX(SA,105%*Q234)+X234+Z234,IF('Pre-Calculation'!$D$17="Type 5",0))))))))))))</f>
        <v>1680000</v>
      </c>
      <c r="Q234" s="175">
        <f t="shared" si="5"/>
        <v>1600000</v>
      </c>
      <c r="R234" s="119">
        <f>L234*(1+GROWTH_RATE)*FMC</f>
        <v>1410.43217</v>
      </c>
      <c r="S234" s="178">
        <f>S233*(1+'Pre-Calculation'!$E$27)</f>
        <v>1249625.856</v>
      </c>
      <c r="T234" s="175">
        <f>-E234+IF(A233=INPUT!$C$11*12,N234,0)</f>
        <v>0</v>
      </c>
      <c r="U234" s="175">
        <f t="shared" si="6"/>
        <v>1321297.327</v>
      </c>
      <c r="V234" s="175">
        <f>U234*(1+GROWTH_RATE_L)*(1-'Pre-Calculation'!$E$31)</f>
        <v>1323415.318</v>
      </c>
      <c r="W234" s="175">
        <f>-E234+IF(A233=INPUT!$C$11*12,V234,0)</f>
        <v>0</v>
      </c>
      <c r="X234" s="179">
        <f t="array" ref="X234">NPV('Pre-Calculation'!$E$20,$E235:E$246)</f>
        <v>0</v>
      </c>
      <c r="Y234" s="171">
        <f>10%*SA</f>
        <v>100000</v>
      </c>
      <c r="Z234" s="179">
        <f t="array" ref="Z234">NPV('Pre-Calculation'!$E$20,Y235:Y244)</f>
        <v>969592.8037</v>
      </c>
    </row>
    <row r="235" ht="15.75" customHeight="1">
      <c r="A235" s="171">
        <f t="shared" si="1"/>
        <v>229</v>
      </c>
      <c r="B235" s="171">
        <f t="shared" si="2"/>
        <v>20</v>
      </c>
      <c r="C235" s="176">
        <f>EDATE(RCD,A234)</f>
        <v>49490</v>
      </c>
      <c r="D235" s="171">
        <f>Age_At_Entry+'Cashflows_4% from Start'!B235-1</f>
        <v>54</v>
      </c>
      <c r="E235" s="175">
        <f>IF(AND(C235&lt;=Last_Prem,MOD(A234,Mode)=0),Mod_Prem,0)</f>
        <v>0</v>
      </c>
      <c r="F235" s="177">
        <f>IF(B235&lt;PT+1,E235*VLOOKUP(B235,'Pre-Calculation'!$H$1:$I$31,2,FALSE),0)</f>
        <v>0</v>
      </c>
      <c r="G235" s="177">
        <f>IF(B235&lt;PT+1,VLOOKUP(B235,'Pre-Calculation'!$H$1:$L$32,3,FALSE)+VLOOKUP(B235,'Pre-Calculation'!$H$1:$L$32,4,FALSE)*'Pre-Calculation'!$D$7,0)</f>
        <v>0</v>
      </c>
      <c r="H235" s="175">
        <f>(E235-(F235+G235)*(1+Tax)+N234)</f>
        <v>1248801.639</v>
      </c>
      <c r="I235" s="175">
        <f>IF(B235&lt;PT+1,VLOOKUP(D235,'Pre-Calculation'!$N$3:$P$79,IF(INPUT!$C$4="M",2,3),FALSE)*(J235/1000)*(1/12),0)</f>
        <v>0</v>
      </c>
      <c r="J235" s="175">
        <f t="shared" si="3"/>
        <v>431198.3606</v>
      </c>
      <c r="K235" s="175">
        <f>IF('Pre-Calculation'!$D$17="Type 4 a",MAX(SA,H235,1.05*Q235),IF('Pre-Calculation'!$D$17="Type 4 c",H235,IF('Pre-Calculation'!$D$17="Type 4 d",SA+H235,IF('Pre-Calculation'!$D$17="Type 4 e",MAX(SA,H235),IF('Pre-Calculation'!$D$17="Type 4 f",SA,IF('Pre-Calculation'!$D$17="Type 4 g",1000+H235,IF('Pre-Calculation'!$D$17="Type 4 h",SA+X235,IF('Pre-Calculation'!$D$17="Type 4 i",MAX(H235,Q235),IF('Pre-Calculation'!$D$17="Type 4 k",MAX(H235,1.01*Q235),IF('Pre-Calculation'!$D$17="Type 4 m",MAX(105%*Q235,SA+H235),IF('Pre-Calculation'!$D$17="Type 4 o",MAX(SA,105%*Q235)+X235+Z235,IF('Pre-Calculation'!$D$17="Type 5",0))))))))))))</f>
        <v>1680000</v>
      </c>
      <c r="L235" s="175">
        <f>H235-I235*(1+Tax)</f>
        <v>1248801.639</v>
      </c>
      <c r="M235" s="175">
        <f>L235*(1+GROWTH_RATE_L)*(1-FMC*(1+Tax))</f>
        <v>1251227.584</v>
      </c>
      <c r="N235" s="175">
        <f>M235+IF(MOD(A235,B235)=0,VLOOKUP(B235,'Pre-Calculation'!$H$1:$L$31,5,FALSE),0)*IF('Pre-Calculation'!$D$16="% OF FV",M235,IF(OR('Pre-Calculation'!$D$16="% OF AFV(24M)",'Pre-Calculation'!$D$16="% OF AFV(8Q)"),AVERAGE( $M212:$M235),IF('Pre-Calculation'!$D$16="% OF AFV(12M)",AVERAGE($M224:M235),IF('Pre-Calculation'!$D$16="% OF AFV(36M)",AVERAGE($M200:M235)))))</f>
        <v>1251227.584</v>
      </c>
      <c r="O235" s="175">
        <f t="shared" si="4"/>
        <v>1251227.584</v>
      </c>
      <c r="P235" s="175">
        <f>IF('Pre-Calculation'!$D$17="Type 4 a",MAX(SA,N235,1.05*Q235),IF('Pre-Calculation'!$D$17="Type 4 c",N235,IF('Pre-Calculation'!$D$17="Type 4 d",SA+N235,IF('Pre-Calculation'!$D$17="Type 4 e",MAX(SA,N235),IF('Pre-Calculation'!$D$17="Type 4 f",SA,IF('Pre-Calculation'!$D$17="Type 4 g",1000+N235,IF('Pre-Calculation'!$D$17="Type 4 h",SA+X235,IF('Pre-Calculation'!$D$17="Type 4 i",MAX(N235,Q235),IF('Pre-Calculation'!$D$17="Type 4 k",MAX(N235,1.01*Q235),IF('Pre-Calculation'!$D$17="Type 4 m",MAX(105%*Q235,SA+N235),IF('Pre-Calculation'!$D$17="Type 4 o",MAX(SA,105%*Q235)+X235+Z235,IF('Pre-Calculation'!$D$17="Type 5",0))))))))))))</f>
        <v>1680000</v>
      </c>
      <c r="Q235" s="175">
        <f t="shared" si="5"/>
        <v>1600000</v>
      </c>
      <c r="R235" s="119">
        <f>L235*(1+GROWTH_RATE)*FMC</f>
        <v>1413.172101</v>
      </c>
      <c r="S235" s="178">
        <f>S234*(1+'Pre-Calculation'!$E$27)</f>
        <v>1253213.406</v>
      </c>
      <c r="T235" s="175">
        <f>-E235+IF(A234=INPUT!$C$11*12,N235,0)</f>
        <v>0</v>
      </c>
      <c r="U235" s="175">
        <f t="shared" si="6"/>
        <v>1323415.318</v>
      </c>
      <c r="V235" s="175">
        <f>U235*(1+GROWTH_RATE_L)*(1-'Pre-Calculation'!$E$31)</f>
        <v>1325536.705</v>
      </c>
      <c r="W235" s="175">
        <f>-E235+IF(A234=INPUT!$C$11*12,V235,0)</f>
        <v>0</v>
      </c>
      <c r="X235" s="179">
        <f t="array" ref="X235">NPV('Pre-Calculation'!$E$20,$E236:E$246)</f>
        <v>0</v>
      </c>
      <c r="Y235" s="171">
        <f>10%*SA</f>
        <v>100000</v>
      </c>
      <c r="Z235" s="179">
        <f t="array" ref="Z235">NPV('Pre-Calculation'!$E$20,Y236:Y245)</f>
        <v>969592.8037</v>
      </c>
    </row>
    <row r="236" ht="15.75" customHeight="1">
      <c r="A236" s="171">
        <f t="shared" si="1"/>
        <v>230</v>
      </c>
      <c r="B236" s="171">
        <f t="shared" si="2"/>
        <v>20</v>
      </c>
      <c r="C236" s="176">
        <f>EDATE(RCD,A235)</f>
        <v>49520</v>
      </c>
      <c r="D236" s="171">
        <f>Age_At_Entry+'Cashflows_4% from Start'!B236-1</f>
        <v>54</v>
      </c>
      <c r="E236" s="175">
        <f>IF(AND(C236&lt;=Last_Prem,MOD(A235,Mode)=0),Mod_Prem,0)</f>
        <v>0</v>
      </c>
      <c r="F236" s="177">
        <f>IF(B236&lt;PT+1,E236*VLOOKUP(B236,'Pre-Calculation'!$H$1:$I$31,2,FALSE),0)</f>
        <v>0</v>
      </c>
      <c r="G236" s="177">
        <f>IF(B236&lt;PT+1,VLOOKUP(B236,'Pre-Calculation'!$H$1:$L$32,3,FALSE)+VLOOKUP(B236,'Pre-Calculation'!$H$1:$L$32,4,FALSE)*'Pre-Calculation'!$D$7,0)</f>
        <v>0</v>
      </c>
      <c r="H236" s="175">
        <f>(E236-(F236+G236)*(1+Tax)+N235)</f>
        <v>1251227.584</v>
      </c>
      <c r="I236" s="175">
        <f>IF(B236&lt;PT+1,VLOOKUP(D236,'Pre-Calculation'!$N$3:$P$79,IF(INPUT!$C$4="M",2,3),FALSE)*(J236/1000)*(1/12),0)</f>
        <v>0</v>
      </c>
      <c r="J236" s="175">
        <f t="shared" si="3"/>
        <v>428772.4158</v>
      </c>
      <c r="K236" s="175">
        <f>IF('Pre-Calculation'!$D$17="Type 4 a",MAX(SA,H236,1.05*Q236),IF('Pre-Calculation'!$D$17="Type 4 c",H236,IF('Pre-Calculation'!$D$17="Type 4 d",SA+H236,IF('Pre-Calculation'!$D$17="Type 4 e",MAX(SA,H236),IF('Pre-Calculation'!$D$17="Type 4 f",SA,IF('Pre-Calculation'!$D$17="Type 4 g",1000+H236,IF('Pre-Calculation'!$D$17="Type 4 h",SA+X236,IF('Pre-Calculation'!$D$17="Type 4 i",MAX(H236,Q236),IF('Pre-Calculation'!$D$17="Type 4 k",MAX(H236,1.01*Q236),IF('Pre-Calculation'!$D$17="Type 4 m",MAX(105%*Q236,SA+H236),IF('Pre-Calculation'!$D$17="Type 4 o",MAX(SA,105%*Q236)+X236+Z236,IF('Pre-Calculation'!$D$17="Type 5",0))))))))))))</f>
        <v>1680000</v>
      </c>
      <c r="L236" s="175">
        <f>H236-I236*(1+Tax)</f>
        <v>1251227.584</v>
      </c>
      <c r="M236" s="175">
        <f>L236*(1+GROWTH_RATE_L)*(1-FMC*(1+Tax))</f>
        <v>1253658.242</v>
      </c>
      <c r="N236" s="175">
        <f>M236+IF(MOD(A236,B236)=0,VLOOKUP(B236,'Pre-Calculation'!$H$1:$L$31,5,FALSE),0)*IF('Pre-Calculation'!$D$16="% OF FV",M236,IF(OR('Pre-Calculation'!$D$16="% OF AFV(24M)",'Pre-Calculation'!$D$16="% OF AFV(8Q)"),AVERAGE( $M213:$M236),IF('Pre-Calculation'!$D$16="% OF AFV(12M)",AVERAGE($M225:M236),IF('Pre-Calculation'!$D$16="% OF AFV(36M)",AVERAGE($M201:M236)))))</f>
        <v>1253658.242</v>
      </c>
      <c r="O236" s="175">
        <f t="shared" si="4"/>
        <v>1253658.242</v>
      </c>
      <c r="P236" s="175">
        <f>IF('Pre-Calculation'!$D$17="Type 4 a",MAX(SA,N236,1.05*Q236),IF('Pre-Calculation'!$D$17="Type 4 c",N236,IF('Pre-Calculation'!$D$17="Type 4 d",SA+N236,IF('Pre-Calculation'!$D$17="Type 4 e",MAX(SA,N236),IF('Pre-Calculation'!$D$17="Type 4 f",SA,IF('Pre-Calculation'!$D$17="Type 4 g",1000+N236,IF('Pre-Calculation'!$D$17="Type 4 h",SA+X236,IF('Pre-Calculation'!$D$17="Type 4 i",MAX(N236,Q236),IF('Pre-Calculation'!$D$17="Type 4 k",MAX(N236,1.01*Q236),IF('Pre-Calculation'!$D$17="Type 4 m",MAX(105%*Q236,SA+N236),IF('Pre-Calculation'!$D$17="Type 4 o",MAX(SA,105%*Q236)+X236+Z236,IF('Pre-Calculation'!$D$17="Type 5",0))))))))))))</f>
        <v>1680000</v>
      </c>
      <c r="Q236" s="175">
        <f t="shared" si="5"/>
        <v>1600000</v>
      </c>
      <c r="R236" s="119">
        <f>L236*(1+GROWTH_RATE)*FMC</f>
        <v>1415.917355</v>
      </c>
      <c r="S236" s="178">
        <f>S235*(1+'Pre-Calculation'!$E$27)</f>
        <v>1256811.254</v>
      </c>
      <c r="T236" s="175">
        <f>-E236+IF(A235=INPUT!$C$11*12,N236,0)</f>
        <v>0</v>
      </c>
      <c r="U236" s="175">
        <f t="shared" si="6"/>
        <v>1325536.705</v>
      </c>
      <c r="V236" s="175">
        <f>U236*(1+GROWTH_RATE_L)*(1-'Pre-Calculation'!$E$31)</f>
        <v>1327661.493</v>
      </c>
      <c r="W236" s="175">
        <f>-E236+IF(A235=INPUT!$C$11*12,V236,0)</f>
        <v>0</v>
      </c>
      <c r="X236" s="179">
        <f t="array" ref="X236">NPV('Pre-Calculation'!$E$20,$E237:E$246)</f>
        <v>0</v>
      </c>
      <c r="Y236" s="171">
        <f>10%*SA</f>
        <v>100000</v>
      </c>
      <c r="Z236" s="179">
        <f t="array" ref="Z236">NPV('Pre-Calculation'!$E$20,Y237:Y246)</f>
        <v>969592.8037</v>
      </c>
    </row>
    <row r="237" ht="15.75" customHeight="1">
      <c r="A237" s="171">
        <f t="shared" si="1"/>
        <v>231</v>
      </c>
      <c r="B237" s="171">
        <f t="shared" si="2"/>
        <v>20</v>
      </c>
      <c r="C237" s="176">
        <f>EDATE(RCD,A236)</f>
        <v>49551</v>
      </c>
      <c r="D237" s="171">
        <f>Age_At_Entry+'Cashflows_4% from Start'!B237-1</f>
        <v>54</v>
      </c>
      <c r="E237" s="175">
        <f>IF(AND(C237&lt;=Last_Prem,MOD(A236,Mode)=0),Mod_Prem,0)</f>
        <v>0</v>
      </c>
      <c r="F237" s="177">
        <f>IF(B237&lt;PT+1,E237*VLOOKUP(B237,'Pre-Calculation'!$H$1:$I$31,2,FALSE),0)</f>
        <v>0</v>
      </c>
      <c r="G237" s="177">
        <f>IF(B237&lt;PT+1,VLOOKUP(B237,'Pre-Calculation'!$H$1:$L$32,3,FALSE)+VLOOKUP(B237,'Pre-Calculation'!$H$1:$L$32,4,FALSE)*'Pre-Calculation'!$D$7,0)</f>
        <v>0</v>
      </c>
      <c r="H237" s="175">
        <f>(E237-(F237+G237)*(1+Tax)+N236)</f>
        <v>1253658.242</v>
      </c>
      <c r="I237" s="175">
        <f>IF(B237&lt;PT+1,VLOOKUP(D237,'Pre-Calculation'!$N$3:$P$79,IF(INPUT!$C$4="M",2,3),FALSE)*(J237/1000)*(1/12),0)</f>
        <v>0</v>
      </c>
      <c r="J237" s="175">
        <f t="shared" si="3"/>
        <v>426341.7584</v>
      </c>
      <c r="K237" s="175">
        <f>IF('Pre-Calculation'!$D$17="Type 4 a",MAX(SA,H237,1.05*Q237),IF('Pre-Calculation'!$D$17="Type 4 c",H237,IF('Pre-Calculation'!$D$17="Type 4 d",SA+H237,IF('Pre-Calculation'!$D$17="Type 4 e",MAX(SA,H237),IF('Pre-Calculation'!$D$17="Type 4 f",SA,IF('Pre-Calculation'!$D$17="Type 4 g",1000+H237,IF('Pre-Calculation'!$D$17="Type 4 h",SA+X237,IF('Pre-Calculation'!$D$17="Type 4 i",MAX(H237,Q237),IF('Pre-Calculation'!$D$17="Type 4 k",MAX(H237,1.01*Q237),IF('Pre-Calculation'!$D$17="Type 4 m",MAX(105%*Q237,SA+H237),IF('Pre-Calculation'!$D$17="Type 4 o",MAX(SA,105%*Q237)+X237+Z237,IF('Pre-Calculation'!$D$17="Type 5",0))))))))))))</f>
        <v>1680000</v>
      </c>
      <c r="L237" s="175">
        <f>H237-I237*(1+Tax)</f>
        <v>1253658.242</v>
      </c>
      <c r="M237" s="175">
        <f>L237*(1+GROWTH_RATE_L)*(1-FMC*(1+Tax))</f>
        <v>1256093.621</v>
      </c>
      <c r="N237" s="175">
        <f>M237+IF(MOD(A237,B237)=0,VLOOKUP(B237,'Pre-Calculation'!$H$1:$L$31,5,FALSE),0)*IF('Pre-Calculation'!$D$16="% OF FV",M237,IF(OR('Pre-Calculation'!$D$16="% OF AFV(24M)",'Pre-Calculation'!$D$16="% OF AFV(8Q)"),AVERAGE( $M214:$M237),IF('Pre-Calculation'!$D$16="% OF AFV(12M)",AVERAGE($M226:M237),IF('Pre-Calculation'!$D$16="% OF AFV(36M)",AVERAGE($M202:M237)))))</f>
        <v>1256093.621</v>
      </c>
      <c r="O237" s="175">
        <f t="shared" si="4"/>
        <v>1256093.621</v>
      </c>
      <c r="P237" s="175">
        <f>IF('Pre-Calculation'!$D$17="Type 4 a",MAX(SA,N237,1.05*Q237),IF('Pre-Calculation'!$D$17="Type 4 c",N237,IF('Pre-Calculation'!$D$17="Type 4 d",SA+N237,IF('Pre-Calculation'!$D$17="Type 4 e",MAX(SA,N237),IF('Pre-Calculation'!$D$17="Type 4 f",SA,IF('Pre-Calculation'!$D$17="Type 4 g",1000+N237,IF('Pre-Calculation'!$D$17="Type 4 h",SA+X237,IF('Pre-Calculation'!$D$17="Type 4 i",MAX(N237,Q237),IF('Pre-Calculation'!$D$17="Type 4 k",MAX(N237,1.01*Q237),IF('Pre-Calculation'!$D$17="Type 4 m",MAX(105%*Q237,SA+N237),IF('Pre-Calculation'!$D$17="Type 4 o",MAX(SA,105%*Q237)+X237+Z237,IF('Pre-Calculation'!$D$17="Type 5",0))))))))))))</f>
        <v>1680000</v>
      </c>
      <c r="Q237" s="175">
        <f t="shared" si="5"/>
        <v>1600000</v>
      </c>
      <c r="R237" s="119">
        <f>L237*(1+GROWTH_RATE)*FMC</f>
        <v>1418.667942</v>
      </c>
      <c r="S237" s="178">
        <f>S236*(1+'Pre-Calculation'!$E$27)</f>
        <v>1260419.432</v>
      </c>
      <c r="T237" s="175">
        <f>-E237+IF(A236=INPUT!$C$11*12,N237,0)</f>
        <v>0</v>
      </c>
      <c r="U237" s="175">
        <f t="shared" si="6"/>
        <v>1327661.493</v>
      </c>
      <c r="V237" s="175">
        <f>U237*(1+GROWTH_RATE_L)*(1-'Pre-Calculation'!$E$31)</f>
        <v>1329789.686</v>
      </c>
      <c r="W237" s="175">
        <f>-E237+IF(A236=INPUT!$C$11*12,V237,0)</f>
        <v>0</v>
      </c>
      <c r="X237" s="179">
        <f t="array" ref="X237">NPV('Pre-Calculation'!$E$20,$E238:E$246)</f>
        <v>0</v>
      </c>
      <c r="Y237" s="171">
        <f>10%*SA</f>
        <v>100000</v>
      </c>
      <c r="Z237" s="179">
        <f t="array" ref="Z237">NPV('Pre-Calculation'!$E$20,Y238:Y247)</f>
        <v>969592.8037</v>
      </c>
    </row>
    <row r="238" ht="15.75" customHeight="1">
      <c r="A238" s="171">
        <f t="shared" si="1"/>
        <v>232</v>
      </c>
      <c r="B238" s="171">
        <f t="shared" si="2"/>
        <v>20</v>
      </c>
      <c r="C238" s="176">
        <f>EDATE(RCD,A237)</f>
        <v>49582</v>
      </c>
      <c r="D238" s="171">
        <f>Age_At_Entry+'Cashflows_4% from Start'!B238-1</f>
        <v>54</v>
      </c>
      <c r="E238" s="175">
        <f>IF(AND(C238&lt;=Last_Prem,MOD(A237,Mode)=0),Mod_Prem,0)</f>
        <v>0</v>
      </c>
      <c r="F238" s="177">
        <f>IF(B238&lt;PT+1,E238*VLOOKUP(B238,'Pre-Calculation'!$H$1:$I$31,2,FALSE),0)</f>
        <v>0</v>
      </c>
      <c r="G238" s="177">
        <f>IF(B238&lt;PT+1,VLOOKUP(B238,'Pre-Calculation'!$H$1:$L$32,3,FALSE)+VLOOKUP(B238,'Pre-Calculation'!$H$1:$L$32,4,FALSE)*'Pre-Calculation'!$D$7,0)</f>
        <v>0</v>
      </c>
      <c r="H238" s="175">
        <f>(E238-(F238+G238)*(1+Tax)+N237)</f>
        <v>1256093.621</v>
      </c>
      <c r="I238" s="175">
        <f>IF(B238&lt;PT+1,VLOOKUP(D238,'Pre-Calculation'!$N$3:$P$79,IF(INPUT!$C$4="M",2,3),FALSE)*(J238/1000)*(1/12),0)</f>
        <v>0</v>
      </c>
      <c r="J238" s="175">
        <f t="shared" si="3"/>
        <v>423906.3791</v>
      </c>
      <c r="K238" s="175">
        <f>IF('Pre-Calculation'!$D$17="Type 4 a",MAX(SA,H238,1.05*Q238),IF('Pre-Calculation'!$D$17="Type 4 c",H238,IF('Pre-Calculation'!$D$17="Type 4 d",SA+H238,IF('Pre-Calculation'!$D$17="Type 4 e",MAX(SA,H238),IF('Pre-Calculation'!$D$17="Type 4 f",SA,IF('Pre-Calculation'!$D$17="Type 4 g",1000+H238,IF('Pre-Calculation'!$D$17="Type 4 h",SA+X238,IF('Pre-Calculation'!$D$17="Type 4 i",MAX(H238,Q238),IF('Pre-Calculation'!$D$17="Type 4 k",MAX(H238,1.01*Q238),IF('Pre-Calculation'!$D$17="Type 4 m",MAX(105%*Q238,SA+H238),IF('Pre-Calculation'!$D$17="Type 4 o",MAX(SA,105%*Q238)+X238+Z238,IF('Pre-Calculation'!$D$17="Type 5",0))))))))))))</f>
        <v>1680000</v>
      </c>
      <c r="L238" s="175">
        <f>H238-I238*(1+Tax)</f>
        <v>1256093.621</v>
      </c>
      <c r="M238" s="175">
        <f>L238*(1+GROWTH_RATE_L)*(1-FMC*(1+Tax))</f>
        <v>1258533.731</v>
      </c>
      <c r="N238" s="175">
        <f>M238+IF(MOD(A238,B238)=0,VLOOKUP(B238,'Pre-Calculation'!$H$1:$L$31,5,FALSE),0)*IF('Pre-Calculation'!$D$16="% OF FV",M238,IF(OR('Pre-Calculation'!$D$16="% OF AFV(24M)",'Pre-Calculation'!$D$16="% OF AFV(8Q)"),AVERAGE( $M215:$M238),IF('Pre-Calculation'!$D$16="% OF AFV(12M)",AVERAGE($M227:M238),IF('Pre-Calculation'!$D$16="% OF AFV(36M)",AVERAGE($M203:M238)))))</f>
        <v>1258533.731</v>
      </c>
      <c r="O238" s="175">
        <f t="shared" si="4"/>
        <v>1258533.731</v>
      </c>
      <c r="P238" s="175">
        <f>IF('Pre-Calculation'!$D$17="Type 4 a",MAX(SA,N238,1.05*Q238),IF('Pre-Calculation'!$D$17="Type 4 c",N238,IF('Pre-Calculation'!$D$17="Type 4 d",SA+N238,IF('Pre-Calculation'!$D$17="Type 4 e",MAX(SA,N238),IF('Pre-Calculation'!$D$17="Type 4 f",SA,IF('Pre-Calculation'!$D$17="Type 4 g",1000+N238,IF('Pre-Calculation'!$D$17="Type 4 h",SA+X238,IF('Pre-Calculation'!$D$17="Type 4 i",MAX(N238,Q238),IF('Pre-Calculation'!$D$17="Type 4 k",MAX(N238,1.01*Q238),IF('Pre-Calculation'!$D$17="Type 4 m",MAX(105%*Q238,SA+N238),IF('Pre-Calculation'!$D$17="Type 4 o",MAX(SA,105%*Q238)+X238+Z238,IF('Pre-Calculation'!$D$17="Type 5",0))))))))))))</f>
        <v>1680000</v>
      </c>
      <c r="Q238" s="175">
        <f t="shared" si="5"/>
        <v>1600000</v>
      </c>
      <c r="R238" s="119">
        <f>L238*(1+GROWTH_RATE)*FMC</f>
        <v>1421.423872</v>
      </c>
      <c r="S238" s="178">
        <f>S237*(1+'Pre-Calculation'!$E$27)</f>
        <v>1264037.969</v>
      </c>
      <c r="T238" s="175">
        <f>-E238+IF(A237=INPUT!$C$11*12,N238,0)</f>
        <v>0</v>
      </c>
      <c r="U238" s="175">
        <f t="shared" si="6"/>
        <v>1329789.686</v>
      </c>
      <c r="V238" s="175">
        <f>U238*(1+GROWTH_RATE_L)*(1-'Pre-Calculation'!$E$31)</f>
        <v>1331921.291</v>
      </c>
      <c r="W238" s="175">
        <f>-E238+IF(A237=INPUT!$C$11*12,V238,0)</f>
        <v>0</v>
      </c>
      <c r="X238" s="179">
        <f t="array" ref="X238">NPV('Pre-Calculation'!$E$20,$E239:E$246)</f>
        <v>0</v>
      </c>
      <c r="Y238" s="171">
        <f>10%*SA</f>
        <v>100000</v>
      </c>
      <c r="Z238" s="179">
        <f t="array" ref="Z238">NPV('Pre-Calculation'!$E$20,Y239:Y248)</f>
        <v>969592.8037</v>
      </c>
    </row>
    <row r="239" ht="15.75" customHeight="1">
      <c r="A239" s="171">
        <f t="shared" si="1"/>
        <v>233</v>
      </c>
      <c r="B239" s="171">
        <f t="shared" si="2"/>
        <v>20</v>
      </c>
      <c r="C239" s="176">
        <f>EDATE(RCD,A238)</f>
        <v>49612</v>
      </c>
      <c r="D239" s="171">
        <f>Age_At_Entry+'Cashflows_4% from Start'!B239-1</f>
        <v>54</v>
      </c>
      <c r="E239" s="175">
        <f>IF(AND(C239&lt;=Last_Prem,MOD(A238,Mode)=0),Mod_Prem,0)</f>
        <v>0</v>
      </c>
      <c r="F239" s="177">
        <f>IF(B239&lt;PT+1,E239*VLOOKUP(B239,'Pre-Calculation'!$H$1:$I$31,2,FALSE),0)</f>
        <v>0</v>
      </c>
      <c r="G239" s="177">
        <f>IF(B239&lt;PT+1,VLOOKUP(B239,'Pre-Calculation'!$H$1:$L$32,3,FALSE)+VLOOKUP(B239,'Pre-Calculation'!$H$1:$L$32,4,FALSE)*'Pre-Calculation'!$D$7,0)</f>
        <v>0</v>
      </c>
      <c r="H239" s="175">
        <f>(E239-(F239+G239)*(1+Tax)+N238)</f>
        <v>1258533.731</v>
      </c>
      <c r="I239" s="175">
        <f>IF(B239&lt;PT+1,VLOOKUP(D239,'Pre-Calculation'!$N$3:$P$79,IF(INPUT!$C$4="M",2,3),FALSE)*(J239/1000)*(1/12),0)</f>
        <v>0</v>
      </c>
      <c r="J239" s="175">
        <f t="shared" si="3"/>
        <v>421466.2688</v>
      </c>
      <c r="K239" s="175">
        <f>IF('Pre-Calculation'!$D$17="Type 4 a",MAX(SA,H239,1.05*Q239),IF('Pre-Calculation'!$D$17="Type 4 c",H239,IF('Pre-Calculation'!$D$17="Type 4 d",SA+H239,IF('Pre-Calculation'!$D$17="Type 4 e",MAX(SA,H239),IF('Pre-Calculation'!$D$17="Type 4 f",SA,IF('Pre-Calculation'!$D$17="Type 4 g",1000+H239,IF('Pre-Calculation'!$D$17="Type 4 h",SA+X239,IF('Pre-Calculation'!$D$17="Type 4 i",MAX(H239,Q239),IF('Pre-Calculation'!$D$17="Type 4 k",MAX(H239,1.01*Q239),IF('Pre-Calculation'!$D$17="Type 4 m",MAX(105%*Q239,SA+H239),IF('Pre-Calculation'!$D$17="Type 4 o",MAX(SA,105%*Q239)+X239+Z239,IF('Pre-Calculation'!$D$17="Type 5",0))))))))))))</f>
        <v>1680000</v>
      </c>
      <c r="L239" s="175">
        <f>H239-I239*(1+Tax)</f>
        <v>1258533.731</v>
      </c>
      <c r="M239" s="175">
        <f>L239*(1+GROWTH_RATE_L)*(1-FMC*(1+Tax))</f>
        <v>1260978.582</v>
      </c>
      <c r="N239" s="175">
        <f>M239+IF(MOD(A239,B239)=0,VLOOKUP(B239,'Pre-Calculation'!$H$1:$L$31,5,FALSE),0)*IF('Pre-Calculation'!$D$16="% OF FV",M239,IF(OR('Pre-Calculation'!$D$16="% OF AFV(24M)",'Pre-Calculation'!$D$16="% OF AFV(8Q)"),AVERAGE( $M216:$M239),IF('Pre-Calculation'!$D$16="% OF AFV(12M)",AVERAGE($M228:M239),IF('Pre-Calculation'!$D$16="% OF AFV(36M)",AVERAGE($M204:M239)))))</f>
        <v>1260978.582</v>
      </c>
      <c r="O239" s="175">
        <f t="shared" si="4"/>
        <v>1260978.582</v>
      </c>
      <c r="P239" s="175">
        <f>IF('Pre-Calculation'!$D$17="Type 4 a",MAX(SA,N239,1.05*Q239),IF('Pre-Calculation'!$D$17="Type 4 c",N239,IF('Pre-Calculation'!$D$17="Type 4 d",SA+N239,IF('Pre-Calculation'!$D$17="Type 4 e",MAX(SA,N239),IF('Pre-Calculation'!$D$17="Type 4 f",SA,IF('Pre-Calculation'!$D$17="Type 4 g",1000+N239,IF('Pre-Calculation'!$D$17="Type 4 h",SA+X239,IF('Pre-Calculation'!$D$17="Type 4 i",MAX(N239,Q239),IF('Pre-Calculation'!$D$17="Type 4 k",MAX(N239,1.01*Q239),IF('Pre-Calculation'!$D$17="Type 4 m",MAX(105%*Q239,SA+N239),IF('Pre-Calculation'!$D$17="Type 4 o",MAX(SA,105%*Q239)+X239+Z239,IF('Pre-Calculation'!$D$17="Type 5",0))))))))))))</f>
        <v>1680000</v>
      </c>
      <c r="Q239" s="175">
        <f t="shared" si="5"/>
        <v>1600000</v>
      </c>
      <c r="R239" s="119">
        <f>L239*(1+GROWTH_RATE)*FMC</f>
        <v>1424.185155</v>
      </c>
      <c r="S239" s="178">
        <f>S238*(1+'Pre-Calculation'!$E$27)</f>
        <v>1267666.894</v>
      </c>
      <c r="T239" s="175">
        <f>-E239+IF(A238=INPUT!$C$11*12,N239,0)</f>
        <v>0</v>
      </c>
      <c r="U239" s="175">
        <f t="shared" si="6"/>
        <v>1331921.291</v>
      </c>
      <c r="V239" s="175">
        <f>U239*(1+GROWTH_RATE_L)*(1-'Pre-Calculation'!$E$31)</f>
        <v>1334056.312</v>
      </c>
      <c r="W239" s="175">
        <f>-E239+IF(A238=INPUT!$C$11*12,V239,0)</f>
        <v>0</v>
      </c>
      <c r="X239" s="179">
        <f t="array" ref="X239">NPV('Pre-Calculation'!$E$20,$E240:E$246)</f>
        <v>0</v>
      </c>
      <c r="Y239" s="171">
        <f>10%*SA</f>
        <v>100000</v>
      </c>
      <c r="Z239" s="179">
        <f t="array" ref="Z239">NPV('Pre-Calculation'!$E$20,Y240:Y249)</f>
        <v>969592.8037</v>
      </c>
    </row>
    <row r="240" ht="15.75" customHeight="1">
      <c r="A240" s="171">
        <f t="shared" si="1"/>
        <v>234</v>
      </c>
      <c r="B240" s="171">
        <f t="shared" si="2"/>
        <v>20</v>
      </c>
      <c r="C240" s="176">
        <f>EDATE(RCD,A239)</f>
        <v>49643</v>
      </c>
      <c r="D240" s="171">
        <f>Age_At_Entry+'Cashflows_4% from Start'!B240-1</f>
        <v>54</v>
      </c>
      <c r="E240" s="175">
        <f>IF(AND(C240&lt;=Last_Prem,MOD(A239,Mode)=0),Mod_Prem,0)</f>
        <v>0</v>
      </c>
      <c r="F240" s="177">
        <f>IF(B240&lt;PT+1,E240*VLOOKUP(B240,'Pre-Calculation'!$H$1:$I$31,2,FALSE),0)</f>
        <v>0</v>
      </c>
      <c r="G240" s="177">
        <f>IF(B240&lt;PT+1,VLOOKUP(B240,'Pre-Calculation'!$H$1:$L$32,3,FALSE)+VLOOKUP(B240,'Pre-Calculation'!$H$1:$L$32,4,FALSE)*'Pre-Calculation'!$D$7,0)</f>
        <v>0</v>
      </c>
      <c r="H240" s="175">
        <f>(E240-(F240+G240)*(1+Tax)+N239)</f>
        <v>1260978.582</v>
      </c>
      <c r="I240" s="175">
        <f>IF(B240&lt;PT+1,VLOOKUP(D240,'Pre-Calculation'!$N$3:$P$79,IF(INPUT!$C$4="M",2,3),FALSE)*(J240/1000)*(1/12),0)</f>
        <v>0</v>
      </c>
      <c r="J240" s="175">
        <f t="shared" si="3"/>
        <v>419021.4183</v>
      </c>
      <c r="K240" s="175">
        <f>IF('Pre-Calculation'!$D$17="Type 4 a",MAX(SA,H240,1.05*Q240),IF('Pre-Calculation'!$D$17="Type 4 c",H240,IF('Pre-Calculation'!$D$17="Type 4 d",SA+H240,IF('Pre-Calculation'!$D$17="Type 4 e",MAX(SA,H240),IF('Pre-Calculation'!$D$17="Type 4 f",SA,IF('Pre-Calculation'!$D$17="Type 4 g",1000+H240,IF('Pre-Calculation'!$D$17="Type 4 h",SA+X240,IF('Pre-Calculation'!$D$17="Type 4 i",MAX(H240,Q240),IF('Pre-Calculation'!$D$17="Type 4 k",MAX(H240,1.01*Q240),IF('Pre-Calculation'!$D$17="Type 4 m",MAX(105%*Q240,SA+H240),IF('Pre-Calculation'!$D$17="Type 4 o",MAX(SA,105%*Q240)+X240+Z240,IF('Pre-Calculation'!$D$17="Type 5",0))))))))))))</f>
        <v>1680000</v>
      </c>
      <c r="L240" s="175">
        <f>H240-I240*(1+Tax)</f>
        <v>1260978.582</v>
      </c>
      <c r="M240" s="175">
        <f>L240*(1+GROWTH_RATE_L)*(1-FMC*(1+Tax))</f>
        <v>1263428.182</v>
      </c>
      <c r="N240" s="175">
        <f>M240+IF(MOD(A240,B240)=0,VLOOKUP(B240,'Pre-Calculation'!$H$1:$L$31,5,FALSE),0)*IF('Pre-Calculation'!$D$16="% OF FV",M240,IF(OR('Pre-Calculation'!$D$16="% OF AFV(24M)",'Pre-Calculation'!$D$16="% OF AFV(8Q)"),AVERAGE( $M217:$M240),IF('Pre-Calculation'!$D$16="% OF AFV(12M)",AVERAGE($M229:M240),IF('Pre-Calculation'!$D$16="% OF AFV(36M)",AVERAGE($M205:M240)))))</f>
        <v>1263428.182</v>
      </c>
      <c r="O240" s="175">
        <f t="shared" si="4"/>
        <v>1263428.182</v>
      </c>
      <c r="P240" s="175">
        <f>IF('Pre-Calculation'!$D$17="Type 4 a",MAX(SA,N240,1.05*Q240),IF('Pre-Calculation'!$D$17="Type 4 c",N240,IF('Pre-Calculation'!$D$17="Type 4 d",SA+N240,IF('Pre-Calculation'!$D$17="Type 4 e",MAX(SA,N240),IF('Pre-Calculation'!$D$17="Type 4 f",SA,IF('Pre-Calculation'!$D$17="Type 4 g",1000+N240,IF('Pre-Calculation'!$D$17="Type 4 h",SA+X240,IF('Pre-Calculation'!$D$17="Type 4 i",MAX(N240,Q240),IF('Pre-Calculation'!$D$17="Type 4 k",MAX(N240,1.01*Q240),IF('Pre-Calculation'!$D$17="Type 4 m",MAX(105%*Q240,SA+N240),IF('Pre-Calculation'!$D$17="Type 4 o",MAX(SA,105%*Q240)+X240+Z240,IF('Pre-Calculation'!$D$17="Type 5",0))))))))))))</f>
        <v>1680000</v>
      </c>
      <c r="Q240" s="175">
        <f t="shared" si="5"/>
        <v>1600000</v>
      </c>
      <c r="R240" s="119">
        <f>L240*(1+GROWTH_RATE)*FMC</f>
        <v>1426.951803</v>
      </c>
      <c r="S240" s="178">
        <f>S239*(1+'Pre-Calculation'!$E$27)</f>
        <v>1271306.237</v>
      </c>
      <c r="T240" s="175">
        <f>-E240+IF(A239=INPUT!$C$11*12,N240,0)</f>
        <v>0</v>
      </c>
      <c r="U240" s="175">
        <f t="shared" si="6"/>
        <v>1334056.312</v>
      </c>
      <c r="V240" s="175">
        <f>U240*(1+GROWTH_RATE_L)*(1-'Pre-Calculation'!$E$31)</f>
        <v>1336194.756</v>
      </c>
      <c r="W240" s="175">
        <f>-E240+IF(A239=INPUT!$C$11*12,V240,0)</f>
        <v>0</v>
      </c>
      <c r="X240" s="179">
        <f t="array" ref="X240">NPV('Pre-Calculation'!$E$20,$E241:E$246)</f>
        <v>0</v>
      </c>
      <c r="Y240" s="171">
        <f>10%*SA</f>
        <v>100000</v>
      </c>
      <c r="Z240" s="179">
        <f t="array" ref="Z240">NPV('Pre-Calculation'!$E$20,Y241:Y250)</f>
        <v>969592.8037</v>
      </c>
    </row>
    <row r="241" ht="15.75" customHeight="1">
      <c r="A241" s="171">
        <f t="shared" si="1"/>
        <v>235</v>
      </c>
      <c r="B241" s="171">
        <f t="shared" si="2"/>
        <v>20</v>
      </c>
      <c r="C241" s="176">
        <f>EDATE(RCD,A240)</f>
        <v>49673</v>
      </c>
      <c r="D241" s="171">
        <f>Age_At_Entry+'Cashflows_4% from Start'!B241-1</f>
        <v>54</v>
      </c>
      <c r="E241" s="175">
        <f>IF(AND(C241&lt;=Last_Prem,MOD(A240,Mode)=0),Mod_Prem,0)</f>
        <v>0</v>
      </c>
      <c r="F241" s="177">
        <f>IF(B241&lt;PT+1,E241*VLOOKUP(B241,'Pre-Calculation'!$H$1:$I$31,2,FALSE),0)</f>
        <v>0</v>
      </c>
      <c r="G241" s="177">
        <f>IF(B241&lt;PT+1,VLOOKUP(B241,'Pre-Calculation'!$H$1:$L$32,3,FALSE)+VLOOKUP(B241,'Pre-Calculation'!$H$1:$L$32,4,FALSE)*'Pre-Calculation'!$D$7,0)</f>
        <v>0</v>
      </c>
      <c r="H241" s="175">
        <f>(E241-(F241+G241)*(1+Tax)+N240)</f>
        <v>1263428.182</v>
      </c>
      <c r="I241" s="175">
        <f>IF(B241&lt;PT+1,VLOOKUP(D241,'Pre-Calculation'!$N$3:$P$79,IF(INPUT!$C$4="M",2,3),FALSE)*(J241/1000)*(1/12),0)</f>
        <v>0</v>
      </c>
      <c r="J241" s="175">
        <f t="shared" si="3"/>
        <v>416571.8184</v>
      </c>
      <c r="K241" s="175">
        <f>IF('Pre-Calculation'!$D$17="Type 4 a",MAX(SA,H241,1.05*Q241),IF('Pre-Calculation'!$D$17="Type 4 c",H241,IF('Pre-Calculation'!$D$17="Type 4 d",SA+H241,IF('Pre-Calculation'!$D$17="Type 4 e",MAX(SA,H241),IF('Pre-Calculation'!$D$17="Type 4 f",SA,IF('Pre-Calculation'!$D$17="Type 4 g",1000+H241,IF('Pre-Calculation'!$D$17="Type 4 h",SA+X241,IF('Pre-Calculation'!$D$17="Type 4 i",MAX(H241,Q241),IF('Pre-Calculation'!$D$17="Type 4 k",MAX(H241,1.01*Q241),IF('Pre-Calculation'!$D$17="Type 4 m",MAX(105%*Q241,SA+H241),IF('Pre-Calculation'!$D$17="Type 4 o",MAX(SA,105%*Q241)+X241+Z241,IF('Pre-Calculation'!$D$17="Type 5",0))))))))))))</f>
        <v>1680000</v>
      </c>
      <c r="L241" s="175">
        <f>H241-I241*(1+Tax)</f>
        <v>1263428.182</v>
      </c>
      <c r="M241" s="175">
        <f>L241*(1+GROWTH_RATE_L)*(1-FMC*(1+Tax))</f>
        <v>1265882.54</v>
      </c>
      <c r="N241" s="175">
        <f>M241+IF(MOD(A241,B241)=0,VLOOKUP(B241,'Pre-Calculation'!$H$1:$L$31,5,FALSE),0)*IF('Pre-Calculation'!$D$16="% OF FV",M241,IF(OR('Pre-Calculation'!$D$16="% OF AFV(24M)",'Pre-Calculation'!$D$16="% OF AFV(8Q)"),AVERAGE( $M218:$M241),IF('Pre-Calculation'!$D$16="% OF AFV(12M)",AVERAGE($M230:M241),IF('Pre-Calculation'!$D$16="% OF AFV(36M)",AVERAGE($M206:M241)))))</f>
        <v>1265882.54</v>
      </c>
      <c r="O241" s="175">
        <f t="shared" si="4"/>
        <v>1265882.54</v>
      </c>
      <c r="P241" s="175">
        <f>IF('Pre-Calculation'!$D$17="Type 4 a",MAX(SA,N241,1.05*Q241),IF('Pre-Calculation'!$D$17="Type 4 c",N241,IF('Pre-Calculation'!$D$17="Type 4 d",SA+N241,IF('Pre-Calculation'!$D$17="Type 4 e",MAX(SA,N241),IF('Pre-Calculation'!$D$17="Type 4 f",SA,IF('Pre-Calculation'!$D$17="Type 4 g",1000+N241,IF('Pre-Calculation'!$D$17="Type 4 h",SA+X241,IF('Pre-Calculation'!$D$17="Type 4 i",MAX(N241,Q241),IF('Pre-Calculation'!$D$17="Type 4 k",MAX(N241,1.01*Q241),IF('Pre-Calculation'!$D$17="Type 4 m",MAX(105%*Q241,SA+N241),IF('Pre-Calculation'!$D$17="Type 4 o",MAX(SA,105%*Q241)+X241+Z241,IF('Pre-Calculation'!$D$17="Type 5",0))))))))))))</f>
        <v>1680000</v>
      </c>
      <c r="Q241" s="175">
        <f t="shared" si="5"/>
        <v>1600000</v>
      </c>
      <c r="R241" s="119">
        <f>L241*(1+GROWTH_RATE)*FMC</f>
        <v>1429.723826</v>
      </c>
      <c r="S241" s="178">
        <f>S240*(1+'Pre-Calculation'!$E$27)</f>
        <v>1274956.028</v>
      </c>
      <c r="T241" s="175">
        <f>-E241+IF(A240=INPUT!$C$11*12,N241,0)</f>
        <v>0</v>
      </c>
      <c r="U241" s="175">
        <f t="shared" si="6"/>
        <v>1336194.756</v>
      </c>
      <c r="V241" s="175">
        <f>U241*(1+GROWTH_RATE_L)*(1-'Pre-Calculation'!$E$31)</f>
        <v>1338336.628</v>
      </c>
      <c r="W241" s="175">
        <f>-E241+IF(A240=INPUT!$C$11*12,V241,0)</f>
        <v>0</v>
      </c>
      <c r="X241" s="179">
        <f t="array" ref="X241">NPV('Pre-Calculation'!$E$20,$E242:E$246)</f>
        <v>0</v>
      </c>
      <c r="Y241" s="171">
        <f>10%*SA</f>
        <v>100000</v>
      </c>
      <c r="Z241" s="179">
        <f t="array" ref="Z241">NPV('Pre-Calculation'!$E$20,Y242:Y251)</f>
        <v>969592.8037</v>
      </c>
    </row>
    <row r="242" ht="15.75" customHeight="1">
      <c r="A242" s="171">
        <f t="shared" si="1"/>
        <v>236</v>
      </c>
      <c r="B242" s="171">
        <f t="shared" si="2"/>
        <v>20</v>
      </c>
      <c r="C242" s="176">
        <f>EDATE(RCD,A241)</f>
        <v>49704</v>
      </c>
      <c r="D242" s="171">
        <f>Age_At_Entry+'Cashflows_4% from Start'!B242-1</f>
        <v>54</v>
      </c>
      <c r="E242" s="175">
        <f>IF(AND(C242&lt;=Last_Prem,MOD(A241,Mode)=0),Mod_Prem,0)</f>
        <v>0</v>
      </c>
      <c r="F242" s="177">
        <f>IF(B242&lt;PT+1,E242*VLOOKUP(B242,'Pre-Calculation'!$H$1:$I$31,2,FALSE),0)</f>
        <v>0</v>
      </c>
      <c r="G242" s="177">
        <f>IF(B242&lt;PT+1,VLOOKUP(B242,'Pre-Calculation'!$H$1:$L$32,3,FALSE)+VLOOKUP(B242,'Pre-Calculation'!$H$1:$L$32,4,FALSE)*'Pre-Calculation'!$D$7,0)</f>
        <v>0</v>
      </c>
      <c r="H242" s="175">
        <f>(E242-(F242+G242)*(1+Tax)+N241)</f>
        <v>1265882.54</v>
      </c>
      <c r="I242" s="175">
        <f>IF(B242&lt;PT+1,VLOOKUP(D242,'Pre-Calculation'!$N$3:$P$79,IF(INPUT!$C$4="M",2,3),FALSE)*(J242/1000)*(1/12),0)</f>
        <v>0</v>
      </c>
      <c r="J242" s="175">
        <f t="shared" si="3"/>
        <v>414117.4598</v>
      </c>
      <c r="K242" s="175">
        <f>IF('Pre-Calculation'!$D$17="Type 4 a",MAX(SA,H242,1.05*Q242),IF('Pre-Calculation'!$D$17="Type 4 c",H242,IF('Pre-Calculation'!$D$17="Type 4 d",SA+H242,IF('Pre-Calculation'!$D$17="Type 4 e",MAX(SA,H242),IF('Pre-Calculation'!$D$17="Type 4 f",SA,IF('Pre-Calculation'!$D$17="Type 4 g",1000+H242,IF('Pre-Calculation'!$D$17="Type 4 h",SA+X242,IF('Pre-Calculation'!$D$17="Type 4 i",MAX(H242,Q242),IF('Pre-Calculation'!$D$17="Type 4 k",MAX(H242,1.01*Q242),IF('Pre-Calculation'!$D$17="Type 4 m",MAX(105%*Q242,SA+H242),IF('Pre-Calculation'!$D$17="Type 4 o",MAX(SA,105%*Q242)+X242+Z242,IF('Pre-Calculation'!$D$17="Type 5",0))))))))))))</f>
        <v>1680000</v>
      </c>
      <c r="L242" s="175">
        <f>H242-I242*(1+Tax)</f>
        <v>1265882.54</v>
      </c>
      <c r="M242" s="175">
        <f>L242*(1+GROWTH_RATE_L)*(1-FMC*(1+Tax))</f>
        <v>1268341.667</v>
      </c>
      <c r="N242" s="175">
        <f>M242+IF(MOD(A242,B242)=0,VLOOKUP(B242,'Pre-Calculation'!$H$1:$L$31,5,FALSE),0)*IF('Pre-Calculation'!$D$16="% OF FV",M242,IF(OR('Pre-Calculation'!$D$16="% OF AFV(24M)",'Pre-Calculation'!$D$16="% OF AFV(8Q)"),AVERAGE( $M219:$M242),IF('Pre-Calculation'!$D$16="% OF AFV(12M)",AVERAGE($M231:M242),IF('Pre-Calculation'!$D$16="% OF AFV(36M)",AVERAGE($M207:M242)))))</f>
        <v>1268341.667</v>
      </c>
      <c r="O242" s="175">
        <f t="shared" si="4"/>
        <v>1268341.667</v>
      </c>
      <c r="P242" s="175">
        <f>IF('Pre-Calculation'!$D$17="Type 4 a",MAX(SA,N242,1.05*Q242),IF('Pre-Calculation'!$D$17="Type 4 c",N242,IF('Pre-Calculation'!$D$17="Type 4 d",SA+N242,IF('Pre-Calculation'!$D$17="Type 4 e",MAX(SA,N242),IF('Pre-Calculation'!$D$17="Type 4 f",SA,IF('Pre-Calculation'!$D$17="Type 4 g",1000+N242,IF('Pre-Calculation'!$D$17="Type 4 h",SA+X242,IF('Pre-Calculation'!$D$17="Type 4 i",MAX(N242,Q242),IF('Pre-Calculation'!$D$17="Type 4 k",MAX(N242,1.01*Q242),IF('Pre-Calculation'!$D$17="Type 4 m",MAX(105%*Q242,SA+N242),IF('Pre-Calculation'!$D$17="Type 4 o",MAX(SA,105%*Q242)+X242+Z242,IF('Pre-Calculation'!$D$17="Type 5",0))))))))))))</f>
        <v>1680000</v>
      </c>
      <c r="Q242" s="175">
        <f t="shared" si="5"/>
        <v>1600000</v>
      </c>
      <c r="R242" s="119">
        <f>L242*(1+GROWTH_RATE)*FMC</f>
        <v>1432.501233</v>
      </c>
      <c r="S242" s="178">
        <f>S241*(1+'Pre-Calculation'!$E$27)</f>
        <v>1278616.298</v>
      </c>
      <c r="T242" s="175">
        <f>-E242+IF(A241=INPUT!$C$11*12,N242,0)</f>
        <v>0</v>
      </c>
      <c r="U242" s="175">
        <f t="shared" si="6"/>
        <v>1338336.628</v>
      </c>
      <c r="V242" s="175">
        <f>U242*(1+GROWTH_RATE_L)*(1-'Pre-Calculation'!$E$31)</f>
        <v>1340481.933</v>
      </c>
      <c r="W242" s="175">
        <f>-E242+IF(A241=INPUT!$C$11*12,V242,0)</f>
        <v>0</v>
      </c>
      <c r="X242" s="179">
        <f t="array" ref="X242">NPV('Pre-Calculation'!$E$20,$E243:E$246)</f>
        <v>0</v>
      </c>
      <c r="Y242" s="171">
        <f>10%*SA</f>
        <v>100000</v>
      </c>
      <c r="Z242" s="179">
        <f t="array" ref="Z242">NPV('Pre-Calculation'!$E$20,Y243:Y252)</f>
        <v>969592.8037</v>
      </c>
    </row>
    <row r="243" ht="15.75" customHeight="1">
      <c r="A243" s="171">
        <f t="shared" si="1"/>
        <v>237</v>
      </c>
      <c r="B243" s="171">
        <f t="shared" si="2"/>
        <v>20</v>
      </c>
      <c r="C243" s="176">
        <f>EDATE(RCD,A242)</f>
        <v>49734</v>
      </c>
      <c r="D243" s="171">
        <f>Age_At_Entry+'Cashflows_4% from Start'!B243-1</f>
        <v>54</v>
      </c>
      <c r="E243" s="175">
        <f>IF(AND(C243&lt;=Last_Prem,MOD(A242,Mode)=0),Mod_Prem,0)</f>
        <v>0</v>
      </c>
      <c r="F243" s="177">
        <f>IF(B243&lt;PT+1,E243*VLOOKUP(B243,'Pre-Calculation'!$H$1:$I$31,2,FALSE),0)</f>
        <v>0</v>
      </c>
      <c r="G243" s="177">
        <f>IF(B243&lt;PT+1,VLOOKUP(B243,'Pre-Calculation'!$H$1:$L$32,3,FALSE)+VLOOKUP(B243,'Pre-Calculation'!$H$1:$L$32,4,FALSE)*'Pre-Calculation'!$D$7,0)</f>
        <v>0</v>
      </c>
      <c r="H243" s="175">
        <f>(E243-(F243+G243)*(1+Tax)+N242)</f>
        <v>1268341.667</v>
      </c>
      <c r="I243" s="175">
        <f>IF(B243&lt;PT+1,VLOOKUP(D243,'Pre-Calculation'!$N$3:$P$79,IF(INPUT!$C$4="M",2,3),FALSE)*(J243/1000)*(1/12),0)</f>
        <v>0</v>
      </c>
      <c r="J243" s="175">
        <f t="shared" si="3"/>
        <v>411658.3334</v>
      </c>
      <c r="K243" s="175">
        <f>IF('Pre-Calculation'!$D$17="Type 4 a",MAX(SA,H243,1.05*Q243),IF('Pre-Calculation'!$D$17="Type 4 c",H243,IF('Pre-Calculation'!$D$17="Type 4 d",SA+H243,IF('Pre-Calculation'!$D$17="Type 4 e",MAX(SA,H243),IF('Pre-Calculation'!$D$17="Type 4 f",SA,IF('Pre-Calculation'!$D$17="Type 4 g",1000+H243,IF('Pre-Calculation'!$D$17="Type 4 h",SA+X243,IF('Pre-Calculation'!$D$17="Type 4 i",MAX(H243,Q243),IF('Pre-Calculation'!$D$17="Type 4 k",MAX(H243,1.01*Q243),IF('Pre-Calculation'!$D$17="Type 4 m",MAX(105%*Q243,SA+H243),IF('Pre-Calculation'!$D$17="Type 4 o",MAX(SA,105%*Q243)+X243+Z243,IF('Pre-Calculation'!$D$17="Type 5",0))))))))))))</f>
        <v>1680000</v>
      </c>
      <c r="L243" s="175">
        <f>H243-I243*(1+Tax)</f>
        <v>1268341.667</v>
      </c>
      <c r="M243" s="175">
        <f>L243*(1+GROWTH_RATE_L)*(1-FMC*(1+Tax))</f>
        <v>1270805.57</v>
      </c>
      <c r="N243" s="175">
        <f>M243+IF(MOD(A243,B243)=0,VLOOKUP(B243,'Pre-Calculation'!$H$1:$L$31,5,FALSE),0)*IF('Pre-Calculation'!$D$16="% OF FV",M243,IF(OR('Pre-Calculation'!$D$16="% OF AFV(24M)",'Pre-Calculation'!$D$16="% OF AFV(8Q)"),AVERAGE( $M220:$M243),IF('Pre-Calculation'!$D$16="% OF AFV(12M)",AVERAGE($M232:M243),IF('Pre-Calculation'!$D$16="% OF AFV(36M)",AVERAGE($M208:M243)))))</f>
        <v>1270805.57</v>
      </c>
      <c r="O243" s="175">
        <f t="shared" si="4"/>
        <v>1270805.57</v>
      </c>
      <c r="P243" s="175">
        <f>IF('Pre-Calculation'!$D$17="Type 4 a",MAX(SA,N243,1.05*Q243),IF('Pre-Calculation'!$D$17="Type 4 c",N243,IF('Pre-Calculation'!$D$17="Type 4 d",SA+N243,IF('Pre-Calculation'!$D$17="Type 4 e",MAX(SA,N243),IF('Pre-Calculation'!$D$17="Type 4 f",SA,IF('Pre-Calculation'!$D$17="Type 4 g",1000+N243,IF('Pre-Calculation'!$D$17="Type 4 h",SA+X243,IF('Pre-Calculation'!$D$17="Type 4 i",MAX(N243,Q243),IF('Pre-Calculation'!$D$17="Type 4 k",MAX(N243,1.01*Q243),IF('Pre-Calculation'!$D$17="Type 4 m",MAX(105%*Q243,SA+N243),IF('Pre-Calculation'!$D$17="Type 4 o",MAX(SA,105%*Q243)+X243+Z243,IF('Pre-Calculation'!$D$17="Type 5",0))))))))))))</f>
        <v>1680000</v>
      </c>
      <c r="Q243" s="175">
        <f t="shared" si="5"/>
        <v>1600000</v>
      </c>
      <c r="R243" s="119">
        <f>L243*(1+GROWTH_RATE)*FMC</f>
        <v>1435.284036</v>
      </c>
      <c r="S243" s="178">
        <f>S242*(1+'Pre-Calculation'!$E$27)</f>
        <v>1282287.076</v>
      </c>
      <c r="T243" s="175">
        <f>-E243+IF(A242=INPUT!$C$11*12,N243,0)</f>
        <v>0</v>
      </c>
      <c r="U243" s="175">
        <f t="shared" si="6"/>
        <v>1340481.933</v>
      </c>
      <c r="V243" s="175">
        <f>U243*(1+GROWTH_RATE_L)*(1-'Pre-Calculation'!$E$31)</f>
        <v>1342630.677</v>
      </c>
      <c r="W243" s="175">
        <f>-E243+IF(A242=INPUT!$C$11*12,V243,0)</f>
        <v>0</v>
      </c>
      <c r="X243" s="179">
        <f t="array" ref="X243">NPV('Pre-Calculation'!$E$20,$E244:E$246)</f>
        <v>0</v>
      </c>
      <c r="Y243" s="171">
        <f>10%*SA</f>
        <v>100000</v>
      </c>
      <c r="Z243" s="179">
        <f t="array" ref="Z243">NPV('Pre-Calculation'!$E$20,Y244:Y253)</f>
        <v>969592.8037</v>
      </c>
    </row>
    <row r="244" ht="15.75" customHeight="1">
      <c r="A244" s="171">
        <f t="shared" si="1"/>
        <v>238</v>
      </c>
      <c r="B244" s="171">
        <f t="shared" si="2"/>
        <v>20</v>
      </c>
      <c r="C244" s="176">
        <f>EDATE(RCD,A243)</f>
        <v>49764</v>
      </c>
      <c r="D244" s="171">
        <f>Age_At_Entry+'Cashflows_4% from Start'!B244-1</f>
        <v>54</v>
      </c>
      <c r="E244" s="175">
        <f>IF(AND(C244&lt;=Last_Prem,MOD(A243,Mode)=0),Mod_Prem,0)</f>
        <v>0</v>
      </c>
      <c r="F244" s="177">
        <f>IF(B244&lt;PT+1,E244*VLOOKUP(B244,'Pre-Calculation'!$H$1:$I$31,2,FALSE),0)</f>
        <v>0</v>
      </c>
      <c r="G244" s="177">
        <f>IF(B244&lt;PT+1,VLOOKUP(B244,'Pre-Calculation'!$H$1:$L$32,3,FALSE)+VLOOKUP(B244,'Pre-Calculation'!$H$1:$L$32,4,FALSE)*'Pre-Calculation'!$D$7,0)</f>
        <v>0</v>
      </c>
      <c r="H244" s="175">
        <f>(E244-(F244+G244)*(1+Tax)+N243)</f>
        <v>1270805.57</v>
      </c>
      <c r="I244" s="175">
        <f>IF(B244&lt;PT+1,VLOOKUP(D244,'Pre-Calculation'!$N$3:$P$79,IF(INPUT!$C$4="M",2,3),FALSE)*(J244/1000)*(1/12),0)</f>
        <v>0</v>
      </c>
      <c r="J244" s="175">
        <f t="shared" si="3"/>
        <v>409194.4298</v>
      </c>
      <c r="K244" s="175">
        <f>IF('Pre-Calculation'!$D$17="Type 4 a",MAX(SA,H244,1.05*Q244),IF('Pre-Calculation'!$D$17="Type 4 c",H244,IF('Pre-Calculation'!$D$17="Type 4 d",SA+H244,IF('Pre-Calculation'!$D$17="Type 4 e",MAX(SA,H244),IF('Pre-Calculation'!$D$17="Type 4 f",SA,IF('Pre-Calculation'!$D$17="Type 4 g",1000+H244,IF('Pre-Calculation'!$D$17="Type 4 h",SA+X244,IF('Pre-Calculation'!$D$17="Type 4 i",MAX(H244,Q244),IF('Pre-Calculation'!$D$17="Type 4 k",MAX(H244,1.01*Q244),IF('Pre-Calculation'!$D$17="Type 4 m",MAX(105%*Q244,SA+H244),IF('Pre-Calculation'!$D$17="Type 4 o",MAX(SA,105%*Q244)+X244+Z244,IF('Pre-Calculation'!$D$17="Type 5",0))))))))))))</f>
        <v>1680000</v>
      </c>
      <c r="L244" s="175">
        <f>H244-I244*(1+Tax)</f>
        <v>1270805.57</v>
      </c>
      <c r="M244" s="175">
        <f>L244*(1+GROWTH_RATE_L)*(1-FMC*(1+Tax))</f>
        <v>1273274.26</v>
      </c>
      <c r="N244" s="175">
        <f>M244+IF(MOD(A244,B244)=0,VLOOKUP(B244,'Pre-Calculation'!$H$1:$L$31,5,FALSE),0)*IF('Pre-Calculation'!$D$16="% OF FV",M244,IF(OR('Pre-Calculation'!$D$16="% OF AFV(24M)",'Pre-Calculation'!$D$16="% OF AFV(8Q)"),AVERAGE( $M221:$M244),IF('Pre-Calculation'!$D$16="% OF AFV(12M)",AVERAGE($M233:M244),IF('Pre-Calculation'!$D$16="% OF AFV(36M)",AVERAGE($M209:M244)))))</f>
        <v>1273274.26</v>
      </c>
      <c r="O244" s="175">
        <f t="shared" si="4"/>
        <v>1273274.26</v>
      </c>
      <c r="P244" s="175">
        <f>IF('Pre-Calculation'!$D$17="Type 4 a",MAX(SA,N244,1.05*Q244),IF('Pre-Calculation'!$D$17="Type 4 c",N244,IF('Pre-Calculation'!$D$17="Type 4 d",SA+N244,IF('Pre-Calculation'!$D$17="Type 4 e",MAX(SA,N244),IF('Pre-Calculation'!$D$17="Type 4 f",SA,IF('Pre-Calculation'!$D$17="Type 4 g",1000+N244,IF('Pre-Calculation'!$D$17="Type 4 h",SA+X244,IF('Pre-Calculation'!$D$17="Type 4 i",MAX(N244,Q244),IF('Pre-Calculation'!$D$17="Type 4 k",MAX(N244,1.01*Q244),IF('Pre-Calculation'!$D$17="Type 4 m",MAX(105%*Q244,SA+N244),IF('Pre-Calculation'!$D$17="Type 4 o",MAX(SA,105%*Q244)+X244+Z244,IF('Pre-Calculation'!$D$17="Type 5",0))))))))))))</f>
        <v>1680000</v>
      </c>
      <c r="Q244" s="175">
        <f t="shared" si="5"/>
        <v>1600000</v>
      </c>
      <c r="R244" s="119">
        <f>L244*(1+GROWTH_RATE)*FMC</f>
        <v>1438.072245</v>
      </c>
      <c r="S244" s="178">
        <f>S243*(1+'Pre-Calculation'!$E$27)</f>
        <v>1285968.392</v>
      </c>
      <c r="T244" s="175">
        <f>-E244+IF(A243=INPUT!$C$11*12,N244,0)</f>
        <v>0</v>
      </c>
      <c r="U244" s="175">
        <f t="shared" si="6"/>
        <v>1342630.677</v>
      </c>
      <c r="V244" s="175">
        <f>U244*(1+GROWTH_RATE_L)*(1-'Pre-Calculation'!$E$31)</f>
        <v>1344782.866</v>
      </c>
      <c r="W244" s="175">
        <f>-E244+IF(A243=INPUT!$C$11*12,V244,0)</f>
        <v>0</v>
      </c>
      <c r="X244" s="179">
        <f t="array" ref="X244">NPV('Pre-Calculation'!$E$20,$E245:E$246)</f>
        <v>0</v>
      </c>
      <c r="Y244" s="171">
        <f>10%*SA</f>
        <v>100000</v>
      </c>
      <c r="Z244" s="179">
        <f t="array" ref="Z244">NPV('Pre-Calculation'!$E$20,Y245:Y254)</f>
        <v>969592.8037</v>
      </c>
    </row>
    <row r="245" ht="15.75" customHeight="1">
      <c r="A245" s="171">
        <f t="shared" si="1"/>
        <v>239</v>
      </c>
      <c r="B245" s="171">
        <f t="shared" si="2"/>
        <v>20</v>
      </c>
      <c r="C245" s="176">
        <f>EDATE(RCD,A244)</f>
        <v>49795</v>
      </c>
      <c r="D245" s="171">
        <f>Age_At_Entry+'Cashflows_4% from Start'!B245-1</f>
        <v>54</v>
      </c>
      <c r="E245" s="175">
        <f>IF(AND(C245&lt;=Last_Prem,MOD(A244,Mode)=0),Mod_Prem,0)</f>
        <v>0</v>
      </c>
      <c r="F245" s="177">
        <f>IF(B245&lt;PT+1,E245*VLOOKUP(B245,'Pre-Calculation'!$H$1:$I$31,2,FALSE),0)</f>
        <v>0</v>
      </c>
      <c r="G245" s="177">
        <f>IF(B245&lt;PT+1,VLOOKUP(B245,'Pre-Calculation'!$H$1:$L$32,3,FALSE)+VLOOKUP(B245,'Pre-Calculation'!$H$1:$L$32,4,FALSE)*'Pre-Calculation'!$D$7,0)</f>
        <v>0</v>
      </c>
      <c r="H245" s="175">
        <f>(E245-(F245+G245)*(1+Tax)+N244)</f>
        <v>1273274.26</v>
      </c>
      <c r="I245" s="175">
        <f>IF(B245&lt;PT+1,VLOOKUP(D245,'Pre-Calculation'!$N$3:$P$79,IF(INPUT!$C$4="M",2,3),FALSE)*(J245/1000)*(1/12),0)</f>
        <v>0</v>
      </c>
      <c r="J245" s="175">
        <f t="shared" si="3"/>
        <v>406725.7398</v>
      </c>
      <c r="K245" s="175">
        <f>IF('Pre-Calculation'!$D$17="Type 4 a",MAX(SA,H245,1.05*Q245),IF('Pre-Calculation'!$D$17="Type 4 c",H245,IF('Pre-Calculation'!$D$17="Type 4 d",SA+H245,IF('Pre-Calculation'!$D$17="Type 4 e",MAX(SA,H245),IF('Pre-Calculation'!$D$17="Type 4 f",SA,IF('Pre-Calculation'!$D$17="Type 4 g",1000+H245,IF('Pre-Calculation'!$D$17="Type 4 h",SA+X245,IF('Pre-Calculation'!$D$17="Type 4 i",MAX(H245,Q245),IF('Pre-Calculation'!$D$17="Type 4 k",MAX(H245,1.01*Q245),IF('Pre-Calculation'!$D$17="Type 4 m",MAX(105%*Q245,SA+H245),IF('Pre-Calculation'!$D$17="Type 4 o",MAX(SA,105%*Q245)+X245+Z245,IF('Pre-Calculation'!$D$17="Type 5",0))))))))))))</f>
        <v>1680000</v>
      </c>
      <c r="L245" s="175">
        <f>H245-I245*(1+Tax)</f>
        <v>1273274.26</v>
      </c>
      <c r="M245" s="175">
        <f>L245*(1+GROWTH_RATE_L)*(1-FMC*(1+Tax))</f>
        <v>1275747.746</v>
      </c>
      <c r="N245" s="175">
        <f>M245+IF(MOD(A245,B245)=0,VLOOKUP(B245,'Pre-Calculation'!$H$1:$L$31,5,FALSE),0)*IF('Pre-Calculation'!$D$16="% OF FV",M245,IF(OR('Pre-Calculation'!$D$16="% OF AFV(24M)",'Pre-Calculation'!$D$16="% OF AFV(8Q)"),AVERAGE( $M222:$M245),IF('Pre-Calculation'!$D$16="% OF AFV(12M)",AVERAGE($M234:M245),IF('Pre-Calculation'!$D$16="% OF AFV(36M)",AVERAGE($M210:M245)))))</f>
        <v>1275747.746</v>
      </c>
      <c r="O245" s="175">
        <f t="shared" si="4"/>
        <v>1275747.746</v>
      </c>
      <c r="P245" s="175">
        <f>IF('Pre-Calculation'!$D$17="Type 4 a",MAX(SA,N245,1.05*Q245),IF('Pre-Calculation'!$D$17="Type 4 c",N245,IF('Pre-Calculation'!$D$17="Type 4 d",SA+N245,IF('Pre-Calculation'!$D$17="Type 4 e",MAX(SA,N245),IF('Pre-Calculation'!$D$17="Type 4 f",SA,IF('Pre-Calculation'!$D$17="Type 4 g",1000+N245,IF('Pre-Calculation'!$D$17="Type 4 h",SA+X245,IF('Pre-Calculation'!$D$17="Type 4 i",MAX(N245,Q245),IF('Pre-Calculation'!$D$17="Type 4 k",MAX(N245,1.01*Q245),IF('Pre-Calculation'!$D$17="Type 4 m",MAX(105%*Q245,SA+N245),IF('Pre-Calculation'!$D$17="Type 4 o",MAX(SA,105%*Q245)+X245+Z245,IF('Pre-Calculation'!$D$17="Type 5",0))))))))))))</f>
        <v>1680000</v>
      </c>
      <c r="Q245" s="175">
        <f t="shared" si="5"/>
        <v>1600000</v>
      </c>
      <c r="R245" s="119">
        <f>L245*(1+GROWTH_RATE)*FMC</f>
        <v>1440.865871</v>
      </c>
      <c r="S245" s="178">
        <f>S244*(1+'Pre-Calculation'!$E$27)</f>
        <v>1289660.277</v>
      </c>
      <c r="T245" s="175">
        <f>-E245+IF(A244=INPUT!$C$11*12,N245,0)</f>
        <v>0</v>
      </c>
      <c r="U245" s="175">
        <f t="shared" si="6"/>
        <v>1344782.866</v>
      </c>
      <c r="V245" s="175">
        <f>U245*(1+GROWTH_RATE_L)*(1-'Pre-Calculation'!$E$31)</f>
        <v>1346938.504</v>
      </c>
      <c r="W245" s="175">
        <f>-E245+IF(A244=INPUT!$C$11*12,V245,0)</f>
        <v>0</v>
      </c>
      <c r="X245" s="179">
        <f t="array" ref="X245">NPV('Pre-Calculation'!$E$20,$E246:E$246)</f>
        <v>0</v>
      </c>
      <c r="Y245" s="171">
        <f>10%*SA</f>
        <v>100000</v>
      </c>
      <c r="Z245" s="179">
        <f t="array" ref="Z245">NPV('Pre-Calculation'!$E$20,Y246:Y255)</f>
        <v>969592.8037</v>
      </c>
    </row>
    <row r="246" ht="15.75" customHeight="1">
      <c r="A246" s="171">
        <f t="shared" si="1"/>
        <v>240</v>
      </c>
      <c r="B246" s="171">
        <f t="shared" si="2"/>
        <v>20</v>
      </c>
      <c r="C246" s="176">
        <f>EDATE(RCD,A245)</f>
        <v>49825</v>
      </c>
      <c r="D246" s="171">
        <f>Age_At_Entry+'Cashflows_4% from Start'!B246-1</f>
        <v>54</v>
      </c>
      <c r="E246" s="175">
        <f>IF(AND(C246&lt;=Last_Prem,MOD(A245,Mode)=0),Mod_Prem,0)</f>
        <v>0</v>
      </c>
      <c r="F246" s="177">
        <f>IF(B246&lt;PT+1,E246*VLOOKUP(B246,'Pre-Calculation'!$H$1:$I$31,2,FALSE),0)</f>
        <v>0</v>
      </c>
      <c r="G246" s="177">
        <f>IF(B246&lt;PT+1,VLOOKUP(B246,'Pre-Calculation'!$H$1:$L$32,3,FALSE)+VLOOKUP(B246,'Pre-Calculation'!$H$1:$L$32,4,FALSE)*'Pre-Calculation'!$D$7,0)</f>
        <v>0</v>
      </c>
      <c r="H246" s="175">
        <f>(E246-(F246+G246)*(1+Tax)+N245)</f>
        <v>1275747.746</v>
      </c>
      <c r="I246" s="175">
        <f>IF(B246&lt;PT+1,VLOOKUP(D246,'Pre-Calculation'!$N$3:$P$79,IF(INPUT!$C$4="M",2,3),FALSE)*(J246/1000)*(1/12),0)</f>
        <v>0</v>
      </c>
      <c r="J246" s="175">
        <f t="shared" si="3"/>
        <v>404252.2541</v>
      </c>
      <c r="K246" s="175">
        <f>IF('Pre-Calculation'!$D$17="Type 4 a",MAX(SA,H246,1.05*Q246),IF('Pre-Calculation'!$D$17="Type 4 c",H246,IF('Pre-Calculation'!$D$17="Type 4 d",SA+H246,IF('Pre-Calculation'!$D$17="Type 4 e",MAX(SA,H246),IF('Pre-Calculation'!$D$17="Type 4 f",SA,IF('Pre-Calculation'!$D$17="Type 4 g",1000+H246,IF('Pre-Calculation'!$D$17="Type 4 h",SA+X246,IF('Pre-Calculation'!$D$17="Type 4 i",MAX(H246,Q246),IF('Pre-Calculation'!$D$17="Type 4 k",MAX(H246,1.01*Q246),IF('Pre-Calculation'!$D$17="Type 4 m",MAX(105%*Q246,SA+H246),IF('Pre-Calculation'!$D$17="Type 4 o",MAX(SA,105%*Q246)+X246+Z246,IF('Pre-Calculation'!$D$17="Type 5",0))))))))))))</f>
        <v>1680000</v>
      </c>
      <c r="L246" s="175">
        <f>H246-I246*(1+Tax)</f>
        <v>1275747.746</v>
      </c>
      <c r="M246" s="175">
        <f>L246*(1+GROWTH_RATE_L)*(1-FMC*(1+Tax))</f>
        <v>1278226.037</v>
      </c>
      <c r="N246" s="175">
        <f>M246+IF(MOD(A246,B246)=0,VLOOKUP(B246,'Pre-Calculation'!$H$1:$L$31,5,FALSE),0)*IF('Pre-Calculation'!$D$16="% OF FV",M246,IF(OR('Pre-Calculation'!$D$16="% OF AFV(24M)",'Pre-Calculation'!$D$16="% OF AFV(8Q)"),AVERAGE( $M223:$M246),IF('Pre-Calculation'!$D$16="% OF AFV(12M)",AVERAGE($M235:M246),IF('Pre-Calculation'!$D$16="% OF AFV(36M)",AVERAGE($M211:M246)))))</f>
        <v>1278226.037</v>
      </c>
      <c r="O246" s="175">
        <f t="shared" si="4"/>
        <v>1278226.037</v>
      </c>
      <c r="P246" s="175">
        <f>IF('Pre-Calculation'!$D$17="Type 4 a",MAX(SA,N246,1.05*Q246),IF('Pre-Calculation'!$D$17="Type 4 c",N246,IF('Pre-Calculation'!$D$17="Type 4 d",SA+N246,IF('Pre-Calculation'!$D$17="Type 4 e",MAX(SA,N246),IF('Pre-Calculation'!$D$17="Type 4 f",SA,IF('Pre-Calculation'!$D$17="Type 4 g",1000+N246,IF('Pre-Calculation'!$D$17="Type 4 h",SA+X246,IF('Pre-Calculation'!$D$17="Type 4 i",MAX(N246,Q246),IF('Pre-Calculation'!$D$17="Type 4 k",MAX(N246,1.01*Q246),IF('Pre-Calculation'!$D$17="Type 4 m",MAX(105%*Q246,SA+N246),IF('Pre-Calculation'!$D$17="Type 4 o",MAX(SA,105%*Q246)+X246+Z246,IF('Pre-Calculation'!$D$17="Type 5",0))))))))))))</f>
        <v>1680000</v>
      </c>
      <c r="Q246" s="175">
        <f t="shared" si="5"/>
        <v>1600000</v>
      </c>
      <c r="R246" s="119">
        <f>L246*(1+GROWTH_RATE)*FMC</f>
        <v>1443.664923</v>
      </c>
      <c r="S246" s="178">
        <f>S245*(1+'Pre-Calculation'!$E$27)</f>
        <v>1293362.761</v>
      </c>
      <c r="T246" s="175">
        <f>-E246+IF(A245=INPUT!$C$11*12,N246,0)</f>
        <v>0</v>
      </c>
      <c r="U246" s="175">
        <f t="shared" si="6"/>
        <v>1346938.504</v>
      </c>
      <c r="V246" s="175">
        <f>U246*(1+GROWTH_RATE_L)*(1-'Pre-Calculation'!$E$31)</f>
        <v>1349097.598</v>
      </c>
      <c r="W246" s="175">
        <f>-E246+IF(A245=INPUT!$C$11*12,V246,0)</f>
        <v>0</v>
      </c>
      <c r="X246" s="179">
        <f t="array" ref="X246">NPV('Pre-Calculation'!$E$20,$E$246:E247)</f>
        <v>0</v>
      </c>
      <c r="Y246" s="171">
        <f>10%*SA</f>
        <v>100000</v>
      </c>
      <c r="Z246" s="179">
        <f t="array" ref="Z246">NPV('Pre-Calculation'!$E$20,Y247:Y256)</f>
        <v>969592.8037</v>
      </c>
    </row>
    <row r="247" ht="15.75" customHeight="1">
      <c r="A247" s="12"/>
      <c r="B247" s="171"/>
      <c r="C247" s="12"/>
      <c r="D247" s="12"/>
      <c r="E247" s="171"/>
      <c r="F247" s="12"/>
      <c r="G247" s="12"/>
      <c r="H247" s="12"/>
      <c r="I247" s="12"/>
      <c r="J247" s="12"/>
      <c r="K247" s="12"/>
      <c r="L247" s="12"/>
      <c r="M247" s="12"/>
      <c r="N247" s="12"/>
      <c r="O247" s="12"/>
      <c r="P247" s="12"/>
      <c r="Q247" s="12"/>
      <c r="R247" s="12"/>
      <c r="S247" s="180"/>
      <c r="T247" s="12"/>
      <c r="U247" s="12"/>
      <c r="V247" s="12"/>
      <c r="W247" s="12"/>
      <c r="X247" s="12"/>
      <c r="Y247" s="36">
        <f>10%*SA</f>
        <v>100000</v>
      </c>
      <c r="Z247" s="12"/>
    </row>
    <row r="248" ht="15.75" customHeight="1">
      <c r="A248" s="12"/>
      <c r="B248" s="12"/>
      <c r="C248" s="12"/>
      <c r="D248" s="12"/>
      <c r="E248" s="171"/>
      <c r="F248" s="12"/>
      <c r="G248" s="12"/>
      <c r="H248" s="12"/>
      <c r="I248" s="12"/>
      <c r="J248" s="12"/>
      <c r="K248" s="12"/>
      <c r="L248" s="12"/>
      <c r="M248" s="12"/>
      <c r="N248" s="12"/>
      <c r="O248" s="12"/>
      <c r="P248" s="12"/>
      <c r="Q248" s="12"/>
      <c r="R248" s="12"/>
      <c r="S248" s="180"/>
      <c r="T248" s="12"/>
      <c r="U248" s="12"/>
      <c r="V248" s="12"/>
      <c r="W248" s="12"/>
      <c r="X248" s="12"/>
      <c r="Y248" s="36">
        <f>10%*SA</f>
        <v>100000</v>
      </c>
      <c r="Z248" s="12"/>
    </row>
    <row r="249" ht="15.75" customHeight="1">
      <c r="A249" s="12"/>
      <c r="B249" s="12"/>
      <c r="C249" s="12"/>
      <c r="D249" s="12"/>
      <c r="E249" s="171"/>
      <c r="F249" s="12"/>
      <c r="G249" s="12"/>
      <c r="H249" s="12"/>
      <c r="I249" s="12"/>
      <c r="J249" s="12"/>
      <c r="K249" s="12"/>
      <c r="L249" s="12"/>
      <c r="M249" s="12"/>
      <c r="N249" s="12"/>
      <c r="O249" s="12"/>
      <c r="P249" s="12"/>
      <c r="Q249" s="12"/>
      <c r="R249" s="12"/>
      <c r="S249" s="180"/>
      <c r="T249" s="12"/>
      <c r="U249" s="12"/>
      <c r="V249" s="12"/>
      <c r="W249" s="12"/>
      <c r="X249" s="12"/>
      <c r="Y249" s="36">
        <f>10%*SA</f>
        <v>100000</v>
      </c>
      <c r="Z249" s="12"/>
    </row>
    <row r="250" ht="15.75" customHeight="1">
      <c r="A250" s="12"/>
      <c r="B250" s="12"/>
      <c r="C250" s="12"/>
      <c r="D250" s="12"/>
      <c r="E250" s="171"/>
      <c r="F250" s="12"/>
      <c r="G250" s="12"/>
      <c r="H250" s="12"/>
      <c r="I250" s="12"/>
      <c r="J250" s="12"/>
      <c r="K250" s="12"/>
      <c r="L250" s="12"/>
      <c r="M250" s="12"/>
      <c r="N250" s="12"/>
      <c r="O250" s="12"/>
      <c r="P250" s="12"/>
      <c r="Q250" s="12"/>
      <c r="R250" s="12"/>
      <c r="S250" s="180"/>
      <c r="T250" s="12"/>
      <c r="U250" s="12"/>
      <c r="V250" s="12"/>
      <c r="W250" s="12"/>
      <c r="X250" s="12"/>
      <c r="Y250" s="36">
        <f>10%*SA</f>
        <v>100000</v>
      </c>
      <c r="Z250" s="12"/>
    </row>
    <row r="251" ht="15.75" customHeight="1">
      <c r="A251" s="12"/>
      <c r="B251" s="12"/>
      <c r="C251" s="12"/>
      <c r="D251" s="12"/>
      <c r="E251" s="171"/>
      <c r="F251" s="12"/>
      <c r="G251" s="12"/>
      <c r="H251" s="12"/>
      <c r="I251" s="12"/>
      <c r="J251" s="12"/>
      <c r="K251" s="12"/>
      <c r="L251" s="12"/>
      <c r="M251" s="12"/>
      <c r="N251" s="12"/>
      <c r="O251" s="12"/>
      <c r="P251" s="12"/>
      <c r="Q251" s="12"/>
      <c r="R251" s="12"/>
      <c r="S251" s="180"/>
      <c r="T251" s="12"/>
      <c r="U251" s="12"/>
      <c r="V251" s="12"/>
      <c r="W251" s="12"/>
      <c r="X251" s="12"/>
      <c r="Y251" s="36">
        <f>10%*SA</f>
        <v>100000</v>
      </c>
      <c r="Z251" s="12"/>
    </row>
    <row r="252" ht="15.75" customHeight="1">
      <c r="A252" s="12"/>
      <c r="B252" s="12"/>
      <c r="C252" s="12"/>
      <c r="D252" s="12"/>
      <c r="E252" s="171"/>
      <c r="F252" s="12"/>
      <c r="G252" s="12"/>
      <c r="H252" s="12"/>
      <c r="I252" s="12"/>
      <c r="J252" s="12"/>
      <c r="K252" s="12"/>
      <c r="L252" s="12"/>
      <c r="M252" s="12"/>
      <c r="N252" s="12"/>
      <c r="O252" s="12"/>
      <c r="P252" s="12"/>
      <c r="Q252" s="12"/>
      <c r="R252" s="12"/>
      <c r="S252" s="180"/>
      <c r="T252" s="12"/>
      <c r="U252" s="12"/>
      <c r="V252" s="12"/>
      <c r="W252" s="12"/>
      <c r="X252" s="12"/>
      <c r="Y252" s="36">
        <f>10%*SA</f>
        <v>100000</v>
      </c>
      <c r="Z252" s="12"/>
    </row>
    <row r="253" ht="15.75" customHeight="1">
      <c r="A253" s="12"/>
      <c r="B253" s="12"/>
      <c r="C253" s="12"/>
      <c r="D253" s="12"/>
      <c r="E253" s="171"/>
      <c r="F253" s="12"/>
      <c r="G253" s="12"/>
      <c r="H253" s="12"/>
      <c r="I253" s="12"/>
      <c r="J253" s="12"/>
      <c r="K253" s="12"/>
      <c r="L253" s="12"/>
      <c r="M253" s="12"/>
      <c r="N253" s="12"/>
      <c r="O253" s="12"/>
      <c r="P253" s="12"/>
      <c r="Q253" s="12"/>
      <c r="R253" s="12"/>
      <c r="S253" s="180"/>
      <c r="T253" s="12"/>
      <c r="U253" s="12"/>
      <c r="V253" s="12"/>
      <c r="W253" s="12"/>
      <c r="X253" s="12"/>
      <c r="Y253" s="36">
        <f>10%*SA</f>
        <v>100000</v>
      </c>
      <c r="Z253" s="12"/>
    </row>
    <row r="254" ht="15.75" customHeight="1">
      <c r="A254" s="12"/>
      <c r="B254" s="12"/>
      <c r="C254" s="12"/>
      <c r="D254" s="12"/>
      <c r="E254" s="171"/>
      <c r="F254" s="12"/>
      <c r="G254" s="12"/>
      <c r="H254" s="12"/>
      <c r="I254" s="12"/>
      <c r="J254" s="12"/>
      <c r="K254" s="12"/>
      <c r="L254" s="12"/>
      <c r="M254" s="12"/>
      <c r="N254" s="12"/>
      <c r="O254" s="12"/>
      <c r="P254" s="12"/>
      <c r="Q254" s="12"/>
      <c r="R254" s="12"/>
      <c r="S254" s="180"/>
      <c r="T254" s="12"/>
      <c r="U254" s="12"/>
      <c r="V254" s="12"/>
      <c r="W254" s="12"/>
      <c r="X254" s="12"/>
      <c r="Y254" s="36">
        <f>10%*SA</f>
        <v>100000</v>
      </c>
      <c r="Z254" s="12"/>
    </row>
    <row r="255" ht="15.75" customHeight="1">
      <c r="A255" s="12"/>
      <c r="B255" s="12"/>
      <c r="C255" s="12"/>
      <c r="D255" s="12"/>
      <c r="E255" s="171"/>
      <c r="F255" s="12"/>
      <c r="G255" s="12"/>
      <c r="H255" s="12"/>
      <c r="I255" s="12"/>
      <c r="J255" s="12"/>
      <c r="K255" s="12"/>
      <c r="L255" s="12"/>
      <c r="M255" s="12"/>
      <c r="N255" s="12"/>
      <c r="O255" s="12"/>
      <c r="P255" s="12"/>
      <c r="Q255" s="12"/>
      <c r="R255" s="12"/>
      <c r="S255" s="180"/>
      <c r="T255" s="12"/>
      <c r="U255" s="12"/>
      <c r="V255" s="12"/>
      <c r="W255" s="12"/>
      <c r="X255" s="12"/>
      <c r="Y255" s="36">
        <f>10%*SA</f>
        <v>100000</v>
      </c>
      <c r="Z255" s="12"/>
    </row>
    <row r="256" ht="15.75" customHeight="1">
      <c r="A256" s="12"/>
      <c r="B256" s="12"/>
      <c r="C256" s="12"/>
      <c r="D256" s="12"/>
      <c r="E256" s="171"/>
      <c r="F256" s="12"/>
      <c r="G256" s="12"/>
      <c r="H256" s="12"/>
      <c r="I256" s="12"/>
      <c r="J256" s="12"/>
      <c r="K256" s="12"/>
      <c r="L256" s="12"/>
      <c r="M256" s="12"/>
      <c r="N256" s="12"/>
      <c r="O256" s="12"/>
      <c r="P256" s="12"/>
      <c r="Q256" s="12"/>
      <c r="R256" s="12"/>
      <c r="S256" s="180"/>
      <c r="T256" s="12"/>
      <c r="U256" s="12"/>
      <c r="V256" s="12"/>
      <c r="W256" s="12"/>
      <c r="X256" s="12"/>
      <c r="Y256" s="36">
        <f>10%*SA</f>
        <v>100000</v>
      </c>
      <c r="Z256" s="12"/>
    </row>
    <row r="257" ht="15.75" customHeight="1">
      <c r="A257" s="12"/>
      <c r="B257" s="12"/>
      <c r="C257" s="12"/>
      <c r="D257" s="12"/>
      <c r="E257" s="171"/>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71"/>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71"/>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71"/>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71"/>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71"/>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71"/>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71"/>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71"/>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71"/>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71"/>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71"/>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71"/>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71"/>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71"/>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71"/>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71"/>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71"/>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71"/>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71"/>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71"/>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71"/>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71"/>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71"/>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71"/>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71"/>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71"/>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71"/>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71"/>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71"/>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71"/>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71"/>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71"/>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71"/>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71"/>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71"/>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71"/>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71"/>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71"/>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71"/>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71"/>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71"/>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71"/>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71"/>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71"/>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71"/>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71"/>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71"/>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71"/>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71"/>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71"/>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71"/>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71"/>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71"/>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71"/>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71"/>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71"/>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71"/>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71"/>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71"/>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71"/>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71"/>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71"/>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71"/>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71"/>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71"/>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71"/>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71"/>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71"/>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71"/>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71"/>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71"/>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71"/>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71"/>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71"/>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71"/>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71"/>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71"/>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71"/>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71"/>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71"/>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71"/>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71"/>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71"/>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71"/>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71"/>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71"/>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71"/>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71"/>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71"/>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71"/>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71"/>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71"/>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71"/>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71"/>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71"/>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71"/>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71"/>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71"/>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71"/>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71"/>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71"/>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71"/>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71"/>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71"/>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71"/>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71"/>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71"/>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71"/>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71"/>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71"/>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71"/>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71"/>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71"/>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71"/>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71"/>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71"/>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71"/>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71"/>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71"/>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71"/>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71"/>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71"/>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71"/>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71"/>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71"/>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71"/>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71"/>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71"/>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71"/>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71"/>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71"/>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71"/>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71"/>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71"/>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71"/>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71"/>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71"/>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71"/>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71"/>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71"/>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71"/>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71"/>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71"/>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71"/>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71"/>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71"/>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71"/>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71"/>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71"/>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71"/>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71"/>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71"/>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71"/>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71"/>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71"/>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71"/>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71"/>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71"/>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71"/>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71"/>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71"/>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71"/>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71"/>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71"/>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71"/>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71"/>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71"/>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71"/>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71"/>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71"/>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71"/>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71"/>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71"/>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71"/>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71"/>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71"/>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71"/>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71"/>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71"/>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71"/>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71"/>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71"/>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71"/>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71"/>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71"/>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71"/>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71"/>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71"/>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71"/>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3" width="12.63"/>
    <col customWidth="1" min="14" max="14" width="16.88"/>
    <col customWidth="1" min="15" max="24" width="12.63"/>
  </cols>
  <sheetData>
    <row r="1">
      <c r="A1" s="12"/>
      <c r="B1" s="36"/>
      <c r="C1" s="169"/>
      <c r="D1" s="36"/>
      <c r="E1" s="36"/>
      <c r="F1" s="170"/>
      <c r="G1" s="12"/>
      <c r="H1" s="36"/>
      <c r="I1" s="36"/>
      <c r="J1" s="170"/>
      <c r="K1" s="12"/>
      <c r="L1" s="12"/>
      <c r="M1" s="12"/>
      <c r="N1" s="36"/>
      <c r="O1" s="12"/>
      <c r="P1" s="12"/>
      <c r="Q1" s="12"/>
      <c r="R1" s="12"/>
      <c r="S1" s="12"/>
      <c r="T1" s="12"/>
      <c r="U1" s="36"/>
      <c r="V1" s="12"/>
      <c r="W1" s="12"/>
      <c r="X1" s="12"/>
      <c r="Y1" s="12"/>
      <c r="Z1" s="12"/>
    </row>
    <row r="2">
      <c r="A2" s="36"/>
      <c r="B2" s="36"/>
      <c r="C2" s="36"/>
      <c r="D2" s="36"/>
      <c r="E2" s="36"/>
      <c r="F2" s="36"/>
      <c r="G2" s="36"/>
      <c r="H2" s="36"/>
      <c r="I2" s="36"/>
      <c r="J2" s="36"/>
      <c r="K2" s="12"/>
      <c r="L2" s="12"/>
      <c r="M2" s="12"/>
      <c r="N2" s="36"/>
      <c r="O2" s="12"/>
      <c r="P2" s="12"/>
      <c r="Q2" s="12"/>
      <c r="R2" s="12"/>
      <c r="S2" s="12"/>
      <c r="T2" s="12"/>
      <c r="U2" s="36"/>
      <c r="V2" s="12"/>
      <c r="W2" s="12"/>
      <c r="X2" s="12"/>
      <c r="Y2" s="12"/>
      <c r="Z2" s="12"/>
    </row>
    <row r="3">
      <c r="A3" s="36"/>
      <c r="B3" s="36"/>
      <c r="C3" s="36"/>
      <c r="D3" s="36"/>
      <c r="E3" s="36"/>
      <c r="F3" s="36"/>
      <c r="G3" s="36"/>
      <c r="H3" s="36"/>
      <c r="I3" s="36"/>
      <c r="J3" s="36"/>
      <c r="K3" s="12"/>
      <c r="L3" s="12"/>
      <c r="M3" s="12"/>
      <c r="N3" s="36"/>
      <c r="O3" s="12"/>
      <c r="P3" s="12"/>
      <c r="Q3" s="12"/>
      <c r="R3" s="12"/>
      <c r="S3" s="12"/>
      <c r="T3" s="12"/>
      <c r="U3" s="36"/>
      <c r="V3" s="12"/>
      <c r="W3" s="12"/>
      <c r="X3" s="12"/>
      <c r="Y3" s="12"/>
      <c r="Z3" s="12"/>
    </row>
    <row r="4">
      <c r="A4" s="171" t="s">
        <v>251</v>
      </c>
      <c r="B4" s="171" t="s">
        <v>215</v>
      </c>
      <c r="C4" s="171" t="s">
        <v>252</v>
      </c>
      <c r="D4" s="171" t="s">
        <v>225</v>
      </c>
      <c r="E4" s="171" t="s">
        <v>253</v>
      </c>
      <c r="F4" s="171" t="s">
        <v>216</v>
      </c>
      <c r="G4" s="171" t="s">
        <v>254</v>
      </c>
      <c r="H4" s="171" t="s">
        <v>255</v>
      </c>
      <c r="I4" s="171" t="s">
        <v>256</v>
      </c>
      <c r="J4" s="171" t="s">
        <v>257</v>
      </c>
      <c r="K4" s="171" t="s">
        <v>259</v>
      </c>
      <c r="L4" s="185" t="s">
        <v>270</v>
      </c>
      <c r="M4" s="185" t="s">
        <v>271</v>
      </c>
      <c r="N4" s="171" t="s">
        <v>260</v>
      </c>
      <c r="O4" s="171" t="s">
        <v>261</v>
      </c>
      <c r="P4" s="171" t="s">
        <v>262</v>
      </c>
      <c r="Q4" s="171" t="s">
        <v>239</v>
      </c>
      <c r="R4" s="171" t="s">
        <v>263</v>
      </c>
      <c r="S4" s="112" t="s">
        <v>221</v>
      </c>
      <c r="T4" s="171" t="s">
        <v>62</v>
      </c>
      <c r="U4" s="186">
        <f>(IRR(U7:U246,0)+1)^12-1</f>
        <v>0.02765350509</v>
      </c>
      <c r="V4" s="171"/>
      <c r="W4" s="112"/>
      <c r="X4" s="112" t="s">
        <v>267</v>
      </c>
      <c r="Y4" s="112" t="s">
        <v>268</v>
      </c>
      <c r="Z4" s="112" t="s">
        <v>269</v>
      </c>
    </row>
    <row r="5">
      <c r="A5" s="171"/>
      <c r="B5" s="171"/>
      <c r="C5" s="171"/>
      <c r="D5" s="171"/>
      <c r="E5" s="171"/>
      <c r="F5" s="171"/>
      <c r="G5" s="171"/>
      <c r="H5" s="171"/>
      <c r="I5" s="171"/>
      <c r="J5" s="171"/>
      <c r="K5" s="171"/>
      <c r="L5" s="171"/>
      <c r="M5" s="171"/>
      <c r="N5" s="171"/>
      <c r="O5" s="171"/>
      <c r="P5" s="171"/>
      <c r="Q5" s="171"/>
      <c r="R5" s="171"/>
      <c r="S5" s="112"/>
      <c r="T5" s="112"/>
      <c r="U5" s="171"/>
      <c r="V5" s="171"/>
      <c r="W5" s="112"/>
      <c r="X5" s="112"/>
      <c r="Y5" s="171"/>
      <c r="Z5" s="171"/>
    </row>
    <row r="6">
      <c r="A6" s="171">
        <v>0.0</v>
      </c>
      <c r="B6" s="171"/>
      <c r="C6" s="171"/>
      <c r="D6" s="171"/>
      <c r="E6" s="171"/>
      <c r="F6" s="171"/>
      <c r="G6" s="173"/>
      <c r="H6" s="173"/>
      <c r="I6" s="173"/>
      <c r="J6" s="171"/>
      <c r="K6" s="171"/>
      <c r="L6" s="171"/>
      <c r="M6" s="171"/>
      <c r="N6" s="171"/>
      <c r="O6" s="174">
        <v>0.0</v>
      </c>
      <c r="P6" s="171"/>
      <c r="Q6" s="171"/>
      <c r="R6" s="171"/>
      <c r="S6" s="112"/>
      <c r="T6" s="175">
        <f>SV</f>
        <v>650000</v>
      </c>
      <c r="U6" s="171"/>
      <c r="V6" s="171"/>
      <c r="W6" s="112"/>
      <c r="X6" s="112"/>
      <c r="Y6" s="171"/>
      <c r="Z6" s="171"/>
    </row>
    <row r="7">
      <c r="A7" s="171">
        <f t="shared" ref="A7:A246" si="1">A6+1</f>
        <v>1</v>
      </c>
      <c r="B7" s="171">
        <f t="shared" ref="B7:B246" si="2">_xlfn.CEILING.MATH(A7/12)</f>
        <v>1</v>
      </c>
      <c r="C7" s="176">
        <f>EDATE(RCD,A6)</f>
        <v>42551</v>
      </c>
      <c r="D7" s="171">
        <f>Age_At_Entry+Cashflows_Backtesting!B7-1</f>
        <v>35</v>
      </c>
      <c r="E7" s="175">
        <f>IF(AND(C7&lt;=Last_Prem,MOD(A6,Mode)=0),Mod_Prem,0)</f>
        <v>100000</v>
      </c>
      <c r="F7" s="177">
        <f>E7*VLOOKUP(B7,'Pre-Calculation'!$H$1:$I$31,2,FALSE)</f>
        <v>6000</v>
      </c>
      <c r="G7" s="177">
        <f>IF(B7&lt;PT+1,VLOOKUP(B7,'Pre-Calculation'!$H$1:$L$32,3,FALSE)+VLOOKUP(B7,'Pre-Calculation'!$H$1:$L$32,4,FALSE)*'Pre-Calculation'!$D$7,0)</f>
        <v>420</v>
      </c>
      <c r="H7" s="175">
        <f>(E7-(F7+G7)*(1+Tax)+O6)</f>
        <v>92424.4</v>
      </c>
      <c r="I7" s="175">
        <f>IF(B7&lt;PT+1,VLOOKUP(D7,'Pre-Calculation'!$N$3:$P$79,IF(INPUT!$C$4="M",2,3),FALSE)*(J7/1000)*(1/12),0)</f>
        <v>96.9593266</v>
      </c>
      <c r="J7" s="175">
        <f>MAX(0,(SA-H7))</f>
        <v>907575.6</v>
      </c>
      <c r="K7" s="175">
        <f>H7-I7*(1+Tax)</f>
        <v>92309.98799</v>
      </c>
      <c r="L7" s="187">
        <f>VLOOKUP(C7,'NAVs_Till 29 Jun 2021'!$A$3:$J$2236,MATCH('Pre-Calculation'!$C$34,'NAVs_Till 29 Jun 2021'!$A$1:$J$1,0))</f>
        <v>10.7606</v>
      </c>
      <c r="M7" s="187">
        <f>IFERROR(1,VLOOKUP(C7,'NAVs_Till 29 Jun 2021'!$A$3:$J$2236,MATCH(#REF!,'NAVs_Till 29 Jun 2021'!$A$1:$J$1,0)))</f>
        <v>1</v>
      </c>
      <c r="N7" s="175">
        <f>VLOOKUP('Pre-Calculation'!$C$34,INPUT!$B$20:$C$28,2,0)*K7*(L8/L7)+ IFERROR(0,VLOOKUP('Pre-Calculation'!$D$34,INPUT!$B$20:$C$28,2,0))*K7*(M8/M7)</f>
        <v>96126.57012</v>
      </c>
      <c r="O7" s="175">
        <f t="shared" ref="O7:O246" si="3">N7*(1+$V$10)</f>
        <v>96126.57012</v>
      </c>
      <c r="P7" s="175">
        <f t="shared" ref="P7:P246" si="4">O7</f>
        <v>96126.57012</v>
      </c>
      <c r="Q7" s="175">
        <f>IF('Pre-Calculation'!$D$17="Type 4 a",MAX(SA,O7,1.05*R7),IF('Pre-Calculation'!$D$17="Type 4 c",O7,IF('Pre-Calculation'!$D$17="Type 4 d",SA+O7,IF('Pre-Calculation'!$D$17="Type 4 e",MAX(SA,O7),IF('Pre-Calculation'!$D$17="Type 4 f",SA,IF('Pre-Calculation'!$D$17="Type 4 g",1000+O7,IF('Pre-Calculation'!$D$17="Type 4 h",SA+X7,IF('Pre-Calculation'!$D$17="Type 4 i",MAX(O7,R7),IF('Pre-Calculation'!$D$17="Type 4 k",MAX(O7,1.01*R7),IF('Pre-Calculation'!$D$17="Type 4 m",MAX(105%*R7,SA+O7),IF('Pre-Calculation'!$D$17="Type 4 o",MAX(SA,105%*R7)+X7+Z7,IF('Pre-Calculation'!$D$17="Type 5",0))))))))))))</f>
        <v>1000000</v>
      </c>
      <c r="R7" s="175">
        <f t="shared" ref="R7:R246" si="5">R6+E7</f>
        <v>100000</v>
      </c>
      <c r="S7" s="119">
        <f>K7*(1+GROWTH_RATE)*FMC</f>
        <v>104.4600644</v>
      </c>
      <c r="T7" s="178">
        <f>T6*(1+'Pre-Calculation'!$E$27)</f>
        <v>651866.0842</v>
      </c>
      <c r="U7" s="175">
        <f>-E7+IF(A6=INPUT!$C$11*12,O7,0)</f>
        <v>-100000</v>
      </c>
      <c r="V7" s="171"/>
      <c r="W7" s="112"/>
      <c r="X7" s="179">
        <f t="array" ref="X7">NPV('Pre-Calculation'!$E$20,$E8:E$246)</f>
        <v>651523.2249</v>
      </c>
      <c r="Y7" s="171">
        <f>10%*SA</f>
        <v>100000</v>
      </c>
      <c r="Z7" s="179">
        <f t="array" ref="Z7">NPV('Pre-Calculation'!$E$20,Y8:Y17)</f>
        <v>969592.8037</v>
      </c>
    </row>
    <row r="8">
      <c r="A8" s="171">
        <f t="shared" si="1"/>
        <v>2</v>
      </c>
      <c r="B8" s="171">
        <f t="shared" si="2"/>
        <v>1</v>
      </c>
      <c r="C8" s="176">
        <f>EDATE(RCD,A7)</f>
        <v>42581</v>
      </c>
      <c r="D8" s="171">
        <f>Age_At_Entry+Cashflows_Backtesting!B8-1</f>
        <v>35</v>
      </c>
      <c r="E8" s="175">
        <f>IF(AND(C8&lt;=Last_Prem,MOD(A7,Mode)=0),Mod_Prem,0)</f>
        <v>0</v>
      </c>
      <c r="F8" s="177">
        <f>E8*VLOOKUP(B8,'Pre-Calculation'!$H$1:$I$31,2,FALSE)</f>
        <v>0</v>
      </c>
      <c r="G8" s="177">
        <f>IF(B8&lt;PT+1,VLOOKUP(B8,'Pre-Calculation'!$H$1:$L$32,3,FALSE)+VLOOKUP(B8,'Pre-Calculation'!$H$1:$L$32,4,FALSE)*'Pre-Calculation'!$D$7,0)</f>
        <v>420</v>
      </c>
      <c r="H8" s="175">
        <f>(E8-(F8+G8)*(1+Tax)+O7)</f>
        <v>95630.97012</v>
      </c>
      <c r="I8" s="175">
        <f>IF(B8&lt;PT+1,VLOOKUP(D8,'Pre-Calculation'!$N$3:$P$79,IF(INPUT!$C$4="M",2,3),FALSE)*(J8/1000)*(1/12),0)</f>
        <v>96.61675803</v>
      </c>
      <c r="J8" s="175">
        <f>MAX(0,(SA-H8))</f>
        <v>904369.0299</v>
      </c>
      <c r="K8" s="175">
        <f>H8-I8*(1+Tax)</f>
        <v>95516.96235</v>
      </c>
      <c r="L8" s="187">
        <f>VLOOKUP(C8,'NAVs_Till 29 Jun 2021'!$A$3:$J$2236,MATCH('Pre-Calculation'!$C$34,'NAVs_Till 29 Jun 2021'!$A$1:$J$1,0))</f>
        <v>11.2055</v>
      </c>
      <c r="M8" s="187">
        <f>IFERROR(1,VLOOKUP(C8,'NAVs_Till 29 Jun 2021'!$A$3:$J$2236,MATCH(#REF!,'NAVs_Till 29 Jun 2021'!$A$1:$J$1,0)))</f>
        <v>1</v>
      </c>
      <c r="N8" s="175">
        <f>VLOOKUP('Pre-Calculation'!$C$34,INPUT!$B$20:$C$28,2,0)*K8*(L9/L8)+ IFERROR(0,VLOOKUP('Pre-Calculation'!$D$34,INPUT!$B$20:$C$28,2,0))*K8*(M9/M8)</f>
        <v>96371.0786</v>
      </c>
      <c r="O8" s="175">
        <f t="shared" si="3"/>
        <v>96371.0786</v>
      </c>
      <c r="P8" s="175">
        <f t="shared" si="4"/>
        <v>96371.0786</v>
      </c>
      <c r="Q8" s="175">
        <f>IF('Pre-Calculation'!$D$17="Type 4 a",MAX(SA,O8,1.05*R8),IF('Pre-Calculation'!$D$17="Type 4 c",O8,IF('Pre-Calculation'!$D$17="Type 4 d",SA+O8,IF('Pre-Calculation'!$D$17="Type 4 e",MAX(SA,O8),IF('Pre-Calculation'!$D$17="Type 4 f",SA,IF('Pre-Calculation'!$D$17="Type 4 g",1000+O8,IF('Pre-Calculation'!$D$17="Type 4 h",SA+S8,IF('Pre-Calculation'!$D$17="Type 4 i",MAX(O8,R8),IF('Pre-Calculation'!$D$17="Type 4 k",MAX(O8,1.01*R8),IF('Pre-Calculation'!$D$17="Type 4 m",MAX(105%*R8,SA+O8),IF('Pre-Calculation'!$D$17="Type 4 o",MAX(SA,105%*R8)+X8+Z8,IF('Pre-Calculation'!$D$17="Type 5",0))))))))))))</f>
        <v>1000000</v>
      </c>
      <c r="R8" s="175">
        <f t="shared" si="5"/>
        <v>100000</v>
      </c>
      <c r="S8" s="119">
        <f>K8*(1+GROWTH_RATE)*FMC</f>
        <v>108.0891489</v>
      </c>
      <c r="T8" s="178">
        <f>T7*(1+'Pre-Calculation'!$E$27)</f>
        <v>653737.5257</v>
      </c>
      <c r="U8" s="175">
        <f>-E8+IF(A7=INPUT!$C$11*12,O8,0)</f>
        <v>0</v>
      </c>
      <c r="V8" s="171"/>
      <c r="W8" s="112"/>
      <c r="X8" s="179">
        <f t="array" ref="X8">NPV('Pre-Calculation'!$E$20,$E9:E$246)</f>
        <v>655207.0319</v>
      </c>
      <c r="Y8" s="171">
        <f>10%*SA</f>
        <v>100000</v>
      </c>
      <c r="Z8" s="179">
        <f t="array" ref="Z8">NPV('Pre-Calculation'!$E$20,Y9:Y18)</f>
        <v>969592.8037</v>
      </c>
    </row>
    <row r="9">
      <c r="A9" s="171">
        <f t="shared" si="1"/>
        <v>3</v>
      </c>
      <c r="B9" s="171">
        <f t="shared" si="2"/>
        <v>1</v>
      </c>
      <c r="C9" s="176">
        <f>EDATE(RCD,A8)</f>
        <v>42612</v>
      </c>
      <c r="D9" s="171">
        <f>Age_At_Entry+Cashflows_Backtesting!B9-1</f>
        <v>35</v>
      </c>
      <c r="E9" s="175">
        <f>IF(AND(C9&lt;=Last_Prem,MOD(A8,Mode)=0),Mod_Prem,0)</f>
        <v>0</v>
      </c>
      <c r="F9" s="177">
        <f>E9*VLOOKUP(B9,'Pre-Calculation'!$H$1:$I$31,2,FALSE)</f>
        <v>0</v>
      </c>
      <c r="G9" s="177">
        <f>IF(B9&lt;PT+1,VLOOKUP(B9,'Pre-Calculation'!$H$1:$L$32,3,FALSE)+VLOOKUP(B9,'Pre-Calculation'!$H$1:$L$32,4,FALSE)*'Pre-Calculation'!$D$7,0)</f>
        <v>420</v>
      </c>
      <c r="H9" s="175">
        <f>(E9-(F9+G9)*(1+Tax)+O8)</f>
        <v>95875.4786</v>
      </c>
      <c r="I9" s="175">
        <f>IF(B9&lt;PT+1,VLOOKUP(D9,'Pre-Calculation'!$N$3:$P$79,IF(INPUT!$C$4="M",2,3),FALSE)*(J9/1000)*(1/12),0)</f>
        <v>96.59063637</v>
      </c>
      <c r="J9" s="175">
        <f>MAX(0,(SA-H9))</f>
        <v>904124.5214</v>
      </c>
      <c r="K9" s="175">
        <f>H9-I9*(1+Tax)</f>
        <v>95761.50165</v>
      </c>
      <c r="L9" s="187">
        <f>VLOOKUP(C9,'NAVs_Till 29 Jun 2021'!$A$3:$J$2236,MATCH('Pre-Calculation'!$C$34,'NAVs_Till 29 Jun 2021'!$A$1:$J$1,0))</f>
        <v>11.3057</v>
      </c>
      <c r="M9" s="187">
        <f>IFERROR(1,VLOOKUP(C9,'NAVs_Till 29 Jun 2021'!$A$3:$J$2236,MATCH(#REF!,'NAVs_Till 29 Jun 2021'!$A$1:$J$1,0)))</f>
        <v>1</v>
      </c>
      <c r="N9" s="175">
        <f>VLOOKUP('Pre-Calculation'!$C$34,INPUT!$B$20:$C$28,2,0)*K9*(L10/L9)+ IFERROR(0,VLOOKUP('Pre-Calculation'!$D$34,INPUT!$B$20:$C$28,2,0))*K9*(M10/M9)</f>
        <v>94820.46281</v>
      </c>
      <c r="O9" s="175">
        <f t="shared" si="3"/>
        <v>94820.46281</v>
      </c>
      <c r="P9" s="175">
        <f t="shared" si="4"/>
        <v>94820.46281</v>
      </c>
      <c r="Q9" s="175">
        <f>IF('Pre-Calculation'!$D$17="Type 4 a",MAX(SA,O9,1.05*R9),IF('Pre-Calculation'!$D$17="Type 4 c",O9,IF('Pre-Calculation'!$D$17="Type 4 d",SA+O9,IF('Pre-Calculation'!$D$17="Type 4 e",MAX(SA,O9),IF('Pre-Calculation'!$D$17="Type 4 f",SA,IF('Pre-Calculation'!$D$17="Type 4 g",1000+O9,IF('Pre-Calculation'!$D$17="Type 4 h",SA+S9,IF('Pre-Calculation'!$D$17="Type 4 i",MAX(O9,R9),IF('Pre-Calculation'!$D$17="Type 4 k",MAX(O9,1.01*R9),IF('Pre-Calculation'!$D$17="Type 4 m",MAX(105%*R9,SA+O9),IF('Pre-Calculation'!$D$17="Type 4 o",MAX(SA,105%*R9)+X9+Z9,IF('Pre-Calculation'!$D$17="Type 5",0))))))))))))</f>
        <v>1000000</v>
      </c>
      <c r="R9" s="175">
        <f t="shared" si="5"/>
        <v>100000</v>
      </c>
      <c r="S9" s="119">
        <f>K9*(1+GROWTH_RATE)*FMC</f>
        <v>108.3658751</v>
      </c>
      <c r="T9" s="178">
        <f>T8*(1+'Pre-Calculation'!$E$27)</f>
        <v>655614.3399</v>
      </c>
      <c r="U9" s="175">
        <f>-E9+IF(A8=INPUT!$C$11*12,O9,0)</f>
        <v>0</v>
      </c>
      <c r="V9" s="112"/>
      <c r="W9" s="112"/>
      <c r="X9" s="179">
        <f t="array" ref="X9">NPV('Pre-Calculation'!$E$20,$E10:E$246)</f>
        <v>658911.6677</v>
      </c>
      <c r="Y9" s="171">
        <f>10%*SA</f>
        <v>100000</v>
      </c>
      <c r="Z9" s="179">
        <f t="array" ref="Z9">NPV('Pre-Calculation'!$E$20,Y10:Y19)</f>
        <v>969592.8037</v>
      </c>
    </row>
    <row r="10">
      <c r="A10" s="171">
        <f t="shared" si="1"/>
        <v>4</v>
      </c>
      <c r="B10" s="171">
        <f t="shared" si="2"/>
        <v>1</v>
      </c>
      <c r="C10" s="176">
        <f>EDATE(RCD,A9)</f>
        <v>42643</v>
      </c>
      <c r="D10" s="171">
        <f>Age_At_Entry+Cashflows_Backtesting!B10-1</f>
        <v>35</v>
      </c>
      <c r="E10" s="175">
        <f>IF(AND(C10&lt;=Last_Prem,MOD(A9,Mode)=0),Mod_Prem,0)</f>
        <v>0</v>
      </c>
      <c r="F10" s="177">
        <f>E10*VLOOKUP(B10,'Pre-Calculation'!$H$1:$I$31,2,FALSE)</f>
        <v>0</v>
      </c>
      <c r="G10" s="177">
        <f>IF(B10&lt;PT+1,VLOOKUP(B10,'Pre-Calculation'!$H$1:$L$32,3,FALSE)+VLOOKUP(B10,'Pre-Calculation'!$H$1:$L$32,4,FALSE)*'Pre-Calculation'!$D$7,0)</f>
        <v>420</v>
      </c>
      <c r="H10" s="175">
        <f>(E10-(F10+G10)*(1+Tax)+O9)</f>
        <v>94324.86281</v>
      </c>
      <c r="I10" s="175">
        <f>IF(B10&lt;PT+1,VLOOKUP(D10,'Pre-Calculation'!$N$3:$P$79,IF(INPUT!$C$4="M",2,3),FALSE)*(J10/1000)*(1/12),0)</f>
        <v>96.75629382</v>
      </c>
      <c r="J10" s="175">
        <f>MAX(0,(SA-H10))</f>
        <v>905675.1372</v>
      </c>
      <c r="K10" s="175">
        <f>H10-I10*(1+Tax)</f>
        <v>94210.69038</v>
      </c>
      <c r="L10" s="187">
        <f>VLOOKUP(C10,'NAVs_Till 29 Jun 2021'!$A$3:$J$2236,MATCH('Pre-Calculation'!$C$34,'NAVs_Till 29 Jun 2021'!$A$1:$J$1,0))</f>
        <v>11.1946</v>
      </c>
      <c r="M10" s="187">
        <f>IFERROR(1,VLOOKUP(C10,'NAVs_Till 29 Jun 2021'!$A$3:$J$2236,MATCH(#REF!,'NAVs_Till 29 Jun 2021'!$A$1:$J$1,0)))</f>
        <v>1</v>
      </c>
      <c r="N10" s="175">
        <f>VLOOKUP('Pre-Calculation'!$C$34,INPUT!$B$20:$C$28,2,0)*K10*(L11/L10)+ IFERROR(0,VLOOKUP('Pre-Calculation'!$D$34,INPUT!$B$20:$C$28,2,0))*K10*(M11/M10)</f>
        <v>96646.20159</v>
      </c>
      <c r="O10" s="175">
        <f t="shared" si="3"/>
        <v>96646.20159</v>
      </c>
      <c r="P10" s="175">
        <f t="shared" si="4"/>
        <v>96646.20159</v>
      </c>
      <c r="Q10" s="175">
        <f>IF('Pre-Calculation'!$D$17="Type 4 a",MAX(SA,O10,1.05*R10),IF('Pre-Calculation'!$D$17="Type 4 c",O10,IF('Pre-Calculation'!$D$17="Type 4 d",SA+O10,IF('Pre-Calculation'!$D$17="Type 4 e",MAX(SA,O10),IF('Pre-Calculation'!$D$17="Type 4 f",SA,IF('Pre-Calculation'!$D$17="Type 4 g",1000+O10,IF('Pre-Calculation'!$D$17="Type 4 h",SA+S10,IF('Pre-Calculation'!$D$17="Type 4 i",MAX(O10,R10),IF('Pre-Calculation'!$D$17="Type 4 k",MAX(O10,1.01*R10),IF('Pre-Calculation'!$D$17="Type 4 m",MAX(105%*R10,SA+O10),IF('Pre-Calculation'!$D$17="Type 4 o",MAX(SA,105%*R10)+X10+Z10,IF('Pre-Calculation'!$D$17="Type 5",0))))))))))))</f>
        <v>1000000</v>
      </c>
      <c r="R10" s="175">
        <f t="shared" si="5"/>
        <v>100000</v>
      </c>
      <c r="S10" s="119">
        <f>K10*(1+GROWTH_RATE)*FMC</f>
        <v>106.6109421</v>
      </c>
      <c r="T10" s="178">
        <f>T9*(1+'Pre-Calculation'!$E$27)</f>
        <v>657496.5423</v>
      </c>
      <c r="U10" s="175">
        <f>-E10+IF(A9=INPUT!$C$11*12,O10,0)</f>
        <v>0</v>
      </c>
      <c r="V10" s="171"/>
      <c r="W10" s="112"/>
      <c r="X10" s="179">
        <f t="array" ref="X10">NPV('Pre-Calculation'!$E$20,$E11:E$246)</f>
        <v>662637.2501</v>
      </c>
      <c r="Y10" s="171">
        <f>10%*SA</f>
        <v>100000</v>
      </c>
      <c r="Z10" s="179">
        <f t="array" ref="Z10">NPV('Pre-Calculation'!$E$20,Y11:Y20)</f>
        <v>969592.8037</v>
      </c>
    </row>
    <row r="11">
      <c r="A11" s="171">
        <f t="shared" si="1"/>
        <v>5</v>
      </c>
      <c r="B11" s="171">
        <f t="shared" si="2"/>
        <v>1</v>
      </c>
      <c r="C11" s="176">
        <f>EDATE(RCD,A10)</f>
        <v>42673</v>
      </c>
      <c r="D11" s="171">
        <f>Age_At_Entry+Cashflows_Backtesting!B11-1</f>
        <v>35</v>
      </c>
      <c r="E11" s="175">
        <f>IF(AND(C11&lt;=Last_Prem,MOD(A10,Mode)=0),Mod_Prem,0)</f>
        <v>0</v>
      </c>
      <c r="F11" s="177">
        <f>E11*VLOOKUP(B11,'Pre-Calculation'!$H$1:$I$31,2,FALSE)</f>
        <v>0</v>
      </c>
      <c r="G11" s="177">
        <f>IF(B11&lt;PT+1,VLOOKUP(B11,'Pre-Calculation'!$H$1:$L$32,3,FALSE)+VLOOKUP(B11,'Pre-Calculation'!$H$1:$L$32,4,FALSE)*'Pre-Calculation'!$D$7,0)</f>
        <v>420</v>
      </c>
      <c r="H11" s="175">
        <f>(E11-(F11+G11)*(1+Tax)+O10)</f>
        <v>96150.60159</v>
      </c>
      <c r="I11" s="175">
        <f>IF(B11&lt;PT+1,VLOOKUP(D11,'Pre-Calculation'!$N$3:$P$79,IF(INPUT!$C$4="M",2,3),FALSE)*(J11/1000)*(1/12),0)</f>
        <v>96.56124406</v>
      </c>
      <c r="J11" s="175">
        <f>MAX(0,(SA-H11))</f>
        <v>903849.3984</v>
      </c>
      <c r="K11" s="175">
        <f>H11-I11*(1+Tax)</f>
        <v>96036.65932</v>
      </c>
      <c r="L11" s="187">
        <f>VLOOKUP(C11,'NAVs_Till 29 Jun 2021'!$A$3:$J$2236,MATCH('Pre-Calculation'!$C$34,'NAVs_Till 29 Jun 2021'!$A$1:$J$1,0))</f>
        <v>11.484</v>
      </c>
      <c r="M11" s="187">
        <f>IFERROR(1,VLOOKUP(C11,'NAVs_Till 29 Jun 2021'!$A$3:$J$2236,MATCH(#REF!,'NAVs_Till 29 Jun 2021'!$A$1:$J$1,0)))</f>
        <v>1</v>
      </c>
      <c r="N11" s="175">
        <f>VLOOKUP('Pre-Calculation'!$C$34,INPUT!$B$20:$C$28,2,0)*K11*(L12/L11)+ IFERROR(0,VLOOKUP('Pre-Calculation'!$D$34,INPUT!$B$20:$C$28,2,0))*K11*(M12/M11)</f>
        <v>91304.23634</v>
      </c>
      <c r="O11" s="175">
        <f t="shared" si="3"/>
        <v>91304.23634</v>
      </c>
      <c r="P11" s="175">
        <f t="shared" si="4"/>
        <v>91304.23634</v>
      </c>
      <c r="Q11" s="175">
        <f>IF('Pre-Calculation'!$D$17="Type 4 a",MAX(SA,O11,1.05*R11),IF('Pre-Calculation'!$D$17="Type 4 c",O11,IF('Pre-Calculation'!$D$17="Type 4 d",SA+O11,IF('Pre-Calculation'!$D$17="Type 4 e",MAX(SA,O11),IF('Pre-Calculation'!$D$17="Type 4 f",SA,IF('Pre-Calculation'!$D$17="Type 4 g",1000+O11,IF('Pre-Calculation'!$D$17="Type 4 h",SA+S11,IF('Pre-Calculation'!$D$17="Type 4 i",MAX(O11,R11),IF('Pre-Calculation'!$D$17="Type 4 k",MAX(O11,1.01*R11),IF('Pre-Calculation'!$D$17="Type 4 m",MAX(105%*R11,SA+O11),IF('Pre-Calculation'!$D$17="Type 4 o",MAX(SA,105%*R11)+X11+Z11,IF('Pre-Calculation'!$D$17="Type 5",0))))))))))))</f>
        <v>1000000</v>
      </c>
      <c r="R11" s="175">
        <f t="shared" si="5"/>
        <v>100000</v>
      </c>
      <c r="S11" s="119">
        <f>K11*(1+GROWTH_RATE)*FMC</f>
        <v>108.6772497</v>
      </c>
      <c r="T11" s="178">
        <f>T10*(1+'Pre-Calculation'!$E$27)</f>
        <v>659384.1482</v>
      </c>
      <c r="U11" s="175">
        <f>-E11+IF(A10=INPUT!$C$11*12,O11,0)</f>
        <v>0</v>
      </c>
      <c r="V11" s="112"/>
      <c r="W11" s="112"/>
      <c r="X11" s="179">
        <f t="array" ref="X11">NPV('Pre-Calculation'!$E$20,$E12:E$246)</f>
        <v>666383.8975</v>
      </c>
      <c r="Y11" s="171">
        <f>10%*SA</f>
        <v>100000</v>
      </c>
      <c r="Z11" s="179">
        <f t="array" ref="Z11">NPV('Pre-Calculation'!$E$20,Y12:Y21)</f>
        <v>969592.8037</v>
      </c>
    </row>
    <row r="12">
      <c r="A12" s="171">
        <f t="shared" si="1"/>
        <v>6</v>
      </c>
      <c r="B12" s="171">
        <f t="shared" si="2"/>
        <v>1</v>
      </c>
      <c r="C12" s="176">
        <f>EDATE(RCD,A11)</f>
        <v>42704</v>
      </c>
      <c r="D12" s="171">
        <f>Age_At_Entry+Cashflows_Backtesting!B12-1</f>
        <v>35</v>
      </c>
      <c r="E12" s="175">
        <f>IF(AND(C12&lt;=Last_Prem,MOD(A11,Mode)=0),Mod_Prem,0)</f>
        <v>0</v>
      </c>
      <c r="F12" s="177">
        <f>E12*VLOOKUP(B12,'Pre-Calculation'!$H$1:$I$31,2,FALSE)</f>
        <v>0</v>
      </c>
      <c r="G12" s="177">
        <f>IF(B12&lt;PT+1,VLOOKUP(B12,'Pre-Calculation'!$H$1:$L$32,3,FALSE)+VLOOKUP(B12,'Pre-Calculation'!$H$1:$L$32,4,FALSE)*'Pre-Calculation'!$D$7,0)</f>
        <v>420</v>
      </c>
      <c r="H12" s="175">
        <f>(E12-(F12+G12)*(1+Tax)+O11)</f>
        <v>90808.63634</v>
      </c>
      <c r="I12" s="175">
        <f>IF(B12&lt;PT+1,VLOOKUP(D12,'Pre-Calculation'!$N$3:$P$79,IF(INPUT!$C$4="M",2,3),FALSE)*(J12/1000)*(1/12),0)</f>
        <v>97.13194402</v>
      </c>
      <c r="J12" s="175">
        <f>MAX(0,(SA-H12))</f>
        <v>909191.3637</v>
      </c>
      <c r="K12" s="175">
        <f>H12-I12*(1+Tax)</f>
        <v>90694.02065</v>
      </c>
      <c r="L12" s="187">
        <f>VLOOKUP(C12,'NAVs_Till 29 Jun 2021'!$A$3:$J$2236,MATCH('Pre-Calculation'!$C$34,'NAVs_Till 29 Jun 2021'!$A$1:$J$1,0))</f>
        <v>10.9181</v>
      </c>
      <c r="M12" s="187">
        <f>IFERROR(1,VLOOKUP(C12,'NAVs_Till 29 Jun 2021'!$A$3:$J$2236,MATCH(#REF!,'NAVs_Till 29 Jun 2021'!$A$1:$J$1,0)))</f>
        <v>1</v>
      </c>
      <c r="N12" s="175">
        <f>VLOOKUP('Pre-Calculation'!$C$34,INPUT!$B$20:$C$28,2,0)*K12*(L13/L12)+ IFERROR(0,VLOOKUP('Pre-Calculation'!$D$34,INPUT!$B$20:$C$28,2,0))*K12*(M13/M12)</f>
        <v>90132.48377</v>
      </c>
      <c r="O12" s="175">
        <f t="shared" si="3"/>
        <v>90132.48377</v>
      </c>
      <c r="P12" s="175">
        <f t="shared" si="4"/>
        <v>90132.48377</v>
      </c>
      <c r="Q12" s="175">
        <f>IF('Pre-Calculation'!$D$17="Type 4 a",MAX(SA,O12,1.05*R12),IF('Pre-Calculation'!$D$17="Type 4 c",O12,IF('Pre-Calculation'!$D$17="Type 4 d",SA+O12,IF('Pre-Calculation'!$D$17="Type 4 e",MAX(SA,O12),IF('Pre-Calculation'!$D$17="Type 4 f",SA,IF('Pre-Calculation'!$D$17="Type 4 g",1000+O12,IF('Pre-Calculation'!$D$17="Type 4 h",SA+S12,IF('Pre-Calculation'!$D$17="Type 4 i",MAX(O12,R12),IF('Pre-Calculation'!$D$17="Type 4 k",MAX(O12,1.01*R12),IF('Pre-Calculation'!$D$17="Type 4 m",MAX(105%*R12,SA+O12),IF('Pre-Calculation'!$D$17="Type 4 o",MAX(SA,105%*R12)+X12+Z12,IF('Pre-Calculation'!$D$17="Type 5",0))))))))))))</f>
        <v>1000000</v>
      </c>
      <c r="R12" s="175">
        <f t="shared" si="5"/>
        <v>100000</v>
      </c>
      <c r="S12" s="119">
        <f>K12*(1+GROWTH_RATE)*FMC</f>
        <v>102.6313993</v>
      </c>
      <c r="T12" s="178">
        <f>T11*(1+'Pre-Calculation'!$E$27)</f>
        <v>661277.1734</v>
      </c>
      <c r="U12" s="175">
        <f>-E12+IF(A11=INPUT!$C$11*12,O12,0)</f>
        <v>0</v>
      </c>
      <c r="V12" s="112"/>
      <c r="W12" s="112"/>
      <c r="X12" s="179">
        <f t="array" ref="X12">NPV('Pre-Calculation'!$E$20,$E13:E$246)</f>
        <v>670151.7289</v>
      </c>
      <c r="Y12" s="171">
        <f>10%*SA</f>
        <v>100000</v>
      </c>
      <c r="Z12" s="179">
        <f t="array" ref="Z12">NPV('Pre-Calculation'!$E$20,Y13:Y22)</f>
        <v>969592.8037</v>
      </c>
    </row>
    <row r="13">
      <c r="A13" s="171">
        <f t="shared" si="1"/>
        <v>7</v>
      </c>
      <c r="B13" s="171">
        <f t="shared" si="2"/>
        <v>1</v>
      </c>
      <c r="C13" s="176">
        <f>EDATE(RCD,A12)</f>
        <v>42734</v>
      </c>
      <c r="D13" s="171">
        <f>Age_At_Entry+Cashflows_Backtesting!B13-1</f>
        <v>35</v>
      </c>
      <c r="E13" s="175">
        <f>IF(AND(C13&lt;=Last_Prem,MOD(A12,Mode)=0),Mod_Prem,0)</f>
        <v>0</v>
      </c>
      <c r="F13" s="177">
        <f>E13*VLOOKUP(B13,'Pre-Calculation'!$H$1:$I$31,2,FALSE)</f>
        <v>0</v>
      </c>
      <c r="G13" s="177">
        <f>IF(B13&lt;PT+1,VLOOKUP(B13,'Pre-Calculation'!$H$1:$L$32,3,FALSE)+VLOOKUP(B13,'Pre-Calculation'!$H$1:$L$32,4,FALSE)*'Pre-Calculation'!$D$7,0)</f>
        <v>420</v>
      </c>
      <c r="H13" s="175">
        <f>(E13-(F13+G13)*(1+Tax)+O12)</f>
        <v>89636.88377</v>
      </c>
      <c r="I13" s="175">
        <f>IF(B13&lt;PT+1,VLOOKUP(D13,'Pre-Calculation'!$N$3:$P$79,IF(INPUT!$C$4="M",2,3),FALSE)*(J13/1000)*(1/12),0)</f>
        <v>97.25712625</v>
      </c>
      <c r="J13" s="175">
        <f>MAX(0,(SA-H13))</f>
        <v>910363.1162</v>
      </c>
      <c r="K13" s="175">
        <f>H13-I13*(1+Tax)</f>
        <v>89522.12036</v>
      </c>
      <c r="L13" s="187">
        <f>VLOOKUP(C13,'NAVs_Till 29 Jun 2021'!$A$3:$J$2236,MATCH('Pre-Calculation'!$C$34,'NAVs_Till 29 Jun 2021'!$A$1:$J$1,0))</f>
        <v>10.8505</v>
      </c>
      <c r="M13" s="187">
        <f>IFERROR(1,VLOOKUP(C13,'NAVs_Till 29 Jun 2021'!$A$3:$J$2236,MATCH(#REF!,'NAVs_Till 29 Jun 2021'!$A$1:$J$1,0)))</f>
        <v>1</v>
      </c>
      <c r="N13" s="175">
        <f>VLOOKUP('Pre-Calculation'!$C$34,INPUT!$B$20:$C$28,2,0)*K13*(L14/L13)+ IFERROR(0,VLOOKUP('Pre-Calculation'!$D$34,INPUT!$B$20:$C$28,2,0))*K13*(M14/M13)</f>
        <v>94361.0424</v>
      </c>
      <c r="O13" s="175">
        <f t="shared" si="3"/>
        <v>94361.0424</v>
      </c>
      <c r="P13" s="175">
        <f t="shared" si="4"/>
        <v>94361.0424</v>
      </c>
      <c r="Q13" s="175">
        <f>IF('Pre-Calculation'!$D$17="Type 4 a",MAX(SA,O13,1.05*R13),IF('Pre-Calculation'!$D$17="Type 4 c",O13,IF('Pre-Calculation'!$D$17="Type 4 d",SA+O13,IF('Pre-Calculation'!$D$17="Type 4 e",MAX(SA,O13),IF('Pre-Calculation'!$D$17="Type 4 f",SA,IF('Pre-Calculation'!$D$17="Type 4 g",1000+O13,IF('Pre-Calculation'!$D$17="Type 4 h",SA+S13,IF('Pre-Calculation'!$D$17="Type 4 i",MAX(O13,R13),IF('Pre-Calculation'!$D$17="Type 4 k",MAX(O13,1.01*R13),IF('Pre-Calculation'!$D$17="Type 4 m",MAX(105%*R13,SA+O13),IF('Pre-Calculation'!$D$17="Type 4 o",MAX(SA,105%*R13)+X13+Z13,IF('Pre-Calculation'!$D$17="Type 5",0))))))))))))</f>
        <v>1000000</v>
      </c>
      <c r="R13" s="175">
        <f t="shared" si="5"/>
        <v>100000</v>
      </c>
      <c r="S13" s="119">
        <f>K13*(1+GROWTH_RATE)*FMC</f>
        <v>101.3052505</v>
      </c>
      <c r="T13" s="178">
        <f>T12*(1+'Pre-Calculation'!$E$27)</f>
        <v>663175.6331</v>
      </c>
      <c r="U13" s="175">
        <f>-E13+IF(A12=INPUT!$C$11*12,O13,0)</f>
        <v>0</v>
      </c>
      <c r="V13" s="181"/>
      <c r="W13" s="112"/>
      <c r="X13" s="179">
        <f t="array" ref="X13">NPV('Pre-Calculation'!$E$20,$E14:E$246)</f>
        <v>673940.8642</v>
      </c>
      <c r="Y13" s="171">
        <f>10%*SA</f>
        <v>100000</v>
      </c>
      <c r="Z13" s="179">
        <f t="array" ref="Z13">NPV('Pre-Calculation'!$E$20,Y14:Y23)</f>
        <v>969592.8037</v>
      </c>
    </row>
    <row r="14">
      <c r="A14" s="171">
        <f t="shared" si="1"/>
        <v>8</v>
      </c>
      <c r="B14" s="171">
        <f t="shared" si="2"/>
        <v>1</v>
      </c>
      <c r="C14" s="176">
        <f>EDATE(RCD,A13)</f>
        <v>42765</v>
      </c>
      <c r="D14" s="171">
        <f>Age_At_Entry+Cashflows_Backtesting!B14-1</f>
        <v>35</v>
      </c>
      <c r="E14" s="175">
        <f>IF(AND(C14&lt;=Last_Prem,MOD(A13,Mode)=0),Mod_Prem,0)</f>
        <v>0</v>
      </c>
      <c r="F14" s="177">
        <f>E14*VLOOKUP(B14,'Pre-Calculation'!$H$1:$I$31,2,FALSE)</f>
        <v>0</v>
      </c>
      <c r="G14" s="177">
        <f>IF(B14&lt;PT+1,VLOOKUP(B14,'Pre-Calculation'!$H$1:$L$32,3,FALSE)+VLOOKUP(B14,'Pre-Calculation'!$H$1:$L$32,4,FALSE)*'Pre-Calculation'!$D$7,0)</f>
        <v>420</v>
      </c>
      <c r="H14" s="175">
        <f>(E14-(F14+G14)*(1+Tax)+O13)</f>
        <v>93865.4424</v>
      </c>
      <c r="I14" s="175">
        <f>IF(B14&lt;PT+1,VLOOKUP(D14,'Pre-Calculation'!$N$3:$P$79,IF(INPUT!$C$4="M",2,3),FALSE)*(J14/1000)*(1/12),0)</f>
        <v>96.80537524</v>
      </c>
      <c r="J14" s="175">
        <f>MAX(0,(SA-H14))</f>
        <v>906134.5576</v>
      </c>
      <c r="K14" s="175">
        <f>H14-I14*(1+Tax)</f>
        <v>93751.21206</v>
      </c>
      <c r="L14" s="187">
        <f>VLOOKUP(C14,'NAVs_Till 29 Jun 2021'!$A$3:$J$2236,MATCH('Pre-Calculation'!$C$34,'NAVs_Till 29 Jun 2021'!$A$1:$J$1,0))</f>
        <v>11.437</v>
      </c>
      <c r="M14" s="187">
        <f>IFERROR(1,VLOOKUP(C14,'NAVs_Till 29 Jun 2021'!$A$3:$J$2236,MATCH(#REF!,'NAVs_Till 29 Jun 2021'!$A$1:$J$1,0)))</f>
        <v>1</v>
      </c>
      <c r="N14" s="175">
        <f>VLOOKUP('Pre-Calculation'!$C$34,INPUT!$B$20:$C$28,2,0)*K14*(L15/L14)+ IFERROR(0,VLOOKUP('Pre-Calculation'!$D$34,INPUT!$B$20:$C$28,2,0))*K14*(M15/M14)</f>
        <v>96462.84106</v>
      </c>
      <c r="O14" s="175">
        <f t="shared" si="3"/>
        <v>96462.84106</v>
      </c>
      <c r="P14" s="175">
        <f t="shared" si="4"/>
        <v>96462.84106</v>
      </c>
      <c r="Q14" s="175">
        <f>IF('Pre-Calculation'!$D$17="Type 4 a",MAX(SA,O14,1.05*R14),IF('Pre-Calculation'!$D$17="Type 4 c",O14,IF('Pre-Calculation'!$D$17="Type 4 d",SA+O14,IF('Pre-Calculation'!$D$17="Type 4 e",MAX(SA,O14),IF('Pre-Calculation'!$D$17="Type 4 f",SA,IF('Pre-Calculation'!$D$17="Type 4 g",1000+O14,IF('Pre-Calculation'!$D$17="Type 4 h",SA+S14,IF('Pre-Calculation'!$D$17="Type 4 i",MAX(O14,R14),IF('Pre-Calculation'!$D$17="Type 4 k",MAX(O14,1.01*R14),IF('Pre-Calculation'!$D$17="Type 4 m",MAX(105%*R14,SA+O14),IF('Pre-Calculation'!$D$17="Type 4 o",MAX(SA,105%*R14)+X14+Z14,IF('Pre-Calculation'!$D$17="Type 5",0))))))))))))</f>
        <v>1000000</v>
      </c>
      <c r="R14" s="175">
        <f t="shared" si="5"/>
        <v>100000</v>
      </c>
      <c r="S14" s="119">
        <f>K14*(1+GROWTH_RATE)*FMC</f>
        <v>106.090986</v>
      </c>
      <c r="T14" s="178">
        <f>T13*(1+'Pre-Calculation'!$E$27)</f>
        <v>665079.5432</v>
      </c>
      <c r="U14" s="175">
        <f>-E14+IF(A13=INPUT!$C$11*12,O14,0)</f>
        <v>0</v>
      </c>
      <c r="V14" s="181"/>
      <c r="W14" s="112"/>
      <c r="X14" s="179">
        <f t="array" ref="X14">NPV('Pre-Calculation'!$E$20,$E15:E$246)</f>
        <v>677751.4238</v>
      </c>
      <c r="Y14" s="171">
        <f>10%*SA</f>
        <v>100000</v>
      </c>
      <c r="Z14" s="179">
        <f t="array" ref="Z14">NPV('Pre-Calculation'!$E$20,Y15:Y24)</f>
        <v>969592.8037</v>
      </c>
    </row>
    <row r="15">
      <c r="A15" s="171">
        <f t="shared" si="1"/>
        <v>9</v>
      </c>
      <c r="B15" s="171">
        <f t="shared" si="2"/>
        <v>1</v>
      </c>
      <c r="C15" s="176">
        <f>EDATE(RCD,A14)</f>
        <v>42794</v>
      </c>
      <c r="D15" s="171">
        <f>Age_At_Entry+Cashflows_Backtesting!B15-1</f>
        <v>35</v>
      </c>
      <c r="E15" s="175">
        <f>IF(AND(C15&lt;=Last_Prem,MOD(A14,Mode)=0),Mod_Prem,0)</f>
        <v>0</v>
      </c>
      <c r="F15" s="177">
        <f>E15*VLOOKUP(B15,'Pre-Calculation'!$H$1:$I$31,2,FALSE)</f>
        <v>0</v>
      </c>
      <c r="G15" s="177">
        <f>IF(B15&lt;PT+1,VLOOKUP(B15,'Pre-Calculation'!$H$1:$L$32,3,FALSE)+VLOOKUP(B15,'Pre-Calculation'!$H$1:$L$32,4,FALSE)*'Pre-Calculation'!$D$7,0)</f>
        <v>420</v>
      </c>
      <c r="H15" s="175">
        <f>(E15-(F15+G15)*(1+Tax)+O14)</f>
        <v>95967.24106</v>
      </c>
      <c r="I15" s="175">
        <f>IF(B15&lt;PT+1,VLOOKUP(D15,'Pre-Calculation'!$N$3:$P$79,IF(INPUT!$C$4="M",2,3),FALSE)*(J15/1000)*(1/12),0)</f>
        <v>96.58083308</v>
      </c>
      <c r="J15" s="175">
        <f>MAX(0,(SA-H15))</f>
        <v>904032.7589</v>
      </c>
      <c r="K15" s="175">
        <f>H15-I15*(1+Tax)</f>
        <v>95853.27568</v>
      </c>
      <c r="L15" s="187">
        <f>VLOOKUP(C15,'NAVs_Till 29 Jun 2021'!$A$3:$J$2236,MATCH('Pre-Calculation'!$C$34,'NAVs_Till 29 Jun 2021'!$A$1:$J$1,0))</f>
        <v>11.7678</v>
      </c>
      <c r="M15" s="187">
        <f>IFERROR(1,VLOOKUP(C15,'NAVs_Till 29 Jun 2021'!$A$3:$J$2236,MATCH(#REF!,'NAVs_Till 29 Jun 2021'!$A$1:$J$1,0)))</f>
        <v>1</v>
      </c>
      <c r="N15" s="175">
        <f>VLOOKUP('Pre-Calculation'!$C$34,INPUT!$B$20:$C$28,2,0)*K15*(L16/L15)+ IFERROR(0,VLOOKUP('Pre-Calculation'!$D$34,INPUT!$B$20:$C$28,2,0))*K15*(M16/M15)</f>
        <v>98862.18134</v>
      </c>
      <c r="O15" s="175">
        <f t="shared" si="3"/>
        <v>98862.18134</v>
      </c>
      <c r="P15" s="175">
        <f t="shared" si="4"/>
        <v>98862.18134</v>
      </c>
      <c r="Q15" s="175">
        <f>IF('Pre-Calculation'!$D$17="Type 4 a",MAX(SA,O15,1.05*R15),IF('Pre-Calculation'!$D$17="Type 4 c",O15,IF('Pre-Calculation'!$D$17="Type 4 d",SA+O15,IF('Pre-Calculation'!$D$17="Type 4 e",MAX(SA,O15),IF('Pre-Calculation'!$D$17="Type 4 f",SA,IF('Pre-Calculation'!$D$17="Type 4 g",1000+O15,IF('Pre-Calculation'!$D$17="Type 4 h",SA+S15,IF('Pre-Calculation'!$D$17="Type 4 i",MAX(O15,R15),IF('Pre-Calculation'!$D$17="Type 4 k",MAX(O15,1.01*R15),IF('Pre-Calculation'!$D$17="Type 4 m",MAX(105%*R15,SA+O15),IF('Pre-Calculation'!$D$17="Type 4 o",MAX(SA,105%*R15)+X15+Z15,IF('Pre-Calculation'!$D$17="Type 5",0))))))))))))</f>
        <v>1000000</v>
      </c>
      <c r="R15" s="175">
        <f t="shared" si="5"/>
        <v>100000</v>
      </c>
      <c r="S15" s="119">
        <f>K15*(1+GROWTH_RATE)*FMC</f>
        <v>108.4697287</v>
      </c>
      <c r="T15" s="178">
        <f>T14*(1+'Pre-Calculation'!$E$27)</f>
        <v>666988.9192</v>
      </c>
      <c r="U15" s="175">
        <f>-E15+IF(A14=INPUT!$C$11*12,O15,0)</f>
        <v>0</v>
      </c>
      <c r="V15" s="181"/>
      <c r="W15" s="112"/>
      <c r="X15" s="179">
        <f t="array" ref="X15">NPV('Pre-Calculation'!$E$20,$E16:E$246)</f>
        <v>681583.5289</v>
      </c>
      <c r="Y15" s="171">
        <f>10%*SA</f>
        <v>100000</v>
      </c>
      <c r="Z15" s="179">
        <f t="array" ref="Z15">NPV('Pre-Calculation'!$E$20,Y16:Y25)</f>
        <v>969592.8037</v>
      </c>
    </row>
    <row r="16">
      <c r="A16" s="171">
        <f t="shared" si="1"/>
        <v>10</v>
      </c>
      <c r="B16" s="171">
        <f t="shared" si="2"/>
        <v>1</v>
      </c>
      <c r="C16" s="176">
        <f>EDATE(RCD,A15)</f>
        <v>42824</v>
      </c>
      <c r="D16" s="171">
        <f>Age_At_Entry+Cashflows_Backtesting!B16-1</f>
        <v>35</v>
      </c>
      <c r="E16" s="175">
        <f>IF(AND(C16&lt;=Last_Prem,MOD(A15,Mode)=0),Mod_Prem,0)</f>
        <v>0</v>
      </c>
      <c r="F16" s="177">
        <f>E16*VLOOKUP(B16,'Pre-Calculation'!$H$1:$I$31,2,FALSE)</f>
        <v>0</v>
      </c>
      <c r="G16" s="177">
        <f>IF(B16&lt;PT+1,VLOOKUP(B16,'Pre-Calculation'!$H$1:$L$32,3,FALSE)+VLOOKUP(B16,'Pre-Calculation'!$H$1:$L$32,4,FALSE)*'Pre-Calculation'!$D$7,0)</f>
        <v>420</v>
      </c>
      <c r="H16" s="175">
        <f>(E16-(F16+G16)*(1+Tax)+O15)</f>
        <v>98366.58134</v>
      </c>
      <c r="I16" s="175">
        <f>IF(B16&lt;PT+1,VLOOKUP(D16,'Pre-Calculation'!$N$3:$P$79,IF(INPUT!$C$4="M",2,3),FALSE)*(J16/1000)*(1/12),0)</f>
        <v>96.32450356</v>
      </c>
      <c r="J16" s="175">
        <f>MAX(0,(SA-H16))</f>
        <v>901633.4187</v>
      </c>
      <c r="K16" s="175">
        <f>H16-I16*(1+Tax)</f>
        <v>98252.91843</v>
      </c>
      <c r="L16" s="187">
        <f>VLOOKUP(C16,'NAVs_Till 29 Jun 2021'!$A$3:$J$2236,MATCH('Pre-Calculation'!$C$34,'NAVs_Till 29 Jun 2021'!$A$1:$J$1,0))</f>
        <v>12.1372</v>
      </c>
      <c r="M16" s="187">
        <f>IFERROR(1,VLOOKUP(C16,'NAVs_Till 29 Jun 2021'!$A$3:$J$2236,MATCH(#REF!,'NAVs_Till 29 Jun 2021'!$A$1:$J$1,0)))</f>
        <v>1</v>
      </c>
      <c r="N16" s="175">
        <f>VLOOKUP('Pre-Calculation'!$C$34,INPUT!$B$20:$C$28,2,0)*K16*(L17/L16)+ IFERROR(0,VLOOKUP('Pre-Calculation'!$D$34,INPUT!$B$20:$C$28,2,0))*K16*(M17/M16)</f>
        <v>99566.76747</v>
      </c>
      <c r="O16" s="175">
        <f t="shared" si="3"/>
        <v>99566.76747</v>
      </c>
      <c r="P16" s="175">
        <f t="shared" si="4"/>
        <v>99566.76747</v>
      </c>
      <c r="Q16" s="175">
        <f>IF('Pre-Calculation'!$D$17="Type 4 a",MAX(SA,O16,1.05*R16),IF('Pre-Calculation'!$D$17="Type 4 c",O16,IF('Pre-Calculation'!$D$17="Type 4 d",SA+O16,IF('Pre-Calculation'!$D$17="Type 4 e",MAX(SA,O16),IF('Pre-Calculation'!$D$17="Type 4 f",SA,IF('Pre-Calculation'!$D$17="Type 4 g",1000+O16,IF('Pre-Calculation'!$D$17="Type 4 h",SA+S16,IF('Pre-Calculation'!$D$17="Type 4 i",MAX(O16,R16),IF('Pre-Calculation'!$D$17="Type 4 k",MAX(O16,1.01*R16),IF('Pre-Calculation'!$D$17="Type 4 m",MAX(105%*R16,SA+O16),IF('Pre-Calculation'!$D$17="Type 4 o",MAX(SA,105%*R16)+X16+Z16,IF('Pre-Calculation'!$D$17="Type 5",0))))))))))))</f>
        <v>1000000</v>
      </c>
      <c r="R16" s="175">
        <f t="shared" si="5"/>
        <v>100000</v>
      </c>
      <c r="S16" s="119">
        <f>K16*(1+GROWTH_RATE)*FMC</f>
        <v>111.1852185</v>
      </c>
      <c r="T16" s="178">
        <f>T15*(1+'Pre-Calculation'!$E$27)</f>
        <v>668903.7769</v>
      </c>
      <c r="U16" s="175">
        <f>-E16+IF(A15=INPUT!$C$11*12,O16,0)</f>
        <v>0</v>
      </c>
      <c r="V16" s="181"/>
      <c r="W16" s="112"/>
      <c r="X16" s="179">
        <f t="array" ref="X16">NPV('Pre-Calculation'!$E$20,$E17:E$246)</f>
        <v>685437.3013</v>
      </c>
      <c r="Y16" s="171">
        <f>10%*SA</f>
        <v>100000</v>
      </c>
      <c r="Z16" s="179">
        <f t="array" ref="Z16">NPV('Pre-Calculation'!$E$20,Y17:Y26)</f>
        <v>969592.8037</v>
      </c>
    </row>
    <row r="17">
      <c r="A17" s="171">
        <f t="shared" si="1"/>
        <v>11</v>
      </c>
      <c r="B17" s="171">
        <f t="shared" si="2"/>
        <v>1</v>
      </c>
      <c r="C17" s="176">
        <f>EDATE(RCD,A16)</f>
        <v>42855</v>
      </c>
      <c r="D17" s="171">
        <f>Age_At_Entry+Cashflows_Backtesting!B17-1</f>
        <v>35</v>
      </c>
      <c r="E17" s="175">
        <f>IF(AND(C17&lt;=Last_Prem,MOD(A16,Mode)=0),Mod_Prem,0)</f>
        <v>0</v>
      </c>
      <c r="F17" s="177">
        <f>E17*VLOOKUP(B17,'Pre-Calculation'!$H$1:$I$31,2,FALSE)</f>
        <v>0</v>
      </c>
      <c r="G17" s="177">
        <f>IF(B17&lt;PT+1,VLOOKUP(B17,'Pre-Calculation'!$H$1:$L$32,3,FALSE)+VLOOKUP(B17,'Pre-Calculation'!$H$1:$L$32,4,FALSE)*'Pre-Calculation'!$D$7,0)</f>
        <v>420</v>
      </c>
      <c r="H17" s="175">
        <f>(E17-(F17+G17)*(1+Tax)+O16)</f>
        <v>99071.16747</v>
      </c>
      <c r="I17" s="175">
        <f>IF(B17&lt;PT+1,VLOOKUP(D17,'Pre-Calculation'!$N$3:$P$79,IF(INPUT!$C$4="M",2,3),FALSE)*(J17/1000)*(1/12),0)</f>
        <v>96.24923027</v>
      </c>
      <c r="J17" s="175">
        <f>MAX(0,(SA-H17))</f>
        <v>900928.8325</v>
      </c>
      <c r="K17" s="175">
        <f>H17-I17*(1+Tax)</f>
        <v>98957.59338</v>
      </c>
      <c r="L17" s="187">
        <f>VLOOKUP(C17,'NAVs_Till 29 Jun 2021'!$A$3:$J$2236,MATCH('Pre-Calculation'!$C$34,'NAVs_Till 29 Jun 2021'!$A$1:$J$1,0))</f>
        <v>12.2995</v>
      </c>
      <c r="M17" s="187">
        <f>IFERROR(1,VLOOKUP(C17,'NAVs_Till 29 Jun 2021'!$A$3:$J$2236,MATCH(#REF!,'NAVs_Till 29 Jun 2021'!$A$1:$J$1,0)))</f>
        <v>1</v>
      </c>
      <c r="N17" s="175">
        <f>VLOOKUP('Pre-Calculation'!$C$34,INPUT!$B$20:$C$28,2,0)*K17*(L18/L17)+ IFERROR(0,VLOOKUP('Pre-Calculation'!$D$34,INPUT!$B$20:$C$28,2,0))*K17*(M18/M17)</f>
        <v>101236.9288</v>
      </c>
      <c r="O17" s="175">
        <f t="shared" si="3"/>
        <v>101236.9288</v>
      </c>
      <c r="P17" s="175">
        <f t="shared" si="4"/>
        <v>101236.9288</v>
      </c>
      <c r="Q17" s="175">
        <f>IF('Pre-Calculation'!$D$17="Type 4 a",MAX(SA,O17,1.05*R17),IF('Pre-Calculation'!$D$17="Type 4 c",O17,IF('Pre-Calculation'!$D$17="Type 4 d",SA+O17,IF('Pre-Calculation'!$D$17="Type 4 e",MAX(SA,O17),IF('Pre-Calculation'!$D$17="Type 4 f",SA,IF('Pre-Calculation'!$D$17="Type 4 g",1000+O17,IF('Pre-Calculation'!$D$17="Type 4 h",SA+S17,IF('Pre-Calculation'!$D$17="Type 4 i",MAX(O17,R17),IF('Pre-Calculation'!$D$17="Type 4 k",MAX(O17,1.01*R17),IF('Pre-Calculation'!$D$17="Type 4 m",MAX(105%*R17,SA+O17),IF('Pre-Calculation'!$D$17="Type 4 o",MAX(SA,105%*R17)+X17+Z17,IF('Pre-Calculation'!$D$17="Type 5",0))))))))))))</f>
        <v>1000000</v>
      </c>
      <c r="R17" s="175">
        <f t="shared" si="5"/>
        <v>100000</v>
      </c>
      <c r="S17" s="119">
        <f>K17*(1+GROWTH_RATE)*FMC</f>
        <v>111.9826446</v>
      </c>
      <c r="T17" s="178">
        <f>T16*(1+'Pre-Calculation'!$E$27)</f>
        <v>670824.1319</v>
      </c>
      <c r="U17" s="175">
        <f>-E17+IF(A16=INPUT!$C$11*12,O17,0)</f>
        <v>0</v>
      </c>
      <c r="V17" s="181"/>
      <c r="W17" s="112"/>
      <c r="X17" s="179">
        <f t="array" ref="X17">NPV('Pre-Calculation'!$E$20,$E18:E$246)</f>
        <v>689312.8634</v>
      </c>
      <c r="Y17" s="171">
        <f>10%*SA</f>
        <v>100000</v>
      </c>
      <c r="Z17" s="179">
        <f t="array" ref="Z17">NPV('Pre-Calculation'!$E$20,Y18:Y27)</f>
        <v>969592.8037</v>
      </c>
    </row>
    <row r="18">
      <c r="A18" s="171">
        <f t="shared" si="1"/>
        <v>12</v>
      </c>
      <c r="B18" s="171">
        <f t="shared" si="2"/>
        <v>1</v>
      </c>
      <c r="C18" s="176">
        <f>EDATE(RCD,A17)</f>
        <v>42885</v>
      </c>
      <c r="D18" s="171">
        <f>Age_At_Entry+Cashflows_Backtesting!B18-1</f>
        <v>35</v>
      </c>
      <c r="E18" s="175">
        <f>IF(AND(C18&lt;=Last_Prem,MOD(A17,Mode)=0),Mod_Prem,0)</f>
        <v>0</v>
      </c>
      <c r="F18" s="177">
        <f>E18*VLOOKUP(B18,'Pre-Calculation'!$H$1:$I$31,2,FALSE)</f>
        <v>0</v>
      </c>
      <c r="G18" s="177">
        <f>IF(B18&lt;PT+1,VLOOKUP(B18,'Pre-Calculation'!$H$1:$L$32,3,FALSE)+VLOOKUP(B18,'Pre-Calculation'!$H$1:$L$32,4,FALSE)*'Pre-Calculation'!$D$7,0)</f>
        <v>420</v>
      </c>
      <c r="H18" s="175">
        <f>(E18-(F18+G18)*(1+Tax)+O17)</f>
        <v>100741.3288</v>
      </c>
      <c r="I18" s="175">
        <f>IF(B18&lt;PT+1,VLOOKUP(D18,'Pre-Calculation'!$N$3:$P$79,IF(INPUT!$C$4="M",2,3),FALSE)*(J18/1000)*(1/12),0)</f>
        <v>96.07080137</v>
      </c>
      <c r="J18" s="175">
        <f>MAX(0,(SA-H18))</f>
        <v>899258.6712</v>
      </c>
      <c r="K18" s="175">
        <f>H18-I18*(1+Tax)</f>
        <v>100627.9653</v>
      </c>
      <c r="L18" s="187">
        <f>VLOOKUP(C18,'NAVs_Till 29 Jun 2021'!$A$3:$J$2236,MATCH('Pre-Calculation'!$C$34,'NAVs_Till 29 Jun 2021'!$A$1:$J$1,0))</f>
        <v>12.5828</v>
      </c>
      <c r="M18" s="187">
        <f>IFERROR(1,VLOOKUP(C18,'NAVs_Till 29 Jun 2021'!$A$3:$J$2236,MATCH(#REF!,'NAVs_Till 29 Jun 2021'!$A$1:$J$1,0)))</f>
        <v>1</v>
      </c>
      <c r="N18" s="175">
        <f>VLOOKUP('Pre-Calculation'!$C$34,INPUT!$B$20:$C$28,2,0)*K18*(L19/L18)+ IFERROR(0,VLOOKUP('Pre-Calculation'!$D$34,INPUT!$B$20:$C$28,2,0))*K18*(M19/M18)</f>
        <v>100240.8977</v>
      </c>
      <c r="O18" s="188">
        <f t="shared" si="3"/>
        <v>100240.8977</v>
      </c>
      <c r="P18" s="175">
        <f t="shared" si="4"/>
        <v>100240.8977</v>
      </c>
      <c r="Q18" s="175">
        <f>IF('Pre-Calculation'!$D$17="Type 4 a",MAX(SA,O18,1.05*R18),IF('Pre-Calculation'!$D$17="Type 4 c",O18,IF('Pre-Calculation'!$D$17="Type 4 d",SA+O18,IF('Pre-Calculation'!$D$17="Type 4 e",MAX(SA,O18),IF('Pre-Calculation'!$D$17="Type 4 f",SA,IF('Pre-Calculation'!$D$17="Type 4 g",1000+O18,IF('Pre-Calculation'!$D$17="Type 4 h",SA+S18,IF('Pre-Calculation'!$D$17="Type 4 i",MAX(O18,R18),IF('Pre-Calculation'!$D$17="Type 4 k",MAX(O18,1.01*R18),IF('Pre-Calculation'!$D$17="Type 4 m",MAX(105%*R18,SA+O18),IF('Pre-Calculation'!$D$17="Type 4 o",MAX(SA,105%*R18)+X18+Z18,IF('Pre-Calculation'!$D$17="Type 5",0))))))))))))</f>
        <v>1000000</v>
      </c>
      <c r="R18" s="175">
        <f t="shared" si="5"/>
        <v>100000</v>
      </c>
      <c r="S18" s="119">
        <f>K18*(1+GROWTH_RATE)*FMC</f>
        <v>113.8728751</v>
      </c>
      <c r="T18" s="178">
        <f>T17*(1+'Pre-Calculation'!$E$27)</f>
        <v>672750</v>
      </c>
      <c r="U18" s="175">
        <f>-E18+IF(A17=INPUT!$C$11*12,O18,0)</f>
        <v>0</v>
      </c>
      <c r="V18" s="181"/>
      <c r="W18" s="112"/>
      <c r="X18" s="179">
        <f t="array" ref="X18">NPV('Pre-Calculation'!$E$20,$E19:E$246)</f>
        <v>693210.3386</v>
      </c>
      <c r="Y18" s="171">
        <f>10%*SA</f>
        <v>100000</v>
      </c>
      <c r="Z18" s="179">
        <f t="array" ref="Z18">NPV('Pre-Calculation'!$E$20,Y19:Y28)</f>
        <v>969592.8037</v>
      </c>
    </row>
    <row r="19">
      <c r="A19" s="171">
        <f t="shared" si="1"/>
        <v>13</v>
      </c>
      <c r="B19" s="171">
        <f t="shared" si="2"/>
        <v>2</v>
      </c>
      <c r="C19" s="176">
        <f>EDATE(RCD,A18)</f>
        <v>42916</v>
      </c>
      <c r="D19" s="171">
        <f>Age_At_Entry+Cashflows_Backtesting!B19-1</f>
        <v>36</v>
      </c>
      <c r="E19" s="175">
        <f>IF(AND(C19&lt;=Last_Prem,MOD(A18,Mode)=0),Mod_Prem,0)</f>
        <v>100000</v>
      </c>
      <c r="F19" s="177">
        <f>E19*VLOOKUP(B19,'Pre-Calculation'!$H$1:$I$31,2,FALSE)</f>
        <v>2000</v>
      </c>
      <c r="G19" s="177">
        <f>IF(B19&lt;PT+1,VLOOKUP(B19,'Pre-Calculation'!$H$1:$L$32,3,FALSE)+VLOOKUP(B19,'Pre-Calculation'!$H$1:$L$32,4,FALSE)*'Pre-Calculation'!$D$7,0)</f>
        <v>420</v>
      </c>
      <c r="H19" s="175">
        <f>(E19-(F19+G19)*(1+Tax)+O18)</f>
        <v>197385.2977</v>
      </c>
      <c r="I19" s="175">
        <f>IF(B19&lt;PT+1,VLOOKUP(D19,'Pre-Calculation'!$N$3:$P$79,IF(INPUT!$C$4="M",2,3),FALSE)*(J19/1000)*(1/12),0)</f>
        <v>90.82923047</v>
      </c>
      <c r="J19" s="175">
        <f>MAX(0,(SA-H19))</f>
        <v>802614.7023</v>
      </c>
      <c r="K19" s="175">
        <f>H19-I19*(1+Tax)</f>
        <v>197278.1192</v>
      </c>
      <c r="L19" s="187">
        <f>VLOOKUP(C19,'NAVs_Till 29 Jun 2021'!$A$3:$J$2236,MATCH('Pre-Calculation'!$C$34,'NAVs_Till 29 Jun 2021'!$A$1:$J$1,0))</f>
        <v>12.5344</v>
      </c>
      <c r="M19" s="187">
        <f>IFERROR(1,VLOOKUP(C19,'NAVs_Till 29 Jun 2021'!$A$3:$J$2236,MATCH(#REF!,'NAVs_Till 29 Jun 2021'!$A$1:$J$1,0)))</f>
        <v>1</v>
      </c>
      <c r="N19" s="175">
        <f>VLOOKUP('Pre-Calculation'!$C$34,INPUT!$B$20:$C$28,2,0)*K19*(L20/L19)+ IFERROR(0,VLOOKUP('Pre-Calculation'!$D$34,INPUT!$B$20:$C$28,2,0))*K19*(M20/M19)</f>
        <v>205427.7403</v>
      </c>
      <c r="O19" s="175">
        <f t="shared" si="3"/>
        <v>205427.7403</v>
      </c>
      <c r="P19" s="175">
        <f t="shared" si="4"/>
        <v>205427.7403</v>
      </c>
      <c r="Q19" s="175">
        <f>IF('Pre-Calculation'!$D$17="Type 4 a",MAX(SA,O19,1.05*R19),IF('Pre-Calculation'!$D$17="Type 4 c",O19,IF('Pre-Calculation'!$D$17="Type 4 d",SA+O19,IF('Pre-Calculation'!$D$17="Type 4 e",MAX(SA,O19),IF('Pre-Calculation'!$D$17="Type 4 f",SA,IF('Pre-Calculation'!$D$17="Type 4 g",1000+O19,IF('Pre-Calculation'!$D$17="Type 4 h",SA+S19,IF('Pre-Calculation'!$D$17="Type 4 i",MAX(O19,R19),IF('Pre-Calculation'!$D$17="Type 4 k",MAX(O19,1.01*R19),IF('Pre-Calculation'!$D$17="Type 4 m",MAX(105%*R19,SA+O19),IF('Pre-Calculation'!$D$17="Type 4 o",MAX(SA,105%*R19)+X19+Z19,IF('Pre-Calculation'!$D$17="Type 5",0))))))))))))</f>
        <v>1000000</v>
      </c>
      <c r="R19" s="175">
        <f t="shared" si="5"/>
        <v>200000</v>
      </c>
      <c r="S19" s="119">
        <f>K19*(1+GROWTH_RATE)*FMC</f>
        <v>223.2443692</v>
      </c>
      <c r="T19" s="178">
        <f>T18*(1+'Pre-Calculation'!$E$27)</f>
        <v>674681.3971</v>
      </c>
      <c r="U19" s="175">
        <f>-E19+IF(A18=INPUT!$C$11*12,O19,0)</f>
        <v>-100000</v>
      </c>
      <c r="V19" s="181"/>
      <c r="W19" s="112"/>
      <c r="X19" s="179">
        <f t="array" ref="X19">NPV('Pre-Calculation'!$E$20,$E20:E$246)</f>
        <v>597129.8506</v>
      </c>
      <c r="Y19" s="171">
        <f>10%*SA</f>
        <v>100000</v>
      </c>
      <c r="Z19" s="179">
        <f t="array" ref="Z19">NPV('Pre-Calculation'!$E$20,Y20:Y29)</f>
        <v>969592.8037</v>
      </c>
    </row>
    <row r="20">
      <c r="A20" s="171">
        <f t="shared" si="1"/>
        <v>14</v>
      </c>
      <c r="B20" s="171">
        <f t="shared" si="2"/>
        <v>2</v>
      </c>
      <c r="C20" s="176">
        <f>EDATE(RCD,A19)</f>
        <v>42946</v>
      </c>
      <c r="D20" s="171">
        <f>Age_At_Entry+Cashflows_Backtesting!B20-1</f>
        <v>36</v>
      </c>
      <c r="E20" s="175">
        <f>IF(AND(C20&lt;=Last_Prem,MOD(A19,Mode)=0),Mod_Prem,0)</f>
        <v>0</v>
      </c>
      <c r="F20" s="177">
        <f>E20*VLOOKUP(B20,'Pre-Calculation'!$H$1:$I$31,2,FALSE)</f>
        <v>0</v>
      </c>
      <c r="G20" s="177">
        <f>IF(B20&lt;PT+1,VLOOKUP(B20,'Pre-Calculation'!$H$1:$L$32,3,FALSE)+VLOOKUP(B20,'Pre-Calculation'!$H$1:$L$32,4,FALSE)*'Pre-Calculation'!$D$7,0)</f>
        <v>420</v>
      </c>
      <c r="H20" s="175">
        <f>(E20-(F20+G20)*(1+Tax)+O19)</f>
        <v>204932.1403</v>
      </c>
      <c r="I20" s="175">
        <f>IF(B20&lt;PT+1,VLOOKUP(D20,'Pre-Calculation'!$N$3:$P$79,IF(INPUT!$C$4="M",2,3),FALSE)*(J20/1000)*(1/12),0)</f>
        <v>89.97517946</v>
      </c>
      <c r="J20" s="175">
        <f>MAX(0,(SA-H20))</f>
        <v>795067.8597</v>
      </c>
      <c r="K20" s="175">
        <f>H20-I20*(1+Tax)</f>
        <v>204825.9696</v>
      </c>
      <c r="L20" s="187">
        <f>VLOOKUP(C20,'NAVs_Till 29 Jun 2021'!$A$3:$J$2236,MATCH('Pre-Calculation'!$C$34,'NAVs_Till 29 Jun 2021'!$A$1:$J$1,0))</f>
        <v>13.0522</v>
      </c>
      <c r="M20" s="187">
        <f>IFERROR(1,VLOOKUP(C20,'NAVs_Till 29 Jun 2021'!$A$3:$J$2236,MATCH(#REF!,'NAVs_Till 29 Jun 2021'!$A$1:$J$1,0)))</f>
        <v>1</v>
      </c>
      <c r="N20" s="175">
        <f>VLOOKUP('Pre-Calculation'!$C$34,INPUT!$B$20:$C$28,2,0)*K20*(L21/L20)+ IFERROR(0,VLOOKUP('Pre-Calculation'!$D$34,INPUT!$B$20:$C$28,2,0))*K20*(M21/M20)</f>
        <v>203242.5629</v>
      </c>
      <c r="O20" s="175">
        <f t="shared" si="3"/>
        <v>203242.5629</v>
      </c>
      <c r="P20" s="175">
        <f t="shared" si="4"/>
        <v>203242.5629</v>
      </c>
      <c r="Q20" s="175">
        <f>IF('Pre-Calculation'!$D$17="Type 4 a",MAX(SA,O20,1.05*R20),IF('Pre-Calculation'!$D$17="Type 4 c",O20,IF('Pre-Calculation'!$D$17="Type 4 d",SA+O20,IF('Pre-Calculation'!$D$17="Type 4 e",MAX(SA,O20),IF('Pre-Calculation'!$D$17="Type 4 f",SA,IF('Pre-Calculation'!$D$17="Type 4 g",1000+O20,IF('Pre-Calculation'!$D$17="Type 4 h",SA+S20,IF('Pre-Calculation'!$D$17="Type 4 i",MAX(O20,R20),IF('Pre-Calculation'!$D$17="Type 4 k",MAX(O20,1.01*R20),IF('Pre-Calculation'!$D$17="Type 4 m",MAX(105%*R20,SA+O20),IF('Pre-Calculation'!$D$17="Type 4 o",MAX(SA,105%*R20)+X20+Z20,IF('Pre-Calculation'!$D$17="Type 5",0))))))))))))</f>
        <v>1000000</v>
      </c>
      <c r="R20" s="175">
        <f t="shared" si="5"/>
        <v>200000</v>
      </c>
      <c r="S20" s="119">
        <f>K20*(1+GROWTH_RATE)*FMC</f>
        <v>231.7856869</v>
      </c>
      <c r="T20" s="178">
        <f>T19*(1+'Pre-Calculation'!$E$27)</f>
        <v>676618.3391</v>
      </c>
      <c r="U20" s="175">
        <f>-E20+IF(A19=INPUT!$C$11*12,O20,0)</f>
        <v>0</v>
      </c>
      <c r="V20" s="181"/>
      <c r="W20" s="112"/>
      <c r="X20" s="179">
        <f t="array" ref="X20">NPV('Pre-Calculation'!$E$20,$E21:E$246)</f>
        <v>600506.1096</v>
      </c>
      <c r="Y20" s="171">
        <f>10%*SA</f>
        <v>100000</v>
      </c>
      <c r="Z20" s="179">
        <f t="array" ref="Z20">NPV('Pre-Calculation'!$E$20,Y21:Y30)</f>
        <v>969592.8037</v>
      </c>
    </row>
    <row r="21" ht="15.75" customHeight="1">
      <c r="A21" s="171">
        <f t="shared" si="1"/>
        <v>15</v>
      </c>
      <c r="B21" s="171">
        <f t="shared" si="2"/>
        <v>2</v>
      </c>
      <c r="C21" s="176">
        <f>EDATE(RCD,A20)</f>
        <v>42977</v>
      </c>
      <c r="D21" s="171">
        <f>Age_At_Entry+Cashflows_Backtesting!B21-1</f>
        <v>36</v>
      </c>
      <c r="E21" s="175">
        <f>IF(AND(C21&lt;=Last_Prem,MOD(A20,Mode)=0),Mod_Prem,0)</f>
        <v>0</v>
      </c>
      <c r="F21" s="177">
        <f>E21*VLOOKUP(B21,'Pre-Calculation'!$H$1:$I$31,2,FALSE)</f>
        <v>0</v>
      </c>
      <c r="G21" s="177">
        <f>IF(B21&lt;PT+1,VLOOKUP(B21,'Pre-Calculation'!$H$1:$L$32,3,FALSE)+VLOOKUP(B21,'Pre-Calculation'!$H$1:$L$32,4,FALSE)*'Pre-Calculation'!$D$7,0)</f>
        <v>420</v>
      </c>
      <c r="H21" s="175">
        <f>(E21-(F21+G21)*(1+Tax)+O20)</f>
        <v>202746.9629</v>
      </c>
      <c r="I21" s="175">
        <f>IF(B21&lt;PT+1,VLOOKUP(D21,'Pre-Calculation'!$N$3:$P$79,IF(INPUT!$C$4="M",2,3),FALSE)*(J21/1000)*(1/12),0)</f>
        <v>90.2224687</v>
      </c>
      <c r="J21" s="175">
        <f>MAX(0,(SA-H21))</f>
        <v>797253.0371</v>
      </c>
      <c r="K21" s="175">
        <f>H21-I21*(1+Tax)</f>
        <v>202640.5004</v>
      </c>
      <c r="L21" s="187">
        <f>VLOOKUP(C21,'NAVs_Till 29 Jun 2021'!$A$3:$J$2236,MATCH('Pre-Calculation'!$C$34,'NAVs_Till 29 Jun 2021'!$A$1:$J$1,0))</f>
        <v>12.9513</v>
      </c>
      <c r="M21" s="187">
        <f>IFERROR(1,VLOOKUP(C21,'NAVs_Till 29 Jun 2021'!$A$3:$J$2236,MATCH(#REF!,'NAVs_Till 29 Jun 2021'!$A$1:$J$1,0)))</f>
        <v>1</v>
      </c>
      <c r="N21" s="175">
        <f>VLOOKUP('Pre-Calculation'!$C$34,INPUT!$B$20:$C$28,2,0)*K21*(L22/L21)+ IFERROR(0,VLOOKUP('Pre-Calculation'!$D$34,INPUT!$B$20:$C$28,2,0))*K21*(M22/M21)</f>
        <v>200698.7891</v>
      </c>
      <c r="O21" s="175">
        <f t="shared" si="3"/>
        <v>200698.7891</v>
      </c>
      <c r="P21" s="175">
        <f t="shared" si="4"/>
        <v>200698.7891</v>
      </c>
      <c r="Q21" s="175">
        <f>IF('Pre-Calculation'!$D$17="Type 4 a",MAX(SA,O21,1.05*R21),IF('Pre-Calculation'!$D$17="Type 4 c",O21,IF('Pre-Calculation'!$D$17="Type 4 d",SA+O21,IF('Pre-Calculation'!$D$17="Type 4 e",MAX(SA,O21),IF('Pre-Calculation'!$D$17="Type 4 f",SA,IF('Pre-Calculation'!$D$17="Type 4 g",1000+O21,IF('Pre-Calculation'!$D$17="Type 4 h",SA+S21,IF('Pre-Calculation'!$D$17="Type 4 i",MAX(O21,R21),IF('Pre-Calculation'!$D$17="Type 4 k",MAX(O21,1.01*R21),IF('Pre-Calculation'!$D$17="Type 4 m",MAX(105%*R21,SA+O21),IF('Pre-Calculation'!$D$17="Type 4 o",MAX(SA,105%*R21)+X21+Z21,IF('Pre-Calculation'!$D$17="Type 5",0))))))))))))</f>
        <v>1000000</v>
      </c>
      <c r="R21" s="175">
        <f t="shared" si="5"/>
        <v>200000</v>
      </c>
      <c r="S21" s="119">
        <f>K21*(1+GROWTH_RATE)*FMC</f>
        <v>229.3125607</v>
      </c>
      <c r="T21" s="178">
        <f>T20*(1+'Pre-Calculation'!$E$27)</f>
        <v>678560.8418</v>
      </c>
      <c r="U21" s="175">
        <f>-E21+IF(A20=INPUT!$C$11*12,O21,0)</f>
        <v>0</v>
      </c>
      <c r="V21" s="181"/>
      <c r="W21" s="112"/>
      <c r="X21" s="179">
        <f t="array" ref="X21">NPV('Pre-Calculation'!$E$20,$E22:E$246)</f>
        <v>603901.4585</v>
      </c>
      <c r="Y21" s="171">
        <f>10%*SA</f>
        <v>100000</v>
      </c>
      <c r="Z21" s="179">
        <f t="array" ref="Z21">NPV('Pre-Calculation'!$E$20,Y22:Y31)</f>
        <v>969592.8037</v>
      </c>
    </row>
    <row r="22" ht="15.75" customHeight="1">
      <c r="A22" s="171">
        <f t="shared" si="1"/>
        <v>16</v>
      </c>
      <c r="B22" s="171">
        <f t="shared" si="2"/>
        <v>2</v>
      </c>
      <c r="C22" s="176">
        <f>EDATE(RCD,A21)</f>
        <v>43008</v>
      </c>
      <c r="D22" s="171">
        <f>Age_At_Entry+Cashflows_Backtesting!B22-1</f>
        <v>36</v>
      </c>
      <c r="E22" s="175">
        <f>IF(AND(C22&lt;=Last_Prem,MOD(A21,Mode)=0),Mod_Prem,0)</f>
        <v>0</v>
      </c>
      <c r="F22" s="177">
        <f>E22*VLOOKUP(B22,'Pre-Calculation'!$H$1:$I$31,2,FALSE)</f>
        <v>0</v>
      </c>
      <c r="G22" s="177">
        <f>IF(B22&lt;PT+1,VLOOKUP(B22,'Pre-Calculation'!$H$1:$L$32,3,FALSE)+VLOOKUP(B22,'Pre-Calculation'!$H$1:$L$32,4,FALSE)*'Pre-Calculation'!$D$7,0)</f>
        <v>420</v>
      </c>
      <c r="H22" s="175">
        <f>(E22-(F22+G22)*(1+Tax)+O21)</f>
        <v>200203.1891</v>
      </c>
      <c r="I22" s="175">
        <f>IF(B22&lt;PT+1,VLOOKUP(D22,'Pre-Calculation'!$N$3:$P$79,IF(INPUT!$C$4="M",2,3),FALSE)*(J22/1000)*(1/12),0)</f>
        <v>90.5103391</v>
      </c>
      <c r="J22" s="175">
        <f>MAX(0,(SA-H22))</f>
        <v>799796.8109</v>
      </c>
      <c r="K22" s="175">
        <f>H22-I22*(1+Tax)</f>
        <v>200096.3869</v>
      </c>
      <c r="L22" s="187">
        <f>VLOOKUP(C22,'NAVs_Till 29 Jun 2021'!$A$3:$J$2236,MATCH('Pre-Calculation'!$C$34,'NAVs_Till 29 Jun 2021'!$A$1:$J$1,0))</f>
        <v>12.8272</v>
      </c>
      <c r="M22" s="187">
        <f>IFERROR(1,VLOOKUP(C22,'NAVs_Till 29 Jun 2021'!$A$3:$J$2236,MATCH(#REF!,'NAVs_Till 29 Jun 2021'!$A$1:$J$1,0)))</f>
        <v>1</v>
      </c>
      <c r="N22" s="175">
        <f>VLOOKUP('Pre-Calculation'!$C$34,INPUT!$B$20:$C$28,2,0)*K22*(L23/L22)+ IFERROR(0,VLOOKUP('Pre-Calculation'!$D$34,INPUT!$B$20:$C$28,2,0))*K22*(M23/M22)</f>
        <v>210757.0042</v>
      </c>
      <c r="O22" s="175">
        <f t="shared" si="3"/>
        <v>210757.0042</v>
      </c>
      <c r="P22" s="175">
        <f t="shared" si="4"/>
        <v>210757.0042</v>
      </c>
      <c r="Q22" s="175">
        <f>IF('Pre-Calculation'!$D$17="Type 4 a",MAX(SA,O22,1.05*R22),IF('Pre-Calculation'!$D$17="Type 4 c",O22,IF('Pre-Calculation'!$D$17="Type 4 d",SA+O22,IF('Pre-Calculation'!$D$17="Type 4 e",MAX(SA,O22),IF('Pre-Calculation'!$D$17="Type 4 f",SA,IF('Pre-Calculation'!$D$17="Type 4 g",1000+O22,IF('Pre-Calculation'!$D$17="Type 4 h",SA+S22,IF('Pre-Calculation'!$D$17="Type 4 i",MAX(O22,R22),IF('Pre-Calculation'!$D$17="Type 4 k",MAX(O22,1.01*R22),IF('Pre-Calculation'!$D$17="Type 4 m",MAX(105%*R22,SA+O22),IF('Pre-Calculation'!$D$17="Type 4 o",MAX(SA,105%*R22)+X22+Z22,IF('Pre-Calculation'!$D$17="Type 5",0))))))))))))</f>
        <v>1000000</v>
      </c>
      <c r="R22" s="175">
        <f t="shared" si="5"/>
        <v>200000</v>
      </c>
      <c r="S22" s="119">
        <f>K22*(1+GROWTH_RATE)*FMC</f>
        <v>226.4335844</v>
      </c>
      <c r="T22" s="178">
        <f>T21*(1+'Pre-Calculation'!$E$27)</f>
        <v>680508.9212</v>
      </c>
      <c r="U22" s="175">
        <f>-E22+IF(A21=INPUT!$C$11*12,O22,0)</f>
        <v>0</v>
      </c>
      <c r="V22" s="181"/>
      <c r="W22" s="112"/>
      <c r="X22" s="179">
        <f t="array" ref="X22">NPV('Pre-Calculation'!$E$20,$E23:E$246)</f>
        <v>607316.0051</v>
      </c>
      <c r="Y22" s="171">
        <f>10%*SA</f>
        <v>100000</v>
      </c>
      <c r="Z22" s="179">
        <f t="array" ref="Z22">NPV('Pre-Calculation'!$E$20,Y23:Y32)</f>
        <v>969592.8037</v>
      </c>
    </row>
    <row r="23" ht="15.75" customHeight="1">
      <c r="A23" s="171">
        <f t="shared" si="1"/>
        <v>17</v>
      </c>
      <c r="B23" s="171">
        <f t="shared" si="2"/>
        <v>2</v>
      </c>
      <c r="C23" s="176">
        <f>EDATE(RCD,A22)</f>
        <v>43038</v>
      </c>
      <c r="D23" s="171">
        <f>Age_At_Entry+Cashflows_Backtesting!B23-1</f>
        <v>36</v>
      </c>
      <c r="E23" s="175">
        <f>IF(AND(C23&lt;=Last_Prem,MOD(A22,Mode)=0),Mod_Prem,0)</f>
        <v>0</v>
      </c>
      <c r="F23" s="177">
        <f>E23*VLOOKUP(B23,'Pre-Calculation'!$H$1:$I$31,2,FALSE)</f>
        <v>0</v>
      </c>
      <c r="G23" s="177">
        <f>IF(B23&lt;PT+1,VLOOKUP(B23,'Pre-Calculation'!$H$1:$L$32,3,FALSE)+VLOOKUP(B23,'Pre-Calculation'!$H$1:$L$32,4,FALSE)*'Pre-Calculation'!$D$7,0)</f>
        <v>420</v>
      </c>
      <c r="H23" s="175">
        <f>(E23-(F23+G23)*(1+Tax)+O22)</f>
        <v>210261.4042</v>
      </c>
      <c r="I23" s="175">
        <f>IF(B23&lt;PT+1,VLOOKUP(D23,'Pre-Calculation'!$N$3:$P$79,IF(INPUT!$C$4="M",2,3),FALSE)*(J23/1000)*(1/12),0)</f>
        <v>89.37208442</v>
      </c>
      <c r="J23" s="175">
        <f>MAX(0,(SA-H23))</f>
        <v>789738.5958</v>
      </c>
      <c r="K23" s="175">
        <f>H23-I23*(1+Tax)</f>
        <v>210155.9452</v>
      </c>
      <c r="L23" s="187">
        <f>VLOOKUP(C23,'NAVs_Till 29 Jun 2021'!$A$3:$J$2236,MATCH('Pre-Calculation'!$C$34,'NAVs_Till 29 Jun 2021'!$A$1:$J$1,0))</f>
        <v>13.5106</v>
      </c>
      <c r="M23" s="187">
        <f>IFERROR(1,VLOOKUP(C23,'NAVs_Till 29 Jun 2021'!$A$3:$J$2236,MATCH(#REF!,'NAVs_Till 29 Jun 2021'!$A$1:$J$1,0)))</f>
        <v>1</v>
      </c>
      <c r="N23" s="175">
        <f>VLOOKUP('Pre-Calculation'!$C$34,INPUT!$B$20:$C$28,2,0)*K23*(L24/L23)+ IFERROR(0,VLOOKUP('Pre-Calculation'!$D$34,INPUT!$B$20:$C$28,2,0))*K23*(M24/M23)</f>
        <v>208583.3454</v>
      </c>
      <c r="O23" s="175">
        <f t="shared" si="3"/>
        <v>208583.3454</v>
      </c>
      <c r="P23" s="175">
        <f t="shared" si="4"/>
        <v>208583.3454</v>
      </c>
      <c r="Q23" s="175">
        <f>IF('Pre-Calculation'!$D$17="Type 4 a",MAX(SA,O23,1.05*R23),IF('Pre-Calculation'!$D$17="Type 4 c",O23,IF('Pre-Calculation'!$D$17="Type 4 d",SA+O23,IF('Pre-Calculation'!$D$17="Type 4 e",MAX(SA,O23),IF('Pre-Calculation'!$D$17="Type 4 f",SA,IF('Pre-Calculation'!$D$17="Type 4 g",1000+O23,IF('Pre-Calculation'!$D$17="Type 4 h",SA+S23,IF('Pre-Calculation'!$D$17="Type 4 i",MAX(O23,R23),IF('Pre-Calculation'!$D$17="Type 4 k",MAX(O23,1.01*R23),IF('Pre-Calculation'!$D$17="Type 4 m",MAX(105%*R23,SA+O23),IF('Pre-Calculation'!$D$17="Type 4 o",MAX(SA,105%*R23)+X23+Z23,IF('Pre-Calculation'!$D$17="Type 5",0))))))))))))</f>
        <v>1000000</v>
      </c>
      <c r="R23" s="175">
        <f t="shared" si="5"/>
        <v>200000</v>
      </c>
      <c r="S23" s="119">
        <f>K23*(1+GROWTH_RATE)*FMC</f>
        <v>237.8172074</v>
      </c>
      <c r="T23" s="178">
        <f>T22*(1+'Pre-Calculation'!$E$27)</f>
        <v>682462.5934</v>
      </c>
      <c r="U23" s="175">
        <f>-E23+IF(A22=INPUT!$C$11*12,O23,0)</f>
        <v>0</v>
      </c>
      <c r="V23" s="181"/>
      <c r="W23" s="112"/>
      <c r="X23" s="179">
        <f t="array" ref="X23">NPV('Pre-Calculation'!$E$20,$E24:E$246)</f>
        <v>610749.8581</v>
      </c>
      <c r="Y23" s="171">
        <f>10%*SA</f>
        <v>100000</v>
      </c>
      <c r="Z23" s="179">
        <f t="array" ref="Z23">NPV('Pre-Calculation'!$E$20,Y24:Y33)</f>
        <v>969592.8037</v>
      </c>
    </row>
    <row r="24" ht="15.75" customHeight="1">
      <c r="A24" s="171">
        <f t="shared" si="1"/>
        <v>18</v>
      </c>
      <c r="B24" s="171">
        <f t="shared" si="2"/>
        <v>2</v>
      </c>
      <c r="C24" s="176">
        <f>EDATE(RCD,A23)</f>
        <v>43069</v>
      </c>
      <c r="D24" s="171">
        <f>Age_At_Entry+Cashflows_Backtesting!B24-1</f>
        <v>36</v>
      </c>
      <c r="E24" s="175">
        <f>IF(AND(C24&lt;=Last_Prem,MOD(A23,Mode)=0),Mod_Prem,0)</f>
        <v>0</v>
      </c>
      <c r="F24" s="177">
        <f>E24*VLOOKUP(B24,'Pre-Calculation'!$H$1:$I$31,2,FALSE)</f>
        <v>0</v>
      </c>
      <c r="G24" s="177">
        <f>IF(B24&lt;PT+1,VLOOKUP(B24,'Pre-Calculation'!$H$1:$L$32,3,FALSE)+VLOOKUP(B24,'Pre-Calculation'!$H$1:$L$32,4,FALSE)*'Pre-Calculation'!$D$7,0)</f>
        <v>420</v>
      </c>
      <c r="H24" s="175">
        <f>(E24-(F24+G24)*(1+Tax)+O23)</f>
        <v>208087.7454</v>
      </c>
      <c r="I24" s="175">
        <f>IF(B24&lt;PT+1,VLOOKUP(D24,'Pre-Calculation'!$N$3:$P$79,IF(INPUT!$C$4="M",2,3),FALSE)*(J24/1000)*(1/12),0)</f>
        <v>89.61807014</v>
      </c>
      <c r="J24" s="175">
        <f>MAX(0,(SA-H24))</f>
        <v>791912.2546</v>
      </c>
      <c r="K24" s="175">
        <f>H24-I24*(1+Tax)</f>
        <v>207981.9961</v>
      </c>
      <c r="L24" s="187">
        <f>VLOOKUP(C24,'NAVs_Till 29 Jun 2021'!$A$3:$J$2236,MATCH('Pre-Calculation'!$C$34,'NAVs_Till 29 Jun 2021'!$A$1:$J$1,0))</f>
        <v>13.4095</v>
      </c>
      <c r="M24" s="187">
        <f>IFERROR(1,VLOOKUP(C24,'NAVs_Till 29 Jun 2021'!$A$3:$J$2236,MATCH(#REF!,'NAVs_Till 29 Jun 2021'!$A$1:$J$1,0)))</f>
        <v>1</v>
      </c>
      <c r="N24" s="175">
        <f>VLOOKUP('Pre-Calculation'!$C$34,INPUT!$B$20:$C$28,2,0)*K24*(L25/L24)+ IFERROR(0,VLOOKUP('Pre-Calculation'!$D$34,INPUT!$B$20:$C$28,2,0))*K24*(M25/M24)</f>
        <v>214333.361</v>
      </c>
      <c r="O24" s="175">
        <f t="shared" si="3"/>
        <v>214333.361</v>
      </c>
      <c r="P24" s="175">
        <f t="shared" si="4"/>
        <v>214333.361</v>
      </c>
      <c r="Q24" s="175">
        <f>IF('Pre-Calculation'!$D$17="Type 4 a",MAX(SA,O24,1.05*R24),IF('Pre-Calculation'!$D$17="Type 4 c",O24,IF('Pre-Calculation'!$D$17="Type 4 d",SA+O24,IF('Pre-Calculation'!$D$17="Type 4 e",MAX(SA,O24),IF('Pre-Calculation'!$D$17="Type 4 f",SA,IF('Pre-Calculation'!$D$17="Type 4 g",1000+O24,IF('Pre-Calculation'!$D$17="Type 4 h",SA+S24,IF('Pre-Calculation'!$D$17="Type 4 i",MAX(O24,R24),IF('Pre-Calculation'!$D$17="Type 4 k",MAX(O24,1.01*R24),IF('Pre-Calculation'!$D$17="Type 4 m",MAX(105%*R24,SA+O24),IF('Pre-Calculation'!$D$17="Type 4 o",MAX(SA,105%*R24)+X24+Z24,IF('Pre-Calculation'!$D$17="Type 5",0))))))))))))</f>
        <v>1000000</v>
      </c>
      <c r="R24" s="175">
        <f t="shared" si="5"/>
        <v>200000</v>
      </c>
      <c r="S24" s="119">
        <f>K24*(1+GROWTH_RATE)*FMC</f>
        <v>235.3571176</v>
      </c>
      <c r="T24" s="178">
        <f>T23*(1+'Pre-Calculation'!$E$27)</f>
        <v>684421.8744</v>
      </c>
      <c r="U24" s="175">
        <f>-E24+IF(A23=INPUT!$C$11*12,O24,0)</f>
        <v>0</v>
      </c>
      <c r="V24" s="181"/>
      <c r="W24" s="112"/>
      <c r="X24" s="179">
        <f t="array" ref="X24">NPV('Pre-Calculation'!$E$20,$E25:E$246)</f>
        <v>614203.1266</v>
      </c>
      <c r="Y24" s="171">
        <f>10%*SA</f>
        <v>100000</v>
      </c>
      <c r="Z24" s="179">
        <f t="array" ref="Z24">NPV('Pre-Calculation'!$E$20,Y25:Y34)</f>
        <v>969592.8037</v>
      </c>
    </row>
    <row r="25" ht="15.75" customHeight="1">
      <c r="A25" s="171">
        <f t="shared" si="1"/>
        <v>19</v>
      </c>
      <c r="B25" s="171">
        <f t="shared" si="2"/>
        <v>2</v>
      </c>
      <c r="C25" s="176">
        <f>EDATE(RCD,A24)</f>
        <v>43099</v>
      </c>
      <c r="D25" s="171">
        <f>Age_At_Entry+Cashflows_Backtesting!B25-1</f>
        <v>36</v>
      </c>
      <c r="E25" s="175">
        <f>IF(AND(C25&lt;=Last_Prem,MOD(A24,Mode)=0),Mod_Prem,0)</f>
        <v>0</v>
      </c>
      <c r="F25" s="177">
        <f>E25*VLOOKUP(B25,'Pre-Calculation'!$H$1:$I$31,2,FALSE)</f>
        <v>0</v>
      </c>
      <c r="G25" s="177">
        <f>IF(B25&lt;PT+1,VLOOKUP(B25,'Pre-Calculation'!$H$1:$L$32,3,FALSE)+VLOOKUP(B25,'Pre-Calculation'!$H$1:$L$32,4,FALSE)*'Pre-Calculation'!$D$7,0)</f>
        <v>420</v>
      </c>
      <c r="H25" s="175">
        <f>(E25-(F25+G25)*(1+Tax)+O24)</f>
        <v>213837.761</v>
      </c>
      <c r="I25" s="175">
        <f>IF(B25&lt;PT+1,VLOOKUP(D25,'Pre-Calculation'!$N$3:$P$79,IF(INPUT!$C$4="M",2,3),FALSE)*(J25/1000)*(1/12),0)</f>
        <v>88.96736005</v>
      </c>
      <c r="J25" s="175">
        <f>MAX(0,(SA-H25))</f>
        <v>786162.239</v>
      </c>
      <c r="K25" s="175">
        <f>H25-I25*(1+Tax)</f>
        <v>213732.7795</v>
      </c>
      <c r="L25" s="187">
        <f>VLOOKUP(C25,'NAVs_Till 29 Jun 2021'!$A$3:$J$2236,MATCH('Pre-Calculation'!$C$34,'NAVs_Till 29 Jun 2021'!$A$1:$J$1,0))</f>
        <v>13.819</v>
      </c>
      <c r="M25" s="187">
        <f>IFERROR(1,VLOOKUP(C25,'NAVs_Till 29 Jun 2021'!$A$3:$J$2236,MATCH(#REF!,'NAVs_Till 29 Jun 2021'!$A$1:$J$1,0)))</f>
        <v>1</v>
      </c>
      <c r="N25" s="175">
        <f>VLOOKUP('Pre-Calculation'!$C$34,INPUT!$B$20:$C$28,2,0)*K25*(L26/L25)+ IFERROR(0,VLOOKUP('Pre-Calculation'!$D$34,INPUT!$B$20:$C$28,2,0))*K25*(M26/M25)</f>
        <v>223561.7962</v>
      </c>
      <c r="O25" s="175">
        <f t="shared" si="3"/>
        <v>223561.7962</v>
      </c>
      <c r="P25" s="175">
        <f t="shared" si="4"/>
        <v>223561.7962</v>
      </c>
      <c r="Q25" s="175">
        <f>IF('Pre-Calculation'!$D$17="Type 4 a",MAX(SA,O25,1.05*R25),IF('Pre-Calculation'!$D$17="Type 4 c",O25,IF('Pre-Calculation'!$D$17="Type 4 d",SA+O25,IF('Pre-Calculation'!$D$17="Type 4 e",MAX(SA,O25),IF('Pre-Calculation'!$D$17="Type 4 f",SA,IF('Pre-Calculation'!$D$17="Type 4 g",1000+O25,IF('Pre-Calculation'!$D$17="Type 4 h",SA+S25,IF('Pre-Calculation'!$D$17="Type 4 i",MAX(O25,R25),IF('Pre-Calculation'!$D$17="Type 4 k",MAX(O25,1.01*R25),IF('Pre-Calculation'!$D$17="Type 4 m",MAX(105%*R25,SA+O25),IF('Pre-Calculation'!$D$17="Type 4 o",MAX(SA,105%*R25)+X25+Z25,IF('Pre-Calculation'!$D$17="Type 5",0))))))))))))</f>
        <v>1000000</v>
      </c>
      <c r="R25" s="175">
        <f t="shared" si="5"/>
        <v>200000</v>
      </c>
      <c r="S25" s="119">
        <f>K25*(1+GROWTH_RATE)*FMC</f>
        <v>241.8648338</v>
      </c>
      <c r="T25" s="178">
        <f>T24*(1+'Pre-Calculation'!$E$27)</f>
        <v>686386.7803</v>
      </c>
      <c r="U25" s="175">
        <f>-E25+IF(A24=INPUT!$C$11*12,O25,0)</f>
        <v>0</v>
      </c>
      <c r="V25" s="181"/>
      <c r="W25" s="112"/>
      <c r="X25" s="179">
        <f t="array" ref="X25">NPV('Pre-Calculation'!$E$20,$E26:E$246)</f>
        <v>617675.9204</v>
      </c>
      <c r="Y25" s="171">
        <f>10%*SA</f>
        <v>100000</v>
      </c>
      <c r="Z25" s="179">
        <f t="array" ref="Z25">NPV('Pre-Calculation'!$E$20,Y26:Y35)</f>
        <v>969592.8037</v>
      </c>
    </row>
    <row r="26" ht="15.75" customHeight="1">
      <c r="A26" s="171">
        <f t="shared" si="1"/>
        <v>20</v>
      </c>
      <c r="B26" s="171">
        <f t="shared" si="2"/>
        <v>2</v>
      </c>
      <c r="C26" s="176">
        <f>EDATE(RCD,A25)</f>
        <v>43130</v>
      </c>
      <c r="D26" s="171">
        <f>Age_At_Entry+Cashflows_Backtesting!B26-1</f>
        <v>36</v>
      </c>
      <c r="E26" s="175">
        <f>IF(AND(C26&lt;=Last_Prem,MOD(A25,Mode)=0),Mod_Prem,0)</f>
        <v>0</v>
      </c>
      <c r="F26" s="177">
        <f>E26*VLOOKUP(B26,'Pre-Calculation'!$H$1:$I$31,2,FALSE)</f>
        <v>0</v>
      </c>
      <c r="G26" s="177">
        <f>IF(B26&lt;PT+1,VLOOKUP(B26,'Pre-Calculation'!$H$1:$L$32,3,FALSE)+VLOOKUP(B26,'Pre-Calculation'!$H$1:$L$32,4,FALSE)*'Pre-Calculation'!$D$7,0)</f>
        <v>420</v>
      </c>
      <c r="H26" s="175">
        <f>(E26-(F26+G26)*(1+Tax)+O25)</f>
        <v>223066.1962</v>
      </c>
      <c r="I26" s="175">
        <f>IF(B26&lt;PT+1,VLOOKUP(D26,'Pre-Calculation'!$N$3:$P$79,IF(INPUT!$C$4="M",2,3),FALSE)*(J26/1000)*(1/12),0)</f>
        <v>87.9230088</v>
      </c>
      <c r="J26" s="175">
        <f>MAX(0,(SA-H26))</f>
        <v>776933.8038</v>
      </c>
      <c r="K26" s="175">
        <f>H26-I26*(1+Tax)</f>
        <v>222962.447</v>
      </c>
      <c r="L26" s="187">
        <f>VLOOKUP(C26,'NAVs_Till 29 Jun 2021'!$A$3:$J$2236,MATCH('Pre-Calculation'!$C$34,'NAVs_Till 29 Jun 2021'!$A$1:$J$1,0))</f>
        <v>14.4545</v>
      </c>
      <c r="M26" s="187">
        <f>IFERROR(1,VLOOKUP(C26,'NAVs_Till 29 Jun 2021'!$A$3:$J$2236,MATCH(#REF!,'NAVs_Till 29 Jun 2021'!$A$1:$J$1,0)))</f>
        <v>1</v>
      </c>
      <c r="N26" s="175">
        <f>VLOOKUP('Pre-Calculation'!$C$34,INPUT!$B$20:$C$28,2,0)*K26*(L27/L26)+ IFERROR(0,VLOOKUP('Pre-Calculation'!$D$34,INPUT!$B$20:$C$28,2,0))*K26*(M27/M26)</f>
        <v>212872.8738</v>
      </c>
      <c r="O26" s="175">
        <f t="shared" si="3"/>
        <v>212872.8738</v>
      </c>
      <c r="P26" s="175">
        <f t="shared" si="4"/>
        <v>212872.8738</v>
      </c>
      <c r="Q26" s="175">
        <f>IF('Pre-Calculation'!$D$17="Type 4 a",MAX(SA,O26,1.05*R26),IF('Pre-Calculation'!$D$17="Type 4 c",O26,IF('Pre-Calculation'!$D$17="Type 4 d",SA+O26,IF('Pre-Calculation'!$D$17="Type 4 e",MAX(SA,O26),IF('Pre-Calculation'!$D$17="Type 4 f",SA,IF('Pre-Calculation'!$D$17="Type 4 g",1000+O26,IF('Pre-Calculation'!$D$17="Type 4 h",SA+S26,IF('Pre-Calculation'!$D$17="Type 4 i",MAX(O26,R26),IF('Pre-Calculation'!$D$17="Type 4 k",MAX(O26,1.01*R26),IF('Pre-Calculation'!$D$17="Type 4 m",MAX(105%*R26,SA+O26),IF('Pre-Calculation'!$D$17="Type 4 o",MAX(SA,105%*R26)+X26+Z26,IF('Pre-Calculation'!$D$17="Type 5",0))))))))))))</f>
        <v>1000000</v>
      </c>
      <c r="R26" s="175">
        <f t="shared" si="5"/>
        <v>200000</v>
      </c>
      <c r="S26" s="119">
        <f>K26*(1+GROWTH_RATE)*FMC</f>
        <v>252.3093338</v>
      </c>
      <c r="T26" s="178">
        <f>T25*(1+'Pre-Calculation'!$E$27)</f>
        <v>688357.3272</v>
      </c>
      <c r="U26" s="175">
        <f>-E26+IF(A25=INPUT!$C$11*12,O26,0)</f>
        <v>0</v>
      </c>
      <c r="V26" s="181"/>
      <c r="W26" s="112"/>
      <c r="X26" s="179">
        <f t="array" ref="X26">NPV('Pre-Calculation'!$E$20,$E27:E$246)</f>
        <v>621168.3498</v>
      </c>
      <c r="Y26" s="171">
        <f>10%*SA</f>
        <v>100000</v>
      </c>
      <c r="Z26" s="179">
        <f t="array" ref="Z26">NPV('Pre-Calculation'!$E$20,Y27:Y36)</f>
        <v>969592.8037</v>
      </c>
    </row>
    <row r="27" ht="15.75" customHeight="1">
      <c r="A27" s="171">
        <f t="shared" si="1"/>
        <v>21</v>
      </c>
      <c r="B27" s="171">
        <f t="shared" si="2"/>
        <v>2</v>
      </c>
      <c r="C27" s="176">
        <f>EDATE(RCD,A26)</f>
        <v>43159</v>
      </c>
      <c r="D27" s="171">
        <f>Age_At_Entry+Cashflows_Backtesting!B27-1</f>
        <v>36</v>
      </c>
      <c r="E27" s="175">
        <f>IF(AND(C27&lt;=Last_Prem,MOD(A26,Mode)=0),Mod_Prem,0)</f>
        <v>0</v>
      </c>
      <c r="F27" s="177">
        <f>E27*VLOOKUP(B27,'Pre-Calculation'!$H$1:$I$31,2,FALSE)</f>
        <v>0</v>
      </c>
      <c r="G27" s="177">
        <f>IF(B27&lt;PT+1,VLOOKUP(B27,'Pre-Calculation'!$H$1:$L$32,3,FALSE)+VLOOKUP(B27,'Pre-Calculation'!$H$1:$L$32,4,FALSE)*'Pre-Calculation'!$D$7,0)</f>
        <v>420</v>
      </c>
      <c r="H27" s="175">
        <f>(E27-(F27+G27)*(1+Tax)+O26)</f>
        <v>212377.2738</v>
      </c>
      <c r="I27" s="175">
        <f>IF(B27&lt;PT+1,VLOOKUP(D27,'Pre-Calculation'!$N$3:$P$79,IF(INPUT!$C$4="M",2,3),FALSE)*(J27/1000)*(1/12),0)</f>
        <v>89.13263852</v>
      </c>
      <c r="J27" s="175">
        <f>MAX(0,(SA-H27))</f>
        <v>787622.7262</v>
      </c>
      <c r="K27" s="175">
        <f>H27-I27*(1+Tax)</f>
        <v>212272.0972</v>
      </c>
      <c r="L27" s="187">
        <f>VLOOKUP(C27,'NAVs_Till 29 Jun 2021'!$A$3:$J$2236,MATCH('Pre-Calculation'!$C$34,'NAVs_Till 29 Jun 2021'!$A$1:$J$1,0))</f>
        <v>13.8004</v>
      </c>
      <c r="M27" s="187">
        <f>IFERROR(1,VLOOKUP(C27,'NAVs_Till 29 Jun 2021'!$A$3:$J$2236,MATCH(#REF!,'NAVs_Till 29 Jun 2021'!$A$1:$J$1,0)))</f>
        <v>1</v>
      </c>
      <c r="N27" s="175">
        <f>VLOOKUP('Pre-Calculation'!$C$34,INPUT!$B$20:$C$28,2,0)*K27*(L28/L27)+ IFERROR(0,VLOOKUP('Pre-Calculation'!$D$34,INPUT!$B$20:$C$28,2,0))*K27*(M28/M27)</f>
        <v>205450.362</v>
      </c>
      <c r="O27" s="175">
        <f t="shared" si="3"/>
        <v>205450.362</v>
      </c>
      <c r="P27" s="175">
        <f t="shared" si="4"/>
        <v>205450.362</v>
      </c>
      <c r="Q27" s="175">
        <f>IF('Pre-Calculation'!$D$17="Type 4 a",MAX(SA,O27,1.05*R27),IF('Pre-Calculation'!$D$17="Type 4 c",O27,IF('Pre-Calculation'!$D$17="Type 4 d",SA+O27,IF('Pre-Calculation'!$D$17="Type 4 e",MAX(SA,O27),IF('Pre-Calculation'!$D$17="Type 4 f",SA,IF('Pre-Calculation'!$D$17="Type 4 g",1000+O27,IF('Pre-Calculation'!$D$17="Type 4 h",SA+S27,IF('Pre-Calculation'!$D$17="Type 4 i",MAX(O27,R27),IF('Pre-Calculation'!$D$17="Type 4 k",MAX(O27,1.01*R27),IF('Pre-Calculation'!$D$17="Type 4 m",MAX(105%*R27,SA+O27),IF('Pre-Calculation'!$D$17="Type 4 o",MAX(SA,105%*R27)+X27+Z27,IF('Pre-Calculation'!$D$17="Type 5",0))))))))))))</f>
        <v>1000000</v>
      </c>
      <c r="R27" s="175">
        <f t="shared" si="5"/>
        <v>200000</v>
      </c>
      <c r="S27" s="119">
        <f>K27*(1+GROWTH_RATE)*FMC</f>
        <v>240.2118929</v>
      </c>
      <c r="T27" s="178">
        <f>T26*(1+'Pre-Calculation'!$E$27)</f>
        <v>690333.5314</v>
      </c>
      <c r="U27" s="175">
        <f>-E27+IF(A26=INPUT!$C$11*12,O27,0)</f>
        <v>0</v>
      </c>
      <c r="V27" s="181"/>
      <c r="W27" s="112"/>
      <c r="X27" s="179">
        <f t="array" ref="X27">NPV('Pre-Calculation'!$E$20,$E28:E$246)</f>
        <v>624680.526</v>
      </c>
      <c r="Y27" s="171">
        <f>10%*SA</f>
        <v>100000</v>
      </c>
      <c r="Z27" s="179">
        <f t="array" ref="Z27">NPV('Pre-Calculation'!$E$20,Y28:Y37)</f>
        <v>969592.8037</v>
      </c>
    </row>
    <row r="28" ht="15.75" customHeight="1">
      <c r="A28" s="171">
        <f t="shared" si="1"/>
        <v>22</v>
      </c>
      <c r="B28" s="171">
        <f t="shared" si="2"/>
        <v>2</v>
      </c>
      <c r="C28" s="176">
        <f>EDATE(RCD,A27)</f>
        <v>43189</v>
      </c>
      <c r="D28" s="171">
        <f>Age_At_Entry+Cashflows_Backtesting!B28-1</f>
        <v>36</v>
      </c>
      <c r="E28" s="175">
        <f>IF(AND(C28&lt;=Last_Prem,MOD(A27,Mode)=0),Mod_Prem,0)</f>
        <v>0</v>
      </c>
      <c r="F28" s="177">
        <f>E28*VLOOKUP(B28,'Pre-Calculation'!$H$1:$I$31,2,FALSE)</f>
        <v>0</v>
      </c>
      <c r="G28" s="177">
        <f>IF(B28&lt;PT+1,VLOOKUP(B28,'Pre-Calculation'!$H$1:$L$32,3,FALSE)+VLOOKUP(B28,'Pre-Calculation'!$H$1:$L$32,4,FALSE)*'Pre-Calculation'!$D$7,0)</f>
        <v>420</v>
      </c>
      <c r="H28" s="175">
        <f>(E28-(F28+G28)*(1+Tax)+O27)</f>
        <v>204954.762</v>
      </c>
      <c r="I28" s="175">
        <f>IF(B28&lt;PT+1,VLOOKUP(D28,'Pre-Calculation'!$N$3:$P$79,IF(INPUT!$C$4="M",2,3),FALSE)*(J28/1000)*(1/12),0)</f>
        <v>89.97261943</v>
      </c>
      <c r="J28" s="175">
        <f>MAX(0,(SA-H28))</f>
        <v>795045.238</v>
      </c>
      <c r="K28" s="175">
        <f>H28-I28*(1+Tax)</f>
        <v>204848.5943</v>
      </c>
      <c r="L28" s="187">
        <f>VLOOKUP(C28,'NAVs_Till 29 Jun 2021'!$A$3:$J$2236,MATCH('Pre-Calculation'!$C$34,'NAVs_Till 29 Jun 2021'!$A$1:$J$1,0))</f>
        <v>13.3569</v>
      </c>
      <c r="M28" s="187">
        <f>IFERROR(1,VLOOKUP(C28,'NAVs_Till 29 Jun 2021'!$A$3:$J$2236,MATCH(#REF!,'NAVs_Till 29 Jun 2021'!$A$1:$J$1,0)))</f>
        <v>1</v>
      </c>
      <c r="N28" s="175">
        <f>VLOOKUP('Pre-Calculation'!$C$34,INPUT!$B$20:$C$28,2,0)*K28*(L29/L28)+ IFERROR(0,VLOOKUP('Pre-Calculation'!$D$34,INPUT!$B$20:$C$28,2,0))*K28*(M29/M28)</f>
        <v>215874.0309</v>
      </c>
      <c r="O28" s="175">
        <f t="shared" si="3"/>
        <v>215874.0309</v>
      </c>
      <c r="P28" s="175">
        <f t="shared" si="4"/>
        <v>215874.0309</v>
      </c>
      <c r="Q28" s="175">
        <f>IF('Pre-Calculation'!$D$17="Type 4 a",MAX(SA,O28,1.05*R28),IF('Pre-Calculation'!$D$17="Type 4 c",O28,IF('Pre-Calculation'!$D$17="Type 4 d",SA+O28,IF('Pre-Calculation'!$D$17="Type 4 e",MAX(SA,O28),IF('Pre-Calculation'!$D$17="Type 4 f",SA,IF('Pre-Calculation'!$D$17="Type 4 g",1000+O28,IF('Pre-Calculation'!$D$17="Type 4 h",SA+S28,IF('Pre-Calculation'!$D$17="Type 4 i",MAX(O28,R28),IF('Pre-Calculation'!$D$17="Type 4 k",MAX(O28,1.01*R28),IF('Pre-Calculation'!$D$17="Type 4 m",MAX(105%*R28,SA+O28),IF('Pre-Calculation'!$D$17="Type 4 o",MAX(SA,105%*R28)+X28+Z28,IF('Pre-Calculation'!$D$17="Type 5",0))))))))))))</f>
        <v>1000000</v>
      </c>
      <c r="R28" s="175">
        <f t="shared" si="5"/>
        <v>200000</v>
      </c>
      <c r="S28" s="119">
        <f>K28*(1+GROWTH_RATE)*FMC</f>
        <v>231.8112895</v>
      </c>
      <c r="T28" s="178">
        <f>T27*(1+'Pre-Calculation'!$E$27)</f>
        <v>692315.4091</v>
      </c>
      <c r="U28" s="175">
        <f>-E28+IF(A27=INPUT!$C$11*12,O28,0)</f>
        <v>0</v>
      </c>
      <c r="V28" s="181"/>
      <c r="W28" s="112"/>
      <c r="X28" s="179">
        <f t="array" ref="X28">NPV('Pre-Calculation'!$E$20,$E29:E$246)</f>
        <v>628212.5605</v>
      </c>
      <c r="Y28" s="171">
        <f>10%*SA</f>
        <v>100000</v>
      </c>
      <c r="Z28" s="179">
        <f t="array" ref="Z28">NPV('Pre-Calculation'!$E$20,Y29:Y38)</f>
        <v>969592.8037</v>
      </c>
    </row>
    <row r="29" ht="15.75" customHeight="1">
      <c r="A29" s="171">
        <f t="shared" si="1"/>
        <v>23</v>
      </c>
      <c r="B29" s="171">
        <f t="shared" si="2"/>
        <v>2</v>
      </c>
      <c r="C29" s="176">
        <f>EDATE(RCD,A28)</f>
        <v>43220</v>
      </c>
      <c r="D29" s="171">
        <f>Age_At_Entry+Cashflows_Backtesting!B29-1</f>
        <v>36</v>
      </c>
      <c r="E29" s="175">
        <f>IF(AND(C29&lt;=Last_Prem,MOD(A28,Mode)=0),Mod_Prem,0)</f>
        <v>0</v>
      </c>
      <c r="F29" s="177">
        <f>E29*VLOOKUP(B29,'Pre-Calculation'!$H$1:$I$31,2,FALSE)</f>
        <v>0</v>
      </c>
      <c r="G29" s="177">
        <f>IF(B29&lt;PT+1,VLOOKUP(B29,'Pre-Calculation'!$H$1:$L$32,3,FALSE)+VLOOKUP(B29,'Pre-Calculation'!$H$1:$L$32,4,FALSE)*'Pre-Calculation'!$D$7,0)</f>
        <v>420</v>
      </c>
      <c r="H29" s="175">
        <f>(E29-(F29+G29)*(1+Tax)+O28)</f>
        <v>215378.4309</v>
      </c>
      <c r="I29" s="175">
        <f>IF(B29&lt;PT+1,VLOOKUP(D29,'Pre-Calculation'!$N$3:$P$79,IF(INPUT!$C$4="M",2,3),FALSE)*(J29/1000)*(1/12),0)</f>
        <v>88.79300757</v>
      </c>
      <c r="J29" s="175">
        <f>MAX(0,(SA-H29))</f>
        <v>784621.5691</v>
      </c>
      <c r="K29" s="175">
        <f>H29-I29*(1+Tax)</f>
        <v>215273.6552</v>
      </c>
      <c r="L29" s="187">
        <f>VLOOKUP(C29,'NAVs_Till 29 Jun 2021'!$A$3:$J$2236,MATCH('Pre-Calculation'!$C$34,'NAVs_Till 29 Jun 2021'!$A$1:$J$1,0))</f>
        <v>14.0758</v>
      </c>
      <c r="M29" s="187">
        <f>IFERROR(1,VLOOKUP(C29,'NAVs_Till 29 Jun 2021'!$A$3:$J$2236,MATCH(#REF!,'NAVs_Till 29 Jun 2021'!$A$1:$J$1,0)))</f>
        <v>1</v>
      </c>
      <c r="N29" s="175">
        <f>VLOOKUP('Pre-Calculation'!$C$34,INPUT!$B$20:$C$28,2,0)*K29*(L30/L29)+ IFERROR(0,VLOOKUP('Pre-Calculation'!$D$34,INPUT!$B$20:$C$28,2,0))*K29*(M30/M29)</f>
        <v>213020.866</v>
      </c>
      <c r="O29" s="175">
        <f t="shared" si="3"/>
        <v>213020.866</v>
      </c>
      <c r="P29" s="175">
        <f t="shared" si="4"/>
        <v>213020.866</v>
      </c>
      <c r="Q29" s="175">
        <f>IF('Pre-Calculation'!$D$17="Type 4 a",MAX(SA,O29,1.05*R29),IF('Pre-Calculation'!$D$17="Type 4 c",O29,IF('Pre-Calculation'!$D$17="Type 4 d",SA+O29,IF('Pre-Calculation'!$D$17="Type 4 e",MAX(SA,O29),IF('Pre-Calculation'!$D$17="Type 4 f",SA,IF('Pre-Calculation'!$D$17="Type 4 g",1000+O29,IF('Pre-Calculation'!$D$17="Type 4 h",SA+S29,IF('Pre-Calculation'!$D$17="Type 4 i",MAX(O29,R29),IF('Pre-Calculation'!$D$17="Type 4 k",MAX(O29,1.01*R29),IF('Pre-Calculation'!$D$17="Type 4 m",MAX(105%*R29,SA+O29),IF('Pre-Calculation'!$D$17="Type 4 o",MAX(SA,105%*R29)+X29+Z29,IF('Pre-Calculation'!$D$17="Type 5",0))))))))))))</f>
        <v>1000000</v>
      </c>
      <c r="R29" s="175">
        <f t="shared" si="5"/>
        <v>200000</v>
      </c>
      <c r="S29" s="119">
        <f>K29*(1+GROWTH_RATE)*FMC</f>
        <v>243.6085235</v>
      </c>
      <c r="T29" s="178">
        <f>T28*(1+'Pre-Calculation'!$E$27)</f>
        <v>694302.9765</v>
      </c>
      <c r="U29" s="175">
        <f>-E29+IF(A28=INPUT!$C$11*12,O29,0)</f>
        <v>0</v>
      </c>
      <c r="V29" s="181"/>
      <c r="W29" s="112"/>
      <c r="X29" s="179">
        <f t="array" ref="X29">NPV('Pre-Calculation'!$E$20,$E30:E$246)</f>
        <v>631764.5656</v>
      </c>
      <c r="Y29" s="171">
        <f>10%*SA</f>
        <v>100000</v>
      </c>
      <c r="Z29" s="179">
        <f t="array" ref="Z29">NPV('Pre-Calculation'!$E$20,Y30:Y39)</f>
        <v>969592.8037</v>
      </c>
    </row>
    <row r="30" ht="15.75" customHeight="1">
      <c r="A30" s="171">
        <f t="shared" si="1"/>
        <v>24</v>
      </c>
      <c r="B30" s="171">
        <f t="shared" si="2"/>
        <v>2</v>
      </c>
      <c r="C30" s="176">
        <f>EDATE(RCD,A29)</f>
        <v>43250</v>
      </c>
      <c r="D30" s="171">
        <f>Age_At_Entry+Cashflows_Backtesting!B30-1</f>
        <v>36</v>
      </c>
      <c r="E30" s="175">
        <f>IF(AND(C30&lt;=Last_Prem,MOD(A29,Mode)=0),Mod_Prem,0)</f>
        <v>0</v>
      </c>
      <c r="F30" s="177">
        <f>E30*VLOOKUP(B30,'Pre-Calculation'!$H$1:$I$31,2,FALSE)</f>
        <v>0</v>
      </c>
      <c r="G30" s="177">
        <f>IF(B30&lt;PT+1,VLOOKUP(B30,'Pre-Calculation'!$H$1:$L$32,3,FALSE)+VLOOKUP(B30,'Pre-Calculation'!$H$1:$L$32,4,FALSE)*'Pre-Calculation'!$D$7,0)</f>
        <v>420</v>
      </c>
      <c r="H30" s="175">
        <f>(E30-(F30+G30)*(1+Tax)+O29)</f>
        <v>212525.266</v>
      </c>
      <c r="I30" s="175">
        <f>IF(B30&lt;PT+1,VLOOKUP(D30,'Pre-Calculation'!$N$3:$P$79,IF(INPUT!$C$4="M",2,3),FALSE)*(J30/1000)*(1/12),0)</f>
        <v>89.11589073</v>
      </c>
      <c r="J30" s="175">
        <f>MAX(0,(SA-H30))</f>
        <v>787474.734</v>
      </c>
      <c r="K30" s="175">
        <f>H30-I30*(1+Tax)</f>
        <v>212420.1093</v>
      </c>
      <c r="L30" s="187">
        <f>VLOOKUP(C30,'NAVs_Till 29 Jun 2021'!$A$3:$J$2236,MATCH('Pre-Calculation'!$C$34,'NAVs_Till 29 Jun 2021'!$A$1:$J$1,0))</f>
        <v>13.9285</v>
      </c>
      <c r="M30" s="187">
        <f>IFERROR(1,VLOOKUP(C30,'NAVs_Till 29 Jun 2021'!$A$3:$J$2236,MATCH(#REF!,'NAVs_Till 29 Jun 2021'!$A$1:$J$1,0)))</f>
        <v>1</v>
      </c>
      <c r="N30" s="175">
        <f>VLOOKUP('Pre-Calculation'!$C$34,INPUT!$B$20:$C$28,2,0)*K30*(L31/L30)+ IFERROR(0,VLOOKUP('Pre-Calculation'!$D$34,INPUT!$B$20:$C$28,2,0))*K30*(M31/M30)</f>
        <v>213920.7833</v>
      </c>
      <c r="O30" s="175">
        <f t="shared" si="3"/>
        <v>213920.7833</v>
      </c>
      <c r="P30" s="175">
        <f t="shared" si="4"/>
        <v>213920.7833</v>
      </c>
      <c r="Q30" s="175">
        <f>IF('Pre-Calculation'!$D$17="Type 4 a",MAX(SA,O30,1.05*R30),IF('Pre-Calculation'!$D$17="Type 4 c",O30,IF('Pre-Calculation'!$D$17="Type 4 d",SA+O30,IF('Pre-Calculation'!$D$17="Type 4 e",MAX(SA,O30),IF('Pre-Calculation'!$D$17="Type 4 f",SA,IF('Pre-Calculation'!$D$17="Type 4 g",1000+O30,IF('Pre-Calculation'!$D$17="Type 4 h",SA+S30,IF('Pre-Calculation'!$D$17="Type 4 i",MAX(O30,R30),IF('Pre-Calculation'!$D$17="Type 4 k",MAX(O30,1.01*R30),IF('Pre-Calculation'!$D$17="Type 4 m",MAX(105%*R30,SA+O30),IF('Pre-Calculation'!$D$17="Type 4 o",MAX(SA,105%*R30)+X30+Z30,IF('Pre-Calculation'!$D$17="Type 5",0))))))))))))</f>
        <v>1000000</v>
      </c>
      <c r="R30" s="175">
        <f t="shared" si="5"/>
        <v>200000</v>
      </c>
      <c r="S30" s="119">
        <f>K30*(1+GROWTH_RATE)*FMC</f>
        <v>240.3793866</v>
      </c>
      <c r="T30" s="178">
        <f>T29*(1+'Pre-Calculation'!$E$27)</f>
        <v>696296.25</v>
      </c>
      <c r="U30" s="175">
        <f>-E30+IF(A29=INPUT!$C$11*12,O30,0)</f>
        <v>0</v>
      </c>
      <c r="V30" s="171"/>
      <c r="W30" s="112"/>
      <c r="X30" s="179">
        <f t="array" ref="X30">NPV('Pre-Calculation'!$E$20,$E31:E$246)</f>
        <v>635336.6544</v>
      </c>
      <c r="Y30" s="171">
        <f>10%*SA</f>
        <v>100000</v>
      </c>
      <c r="Z30" s="179">
        <f t="array" ref="Z30">NPV('Pre-Calculation'!$E$20,Y31:Y40)</f>
        <v>969592.8037</v>
      </c>
    </row>
    <row r="31" ht="15.75" customHeight="1">
      <c r="A31" s="171">
        <f t="shared" si="1"/>
        <v>25</v>
      </c>
      <c r="B31" s="171">
        <f t="shared" si="2"/>
        <v>3</v>
      </c>
      <c r="C31" s="176">
        <f>EDATE(RCD,A30)</f>
        <v>43281</v>
      </c>
      <c r="D31" s="171">
        <f>Age_At_Entry+Cashflows_Backtesting!B31-1</f>
        <v>37</v>
      </c>
      <c r="E31" s="175">
        <f>IF(AND(C31&lt;=Last_Prem,MOD(A30,Mode)=0),Mod_Prem,0)</f>
        <v>100000</v>
      </c>
      <c r="F31" s="177">
        <f>E31*VLOOKUP(B31,'Pre-Calculation'!$H$1:$I$31,2,FALSE)</f>
        <v>0</v>
      </c>
      <c r="G31" s="177">
        <f>IF(B31&lt;PT+1,VLOOKUP(B31,'Pre-Calculation'!$H$1:$L$32,3,FALSE)+VLOOKUP(B31,'Pre-Calculation'!$H$1:$L$32,4,FALSE)*'Pre-Calculation'!$D$7,0)</f>
        <v>420</v>
      </c>
      <c r="H31" s="175">
        <f>(E31-(F31+G31)*(1+Tax)+O30)</f>
        <v>313425.1833</v>
      </c>
      <c r="I31" s="175">
        <f>IF(B31&lt;PT+1,VLOOKUP(D31,'Pre-Calculation'!$N$3:$P$79,IF(INPUT!$C$4="M",2,3),FALSE)*(J31/1000)*(1/12),0)</f>
        <v>82.76087269</v>
      </c>
      <c r="J31" s="175">
        <f>MAX(0,(SA-H31))</f>
        <v>686574.8167</v>
      </c>
      <c r="K31" s="175">
        <f>H31-I31*(1+Tax)</f>
        <v>313327.5255</v>
      </c>
      <c r="L31" s="187">
        <f>VLOOKUP(C31,'NAVs_Till 29 Jun 2021'!$A$3:$J$2236,MATCH('Pre-Calculation'!$C$34,'NAVs_Till 29 Jun 2021'!$A$1:$J$1,0))</f>
        <v>14.0269</v>
      </c>
      <c r="M31" s="187">
        <f>IFERROR(1,VLOOKUP(C31,'NAVs_Till 29 Jun 2021'!$A$3:$J$2236,MATCH(#REF!,'NAVs_Till 29 Jun 2021'!$A$1:$J$1,0)))</f>
        <v>1</v>
      </c>
      <c r="N31" s="175">
        <f>VLOOKUP('Pre-Calculation'!$C$34,INPUT!$B$20:$C$28,2,0)*K31*(L32/L31)+ IFERROR(0,VLOOKUP('Pre-Calculation'!$D$34,INPUT!$B$20:$C$28,2,0))*K31*(M32/M31)</f>
        <v>327943.0286</v>
      </c>
      <c r="O31" s="175">
        <f t="shared" si="3"/>
        <v>327943.0286</v>
      </c>
      <c r="P31" s="175">
        <f t="shared" si="4"/>
        <v>327943.0286</v>
      </c>
      <c r="Q31" s="175">
        <f>IF('Pre-Calculation'!$D$17="Type 4 a",MAX(SA,O31,1.05*R31),IF('Pre-Calculation'!$D$17="Type 4 c",O31,IF('Pre-Calculation'!$D$17="Type 4 d",SA+O31,IF('Pre-Calculation'!$D$17="Type 4 e",MAX(SA,O31),IF('Pre-Calculation'!$D$17="Type 4 f",SA,IF('Pre-Calculation'!$D$17="Type 4 g",1000+O31,IF('Pre-Calculation'!$D$17="Type 4 h",SA+S31,IF('Pre-Calculation'!$D$17="Type 4 i",MAX(O31,R31),IF('Pre-Calculation'!$D$17="Type 4 k",MAX(O31,1.01*R31),IF('Pre-Calculation'!$D$17="Type 4 m",MAX(105%*R31,SA+O31),IF('Pre-Calculation'!$D$17="Type 4 o",MAX(SA,105%*R31)+X31+Z31,IF('Pre-Calculation'!$D$17="Type 5",0))))))))))))</f>
        <v>1000000</v>
      </c>
      <c r="R31" s="175">
        <f t="shared" si="5"/>
        <v>300000</v>
      </c>
      <c r="S31" s="119">
        <f>K31*(1+GROWTH_RATE)*FMC</f>
        <v>354.5684947</v>
      </c>
      <c r="T31" s="178">
        <f>T30*(1+'Pre-Calculation'!$E$27)</f>
        <v>698295.246</v>
      </c>
      <c r="U31" s="175">
        <f>-E31+IF(A30=INPUT!$C$11*12,O31,0)</f>
        <v>-100000</v>
      </c>
      <c r="V31" s="171"/>
      <c r="W31" s="112"/>
      <c r="X31" s="179">
        <f t="array" ref="X31">NPV('Pre-Calculation'!$E$20,$E32:E$246)</f>
        <v>538928.9402</v>
      </c>
      <c r="Y31" s="171">
        <f>10%*SA</f>
        <v>100000</v>
      </c>
      <c r="Z31" s="179">
        <f t="array" ref="Z31">NPV('Pre-Calculation'!$E$20,Y32:Y41)</f>
        <v>969592.8037</v>
      </c>
    </row>
    <row r="32" ht="15.75" customHeight="1">
      <c r="A32" s="171">
        <f t="shared" si="1"/>
        <v>26</v>
      </c>
      <c r="B32" s="171">
        <f t="shared" si="2"/>
        <v>3</v>
      </c>
      <c r="C32" s="176">
        <f>EDATE(RCD,A31)</f>
        <v>43311</v>
      </c>
      <c r="D32" s="171">
        <f>Age_At_Entry+Cashflows_Backtesting!B32-1</f>
        <v>37</v>
      </c>
      <c r="E32" s="175">
        <f>IF(AND(C32&lt;=Last_Prem,MOD(A31,Mode)=0),Mod_Prem,0)</f>
        <v>0</v>
      </c>
      <c r="F32" s="177">
        <f>E32*VLOOKUP(B32,'Pre-Calculation'!$H$1:$I$31,2,FALSE)</f>
        <v>0</v>
      </c>
      <c r="G32" s="177">
        <f>IF(B32&lt;PT+1,VLOOKUP(B32,'Pre-Calculation'!$H$1:$L$32,3,FALSE)+VLOOKUP(B32,'Pre-Calculation'!$H$1:$L$32,4,FALSE)*'Pre-Calculation'!$D$7,0)</f>
        <v>420</v>
      </c>
      <c r="H32" s="175">
        <f>(E32-(F32+G32)*(1+Tax)+O31)</f>
        <v>327447.4286</v>
      </c>
      <c r="I32" s="175">
        <f>IF(B32&lt;PT+1,VLOOKUP(D32,'Pre-Calculation'!$N$3:$P$79,IF(INPUT!$C$4="M",2,3),FALSE)*(J32/1000)*(1/12),0)</f>
        <v>81.07060788</v>
      </c>
      <c r="J32" s="175">
        <f>MAX(0,(SA-H32))</f>
        <v>672552.5714</v>
      </c>
      <c r="K32" s="175">
        <f>H32-I32*(1+Tax)</f>
        <v>327351.7653</v>
      </c>
      <c r="L32" s="187">
        <f>VLOOKUP(C32,'NAVs_Till 29 Jun 2021'!$A$3:$J$2236,MATCH('Pre-Calculation'!$C$34,'NAVs_Till 29 Jun 2021'!$A$1:$J$1,0))</f>
        <v>14.6812</v>
      </c>
      <c r="M32" s="187">
        <f>IFERROR(1,VLOOKUP(C32,'NAVs_Till 29 Jun 2021'!$A$3:$J$2236,MATCH(#REF!,'NAVs_Till 29 Jun 2021'!$A$1:$J$1,0)))</f>
        <v>1</v>
      </c>
      <c r="N32" s="175">
        <f>VLOOKUP('Pre-Calculation'!$C$34,INPUT!$B$20:$C$28,2,0)*K32*(L33/L32)+ IFERROR(0,VLOOKUP('Pre-Calculation'!$D$34,INPUT!$B$20:$C$28,2,0))*K32*(M33/M32)</f>
        <v>336489.2168</v>
      </c>
      <c r="O32" s="175">
        <f t="shared" si="3"/>
        <v>336489.2168</v>
      </c>
      <c r="P32" s="175">
        <f t="shared" si="4"/>
        <v>336489.2168</v>
      </c>
      <c r="Q32" s="175">
        <f>IF('Pre-Calculation'!$D$17="Type 4 a",MAX(SA,O32,1.05*R32),IF('Pre-Calculation'!$D$17="Type 4 c",O32,IF('Pre-Calculation'!$D$17="Type 4 d",SA+O32,IF('Pre-Calculation'!$D$17="Type 4 e",MAX(SA,O32),IF('Pre-Calculation'!$D$17="Type 4 f",SA,IF('Pre-Calculation'!$D$17="Type 4 g",1000+O32,IF('Pre-Calculation'!$D$17="Type 4 h",SA+S32,IF('Pre-Calculation'!$D$17="Type 4 i",MAX(O32,R32),IF('Pre-Calculation'!$D$17="Type 4 k",MAX(O32,1.01*R32),IF('Pre-Calculation'!$D$17="Type 4 m",MAX(105%*R32,SA+O32),IF('Pre-Calculation'!$D$17="Type 4 o",MAX(SA,105%*R32)+X32+Z32,IF('Pre-Calculation'!$D$17="Type 5",0))))))))))))</f>
        <v>1000000</v>
      </c>
      <c r="R32" s="175">
        <f t="shared" si="5"/>
        <v>300000</v>
      </c>
      <c r="S32" s="119">
        <f>K32*(1+GROWTH_RATE)*FMC</f>
        <v>370.4386407</v>
      </c>
      <c r="T32" s="178">
        <f>T31*(1+'Pre-Calculation'!$E$27)</f>
        <v>700299.9809</v>
      </c>
      <c r="U32" s="175">
        <f>-E32+IF(A31=INPUT!$C$11*12,O32,0)</f>
        <v>0</v>
      </c>
      <c r="V32" s="171"/>
      <c r="W32" s="112"/>
      <c r="X32" s="179">
        <f t="array" ref="X32">NPV('Pre-Calculation'!$E$20,$E33:E$246)</f>
        <v>541976.1227</v>
      </c>
      <c r="Y32" s="171">
        <f>10%*SA</f>
        <v>100000</v>
      </c>
      <c r="Z32" s="179">
        <f t="array" ref="Z32">NPV('Pre-Calculation'!$E$20,Y33:Y42)</f>
        <v>969592.8037</v>
      </c>
    </row>
    <row r="33" ht="15.75" customHeight="1">
      <c r="A33" s="171">
        <f t="shared" si="1"/>
        <v>27</v>
      </c>
      <c r="B33" s="171">
        <f t="shared" si="2"/>
        <v>3</v>
      </c>
      <c r="C33" s="176">
        <f>EDATE(RCD,A32)</f>
        <v>43342</v>
      </c>
      <c r="D33" s="171">
        <f>Age_At_Entry+Cashflows_Backtesting!B33-1</f>
        <v>37</v>
      </c>
      <c r="E33" s="175">
        <f>IF(AND(C33&lt;=Last_Prem,MOD(A32,Mode)=0),Mod_Prem,0)</f>
        <v>0</v>
      </c>
      <c r="F33" s="177">
        <f>E33*VLOOKUP(B33,'Pre-Calculation'!$H$1:$I$31,2,FALSE)</f>
        <v>0</v>
      </c>
      <c r="G33" s="177">
        <f>IF(B33&lt;PT+1,VLOOKUP(B33,'Pre-Calculation'!$H$1:$L$32,3,FALSE)+VLOOKUP(B33,'Pre-Calculation'!$H$1:$L$32,4,FALSE)*'Pre-Calculation'!$D$7,0)</f>
        <v>420</v>
      </c>
      <c r="H33" s="175">
        <f>(E33-(F33+G33)*(1+Tax)+O32)</f>
        <v>335993.6168</v>
      </c>
      <c r="I33" s="175">
        <f>IF(B33&lt;PT+1,VLOOKUP(D33,'Pre-Calculation'!$N$3:$P$79,IF(INPUT!$C$4="M",2,3),FALSE)*(J33/1000)*(1/12),0)</f>
        <v>80.04043611</v>
      </c>
      <c r="J33" s="175">
        <f>MAX(0,(SA-H33))</f>
        <v>664006.3832</v>
      </c>
      <c r="K33" s="175">
        <f>H33-I33*(1+Tax)</f>
        <v>335899.1691</v>
      </c>
      <c r="L33" s="187">
        <f>VLOOKUP(C33,'NAVs_Till 29 Jun 2021'!$A$3:$J$2236,MATCH('Pre-Calculation'!$C$34,'NAVs_Till 29 Jun 2021'!$A$1:$J$1,0))</f>
        <v>15.091</v>
      </c>
      <c r="M33" s="187">
        <f>IFERROR(1,VLOOKUP(C33,'NAVs_Till 29 Jun 2021'!$A$3:$J$2236,MATCH(#REF!,'NAVs_Till 29 Jun 2021'!$A$1:$J$1,0)))</f>
        <v>1</v>
      </c>
      <c r="N33" s="175">
        <f>VLOOKUP('Pre-Calculation'!$C$34,INPUT!$B$20:$C$28,2,0)*K33*(L34/L33)+ IFERROR(0,VLOOKUP('Pre-Calculation'!$D$34,INPUT!$B$20:$C$28,2,0))*K33*(M34/M33)</f>
        <v>317609.5695</v>
      </c>
      <c r="O33" s="175">
        <f t="shared" si="3"/>
        <v>317609.5695</v>
      </c>
      <c r="P33" s="175">
        <f t="shared" si="4"/>
        <v>317609.5695</v>
      </c>
      <c r="Q33" s="175">
        <f>IF('Pre-Calculation'!$D$17="Type 4 a",MAX(SA,O33,1.05*R33),IF('Pre-Calculation'!$D$17="Type 4 c",O33,IF('Pre-Calculation'!$D$17="Type 4 d",SA+O33,IF('Pre-Calculation'!$D$17="Type 4 e",MAX(SA,O33),IF('Pre-Calculation'!$D$17="Type 4 f",SA,IF('Pre-Calculation'!$D$17="Type 4 g",1000+O33,IF('Pre-Calculation'!$D$17="Type 4 h",SA+S33,IF('Pre-Calculation'!$D$17="Type 4 i",MAX(O33,R33),IF('Pre-Calculation'!$D$17="Type 4 k",MAX(O33,1.01*R33),IF('Pre-Calculation'!$D$17="Type 4 m",MAX(105%*R33,SA+O33),IF('Pre-Calculation'!$D$17="Type 4 o",MAX(SA,105%*R33)+X33+Z33,IF('Pre-Calculation'!$D$17="Type 5",0))))))))))))</f>
        <v>1000000</v>
      </c>
      <c r="R33" s="175">
        <f t="shared" si="5"/>
        <v>300000</v>
      </c>
      <c r="S33" s="119">
        <f>K33*(1+GROWTH_RATE)*FMC</f>
        <v>380.1110757</v>
      </c>
      <c r="T33" s="178">
        <f>T32*(1+'Pre-Calculation'!$E$27)</f>
        <v>702310.4713</v>
      </c>
      <c r="U33" s="175">
        <f>-E33+IF(A32=INPUT!$C$11*12,O33,0)</f>
        <v>0</v>
      </c>
      <c r="V33" s="171"/>
      <c r="W33" s="112"/>
      <c r="X33" s="179">
        <f t="array" ref="X33">NPV('Pre-Calculation'!$E$20,$E34:E$246)</f>
        <v>545040.5345</v>
      </c>
      <c r="Y33" s="171">
        <f>10%*SA</f>
        <v>100000</v>
      </c>
      <c r="Z33" s="179">
        <f t="array" ref="Z33">NPV('Pre-Calculation'!$E$20,Y34:Y43)</f>
        <v>969592.8037</v>
      </c>
    </row>
    <row r="34" ht="15.75" customHeight="1">
      <c r="A34" s="171">
        <f t="shared" si="1"/>
        <v>28</v>
      </c>
      <c r="B34" s="171">
        <f t="shared" si="2"/>
        <v>3</v>
      </c>
      <c r="C34" s="176">
        <f>EDATE(RCD,A33)</f>
        <v>43373</v>
      </c>
      <c r="D34" s="171">
        <f>Age_At_Entry+Cashflows_Backtesting!B34-1</f>
        <v>37</v>
      </c>
      <c r="E34" s="175">
        <f>IF(AND(C34&lt;=Last_Prem,MOD(A33,Mode)=0),Mod_Prem,0)</f>
        <v>0</v>
      </c>
      <c r="F34" s="177">
        <f>E34*VLOOKUP(B34,'Pre-Calculation'!$H$1:$I$31,2,FALSE)</f>
        <v>0</v>
      </c>
      <c r="G34" s="177">
        <f>IF(B34&lt;PT+1,VLOOKUP(B34,'Pre-Calculation'!$H$1:$L$32,3,FALSE)+VLOOKUP(B34,'Pre-Calculation'!$H$1:$L$32,4,FALSE)*'Pre-Calculation'!$D$7,0)</f>
        <v>420</v>
      </c>
      <c r="H34" s="175">
        <f>(E34-(F34+G34)*(1+Tax)+O33)</f>
        <v>317113.9695</v>
      </c>
      <c r="I34" s="175">
        <f>IF(B34&lt;PT+1,VLOOKUP(D34,'Pre-Calculation'!$N$3:$P$79,IF(INPUT!$C$4="M",2,3),FALSE)*(J34/1000)*(1/12),0)</f>
        <v>82.31622026</v>
      </c>
      <c r="J34" s="175">
        <f>MAX(0,(SA-H34))</f>
        <v>682886.0305</v>
      </c>
      <c r="K34" s="175">
        <f>H34-I34*(1+Tax)</f>
        <v>317016.8364</v>
      </c>
      <c r="L34" s="187">
        <f>VLOOKUP(C34,'NAVs_Till 29 Jun 2021'!$A$3:$J$2236,MATCH('Pre-Calculation'!$C$34,'NAVs_Till 29 Jun 2021'!$A$1:$J$1,0))</f>
        <v>14.2693</v>
      </c>
      <c r="M34" s="187">
        <f>IFERROR(1,VLOOKUP(C34,'NAVs_Till 29 Jun 2021'!$A$3:$J$2236,MATCH(#REF!,'NAVs_Till 29 Jun 2021'!$A$1:$J$1,0)))</f>
        <v>1</v>
      </c>
      <c r="N34" s="175">
        <f>VLOOKUP('Pre-Calculation'!$C$34,INPUT!$B$20:$C$28,2,0)*K34*(L35/L34)+ IFERROR(0,VLOOKUP('Pre-Calculation'!$D$34,INPUT!$B$20:$C$28,2,0))*K34*(M35/M34)</f>
        <v>299247.9153</v>
      </c>
      <c r="O34" s="175">
        <f t="shared" si="3"/>
        <v>299247.9153</v>
      </c>
      <c r="P34" s="175">
        <f t="shared" si="4"/>
        <v>299247.9153</v>
      </c>
      <c r="Q34" s="175">
        <f>IF('Pre-Calculation'!$D$17="Type 4 a",MAX(SA,O34,1.05*R34),IF('Pre-Calculation'!$D$17="Type 4 c",O34,IF('Pre-Calculation'!$D$17="Type 4 d",SA+O34,IF('Pre-Calculation'!$D$17="Type 4 e",MAX(SA,O34),IF('Pre-Calculation'!$D$17="Type 4 f",SA,IF('Pre-Calculation'!$D$17="Type 4 g",1000+O34,IF('Pre-Calculation'!$D$17="Type 4 h",SA+S34,IF('Pre-Calculation'!$D$17="Type 4 i",MAX(O34,R34),IF('Pre-Calculation'!$D$17="Type 4 k",MAX(O34,1.01*R34),IF('Pre-Calculation'!$D$17="Type 4 m",MAX(105%*R34,SA+O34),IF('Pre-Calculation'!$D$17="Type 4 o",MAX(SA,105%*R34)+X34+Z34,IF('Pre-Calculation'!$D$17="Type 5",0))))))))))))</f>
        <v>1000000</v>
      </c>
      <c r="R34" s="175">
        <f t="shared" si="5"/>
        <v>300000</v>
      </c>
      <c r="S34" s="119">
        <f>K34*(1+GROWTH_RATE)*FMC</f>
        <v>358.7434021</v>
      </c>
      <c r="T34" s="178">
        <f>T33*(1+'Pre-Calculation'!$E$27)</f>
        <v>704326.7335</v>
      </c>
      <c r="U34" s="175">
        <f>-E34+IF(A33=INPUT!$C$11*12,O34,0)</f>
        <v>0</v>
      </c>
      <c r="V34" s="171"/>
      <c r="W34" s="112"/>
      <c r="X34" s="179">
        <f t="array" ref="X34">NPV('Pre-Calculation'!$E$20,$E35:E$246)</f>
        <v>548122.273</v>
      </c>
      <c r="Y34" s="171">
        <f>10%*SA</f>
        <v>100000</v>
      </c>
      <c r="Z34" s="179">
        <f t="array" ref="Z34">NPV('Pre-Calculation'!$E$20,Y35:Y44)</f>
        <v>969592.8037</v>
      </c>
    </row>
    <row r="35" ht="15.75" customHeight="1">
      <c r="A35" s="171">
        <f t="shared" si="1"/>
        <v>29</v>
      </c>
      <c r="B35" s="171">
        <f t="shared" si="2"/>
        <v>3</v>
      </c>
      <c r="C35" s="176">
        <f>EDATE(RCD,A34)</f>
        <v>43403</v>
      </c>
      <c r="D35" s="171">
        <f>Age_At_Entry+Cashflows_Backtesting!B35-1</f>
        <v>37</v>
      </c>
      <c r="E35" s="175">
        <f>IF(AND(C35&lt;=Last_Prem,MOD(A34,Mode)=0),Mod_Prem,0)</f>
        <v>0</v>
      </c>
      <c r="F35" s="177">
        <f>E35*VLOOKUP(B35,'Pre-Calculation'!$H$1:$I$31,2,FALSE)</f>
        <v>0</v>
      </c>
      <c r="G35" s="177">
        <f>IF(B35&lt;PT+1,VLOOKUP(B35,'Pre-Calculation'!$H$1:$L$32,3,FALSE)+VLOOKUP(B35,'Pre-Calculation'!$H$1:$L$32,4,FALSE)*'Pre-Calculation'!$D$7,0)</f>
        <v>420</v>
      </c>
      <c r="H35" s="175">
        <f>(E35-(F35+G35)*(1+Tax)+O34)</f>
        <v>298752.3153</v>
      </c>
      <c r="I35" s="175">
        <f>IF(B35&lt;PT+1,VLOOKUP(D35,'Pre-Calculation'!$N$3:$P$79,IF(INPUT!$C$4="M",2,3),FALSE)*(J35/1000)*(1/12),0)</f>
        <v>84.52956466</v>
      </c>
      <c r="J35" s="175">
        <f>MAX(0,(SA-H35))</f>
        <v>701247.6847</v>
      </c>
      <c r="K35" s="175">
        <f>H35-I35*(1+Tax)</f>
        <v>298652.5704</v>
      </c>
      <c r="L35" s="187">
        <f>VLOOKUP(C35,'NAVs_Till 29 Jun 2021'!$A$3:$J$2236,MATCH('Pre-Calculation'!$C$34,'NAVs_Till 29 Jun 2021'!$A$1:$J$1,0))</f>
        <v>13.4695</v>
      </c>
      <c r="M35" s="187">
        <f>IFERROR(1,VLOOKUP(C35,'NAVs_Till 29 Jun 2021'!$A$3:$J$2236,MATCH(#REF!,'NAVs_Till 29 Jun 2021'!$A$1:$J$1,0)))</f>
        <v>1</v>
      </c>
      <c r="N35" s="175">
        <f>VLOOKUP('Pre-Calculation'!$C$34,INPUT!$B$20:$C$28,2,0)*K35*(L36/L35)+ IFERROR(0,VLOOKUP('Pre-Calculation'!$D$34,INPUT!$B$20:$C$28,2,0))*K35*(M36/M35)</f>
        <v>314468.219</v>
      </c>
      <c r="O35" s="175">
        <f t="shared" si="3"/>
        <v>314468.219</v>
      </c>
      <c r="P35" s="175">
        <f t="shared" si="4"/>
        <v>314468.219</v>
      </c>
      <c r="Q35" s="175">
        <f>IF('Pre-Calculation'!$D$17="Type 4 a",MAX(SA,O35,1.05*R35),IF('Pre-Calculation'!$D$17="Type 4 c",O35,IF('Pre-Calculation'!$D$17="Type 4 d",SA+O35,IF('Pre-Calculation'!$D$17="Type 4 e",MAX(SA,O35),IF('Pre-Calculation'!$D$17="Type 4 f",SA,IF('Pre-Calculation'!$D$17="Type 4 g",1000+O35,IF('Pre-Calculation'!$D$17="Type 4 h",SA+S35,IF('Pre-Calculation'!$D$17="Type 4 i",MAX(O35,R35),IF('Pre-Calculation'!$D$17="Type 4 k",MAX(O35,1.01*R35),IF('Pre-Calculation'!$D$17="Type 4 m",MAX(105%*R35,SA+O35),IF('Pre-Calculation'!$D$17="Type 4 o",MAX(SA,105%*R35)+X35+Z35,IF('Pre-Calculation'!$D$17="Type 5",0))))))))))))</f>
        <v>1000000</v>
      </c>
      <c r="R35" s="175">
        <f t="shared" si="5"/>
        <v>300000</v>
      </c>
      <c r="S35" s="119">
        <f>K35*(1+GROWTH_RATE)*FMC</f>
        <v>337.9619845</v>
      </c>
      <c r="T35" s="178">
        <f>T34*(1+'Pre-Calculation'!$E$27)</f>
        <v>706348.7842</v>
      </c>
      <c r="U35" s="175">
        <f>-E35+IF(A34=INPUT!$C$11*12,O35,0)</f>
        <v>0</v>
      </c>
      <c r="V35" s="171"/>
      <c r="W35" s="112"/>
      <c r="X35" s="179">
        <f t="array" ref="X35">NPV('Pre-Calculation'!$E$20,$E36:E$246)</f>
        <v>551221.436</v>
      </c>
      <c r="Y35" s="171">
        <f>10%*SA</f>
        <v>100000</v>
      </c>
      <c r="Z35" s="179">
        <f t="array" ref="Z35">NPV('Pre-Calculation'!$E$20,Y36:Y45)</f>
        <v>969592.8037</v>
      </c>
    </row>
    <row r="36" ht="15.75" customHeight="1">
      <c r="A36" s="171">
        <f t="shared" si="1"/>
        <v>30</v>
      </c>
      <c r="B36" s="171">
        <f t="shared" si="2"/>
        <v>3</v>
      </c>
      <c r="C36" s="176">
        <f>EDATE(RCD,A35)</f>
        <v>43434</v>
      </c>
      <c r="D36" s="171">
        <f>Age_At_Entry+Cashflows_Backtesting!B36-1</f>
        <v>37</v>
      </c>
      <c r="E36" s="175">
        <f>IF(AND(C36&lt;=Last_Prem,MOD(A35,Mode)=0),Mod_Prem,0)</f>
        <v>0</v>
      </c>
      <c r="F36" s="177">
        <f>E36*VLOOKUP(B36,'Pre-Calculation'!$H$1:$I$31,2,FALSE)</f>
        <v>0</v>
      </c>
      <c r="G36" s="177">
        <f>IF(B36&lt;PT+1,VLOOKUP(B36,'Pre-Calculation'!$H$1:$L$32,3,FALSE)+VLOOKUP(B36,'Pre-Calculation'!$H$1:$L$32,4,FALSE)*'Pre-Calculation'!$D$7,0)</f>
        <v>420</v>
      </c>
      <c r="H36" s="175">
        <f>(E36-(F36+G36)*(1+Tax)+O35)</f>
        <v>313972.619</v>
      </c>
      <c r="I36" s="175">
        <f>IF(B36&lt;PT+1,VLOOKUP(D36,'Pre-Calculation'!$N$3:$P$79,IF(INPUT!$C$4="M",2,3),FALSE)*(J36/1000)*(1/12),0)</f>
        <v>82.69488389</v>
      </c>
      <c r="J36" s="175">
        <f>MAX(0,(SA-H36))</f>
        <v>686027.381</v>
      </c>
      <c r="K36" s="175">
        <f>H36-I36*(1+Tax)</f>
        <v>313875.039</v>
      </c>
      <c r="L36" s="187">
        <f>VLOOKUP(C36,'NAVs_Till 29 Jun 2021'!$A$3:$J$2236,MATCH('Pre-Calculation'!$C$34,'NAVs_Till 29 Jun 2021'!$A$1:$J$1,0))</f>
        <v>14.1828</v>
      </c>
      <c r="M36" s="187">
        <f>IFERROR(1,VLOOKUP(C36,'NAVs_Till 29 Jun 2021'!$A$3:$J$2236,MATCH(#REF!,'NAVs_Till 29 Jun 2021'!$A$1:$J$1,0)))</f>
        <v>1</v>
      </c>
      <c r="N36" s="175">
        <f>VLOOKUP('Pre-Calculation'!$C$34,INPUT!$B$20:$C$28,2,0)*K36*(L37/L36)+ IFERROR(0,VLOOKUP('Pre-Calculation'!$D$34,INPUT!$B$20:$C$28,2,0))*K36*(M37/M36)</f>
        <v>313401.4424</v>
      </c>
      <c r="O36" s="175">
        <f t="shared" si="3"/>
        <v>313401.4424</v>
      </c>
      <c r="P36" s="175">
        <f t="shared" si="4"/>
        <v>313401.4424</v>
      </c>
      <c r="Q36" s="175">
        <f>IF('Pre-Calculation'!$D$17="Type 4 a",MAX(SA,O36,1.05*R36),IF('Pre-Calculation'!$D$17="Type 4 c",O36,IF('Pre-Calculation'!$D$17="Type 4 d",SA+O36,IF('Pre-Calculation'!$D$17="Type 4 e",MAX(SA,O36),IF('Pre-Calculation'!$D$17="Type 4 f",SA,IF('Pre-Calculation'!$D$17="Type 4 g",1000+O36,IF('Pre-Calculation'!$D$17="Type 4 h",SA+S36,IF('Pre-Calculation'!$D$17="Type 4 i",MAX(O36,R36),IF('Pre-Calculation'!$D$17="Type 4 k",MAX(O36,1.01*R36),IF('Pre-Calculation'!$D$17="Type 4 m",MAX(105%*R36,SA+O36),IF('Pre-Calculation'!$D$17="Type 4 o",MAX(SA,105%*R36)+X36+Z36,IF('Pre-Calculation'!$D$17="Type 5",0))))))))))))</f>
        <v>1000000</v>
      </c>
      <c r="R36" s="175">
        <f t="shared" si="5"/>
        <v>300000</v>
      </c>
      <c r="S36" s="119">
        <f>K36*(1+GROWTH_RATE)*FMC</f>
        <v>355.1880733</v>
      </c>
      <c r="T36" s="178">
        <f>T35*(1+'Pre-Calculation'!$E$27)</f>
        <v>708376.64</v>
      </c>
      <c r="U36" s="175">
        <f>-E36+IF(A35=INPUT!$C$11*12,O36,0)</f>
        <v>0</v>
      </c>
      <c r="V36" s="171"/>
      <c r="W36" s="112"/>
      <c r="X36" s="179">
        <f t="array" ref="X36">NPV('Pre-Calculation'!$E$20,$E37:E$246)</f>
        <v>554338.1221</v>
      </c>
      <c r="Y36" s="171">
        <f>10%*SA</f>
        <v>100000</v>
      </c>
      <c r="Z36" s="179">
        <f t="array" ref="Z36">NPV('Pre-Calculation'!$E$20,Y37:Y46)</f>
        <v>969592.8037</v>
      </c>
    </row>
    <row r="37" ht="15.75" customHeight="1">
      <c r="A37" s="171">
        <f t="shared" si="1"/>
        <v>31</v>
      </c>
      <c r="B37" s="171">
        <f t="shared" si="2"/>
        <v>3</v>
      </c>
      <c r="C37" s="176">
        <f>EDATE(RCD,A36)</f>
        <v>43464</v>
      </c>
      <c r="D37" s="171">
        <f>Age_At_Entry+Cashflows_Backtesting!B37-1</f>
        <v>37</v>
      </c>
      <c r="E37" s="175">
        <f>IF(AND(C37&lt;=Last_Prem,MOD(A36,Mode)=0),Mod_Prem,0)</f>
        <v>0</v>
      </c>
      <c r="F37" s="177">
        <f>E37*VLOOKUP(B37,'Pre-Calculation'!$H$1:$I$31,2,FALSE)</f>
        <v>0</v>
      </c>
      <c r="G37" s="177">
        <f>IF(B37&lt;PT+1,VLOOKUP(B37,'Pre-Calculation'!$H$1:$L$32,3,FALSE)+VLOOKUP(B37,'Pre-Calculation'!$H$1:$L$32,4,FALSE)*'Pre-Calculation'!$D$7,0)</f>
        <v>420</v>
      </c>
      <c r="H37" s="175">
        <f>(E37-(F37+G37)*(1+Tax)+O36)</f>
        <v>312905.8424</v>
      </c>
      <c r="I37" s="175">
        <f>IF(B37&lt;PT+1,VLOOKUP(D37,'Pre-Calculation'!$N$3:$P$79,IF(INPUT!$C$4="M",2,3),FALSE)*(J37/1000)*(1/12),0)</f>
        <v>82.82347491</v>
      </c>
      <c r="J37" s="175">
        <f>MAX(0,(SA-H37))</f>
        <v>687094.1576</v>
      </c>
      <c r="K37" s="175">
        <f>H37-I37*(1+Tax)</f>
        <v>312808.1107</v>
      </c>
      <c r="L37" s="187">
        <f>VLOOKUP(C37,'NAVs_Till 29 Jun 2021'!$A$3:$J$2236,MATCH('Pre-Calculation'!$C$34,'NAVs_Till 29 Jun 2021'!$A$1:$J$1,0))</f>
        <v>14.1614</v>
      </c>
      <c r="M37" s="187">
        <f>IFERROR(1,VLOOKUP(C37,'NAVs_Till 29 Jun 2021'!$A$3:$J$2236,MATCH(#REF!,'NAVs_Till 29 Jun 2021'!$A$1:$J$1,0)))</f>
        <v>1</v>
      </c>
      <c r="N37" s="175">
        <f>VLOOKUP('Pre-Calculation'!$C$34,INPUT!$B$20:$C$28,2,0)*K37*(L38/L37)+ IFERROR(0,VLOOKUP('Pre-Calculation'!$D$34,INPUT!$B$20:$C$28,2,0))*K37*(M38/M37)</f>
        <v>307579.6954</v>
      </c>
      <c r="O37" s="175">
        <f t="shared" si="3"/>
        <v>307579.6954</v>
      </c>
      <c r="P37" s="175">
        <f t="shared" si="4"/>
        <v>307579.6954</v>
      </c>
      <c r="Q37" s="175">
        <f>IF('Pre-Calculation'!$D$17="Type 4 a",MAX(SA,O37,1.05*R37),IF('Pre-Calculation'!$D$17="Type 4 c",O37,IF('Pre-Calculation'!$D$17="Type 4 d",SA+O37,IF('Pre-Calculation'!$D$17="Type 4 e",MAX(SA,O37),IF('Pre-Calculation'!$D$17="Type 4 f",SA,IF('Pre-Calculation'!$D$17="Type 4 g",1000+O37,IF('Pre-Calculation'!$D$17="Type 4 h",SA+S37,IF('Pre-Calculation'!$D$17="Type 4 i",MAX(O37,R37),IF('Pre-Calculation'!$D$17="Type 4 k",MAX(O37,1.01*R37),IF('Pre-Calculation'!$D$17="Type 4 m",MAX(105%*R37,SA+O37),IF('Pre-Calculation'!$D$17="Type 4 o",MAX(SA,105%*R37)+X37+Z37,IF('Pre-Calculation'!$D$17="Type 5",0))))))))))))</f>
        <v>1000000</v>
      </c>
      <c r="R37" s="175">
        <f t="shared" si="5"/>
        <v>300000</v>
      </c>
      <c r="S37" s="119">
        <f>K37*(1+GROWTH_RATE)*FMC</f>
        <v>353.9807132</v>
      </c>
      <c r="T37" s="178">
        <f>T36*(1+'Pre-Calculation'!$E$27)</f>
        <v>710410.3176</v>
      </c>
      <c r="U37" s="175">
        <f>-E37+IF(A36=INPUT!$C$11*12,O37,0)</f>
        <v>0</v>
      </c>
      <c r="V37" s="171"/>
      <c r="W37" s="112"/>
      <c r="X37" s="179">
        <f t="array" ref="X37">NPV('Pre-Calculation'!$E$20,$E38:E$246)</f>
        <v>557472.4305</v>
      </c>
      <c r="Y37" s="171">
        <f>10%*SA</f>
        <v>100000</v>
      </c>
      <c r="Z37" s="179">
        <f t="array" ref="Z37">NPV('Pre-Calculation'!$E$20,Y38:Y47)</f>
        <v>969592.8037</v>
      </c>
    </row>
    <row r="38" ht="15.75" customHeight="1">
      <c r="A38" s="171">
        <f t="shared" si="1"/>
        <v>32</v>
      </c>
      <c r="B38" s="171">
        <f t="shared" si="2"/>
        <v>3</v>
      </c>
      <c r="C38" s="176">
        <f>EDATE(RCD,A37)</f>
        <v>43495</v>
      </c>
      <c r="D38" s="171">
        <f>Age_At_Entry+Cashflows_Backtesting!B38-1</f>
        <v>37</v>
      </c>
      <c r="E38" s="175">
        <f>IF(AND(C38&lt;=Last_Prem,MOD(A37,Mode)=0),Mod_Prem,0)</f>
        <v>0</v>
      </c>
      <c r="F38" s="177">
        <f>E38*VLOOKUP(B38,'Pre-Calculation'!$H$1:$I$31,2,FALSE)</f>
        <v>0</v>
      </c>
      <c r="G38" s="177">
        <f>IF(B38&lt;PT+1,VLOOKUP(B38,'Pre-Calculation'!$H$1:$L$32,3,FALSE)+VLOOKUP(B38,'Pre-Calculation'!$H$1:$L$32,4,FALSE)*'Pre-Calculation'!$D$7,0)</f>
        <v>420</v>
      </c>
      <c r="H38" s="175">
        <f>(E38-(F38+G38)*(1+Tax)+O37)</f>
        <v>307084.0954</v>
      </c>
      <c r="I38" s="175">
        <f>IF(B38&lt;PT+1,VLOOKUP(D38,'Pre-Calculation'!$N$3:$P$79,IF(INPUT!$C$4="M",2,3),FALSE)*(J38/1000)*(1/12),0)</f>
        <v>83.525238</v>
      </c>
      <c r="J38" s="175">
        <f>MAX(0,(SA-H38))</f>
        <v>692915.9046</v>
      </c>
      <c r="K38" s="175">
        <f>H38-I38*(1+Tax)</f>
        <v>306985.5357</v>
      </c>
      <c r="L38" s="187">
        <f>VLOOKUP(C38,'NAVs_Till 29 Jun 2021'!$A$3:$J$2236,MATCH('Pre-Calculation'!$C$34,'NAVs_Till 29 Jun 2021'!$A$1:$J$1,0))</f>
        <v>13.9247</v>
      </c>
      <c r="M38" s="187">
        <f>IFERROR(1,VLOOKUP(C38,'NAVs_Till 29 Jun 2021'!$A$3:$J$2236,MATCH(#REF!,'NAVs_Till 29 Jun 2021'!$A$1:$J$1,0)))</f>
        <v>1</v>
      </c>
      <c r="N38" s="175">
        <f>VLOOKUP('Pre-Calculation'!$C$34,INPUT!$B$20:$C$28,2,0)*K38*(L39/L38)+ IFERROR(0,VLOOKUP('Pre-Calculation'!$D$34,INPUT!$B$20:$C$28,2,0))*K38*(M39/M38)</f>
        <v>310411.5019</v>
      </c>
      <c r="O38" s="175">
        <f t="shared" si="3"/>
        <v>310411.5019</v>
      </c>
      <c r="P38" s="175">
        <f t="shared" si="4"/>
        <v>310411.5019</v>
      </c>
      <c r="Q38" s="175">
        <f>IF('Pre-Calculation'!$D$17="Type 4 a",MAX(SA,O38,1.05*R38),IF('Pre-Calculation'!$D$17="Type 4 c",O38,IF('Pre-Calculation'!$D$17="Type 4 d",SA+O38,IF('Pre-Calculation'!$D$17="Type 4 e",MAX(SA,O38),IF('Pre-Calculation'!$D$17="Type 4 f",SA,IF('Pre-Calculation'!$D$17="Type 4 g",1000+O38,IF('Pre-Calculation'!$D$17="Type 4 h",SA+S38,IF('Pre-Calculation'!$D$17="Type 4 i",MAX(O38,R38),IF('Pre-Calculation'!$D$17="Type 4 k",MAX(O38,1.01*R38),IF('Pre-Calculation'!$D$17="Type 4 m",MAX(105%*R38,SA+O38),IF('Pre-Calculation'!$D$17="Type 4 o",MAX(SA,105%*R38)+X38+Z38,IF('Pre-Calculation'!$D$17="Type 5",0))))))))))))</f>
        <v>1000000</v>
      </c>
      <c r="R38" s="175">
        <f t="shared" si="5"/>
        <v>300000</v>
      </c>
      <c r="S38" s="119">
        <f>K38*(1+GROWTH_RATE)*FMC</f>
        <v>347.391756</v>
      </c>
      <c r="T38" s="178">
        <f>T37*(1+'Pre-Calculation'!$E$27)</f>
        <v>712449.8337</v>
      </c>
      <c r="U38" s="175">
        <f>-E38+IF(A37=INPUT!$C$11*12,O38,0)</f>
        <v>0</v>
      </c>
      <c r="V38" s="171"/>
      <c r="W38" s="112"/>
      <c r="X38" s="179">
        <f t="array" ref="X38">NPV('Pre-Calculation'!$E$20,$E39:E$246)</f>
        <v>560624.4606</v>
      </c>
      <c r="Y38" s="171">
        <f>10%*SA</f>
        <v>100000</v>
      </c>
      <c r="Z38" s="179">
        <f t="array" ref="Z38">NPV('Pre-Calculation'!$E$20,Y39:Y48)</f>
        <v>969592.8037</v>
      </c>
    </row>
    <row r="39" ht="15.75" customHeight="1">
      <c r="A39" s="171">
        <f t="shared" si="1"/>
        <v>33</v>
      </c>
      <c r="B39" s="171">
        <f t="shared" si="2"/>
        <v>3</v>
      </c>
      <c r="C39" s="176">
        <f>EDATE(RCD,A38)</f>
        <v>43524</v>
      </c>
      <c r="D39" s="171">
        <f>Age_At_Entry+Cashflows_Backtesting!B39-1</f>
        <v>37</v>
      </c>
      <c r="E39" s="175">
        <f>IF(AND(C39&lt;=Last_Prem,MOD(A38,Mode)=0),Mod_Prem,0)</f>
        <v>0</v>
      </c>
      <c r="F39" s="177">
        <f>E39*VLOOKUP(B39,'Pre-Calculation'!$H$1:$I$31,2,FALSE)</f>
        <v>0</v>
      </c>
      <c r="G39" s="177">
        <f>IF(B39&lt;PT+1,VLOOKUP(B39,'Pre-Calculation'!$H$1:$L$32,3,FALSE)+VLOOKUP(B39,'Pre-Calculation'!$H$1:$L$32,4,FALSE)*'Pre-Calculation'!$D$7,0)</f>
        <v>420</v>
      </c>
      <c r="H39" s="175">
        <f>(E39-(F39+G39)*(1+Tax)+O38)</f>
        <v>309915.9019</v>
      </c>
      <c r="I39" s="175">
        <f>IF(B39&lt;PT+1,VLOOKUP(D39,'Pre-Calculation'!$N$3:$P$79,IF(INPUT!$C$4="M",2,3),FALSE)*(J39/1000)*(1/12),0)</f>
        <v>83.18388732</v>
      </c>
      <c r="J39" s="175">
        <f>MAX(0,(SA-H39))</f>
        <v>690084.0981</v>
      </c>
      <c r="K39" s="175">
        <f>H39-I39*(1+Tax)</f>
        <v>309817.7449</v>
      </c>
      <c r="L39" s="187">
        <f>VLOOKUP(C39,'NAVs_Till 29 Jun 2021'!$A$3:$J$2236,MATCH('Pre-Calculation'!$C$34,'NAVs_Till 29 Jun 2021'!$A$1:$J$1,0))</f>
        <v>14.0801</v>
      </c>
      <c r="M39" s="187">
        <f>IFERROR(1,VLOOKUP(C39,'NAVs_Till 29 Jun 2021'!$A$3:$J$2236,MATCH(#REF!,'NAVs_Till 29 Jun 2021'!$A$1:$J$1,0)))</f>
        <v>1</v>
      </c>
      <c r="N39" s="175">
        <f>VLOOKUP('Pre-Calculation'!$C$34,INPUT!$B$20:$C$28,2,0)*K39*(L40/L39)+ IFERROR(0,VLOOKUP('Pre-Calculation'!$D$34,INPUT!$B$20:$C$28,2,0))*K39*(M40/M39)</f>
        <v>331339.8035</v>
      </c>
      <c r="O39" s="175">
        <f t="shared" si="3"/>
        <v>331339.8035</v>
      </c>
      <c r="P39" s="175">
        <f t="shared" si="4"/>
        <v>331339.8035</v>
      </c>
      <c r="Q39" s="175">
        <f>IF('Pre-Calculation'!$D$17="Type 4 a",MAX(SA,O39,1.05*R39),IF('Pre-Calculation'!$D$17="Type 4 c",O39,IF('Pre-Calculation'!$D$17="Type 4 d",SA+O39,IF('Pre-Calculation'!$D$17="Type 4 e",MAX(SA,O39),IF('Pre-Calculation'!$D$17="Type 4 f",SA,IF('Pre-Calculation'!$D$17="Type 4 g",1000+O39,IF('Pre-Calculation'!$D$17="Type 4 h",SA+S39,IF('Pre-Calculation'!$D$17="Type 4 i",MAX(O39,R39),IF('Pre-Calculation'!$D$17="Type 4 k",MAX(O39,1.01*R39),IF('Pre-Calculation'!$D$17="Type 4 m",MAX(105%*R39,SA+O39),IF('Pre-Calculation'!$D$17="Type 4 o",MAX(SA,105%*R39)+X39+Z39,IF('Pre-Calculation'!$D$17="Type 5",0))))))))))))</f>
        <v>1000000</v>
      </c>
      <c r="R39" s="175">
        <f t="shared" si="5"/>
        <v>300000</v>
      </c>
      <c r="S39" s="119">
        <f>K39*(1+GROWTH_RATE)*FMC</f>
        <v>350.5967479</v>
      </c>
      <c r="T39" s="178">
        <f>T38*(1+'Pre-Calculation'!$E$27)</f>
        <v>714495.205</v>
      </c>
      <c r="U39" s="175">
        <f>-E39+IF(A38=INPUT!$C$11*12,O39,0)</f>
        <v>0</v>
      </c>
      <c r="V39" s="171"/>
      <c r="W39" s="112"/>
      <c r="X39" s="179">
        <f t="array" ref="X39">NPV('Pre-Calculation'!$E$20,$E40:E$246)</f>
        <v>563794.3128</v>
      </c>
      <c r="Y39" s="171">
        <f>10%*SA</f>
        <v>100000</v>
      </c>
      <c r="Z39" s="179">
        <f t="array" ref="Z39">NPV('Pre-Calculation'!$E$20,Y40:Y49)</f>
        <v>969592.8037</v>
      </c>
    </row>
    <row r="40" ht="15.75" customHeight="1">
      <c r="A40" s="171">
        <f t="shared" si="1"/>
        <v>34</v>
      </c>
      <c r="B40" s="171">
        <f t="shared" si="2"/>
        <v>3</v>
      </c>
      <c r="C40" s="176">
        <f>EDATE(RCD,A39)</f>
        <v>43554</v>
      </c>
      <c r="D40" s="171">
        <f>Age_At_Entry+Cashflows_Backtesting!B40-1</f>
        <v>37</v>
      </c>
      <c r="E40" s="175">
        <f>IF(AND(C40&lt;=Last_Prem,MOD(A39,Mode)=0),Mod_Prem,0)</f>
        <v>0</v>
      </c>
      <c r="F40" s="177">
        <f>E40*VLOOKUP(B40,'Pre-Calculation'!$H$1:$I$31,2,FALSE)</f>
        <v>0</v>
      </c>
      <c r="G40" s="177">
        <f>IF(B40&lt;PT+1,VLOOKUP(B40,'Pre-Calculation'!$H$1:$L$32,3,FALSE)+VLOOKUP(B40,'Pre-Calculation'!$H$1:$L$32,4,FALSE)*'Pre-Calculation'!$D$7,0)</f>
        <v>420</v>
      </c>
      <c r="H40" s="175">
        <f>(E40-(F40+G40)*(1+Tax)+O39)</f>
        <v>330844.2035</v>
      </c>
      <c r="I40" s="175">
        <f>IF(B40&lt;PT+1,VLOOKUP(D40,'Pre-Calculation'!$N$3:$P$79,IF(INPUT!$C$4="M",2,3),FALSE)*(J40/1000)*(1/12),0)</f>
        <v>80.66115498</v>
      </c>
      <c r="J40" s="175">
        <f>MAX(0,(SA-H40))</f>
        <v>669155.7965</v>
      </c>
      <c r="K40" s="175">
        <f>H40-I40*(1+Tax)</f>
        <v>330749.0233</v>
      </c>
      <c r="L40" s="187">
        <f>VLOOKUP(C40,'NAVs_Till 29 Jun 2021'!$A$3:$J$2236,MATCH('Pre-Calculation'!$C$34,'NAVs_Till 29 Jun 2021'!$A$1:$J$1,0))</f>
        <v>15.0582</v>
      </c>
      <c r="M40" s="187">
        <f>IFERROR(1,VLOOKUP(C40,'NAVs_Till 29 Jun 2021'!$A$3:$J$2236,MATCH(#REF!,'NAVs_Till 29 Jun 2021'!$A$1:$J$1,0)))</f>
        <v>1</v>
      </c>
      <c r="N40" s="175">
        <f>VLOOKUP('Pre-Calculation'!$C$34,INPUT!$B$20:$C$28,2,0)*K40*(L41/L40)+ IFERROR(0,VLOOKUP('Pre-Calculation'!$D$34,INPUT!$B$20:$C$28,2,0))*K40*(M41/M40)</f>
        <v>333534.1488</v>
      </c>
      <c r="O40" s="175">
        <f t="shared" si="3"/>
        <v>333534.1488</v>
      </c>
      <c r="P40" s="175">
        <f t="shared" si="4"/>
        <v>333534.1488</v>
      </c>
      <c r="Q40" s="175">
        <f>IF('Pre-Calculation'!$D$17="Type 4 a",MAX(SA,O40,1.05*R40),IF('Pre-Calculation'!$D$17="Type 4 c",O40,IF('Pre-Calculation'!$D$17="Type 4 d",SA+O40,IF('Pre-Calculation'!$D$17="Type 4 e",MAX(SA,O40),IF('Pre-Calculation'!$D$17="Type 4 f",SA,IF('Pre-Calculation'!$D$17="Type 4 g",1000+O40,IF('Pre-Calculation'!$D$17="Type 4 h",SA+S40,IF('Pre-Calculation'!$D$17="Type 4 i",MAX(O40,R40),IF('Pre-Calculation'!$D$17="Type 4 k",MAX(O40,1.01*R40),IF('Pre-Calculation'!$D$17="Type 4 m",MAX(105%*R40,SA+O40),IF('Pre-Calculation'!$D$17="Type 4 o",MAX(SA,105%*R40)+X40+Z40,IF('Pre-Calculation'!$D$17="Type 5",0))))))))))))</f>
        <v>1000000</v>
      </c>
      <c r="R40" s="175">
        <f t="shared" si="5"/>
        <v>300000</v>
      </c>
      <c r="S40" s="119">
        <f>K40*(1+GROWTH_RATE)*FMC</f>
        <v>374.2830545</v>
      </c>
      <c r="T40" s="178">
        <f>T39*(1+'Pre-Calculation'!$E$27)</f>
        <v>716546.4484</v>
      </c>
      <c r="U40" s="175">
        <f>-E40+IF(A39=INPUT!$C$11*12,O40,0)</f>
        <v>0</v>
      </c>
      <c r="V40" s="171"/>
      <c r="W40" s="112"/>
      <c r="X40" s="179">
        <f t="array" ref="X40">NPV('Pre-Calculation'!$E$20,$E41:E$246)</f>
        <v>566982.0879</v>
      </c>
      <c r="Y40" s="171">
        <f>10%*SA</f>
        <v>100000</v>
      </c>
      <c r="Z40" s="179">
        <f t="array" ref="Z40">NPV('Pre-Calculation'!$E$20,Y41:Y50)</f>
        <v>969592.8037</v>
      </c>
    </row>
    <row r="41" ht="15.75" customHeight="1">
      <c r="A41" s="171">
        <f t="shared" si="1"/>
        <v>35</v>
      </c>
      <c r="B41" s="171">
        <f t="shared" si="2"/>
        <v>3</v>
      </c>
      <c r="C41" s="176">
        <f>EDATE(RCD,A40)</f>
        <v>43585</v>
      </c>
      <c r="D41" s="171">
        <f>Age_At_Entry+Cashflows_Backtesting!B41-1</f>
        <v>37</v>
      </c>
      <c r="E41" s="175">
        <f>IF(AND(C41&lt;=Last_Prem,MOD(A40,Mode)=0),Mod_Prem,0)</f>
        <v>0</v>
      </c>
      <c r="F41" s="177">
        <f>E41*VLOOKUP(B41,'Pre-Calculation'!$H$1:$I$31,2,FALSE)</f>
        <v>0</v>
      </c>
      <c r="G41" s="177">
        <f>IF(B41&lt;PT+1,VLOOKUP(B41,'Pre-Calculation'!$H$1:$L$32,3,FALSE)+VLOOKUP(B41,'Pre-Calculation'!$H$1:$L$32,4,FALSE)*'Pre-Calculation'!$D$7,0)</f>
        <v>420</v>
      </c>
      <c r="H41" s="175">
        <f>(E41-(F41+G41)*(1+Tax)+O40)</f>
        <v>333038.5488</v>
      </c>
      <c r="I41" s="175">
        <f>IF(B41&lt;PT+1,VLOOKUP(D41,'Pre-Calculation'!$N$3:$P$79,IF(INPUT!$C$4="M",2,3),FALSE)*(J41/1000)*(1/12),0)</f>
        <v>80.39664494</v>
      </c>
      <c r="J41" s="175">
        <f>MAX(0,(SA-H41))</f>
        <v>666961.4512</v>
      </c>
      <c r="K41" s="175">
        <f>H41-I41*(1+Tax)</f>
        <v>332943.6807</v>
      </c>
      <c r="L41" s="187">
        <f>VLOOKUP(C41,'NAVs_Till 29 Jun 2021'!$A$3:$J$2236,MATCH('Pre-Calculation'!$C$34,'NAVs_Till 29 Jun 2021'!$A$1:$J$1,0))</f>
        <v>15.185</v>
      </c>
      <c r="M41" s="187">
        <f>IFERROR(1,VLOOKUP(C41,'NAVs_Till 29 Jun 2021'!$A$3:$J$2236,MATCH(#REF!,'NAVs_Till 29 Jun 2021'!$A$1:$J$1,0)))</f>
        <v>1</v>
      </c>
      <c r="N41" s="175">
        <f>VLOOKUP('Pre-Calculation'!$C$34,INPUT!$B$20:$C$28,2,0)*K41*(L42/L41)+ IFERROR(0,VLOOKUP('Pre-Calculation'!$D$34,INPUT!$B$20:$C$28,2,0))*K41*(M42/M41)</f>
        <v>337495.4824</v>
      </c>
      <c r="O41" s="175">
        <f t="shared" si="3"/>
        <v>337495.4824</v>
      </c>
      <c r="P41" s="175">
        <f t="shared" si="4"/>
        <v>337495.4824</v>
      </c>
      <c r="Q41" s="175">
        <f>IF('Pre-Calculation'!$D$17="Type 4 a",MAX(SA,O41,1.05*R41),IF('Pre-Calculation'!$D$17="Type 4 c",O41,IF('Pre-Calculation'!$D$17="Type 4 d",SA+O41,IF('Pre-Calculation'!$D$17="Type 4 e",MAX(SA,O41),IF('Pre-Calculation'!$D$17="Type 4 f",SA,IF('Pre-Calculation'!$D$17="Type 4 g",1000+O41,IF('Pre-Calculation'!$D$17="Type 4 h",SA+S41,IF('Pre-Calculation'!$D$17="Type 4 i",MAX(O41,R41),IF('Pre-Calculation'!$D$17="Type 4 k",MAX(O41,1.01*R41),IF('Pre-Calculation'!$D$17="Type 4 m",MAX(105%*R41,SA+O41),IF('Pre-Calculation'!$D$17="Type 4 o",MAX(SA,105%*R41)+X41+Z41,IF('Pre-Calculation'!$D$17="Type 5",0))))))))))))</f>
        <v>1000000</v>
      </c>
      <c r="R41" s="175">
        <f t="shared" si="5"/>
        <v>300000</v>
      </c>
      <c r="S41" s="119">
        <f>K41*(1+GROWTH_RATE)*FMC</f>
        <v>376.7665784</v>
      </c>
      <c r="T41" s="178">
        <f>T40*(1+'Pre-Calculation'!$E$27)</f>
        <v>718603.5807</v>
      </c>
      <c r="U41" s="175">
        <f>-E41+IF(A40=INPUT!$C$11*12,O41,0)</f>
        <v>0</v>
      </c>
      <c r="V41" s="171"/>
      <c r="W41" s="112"/>
      <c r="X41" s="179">
        <f t="array" ref="X41">NPV('Pre-Calculation'!$E$20,$E42:E$246)</f>
        <v>570187.887</v>
      </c>
      <c r="Y41" s="171">
        <f>10%*SA</f>
        <v>100000</v>
      </c>
      <c r="Z41" s="179">
        <f t="array" ref="Z41">NPV('Pre-Calculation'!$E$20,Y42:Y51)</f>
        <v>969592.8037</v>
      </c>
    </row>
    <row r="42" ht="15.75" customHeight="1">
      <c r="A42" s="171">
        <f t="shared" si="1"/>
        <v>36</v>
      </c>
      <c r="B42" s="171">
        <f t="shared" si="2"/>
        <v>3</v>
      </c>
      <c r="C42" s="176">
        <f>EDATE(RCD,A41)</f>
        <v>43615</v>
      </c>
      <c r="D42" s="171">
        <f>Age_At_Entry+Cashflows_Backtesting!B42-1</f>
        <v>37</v>
      </c>
      <c r="E42" s="175">
        <f>IF(AND(C42&lt;=Last_Prem,MOD(A41,Mode)=0),Mod_Prem,0)</f>
        <v>0</v>
      </c>
      <c r="F42" s="177">
        <f>E42*VLOOKUP(B42,'Pre-Calculation'!$H$1:$I$31,2,FALSE)</f>
        <v>0</v>
      </c>
      <c r="G42" s="177">
        <f>IF(B42&lt;PT+1,VLOOKUP(B42,'Pre-Calculation'!$H$1:$L$32,3,FALSE)+VLOOKUP(B42,'Pre-Calculation'!$H$1:$L$32,4,FALSE)*'Pre-Calculation'!$D$7,0)</f>
        <v>420</v>
      </c>
      <c r="H42" s="175">
        <f>(E42-(F42+G42)*(1+Tax)+O41)</f>
        <v>336999.8824</v>
      </c>
      <c r="I42" s="175">
        <f>IF(B42&lt;PT+1,VLOOKUP(D42,'Pre-Calculation'!$N$3:$P$79,IF(INPUT!$C$4="M",2,3),FALSE)*(J42/1000)*(1/12),0)</f>
        <v>79.91913918</v>
      </c>
      <c r="J42" s="175">
        <f>MAX(0,(SA-H42))</f>
        <v>663000.1176</v>
      </c>
      <c r="K42" s="175">
        <f>H42-I42*(1+Tax)</f>
        <v>336905.5778</v>
      </c>
      <c r="L42" s="187">
        <f>VLOOKUP(C42,'NAVs_Till 29 Jun 2021'!$A$3:$J$2236,MATCH('Pre-Calculation'!$C$34,'NAVs_Till 29 Jun 2021'!$A$1:$J$1,0))</f>
        <v>15.3926</v>
      </c>
      <c r="M42" s="187">
        <f>IFERROR(1,VLOOKUP(C42,'NAVs_Till 29 Jun 2021'!$A$3:$J$2236,MATCH(#REF!,'NAVs_Till 29 Jun 2021'!$A$1:$J$1,0)))</f>
        <v>1</v>
      </c>
      <c r="N42" s="175">
        <f>VLOOKUP('Pre-Calculation'!$C$34,INPUT!$B$20:$C$28,2,0)*K42*(L43/L42)+ IFERROR(0,VLOOKUP('Pre-Calculation'!$D$34,INPUT!$B$20:$C$28,2,0))*K42*(M43/M42)</f>
        <v>332919.8635</v>
      </c>
      <c r="O42" s="175">
        <f t="shared" si="3"/>
        <v>332919.8635</v>
      </c>
      <c r="P42" s="175">
        <f t="shared" si="4"/>
        <v>332919.8635</v>
      </c>
      <c r="Q42" s="175">
        <f>IF('Pre-Calculation'!$D$17="Type 4 a",MAX(SA,O42,1.05*R42),IF('Pre-Calculation'!$D$17="Type 4 c",O42,IF('Pre-Calculation'!$D$17="Type 4 d",SA+O42,IF('Pre-Calculation'!$D$17="Type 4 e",MAX(SA,O42),IF('Pre-Calculation'!$D$17="Type 4 f",SA,IF('Pre-Calculation'!$D$17="Type 4 g",1000+O42,IF('Pre-Calculation'!$D$17="Type 4 h",SA+S42,IF('Pre-Calculation'!$D$17="Type 4 i",MAX(O42,R42),IF('Pre-Calculation'!$D$17="Type 4 k",MAX(O42,1.01*R42),IF('Pre-Calculation'!$D$17="Type 4 m",MAX(105%*R42,SA+O42),IF('Pre-Calculation'!$D$17="Type 4 o",MAX(SA,105%*R42)+X42+Z42,IF('Pre-Calculation'!$D$17="Type 5",0))))))))))))</f>
        <v>1000000</v>
      </c>
      <c r="R42" s="175">
        <f t="shared" si="5"/>
        <v>300000</v>
      </c>
      <c r="S42" s="119">
        <f>K42*(1+GROWTH_RATE)*FMC</f>
        <v>381.2499505</v>
      </c>
      <c r="T42" s="178">
        <f>T41*(1+'Pre-Calculation'!$E$27)</f>
        <v>720666.6188</v>
      </c>
      <c r="U42" s="175">
        <f>-E42+IF(A41=INPUT!$C$11*12,O42,0)</f>
        <v>0</v>
      </c>
      <c r="V42" s="171"/>
      <c r="W42" s="112"/>
      <c r="X42" s="179">
        <f t="array" ref="X42">NPV('Pre-Calculation'!$E$20,$E43:E$246)</f>
        <v>573411.8122</v>
      </c>
      <c r="Y42" s="171">
        <f>10%*SA</f>
        <v>100000</v>
      </c>
      <c r="Z42" s="179">
        <f t="array" ref="Z42">NPV('Pre-Calculation'!$E$20,Y43:Y52)</f>
        <v>969592.8037</v>
      </c>
    </row>
    <row r="43" ht="15.75" customHeight="1">
      <c r="A43" s="171">
        <f t="shared" si="1"/>
        <v>37</v>
      </c>
      <c r="B43" s="171">
        <f t="shared" si="2"/>
        <v>4</v>
      </c>
      <c r="C43" s="176">
        <f>EDATE(RCD,A42)</f>
        <v>43646</v>
      </c>
      <c r="D43" s="171">
        <f>Age_At_Entry+Cashflows_Backtesting!B43-1</f>
        <v>38</v>
      </c>
      <c r="E43" s="175">
        <f>IF(AND(C43&lt;=Last_Prem,MOD(A42,Mode)=0),Mod_Prem,0)</f>
        <v>100000</v>
      </c>
      <c r="F43" s="177">
        <f>E43*VLOOKUP(B43,'Pre-Calculation'!$H$1:$I$31,2,FALSE)</f>
        <v>0</v>
      </c>
      <c r="G43" s="177">
        <f>IF(B43&lt;PT+1,VLOOKUP(B43,'Pre-Calculation'!$H$1:$L$32,3,FALSE)+VLOOKUP(B43,'Pre-Calculation'!$H$1:$L$32,4,FALSE)*'Pre-Calculation'!$D$7,0)</f>
        <v>420</v>
      </c>
      <c r="H43" s="175">
        <f>(E43-(F43+G43)*(1+Tax)+O42)</f>
        <v>432424.2635</v>
      </c>
      <c r="I43" s="175">
        <f>IF(B43&lt;PT+1,VLOOKUP(D43,'Pre-Calculation'!$N$3:$P$79,IF(INPUT!$C$4="M",2,3),FALSE)*(J43/1000)*(1/12),0)</f>
        <v>73.26456799</v>
      </c>
      <c r="J43" s="175">
        <f>MAX(0,(SA-H43))</f>
        <v>567575.7365</v>
      </c>
      <c r="K43" s="175">
        <f>H43-I43*(1+Tax)</f>
        <v>432337.8113</v>
      </c>
      <c r="L43" s="187">
        <f>VLOOKUP(C43,'NAVs_Till 29 Jun 2021'!$A$3:$J$2236,MATCH('Pre-Calculation'!$C$34,'NAVs_Till 29 Jun 2021'!$A$1:$J$1,0))</f>
        <v>15.2105</v>
      </c>
      <c r="M43" s="187">
        <f>IFERROR(1,VLOOKUP(C43,'NAVs_Till 29 Jun 2021'!$A$3:$J$2236,MATCH(#REF!,'NAVs_Till 29 Jun 2021'!$A$1:$J$1,0)))</f>
        <v>1</v>
      </c>
      <c r="N43" s="175">
        <f>VLOOKUP('Pre-Calculation'!$C$34,INPUT!$B$20:$C$28,2,0)*K43*(L44/L43)+ IFERROR(0,VLOOKUP('Pre-Calculation'!$D$34,INPUT!$B$20:$C$28,2,0))*K43*(M44/M43)</f>
        <v>408757.5576</v>
      </c>
      <c r="O43" s="175">
        <f t="shared" si="3"/>
        <v>408757.5576</v>
      </c>
      <c r="P43" s="175">
        <f t="shared" si="4"/>
        <v>408757.5576</v>
      </c>
      <c r="Q43" s="175">
        <f>IF('Pre-Calculation'!$D$17="Type 4 a",MAX(SA,O43,1.05*R43),IF('Pre-Calculation'!$D$17="Type 4 c",O43,IF('Pre-Calculation'!$D$17="Type 4 d",SA+O43,IF('Pre-Calculation'!$D$17="Type 4 e",MAX(SA,O43),IF('Pre-Calculation'!$D$17="Type 4 f",SA,IF('Pre-Calculation'!$D$17="Type 4 g",1000+O43,IF('Pre-Calculation'!$D$17="Type 4 h",SA+S43,IF('Pre-Calculation'!$D$17="Type 4 i",MAX(O43,R43),IF('Pre-Calculation'!$D$17="Type 4 k",MAX(O43,1.01*R43),IF('Pre-Calculation'!$D$17="Type 4 m",MAX(105%*R43,SA+O43),IF('Pre-Calculation'!$D$17="Type 4 o",MAX(SA,105%*R43)+X43+Z43,IF('Pre-Calculation'!$D$17="Type 5",0))))))))))))</f>
        <v>1000000</v>
      </c>
      <c r="R43" s="175">
        <f t="shared" si="5"/>
        <v>400000</v>
      </c>
      <c r="S43" s="119">
        <f>K43*(1+GROWTH_RATE)*FMC</f>
        <v>489.2432183</v>
      </c>
      <c r="T43" s="178">
        <f>T42*(1+'Pre-Calculation'!$E$27)</f>
        <v>722735.5796</v>
      </c>
      <c r="U43" s="175">
        <f>-E43+IF(A42=INPUT!$C$11*12,O43,0)</f>
        <v>-100000</v>
      </c>
      <c r="V43" s="171"/>
      <c r="W43" s="112"/>
      <c r="X43" s="179">
        <f t="array" ref="X43">NPV('Pre-Calculation'!$E$20,$E44:E$246)</f>
        <v>476653.966</v>
      </c>
      <c r="Y43" s="171">
        <f>10%*SA</f>
        <v>100000</v>
      </c>
      <c r="Z43" s="179">
        <f t="array" ref="Z43">NPV('Pre-Calculation'!$E$20,Y44:Y53)</f>
        <v>969592.8037</v>
      </c>
    </row>
    <row r="44" ht="15.75" customHeight="1">
      <c r="A44" s="171">
        <f t="shared" si="1"/>
        <v>38</v>
      </c>
      <c r="B44" s="171">
        <f t="shared" si="2"/>
        <v>4</v>
      </c>
      <c r="C44" s="176">
        <f>EDATE(RCD,A43)</f>
        <v>43676</v>
      </c>
      <c r="D44" s="171">
        <f>Age_At_Entry+Cashflows_Backtesting!B44-1</f>
        <v>38</v>
      </c>
      <c r="E44" s="175">
        <f>IF(AND(C44&lt;=Last_Prem,MOD(A43,Mode)=0),Mod_Prem,0)</f>
        <v>0</v>
      </c>
      <c r="F44" s="177">
        <f>E44*VLOOKUP(B44,'Pre-Calculation'!$H$1:$I$31,2,FALSE)</f>
        <v>0</v>
      </c>
      <c r="G44" s="177">
        <f>IF(B44&lt;PT+1,VLOOKUP(B44,'Pre-Calculation'!$H$1:$L$32,3,FALSE)+VLOOKUP(B44,'Pre-Calculation'!$H$1:$L$32,4,FALSE)*'Pre-Calculation'!$D$7,0)</f>
        <v>420</v>
      </c>
      <c r="H44" s="175">
        <f>(E44-(F44+G44)*(1+Tax)+O43)</f>
        <v>408261.9576</v>
      </c>
      <c r="I44" s="175">
        <f>IF(B44&lt;PT+1,VLOOKUP(D44,'Pre-Calculation'!$N$3:$P$79,IF(INPUT!$C$4="M",2,3),FALSE)*(J44/1000)*(1/12),0)</f>
        <v>76.38351897</v>
      </c>
      <c r="J44" s="175">
        <f>MAX(0,(SA-H44))</f>
        <v>591738.0424</v>
      </c>
      <c r="K44" s="175">
        <f>H44-I44*(1+Tax)</f>
        <v>408171.8251</v>
      </c>
      <c r="L44" s="187">
        <f>VLOOKUP(C44,'NAVs_Till 29 Jun 2021'!$A$3:$J$2236,MATCH('Pre-Calculation'!$C$34,'NAVs_Till 29 Jun 2021'!$A$1:$J$1,0))</f>
        <v>14.3809</v>
      </c>
      <c r="M44" s="187">
        <f>IFERROR(1,VLOOKUP(C44,'NAVs_Till 29 Jun 2021'!$A$3:$J$2236,MATCH(#REF!,'NAVs_Till 29 Jun 2021'!$A$1:$J$1,0)))</f>
        <v>1</v>
      </c>
      <c r="N44" s="175">
        <f>VLOOKUP('Pre-Calculation'!$C$34,INPUT!$B$20:$C$28,2,0)*K44*(L45/L44)+ IFERROR(0,VLOOKUP('Pre-Calculation'!$D$34,INPUT!$B$20:$C$28,2,0))*K44*(M45/M44)</f>
        <v>405307.9892</v>
      </c>
      <c r="O44" s="175">
        <f t="shared" si="3"/>
        <v>405307.9892</v>
      </c>
      <c r="P44" s="175">
        <f t="shared" si="4"/>
        <v>405307.9892</v>
      </c>
      <c r="Q44" s="175">
        <f>IF('Pre-Calculation'!$D$17="Type 4 a",MAX(SA,O44,1.05*R44),IF('Pre-Calculation'!$D$17="Type 4 c",O44,IF('Pre-Calculation'!$D$17="Type 4 d",SA+O44,IF('Pre-Calculation'!$D$17="Type 4 e",MAX(SA,O44),IF('Pre-Calculation'!$D$17="Type 4 f",SA,IF('Pre-Calculation'!$D$17="Type 4 g",1000+O44,IF('Pre-Calculation'!$D$17="Type 4 h",SA+S44,IF('Pre-Calculation'!$D$17="Type 4 i",MAX(O44,R44),IF('Pre-Calculation'!$D$17="Type 4 k",MAX(O44,1.01*R44),IF('Pre-Calculation'!$D$17="Type 4 m",MAX(105%*R44,SA+O44),IF('Pre-Calculation'!$D$17="Type 4 o",MAX(SA,105%*R44)+X44+Z44,IF('Pre-Calculation'!$D$17="Type 5",0))))))))))))</f>
        <v>1000000</v>
      </c>
      <c r="R44" s="175">
        <f t="shared" si="5"/>
        <v>400000</v>
      </c>
      <c r="S44" s="119">
        <f>K44*(1+GROWTH_RATE)*FMC</f>
        <v>461.8964433</v>
      </c>
      <c r="T44" s="178">
        <f>T43*(1+'Pre-Calculation'!$E$27)</f>
        <v>724810.4803</v>
      </c>
      <c r="U44" s="175">
        <f>-E44+IF(A43=INPUT!$C$11*12,O44,0)</f>
        <v>0</v>
      </c>
      <c r="V44" s="171"/>
      <c r="W44" s="112"/>
      <c r="X44" s="179">
        <f t="array" ref="X44">NPV('Pre-Calculation'!$E$20,$E45:E$246)</f>
        <v>479349.0368</v>
      </c>
      <c r="Y44" s="171">
        <f>10%*SA</f>
        <v>100000</v>
      </c>
      <c r="Z44" s="179">
        <f t="array" ref="Z44">NPV('Pre-Calculation'!$E$20,Y45:Y54)</f>
        <v>969592.8037</v>
      </c>
    </row>
    <row r="45" ht="15.75" customHeight="1">
      <c r="A45" s="171">
        <f t="shared" si="1"/>
        <v>39</v>
      </c>
      <c r="B45" s="171">
        <f t="shared" si="2"/>
        <v>4</v>
      </c>
      <c r="C45" s="176">
        <f>EDATE(RCD,A44)</f>
        <v>43707</v>
      </c>
      <c r="D45" s="171">
        <f>Age_At_Entry+Cashflows_Backtesting!B45-1</f>
        <v>38</v>
      </c>
      <c r="E45" s="175">
        <f>IF(AND(C45&lt;=Last_Prem,MOD(A44,Mode)=0),Mod_Prem,0)</f>
        <v>0</v>
      </c>
      <c r="F45" s="177">
        <f>E45*VLOOKUP(B45,'Pre-Calculation'!$H$1:$I$31,2,FALSE)</f>
        <v>0</v>
      </c>
      <c r="G45" s="177">
        <f>IF(B45&lt;PT+1,VLOOKUP(B45,'Pre-Calculation'!$H$1:$L$32,3,FALSE)+VLOOKUP(B45,'Pre-Calculation'!$H$1:$L$32,4,FALSE)*'Pre-Calculation'!$D$7,0)</f>
        <v>420</v>
      </c>
      <c r="H45" s="175">
        <f>(E45-(F45+G45)*(1+Tax)+O44)</f>
        <v>404812.3892</v>
      </c>
      <c r="I45" s="175">
        <f>IF(B45&lt;PT+1,VLOOKUP(D45,'Pre-Calculation'!$N$3:$P$79,IF(INPUT!$C$4="M",2,3),FALSE)*(J45/1000)*(1/12),0)</f>
        <v>76.82880076</v>
      </c>
      <c r="J45" s="175">
        <f>MAX(0,(SA-H45))</f>
        <v>595187.6108</v>
      </c>
      <c r="K45" s="175">
        <f>H45-I45*(1+Tax)</f>
        <v>404721.7312</v>
      </c>
      <c r="L45" s="187">
        <f>VLOOKUP(C45,'NAVs_Till 29 Jun 2021'!$A$3:$J$2236,MATCH('Pre-Calculation'!$C$34,'NAVs_Till 29 Jun 2021'!$A$1:$J$1,0))</f>
        <v>14.28</v>
      </c>
      <c r="M45" s="187">
        <f>IFERROR(1,VLOOKUP(C45,'NAVs_Till 29 Jun 2021'!$A$3:$J$2236,MATCH(#REF!,'NAVs_Till 29 Jun 2021'!$A$1:$J$1,0)))</f>
        <v>1</v>
      </c>
      <c r="N45" s="175">
        <f>VLOOKUP('Pre-Calculation'!$C$34,INPUT!$B$20:$C$28,2,0)*K45*(L46/L45)+ IFERROR(0,VLOOKUP('Pre-Calculation'!$D$34,INPUT!$B$20:$C$28,2,0))*K45*(M46/M45)</f>
        <v>424886.9632</v>
      </c>
      <c r="O45" s="175">
        <f t="shared" si="3"/>
        <v>424886.9632</v>
      </c>
      <c r="P45" s="175">
        <f t="shared" si="4"/>
        <v>424886.9632</v>
      </c>
      <c r="Q45" s="175">
        <f>IF('Pre-Calculation'!$D$17="Type 4 a",MAX(SA,O45,1.05*R45),IF('Pre-Calculation'!$D$17="Type 4 c",O45,IF('Pre-Calculation'!$D$17="Type 4 d",SA+O45,IF('Pre-Calculation'!$D$17="Type 4 e",MAX(SA,O45),IF('Pre-Calculation'!$D$17="Type 4 f",SA,IF('Pre-Calculation'!$D$17="Type 4 g",1000+O45,IF('Pre-Calculation'!$D$17="Type 4 h",SA+S45,IF('Pre-Calculation'!$D$17="Type 4 i",MAX(O45,R45),IF('Pre-Calculation'!$D$17="Type 4 k",MAX(O45,1.01*R45),IF('Pre-Calculation'!$D$17="Type 4 m",MAX(105%*R45,SA+O45),IF('Pre-Calculation'!$D$17="Type 4 o",MAX(SA,105%*R45)+X45+Z45,IF('Pre-Calculation'!$D$17="Type 5",0))))))))))))</f>
        <v>1000000</v>
      </c>
      <c r="R45" s="175">
        <f t="shared" si="5"/>
        <v>400000</v>
      </c>
      <c r="S45" s="119">
        <f>K45*(1+GROWTH_RATE)*FMC</f>
        <v>457.9922393</v>
      </c>
      <c r="T45" s="178">
        <f>T44*(1+'Pre-Calculation'!$E$27)</f>
        <v>726891.3378</v>
      </c>
      <c r="U45" s="175">
        <f>-E45+IF(A44=INPUT!$C$11*12,O45,0)</f>
        <v>0</v>
      </c>
      <c r="V45" s="171"/>
      <c r="W45" s="112"/>
      <c r="X45" s="179">
        <f t="array" ref="X45">NPV('Pre-Calculation'!$E$20,$E46:E$246)</f>
        <v>482059.3459</v>
      </c>
      <c r="Y45" s="171">
        <f>10%*SA</f>
        <v>100000</v>
      </c>
      <c r="Z45" s="179">
        <f t="array" ref="Z45">NPV('Pre-Calculation'!$E$20,Y46:Y55)</f>
        <v>969592.8037</v>
      </c>
    </row>
    <row r="46" ht="15.75" customHeight="1">
      <c r="A46" s="171">
        <f t="shared" si="1"/>
        <v>40</v>
      </c>
      <c r="B46" s="171">
        <f t="shared" si="2"/>
        <v>4</v>
      </c>
      <c r="C46" s="176">
        <f>EDATE(RCD,A45)</f>
        <v>43738</v>
      </c>
      <c r="D46" s="171">
        <f>Age_At_Entry+Cashflows_Backtesting!B46-1</f>
        <v>38</v>
      </c>
      <c r="E46" s="175">
        <f>IF(AND(C46&lt;=Last_Prem,MOD(A45,Mode)=0),Mod_Prem,0)</f>
        <v>0</v>
      </c>
      <c r="F46" s="177">
        <f>E46*VLOOKUP(B46,'Pre-Calculation'!$H$1:$I$31,2,FALSE)</f>
        <v>0</v>
      </c>
      <c r="G46" s="177">
        <f>IF(B46&lt;PT+1,VLOOKUP(B46,'Pre-Calculation'!$H$1:$L$32,3,FALSE)+VLOOKUP(B46,'Pre-Calculation'!$H$1:$L$32,4,FALSE)*'Pre-Calculation'!$D$7,0)</f>
        <v>420</v>
      </c>
      <c r="H46" s="175">
        <f>(E46-(F46+G46)*(1+Tax)+O45)</f>
        <v>424391.3632</v>
      </c>
      <c r="I46" s="175">
        <f>IF(B46&lt;PT+1,VLOOKUP(D46,'Pre-Calculation'!$N$3:$P$79,IF(INPUT!$C$4="M",2,3),FALSE)*(J46/1000)*(1/12),0)</f>
        <v>74.30148154</v>
      </c>
      <c r="J46" s="175">
        <f>MAX(0,(SA-H46))</f>
        <v>575608.6368</v>
      </c>
      <c r="K46" s="175">
        <f>H46-I46*(1+Tax)</f>
        <v>424303.6874</v>
      </c>
      <c r="L46" s="187">
        <f>VLOOKUP(C46,'NAVs_Till 29 Jun 2021'!$A$3:$J$2236,MATCH('Pre-Calculation'!$C$34,'NAVs_Till 29 Jun 2021'!$A$1:$J$1,0))</f>
        <v>14.9915</v>
      </c>
      <c r="M46" s="187">
        <f>IFERROR(1,VLOOKUP(C46,'NAVs_Till 29 Jun 2021'!$A$3:$J$2236,MATCH(#REF!,'NAVs_Till 29 Jun 2021'!$A$1:$J$1,0)))</f>
        <v>1</v>
      </c>
      <c r="N46" s="175">
        <f>VLOOKUP('Pre-Calculation'!$C$34,INPUT!$B$20:$C$28,2,0)*K46*(L47/L46)+ IFERROR(0,VLOOKUP('Pre-Calculation'!$D$34,INPUT!$B$20:$C$28,2,0))*K46*(M47/M46)</f>
        <v>435967.3335</v>
      </c>
      <c r="O46" s="175">
        <f t="shared" si="3"/>
        <v>435967.3335</v>
      </c>
      <c r="P46" s="175">
        <f t="shared" si="4"/>
        <v>435967.3335</v>
      </c>
      <c r="Q46" s="175">
        <f>IF('Pre-Calculation'!$D$17="Type 4 a",MAX(SA,O46,1.05*R46),IF('Pre-Calculation'!$D$17="Type 4 c",O46,IF('Pre-Calculation'!$D$17="Type 4 d",SA+O46,IF('Pre-Calculation'!$D$17="Type 4 e",MAX(SA,O46),IF('Pre-Calculation'!$D$17="Type 4 f",SA,IF('Pre-Calculation'!$D$17="Type 4 g",1000+O46,IF('Pre-Calculation'!$D$17="Type 4 h",SA+S46,IF('Pre-Calculation'!$D$17="Type 4 i",MAX(O46,R46),IF('Pre-Calculation'!$D$17="Type 4 k",MAX(O46,1.01*R46),IF('Pre-Calculation'!$D$17="Type 4 m",MAX(105%*R46,SA+O46),IF('Pre-Calculation'!$D$17="Type 4 o",MAX(SA,105%*R46)+X46+Z46,IF('Pre-Calculation'!$D$17="Type 5",0))))))))))))</f>
        <v>1000000</v>
      </c>
      <c r="R46" s="175">
        <f t="shared" si="5"/>
        <v>400000</v>
      </c>
      <c r="S46" s="119">
        <f>K46*(1+GROWTH_RATE)*FMC</f>
        <v>480.1516225</v>
      </c>
      <c r="T46" s="178">
        <f>T45*(1+'Pre-Calculation'!$E$27)</f>
        <v>728978.1692</v>
      </c>
      <c r="U46" s="175">
        <f>-E46+IF(A45=INPUT!$C$11*12,O46,0)</f>
        <v>0</v>
      </c>
      <c r="V46" s="171"/>
      <c r="W46" s="112"/>
      <c r="X46" s="179">
        <f t="array" ref="X46">NPV('Pre-Calculation'!$E$20,$E47:E$246)</f>
        <v>484784.9796</v>
      </c>
      <c r="Y46" s="171">
        <f>10%*SA</f>
        <v>100000</v>
      </c>
      <c r="Z46" s="179">
        <f t="array" ref="Z46">NPV('Pre-Calculation'!$E$20,Y47:Y56)</f>
        <v>969592.8037</v>
      </c>
    </row>
    <row r="47" ht="15.75" customHeight="1">
      <c r="A47" s="171">
        <f t="shared" si="1"/>
        <v>41</v>
      </c>
      <c r="B47" s="171">
        <f t="shared" si="2"/>
        <v>4</v>
      </c>
      <c r="C47" s="176">
        <f>EDATE(RCD,A46)</f>
        <v>43768</v>
      </c>
      <c r="D47" s="171">
        <f>Age_At_Entry+Cashflows_Backtesting!B47-1</f>
        <v>38</v>
      </c>
      <c r="E47" s="175">
        <f>IF(AND(C47&lt;=Last_Prem,MOD(A46,Mode)=0),Mod_Prem,0)</f>
        <v>0</v>
      </c>
      <c r="F47" s="177">
        <f>E47*VLOOKUP(B47,'Pre-Calculation'!$H$1:$I$31,2,FALSE)</f>
        <v>0</v>
      </c>
      <c r="G47" s="177">
        <f>IF(B47&lt;PT+1,VLOOKUP(B47,'Pre-Calculation'!$H$1:$L$32,3,FALSE)+VLOOKUP(B47,'Pre-Calculation'!$H$1:$L$32,4,FALSE)*'Pre-Calculation'!$D$7,0)</f>
        <v>420</v>
      </c>
      <c r="H47" s="175">
        <f>(E47-(F47+G47)*(1+Tax)+O46)</f>
        <v>435471.7335</v>
      </c>
      <c r="I47" s="175">
        <f>IF(B47&lt;PT+1,VLOOKUP(D47,'Pre-Calculation'!$N$3:$P$79,IF(INPUT!$C$4="M",2,3),FALSE)*(J47/1000)*(1/12),0)</f>
        <v>72.87119041</v>
      </c>
      <c r="J47" s="175">
        <f>MAX(0,(SA-H47))</f>
        <v>564528.2665</v>
      </c>
      <c r="K47" s="175">
        <f>H47-I47*(1+Tax)</f>
        <v>435385.7454</v>
      </c>
      <c r="L47" s="187">
        <f>VLOOKUP(C47,'NAVs_Till 29 Jun 2021'!$A$3:$J$2236,MATCH('Pre-Calculation'!$C$34,'NAVs_Till 29 Jun 2021'!$A$1:$J$1,0))</f>
        <v>15.4036</v>
      </c>
      <c r="M47" s="187">
        <f>IFERROR(1,VLOOKUP(C47,'NAVs_Till 29 Jun 2021'!$A$3:$J$2236,MATCH(#REF!,'NAVs_Till 29 Jun 2021'!$A$1:$J$1,0)))</f>
        <v>1</v>
      </c>
      <c r="N47" s="175">
        <f>VLOOKUP('Pre-Calculation'!$C$34,INPUT!$B$20:$C$28,2,0)*K47*(L48/L47)+ IFERROR(0,VLOOKUP('Pre-Calculation'!$D$34,INPUT!$B$20:$C$28,2,0))*K47*(M48/M47)</f>
        <v>438958.466</v>
      </c>
      <c r="O47" s="175">
        <f t="shared" si="3"/>
        <v>438958.466</v>
      </c>
      <c r="P47" s="175">
        <f t="shared" si="4"/>
        <v>438958.466</v>
      </c>
      <c r="Q47" s="175">
        <f>IF('Pre-Calculation'!$D$17="Type 4 a",MAX(SA,O47,1.05*R47),IF('Pre-Calculation'!$D$17="Type 4 c",O47,IF('Pre-Calculation'!$D$17="Type 4 d",SA+O47,IF('Pre-Calculation'!$D$17="Type 4 e",MAX(SA,O47),IF('Pre-Calculation'!$D$17="Type 4 f",SA,IF('Pre-Calculation'!$D$17="Type 4 g",1000+O47,IF('Pre-Calculation'!$D$17="Type 4 h",SA+S47,IF('Pre-Calculation'!$D$17="Type 4 i",MAX(O47,R47),IF('Pre-Calculation'!$D$17="Type 4 k",MAX(O47,1.01*R47),IF('Pre-Calculation'!$D$17="Type 4 m",MAX(105%*R47,SA+O47),IF('Pre-Calculation'!$D$17="Type 4 o",MAX(SA,105%*R47)+X47+Z47,IF('Pre-Calculation'!$D$17="Type 5",0))))))))))))</f>
        <v>1000000</v>
      </c>
      <c r="R47" s="175">
        <f t="shared" si="5"/>
        <v>400000</v>
      </c>
      <c r="S47" s="119">
        <f>K47*(1+GROWTH_RATE)*FMC</f>
        <v>492.6923293</v>
      </c>
      <c r="T47" s="178">
        <f>T46*(1+'Pre-Calculation'!$E$27)</f>
        <v>731070.9917</v>
      </c>
      <c r="U47" s="175">
        <f>-E47+IF(A46=INPUT!$C$11*12,O47,0)</f>
        <v>0</v>
      </c>
      <c r="V47" s="171"/>
      <c r="W47" s="112"/>
      <c r="X47" s="179">
        <f t="array" ref="X47">NPV('Pre-Calculation'!$E$20,$E48:E$246)</f>
        <v>487526.0243</v>
      </c>
      <c r="Y47" s="171">
        <f>10%*SA</f>
        <v>100000</v>
      </c>
      <c r="Z47" s="179">
        <f t="array" ref="Z47">NPV('Pre-Calculation'!$E$20,Y48:Y57)</f>
        <v>969592.8037</v>
      </c>
    </row>
    <row r="48" ht="15.75" customHeight="1">
      <c r="A48" s="171">
        <f t="shared" si="1"/>
        <v>42</v>
      </c>
      <c r="B48" s="171">
        <f t="shared" si="2"/>
        <v>4</v>
      </c>
      <c r="C48" s="176">
        <f>EDATE(RCD,A47)</f>
        <v>43799</v>
      </c>
      <c r="D48" s="171">
        <f>Age_At_Entry+Cashflows_Backtesting!B48-1</f>
        <v>38</v>
      </c>
      <c r="E48" s="175">
        <f>IF(AND(C48&lt;=Last_Prem,MOD(A47,Mode)=0),Mod_Prem,0)</f>
        <v>0</v>
      </c>
      <c r="F48" s="177">
        <f>E48*VLOOKUP(B48,'Pre-Calculation'!$H$1:$I$31,2,FALSE)</f>
        <v>0</v>
      </c>
      <c r="G48" s="177">
        <f>IF(B48&lt;PT+1,VLOOKUP(B48,'Pre-Calculation'!$H$1:$L$32,3,FALSE)+VLOOKUP(B48,'Pre-Calculation'!$H$1:$L$32,4,FALSE)*'Pre-Calculation'!$D$7,0)</f>
        <v>420</v>
      </c>
      <c r="H48" s="175">
        <f>(E48-(F48+G48)*(1+Tax)+O47)</f>
        <v>438462.866</v>
      </c>
      <c r="I48" s="175">
        <f>IF(B48&lt;PT+1,VLOOKUP(D48,'Pre-Calculation'!$N$3:$P$79,IF(INPUT!$C$4="M",2,3),FALSE)*(J48/1000)*(1/12),0)</f>
        <v>72.48508505</v>
      </c>
      <c r="J48" s="175">
        <f>MAX(0,(SA-H48))</f>
        <v>561537.134</v>
      </c>
      <c r="K48" s="175">
        <f>H48-I48*(1+Tax)</f>
        <v>438377.3336</v>
      </c>
      <c r="L48" s="187">
        <f>VLOOKUP(C48,'NAVs_Till 29 Jun 2021'!$A$3:$J$2236,MATCH('Pre-Calculation'!$C$34,'NAVs_Till 29 Jun 2021'!$A$1:$J$1,0))</f>
        <v>15.53</v>
      </c>
      <c r="M48" s="187">
        <f>IFERROR(1,VLOOKUP(C48,'NAVs_Till 29 Jun 2021'!$A$3:$J$2236,MATCH(#REF!,'NAVs_Till 29 Jun 2021'!$A$1:$J$1,0)))</f>
        <v>1</v>
      </c>
      <c r="N48" s="175">
        <f>VLOOKUP('Pre-Calculation'!$C$34,INPUT!$B$20:$C$28,2,0)*K48*(L49/L48)+ IFERROR(0,VLOOKUP('Pre-Calculation'!$D$34,INPUT!$B$20:$C$28,2,0))*K48*(M49/M48)</f>
        <v>443342.5991</v>
      </c>
      <c r="O48" s="175">
        <f t="shared" si="3"/>
        <v>443342.5991</v>
      </c>
      <c r="P48" s="175">
        <f t="shared" si="4"/>
        <v>443342.5991</v>
      </c>
      <c r="Q48" s="175">
        <f>IF('Pre-Calculation'!$D$17="Type 4 a",MAX(SA,O48,1.05*R48),IF('Pre-Calculation'!$D$17="Type 4 c",O48,IF('Pre-Calculation'!$D$17="Type 4 d",SA+O48,IF('Pre-Calculation'!$D$17="Type 4 e",MAX(SA,O48),IF('Pre-Calculation'!$D$17="Type 4 f",SA,IF('Pre-Calculation'!$D$17="Type 4 g",1000+O48,IF('Pre-Calculation'!$D$17="Type 4 h",SA+S48,IF('Pre-Calculation'!$D$17="Type 4 i",MAX(O48,R48),IF('Pre-Calculation'!$D$17="Type 4 k",MAX(O48,1.01*R48),IF('Pre-Calculation'!$D$17="Type 4 m",MAX(105%*R48,SA+O48),IF('Pre-Calculation'!$D$17="Type 4 o",MAX(SA,105%*R48)+X48+Z48,IF('Pre-Calculation'!$D$17="Type 5",0))))))))))))</f>
        <v>1000000</v>
      </c>
      <c r="R48" s="175">
        <f t="shared" si="5"/>
        <v>400000</v>
      </c>
      <c r="S48" s="119">
        <f>K48*(1+GROWTH_RATE)*FMC</f>
        <v>496.077678</v>
      </c>
      <c r="T48" s="178">
        <f>T47*(1+'Pre-Calculation'!$E$27)</f>
        <v>733169.8224</v>
      </c>
      <c r="U48" s="175">
        <f>-E48+IF(A47=INPUT!$C$11*12,O48,0)</f>
        <v>0</v>
      </c>
      <c r="V48" s="171"/>
      <c r="W48" s="112"/>
      <c r="X48" s="179">
        <f t="array" ref="X48">NPV('Pre-Calculation'!$E$20,$E49:E$246)</f>
        <v>490282.5674</v>
      </c>
      <c r="Y48" s="171">
        <f>10%*SA</f>
        <v>100000</v>
      </c>
      <c r="Z48" s="179">
        <f t="array" ref="Z48">NPV('Pre-Calculation'!$E$20,Y49:Y58)</f>
        <v>969592.8037</v>
      </c>
    </row>
    <row r="49" ht="15.75" customHeight="1">
      <c r="A49" s="171">
        <f t="shared" si="1"/>
        <v>43</v>
      </c>
      <c r="B49" s="171">
        <f t="shared" si="2"/>
        <v>4</v>
      </c>
      <c r="C49" s="176">
        <f>EDATE(RCD,A48)</f>
        <v>43829</v>
      </c>
      <c r="D49" s="171">
        <f>Age_At_Entry+Cashflows_Backtesting!B49-1</f>
        <v>38</v>
      </c>
      <c r="E49" s="175">
        <f>IF(AND(C49&lt;=Last_Prem,MOD(A48,Mode)=0),Mod_Prem,0)</f>
        <v>0</v>
      </c>
      <c r="F49" s="177">
        <f>E49*VLOOKUP(B49,'Pre-Calculation'!$H$1:$I$31,2,FALSE)</f>
        <v>0</v>
      </c>
      <c r="G49" s="177">
        <f>IF(B49&lt;PT+1,VLOOKUP(B49,'Pre-Calculation'!$H$1:$L$32,3,FALSE)+VLOOKUP(B49,'Pre-Calculation'!$H$1:$L$32,4,FALSE)*'Pre-Calculation'!$D$7,0)</f>
        <v>420</v>
      </c>
      <c r="H49" s="175">
        <f>(E49-(F49+G49)*(1+Tax)+O48)</f>
        <v>442846.9991</v>
      </c>
      <c r="I49" s="175">
        <f>IF(B49&lt;PT+1,VLOOKUP(D49,'Pre-Calculation'!$N$3:$P$79,IF(INPUT!$C$4="M",2,3),FALSE)*(J49/1000)*(1/12),0)</f>
        <v>71.91916654</v>
      </c>
      <c r="J49" s="175">
        <f>MAX(0,(SA-H49))</f>
        <v>557153.0009</v>
      </c>
      <c r="K49" s="175">
        <f>H49-I49*(1+Tax)</f>
        <v>442762.1345</v>
      </c>
      <c r="L49" s="187">
        <f>VLOOKUP(C49,'NAVs_Till 29 Jun 2021'!$A$3:$J$2236,MATCH('Pre-Calculation'!$C$34,'NAVs_Till 29 Jun 2021'!$A$1:$J$1,0))</f>
        <v>15.7059</v>
      </c>
      <c r="M49" s="187">
        <f>IFERROR(1,VLOOKUP(C49,'NAVs_Till 29 Jun 2021'!$A$3:$J$2236,MATCH(#REF!,'NAVs_Till 29 Jun 2021'!$A$1:$J$1,0)))</f>
        <v>1</v>
      </c>
      <c r="N49" s="175">
        <f>VLOOKUP('Pre-Calculation'!$C$34,INPUT!$B$20:$C$28,2,0)*K49*(L50/L49)+ IFERROR(0,VLOOKUP('Pre-Calculation'!$D$34,INPUT!$B$20:$C$28,2,0))*K49*(M50/M49)</f>
        <v>435367.6835</v>
      </c>
      <c r="O49" s="175">
        <f t="shared" si="3"/>
        <v>435367.6835</v>
      </c>
      <c r="P49" s="175">
        <f t="shared" si="4"/>
        <v>435367.6835</v>
      </c>
      <c r="Q49" s="175">
        <f>IF('Pre-Calculation'!$D$17="Type 4 a",MAX(SA,O49,1.05*R49),IF('Pre-Calculation'!$D$17="Type 4 c",O49,IF('Pre-Calculation'!$D$17="Type 4 d",SA+O49,IF('Pre-Calculation'!$D$17="Type 4 e",MAX(SA,O49),IF('Pre-Calculation'!$D$17="Type 4 f",SA,IF('Pre-Calculation'!$D$17="Type 4 g",1000+O49,IF('Pre-Calculation'!$D$17="Type 4 h",SA+S49,IF('Pre-Calculation'!$D$17="Type 4 i",MAX(O49,R49),IF('Pre-Calculation'!$D$17="Type 4 k",MAX(O49,1.01*R49),IF('Pre-Calculation'!$D$17="Type 4 m",MAX(105%*R49,SA+O49),IF('Pre-Calculation'!$D$17="Type 4 o",MAX(SA,105%*R49)+X49+Z49,IF('Pre-Calculation'!$D$17="Type 5",0))))))))))))</f>
        <v>1000000</v>
      </c>
      <c r="R49" s="175">
        <f t="shared" si="5"/>
        <v>400000</v>
      </c>
      <c r="S49" s="119">
        <f>K49*(1+GROWTH_RATE)*FMC</f>
        <v>501.0396175</v>
      </c>
      <c r="T49" s="178">
        <f>T48*(1+'Pre-Calculation'!$E$27)</f>
        <v>735274.6787</v>
      </c>
      <c r="U49" s="175">
        <f>-E49+IF(A48=INPUT!$C$11*12,O49,0)</f>
        <v>0</v>
      </c>
      <c r="V49" s="171"/>
      <c r="W49" s="112"/>
      <c r="X49" s="179">
        <f t="array" ref="X49">NPV('Pre-Calculation'!$E$20,$E50:E$246)</f>
        <v>493054.6963</v>
      </c>
      <c r="Y49" s="171">
        <f>10%*SA</f>
        <v>100000</v>
      </c>
      <c r="Z49" s="179">
        <f t="array" ref="Z49">NPV('Pre-Calculation'!$E$20,Y50:Y59)</f>
        <v>969592.8037</v>
      </c>
    </row>
    <row r="50" ht="15.75" customHeight="1">
      <c r="A50" s="171">
        <f t="shared" si="1"/>
        <v>44</v>
      </c>
      <c r="B50" s="171">
        <f t="shared" si="2"/>
        <v>4</v>
      </c>
      <c r="C50" s="176">
        <f>EDATE(RCD,A49)</f>
        <v>43860</v>
      </c>
      <c r="D50" s="171">
        <f>Age_At_Entry+Cashflows_Backtesting!B50-1</f>
        <v>38</v>
      </c>
      <c r="E50" s="175">
        <f>IF(AND(C50&lt;=Last_Prem,MOD(A49,Mode)=0),Mod_Prem,0)</f>
        <v>0</v>
      </c>
      <c r="F50" s="177">
        <f>E50*VLOOKUP(B50,'Pre-Calculation'!$H$1:$I$31,2,FALSE)</f>
        <v>0</v>
      </c>
      <c r="G50" s="177">
        <f>IF(B50&lt;PT+1,VLOOKUP(B50,'Pre-Calculation'!$H$1:$L$32,3,FALSE)+VLOOKUP(B50,'Pre-Calculation'!$H$1:$L$32,4,FALSE)*'Pre-Calculation'!$D$7,0)</f>
        <v>420</v>
      </c>
      <c r="H50" s="175">
        <f>(E50-(F50+G50)*(1+Tax)+O49)</f>
        <v>434872.0835</v>
      </c>
      <c r="I50" s="175">
        <f>IF(B50&lt;PT+1,VLOOKUP(D50,'Pre-Calculation'!$N$3:$P$79,IF(INPUT!$C$4="M",2,3),FALSE)*(J50/1000)*(1/12),0)</f>
        <v>72.94859523</v>
      </c>
      <c r="J50" s="175">
        <f>MAX(0,(SA-H50))</f>
        <v>565127.9165</v>
      </c>
      <c r="K50" s="175">
        <f>H50-I50*(1+Tax)</f>
        <v>434786.0041</v>
      </c>
      <c r="L50" s="187">
        <f>VLOOKUP(C50,'NAVs_Till 29 Jun 2021'!$A$3:$J$2236,MATCH('Pre-Calculation'!$C$34,'NAVs_Till 29 Jun 2021'!$A$1:$J$1,0))</f>
        <v>15.4436</v>
      </c>
      <c r="M50" s="187">
        <f>IFERROR(1,VLOOKUP(C50,'NAVs_Till 29 Jun 2021'!$A$3:$J$2236,MATCH(#REF!,'NAVs_Till 29 Jun 2021'!$A$1:$J$1,0)))</f>
        <v>1</v>
      </c>
      <c r="N50" s="175">
        <f>VLOOKUP('Pre-Calculation'!$C$34,INPUT!$B$20:$C$28,2,0)*K50*(L51/L50)+ IFERROR(0,VLOOKUP('Pre-Calculation'!$D$34,INPUT!$B$20:$C$28,2,0))*K50*(M51/M50)</f>
        <v>407747.7178</v>
      </c>
      <c r="O50" s="175">
        <f t="shared" si="3"/>
        <v>407747.7178</v>
      </c>
      <c r="P50" s="175">
        <f t="shared" si="4"/>
        <v>407747.7178</v>
      </c>
      <c r="Q50" s="175">
        <f>IF('Pre-Calculation'!$D$17="Type 4 a",MAX(SA,O50,1.05*R50),IF('Pre-Calculation'!$D$17="Type 4 c",O50,IF('Pre-Calculation'!$D$17="Type 4 d",SA+O50,IF('Pre-Calculation'!$D$17="Type 4 e",MAX(SA,O50),IF('Pre-Calculation'!$D$17="Type 4 f",SA,IF('Pre-Calculation'!$D$17="Type 4 g",1000+O50,IF('Pre-Calculation'!$D$17="Type 4 h",SA+S50,IF('Pre-Calculation'!$D$17="Type 4 i",MAX(O50,R50),IF('Pre-Calculation'!$D$17="Type 4 k",MAX(O50,1.01*R50),IF('Pre-Calculation'!$D$17="Type 4 m",MAX(105%*R50,SA+O50),IF('Pre-Calculation'!$D$17="Type 4 o",MAX(SA,105%*R50)+X50+Z50,IF('Pre-Calculation'!$D$17="Type 5",0))))))))))))</f>
        <v>1000000</v>
      </c>
      <c r="R50" s="175">
        <f t="shared" si="5"/>
        <v>400000</v>
      </c>
      <c r="S50" s="119">
        <f>K50*(1+GROWTH_RATE)*FMC</f>
        <v>492.0136485</v>
      </c>
      <c r="T50" s="178">
        <f>T49*(1+'Pre-Calculation'!$E$27)</f>
        <v>737385.5779</v>
      </c>
      <c r="U50" s="175">
        <f>-E50+IF(A49=INPUT!$C$11*12,O50,0)</f>
        <v>0</v>
      </c>
      <c r="V50" s="171"/>
      <c r="W50" s="112"/>
      <c r="X50" s="179">
        <f t="array" ref="X50">NPV('Pre-Calculation'!$E$20,$E51:E$246)</f>
        <v>495842.4992</v>
      </c>
      <c r="Y50" s="171">
        <f>10%*SA</f>
        <v>100000</v>
      </c>
      <c r="Z50" s="179">
        <f t="array" ref="Z50">NPV('Pre-Calculation'!$E$20,Y51:Y60)</f>
        <v>969592.8037</v>
      </c>
    </row>
    <row r="51" ht="15.75" customHeight="1">
      <c r="A51" s="171">
        <f t="shared" si="1"/>
        <v>45</v>
      </c>
      <c r="B51" s="171">
        <f t="shared" si="2"/>
        <v>4</v>
      </c>
      <c r="C51" s="176">
        <f>EDATE(RCD,A50)</f>
        <v>43890</v>
      </c>
      <c r="D51" s="171">
        <f>Age_At_Entry+Cashflows_Backtesting!B51-1</f>
        <v>38</v>
      </c>
      <c r="E51" s="175">
        <f>IF(AND(C51&lt;=Last_Prem,MOD(A50,Mode)=0),Mod_Prem,0)</f>
        <v>0</v>
      </c>
      <c r="F51" s="177">
        <f>E51*VLOOKUP(B51,'Pre-Calculation'!$H$1:$I$31,2,FALSE)</f>
        <v>0</v>
      </c>
      <c r="G51" s="177">
        <f>IF(B51&lt;PT+1,VLOOKUP(B51,'Pre-Calculation'!$H$1:$L$32,3,FALSE)+VLOOKUP(B51,'Pre-Calculation'!$H$1:$L$32,4,FALSE)*'Pre-Calculation'!$D$7,0)</f>
        <v>420</v>
      </c>
      <c r="H51" s="175">
        <f>(E51-(F51+G51)*(1+Tax)+O50)</f>
        <v>407252.1178</v>
      </c>
      <c r="I51" s="175">
        <f>IF(B51&lt;PT+1,VLOOKUP(D51,'Pre-Calculation'!$N$3:$P$79,IF(INPUT!$C$4="M",2,3),FALSE)*(J51/1000)*(1/12),0)</f>
        <v>76.51387246</v>
      </c>
      <c r="J51" s="175">
        <f>MAX(0,(SA-H51))</f>
        <v>592747.8822</v>
      </c>
      <c r="K51" s="175">
        <f>H51-I51*(1+Tax)</f>
        <v>407161.8315</v>
      </c>
      <c r="L51" s="187">
        <f>VLOOKUP(C51,'NAVs_Till 29 Jun 2021'!$A$3:$J$2236,MATCH('Pre-Calculation'!$C$34,'NAVs_Till 29 Jun 2021'!$A$1:$J$1,0))</f>
        <v>14.4832</v>
      </c>
      <c r="M51" s="187">
        <f>IFERROR(1,VLOOKUP(C51,'NAVs_Till 29 Jun 2021'!$A$3:$J$2236,MATCH(#REF!,'NAVs_Till 29 Jun 2021'!$A$1:$J$1,0)))</f>
        <v>1</v>
      </c>
      <c r="N51" s="175">
        <f>VLOOKUP('Pre-Calculation'!$C$34,INPUT!$B$20:$C$28,2,0)*K51*(L52/L51)+ IFERROR(0,VLOOKUP('Pre-Calculation'!$D$34,INPUT!$B$20:$C$28,2,0))*K51*(M52/M51)</f>
        <v>309214.3794</v>
      </c>
      <c r="O51" s="175">
        <f t="shared" si="3"/>
        <v>309214.3794</v>
      </c>
      <c r="P51" s="175">
        <f t="shared" si="4"/>
        <v>309214.3794</v>
      </c>
      <c r="Q51" s="175">
        <f>IF('Pre-Calculation'!$D$17="Type 4 a",MAX(SA,O51,1.05*R51),IF('Pre-Calculation'!$D$17="Type 4 c",O51,IF('Pre-Calculation'!$D$17="Type 4 d",SA+O51,IF('Pre-Calculation'!$D$17="Type 4 e",MAX(SA,O51),IF('Pre-Calculation'!$D$17="Type 4 f",SA,IF('Pre-Calculation'!$D$17="Type 4 g",1000+O51,IF('Pre-Calculation'!$D$17="Type 4 h",SA+S51,IF('Pre-Calculation'!$D$17="Type 4 i",MAX(O51,R51),IF('Pre-Calculation'!$D$17="Type 4 k",MAX(O51,1.01*R51),IF('Pre-Calculation'!$D$17="Type 4 m",MAX(105%*R51,SA+O51),IF('Pre-Calculation'!$D$17="Type 4 o",MAX(SA,105%*R51)+X51+Z51,IF('Pre-Calculation'!$D$17="Type 5",0))))))))))))</f>
        <v>1000000</v>
      </c>
      <c r="R51" s="175">
        <f t="shared" si="5"/>
        <v>400000</v>
      </c>
      <c r="S51" s="119">
        <f>K51*(1+GROWTH_RATE)*FMC</f>
        <v>460.7535117</v>
      </c>
      <c r="T51" s="178">
        <f>T50*(1+'Pre-Calculation'!$E$27)</f>
        <v>739502.5372</v>
      </c>
      <c r="U51" s="175">
        <f>-E51+IF(A50=INPUT!$C$11*12,O51,0)</f>
        <v>0</v>
      </c>
      <c r="V51" s="171"/>
      <c r="W51" s="112"/>
      <c r="X51" s="179">
        <f t="array" ref="X51">NPV('Pre-Calculation'!$E$20,$E52:E$246)</f>
        <v>498646.0648</v>
      </c>
      <c r="Y51" s="171">
        <f>10%*SA</f>
        <v>100000</v>
      </c>
      <c r="Z51" s="179">
        <f t="array" ref="Z51">NPV('Pre-Calculation'!$E$20,Y52:Y61)</f>
        <v>969592.8037</v>
      </c>
    </row>
    <row r="52" ht="15.75" customHeight="1">
      <c r="A52" s="171">
        <f t="shared" si="1"/>
        <v>46</v>
      </c>
      <c r="B52" s="171">
        <f t="shared" si="2"/>
        <v>4</v>
      </c>
      <c r="C52" s="176">
        <f>EDATE(RCD,A51)</f>
        <v>43920</v>
      </c>
      <c r="D52" s="171">
        <f>Age_At_Entry+Cashflows_Backtesting!B52-1</f>
        <v>38</v>
      </c>
      <c r="E52" s="175">
        <f>IF(AND(C52&lt;=Last_Prem,MOD(A51,Mode)=0),Mod_Prem,0)</f>
        <v>0</v>
      </c>
      <c r="F52" s="177">
        <f>E52*VLOOKUP(B52,'Pre-Calculation'!$H$1:$I$31,2,FALSE)</f>
        <v>0</v>
      </c>
      <c r="G52" s="177">
        <f>IF(B52&lt;PT+1,VLOOKUP(B52,'Pre-Calculation'!$H$1:$L$32,3,FALSE)+VLOOKUP(B52,'Pre-Calculation'!$H$1:$L$32,4,FALSE)*'Pre-Calculation'!$D$7,0)</f>
        <v>420</v>
      </c>
      <c r="H52" s="175">
        <f>(E52-(F52+G52)*(1+Tax)+O51)</f>
        <v>308718.7794</v>
      </c>
      <c r="I52" s="175">
        <f>IF(B52&lt;PT+1,VLOOKUP(D52,'Pre-Calculation'!$N$3:$P$79,IF(INPUT!$C$4="M",2,3),FALSE)*(J52/1000)*(1/12),0)</f>
        <v>89.23288422</v>
      </c>
      <c r="J52" s="175">
        <f>MAX(0,(SA-H52))</f>
        <v>691281.2206</v>
      </c>
      <c r="K52" s="175">
        <f>H52-I52*(1+Tax)</f>
        <v>308613.4846</v>
      </c>
      <c r="L52" s="187">
        <f>VLOOKUP(C52,'NAVs_Till 29 Jun 2021'!$A$3:$J$2236,MATCH('Pre-Calculation'!$C$34,'NAVs_Till 29 Jun 2021'!$A$1:$J$1,0))</f>
        <v>10.9991</v>
      </c>
      <c r="M52" s="187">
        <f>IFERROR(1,VLOOKUP(C52,'NAVs_Till 29 Jun 2021'!$A$3:$J$2236,MATCH(#REF!,'NAVs_Till 29 Jun 2021'!$A$1:$J$1,0)))</f>
        <v>1</v>
      </c>
      <c r="N52" s="175">
        <f>VLOOKUP('Pre-Calculation'!$C$34,INPUT!$B$20:$C$28,2,0)*K52*(L53/L52)+ IFERROR(0,VLOOKUP('Pre-Calculation'!$D$34,INPUT!$B$20:$C$28,2,0))*K52*(M53/M52)</f>
        <v>362277.3436</v>
      </c>
      <c r="O52" s="175">
        <f t="shared" si="3"/>
        <v>362277.3436</v>
      </c>
      <c r="P52" s="175">
        <f t="shared" si="4"/>
        <v>362277.3436</v>
      </c>
      <c r="Q52" s="175">
        <f>IF('Pre-Calculation'!$D$17="Type 4 a",MAX(SA,O52,1.05*R52),IF('Pre-Calculation'!$D$17="Type 4 c",O52,IF('Pre-Calculation'!$D$17="Type 4 d",SA+O52,IF('Pre-Calculation'!$D$17="Type 4 e",MAX(SA,O52),IF('Pre-Calculation'!$D$17="Type 4 f",SA,IF('Pre-Calculation'!$D$17="Type 4 g",1000+O52,IF('Pre-Calculation'!$D$17="Type 4 h",SA+S52,IF('Pre-Calculation'!$D$17="Type 4 i",MAX(O52,R52),IF('Pre-Calculation'!$D$17="Type 4 k",MAX(O52,1.01*R52),IF('Pre-Calculation'!$D$17="Type 4 m",MAX(105%*R52,SA+O52),IF('Pre-Calculation'!$D$17="Type 4 o",MAX(SA,105%*R52)+X52+Z52,IF('Pre-Calculation'!$D$17="Type 5",0))))))))))))</f>
        <v>1000000</v>
      </c>
      <c r="R52" s="175">
        <f t="shared" si="5"/>
        <v>400000</v>
      </c>
      <c r="S52" s="119">
        <f>K52*(1+GROWTH_RATE)*FMC</f>
        <v>349.2339798</v>
      </c>
      <c r="T52" s="178">
        <f>T51*(1+'Pre-Calculation'!$E$27)</f>
        <v>741625.5741</v>
      </c>
      <c r="U52" s="175">
        <f>-E52+IF(A51=INPUT!$C$11*12,O52,0)</f>
        <v>0</v>
      </c>
      <c r="V52" s="171"/>
      <c r="W52" s="112"/>
      <c r="X52" s="179">
        <f t="array" ref="X52">NPV('Pre-Calculation'!$E$20,$E53:E$246)</f>
        <v>501465.4821</v>
      </c>
      <c r="Y52" s="171">
        <f>10%*SA</f>
        <v>100000</v>
      </c>
      <c r="Z52" s="179">
        <f t="array" ref="Z52">NPV('Pre-Calculation'!$E$20,Y53:Y62)</f>
        <v>969592.8037</v>
      </c>
    </row>
    <row r="53" ht="15.75" customHeight="1">
      <c r="A53" s="171">
        <f t="shared" si="1"/>
        <v>47</v>
      </c>
      <c r="B53" s="171">
        <f t="shared" si="2"/>
        <v>4</v>
      </c>
      <c r="C53" s="176">
        <f>EDATE(RCD,A52)</f>
        <v>43951</v>
      </c>
      <c r="D53" s="171">
        <f>Age_At_Entry+Cashflows_Backtesting!B53-1</f>
        <v>38</v>
      </c>
      <c r="E53" s="175">
        <f>IF(AND(C53&lt;=Last_Prem,MOD(A52,Mode)=0),Mod_Prem,0)</f>
        <v>0</v>
      </c>
      <c r="F53" s="177">
        <f>E53*VLOOKUP(B53,'Pre-Calculation'!$H$1:$I$31,2,FALSE)</f>
        <v>0</v>
      </c>
      <c r="G53" s="177">
        <f>IF(B53&lt;PT+1,VLOOKUP(B53,'Pre-Calculation'!$H$1:$L$32,3,FALSE)+VLOOKUP(B53,'Pre-Calculation'!$H$1:$L$32,4,FALSE)*'Pre-Calculation'!$D$7,0)</f>
        <v>420</v>
      </c>
      <c r="H53" s="175">
        <f>(E53-(F53+G53)*(1+Tax)+O52)</f>
        <v>361781.7436</v>
      </c>
      <c r="I53" s="175">
        <f>IF(B53&lt;PT+1,VLOOKUP(D53,'Pre-Calculation'!$N$3:$P$79,IF(INPUT!$C$4="M",2,3),FALSE)*(J53/1000)*(1/12),0)</f>
        <v>82.38333993</v>
      </c>
      <c r="J53" s="175">
        <f>MAX(0,(SA-H53))</f>
        <v>638218.2564</v>
      </c>
      <c r="K53" s="175">
        <f>H53-I53*(1+Tax)</f>
        <v>361684.5312</v>
      </c>
      <c r="L53" s="187">
        <f>VLOOKUP(C53,'NAVs_Till 29 Jun 2021'!$A$3:$J$2236,MATCH('Pre-Calculation'!$C$34,'NAVs_Till 29 Jun 2021'!$A$1:$J$1,0))</f>
        <v>12.9117</v>
      </c>
      <c r="M53" s="187">
        <f>IFERROR(1,VLOOKUP(C53,'NAVs_Till 29 Jun 2021'!$A$3:$J$2236,MATCH(#REF!,'NAVs_Till 29 Jun 2021'!$A$1:$J$1,0)))</f>
        <v>1</v>
      </c>
      <c r="N53" s="175">
        <f>VLOOKUP('Pre-Calculation'!$C$34,INPUT!$B$20:$C$28,2,0)*K53*(L54/L53)+ IFERROR(0,VLOOKUP('Pre-Calculation'!$D$34,INPUT!$B$20:$C$28,2,0))*K53*(M54/M53)</f>
        <v>353911.1584</v>
      </c>
      <c r="O53" s="175">
        <f t="shared" si="3"/>
        <v>353911.1584</v>
      </c>
      <c r="P53" s="175">
        <f t="shared" si="4"/>
        <v>353911.1584</v>
      </c>
      <c r="Q53" s="175">
        <f>IF('Pre-Calculation'!$D$17="Type 4 a",MAX(SA,O53,1.05*R53),IF('Pre-Calculation'!$D$17="Type 4 c",O53,IF('Pre-Calculation'!$D$17="Type 4 d",SA+O53,IF('Pre-Calculation'!$D$17="Type 4 e",MAX(SA,O53),IF('Pre-Calculation'!$D$17="Type 4 f",SA,IF('Pre-Calculation'!$D$17="Type 4 g",1000+O53,IF('Pre-Calculation'!$D$17="Type 4 h",SA+S53,IF('Pre-Calculation'!$D$17="Type 4 i",MAX(O53,R53),IF('Pre-Calculation'!$D$17="Type 4 k",MAX(O53,1.01*R53),IF('Pre-Calculation'!$D$17="Type 4 m",MAX(105%*R53,SA+O53),IF('Pre-Calculation'!$D$17="Type 4 o",MAX(SA,105%*R53)+X53+Z53,IF('Pre-Calculation'!$D$17="Type 5",0))))))))))))</f>
        <v>1000000</v>
      </c>
      <c r="R53" s="175">
        <f t="shared" si="5"/>
        <v>400000</v>
      </c>
      <c r="S53" s="119">
        <f>K53*(1+GROWTH_RATE)*FMC</f>
        <v>409.2903731</v>
      </c>
      <c r="T53" s="178">
        <f>T52*(1+'Pre-Calculation'!$E$27)</f>
        <v>743754.706</v>
      </c>
      <c r="U53" s="175">
        <f>-E53+IF(A52=INPUT!$C$11*12,O53,0)</f>
        <v>0</v>
      </c>
      <c r="V53" s="171"/>
      <c r="W53" s="112"/>
      <c r="X53" s="179">
        <f t="array" ref="X53">NPV('Pre-Calculation'!$E$20,$E54:E$246)</f>
        <v>504300.8409</v>
      </c>
      <c r="Y53" s="171">
        <f>10%*SA</f>
        <v>100000</v>
      </c>
      <c r="Z53" s="179">
        <f t="array" ref="Z53">NPV('Pre-Calculation'!$E$20,Y54:Y63)</f>
        <v>969592.8037</v>
      </c>
    </row>
    <row r="54" ht="15.75" customHeight="1">
      <c r="A54" s="171">
        <f t="shared" si="1"/>
        <v>48</v>
      </c>
      <c r="B54" s="171">
        <f t="shared" si="2"/>
        <v>4</v>
      </c>
      <c r="C54" s="176">
        <f>EDATE(RCD,A53)</f>
        <v>43981</v>
      </c>
      <c r="D54" s="171">
        <f>Age_At_Entry+Cashflows_Backtesting!B54-1</f>
        <v>38</v>
      </c>
      <c r="E54" s="175">
        <f>IF(AND(C54&lt;=Last_Prem,MOD(A53,Mode)=0),Mod_Prem,0)</f>
        <v>0</v>
      </c>
      <c r="F54" s="177">
        <f>E54*VLOOKUP(B54,'Pre-Calculation'!$H$1:$I$31,2,FALSE)</f>
        <v>0</v>
      </c>
      <c r="G54" s="177">
        <f>IF(B54&lt;PT+1,VLOOKUP(B54,'Pre-Calculation'!$H$1:$L$32,3,FALSE)+VLOOKUP(B54,'Pre-Calculation'!$H$1:$L$32,4,FALSE)*'Pre-Calculation'!$D$7,0)</f>
        <v>420</v>
      </c>
      <c r="H54" s="175">
        <f>(E54-(F54+G54)*(1+Tax)+O53)</f>
        <v>353415.5584</v>
      </c>
      <c r="I54" s="175">
        <f>IF(B54&lt;PT+1,VLOOKUP(D54,'Pre-Calculation'!$N$3:$P$79,IF(INPUT!$C$4="M",2,3),FALSE)*(J54/1000)*(1/12),0)</f>
        <v>83.463275</v>
      </c>
      <c r="J54" s="175">
        <f>MAX(0,(SA-H54))</f>
        <v>646584.4416</v>
      </c>
      <c r="K54" s="175">
        <f>H54-I54*(1+Tax)</f>
        <v>353317.0718</v>
      </c>
      <c r="L54" s="187">
        <f>VLOOKUP(C54,'NAVs_Till 29 Jun 2021'!$A$3:$J$2236,MATCH('Pre-Calculation'!$C$34,'NAVs_Till 29 Jun 2021'!$A$1:$J$1,0))</f>
        <v>12.6342</v>
      </c>
      <c r="M54" s="187">
        <f>IFERROR(1,VLOOKUP(C54,'NAVs_Till 29 Jun 2021'!$A$3:$J$2236,MATCH(#REF!,'NAVs_Till 29 Jun 2021'!$A$1:$J$1,0)))</f>
        <v>1</v>
      </c>
      <c r="N54" s="175">
        <f>VLOOKUP('Pre-Calculation'!$C$34,INPUT!$B$20:$C$28,2,0)*K54*(L55/L54)+ IFERROR(0,VLOOKUP('Pre-Calculation'!$D$34,INPUT!$B$20:$C$28,2,0))*K54*(M55/M54)</f>
        <v>379391.7609</v>
      </c>
      <c r="O54" s="175">
        <f t="shared" si="3"/>
        <v>379391.7609</v>
      </c>
      <c r="P54" s="175">
        <f t="shared" si="4"/>
        <v>379391.7609</v>
      </c>
      <c r="Q54" s="175">
        <f>IF('Pre-Calculation'!$D$17="Type 4 a",MAX(SA,O54,1.05*R54),IF('Pre-Calculation'!$D$17="Type 4 c",O54,IF('Pre-Calculation'!$D$17="Type 4 d",SA+O54,IF('Pre-Calculation'!$D$17="Type 4 e",MAX(SA,O54),IF('Pre-Calculation'!$D$17="Type 4 f",SA,IF('Pre-Calculation'!$D$17="Type 4 g",1000+O54,IF('Pre-Calculation'!$D$17="Type 4 h",SA+S54,IF('Pre-Calculation'!$D$17="Type 4 i",MAX(O54,R54),IF('Pre-Calculation'!$D$17="Type 4 k",MAX(O54,1.01*R54),IF('Pre-Calculation'!$D$17="Type 4 m",MAX(105%*R54,SA+O54),IF('Pre-Calculation'!$D$17="Type 4 o",MAX(SA,105%*R54)+X54+Z54,IF('Pre-Calculation'!$D$17="Type 5",0))))))))))))</f>
        <v>1000000</v>
      </c>
      <c r="R54" s="175">
        <f t="shared" si="5"/>
        <v>400000</v>
      </c>
      <c r="S54" s="119">
        <f>K54*(1+GROWTH_RATE)*FMC</f>
        <v>399.8215672</v>
      </c>
      <c r="T54" s="178">
        <f>T53*(1+'Pre-Calculation'!$E$27)</f>
        <v>745889.9504</v>
      </c>
      <c r="U54" s="175">
        <f>-E54+IF(A53=INPUT!$C$11*12,O54,0)</f>
        <v>0</v>
      </c>
      <c r="V54" s="171"/>
      <c r="W54" s="112"/>
      <c r="X54" s="179">
        <f t="array" ref="X54">NPV('Pre-Calculation'!$E$20,$E55:E$246)</f>
        <v>507152.2311</v>
      </c>
      <c r="Y54" s="171">
        <f>10%*SA</f>
        <v>100000</v>
      </c>
      <c r="Z54" s="179">
        <f t="array" ref="Z54">NPV('Pre-Calculation'!$E$20,Y55:Y64)</f>
        <v>969592.8037</v>
      </c>
    </row>
    <row r="55" ht="15.75" customHeight="1">
      <c r="A55" s="171">
        <f t="shared" si="1"/>
        <v>49</v>
      </c>
      <c r="B55" s="171">
        <f t="shared" si="2"/>
        <v>5</v>
      </c>
      <c r="C55" s="176">
        <f>EDATE(RCD,A54)</f>
        <v>44012</v>
      </c>
      <c r="D55" s="171">
        <f>Age_At_Entry+Cashflows_Backtesting!B55-1</f>
        <v>39</v>
      </c>
      <c r="E55" s="175">
        <f>IF(AND(C55&lt;=Last_Prem,MOD(A54,Mode)=0),Mod_Prem,0)</f>
        <v>100000</v>
      </c>
      <c r="F55" s="177">
        <f>E55*VLOOKUP(B55,'Pre-Calculation'!$H$1:$I$31,2,FALSE)</f>
        <v>0</v>
      </c>
      <c r="G55" s="177">
        <f>IF(B55&lt;PT+1,VLOOKUP(B55,'Pre-Calculation'!$H$1:$L$32,3,FALSE)+VLOOKUP(B55,'Pre-Calculation'!$H$1:$L$32,4,FALSE)*'Pre-Calculation'!$D$7,0)</f>
        <v>420</v>
      </c>
      <c r="H55" s="175">
        <f>(E55-(F55+G55)*(1+Tax)+O54)</f>
        <v>478896.1609</v>
      </c>
      <c r="I55" s="175">
        <f>IF(B55&lt;PT+1,VLOOKUP(D55,'Pre-Calculation'!$N$3:$P$79,IF(INPUT!$C$4="M",2,3),FALSE)*(J55/1000)*(1/12),0)</f>
        <v>72.39000831</v>
      </c>
      <c r="J55" s="175">
        <f>MAX(0,(SA-H55))</f>
        <v>521103.8391</v>
      </c>
      <c r="K55" s="175">
        <f>H55-I55*(1+Tax)</f>
        <v>478810.7407</v>
      </c>
      <c r="L55" s="187">
        <f>VLOOKUP(C55,'NAVs_Till 29 Jun 2021'!$A$3:$J$2236,MATCH('Pre-Calculation'!$C$34,'NAVs_Till 29 Jun 2021'!$A$1:$J$1,0))</f>
        <v>13.5666</v>
      </c>
      <c r="M55" s="187">
        <f>IFERROR(1,VLOOKUP(C55,'NAVs_Till 29 Jun 2021'!$A$3:$J$2236,MATCH(#REF!,'NAVs_Till 29 Jun 2021'!$A$1:$J$1,0)))</f>
        <v>1</v>
      </c>
      <c r="N55" s="175">
        <f>VLOOKUP('Pre-Calculation'!$C$34,INPUT!$B$20:$C$28,2,0)*K55*(L56/L55)+ IFERROR(0,VLOOKUP('Pre-Calculation'!$D$34,INPUT!$B$20:$C$28,2,0))*K55*(M56/M55)</f>
        <v>512046.4869</v>
      </c>
      <c r="O55" s="175">
        <f t="shared" si="3"/>
        <v>512046.4869</v>
      </c>
      <c r="P55" s="175">
        <f t="shared" si="4"/>
        <v>512046.4869</v>
      </c>
      <c r="Q55" s="175">
        <f>IF('Pre-Calculation'!$D$17="Type 4 a",MAX(SA,O55,1.05*R55),IF('Pre-Calculation'!$D$17="Type 4 c",O55,IF('Pre-Calculation'!$D$17="Type 4 d",SA+O55,IF('Pre-Calculation'!$D$17="Type 4 e",MAX(SA,O55),IF('Pre-Calculation'!$D$17="Type 4 f",SA,IF('Pre-Calculation'!$D$17="Type 4 g",1000+O55,IF('Pre-Calculation'!$D$17="Type 4 h",SA+S55,IF('Pre-Calculation'!$D$17="Type 4 i",MAX(O55,R55),IF('Pre-Calculation'!$D$17="Type 4 k",MAX(O55,1.01*R55),IF('Pre-Calculation'!$D$17="Type 4 m",MAX(105%*R55,SA+O55),IF('Pre-Calculation'!$D$17="Type 4 o",MAX(SA,105%*R55)+X55+Z55,IF('Pre-Calculation'!$D$17="Type 5",0))))))))))))</f>
        <v>1000000</v>
      </c>
      <c r="R55" s="175">
        <f t="shared" si="5"/>
        <v>500000</v>
      </c>
      <c r="S55" s="119">
        <f>K55*(1+GROWTH_RATE)*FMC</f>
        <v>541.8330334</v>
      </c>
      <c r="T55" s="178">
        <f>T54*(1+'Pre-Calculation'!$E$27)</f>
        <v>748031.3249</v>
      </c>
      <c r="U55" s="175">
        <f>-E55+IF(A54=INPUT!$C$11*12,O55,0)</f>
        <v>-100000</v>
      </c>
      <c r="V55" s="171"/>
      <c r="W55" s="112"/>
      <c r="X55" s="179">
        <f t="array" ref="X55">NPV('Pre-Calculation'!$E$20,$E56:E$246)</f>
        <v>410019.7436</v>
      </c>
      <c r="Y55" s="171">
        <f>10%*SA</f>
        <v>100000</v>
      </c>
      <c r="Z55" s="179">
        <f t="array" ref="Z55">NPV('Pre-Calculation'!$E$20,Y56:Y65)</f>
        <v>969592.8037</v>
      </c>
    </row>
    <row r="56" ht="15.75" customHeight="1">
      <c r="A56" s="171">
        <f t="shared" si="1"/>
        <v>50</v>
      </c>
      <c r="B56" s="171">
        <f t="shared" si="2"/>
        <v>5</v>
      </c>
      <c r="C56" s="176">
        <f>EDATE(RCD,A55)</f>
        <v>44042</v>
      </c>
      <c r="D56" s="171">
        <f>Age_At_Entry+Cashflows_Backtesting!B56-1</f>
        <v>39</v>
      </c>
      <c r="E56" s="175">
        <f>IF(AND(C56&lt;=Last_Prem,MOD(A55,Mode)=0),Mod_Prem,0)</f>
        <v>0</v>
      </c>
      <c r="F56" s="177">
        <f>E56*VLOOKUP(B56,'Pre-Calculation'!$H$1:$I$31,2,FALSE)</f>
        <v>0</v>
      </c>
      <c r="G56" s="177">
        <f>IF(B56&lt;PT+1,VLOOKUP(B56,'Pre-Calculation'!$H$1:$L$32,3,FALSE)+VLOOKUP(B56,'Pre-Calculation'!$H$1:$L$32,4,FALSE)*'Pre-Calculation'!$D$7,0)</f>
        <v>420</v>
      </c>
      <c r="H56" s="175">
        <f>(E56-(F56+G56)*(1+Tax)+O55)</f>
        <v>511550.8869</v>
      </c>
      <c r="I56" s="175">
        <f>IF(B56&lt;PT+1,VLOOKUP(D56,'Pre-Calculation'!$N$3:$P$79,IF(INPUT!$C$4="M",2,3),FALSE)*(J56/1000)*(1/12),0)</f>
        <v>67.85372262</v>
      </c>
      <c r="J56" s="175">
        <f>MAX(0,(SA-H56))</f>
        <v>488449.1131</v>
      </c>
      <c r="K56" s="175">
        <f>H56-I56*(1+Tax)</f>
        <v>511470.8195</v>
      </c>
      <c r="L56" s="187">
        <f>VLOOKUP(C56,'NAVs_Till 29 Jun 2021'!$A$3:$J$2236,MATCH('Pre-Calculation'!$C$34,'NAVs_Till 29 Jun 2021'!$A$1:$J$1,0))</f>
        <v>14.5083</v>
      </c>
      <c r="M56" s="187">
        <f>IFERROR(1,VLOOKUP(C56,'NAVs_Till 29 Jun 2021'!$A$3:$J$2236,MATCH(#REF!,'NAVs_Till 29 Jun 2021'!$A$1:$J$1,0)))</f>
        <v>1</v>
      </c>
      <c r="N56" s="175">
        <f>VLOOKUP('Pre-Calculation'!$C$34,INPUT!$B$20:$C$28,2,0)*K56*(L57/L56)+ IFERROR(0,VLOOKUP('Pre-Calculation'!$D$34,INPUT!$B$20:$C$28,2,0))*K56*(M57/M56)</f>
        <v>537949.851</v>
      </c>
      <c r="O56" s="175">
        <f t="shared" si="3"/>
        <v>537949.851</v>
      </c>
      <c r="P56" s="175">
        <f t="shared" si="4"/>
        <v>537949.851</v>
      </c>
      <c r="Q56" s="175">
        <f>IF('Pre-Calculation'!$D$17="Type 4 a",MAX(SA,O56,1.05*R56),IF('Pre-Calculation'!$D$17="Type 4 c",O56,IF('Pre-Calculation'!$D$17="Type 4 d",SA+O56,IF('Pre-Calculation'!$D$17="Type 4 e",MAX(SA,O56),IF('Pre-Calculation'!$D$17="Type 4 f",SA,IF('Pre-Calculation'!$D$17="Type 4 g",1000+O56,IF('Pre-Calculation'!$D$17="Type 4 h",SA+S56,IF('Pre-Calculation'!$D$17="Type 4 i",MAX(O56,R56),IF('Pre-Calculation'!$D$17="Type 4 k",MAX(O56,1.01*R56),IF('Pre-Calculation'!$D$17="Type 4 m",MAX(105%*R56,SA+O56),IF('Pre-Calculation'!$D$17="Type 4 o",MAX(SA,105%*R56)+X56+Z56,IF('Pre-Calculation'!$D$17="Type 5",0))))))))))))</f>
        <v>1000000</v>
      </c>
      <c r="R56" s="175">
        <f t="shared" si="5"/>
        <v>500000</v>
      </c>
      <c r="S56" s="119">
        <f>K56*(1+GROWTH_RATE)*FMC</f>
        <v>578.7919152</v>
      </c>
      <c r="T56" s="178">
        <f>T55*(1+'Pre-Calculation'!$E$27)</f>
        <v>750178.8471</v>
      </c>
      <c r="U56" s="175">
        <f>-E56+IF(A55=INPUT!$C$11*12,O56,0)</f>
        <v>0</v>
      </c>
      <c r="V56" s="171"/>
      <c r="W56" s="112"/>
      <c r="X56" s="179">
        <f t="array" ref="X56">NPV('Pre-Calculation'!$E$20,$E57:E$246)</f>
        <v>412338.0548</v>
      </c>
      <c r="Y56" s="171">
        <f>10%*SA</f>
        <v>100000</v>
      </c>
      <c r="Z56" s="179">
        <f t="array" ref="Z56">NPV('Pre-Calculation'!$E$20,Y57:Y66)</f>
        <v>969592.8037</v>
      </c>
    </row>
    <row r="57" ht="15.75" customHeight="1">
      <c r="A57" s="171">
        <f t="shared" si="1"/>
        <v>51</v>
      </c>
      <c r="B57" s="171">
        <f t="shared" si="2"/>
        <v>5</v>
      </c>
      <c r="C57" s="176">
        <f>EDATE(RCD,A56)</f>
        <v>44073</v>
      </c>
      <c r="D57" s="171">
        <f>Age_At_Entry+Cashflows_Backtesting!B57-1</f>
        <v>39</v>
      </c>
      <c r="E57" s="175">
        <f>IF(AND(C57&lt;=Last_Prem,MOD(A56,Mode)=0),Mod_Prem,0)</f>
        <v>0</v>
      </c>
      <c r="F57" s="177">
        <f>E57*VLOOKUP(B57,'Pre-Calculation'!$H$1:$I$31,2,FALSE)</f>
        <v>0</v>
      </c>
      <c r="G57" s="177">
        <f>IF(B57&lt;PT+1,VLOOKUP(B57,'Pre-Calculation'!$H$1:$L$32,3,FALSE)+VLOOKUP(B57,'Pre-Calculation'!$H$1:$L$32,4,FALSE)*'Pre-Calculation'!$D$7,0)</f>
        <v>420</v>
      </c>
      <c r="H57" s="175">
        <f>(E57-(F57+G57)*(1+Tax)+O56)</f>
        <v>537454.251</v>
      </c>
      <c r="I57" s="175">
        <f>IF(B57&lt;PT+1,VLOOKUP(D57,'Pre-Calculation'!$N$3:$P$79,IF(INPUT!$C$4="M",2,3),FALSE)*(J57/1000)*(1/12),0)</f>
        <v>64.25531363</v>
      </c>
      <c r="J57" s="175">
        <f>MAX(0,(SA-H57))</f>
        <v>462545.749</v>
      </c>
      <c r="K57" s="175">
        <f>H57-I57*(1+Tax)</f>
        <v>537378.4298</v>
      </c>
      <c r="L57" s="187">
        <f>VLOOKUP(C57,'NAVs_Till 29 Jun 2021'!$A$3:$J$2236,MATCH('Pre-Calculation'!$C$34,'NAVs_Till 29 Jun 2021'!$A$1:$J$1,0))</f>
        <v>15.2594</v>
      </c>
      <c r="M57" s="187">
        <f>IFERROR(1,VLOOKUP(C57,'NAVs_Till 29 Jun 2021'!$A$3:$J$2236,MATCH(#REF!,'NAVs_Till 29 Jun 2021'!$A$1:$J$1,0)))</f>
        <v>1</v>
      </c>
      <c r="N57" s="175">
        <f>VLOOKUP('Pre-Calculation'!$C$34,INPUT!$B$20:$C$28,2,0)*K57*(L58/L57)+ IFERROR(0,VLOOKUP('Pre-Calculation'!$D$34,INPUT!$B$20:$C$28,2,0))*K57*(M58/M57)</f>
        <v>518298.2803</v>
      </c>
      <c r="O57" s="175">
        <f t="shared" si="3"/>
        <v>518298.2803</v>
      </c>
      <c r="P57" s="175">
        <f t="shared" si="4"/>
        <v>518298.2803</v>
      </c>
      <c r="Q57" s="175">
        <f>IF('Pre-Calculation'!$D$17="Type 4 a",MAX(SA,O57,1.05*R57),IF('Pre-Calculation'!$D$17="Type 4 c",O57,IF('Pre-Calculation'!$D$17="Type 4 d",SA+O57,IF('Pre-Calculation'!$D$17="Type 4 e",MAX(SA,O57),IF('Pre-Calculation'!$D$17="Type 4 f",SA,IF('Pre-Calculation'!$D$17="Type 4 g",1000+O57,IF('Pre-Calculation'!$D$17="Type 4 h",SA+S57,IF('Pre-Calculation'!$D$17="Type 4 i",MAX(O57,R57),IF('Pre-Calculation'!$D$17="Type 4 k",MAX(O57,1.01*R57),IF('Pre-Calculation'!$D$17="Type 4 m",MAX(105%*R57,SA+O57),IF('Pre-Calculation'!$D$17="Type 4 o",MAX(SA,105%*R57)+X57+Z57,IF('Pre-Calculation'!$D$17="Type 5",0))))))))))))</f>
        <v>1000000</v>
      </c>
      <c r="R57" s="175">
        <f t="shared" si="5"/>
        <v>500000</v>
      </c>
      <c r="S57" s="119">
        <f>K57*(1+GROWTH_RATE)*FMC</f>
        <v>608.1095513</v>
      </c>
      <c r="T57" s="178">
        <f>T56*(1+'Pre-Calculation'!$E$27)</f>
        <v>752332.5346</v>
      </c>
      <c r="U57" s="175">
        <f>-E57+IF(A56=INPUT!$C$11*12,O57,0)</f>
        <v>0</v>
      </c>
      <c r="V57" s="171"/>
      <c r="W57" s="112"/>
      <c r="X57" s="179">
        <f t="array" ref="X57">NPV('Pre-Calculation'!$E$20,$E58:E$246)</f>
        <v>414669.4741</v>
      </c>
      <c r="Y57" s="171">
        <f>10%*SA</f>
        <v>100000</v>
      </c>
      <c r="Z57" s="179">
        <f t="array" ref="Z57">NPV('Pre-Calculation'!$E$20,Y58:Y67)</f>
        <v>969592.8037</v>
      </c>
    </row>
    <row r="58" ht="15.75" customHeight="1">
      <c r="A58" s="171">
        <f t="shared" si="1"/>
        <v>52</v>
      </c>
      <c r="B58" s="171">
        <f t="shared" si="2"/>
        <v>5</v>
      </c>
      <c r="C58" s="176">
        <f>EDATE(RCD,A57)</f>
        <v>44104</v>
      </c>
      <c r="D58" s="171">
        <f>Age_At_Entry+Cashflows_Backtesting!B58-1</f>
        <v>39</v>
      </c>
      <c r="E58" s="175">
        <f>IF(AND(C58&lt;=Last_Prem,MOD(A57,Mode)=0),Mod_Prem,0)</f>
        <v>0</v>
      </c>
      <c r="F58" s="177">
        <f>E58*VLOOKUP(B58,'Pre-Calculation'!$H$1:$I$31,2,FALSE)</f>
        <v>0</v>
      </c>
      <c r="G58" s="177">
        <f>IF(B58&lt;PT+1,VLOOKUP(B58,'Pre-Calculation'!$H$1:$L$32,3,FALSE)+VLOOKUP(B58,'Pre-Calculation'!$H$1:$L$32,4,FALSE)*'Pre-Calculation'!$D$7,0)</f>
        <v>420</v>
      </c>
      <c r="H58" s="175">
        <f>(E58-(F58+G58)*(1+Tax)+O57)</f>
        <v>517802.6803</v>
      </c>
      <c r="I58" s="175">
        <f>IF(B58&lt;PT+1,VLOOKUP(D58,'Pre-Calculation'!$N$3:$P$79,IF(INPUT!$C$4="M",2,3),FALSE)*(J58/1000)*(1/12),0)</f>
        <v>66.98524433</v>
      </c>
      <c r="J58" s="175">
        <f>MAX(0,(SA-H58))</f>
        <v>482197.3197</v>
      </c>
      <c r="K58" s="175">
        <f>H58-I58*(1+Tax)</f>
        <v>517723.6377</v>
      </c>
      <c r="L58" s="187">
        <f>VLOOKUP(C58,'NAVs_Till 29 Jun 2021'!$A$3:$J$2236,MATCH('Pre-Calculation'!$C$34,'NAVs_Till 29 Jun 2021'!$A$1:$J$1,0))</f>
        <v>14.7176</v>
      </c>
      <c r="M58" s="187">
        <f>IFERROR(1,VLOOKUP(C58,'NAVs_Till 29 Jun 2021'!$A$3:$J$2236,MATCH(#REF!,'NAVs_Till 29 Jun 2021'!$A$1:$J$1,0)))</f>
        <v>1</v>
      </c>
      <c r="N58" s="175">
        <f>VLOOKUP('Pre-Calculation'!$C$34,INPUT!$B$20:$C$28,2,0)*K58*(L59/L58)+ IFERROR(0,VLOOKUP('Pre-Calculation'!$D$34,INPUT!$B$20:$C$28,2,0))*K58*(M59/M58)</f>
        <v>537461.5523</v>
      </c>
      <c r="O58" s="175">
        <f t="shared" si="3"/>
        <v>537461.5523</v>
      </c>
      <c r="P58" s="175">
        <f t="shared" si="4"/>
        <v>537461.5523</v>
      </c>
      <c r="Q58" s="175">
        <f>IF('Pre-Calculation'!$D$17="Type 4 a",MAX(SA,O58,1.05*R58),IF('Pre-Calculation'!$D$17="Type 4 c",O58,IF('Pre-Calculation'!$D$17="Type 4 d",SA+O58,IF('Pre-Calculation'!$D$17="Type 4 e",MAX(SA,O58),IF('Pre-Calculation'!$D$17="Type 4 f",SA,IF('Pre-Calculation'!$D$17="Type 4 g",1000+O58,IF('Pre-Calculation'!$D$17="Type 4 h",SA+S58,IF('Pre-Calculation'!$D$17="Type 4 i",MAX(O58,R58),IF('Pre-Calculation'!$D$17="Type 4 k",MAX(O58,1.01*R58),IF('Pre-Calculation'!$D$17="Type 4 m",MAX(105%*R58,SA+O58),IF('Pre-Calculation'!$D$17="Type 4 o",MAX(SA,105%*R58)+X58+Z58,IF('Pre-Calculation'!$D$17="Type 5",0))))))))))))</f>
        <v>1000000</v>
      </c>
      <c r="R58" s="175">
        <f t="shared" si="5"/>
        <v>500000</v>
      </c>
      <c r="S58" s="119">
        <f>K58*(1+GROWTH_RATE)*FMC</f>
        <v>585.8677452</v>
      </c>
      <c r="T58" s="178">
        <f>T57*(1+'Pre-Calculation'!$E$27)</f>
        <v>754492.4051</v>
      </c>
      <c r="U58" s="175">
        <f>-E58+IF(A57=INPUT!$C$11*12,O58,0)</f>
        <v>0</v>
      </c>
      <c r="V58" s="171"/>
      <c r="W58" s="112"/>
      <c r="X58" s="179">
        <f t="array" ref="X58">NPV('Pre-Calculation'!$E$20,$E59:E$246)</f>
        <v>417014.0756</v>
      </c>
      <c r="Y58" s="171">
        <f>10%*SA</f>
        <v>100000</v>
      </c>
      <c r="Z58" s="179">
        <f t="array" ref="Z58">NPV('Pre-Calculation'!$E$20,Y59:Y68)</f>
        <v>969592.8037</v>
      </c>
    </row>
    <row r="59" ht="15.75" customHeight="1">
      <c r="A59" s="171">
        <f t="shared" si="1"/>
        <v>53</v>
      </c>
      <c r="B59" s="171">
        <f t="shared" si="2"/>
        <v>5</v>
      </c>
      <c r="C59" s="176">
        <f>EDATE(RCD,A58)</f>
        <v>44134</v>
      </c>
      <c r="D59" s="171">
        <f>Age_At_Entry+Cashflows_Backtesting!B59-1</f>
        <v>39</v>
      </c>
      <c r="E59" s="175">
        <f>IF(AND(C59&lt;=Last_Prem,MOD(A58,Mode)=0),Mod_Prem,0)</f>
        <v>0</v>
      </c>
      <c r="F59" s="177">
        <f>E59*VLOOKUP(B59,'Pre-Calculation'!$H$1:$I$31,2,FALSE)</f>
        <v>0</v>
      </c>
      <c r="G59" s="177">
        <f>IF(B59&lt;PT+1,VLOOKUP(B59,'Pre-Calculation'!$H$1:$L$32,3,FALSE)+VLOOKUP(B59,'Pre-Calculation'!$H$1:$L$32,4,FALSE)*'Pre-Calculation'!$D$7,0)</f>
        <v>420</v>
      </c>
      <c r="H59" s="175">
        <f>(E59-(F59+G59)*(1+Tax)+O58)</f>
        <v>536965.9523</v>
      </c>
      <c r="I59" s="175">
        <f>IF(B59&lt;PT+1,VLOOKUP(D59,'Pre-Calculation'!$N$3:$P$79,IF(INPUT!$C$4="M",2,3),FALSE)*(J59/1000)*(1/12),0)</f>
        <v>64.32314645</v>
      </c>
      <c r="J59" s="175">
        <f>MAX(0,(SA-H59))</f>
        <v>463034.0477</v>
      </c>
      <c r="K59" s="175">
        <f>H59-I59*(1+Tax)</f>
        <v>536890.051</v>
      </c>
      <c r="L59" s="187">
        <f>VLOOKUP(C59,'NAVs_Till 29 Jun 2021'!$A$3:$J$2236,MATCH('Pre-Calculation'!$C$34,'NAVs_Till 29 Jun 2021'!$A$1:$J$1,0))</f>
        <v>15.2787</v>
      </c>
      <c r="M59" s="187">
        <f>IFERROR(1,VLOOKUP(C59,'NAVs_Till 29 Jun 2021'!$A$3:$J$2236,MATCH(#REF!,'NAVs_Till 29 Jun 2021'!$A$1:$J$1,0)))</f>
        <v>1</v>
      </c>
      <c r="N59" s="175">
        <f>VLOOKUP('Pre-Calculation'!$C$34,INPUT!$B$20:$C$28,2,0)*K59*(L60/L59)+ IFERROR(0,VLOOKUP('Pre-Calculation'!$D$34,INPUT!$B$20:$C$28,2,0))*K59*(M60/M59)</f>
        <v>600675.7671</v>
      </c>
      <c r="O59" s="175">
        <f t="shared" si="3"/>
        <v>600675.7671</v>
      </c>
      <c r="P59" s="175">
        <f t="shared" si="4"/>
        <v>600675.7671</v>
      </c>
      <c r="Q59" s="175">
        <f>IF('Pre-Calculation'!$D$17="Type 4 a",MAX(SA,O59,1.05*R59),IF('Pre-Calculation'!$D$17="Type 4 c",O59,IF('Pre-Calculation'!$D$17="Type 4 d",SA+O59,IF('Pre-Calculation'!$D$17="Type 4 e",MAX(SA,O59),IF('Pre-Calculation'!$D$17="Type 4 f",SA,IF('Pre-Calculation'!$D$17="Type 4 g",1000+O59,IF('Pre-Calculation'!$D$17="Type 4 h",SA+S59,IF('Pre-Calculation'!$D$17="Type 4 i",MAX(O59,R59),IF('Pre-Calculation'!$D$17="Type 4 k",MAX(O59,1.01*R59),IF('Pre-Calculation'!$D$17="Type 4 m",MAX(105%*R59,SA+O59),IF('Pre-Calculation'!$D$17="Type 4 o",MAX(SA,105%*R59)+X59+Z59,IF('Pre-Calculation'!$D$17="Type 5",0))))))))))))</f>
        <v>1000000</v>
      </c>
      <c r="R59" s="175">
        <f t="shared" si="5"/>
        <v>500000</v>
      </c>
      <c r="S59" s="119">
        <f>K59*(1+GROWTH_RATE)*FMC</f>
        <v>607.5568909</v>
      </c>
      <c r="T59" s="178">
        <f>T58*(1+'Pre-Calculation'!$E$27)</f>
        <v>756658.4764</v>
      </c>
      <c r="U59" s="175">
        <f>-E59+IF(A58=INPUT!$C$11*12,O59,0)</f>
        <v>0</v>
      </c>
      <c r="V59" s="171"/>
      <c r="W59" s="112"/>
      <c r="X59" s="179">
        <f t="array" ref="X59">NPV('Pre-Calculation'!$E$20,$E60:E$246)</f>
        <v>419371.9339</v>
      </c>
      <c r="Y59" s="171">
        <f>10%*SA</f>
        <v>100000</v>
      </c>
      <c r="Z59" s="179">
        <f t="array" ref="Z59">NPV('Pre-Calculation'!$E$20,Y60:Y69)</f>
        <v>969592.8037</v>
      </c>
    </row>
    <row r="60" ht="15.75" customHeight="1">
      <c r="A60" s="171">
        <f t="shared" si="1"/>
        <v>54</v>
      </c>
      <c r="B60" s="171">
        <f t="shared" si="2"/>
        <v>5</v>
      </c>
      <c r="C60" s="176">
        <f>EDATE(RCD,A59)</f>
        <v>44165</v>
      </c>
      <c r="D60" s="171">
        <f>Age_At_Entry+Cashflows_Backtesting!B60-1</f>
        <v>39</v>
      </c>
      <c r="E60" s="175">
        <f>IF(AND(C60&lt;=Last_Prem,MOD(A59,Mode)=0),Mod_Prem,0)</f>
        <v>0</v>
      </c>
      <c r="F60" s="177">
        <f>E60*VLOOKUP(B60,'Pre-Calculation'!$H$1:$I$31,2,FALSE)</f>
        <v>0</v>
      </c>
      <c r="G60" s="177">
        <f>IF(B60&lt;PT+1,VLOOKUP(B60,'Pre-Calculation'!$H$1:$L$32,3,FALSE)+VLOOKUP(B60,'Pre-Calculation'!$H$1:$L$32,4,FALSE)*'Pre-Calculation'!$D$7,0)</f>
        <v>420</v>
      </c>
      <c r="H60" s="175">
        <f>(E60-(F60+G60)*(1+Tax)+O59)</f>
        <v>600180.1671</v>
      </c>
      <c r="I60" s="175">
        <f>IF(B60&lt;PT+1,VLOOKUP(D60,'Pre-Calculation'!$N$3:$P$79,IF(INPUT!$C$4="M",2,3),FALSE)*(J60/1000)*(1/12),0)</f>
        <v>55.54163845</v>
      </c>
      <c r="J60" s="175">
        <f>MAX(0,(SA-H60))</f>
        <v>399819.8329</v>
      </c>
      <c r="K60" s="175">
        <f>H60-I60*(1+Tax)</f>
        <v>600114.628</v>
      </c>
      <c r="L60" s="187">
        <f>VLOOKUP(C60,'NAVs_Till 29 Jun 2021'!$A$3:$J$2236,MATCH('Pre-Calculation'!$C$34,'NAVs_Till 29 Jun 2021'!$A$1:$J$1,0))</f>
        <v>17.0939</v>
      </c>
      <c r="M60" s="187">
        <f>IFERROR(1,VLOOKUP(C60,'NAVs_Till 29 Jun 2021'!$A$3:$J$2236,MATCH(#REF!,'NAVs_Till 29 Jun 2021'!$A$1:$J$1,0)))</f>
        <v>1</v>
      </c>
      <c r="N60" s="175">
        <f>VLOOKUP('Pre-Calculation'!$C$34,INPUT!$B$20:$C$28,2,0)*K60*(L61/L60)+ IFERROR(0,VLOOKUP('Pre-Calculation'!$D$34,INPUT!$B$20:$C$28,2,0))*K60*(M61/M60)</f>
        <v>645883.5538</v>
      </c>
      <c r="O60" s="175">
        <f t="shared" si="3"/>
        <v>645883.5538</v>
      </c>
      <c r="P60" s="175">
        <f t="shared" si="4"/>
        <v>645883.5538</v>
      </c>
      <c r="Q60" s="175">
        <f>IF('Pre-Calculation'!$D$17="Type 4 a",MAX(SA,O60,1.05*R60),IF('Pre-Calculation'!$D$17="Type 4 c",O60,IF('Pre-Calculation'!$D$17="Type 4 d",SA+O60,IF('Pre-Calculation'!$D$17="Type 4 e",MAX(SA,O60),IF('Pre-Calculation'!$D$17="Type 4 f",SA,IF('Pre-Calculation'!$D$17="Type 4 g",1000+O60,IF('Pre-Calculation'!$D$17="Type 4 h",SA+S60,IF('Pre-Calculation'!$D$17="Type 4 i",MAX(O60,R60),IF('Pre-Calculation'!$D$17="Type 4 k",MAX(O60,1.01*R60),IF('Pre-Calculation'!$D$17="Type 4 m",MAX(105%*R60,SA+O60),IF('Pre-Calculation'!$D$17="Type 4 o",MAX(SA,105%*R60)+X60+Z60,IF('Pre-Calculation'!$D$17="Type 5",0))))))))))))</f>
        <v>1000000</v>
      </c>
      <c r="R60" s="175">
        <f t="shared" si="5"/>
        <v>500000</v>
      </c>
      <c r="S60" s="119">
        <f>K60*(1+GROWTH_RATE)*FMC</f>
        <v>679.1032482</v>
      </c>
      <c r="T60" s="178">
        <f>T59*(1+'Pre-Calculation'!$E$27)</f>
        <v>758830.7662</v>
      </c>
      <c r="U60" s="175">
        <f>-E60+IF(A59=INPUT!$C$11*12,O60,0)</f>
        <v>0</v>
      </c>
      <c r="V60" s="171"/>
      <c r="W60" s="112"/>
      <c r="X60" s="179">
        <f t="array" ref="X60">NPV('Pre-Calculation'!$E$20,$E61:E$246)</f>
        <v>421743.1237</v>
      </c>
      <c r="Y60" s="171">
        <f>10%*SA</f>
        <v>100000</v>
      </c>
      <c r="Z60" s="179">
        <f t="array" ref="Z60">NPV('Pre-Calculation'!$E$20,Y61:Y70)</f>
        <v>969592.8037</v>
      </c>
    </row>
    <row r="61" ht="15.75" customHeight="1">
      <c r="A61" s="171">
        <f t="shared" si="1"/>
        <v>55</v>
      </c>
      <c r="B61" s="171">
        <f t="shared" si="2"/>
        <v>5</v>
      </c>
      <c r="C61" s="176">
        <f>EDATE(RCD,A60)</f>
        <v>44195</v>
      </c>
      <c r="D61" s="171">
        <f>Age_At_Entry+Cashflows_Backtesting!B61-1</f>
        <v>39</v>
      </c>
      <c r="E61" s="175">
        <f>IF(AND(C61&lt;=Last_Prem,MOD(A60,Mode)=0),Mod_Prem,0)</f>
        <v>0</v>
      </c>
      <c r="F61" s="177">
        <f>E61*VLOOKUP(B61,'Pre-Calculation'!$H$1:$I$31,2,FALSE)</f>
        <v>0</v>
      </c>
      <c r="G61" s="177">
        <f>IF(B61&lt;PT+1,VLOOKUP(B61,'Pre-Calculation'!$H$1:$L$32,3,FALSE)+VLOOKUP(B61,'Pre-Calculation'!$H$1:$L$32,4,FALSE)*'Pre-Calculation'!$D$7,0)</f>
        <v>420</v>
      </c>
      <c r="H61" s="175">
        <f>(E61-(F61+G61)*(1+Tax)+O60)</f>
        <v>645387.9538</v>
      </c>
      <c r="I61" s="175">
        <f>IF(B61&lt;PT+1,VLOOKUP(D61,'Pre-Calculation'!$N$3:$P$79,IF(INPUT!$C$4="M",2,3),FALSE)*(J61/1000)*(1/12),0)</f>
        <v>49.26152342</v>
      </c>
      <c r="J61" s="175">
        <f>MAX(0,(SA-H61))</f>
        <v>354612.0462</v>
      </c>
      <c r="K61" s="175">
        <f>H61-I61*(1+Tax)</f>
        <v>645329.8252</v>
      </c>
      <c r="L61" s="187">
        <f>VLOOKUP(C61,'NAVs_Till 29 Jun 2021'!$A$3:$J$2236,MATCH('Pre-Calculation'!$C$34,'NAVs_Till 29 Jun 2021'!$A$1:$J$1,0))</f>
        <v>18.3976</v>
      </c>
      <c r="M61" s="187">
        <f>IFERROR(1,VLOOKUP(C61,'NAVs_Till 29 Jun 2021'!$A$3:$J$2236,MATCH(#REF!,'NAVs_Till 29 Jun 2021'!$A$1:$J$1,0)))</f>
        <v>1</v>
      </c>
      <c r="N61" s="175">
        <f>VLOOKUP('Pre-Calculation'!$C$34,INPUT!$B$20:$C$28,2,0)*K61*(L62/L61)+ IFERROR(0,VLOOKUP('Pre-Calculation'!$D$34,INPUT!$B$20:$C$28,2,0))*K61*(M62/M61)</f>
        <v>628955.9524</v>
      </c>
      <c r="O61" s="175">
        <f t="shared" si="3"/>
        <v>628955.9524</v>
      </c>
      <c r="P61" s="175">
        <f t="shared" si="4"/>
        <v>628955.9524</v>
      </c>
      <c r="Q61" s="175">
        <f>IF('Pre-Calculation'!$D$17="Type 4 a",MAX(SA,O61,1.05*R61),IF('Pre-Calculation'!$D$17="Type 4 c",O61,IF('Pre-Calculation'!$D$17="Type 4 d",SA+O61,IF('Pre-Calculation'!$D$17="Type 4 e",MAX(SA,O61),IF('Pre-Calculation'!$D$17="Type 4 f",SA,IF('Pre-Calculation'!$D$17="Type 4 g",1000+O61,IF('Pre-Calculation'!$D$17="Type 4 h",SA+S61,IF('Pre-Calculation'!$D$17="Type 4 i",MAX(O61,R61),IF('Pre-Calculation'!$D$17="Type 4 k",MAX(O61,1.01*R61),IF('Pre-Calculation'!$D$17="Type 4 m",MAX(105%*R61,SA+O61),IF('Pre-Calculation'!$D$17="Type 4 o",MAX(SA,105%*R61)+X61+Z61,IF('Pre-Calculation'!$D$17="Type 5",0))))))))))))</f>
        <v>1000000</v>
      </c>
      <c r="R61" s="175">
        <f t="shared" si="5"/>
        <v>500000</v>
      </c>
      <c r="S61" s="119">
        <f>K61*(1+GROWTH_RATE)*FMC</f>
        <v>730.2697851</v>
      </c>
      <c r="T61" s="178">
        <f>T60*(1+'Pre-Calculation'!$E$27)</f>
        <v>761009.2925</v>
      </c>
      <c r="U61" s="175">
        <f>-E61+IF(A60=INPUT!$C$11*12,O61,0)</f>
        <v>0</v>
      </c>
      <c r="V61" s="171"/>
      <c r="W61" s="112"/>
      <c r="X61" s="179">
        <f t="array" ref="X61">NPV('Pre-Calculation'!$E$20,$E62:E$246)</f>
        <v>424127.7207</v>
      </c>
      <c r="Y61" s="171">
        <f>10%*SA</f>
        <v>100000</v>
      </c>
      <c r="Z61" s="179">
        <f t="array" ref="Z61">NPV('Pre-Calculation'!$E$20,Y62:Y71)</f>
        <v>969592.8037</v>
      </c>
    </row>
    <row r="62" ht="15.75" customHeight="1">
      <c r="A62" s="171">
        <f t="shared" si="1"/>
        <v>56</v>
      </c>
      <c r="B62" s="171">
        <f t="shared" si="2"/>
        <v>5</v>
      </c>
      <c r="C62" s="176">
        <f>EDATE(RCD,A61)</f>
        <v>44226</v>
      </c>
      <c r="D62" s="171">
        <f>Age_At_Entry+Cashflows_Backtesting!B62-1</f>
        <v>39</v>
      </c>
      <c r="E62" s="175">
        <f>IF(AND(C62&lt;=Last_Prem,MOD(A61,Mode)=0),Mod_Prem,0)</f>
        <v>0</v>
      </c>
      <c r="F62" s="177">
        <f>E62*VLOOKUP(B62,'Pre-Calculation'!$H$1:$I$31,2,FALSE)</f>
        <v>0</v>
      </c>
      <c r="G62" s="177">
        <f>IF(B62&lt;PT+1,VLOOKUP(B62,'Pre-Calculation'!$H$1:$L$32,3,FALSE)+VLOOKUP(B62,'Pre-Calculation'!$H$1:$L$32,4,FALSE)*'Pre-Calculation'!$D$7,0)</f>
        <v>420</v>
      </c>
      <c r="H62" s="175">
        <f>(E62-(F62+G62)*(1+Tax)+O61)</f>
        <v>628460.3524</v>
      </c>
      <c r="I62" s="175">
        <f>IF(B62&lt;PT+1,VLOOKUP(D62,'Pre-Calculation'!$N$3:$P$79,IF(INPUT!$C$4="M",2,3),FALSE)*(J62/1000)*(1/12),0)</f>
        <v>51.61304938</v>
      </c>
      <c r="J62" s="175">
        <f>MAX(0,(SA-H62))</f>
        <v>371539.6476</v>
      </c>
      <c r="K62" s="175">
        <f>H62-I62*(1+Tax)</f>
        <v>628399.449</v>
      </c>
      <c r="L62" s="187">
        <f>VLOOKUP(C62,'NAVs_Till 29 Jun 2021'!$A$3:$J$2236,MATCH('Pre-Calculation'!$C$34,'NAVs_Till 29 Jun 2021'!$A$1:$J$1,0))</f>
        <v>17.9308</v>
      </c>
      <c r="M62" s="187">
        <f>IFERROR(1,VLOOKUP(C62,'NAVs_Till 29 Jun 2021'!$A$3:$J$2236,MATCH(#REF!,'NAVs_Till 29 Jun 2021'!$A$1:$J$1,0)))</f>
        <v>1</v>
      </c>
      <c r="N62" s="175">
        <f>VLOOKUP('Pre-Calculation'!$C$34,INPUT!$B$20:$C$28,2,0)*K62*(L63/L62)+ IFERROR(0,VLOOKUP('Pre-Calculation'!$D$34,INPUT!$B$20:$C$28,2,0))*K62*(M63/M62)</f>
        <v>669879.6723</v>
      </c>
      <c r="O62" s="175">
        <f t="shared" si="3"/>
        <v>669879.6723</v>
      </c>
      <c r="P62" s="175">
        <f t="shared" si="4"/>
        <v>669879.6723</v>
      </c>
      <c r="Q62" s="175">
        <f>IF('Pre-Calculation'!$D$17="Type 4 a",MAX(SA,O62,1.05*R62),IF('Pre-Calculation'!$D$17="Type 4 c",O62,IF('Pre-Calculation'!$D$17="Type 4 d",SA+O62,IF('Pre-Calculation'!$D$17="Type 4 e",MAX(SA,O62),IF('Pre-Calculation'!$D$17="Type 4 f",SA,IF('Pre-Calculation'!$D$17="Type 4 g",1000+O62,IF('Pre-Calculation'!$D$17="Type 4 h",SA+S62,IF('Pre-Calculation'!$D$17="Type 4 i",MAX(O62,R62),IF('Pre-Calculation'!$D$17="Type 4 k",MAX(O62,1.01*R62),IF('Pre-Calculation'!$D$17="Type 4 m",MAX(105%*R62,SA+O62),IF('Pre-Calculation'!$D$17="Type 4 o",MAX(SA,105%*R62)+X62+Z62,IF('Pre-Calculation'!$D$17="Type 5",0))))))))))))</f>
        <v>1000000</v>
      </c>
      <c r="R62" s="175">
        <f t="shared" si="5"/>
        <v>500000</v>
      </c>
      <c r="S62" s="119">
        <f>K62*(1+GROWTH_RATE)*FMC</f>
        <v>711.1109895</v>
      </c>
      <c r="T62" s="178">
        <f>T61*(1+'Pre-Calculation'!$E$27)</f>
        <v>763194.0731</v>
      </c>
      <c r="U62" s="175">
        <f>-E62+IF(A61=INPUT!$C$11*12,O62,0)</f>
        <v>0</v>
      </c>
      <c r="V62" s="171"/>
      <c r="W62" s="112"/>
      <c r="X62" s="179">
        <f t="array" ref="X62">NPV('Pre-Calculation'!$E$20,$E63:E$246)</f>
        <v>426525.8005</v>
      </c>
      <c r="Y62" s="171">
        <f>10%*SA</f>
        <v>100000</v>
      </c>
      <c r="Z62" s="179">
        <f t="array" ref="Z62">NPV('Pre-Calculation'!$E$20,Y63:Y72)</f>
        <v>969592.8037</v>
      </c>
    </row>
    <row r="63" ht="15.75" customHeight="1">
      <c r="A63" s="171">
        <f t="shared" si="1"/>
        <v>57</v>
      </c>
      <c r="B63" s="171">
        <f t="shared" si="2"/>
        <v>5</v>
      </c>
      <c r="C63" s="176">
        <f>EDATE(RCD,A62)</f>
        <v>44255</v>
      </c>
      <c r="D63" s="171">
        <f>Age_At_Entry+Cashflows_Backtesting!B63-1</f>
        <v>39</v>
      </c>
      <c r="E63" s="175">
        <f>IF(AND(C63&lt;=Last_Prem,MOD(A62,Mode)=0),Mod_Prem,0)</f>
        <v>0</v>
      </c>
      <c r="F63" s="177">
        <f>E63*VLOOKUP(B63,'Pre-Calculation'!$H$1:$I$31,2,FALSE)</f>
        <v>0</v>
      </c>
      <c r="G63" s="177">
        <f>IF(B63&lt;PT+1,VLOOKUP(B63,'Pre-Calculation'!$H$1:$L$32,3,FALSE)+VLOOKUP(B63,'Pre-Calculation'!$H$1:$L$32,4,FALSE)*'Pre-Calculation'!$D$7,0)</f>
        <v>420</v>
      </c>
      <c r="H63" s="175">
        <f>(E63-(F63+G63)*(1+Tax)+O62)</f>
        <v>669384.0723</v>
      </c>
      <c r="I63" s="175">
        <f>IF(B63&lt;PT+1,VLOOKUP(D63,'Pre-Calculation'!$N$3:$P$79,IF(INPUT!$C$4="M",2,3),FALSE)*(J63/1000)*(1/12),0)</f>
        <v>45.92806263</v>
      </c>
      <c r="J63" s="175">
        <f>MAX(0,(SA-H63))</f>
        <v>330615.9277</v>
      </c>
      <c r="K63" s="175">
        <f>H63-I63*(1+Tax)</f>
        <v>669329.8772</v>
      </c>
      <c r="L63" s="187">
        <f>VLOOKUP(C63,'NAVs_Till 29 Jun 2021'!$A$3:$J$2236,MATCH('Pre-Calculation'!$C$34,'NAVs_Till 29 Jun 2021'!$A$1:$J$1,0))</f>
        <v>19.1144</v>
      </c>
      <c r="M63" s="187">
        <f>IFERROR(1,VLOOKUP(C63,'NAVs_Till 29 Jun 2021'!$A$3:$J$2236,MATCH(#REF!,'NAVs_Till 29 Jun 2021'!$A$1:$J$1,0)))</f>
        <v>1</v>
      </c>
      <c r="N63" s="175">
        <f>VLOOKUP('Pre-Calculation'!$C$34,INPUT!$B$20:$C$28,2,0)*K63*(L64/L63)+ IFERROR(0,VLOOKUP('Pre-Calculation'!$D$34,INPUT!$B$20:$C$28,2,0))*K63*(M64/M63)</f>
        <v>681288.1993</v>
      </c>
      <c r="O63" s="175">
        <f t="shared" si="3"/>
        <v>681288.1993</v>
      </c>
      <c r="P63" s="175">
        <f t="shared" si="4"/>
        <v>681288.1993</v>
      </c>
      <c r="Q63" s="175">
        <f>IF('Pre-Calculation'!$D$17="Type 4 a",MAX(SA,O63,1.05*R63),IF('Pre-Calculation'!$D$17="Type 4 c",O63,IF('Pre-Calculation'!$D$17="Type 4 d",SA+O63,IF('Pre-Calculation'!$D$17="Type 4 e",MAX(SA,O63),IF('Pre-Calculation'!$D$17="Type 4 f",SA,IF('Pre-Calculation'!$D$17="Type 4 g",1000+O63,IF('Pre-Calculation'!$D$17="Type 4 h",SA+S63,IF('Pre-Calculation'!$D$17="Type 4 i",MAX(O63,R63),IF('Pre-Calculation'!$D$17="Type 4 k",MAX(O63,1.01*R63),IF('Pre-Calculation'!$D$17="Type 4 m",MAX(105%*R63,SA+O63),IF('Pre-Calculation'!$D$17="Type 4 o",MAX(SA,105%*R63)+X63+Z63,IF('Pre-Calculation'!$D$17="Type 5",0))))))))))))</f>
        <v>1000000</v>
      </c>
      <c r="R63" s="175">
        <f t="shared" si="5"/>
        <v>500000</v>
      </c>
      <c r="S63" s="119">
        <f>K63*(1+GROWTH_RATE)*FMC</f>
        <v>757.4287852</v>
      </c>
      <c r="T63" s="178">
        <f>T62*(1+'Pre-Calculation'!$E$27)</f>
        <v>765385.126</v>
      </c>
      <c r="U63" s="175">
        <f>-E63+IF(A62=INPUT!$C$11*12,O63,0)</f>
        <v>0</v>
      </c>
      <c r="V63" s="171"/>
      <c r="W63" s="112"/>
      <c r="X63" s="179">
        <f t="array" ref="X63">NPV('Pre-Calculation'!$E$20,$E64:E$246)</f>
        <v>428937.4394</v>
      </c>
      <c r="Y63" s="171">
        <f>10%*SA</f>
        <v>100000</v>
      </c>
      <c r="Z63" s="179">
        <f t="array" ref="Z63">NPV('Pre-Calculation'!$E$20,Y64:Y73)</f>
        <v>969592.8037</v>
      </c>
    </row>
    <row r="64" ht="15.75" customHeight="1">
      <c r="A64" s="171">
        <f t="shared" si="1"/>
        <v>58</v>
      </c>
      <c r="B64" s="171">
        <f t="shared" si="2"/>
        <v>5</v>
      </c>
      <c r="C64" s="176">
        <f>EDATE(RCD,A63)</f>
        <v>44285</v>
      </c>
      <c r="D64" s="171">
        <f>Age_At_Entry+Cashflows_Backtesting!B64-1</f>
        <v>39</v>
      </c>
      <c r="E64" s="175">
        <f>IF(AND(C64&lt;=Last_Prem,MOD(A63,Mode)=0),Mod_Prem,0)</f>
        <v>0</v>
      </c>
      <c r="F64" s="177">
        <f>E64*VLOOKUP(B64,'Pre-Calculation'!$H$1:$I$31,2,FALSE)</f>
        <v>0</v>
      </c>
      <c r="G64" s="177">
        <f>IF(B64&lt;PT+1,VLOOKUP(B64,'Pre-Calculation'!$H$1:$L$32,3,FALSE)+VLOOKUP(B64,'Pre-Calculation'!$H$1:$L$32,4,FALSE)*'Pre-Calculation'!$D$7,0)</f>
        <v>420</v>
      </c>
      <c r="H64" s="175">
        <f>(E64-(F64+G64)*(1+Tax)+O63)</f>
        <v>680792.5993</v>
      </c>
      <c r="I64" s="175">
        <f>IF(B64&lt;PT+1,VLOOKUP(D64,'Pre-Calculation'!$N$3:$P$79,IF(INPUT!$C$4="M",2,3),FALSE)*(J64/1000)*(1/12),0)</f>
        <v>44.34322808</v>
      </c>
      <c r="J64" s="175">
        <f>MAX(0,(SA-H64))</f>
        <v>319207.4007</v>
      </c>
      <c r="K64" s="175">
        <f>H64-I64*(1+Tax)</f>
        <v>680740.2743</v>
      </c>
      <c r="L64" s="187">
        <f>VLOOKUP(C64,'NAVs_Till 29 Jun 2021'!$A$3:$J$2236,MATCH('Pre-Calculation'!$C$34,'NAVs_Till 29 Jun 2021'!$A$1:$J$1,0))</f>
        <v>19.4559</v>
      </c>
      <c r="M64" s="187">
        <f>IFERROR(1,VLOOKUP(C64,'NAVs_Till 29 Jun 2021'!$A$3:$J$2236,MATCH(#REF!,'NAVs_Till 29 Jun 2021'!$A$1:$J$1,0)))</f>
        <v>1</v>
      </c>
      <c r="N64" s="175">
        <f>VLOOKUP('Pre-Calculation'!$C$34,INPUT!$B$20:$C$28,2,0)*K64*(L65/L64)+ IFERROR(0,VLOOKUP('Pre-Calculation'!$D$34,INPUT!$B$20:$C$28,2,0))*K64*(M65/M64)</f>
        <v>671965.0616</v>
      </c>
      <c r="O64" s="175">
        <f t="shared" si="3"/>
        <v>671965.0616</v>
      </c>
      <c r="P64" s="175">
        <f t="shared" si="4"/>
        <v>671965.0616</v>
      </c>
      <c r="Q64" s="175">
        <f>IF('Pre-Calculation'!$D$17="Type 4 a",MAX(SA,O64,1.05*R64),IF('Pre-Calculation'!$D$17="Type 4 c",O64,IF('Pre-Calculation'!$D$17="Type 4 d",SA+O64,IF('Pre-Calculation'!$D$17="Type 4 e",MAX(SA,O64),IF('Pre-Calculation'!$D$17="Type 4 f",SA,IF('Pre-Calculation'!$D$17="Type 4 g",1000+O64,IF('Pre-Calculation'!$D$17="Type 4 h",SA+S64,IF('Pre-Calculation'!$D$17="Type 4 i",MAX(O64,R64),IF('Pre-Calculation'!$D$17="Type 4 k",MAX(O64,1.01*R64),IF('Pre-Calculation'!$D$17="Type 4 m",MAX(105%*R64,SA+O64),IF('Pre-Calculation'!$D$17="Type 4 o",MAX(SA,105%*R64)+X64+Z64,IF('Pre-Calculation'!$D$17="Type 5",0))))))))))))</f>
        <v>1000000</v>
      </c>
      <c r="R64" s="175">
        <f t="shared" si="5"/>
        <v>500000</v>
      </c>
      <c r="S64" s="119">
        <f>K64*(1+GROWTH_RATE)*FMC</f>
        <v>770.341048</v>
      </c>
      <c r="T64" s="178">
        <f>T63*(1+'Pre-Calculation'!$E$27)</f>
        <v>767582.4692</v>
      </c>
      <c r="U64" s="175">
        <f>-E64+IF(A63=INPUT!$C$11*12,O64,0)</f>
        <v>0</v>
      </c>
      <c r="V64" s="171"/>
      <c r="W64" s="112"/>
      <c r="X64" s="179">
        <f t="array" ref="X64">NPV('Pre-Calculation'!$E$20,$E65:E$246)</f>
        <v>431362.714</v>
      </c>
      <c r="Y64" s="171">
        <f>10%*SA</f>
        <v>100000</v>
      </c>
      <c r="Z64" s="179">
        <f t="array" ref="Z64">NPV('Pre-Calculation'!$E$20,Y65:Y74)</f>
        <v>969592.8037</v>
      </c>
    </row>
    <row r="65" ht="15.75" customHeight="1">
      <c r="A65" s="171">
        <f t="shared" si="1"/>
        <v>59</v>
      </c>
      <c r="B65" s="171">
        <f t="shared" si="2"/>
        <v>5</v>
      </c>
      <c r="C65" s="176">
        <f>EDATE(RCD,A64)</f>
        <v>44316</v>
      </c>
      <c r="D65" s="171">
        <f>Age_At_Entry+Cashflows_Backtesting!B65-1</f>
        <v>39</v>
      </c>
      <c r="E65" s="175">
        <f>IF(AND(C65&lt;=Last_Prem,MOD(A64,Mode)=0),Mod_Prem,0)</f>
        <v>0</v>
      </c>
      <c r="F65" s="177">
        <f>E65*VLOOKUP(B65,'Pre-Calculation'!$H$1:$I$31,2,FALSE)</f>
        <v>0</v>
      </c>
      <c r="G65" s="177">
        <f>IF(B65&lt;PT+1,VLOOKUP(B65,'Pre-Calculation'!$H$1:$L$32,3,FALSE)+VLOOKUP(B65,'Pre-Calculation'!$H$1:$L$32,4,FALSE)*'Pre-Calculation'!$D$7,0)</f>
        <v>420</v>
      </c>
      <c r="H65" s="175">
        <f>(E65-(F65+G65)*(1+Tax)+O64)</f>
        <v>671469.4616</v>
      </c>
      <c r="I65" s="175">
        <f>IF(B65&lt;PT+1,VLOOKUP(D65,'Pre-Calculation'!$N$3:$P$79,IF(INPUT!$C$4="M",2,3),FALSE)*(J65/1000)*(1/12),0)</f>
        <v>45.63836729</v>
      </c>
      <c r="J65" s="175">
        <f>MAX(0,(SA-H65))</f>
        <v>328530.5384</v>
      </c>
      <c r="K65" s="175">
        <f>H65-I65*(1+Tax)</f>
        <v>671415.6083</v>
      </c>
      <c r="L65" s="187">
        <f>VLOOKUP(C65,'NAVs_Till 29 Jun 2021'!$A$3:$J$2236,MATCH('Pre-Calculation'!$C$34,'NAVs_Till 29 Jun 2021'!$A$1:$J$1,0))</f>
        <v>19.2051</v>
      </c>
      <c r="M65" s="187">
        <f>IFERROR(1,VLOOKUP(C65,'NAVs_Till 29 Jun 2021'!$A$3:$J$2236,MATCH(#REF!,'NAVs_Till 29 Jun 2021'!$A$1:$J$1,0)))</f>
        <v>1</v>
      </c>
      <c r="N65" s="175">
        <f>VLOOKUP('Pre-Calculation'!$C$34,INPUT!$B$20:$C$28,2,0)*K65*(L66/L65)+ IFERROR(0,VLOOKUP('Pre-Calculation'!$D$34,INPUT!$B$20:$C$28,2,0))*K65*(M66/M65)</f>
        <v>707393.229</v>
      </c>
      <c r="O65" s="175">
        <f t="shared" si="3"/>
        <v>707393.229</v>
      </c>
      <c r="P65" s="175">
        <f t="shared" si="4"/>
        <v>707393.229</v>
      </c>
      <c r="Q65" s="175">
        <f>IF('Pre-Calculation'!$D$17="Type 4 a",MAX(SA,O65,1.05*R65),IF('Pre-Calculation'!$D$17="Type 4 c",O65,IF('Pre-Calculation'!$D$17="Type 4 d",SA+O65,IF('Pre-Calculation'!$D$17="Type 4 e",MAX(SA,O65),IF('Pre-Calculation'!$D$17="Type 4 f",SA,IF('Pre-Calculation'!$D$17="Type 4 g",1000+O65,IF('Pre-Calculation'!$D$17="Type 4 h",SA+S65,IF('Pre-Calculation'!$D$17="Type 4 i",MAX(O65,R65),IF('Pre-Calculation'!$D$17="Type 4 k",MAX(O65,1.01*R65),IF('Pre-Calculation'!$D$17="Type 4 m",MAX(105%*R65,SA+O65),IF('Pre-Calculation'!$D$17="Type 4 o",MAX(SA,105%*R65)+X65+Z65,IF('Pre-Calculation'!$D$17="Type 5",0))))))))))))</f>
        <v>1000000</v>
      </c>
      <c r="R65" s="175">
        <f t="shared" si="5"/>
        <v>500000</v>
      </c>
      <c r="S65" s="119">
        <f>K65*(1+GROWTH_RATE)*FMC</f>
        <v>759.7890457</v>
      </c>
      <c r="T65" s="178">
        <f>T64*(1+'Pre-Calculation'!$E$27)</f>
        <v>769786.1207</v>
      </c>
      <c r="U65" s="175">
        <f>-E65+IF(A64=INPUT!$C$11*12,O65,0)</f>
        <v>0</v>
      </c>
      <c r="V65" s="171"/>
      <c r="W65" s="112"/>
      <c r="X65" s="179">
        <f t="array" ref="X65">NPV('Pre-Calculation'!$E$20,$E66:E$246)</f>
        <v>433801.7015</v>
      </c>
      <c r="Y65" s="171">
        <f>10%*SA</f>
        <v>100000</v>
      </c>
      <c r="Z65" s="179">
        <f t="array" ref="Z65">NPV('Pre-Calculation'!$E$20,Y66:Y75)</f>
        <v>969592.8037</v>
      </c>
    </row>
    <row r="66" ht="15.75" customHeight="1">
      <c r="A66" s="171">
        <f t="shared" si="1"/>
        <v>60</v>
      </c>
      <c r="B66" s="171">
        <f t="shared" si="2"/>
        <v>5</v>
      </c>
      <c r="C66" s="176">
        <f>EDATE(RCD,A65)</f>
        <v>44346</v>
      </c>
      <c r="D66" s="171">
        <f>Age_At_Entry+Cashflows_Backtesting!B66-1</f>
        <v>39</v>
      </c>
      <c r="E66" s="175">
        <f>IF(AND(C66&lt;=Last_Prem,MOD(A65,Mode)=0),Mod_Prem,0)</f>
        <v>0</v>
      </c>
      <c r="F66" s="177">
        <f>E66*VLOOKUP(B66,'Pre-Calculation'!$H$1:$I$31,2,FALSE)</f>
        <v>0</v>
      </c>
      <c r="G66" s="177">
        <f>IF(B66&lt;PT+1,VLOOKUP(B66,'Pre-Calculation'!$H$1:$L$32,3,FALSE)+VLOOKUP(B66,'Pre-Calculation'!$H$1:$L$32,4,FALSE)*'Pre-Calculation'!$D$7,0)</f>
        <v>420</v>
      </c>
      <c r="H66" s="175">
        <f>(E66-(F66+G66)*(1+Tax)+O65)</f>
        <v>706897.629</v>
      </c>
      <c r="I66" s="175">
        <f>IF(B66&lt;PT+1,VLOOKUP(D66,'Pre-Calculation'!$N$3:$P$79,IF(INPUT!$C$4="M",2,3),FALSE)*(J66/1000)*(1/12),0)</f>
        <v>40.71680437</v>
      </c>
      <c r="J66" s="175">
        <f>MAX(0,(SA-H66))</f>
        <v>293102.371</v>
      </c>
      <c r="K66" s="175">
        <f>H66-I66*(1+Tax)</f>
        <v>706849.5832</v>
      </c>
      <c r="L66" s="187">
        <f>VLOOKUP(C66,'NAVs_Till 29 Jun 2021'!$A$3:$J$2236,MATCH('Pre-Calculation'!$C$34,'NAVs_Till 29 Jun 2021'!$A$1:$J$1,0))</f>
        <v>20.2342</v>
      </c>
      <c r="M66" s="187">
        <f>IFERROR(1,VLOOKUP(C66,'NAVs_Till 29 Jun 2021'!$A$3:$J$2236,MATCH(#REF!,'NAVs_Till 29 Jun 2021'!$A$1:$J$1,0)))</f>
        <v>1</v>
      </c>
      <c r="N66" s="175">
        <f>VLOOKUP('Pre-Calculation'!$C$34,INPUT!$B$20:$C$28,2,0)*K66*(L67/L66)+ IFERROR(0,VLOOKUP('Pre-Calculation'!$D$34,INPUT!$B$20:$C$28,2,0))*K66*(M67/M66)</f>
        <v>724819.3287</v>
      </c>
      <c r="O66" s="175">
        <f t="shared" si="3"/>
        <v>724819.3287</v>
      </c>
      <c r="P66" s="175">
        <f t="shared" si="4"/>
        <v>724819.3287</v>
      </c>
      <c r="Q66" s="175">
        <f>IF('Pre-Calculation'!$D$17="Type 4 a",MAX(SA,O66,1.05*R66),IF('Pre-Calculation'!$D$17="Type 4 c",O66,IF('Pre-Calculation'!$D$17="Type 4 d",SA+O66,IF('Pre-Calculation'!$D$17="Type 4 e",MAX(SA,O66),IF('Pre-Calculation'!$D$17="Type 4 f",SA,IF('Pre-Calculation'!$D$17="Type 4 g",1000+O66,IF('Pre-Calculation'!$D$17="Type 4 h",SA+S66,IF('Pre-Calculation'!$D$17="Type 4 i",MAX(O66,R66),IF('Pre-Calculation'!$D$17="Type 4 k",MAX(O66,1.01*R66),IF('Pre-Calculation'!$D$17="Type 4 m",MAX(105%*R66,SA+O66),IF('Pre-Calculation'!$D$17="Type 4 o",MAX(SA,105%*R66)+X66+Z66,IF('Pre-Calculation'!$D$17="Type 5",0))))))))))))</f>
        <v>1000000</v>
      </c>
      <c r="R66" s="175">
        <f t="shared" si="5"/>
        <v>500000</v>
      </c>
      <c r="S66" s="119">
        <f>K66*(1+GROWTH_RATE)*FMC</f>
        <v>799.8869308</v>
      </c>
      <c r="T66" s="178">
        <f>T65*(1+'Pre-Calculation'!$E$27)</f>
        <v>771996.0987</v>
      </c>
      <c r="U66" s="175">
        <f>-E66+IF(A65=INPUT!$C$11*12,O66,0)</f>
        <v>0</v>
      </c>
      <c r="V66" s="171"/>
      <c r="W66" s="112"/>
      <c r="X66" s="179">
        <f t="array" ref="X66">NPV('Pre-Calculation'!$E$20,$E67:E$246)</f>
        <v>436254.4794</v>
      </c>
      <c r="Y66" s="171">
        <f>10%*SA</f>
        <v>100000</v>
      </c>
      <c r="Z66" s="179">
        <f t="array" ref="Z66">NPV('Pre-Calculation'!$E$20,Y67:Y76)</f>
        <v>969592.8037</v>
      </c>
    </row>
    <row r="67" ht="15.75" customHeight="1">
      <c r="A67" s="171">
        <f t="shared" si="1"/>
        <v>61</v>
      </c>
      <c r="B67" s="171">
        <f t="shared" si="2"/>
        <v>6</v>
      </c>
      <c r="C67" s="176">
        <f>EDATE(RCD,A66)</f>
        <v>44377</v>
      </c>
      <c r="D67" s="171">
        <f>Age_At_Entry+Cashflows_Backtesting!B67-1</f>
        <v>40</v>
      </c>
      <c r="E67" s="175">
        <f>IF(AND(C67&lt;=Last_Prem,MOD(A66,Mode)=0),Mod_Prem,0)</f>
        <v>100000</v>
      </c>
      <c r="F67" s="177">
        <f>E67*VLOOKUP(B67,'Pre-Calculation'!$H$1:$I$31,2,FALSE)</f>
        <v>0</v>
      </c>
      <c r="G67" s="177">
        <f>IF(B67&lt;PT+1,VLOOKUP(B67,'Pre-Calculation'!$H$1:$L$32,3,FALSE)+VLOOKUP(B67,'Pre-Calculation'!$H$1:$L$32,4,FALSE)*'Pre-Calculation'!$D$7,0)</f>
        <v>830</v>
      </c>
      <c r="H67" s="175">
        <f>(E67-(F67+G67)*(1+Tax)+O66)</f>
        <v>823839.9287</v>
      </c>
      <c r="I67" s="175">
        <f>IF(B67&lt;PT+1,VLOOKUP(D67,'Pre-Calculation'!$N$3:$P$79,IF(INPUT!$C$4="M",2,3),FALSE)*(J67/1000)*(1/12),0)</f>
        <v>26.4607107</v>
      </c>
      <c r="J67" s="175">
        <f>MAX(0,(SA-H67))</f>
        <v>176160.0713</v>
      </c>
      <c r="K67" s="175">
        <f>H67-I67*(1+Tax)</f>
        <v>823808.7051</v>
      </c>
      <c r="L67" s="187">
        <f>VLOOKUP(C67,'NAVs_Till 29 Jun 2021'!$A$3:$J$2236,MATCH('Pre-Calculation'!$C$34,'NAVs_Till 29 Jun 2021'!$A$1:$J$1,0))</f>
        <v>20.7486</v>
      </c>
      <c r="M67" s="187">
        <f>IFERROR(1,VLOOKUP(C67,'NAVs_Till 29 Jun 2021'!$A$3:$J$2236,MATCH(#REF!,'NAVs_Till 29 Jun 2021'!$A$1:$J$1,0)))</f>
        <v>1</v>
      </c>
      <c r="N67" s="175">
        <f>VLOOKUP('Pre-Calculation'!$C$34,INPUT!$B$20:$C$28,2,0)*K67*(L68/L67)+ IFERROR(0,VLOOKUP('Pre-Calculation'!$D$34,INPUT!$B$20:$C$28,2,0))*K67*(M68/M67)</f>
        <v>823808.7051</v>
      </c>
      <c r="O67" s="175">
        <f t="shared" si="3"/>
        <v>823808.7051</v>
      </c>
      <c r="P67" s="175">
        <f t="shared" si="4"/>
        <v>823808.7051</v>
      </c>
      <c r="Q67" s="175">
        <f>IF('Pre-Calculation'!$D$17="Type 4 a",MAX(SA,O67,1.05*R67),IF('Pre-Calculation'!$D$17="Type 4 c",O67,IF('Pre-Calculation'!$D$17="Type 4 d",SA+O67,IF('Pre-Calculation'!$D$17="Type 4 e",MAX(SA,O67),IF('Pre-Calculation'!$D$17="Type 4 f",SA,IF('Pre-Calculation'!$D$17="Type 4 g",1000+O67,IF('Pre-Calculation'!$D$17="Type 4 h",SA+S67,IF('Pre-Calculation'!$D$17="Type 4 i",MAX(O67,R67),IF('Pre-Calculation'!$D$17="Type 4 k",MAX(O67,1.01*R67),IF('Pre-Calculation'!$D$17="Type 4 m",MAX(105%*R67,SA+O67),IF('Pre-Calculation'!$D$17="Type 4 o",MAX(SA,105%*R67)+X67+Z67,IF('Pre-Calculation'!$D$17="Type 5",0))))))))))))</f>
        <v>1000000</v>
      </c>
      <c r="R67" s="175">
        <f t="shared" si="5"/>
        <v>600000</v>
      </c>
      <c r="S67" s="119">
        <f>K67*(1+GROWTH_RATE)*FMC</f>
        <v>932.2405111</v>
      </c>
      <c r="T67" s="178">
        <f>T66*(1+'Pre-Calculation'!$E$27)</f>
        <v>774212.4213</v>
      </c>
      <c r="U67" s="175">
        <f>-E67+IF(A66=INPUT!$C$11*12,O67,0)</f>
        <v>-100000</v>
      </c>
      <c r="V67" s="171"/>
      <c r="W67" s="112"/>
      <c r="X67" s="179">
        <f t="array" ref="X67">NPV('Pre-Calculation'!$E$20,$E68:E$246)</f>
        <v>338721.1256</v>
      </c>
      <c r="Y67" s="171">
        <f>10%*SA</f>
        <v>100000</v>
      </c>
      <c r="Z67" s="179">
        <f t="array" ref="Z67">NPV('Pre-Calculation'!$E$20,Y68:Y77)</f>
        <v>969592.8037</v>
      </c>
    </row>
    <row r="68" ht="15.75" customHeight="1">
      <c r="A68" s="171">
        <f t="shared" si="1"/>
        <v>62</v>
      </c>
      <c r="B68" s="171">
        <f t="shared" si="2"/>
        <v>6</v>
      </c>
      <c r="C68" s="176">
        <f>EDATE(RCD,A67)</f>
        <v>44407</v>
      </c>
      <c r="D68" s="171">
        <f>Age_At_Entry+Cashflows_Backtesting!B68-1</f>
        <v>40</v>
      </c>
      <c r="E68" s="175">
        <f>IF(AND(C68&lt;=Last_Prem,MOD(A67,Mode)=0),Mod_Prem,0)</f>
        <v>0</v>
      </c>
      <c r="F68" s="177">
        <f>E68*VLOOKUP(B68,'Pre-Calculation'!$H$1:$I$31,2,FALSE)</f>
        <v>0</v>
      </c>
      <c r="G68" s="177">
        <f>IF(B68&lt;PT+1,VLOOKUP(B68,'Pre-Calculation'!$H$1:$L$32,3,FALSE)+VLOOKUP(B68,'Pre-Calculation'!$H$1:$L$32,4,FALSE)*'Pre-Calculation'!$D$7,0)</f>
        <v>830</v>
      </c>
      <c r="H68" s="175">
        <f>(E68-(F68+G68)*(1+Tax)+O67)</f>
        <v>822829.3051</v>
      </c>
      <c r="I68" s="175">
        <f>IF(B68&lt;PT+1,VLOOKUP(D68,'Pre-Calculation'!$N$3:$P$79,IF(INPUT!$C$4="M",2,3),FALSE)*(J68/1000)*(1/12),0)</f>
        <v>26.6125148</v>
      </c>
      <c r="J68" s="175">
        <f>MAX(0,(SA-H68))</f>
        <v>177170.6949</v>
      </c>
      <c r="K68" s="175">
        <f>H68-I68*(1+Tax)</f>
        <v>822797.9023</v>
      </c>
      <c r="L68" s="187">
        <f>VLOOKUP(C68,'NAVs_Till 29 Jun 2021'!$A$3:$J$2236,MATCH('Pre-Calculation'!$C$34,'NAVs_Till 29 Jun 2021'!$A$1:$J$1,0))</f>
        <v>20.7486</v>
      </c>
      <c r="M68" s="187">
        <f>IFERROR(1,VLOOKUP(C68,'NAVs_Till 29 Jun 2021'!$A$3:$J$2236,MATCH(#REF!,'NAVs_Till 29 Jun 2021'!$A$1:$J$1,0)))</f>
        <v>1</v>
      </c>
      <c r="N68" s="175">
        <f>VLOOKUP('Pre-Calculation'!$C$34,INPUT!$B$20:$C$28,2,0)*K68*(L69/L68)+ IFERROR(0,VLOOKUP('Pre-Calculation'!$D$34,INPUT!$B$20:$C$28,2,0))*K68*(M69/M68)</f>
        <v>822797.9023</v>
      </c>
      <c r="O68" s="175">
        <f t="shared" si="3"/>
        <v>822797.9023</v>
      </c>
      <c r="P68" s="175">
        <f t="shared" si="4"/>
        <v>822797.9023</v>
      </c>
      <c r="Q68" s="175">
        <f>IF('Pre-Calculation'!$D$17="Type 4 a",MAX(SA,O68,1.05*R68),IF('Pre-Calculation'!$D$17="Type 4 c",O68,IF('Pre-Calculation'!$D$17="Type 4 d",SA+O68,IF('Pre-Calculation'!$D$17="Type 4 e",MAX(SA,O68),IF('Pre-Calculation'!$D$17="Type 4 f",SA,IF('Pre-Calculation'!$D$17="Type 4 g",1000+O68,IF('Pre-Calculation'!$D$17="Type 4 h",SA+S68,IF('Pre-Calculation'!$D$17="Type 4 i",MAX(O68,R68),IF('Pre-Calculation'!$D$17="Type 4 k",MAX(O68,1.01*R68),IF('Pre-Calculation'!$D$17="Type 4 m",MAX(105%*R68,SA+O68),IF('Pre-Calculation'!$D$17="Type 4 o",MAX(SA,105%*R68)+X68+Z68,IF('Pre-Calculation'!$D$17="Type 5",0))))))))))))</f>
        <v>1000000</v>
      </c>
      <c r="R68" s="175">
        <f t="shared" si="5"/>
        <v>600000</v>
      </c>
      <c r="S68" s="119">
        <f>K68*(1+GROWTH_RATE)*FMC</f>
        <v>931.0966638</v>
      </c>
      <c r="T68" s="178">
        <f>T67*(1+'Pre-Calculation'!$E$27)</f>
        <v>776435.1067</v>
      </c>
      <c r="U68" s="175">
        <f>-E68+IF(A67=INPUT!$C$11*12,O68,0)</f>
        <v>0</v>
      </c>
      <c r="V68" s="171"/>
      <c r="W68" s="112"/>
      <c r="X68" s="179">
        <f t="array" ref="X68">NPV('Pre-Calculation'!$E$20,$E69:E$246)</f>
        <v>340636.3041</v>
      </c>
      <c r="Y68" s="171">
        <f>10%*SA</f>
        <v>100000</v>
      </c>
      <c r="Z68" s="179">
        <f t="array" ref="Z68">NPV('Pre-Calculation'!$E$20,Y69:Y78)</f>
        <v>969592.8037</v>
      </c>
    </row>
    <row r="69" ht="15.75" customHeight="1">
      <c r="A69" s="171">
        <f t="shared" si="1"/>
        <v>63</v>
      </c>
      <c r="B69" s="171">
        <f t="shared" si="2"/>
        <v>6</v>
      </c>
      <c r="C69" s="176">
        <f>EDATE(RCD,A68)</f>
        <v>44438</v>
      </c>
      <c r="D69" s="171">
        <f>Age_At_Entry+Cashflows_Backtesting!B69-1</f>
        <v>40</v>
      </c>
      <c r="E69" s="175">
        <f>IF(AND(C69&lt;=Last_Prem,MOD(A68,Mode)=0),Mod_Prem,0)</f>
        <v>0</v>
      </c>
      <c r="F69" s="177">
        <f>E69*VLOOKUP(B69,'Pre-Calculation'!$H$1:$I$31,2,FALSE)</f>
        <v>0</v>
      </c>
      <c r="G69" s="177">
        <f>IF(B69&lt;PT+1,VLOOKUP(B69,'Pre-Calculation'!$H$1:$L$32,3,FALSE)+VLOOKUP(B69,'Pre-Calculation'!$H$1:$L$32,4,FALSE)*'Pre-Calculation'!$D$7,0)</f>
        <v>830</v>
      </c>
      <c r="H69" s="175">
        <f>(E69-(F69+G69)*(1+Tax)+O68)</f>
        <v>821818.5023</v>
      </c>
      <c r="I69" s="175">
        <f>IF(B69&lt;PT+1,VLOOKUP(D69,'Pre-Calculation'!$N$3:$P$79,IF(INPUT!$C$4="M",2,3),FALSE)*(J69/1000)*(1/12),0)</f>
        <v>26.7643458</v>
      </c>
      <c r="J69" s="175">
        <f>MAX(0,(SA-H69))</f>
        <v>178181.4977</v>
      </c>
      <c r="K69" s="175">
        <f>H69-I69*(1+Tax)</f>
        <v>821786.9204</v>
      </c>
      <c r="L69" s="187">
        <f>VLOOKUP(C69,'NAVs_Till 29 Jun 2021'!$A$3:$J$2236,MATCH('Pre-Calculation'!$C$34,'NAVs_Till 29 Jun 2021'!$A$1:$J$1,0))</f>
        <v>20.7486</v>
      </c>
      <c r="M69" s="187">
        <f>IFERROR(1,VLOOKUP(C69,'NAVs_Till 29 Jun 2021'!$A$3:$J$2236,MATCH(#REF!,'NAVs_Till 29 Jun 2021'!$A$1:$J$1,0)))</f>
        <v>1</v>
      </c>
      <c r="N69" s="175">
        <f>VLOOKUP('Pre-Calculation'!$C$34,INPUT!$B$20:$C$28,2,0)*K69*(L70/L69)+ IFERROR(0,VLOOKUP('Pre-Calculation'!$D$34,INPUT!$B$20:$C$28,2,0))*K69*(M70/M69)</f>
        <v>821786.9204</v>
      </c>
      <c r="O69" s="175">
        <f t="shared" si="3"/>
        <v>821786.9204</v>
      </c>
      <c r="P69" s="175">
        <f t="shared" si="4"/>
        <v>821786.9204</v>
      </c>
      <c r="Q69" s="175">
        <f>IF('Pre-Calculation'!$D$17="Type 4 a",MAX(SA,O69,1.05*R69),IF('Pre-Calculation'!$D$17="Type 4 c",O69,IF('Pre-Calculation'!$D$17="Type 4 d",SA+O69,IF('Pre-Calculation'!$D$17="Type 4 e",MAX(SA,O69),IF('Pre-Calculation'!$D$17="Type 4 f",SA,IF('Pre-Calculation'!$D$17="Type 4 g",1000+O69,IF('Pre-Calculation'!$D$17="Type 4 h",SA+S69,IF('Pre-Calculation'!$D$17="Type 4 i",MAX(O69,R69),IF('Pre-Calculation'!$D$17="Type 4 k",MAX(O69,1.01*R69),IF('Pre-Calculation'!$D$17="Type 4 m",MAX(105%*R69,SA+O69),IF('Pre-Calculation'!$D$17="Type 4 o",MAX(SA,105%*R69)+X69+Z69,IF('Pre-Calculation'!$D$17="Type 5",0))))))))))))</f>
        <v>1000000</v>
      </c>
      <c r="R69" s="175">
        <f t="shared" si="5"/>
        <v>600000</v>
      </c>
      <c r="S69" s="119">
        <f>K69*(1+GROWTH_RATE)*FMC</f>
        <v>929.9526139</v>
      </c>
      <c r="T69" s="178">
        <f>T68*(1+'Pre-Calculation'!$E$27)</f>
        <v>778664.1733</v>
      </c>
      <c r="U69" s="175">
        <f>-E69+IF(A68=INPUT!$C$11*12,O69,0)</f>
        <v>0</v>
      </c>
      <c r="V69" s="171"/>
      <c r="W69" s="112"/>
      <c r="X69" s="179">
        <f t="array" ref="X69">NPV('Pre-Calculation'!$E$20,$E70:E$246)</f>
        <v>342562.3113</v>
      </c>
      <c r="Y69" s="171">
        <f>10%*SA</f>
        <v>100000</v>
      </c>
      <c r="Z69" s="179">
        <f t="array" ref="Z69">NPV('Pre-Calculation'!$E$20,Y70:Y79)</f>
        <v>969592.8037</v>
      </c>
    </row>
    <row r="70" ht="15.75" customHeight="1">
      <c r="A70" s="171">
        <f t="shared" si="1"/>
        <v>64</v>
      </c>
      <c r="B70" s="171">
        <f t="shared" si="2"/>
        <v>6</v>
      </c>
      <c r="C70" s="176">
        <f>EDATE(RCD,A69)</f>
        <v>44469</v>
      </c>
      <c r="D70" s="171">
        <f>Age_At_Entry+Cashflows_Backtesting!B70-1</f>
        <v>40</v>
      </c>
      <c r="E70" s="175">
        <f>IF(AND(C70&lt;=Last_Prem,MOD(A69,Mode)=0),Mod_Prem,0)</f>
        <v>0</v>
      </c>
      <c r="F70" s="177">
        <f>E70*VLOOKUP(B70,'Pre-Calculation'!$H$1:$I$31,2,FALSE)</f>
        <v>0</v>
      </c>
      <c r="G70" s="177">
        <f>IF(B70&lt;PT+1,VLOOKUP(B70,'Pre-Calculation'!$H$1:$L$32,3,FALSE)+VLOOKUP(B70,'Pre-Calculation'!$H$1:$L$32,4,FALSE)*'Pre-Calculation'!$D$7,0)</f>
        <v>830</v>
      </c>
      <c r="H70" s="175">
        <f>(E70-(F70+G70)*(1+Tax)+O69)</f>
        <v>820807.5204</v>
      </c>
      <c r="I70" s="175">
        <f>IF(B70&lt;PT+1,VLOOKUP(D70,'Pre-Calculation'!$N$3:$P$79,IF(INPUT!$C$4="M",2,3),FALSE)*(J70/1000)*(1/12),0)</f>
        <v>26.91620371</v>
      </c>
      <c r="J70" s="175">
        <f>MAX(0,(SA-H70))</f>
        <v>179192.4796</v>
      </c>
      <c r="K70" s="175">
        <f>H70-I70*(1+Tax)</f>
        <v>820775.7593</v>
      </c>
      <c r="L70" s="187">
        <f>VLOOKUP(C70,'NAVs_Till 29 Jun 2021'!$A$3:$J$2236,MATCH('Pre-Calculation'!$C$34,'NAVs_Till 29 Jun 2021'!$A$1:$J$1,0))</f>
        <v>20.7486</v>
      </c>
      <c r="M70" s="187">
        <f>IFERROR(1,VLOOKUP(C70,'NAVs_Till 29 Jun 2021'!$A$3:$J$2236,MATCH(#REF!,'NAVs_Till 29 Jun 2021'!$A$1:$J$1,0)))</f>
        <v>1</v>
      </c>
      <c r="N70" s="175">
        <f>VLOOKUP('Pre-Calculation'!$C$34,INPUT!$B$20:$C$28,2,0)*K70*(L71/L70)+ IFERROR(0,VLOOKUP('Pre-Calculation'!$D$34,INPUT!$B$20:$C$28,2,0))*K70*(M71/M70)</f>
        <v>820775.7593</v>
      </c>
      <c r="O70" s="175">
        <f t="shared" si="3"/>
        <v>820775.7593</v>
      </c>
      <c r="P70" s="175">
        <f t="shared" si="4"/>
        <v>820775.7593</v>
      </c>
      <c r="Q70" s="175">
        <f>IF('Pre-Calculation'!$D$17="Type 4 a",MAX(SA,O70,1.05*R70),IF('Pre-Calculation'!$D$17="Type 4 c",O70,IF('Pre-Calculation'!$D$17="Type 4 d",SA+O70,IF('Pre-Calculation'!$D$17="Type 4 e",MAX(SA,O70),IF('Pre-Calculation'!$D$17="Type 4 f",SA,IF('Pre-Calculation'!$D$17="Type 4 g",1000+O70,IF('Pre-Calculation'!$D$17="Type 4 h",SA+S70,IF('Pre-Calculation'!$D$17="Type 4 i",MAX(O70,R70),IF('Pre-Calculation'!$D$17="Type 4 k",MAX(O70,1.01*R70),IF('Pre-Calculation'!$D$17="Type 4 m",MAX(105%*R70,SA+O70),IF('Pre-Calculation'!$D$17="Type 4 o",MAX(SA,105%*R70)+X70+Z70,IF('Pre-Calculation'!$D$17="Type 5",0))))))))))))</f>
        <v>1000000</v>
      </c>
      <c r="R70" s="175">
        <f t="shared" si="5"/>
        <v>600000</v>
      </c>
      <c r="S70" s="119">
        <f>K70*(1+GROWTH_RATE)*FMC</f>
        <v>928.8083612</v>
      </c>
      <c r="T70" s="178">
        <f>T69*(1+'Pre-Calculation'!$E$27)</f>
        <v>780899.6393</v>
      </c>
      <c r="U70" s="175">
        <f>-E70+IF(A69=INPUT!$C$11*12,O70,0)</f>
        <v>0</v>
      </c>
      <c r="V70" s="171"/>
      <c r="W70" s="112"/>
      <c r="X70" s="179">
        <f t="array" ref="X70">NPV('Pre-Calculation'!$E$20,$E71:E$246)</f>
        <v>344499.2084</v>
      </c>
      <c r="Y70" s="171">
        <f>10%*SA</f>
        <v>100000</v>
      </c>
      <c r="Z70" s="179">
        <f t="array" ref="Z70">NPV('Pre-Calculation'!$E$20,Y71:Y80)</f>
        <v>969592.8037</v>
      </c>
    </row>
    <row r="71" ht="15.75" customHeight="1">
      <c r="A71" s="171">
        <f t="shared" si="1"/>
        <v>65</v>
      </c>
      <c r="B71" s="171">
        <f t="shared" si="2"/>
        <v>6</v>
      </c>
      <c r="C71" s="176">
        <f>EDATE(RCD,A70)</f>
        <v>44499</v>
      </c>
      <c r="D71" s="171">
        <f>Age_At_Entry+Cashflows_Backtesting!B71-1</f>
        <v>40</v>
      </c>
      <c r="E71" s="175">
        <f>IF(AND(C71&lt;=Last_Prem,MOD(A70,Mode)=0),Mod_Prem,0)</f>
        <v>0</v>
      </c>
      <c r="F71" s="177">
        <f>E71*VLOOKUP(B71,'Pre-Calculation'!$H$1:$I$31,2,FALSE)</f>
        <v>0</v>
      </c>
      <c r="G71" s="177">
        <f>IF(B71&lt;PT+1,VLOOKUP(B71,'Pre-Calculation'!$H$1:$L$32,3,FALSE)+VLOOKUP(B71,'Pre-Calculation'!$H$1:$L$32,4,FALSE)*'Pre-Calculation'!$D$7,0)</f>
        <v>830</v>
      </c>
      <c r="H71" s="175">
        <f>(E71-(F71+G71)*(1+Tax)+O70)</f>
        <v>819796.3593</v>
      </c>
      <c r="I71" s="175">
        <f>IF(B71&lt;PT+1,VLOOKUP(D71,'Pre-Calculation'!$N$3:$P$79,IF(INPUT!$C$4="M",2,3),FALSE)*(J71/1000)*(1/12),0)</f>
        <v>27.06808853</v>
      </c>
      <c r="J71" s="175">
        <f>MAX(0,(SA-H71))</f>
        <v>180203.6407</v>
      </c>
      <c r="K71" s="175">
        <f>H71-I71*(1+Tax)</f>
        <v>819764.4189</v>
      </c>
      <c r="L71" s="187">
        <f>VLOOKUP(C71,'NAVs_Till 29 Jun 2021'!$A$3:$J$2236,MATCH('Pre-Calculation'!$C$34,'NAVs_Till 29 Jun 2021'!$A$1:$J$1,0))</f>
        <v>20.7486</v>
      </c>
      <c r="M71" s="187">
        <f>IFERROR(1,VLOOKUP(C71,'NAVs_Till 29 Jun 2021'!$A$3:$J$2236,MATCH(#REF!,'NAVs_Till 29 Jun 2021'!$A$1:$J$1,0)))</f>
        <v>1</v>
      </c>
      <c r="N71" s="175">
        <f>VLOOKUP('Pre-Calculation'!$C$34,INPUT!$B$20:$C$28,2,0)*K71*(L72/L71)+ IFERROR(0,VLOOKUP('Pre-Calculation'!$D$34,INPUT!$B$20:$C$28,2,0))*K71*(M72/M71)</f>
        <v>819764.4189</v>
      </c>
      <c r="O71" s="175">
        <f t="shared" si="3"/>
        <v>819764.4189</v>
      </c>
      <c r="P71" s="175">
        <f t="shared" si="4"/>
        <v>819764.4189</v>
      </c>
      <c r="Q71" s="175">
        <f>IF('Pre-Calculation'!$D$17="Type 4 a",MAX(SA,O71,1.05*R71),IF('Pre-Calculation'!$D$17="Type 4 c",O71,IF('Pre-Calculation'!$D$17="Type 4 d",SA+O71,IF('Pre-Calculation'!$D$17="Type 4 e",MAX(SA,O71),IF('Pre-Calculation'!$D$17="Type 4 f",SA,IF('Pre-Calculation'!$D$17="Type 4 g",1000+O71,IF('Pre-Calculation'!$D$17="Type 4 h",SA+S71,IF('Pre-Calculation'!$D$17="Type 4 i",MAX(O71,R71),IF('Pre-Calculation'!$D$17="Type 4 k",MAX(O71,1.01*R71),IF('Pre-Calculation'!$D$17="Type 4 m",MAX(105%*R71,SA+O71),IF('Pre-Calculation'!$D$17="Type 4 o",MAX(SA,105%*R71)+X71+Z71,IF('Pre-Calculation'!$D$17="Type 5",0))))))))))))</f>
        <v>1000000</v>
      </c>
      <c r="R71" s="175">
        <f t="shared" si="5"/>
        <v>600000</v>
      </c>
      <c r="S71" s="119">
        <f>K71*(1+GROWTH_RATE)*FMC</f>
        <v>927.6639056</v>
      </c>
      <c r="T71" s="178">
        <f>T70*(1+'Pre-Calculation'!$E$27)</f>
        <v>783141.523</v>
      </c>
      <c r="U71" s="175">
        <f>-E71+IF(A70=INPUT!$C$11*12,O71,0)</f>
        <v>0</v>
      </c>
      <c r="V71" s="171"/>
      <c r="W71" s="112"/>
      <c r="X71" s="179">
        <f t="array" ref="X71">NPV('Pre-Calculation'!$E$20,$E72:E$246)</f>
        <v>346447.057</v>
      </c>
      <c r="Y71" s="171">
        <f>10%*SA</f>
        <v>100000</v>
      </c>
      <c r="Z71" s="179">
        <f t="array" ref="Z71">NPV('Pre-Calculation'!$E$20,Y72:Y81)</f>
        <v>969592.8037</v>
      </c>
    </row>
    <row r="72" ht="15.75" customHeight="1">
      <c r="A72" s="171">
        <f t="shared" si="1"/>
        <v>66</v>
      </c>
      <c r="B72" s="171">
        <f t="shared" si="2"/>
        <v>6</v>
      </c>
      <c r="C72" s="176">
        <f>EDATE(RCD,A71)</f>
        <v>44530</v>
      </c>
      <c r="D72" s="171">
        <f>Age_At_Entry+Cashflows_Backtesting!B72-1</f>
        <v>40</v>
      </c>
      <c r="E72" s="175">
        <f>IF(AND(C72&lt;=Last_Prem,MOD(A71,Mode)=0),Mod_Prem,0)</f>
        <v>0</v>
      </c>
      <c r="F72" s="177">
        <f>E72*VLOOKUP(B72,'Pre-Calculation'!$H$1:$I$31,2,FALSE)</f>
        <v>0</v>
      </c>
      <c r="G72" s="177">
        <f>IF(B72&lt;PT+1,VLOOKUP(B72,'Pre-Calculation'!$H$1:$L$32,3,FALSE)+VLOOKUP(B72,'Pre-Calculation'!$H$1:$L$32,4,FALSE)*'Pre-Calculation'!$D$7,0)</f>
        <v>830</v>
      </c>
      <c r="H72" s="175">
        <f>(E72-(F72+G72)*(1+Tax)+O71)</f>
        <v>818785.0189</v>
      </c>
      <c r="I72" s="175">
        <f>IF(B72&lt;PT+1,VLOOKUP(D72,'Pre-Calculation'!$N$3:$P$79,IF(INPUT!$C$4="M",2,3),FALSE)*(J72/1000)*(1/12),0)</f>
        <v>27.22000028</v>
      </c>
      <c r="J72" s="175">
        <f>MAX(0,(SA-H72))</f>
        <v>181214.9811</v>
      </c>
      <c r="K72" s="175">
        <f>H72-I72*(1+Tax)</f>
        <v>818752.8993</v>
      </c>
      <c r="L72" s="187">
        <f>VLOOKUP(C72,'NAVs_Till 29 Jun 2021'!$A$3:$J$2236,MATCH('Pre-Calculation'!$C$34,'NAVs_Till 29 Jun 2021'!$A$1:$J$1,0))</f>
        <v>20.7486</v>
      </c>
      <c r="M72" s="187">
        <f>IFERROR(1,VLOOKUP(C72,'NAVs_Till 29 Jun 2021'!$A$3:$J$2236,MATCH(#REF!,'NAVs_Till 29 Jun 2021'!$A$1:$J$1,0)))</f>
        <v>1</v>
      </c>
      <c r="N72" s="175">
        <f>VLOOKUP('Pre-Calculation'!$C$34,INPUT!$B$20:$C$28,2,0)*K72*(L73/L72)+ IFERROR(0,VLOOKUP('Pre-Calculation'!$D$34,INPUT!$B$20:$C$28,2,0))*K72*(M73/M72)</f>
        <v>818752.8993</v>
      </c>
      <c r="O72" s="175">
        <f t="shared" si="3"/>
        <v>818752.8993</v>
      </c>
      <c r="P72" s="175">
        <f t="shared" si="4"/>
        <v>818752.8993</v>
      </c>
      <c r="Q72" s="175">
        <f>IF('Pre-Calculation'!$D$17="Type 4 a",MAX(SA,O72,1.05*R72),IF('Pre-Calculation'!$D$17="Type 4 c",O72,IF('Pre-Calculation'!$D$17="Type 4 d",SA+O72,IF('Pre-Calculation'!$D$17="Type 4 e",MAX(SA,O72),IF('Pre-Calculation'!$D$17="Type 4 f",SA,IF('Pre-Calculation'!$D$17="Type 4 g",1000+O72,IF('Pre-Calculation'!$D$17="Type 4 h",SA+S72,IF('Pre-Calculation'!$D$17="Type 4 i",MAX(O72,R72),IF('Pre-Calculation'!$D$17="Type 4 k",MAX(O72,1.01*R72),IF('Pre-Calculation'!$D$17="Type 4 m",MAX(105%*R72,SA+O72),IF('Pre-Calculation'!$D$17="Type 4 o",MAX(SA,105%*R72)+X72+Z72,IF('Pre-Calculation'!$D$17="Type 5",0))))))))))))</f>
        <v>1000000</v>
      </c>
      <c r="R72" s="175">
        <f t="shared" si="5"/>
        <v>600000</v>
      </c>
      <c r="S72" s="119">
        <f>K72*(1+GROWTH_RATE)*FMC</f>
        <v>926.5192472</v>
      </c>
      <c r="T72" s="178">
        <f>T71*(1+'Pre-Calculation'!$E$27)</f>
        <v>785389.843</v>
      </c>
      <c r="U72" s="175">
        <f>-E72+IF(A71=INPUT!$C$11*12,O72,0)</f>
        <v>0</v>
      </c>
      <c r="V72" s="171"/>
      <c r="W72" s="112"/>
      <c r="X72" s="179">
        <f t="array" ref="X72">NPV('Pre-Calculation'!$E$20,$E73:E$246)</f>
        <v>348405.9191</v>
      </c>
      <c r="Y72" s="171">
        <f>10%*SA</f>
        <v>100000</v>
      </c>
      <c r="Z72" s="179">
        <f t="array" ref="Z72">NPV('Pre-Calculation'!$E$20,Y73:Y82)</f>
        <v>969592.8037</v>
      </c>
    </row>
    <row r="73" ht="15.75" customHeight="1">
      <c r="A73" s="171">
        <f t="shared" si="1"/>
        <v>67</v>
      </c>
      <c r="B73" s="171">
        <f t="shared" si="2"/>
        <v>6</v>
      </c>
      <c r="C73" s="176">
        <f>EDATE(RCD,A72)</f>
        <v>44560</v>
      </c>
      <c r="D73" s="171">
        <f>Age_At_Entry+Cashflows_Backtesting!B73-1</f>
        <v>40</v>
      </c>
      <c r="E73" s="175">
        <f>IF(AND(C73&lt;=Last_Prem,MOD(A72,Mode)=0),Mod_Prem,0)</f>
        <v>0</v>
      </c>
      <c r="F73" s="177">
        <f>E73*VLOOKUP(B73,'Pre-Calculation'!$H$1:$I$31,2,FALSE)</f>
        <v>0</v>
      </c>
      <c r="G73" s="177">
        <f>IF(B73&lt;PT+1,VLOOKUP(B73,'Pre-Calculation'!$H$1:$L$32,3,FALSE)+VLOOKUP(B73,'Pre-Calculation'!$H$1:$L$32,4,FALSE)*'Pre-Calculation'!$D$7,0)</f>
        <v>830</v>
      </c>
      <c r="H73" s="175">
        <f>(E73-(F73+G73)*(1+Tax)+O72)</f>
        <v>817773.4993</v>
      </c>
      <c r="I73" s="175">
        <f>IF(B73&lt;PT+1,VLOOKUP(D73,'Pre-Calculation'!$N$3:$P$79,IF(INPUT!$C$4="M",2,3),FALSE)*(J73/1000)*(1/12),0)</f>
        <v>27.37193895</v>
      </c>
      <c r="J73" s="175">
        <f>MAX(0,(SA-H73))</f>
        <v>182226.5007</v>
      </c>
      <c r="K73" s="175">
        <f>H73-I73*(1+Tax)</f>
        <v>817741.2004</v>
      </c>
      <c r="L73" s="187">
        <f>VLOOKUP(C73,'NAVs_Till 29 Jun 2021'!$A$3:$J$2236,MATCH('Pre-Calculation'!$C$34,'NAVs_Till 29 Jun 2021'!$A$1:$J$1,0))</f>
        <v>20.7486</v>
      </c>
      <c r="M73" s="187">
        <f>IFERROR(1,VLOOKUP(C73,'NAVs_Till 29 Jun 2021'!$A$3:$J$2236,MATCH(#REF!,'NAVs_Till 29 Jun 2021'!$A$1:$J$1,0)))</f>
        <v>1</v>
      </c>
      <c r="N73" s="175">
        <f>VLOOKUP('Pre-Calculation'!$C$34,INPUT!$B$20:$C$28,2,0)*K73*(L74/L73)+ IFERROR(0,VLOOKUP('Pre-Calculation'!$D$34,INPUT!$B$20:$C$28,2,0))*K73*(M74/M73)</f>
        <v>817741.2004</v>
      </c>
      <c r="O73" s="175">
        <f t="shared" si="3"/>
        <v>817741.2004</v>
      </c>
      <c r="P73" s="175">
        <f t="shared" si="4"/>
        <v>817741.2004</v>
      </c>
      <c r="Q73" s="175">
        <f>IF('Pre-Calculation'!$D$17="Type 4 a",MAX(SA,O73,1.05*R73),IF('Pre-Calculation'!$D$17="Type 4 c",O73,IF('Pre-Calculation'!$D$17="Type 4 d",SA+O73,IF('Pre-Calculation'!$D$17="Type 4 e",MAX(SA,O73),IF('Pre-Calculation'!$D$17="Type 4 f",SA,IF('Pre-Calculation'!$D$17="Type 4 g",1000+O73,IF('Pre-Calculation'!$D$17="Type 4 h",SA+S73,IF('Pre-Calculation'!$D$17="Type 4 i",MAX(O73,R73),IF('Pre-Calculation'!$D$17="Type 4 k",MAX(O73,1.01*R73),IF('Pre-Calculation'!$D$17="Type 4 m",MAX(105%*R73,SA+O73),IF('Pre-Calculation'!$D$17="Type 4 o",MAX(SA,105%*R73)+X73+Z73,IF('Pre-Calculation'!$D$17="Type 5",0))))))))))))</f>
        <v>1000000</v>
      </c>
      <c r="R73" s="175">
        <f t="shared" si="5"/>
        <v>600000</v>
      </c>
      <c r="S73" s="119">
        <f>K73*(1+GROWTH_RATE)*FMC</f>
        <v>925.3743859</v>
      </c>
      <c r="T73" s="178">
        <f>T72*(1+'Pre-Calculation'!$E$27)</f>
        <v>787644.6177</v>
      </c>
      <c r="U73" s="175">
        <f>-E73+IF(A72=INPUT!$C$11*12,O73,0)</f>
        <v>0</v>
      </c>
      <c r="V73" s="171"/>
      <c r="W73" s="112"/>
      <c r="X73" s="179">
        <f t="array" ref="X73">NPV('Pre-Calculation'!$E$20,$E74:E$246)</f>
        <v>350375.8568</v>
      </c>
      <c r="Y73" s="171">
        <f>10%*SA</f>
        <v>100000</v>
      </c>
      <c r="Z73" s="179">
        <f t="array" ref="Z73">NPV('Pre-Calculation'!$E$20,Y74:Y83)</f>
        <v>969592.8037</v>
      </c>
    </row>
    <row r="74" ht="15.75" customHeight="1">
      <c r="A74" s="171">
        <f t="shared" si="1"/>
        <v>68</v>
      </c>
      <c r="B74" s="171">
        <f t="shared" si="2"/>
        <v>6</v>
      </c>
      <c r="C74" s="176">
        <f>EDATE(RCD,A73)</f>
        <v>44591</v>
      </c>
      <c r="D74" s="171">
        <f>Age_At_Entry+Cashflows_Backtesting!B74-1</f>
        <v>40</v>
      </c>
      <c r="E74" s="175">
        <f>IF(AND(C74&lt;=Last_Prem,MOD(A73,Mode)=0),Mod_Prem,0)</f>
        <v>0</v>
      </c>
      <c r="F74" s="177">
        <f>E74*VLOOKUP(B74,'Pre-Calculation'!$H$1:$I$31,2,FALSE)</f>
        <v>0</v>
      </c>
      <c r="G74" s="177">
        <f>IF(B74&lt;PT+1,VLOOKUP(B74,'Pre-Calculation'!$H$1:$L$32,3,FALSE)+VLOOKUP(B74,'Pre-Calculation'!$H$1:$L$32,4,FALSE)*'Pre-Calculation'!$D$7,0)</f>
        <v>830</v>
      </c>
      <c r="H74" s="175">
        <f>(E74-(F74+G74)*(1+Tax)+O73)</f>
        <v>816761.8004</v>
      </c>
      <c r="I74" s="175">
        <f>IF(B74&lt;PT+1,VLOOKUP(D74,'Pre-Calculation'!$N$3:$P$79,IF(INPUT!$C$4="M",2,3),FALSE)*(J74/1000)*(1/12),0)</f>
        <v>27.52390456</v>
      </c>
      <c r="J74" s="175">
        <f>MAX(0,(SA-H74))</f>
        <v>183238.1996</v>
      </c>
      <c r="K74" s="175">
        <f>H74-I74*(1+Tax)</f>
        <v>816729.3222</v>
      </c>
      <c r="L74" s="187">
        <f>VLOOKUP(C74,'NAVs_Till 29 Jun 2021'!$A$3:$J$2236,MATCH('Pre-Calculation'!$C$34,'NAVs_Till 29 Jun 2021'!$A$1:$J$1,0))</f>
        <v>20.7486</v>
      </c>
      <c r="M74" s="187">
        <f>IFERROR(1,VLOOKUP(C74,'NAVs_Till 29 Jun 2021'!$A$3:$J$2236,MATCH(#REF!,'NAVs_Till 29 Jun 2021'!$A$1:$J$1,0)))</f>
        <v>1</v>
      </c>
      <c r="N74" s="175">
        <f>VLOOKUP('Pre-Calculation'!$C$34,INPUT!$B$20:$C$28,2,0)*K74*(L75/L74)+ IFERROR(0,VLOOKUP('Pre-Calculation'!$D$34,INPUT!$B$20:$C$28,2,0))*K74*(M75/M74)</f>
        <v>816729.3222</v>
      </c>
      <c r="O74" s="175">
        <f t="shared" si="3"/>
        <v>816729.3222</v>
      </c>
      <c r="P74" s="175">
        <f t="shared" si="4"/>
        <v>816729.3222</v>
      </c>
      <c r="Q74" s="175">
        <f>IF('Pre-Calculation'!$D$17="Type 4 a",MAX(SA,O74,1.05*R74),IF('Pre-Calculation'!$D$17="Type 4 c",O74,IF('Pre-Calculation'!$D$17="Type 4 d",SA+O74,IF('Pre-Calculation'!$D$17="Type 4 e",MAX(SA,O74),IF('Pre-Calculation'!$D$17="Type 4 f",SA,IF('Pre-Calculation'!$D$17="Type 4 g",1000+O74,IF('Pre-Calculation'!$D$17="Type 4 h",SA+S74,IF('Pre-Calculation'!$D$17="Type 4 i",MAX(O74,R74),IF('Pre-Calculation'!$D$17="Type 4 k",MAX(O74,1.01*R74),IF('Pre-Calculation'!$D$17="Type 4 m",MAX(105%*R74,SA+O74),IF('Pre-Calculation'!$D$17="Type 4 o",MAX(SA,105%*R74)+X74+Z74,IF('Pre-Calculation'!$D$17="Type 5",0))))))))))))</f>
        <v>1000000</v>
      </c>
      <c r="R74" s="175">
        <f t="shared" si="5"/>
        <v>600000</v>
      </c>
      <c r="S74" s="119">
        <f>K74*(1+GROWTH_RATE)*FMC</f>
        <v>924.2293217</v>
      </c>
      <c r="T74" s="178">
        <f>T73*(1+'Pre-Calculation'!$E$27)</f>
        <v>789905.8656</v>
      </c>
      <c r="U74" s="175">
        <f>-E74+IF(A73=INPUT!$C$11*12,O74,0)</f>
        <v>0</v>
      </c>
      <c r="V74" s="171"/>
      <c r="W74" s="112"/>
      <c r="X74" s="179">
        <f t="array" ref="X74">NPV('Pre-Calculation'!$E$20,$E75:E$246)</f>
        <v>352356.9328</v>
      </c>
      <c r="Y74" s="171">
        <f>10%*SA</f>
        <v>100000</v>
      </c>
      <c r="Z74" s="179">
        <f t="array" ref="Z74">NPV('Pre-Calculation'!$E$20,Y75:Y84)</f>
        <v>969592.8037</v>
      </c>
    </row>
    <row r="75" ht="15.75" customHeight="1">
      <c r="A75" s="171">
        <f t="shared" si="1"/>
        <v>69</v>
      </c>
      <c r="B75" s="171">
        <f t="shared" si="2"/>
        <v>6</v>
      </c>
      <c r="C75" s="176">
        <f>EDATE(RCD,A74)</f>
        <v>44620</v>
      </c>
      <c r="D75" s="171">
        <f>Age_At_Entry+Cashflows_Backtesting!B75-1</f>
        <v>40</v>
      </c>
      <c r="E75" s="175">
        <f>IF(AND(C75&lt;=Last_Prem,MOD(A74,Mode)=0),Mod_Prem,0)</f>
        <v>0</v>
      </c>
      <c r="F75" s="177">
        <f>E75*VLOOKUP(B75,'Pre-Calculation'!$H$1:$I$31,2,FALSE)</f>
        <v>0</v>
      </c>
      <c r="G75" s="177">
        <f>IF(B75&lt;PT+1,VLOOKUP(B75,'Pre-Calculation'!$H$1:$L$32,3,FALSE)+VLOOKUP(B75,'Pre-Calculation'!$H$1:$L$32,4,FALSE)*'Pre-Calculation'!$D$7,0)</f>
        <v>830</v>
      </c>
      <c r="H75" s="175">
        <f>(E75-(F75+G75)*(1+Tax)+O74)</f>
        <v>815749.9222</v>
      </c>
      <c r="I75" s="175">
        <f>IF(B75&lt;PT+1,VLOOKUP(D75,'Pre-Calculation'!$N$3:$P$79,IF(INPUT!$C$4="M",2,3),FALSE)*(J75/1000)*(1/12),0)</f>
        <v>27.6758971</v>
      </c>
      <c r="J75" s="175">
        <f>MAX(0,(SA-H75))</f>
        <v>184250.0778</v>
      </c>
      <c r="K75" s="175">
        <f>H75-I75*(1+Tax)</f>
        <v>815717.2647</v>
      </c>
      <c r="L75" s="187">
        <f>VLOOKUP(C75,'NAVs_Till 29 Jun 2021'!$A$3:$J$2236,MATCH('Pre-Calculation'!$C$34,'NAVs_Till 29 Jun 2021'!$A$1:$J$1,0))</f>
        <v>20.7486</v>
      </c>
      <c r="M75" s="187">
        <f>IFERROR(1,VLOOKUP(C75,'NAVs_Till 29 Jun 2021'!$A$3:$J$2236,MATCH(#REF!,'NAVs_Till 29 Jun 2021'!$A$1:$J$1,0)))</f>
        <v>1</v>
      </c>
      <c r="N75" s="175">
        <f>VLOOKUP('Pre-Calculation'!$C$34,INPUT!$B$20:$C$28,2,0)*K75*(L76/L75)+ IFERROR(0,VLOOKUP('Pre-Calculation'!$D$34,INPUT!$B$20:$C$28,2,0))*K75*(M76/M75)</f>
        <v>815717.2647</v>
      </c>
      <c r="O75" s="175">
        <f t="shared" si="3"/>
        <v>815717.2647</v>
      </c>
      <c r="P75" s="175">
        <f t="shared" si="4"/>
        <v>815717.2647</v>
      </c>
      <c r="Q75" s="175">
        <f>IF('Pre-Calculation'!$D$17="Type 4 a",MAX(SA,O75,1.05*R75),IF('Pre-Calculation'!$D$17="Type 4 c",O75,IF('Pre-Calculation'!$D$17="Type 4 d",SA+O75,IF('Pre-Calculation'!$D$17="Type 4 e",MAX(SA,O75),IF('Pre-Calculation'!$D$17="Type 4 f",SA,IF('Pre-Calculation'!$D$17="Type 4 g",1000+O75,IF('Pre-Calculation'!$D$17="Type 4 h",SA+S75,IF('Pre-Calculation'!$D$17="Type 4 i",MAX(O75,R75),IF('Pre-Calculation'!$D$17="Type 4 k",MAX(O75,1.01*R75),IF('Pre-Calculation'!$D$17="Type 4 m",MAX(105%*R75,SA+O75),IF('Pre-Calculation'!$D$17="Type 4 o",MAX(SA,105%*R75)+X75+Z75,IF('Pre-Calculation'!$D$17="Type 5",0))))))))))))</f>
        <v>1000000</v>
      </c>
      <c r="R75" s="175">
        <f t="shared" si="5"/>
        <v>600000</v>
      </c>
      <c r="S75" s="119">
        <f>K75*(1+GROWTH_RATE)*FMC</f>
        <v>923.0840546</v>
      </c>
      <c r="T75" s="178">
        <f>T74*(1+'Pre-Calculation'!$E$27)</f>
        <v>792173.6054</v>
      </c>
      <c r="U75" s="175">
        <f>-E75+IF(A74=INPUT!$C$11*12,O75,0)</f>
        <v>0</v>
      </c>
      <c r="V75" s="171"/>
      <c r="W75" s="112"/>
      <c r="X75" s="179">
        <f t="array" ref="X75">NPV('Pre-Calculation'!$E$20,$E76:E$246)</f>
        <v>354349.2102</v>
      </c>
      <c r="Y75" s="171">
        <f>10%*SA</f>
        <v>100000</v>
      </c>
      <c r="Z75" s="179">
        <f t="array" ref="Z75">NPV('Pre-Calculation'!$E$20,Y76:Y85)</f>
        <v>969592.8037</v>
      </c>
    </row>
    <row r="76" ht="15.75" customHeight="1">
      <c r="A76" s="171">
        <f t="shared" si="1"/>
        <v>70</v>
      </c>
      <c r="B76" s="171">
        <f t="shared" si="2"/>
        <v>6</v>
      </c>
      <c r="C76" s="176">
        <f>EDATE(RCD,A75)</f>
        <v>44650</v>
      </c>
      <c r="D76" s="171">
        <f>Age_At_Entry+Cashflows_Backtesting!B76-1</f>
        <v>40</v>
      </c>
      <c r="E76" s="175">
        <f>IF(AND(C76&lt;=Last_Prem,MOD(A75,Mode)=0),Mod_Prem,0)</f>
        <v>0</v>
      </c>
      <c r="F76" s="177">
        <f>E76*VLOOKUP(B76,'Pre-Calculation'!$H$1:$I$31,2,FALSE)</f>
        <v>0</v>
      </c>
      <c r="G76" s="177">
        <f>IF(B76&lt;PT+1,VLOOKUP(B76,'Pre-Calculation'!$H$1:$L$32,3,FALSE)+VLOOKUP(B76,'Pre-Calculation'!$H$1:$L$32,4,FALSE)*'Pre-Calculation'!$D$7,0)</f>
        <v>830</v>
      </c>
      <c r="H76" s="175">
        <f>(E76-(F76+G76)*(1+Tax)+O75)</f>
        <v>814737.8647</v>
      </c>
      <c r="I76" s="175">
        <f>IF(B76&lt;PT+1,VLOOKUP(D76,'Pre-Calculation'!$N$3:$P$79,IF(INPUT!$C$4="M",2,3),FALSE)*(J76/1000)*(1/12),0)</f>
        <v>27.82791658</v>
      </c>
      <c r="J76" s="175">
        <f>MAX(0,(SA-H76))</f>
        <v>185262.1353</v>
      </c>
      <c r="K76" s="175">
        <f>H76-I76*(1+Tax)</f>
        <v>814705.0277</v>
      </c>
      <c r="L76" s="187">
        <f>VLOOKUP(C76,'NAVs_Till 29 Jun 2021'!$A$3:$J$2236,MATCH('Pre-Calculation'!$C$34,'NAVs_Till 29 Jun 2021'!$A$1:$J$1,0))</f>
        <v>20.7486</v>
      </c>
      <c r="M76" s="187">
        <f>IFERROR(1,VLOOKUP(C76,'NAVs_Till 29 Jun 2021'!$A$3:$J$2236,MATCH(#REF!,'NAVs_Till 29 Jun 2021'!$A$1:$J$1,0)))</f>
        <v>1</v>
      </c>
      <c r="N76" s="175">
        <f>VLOOKUP('Pre-Calculation'!$C$34,INPUT!$B$20:$C$28,2,0)*K76*(L77/L76)+ IFERROR(0,VLOOKUP('Pre-Calculation'!$D$34,INPUT!$B$20:$C$28,2,0))*K76*(M77/M76)</f>
        <v>814705.0277</v>
      </c>
      <c r="O76" s="175">
        <f t="shared" si="3"/>
        <v>814705.0277</v>
      </c>
      <c r="P76" s="175">
        <f t="shared" si="4"/>
        <v>814705.0277</v>
      </c>
      <c r="Q76" s="175">
        <f>IF('Pre-Calculation'!$D$17="Type 4 a",MAX(SA,O76,1.05*R76),IF('Pre-Calculation'!$D$17="Type 4 c",O76,IF('Pre-Calculation'!$D$17="Type 4 d",SA+O76,IF('Pre-Calculation'!$D$17="Type 4 e",MAX(SA,O76),IF('Pre-Calculation'!$D$17="Type 4 f",SA,IF('Pre-Calculation'!$D$17="Type 4 g",1000+O76,IF('Pre-Calculation'!$D$17="Type 4 h",SA+S76,IF('Pre-Calculation'!$D$17="Type 4 i",MAX(O76,R76),IF('Pre-Calculation'!$D$17="Type 4 k",MAX(O76,1.01*R76),IF('Pre-Calculation'!$D$17="Type 4 m",MAX(105%*R76,SA+O76),IF('Pre-Calculation'!$D$17="Type 4 o",MAX(SA,105%*R76)+X76+Z76,IF('Pre-Calculation'!$D$17="Type 5",0))))))))))))</f>
        <v>1000000</v>
      </c>
      <c r="R76" s="175">
        <f t="shared" si="5"/>
        <v>600000</v>
      </c>
      <c r="S76" s="119">
        <f>K76*(1+GROWTH_RATE)*FMC</f>
        <v>921.9385844</v>
      </c>
      <c r="T76" s="178">
        <f>T75*(1+'Pre-Calculation'!$E$27)</f>
        <v>794447.8556</v>
      </c>
      <c r="U76" s="175">
        <f>-E76+IF(A75=INPUT!$C$11*12,O76,0)</f>
        <v>0</v>
      </c>
      <c r="V76" s="171"/>
      <c r="W76" s="112"/>
      <c r="X76" s="179">
        <f t="array" ref="X76">NPV('Pre-Calculation'!$E$20,$E77:E$246)</f>
        <v>356352.7521</v>
      </c>
      <c r="Y76" s="171">
        <f>10%*SA</f>
        <v>100000</v>
      </c>
      <c r="Z76" s="179">
        <f t="array" ref="Z76">NPV('Pre-Calculation'!$E$20,Y77:Y86)</f>
        <v>969592.8037</v>
      </c>
    </row>
    <row r="77" ht="15.75" customHeight="1">
      <c r="A77" s="171">
        <f t="shared" si="1"/>
        <v>71</v>
      </c>
      <c r="B77" s="171">
        <f t="shared" si="2"/>
        <v>6</v>
      </c>
      <c r="C77" s="176">
        <f>EDATE(RCD,A76)</f>
        <v>44681</v>
      </c>
      <c r="D77" s="171">
        <f>Age_At_Entry+Cashflows_Backtesting!B77-1</f>
        <v>40</v>
      </c>
      <c r="E77" s="175">
        <f>IF(AND(C77&lt;=Last_Prem,MOD(A76,Mode)=0),Mod_Prem,0)</f>
        <v>0</v>
      </c>
      <c r="F77" s="177">
        <f>E77*VLOOKUP(B77,'Pre-Calculation'!$H$1:$I$31,2,FALSE)</f>
        <v>0</v>
      </c>
      <c r="G77" s="177">
        <f>IF(B77&lt;PT+1,VLOOKUP(B77,'Pre-Calculation'!$H$1:$L$32,3,FALSE)+VLOOKUP(B77,'Pre-Calculation'!$H$1:$L$32,4,FALSE)*'Pre-Calculation'!$D$7,0)</f>
        <v>830</v>
      </c>
      <c r="H77" s="175">
        <f>(E77-(F77+G77)*(1+Tax)+O76)</f>
        <v>813725.6277</v>
      </c>
      <c r="I77" s="175">
        <f>IF(B77&lt;PT+1,VLOOKUP(D77,'Pre-Calculation'!$N$3:$P$79,IF(INPUT!$C$4="M",2,3),FALSE)*(J77/1000)*(1/12),0)</f>
        <v>27.979963</v>
      </c>
      <c r="J77" s="175">
        <f>MAX(0,(SA-H77))</f>
        <v>186274.3723</v>
      </c>
      <c r="K77" s="175">
        <f>H77-I77*(1+Tax)</f>
        <v>813692.6114</v>
      </c>
      <c r="L77" s="187">
        <f>VLOOKUP(C77,'NAVs_Till 29 Jun 2021'!$A$3:$J$2236,MATCH('Pre-Calculation'!$C$34,'NAVs_Till 29 Jun 2021'!$A$1:$J$1,0))</f>
        <v>20.7486</v>
      </c>
      <c r="M77" s="187">
        <f>IFERROR(1,VLOOKUP(C77,'NAVs_Till 29 Jun 2021'!$A$3:$J$2236,MATCH(#REF!,'NAVs_Till 29 Jun 2021'!$A$1:$J$1,0)))</f>
        <v>1</v>
      </c>
      <c r="N77" s="175">
        <f>VLOOKUP('Pre-Calculation'!$C$34,INPUT!$B$20:$C$28,2,0)*K77*(L78/L77)+ IFERROR(0,VLOOKUP('Pre-Calculation'!$D$34,INPUT!$B$20:$C$28,2,0))*K77*(M78/M77)</f>
        <v>813692.6114</v>
      </c>
      <c r="O77" s="175">
        <f t="shared" si="3"/>
        <v>813692.6114</v>
      </c>
      <c r="P77" s="175">
        <f t="shared" si="4"/>
        <v>813692.6114</v>
      </c>
      <c r="Q77" s="175">
        <f>IF('Pre-Calculation'!$D$17="Type 4 a",MAX(SA,O77,1.05*R77),IF('Pre-Calculation'!$D$17="Type 4 c",O77,IF('Pre-Calculation'!$D$17="Type 4 d",SA+O77,IF('Pre-Calculation'!$D$17="Type 4 e",MAX(SA,O77),IF('Pre-Calculation'!$D$17="Type 4 f",SA,IF('Pre-Calculation'!$D$17="Type 4 g",1000+O77,IF('Pre-Calculation'!$D$17="Type 4 h",SA+S77,IF('Pre-Calculation'!$D$17="Type 4 i",MAX(O77,R77),IF('Pre-Calculation'!$D$17="Type 4 k",MAX(O77,1.01*R77),IF('Pre-Calculation'!$D$17="Type 4 m",MAX(105%*R77,SA+O77),IF('Pre-Calculation'!$D$17="Type 4 o",MAX(SA,105%*R77)+X77+Z77,IF('Pre-Calculation'!$D$17="Type 5",0))))))))))))</f>
        <v>1000000</v>
      </c>
      <c r="R77" s="175">
        <f t="shared" si="5"/>
        <v>600000</v>
      </c>
      <c r="S77" s="119">
        <f>K77*(1+GROWTH_RATE)*FMC</f>
        <v>920.7929112</v>
      </c>
      <c r="T77" s="178">
        <f>T76*(1+'Pre-Calculation'!$E$27)</f>
        <v>796728.6349</v>
      </c>
      <c r="U77" s="175">
        <f>-E77+IF(A76=INPUT!$C$11*12,O77,0)</f>
        <v>0</v>
      </c>
      <c r="V77" s="171"/>
      <c r="W77" s="112"/>
      <c r="X77" s="179">
        <f t="array" ref="X77">NPV('Pre-Calculation'!$E$20,$E78:E$246)</f>
        <v>358367.6224</v>
      </c>
      <c r="Y77" s="171">
        <f>10%*SA</f>
        <v>100000</v>
      </c>
      <c r="Z77" s="179">
        <f t="array" ref="Z77">NPV('Pre-Calculation'!$E$20,Y78:Y87)</f>
        <v>969592.8037</v>
      </c>
    </row>
    <row r="78" ht="15.75" customHeight="1">
      <c r="A78" s="171">
        <f t="shared" si="1"/>
        <v>72</v>
      </c>
      <c r="B78" s="171">
        <f t="shared" si="2"/>
        <v>6</v>
      </c>
      <c r="C78" s="176">
        <f>EDATE(RCD,A77)</f>
        <v>44711</v>
      </c>
      <c r="D78" s="171">
        <f>Age_At_Entry+Cashflows_Backtesting!B78-1</f>
        <v>40</v>
      </c>
      <c r="E78" s="175">
        <f>IF(AND(C78&lt;=Last_Prem,MOD(A77,Mode)=0),Mod_Prem,0)</f>
        <v>0</v>
      </c>
      <c r="F78" s="177">
        <f>E78*VLOOKUP(B78,'Pre-Calculation'!$H$1:$I$31,2,FALSE)</f>
        <v>0</v>
      </c>
      <c r="G78" s="177">
        <f>IF(B78&lt;PT+1,VLOOKUP(B78,'Pre-Calculation'!$H$1:$L$32,3,FALSE)+VLOOKUP(B78,'Pre-Calculation'!$H$1:$L$32,4,FALSE)*'Pre-Calculation'!$D$7,0)</f>
        <v>830</v>
      </c>
      <c r="H78" s="175">
        <f>(E78-(F78+G78)*(1+Tax)+O77)</f>
        <v>812713.2114</v>
      </c>
      <c r="I78" s="175">
        <f>IF(B78&lt;PT+1,VLOOKUP(D78,'Pre-Calculation'!$N$3:$P$79,IF(INPUT!$C$4="M",2,3),FALSE)*(J78/1000)*(1/12),0)</f>
        <v>28.13203637</v>
      </c>
      <c r="J78" s="175">
        <f>MAX(0,(SA-H78))</f>
        <v>187286.7886</v>
      </c>
      <c r="K78" s="175">
        <f>H78-I78*(1+Tax)</f>
        <v>812680.0156</v>
      </c>
      <c r="L78" s="187">
        <f>VLOOKUP(C78,'NAVs_Till 29 Jun 2021'!$A$3:$J$2236,MATCH('Pre-Calculation'!$C$34,'NAVs_Till 29 Jun 2021'!$A$1:$J$1,0))</f>
        <v>20.7486</v>
      </c>
      <c r="M78" s="187">
        <f>IFERROR(1,VLOOKUP(C78,'NAVs_Till 29 Jun 2021'!$A$3:$J$2236,MATCH(#REF!,'NAVs_Till 29 Jun 2021'!$A$1:$J$1,0)))</f>
        <v>1</v>
      </c>
      <c r="N78" s="175">
        <f>VLOOKUP('Pre-Calculation'!$C$34,INPUT!$B$20:$C$28,2,0)*K78*(L79/L78)+ IFERROR(0,VLOOKUP('Pre-Calculation'!$D$34,INPUT!$B$20:$C$28,2,0))*K78*(M79/M78)</f>
        <v>812680.0156</v>
      </c>
      <c r="O78" s="175">
        <f t="shared" si="3"/>
        <v>812680.0156</v>
      </c>
      <c r="P78" s="175">
        <f t="shared" si="4"/>
        <v>812680.0156</v>
      </c>
      <c r="Q78" s="175">
        <f>IF('Pre-Calculation'!$D$17="Type 4 a",MAX(SA,O78,1.05*R78),IF('Pre-Calculation'!$D$17="Type 4 c",O78,IF('Pre-Calculation'!$D$17="Type 4 d",SA+O78,IF('Pre-Calculation'!$D$17="Type 4 e",MAX(SA,O78),IF('Pre-Calculation'!$D$17="Type 4 f",SA,IF('Pre-Calculation'!$D$17="Type 4 g",1000+O78,IF('Pre-Calculation'!$D$17="Type 4 h",SA+S78,IF('Pre-Calculation'!$D$17="Type 4 i",MAX(O78,R78),IF('Pre-Calculation'!$D$17="Type 4 k",MAX(O78,1.01*R78),IF('Pre-Calculation'!$D$17="Type 4 m",MAX(105%*R78,SA+O78),IF('Pre-Calculation'!$D$17="Type 4 o",MAX(SA,105%*R78)+X78+Z78,IF('Pre-Calculation'!$D$17="Type 5",0))))))))))))</f>
        <v>1000000</v>
      </c>
      <c r="R78" s="175">
        <f t="shared" si="5"/>
        <v>600000</v>
      </c>
      <c r="S78" s="119">
        <f>K78*(1+GROWTH_RATE)*FMC</f>
        <v>919.647035</v>
      </c>
      <c r="T78" s="178">
        <f>T77*(1+'Pre-Calculation'!$E$27)</f>
        <v>799015.9621</v>
      </c>
      <c r="U78" s="175">
        <f>-E78+IF(A77=INPUT!$C$11*12,O78,0)</f>
        <v>0</v>
      </c>
      <c r="V78" s="171"/>
      <c r="W78" s="112"/>
      <c r="X78" s="179">
        <f t="array" ref="X78">NPV('Pre-Calculation'!$E$20,$E79:E$246)</f>
        <v>360393.885</v>
      </c>
      <c r="Y78" s="171">
        <f>10%*SA</f>
        <v>100000</v>
      </c>
      <c r="Z78" s="179">
        <f t="array" ref="Z78">NPV('Pre-Calculation'!$E$20,Y79:Y88)</f>
        <v>969592.8037</v>
      </c>
    </row>
    <row r="79" ht="15.75" customHeight="1">
      <c r="A79" s="171">
        <f t="shared" si="1"/>
        <v>73</v>
      </c>
      <c r="B79" s="171">
        <f t="shared" si="2"/>
        <v>7</v>
      </c>
      <c r="C79" s="176">
        <f>EDATE(RCD,A78)</f>
        <v>44742</v>
      </c>
      <c r="D79" s="171">
        <f>Age_At_Entry+Cashflows_Backtesting!B79-1</f>
        <v>41</v>
      </c>
      <c r="E79" s="175">
        <f>IF(AND(C79&lt;=Last_Prem,MOD(A78,Mode)=0),Mod_Prem,0)</f>
        <v>100000</v>
      </c>
      <c r="F79" s="177">
        <f>E79*VLOOKUP(B79,'Pre-Calculation'!$H$1:$I$31,2,FALSE)</f>
        <v>0</v>
      </c>
      <c r="G79" s="177">
        <f>IF(B79&lt;PT+1,VLOOKUP(B79,'Pre-Calculation'!$H$1:$L$32,3,FALSE)+VLOOKUP(B79,'Pre-Calculation'!$H$1:$L$32,4,FALSE)*'Pre-Calculation'!$D$7,0)</f>
        <v>830</v>
      </c>
      <c r="H79" s="175">
        <f>(E79-(F79+G79)*(1+Tax)+O78)</f>
        <v>911700.6156</v>
      </c>
      <c r="I79" s="175">
        <f>IF(B79&lt;PT+1,VLOOKUP(D79,'Pre-Calculation'!$N$3:$P$79,IF(INPUT!$C$4="M",2,3),FALSE)*(J79/1000)*(1/12),0)</f>
        <v>14.41487451</v>
      </c>
      <c r="J79" s="175">
        <f>MAX(0,(SA-H79))</f>
        <v>88299.38442</v>
      </c>
      <c r="K79" s="175">
        <f>H79-I79*(1+Tax)</f>
        <v>911683.606</v>
      </c>
      <c r="L79" s="187">
        <f>VLOOKUP(C79,'NAVs_Till 29 Jun 2021'!$A$3:$J$2236,MATCH('Pre-Calculation'!$C$34,'NAVs_Till 29 Jun 2021'!$A$1:$J$1,0))</f>
        <v>20.7486</v>
      </c>
      <c r="M79" s="187">
        <f>IFERROR(1,VLOOKUP(C79,'NAVs_Till 29 Jun 2021'!$A$3:$J$2236,MATCH(#REF!,'NAVs_Till 29 Jun 2021'!$A$1:$J$1,0)))</f>
        <v>1</v>
      </c>
      <c r="N79" s="175">
        <f>VLOOKUP('Pre-Calculation'!$C$34,INPUT!$B$20:$C$28,2,0)*K79*(L80/L79)+ IFERROR(0,VLOOKUP('Pre-Calculation'!$D$34,INPUT!$B$20:$C$28,2,0))*K79*(M80/M79)</f>
        <v>911683.606</v>
      </c>
      <c r="O79" s="175">
        <f t="shared" si="3"/>
        <v>911683.606</v>
      </c>
      <c r="P79" s="175">
        <f t="shared" si="4"/>
        <v>911683.606</v>
      </c>
      <c r="Q79" s="175">
        <f>IF('Pre-Calculation'!$D$17="Type 4 a",MAX(SA,O79,1.05*R79),IF('Pre-Calculation'!$D$17="Type 4 c",O79,IF('Pre-Calculation'!$D$17="Type 4 d",SA+O79,IF('Pre-Calculation'!$D$17="Type 4 e",MAX(SA,O79),IF('Pre-Calculation'!$D$17="Type 4 f",SA,IF('Pre-Calculation'!$D$17="Type 4 g",1000+O79,IF('Pre-Calculation'!$D$17="Type 4 h",SA+S79,IF('Pre-Calculation'!$D$17="Type 4 i",MAX(O79,R79),IF('Pre-Calculation'!$D$17="Type 4 k",MAX(O79,1.01*R79),IF('Pre-Calculation'!$D$17="Type 4 m",MAX(105%*R79,SA+O79),IF('Pre-Calculation'!$D$17="Type 4 o",MAX(SA,105%*R79)+X79+Z79,IF('Pre-Calculation'!$D$17="Type 5",0))))))))))))</f>
        <v>1000000</v>
      </c>
      <c r="R79" s="175">
        <f t="shared" si="5"/>
        <v>700000</v>
      </c>
      <c r="S79" s="119">
        <f>K79*(1+GROWTH_RATE)*FMC</f>
        <v>1031.681731</v>
      </c>
      <c r="T79" s="178">
        <f>T78*(1+'Pre-Calculation'!$E$27)</f>
        <v>801309.856</v>
      </c>
      <c r="U79" s="175">
        <f>-E79+IF(A78=INPUT!$C$11*12,O79,0)</f>
        <v>-100000</v>
      </c>
      <c r="V79" s="171"/>
      <c r="W79" s="112"/>
      <c r="X79" s="179">
        <f t="array" ref="X79">NPV('Pre-Calculation'!$E$20,$E80:E$246)</f>
        <v>262431.6044</v>
      </c>
      <c r="Y79" s="171">
        <f>10%*SA</f>
        <v>100000</v>
      </c>
      <c r="Z79" s="179">
        <f t="array" ref="Z79">NPV('Pre-Calculation'!$E$20,Y80:Y89)</f>
        <v>969592.8037</v>
      </c>
    </row>
    <row r="80" ht="15.75" customHeight="1">
      <c r="A80" s="171">
        <f t="shared" si="1"/>
        <v>74</v>
      </c>
      <c r="B80" s="171">
        <f t="shared" si="2"/>
        <v>7</v>
      </c>
      <c r="C80" s="176">
        <f>EDATE(RCD,A79)</f>
        <v>44772</v>
      </c>
      <c r="D80" s="171">
        <f>Age_At_Entry+Cashflows_Backtesting!B80-1</f>
        <v>41</v>
      </c>
      <c r="E80" s="175">
        <f>IF(AND(C80&lt;=Last_Prem,MOD(A79,Mode)=0),Mod_Prem,0)</f>
        <v>0</v>
      </c>
      <c r="F80" s="177">
        <f>E80*VLOOKUP(B80,'Pre-Calculation'!$H$1:$I$31,2,FALSE)</f>
        <v>0</v>
      </c>
      <c r="G80" s="177">
        <f>IF(B80&lt;PT+1,VLOOKUP(B80,'Pre-Calculation'!$H$1:$L$32,3,FALSE)+VLOOKUP(B80,'Pre-Calculation'!$H$1:$L$32,4,FALSE)*'Pre-Calculation'!$D$7,0)</f>
        <v>830</v>
      </c>
      <c r="H80" s="175">
        <f>(E80-(F80+G80)*(1+Tax)+O79)</f>
        <v>910704.206</v>
      </c>
      <c r="I80" s="175">
        <f>IF(B80&lt;PT+1,VLOOKUP(D80,'Pre-Calculation'!$N$3:$P$79,IF(INPUT!$C$4="M",2,3),FALSE)*(J80/1000)*(1/12),0)</f>
        <v>14.57753837</v>
      </c>
      <c r="J80" s="175">
        <f>MAX(0,(SA-H80))</f>
        <v>89295.79397</v>
      </c>
      <c r="K80" s="175">
        <f>H80-I80*(1+Tax)</f>
        <v>910687.0045</v>
      </c>
      <c r="L80" s="187">
        <f>VLOOKUP(C80,'NAVs_Till 29 Jun 2021'!$A$3:$J$2236,MATCH('Pre-Calculation'!$C$34,'NAVs_Till 29 Jun 2021'!$A$1:$J$1,0))</f>
        <v>20.7486</v>
      </c>
      <c r="M80" s="187">
        <f>IFERROR(1,VLOOKUP(C80,'NAVs_Till 29 Jun 2021'!$A$3:$J$2236,MATCH(#REF!,'NAVs_Till 29 Jun 2021'!$A$1:$J$1,0)))</f>
        <v>1</v>
      </c>
      <c r="N80" s="175">
        <f>VLOOKUP('Pre-Calculation'!$C$34,INPUT!$B$20:$C$28,2,0)*K80*(L81/L80)+ IFERROR(0,VLOOKUP('Pre-Calculation'!$D$34,INPUT!$B$20:$C$28,2,0))*K80*(M81/M80)</f>
        <v>910687.0045</v>
      </c>
      <c r="O80" s="175">
        <f t="shared" si="3"/>
        <v>910687.0045</v>
      </c>
      <c r="P80" s="175">
        <f t="shared" si="4"/>
        <v>910687.0045</v>
      </c>
      <c r="Q80" s="175">
        <f>IF('Pre-Calculation'!$D$17="Type 4 a",MAX(SA,O80,1.05*R80),IF('Pre-Calculation'!$D$17="Type 4 c",O80,IF('Pre-Calculation'!$D$17="Type 4 d",SA+O80,IF('Pre-Calculation'!$D$17="Type 4 e",MAX(SA,O80),IF('Pre-Calculation'!$D$17="Type 4 f",SA,IF('Pre-Calculation'!$D$17="Type 4 g",1000+O80,IF('Pre-Calculation'!$D$17="Type 4 h",SA+S80,IF('Pre-Calculation'!$D$17="Type 4 i",MAX(O80,R80),IF('Pre-Calculation'!$D$17="Type 4 k",MAX(O80,1.01*R80),IF('Pre-Calculation'!$D$17="Type 4 m",MAX(105%*R80,SA+O80),IF('Pre-Calculation'!$D$17="Type 4 o",MAX(SA,105%*R80)+X80+Z80,IF('Pre-Calculation'!$D$17="Type 5",0))))))))))))</f>
        <v>1000000</v>
      </c>
      <c r="R80" s="175">
        <f t="shared" si="5"/>
        <v>700000</v>
      </c>
      <c r="S80" s="119">
        <f>K80*(1+GROWTH_RATE)*FMC</f>
        <v>1030.553954</v>
      </c>
      <c r="T80" s="178">
        <f>T79*(1+'Pre-Calculation'!$E$27)</f>
        <v>803610.3355</v>
      </c>
      <c r="U80" s="175">
        <f>-E80+IF(A79=INPUT!$C$11*12,O80,0)</f>
        <v>0</v>
      </c>
      <c r="V80" s="171"/>
      <c r="W80" s="112"/>
      <c r="X80" s="179">
        <f t="array" ref="X80">NPV('Pre-Calculation'!$E$20,$E81:E$246)</f>
        <v>263915.4309</v>
      </c>
      <c r="Y80" s="171">
        <f>10%*SA</f>
        <v>100000</v>
      </c>
      <c r="Z80" s="179">
        <f t="array" ref="Z80">NPV('Pre-Calculation'!$E$20,Y81:Y90)</f>
        <v>969592.8037</v>
      </c>
    </row>
    <row r="81" ht="15.75" customHeight="1">
      <c r="A81" s="171">
        <f t="shared" si="1"/>
        <v>75</v>
      </c>
      <c r="B81" s="171">
        <f t="shared" si="2"/>
        <v>7</v>
      </c>
      <c r="C81" s="176">
        <f>EDATE(RCD,A80)</f>
        <v>44803</v>
      </c>
      <c r="D81" s="171">
        <f>Age_At_Entry+Cashflows_Backtesting!B81-1</f>
        <v>41</v>
      </c>
      <c r="E81" s="175">
        <f>IF(AND(C81&lt;=Last_Prem,MOD(A80,Mode)=0),Mod_Prem,0)</f>
        <v>0</v>
      </c>
      <c r="F81" s="177">
        <f>E81*VLOOKUP(B81,'Pre-Calculation'!$H$1:$I$31,2,FALSE)</f>
        <v>0</v>
      </c>
      <c r="G81" s="177">
        <f>IF(B81&lt;PT+1,VLOOKUP(B81,'Pre-Calculation'!$H$1:$L$32,3,FALSE)+VLOOKUP(B81,'Pre-Calculation'!$H$1:$L$32,4,FALSE)*'Pre-Calculation'!$D$7,0)</f>
        <v>830</v>
      </c>
      <c r="H81" s="175">
        <f>(E81-(F81+G81)*(1+Tax)+O80)</f>
        <v>909707.6045</v>
      </c>
      <c r="I81" s="175">
        <f>IF(B81&lt;PT+1,VLOOKUP(D81,'Pre-Calculation'!$N$3:$P$79,IF(INPUT!$C$4="M",2,3),FALSE)*(J81/1000)*(1/12),0)</f>
        <v>14.74023356</v>
      </c>
      <c r="J81" s="175">
        <f>MAX(0,(SA-H81))</f>
        <v>90292.39547</v>
      </c>
      <c r="K81" s="175">
        <f>H81-I81*(1+Tax)</f>
        <v>909690.2111</v>
      </c>
      <c r="L81" s="187">
        <f>VLOOKUP(C81,'NAVs_Till 29 Jun 2021'!$A$3:$J$2236,MATCH('Pre-Calculation'!$C$34,'NAVs_Till 29 Jun 2021'!$A$1:$J$1,0))</f>
        <v>20.7486</v>
      </c>
      <c r="M81" s="187">
        <f>IFERROR(1,VLOOKUP(C81,'NAVs_Till 29 Jun 2021'!$A$3:$J$2236,MATCH(#REF!,'NAVs_Till 29 Jun 2021'!$A$1:$J$1,0)))</f>
        <v>1</v>
      </c>
      <c r="N81" s="175">
        <f>VLOOKUP('Pre-Calculation'!$C$34,INPUT!$B$20:$C$28,2,0)*K81*(L82/L81)+ IFERROR(0,VLOOKUP('Pre-Calculation'!$D$34,INPUT!$B$20:$C$28,2,0))*K81*(M82/M81)</f>
        <v>909690.2111</v>
      </c>
      <c r="O81" s="175">
        <f t="shared" si="3"/>
        <v>909690.2111</v>
      </c>
      <c r="P81" s="175">
        <f t="shared" si="4"/>
        <v>909690.2111</v>
      </c>
      <c r="Q81" s="175">
        <f>IF('Pre-Calculation'!$D$17="Type 4 a",MAX(SA,O81,1.05*R81),IF('Pre-Calculation'!$D$17="Type 4 c",O81,IF('Pre-Calculation'!$D$17="Type 4 d",SA+O81,IF('Pre-Calculation'!$D$17="Type 4 e",MAX(SA,O81),IF('Pre-Calculation'!$D$17="Type 4 f",SA,IF('Pre-Calculation'!$D$17="Type 4 g",1000+O81,IF('Pre-Calculation'!$D$17="Type 4 h",SA+S81,IF('Pre-Calculation'!$D$17="Type 4 i",MAX(O81,R81),IF('Pre-Calculation'!$D$17="Type 4 k",MAX(O81,1.01*R81),IF('Pre-Calculation'!$D$17="Type 4 m",MAX(105%*R81,SA+O81),IF('Pre-Calculation'!$D$17="Type 4 o",MAX(SA,105%*R81)+X81+Z81,IF('Pre-Calculation'!$D$17="Type 5",0))))))))))))</f>
        <v>1000000</v>
      </c>
      <c r="R81" s="175">
        <f t="shared" si="5"/>
        <v>700000</v>
      </c>
      <c r="S81" s="119">
        <f>K81*(1+GROWTH_RATE)*FMC</f>
        <v>1029.42596</v>
      </c>
      <c r="T81" s="178">
        <f>T80*(1+'Pre-Calculation'!$E$27)</f>
        <v>805917.4193</v>
      </c>
      <c r="U81" s="175">
        <f>-E81+IF(A80=INPUT!$C$11*12,O81,0)</f>
        <v>0</v>
      </c>
      <c r="V81" s="171"/>
      <c r="W81" s="112"/>
      <c r="X81" s="179">
        <f t="array" ref="X81">NPV('Pre-Calculation'!$E$20,$E82:E$246)</f>
        <v>265407.6471</v>
      </c>
      <c r="Y81" s="171">
        <f>10%*SA</f>
        <v>100000</v>
      </c>
      <c r="Z81" s="179">
        <f t="array" ref="Z81">NPV('Pre-Calculation'!$E$20,Y82:Y91)</f>
        <v>969592.8037</v>
      </c>
    </row>
    <row r="82" ht="15.75" customHeight="1">
      <c r="A82" s="171">
        <f t="shared" si="1"/>
        <v>76</v>
      </c>
      <c r="B82" s="171">
        <f t="shared" si="2"/>
        <v>7</v>
      </c>
      <c r="C82" s="176">
        <f>EDATE(RCD,A81)</f>
        <v>44834</v>
      </c>
      <c r="D82" s="171">
        <f>Age_At_Entry+Cashflows_Backtesting!B82-1</f>
        <v>41</v>
      </c>
      <c r="E82" s="175">
        <f>IF(AND(C82&lt;=Last_Prem,MOD(A81,Mode)=0),Mod_Prem,0)</f>
        <v>0</v>
      </c>
      <c r="F82" s="177">
        <f>E82*VLOOKUP(B82,'Pre-Calculation'!$H$1:$I$31,2,FALSE)</f>
        <v>0</v>
      </c>
      <c r="G82" s="177">
        <f>IF(B82&lt;PT+1,VLOOKUP(B82,'Pre-Calculation'!$H$1:$L$32,3,FALSE)+VLOOKUP(B82,'Pre-Calculation'!$H$1:$L$32,4,FALSE)*'Pre-Calculation'!$D$7,0)</f>
        <v>830</v>
      </c>
      <c r="H82" s="175">
        <f>(E82-(F82+G82)*(1+Tax)+O81)</f>
        <v>908710.8111</v>
      </c>
      <c r="I82" s="175">
        <f>IF(B82&lt;PT+1,VLOOKUP(D82,'Pre-Calculation'!$N$3:$P$79,IF(INPUT!$C$4="M",2,3),FALSE)*(J82/1000)*(1/12),0)</f>
        <v>14.90296009</v>
      </c>
      <c r="J82" s="175">
        <f>MAX(0,(SA-H82))</f>
        <v>91289.18894</v>
      </c>
      <c r="K82" s="175">
        <f>H82-I82*(1+Tax)</f>
        <v>908693.2256</v>
      </c>
      <c r="L82" s="187">
        <f>VLOOKUP(C82,'NAVs_Till 29 Jun 2021'!$A$3:$J$2236,MATCH('Pre-Calculation'!$C$34,'NAVs_Till 29 Jun 2021'!$A$1:$J$1,0))</f>
        <v>20.7486</v>
      </c>
      <c r="M82" s="187">
        <f>IFERROR(1,VLOOKUP(C82,'NAVs_Till 29 Jun 2021'!$A$3:$J$2236,MATCH(#REF!,'NAVs_Till 29 Jun 2021'!$A$1:$J$1,0)))</f>
        <v>1</v>
      </c>
      <c r="N82" s="175">
        <f>VLOOKUP('Pre-Calculation'!$C$34,INPUT!$B$20:$C$28,2,0)*K82*(L83/L82)+ IFERROR(0,VLOOKUP('Pre-Calculation'!$D$34,INPUT!$B$20:$C$28,2,0))*K82*(M83/M82)</f>
        <v>908693.2256</v>
      </c>
      <c r="O82" s="175">
        <f t="shared" si="3"/>
        <v>908693.2256</v>
      </c>
      <c r="P82" s="175">
        <f t="shared" si="4"/>
        <v>908693.2256</v>
      </c>
      <c r="Q82" s="175">
        <f>IF('Pre-Calculation'!$D$17="Type 4 a",MAX(SA,O82,1.05*R82),IF('Pre-Calculation'!$D$17="Type 4 c",O82,IF('Pre-Calculation'!$D$17="Type 4 d",SA+O82,IF('Pre-Calculation'!$D$17="Type 4 e",MAX(SA,O82),IF('Pre-Calculation'!$D$17="Type 4 f",SA,IF('Pre-Calculation'!$D$17="Type 4 g",1000+O82,IF('Pre-Calculation'!$D$17="Type 4 h",SA+S82,IF('Pre-Calculation'!$D$17="Type 4 i",MAX(O82,R82),IF('Pre-Calculation'!$D$17="Type 4 k",MAX(O82,1.01*R82),IF('Pre-Calculation'!$D$17="Type 4 m",MAX(105%*R82,SA+O82),IF('Pre-Calculation'!$D$17="Type 4 o",MAX(SA,105%*R82)+X82+Z82,IF('Pre-Calculation'!$D$17="Type 5",0))))))))))))</f>
        <v>1000000</v>
      </c>
      <c r="R82" s="175">
        <f t="shared" si="5"/>
        <v>700000</v>
      </c>
      <c r="S82" s="119">
        <f>K82*(1+GROWTH_RATE)*FMC</f>
        <v>1028.297749</v>
      </c>
      <c r="T82" s="178">
        <f>T81*(1+'Pre-Calculation'!$E$27)</f>
        <v>808231.1266</v>
      </c>
      <c r="U82" s="175">
        <f>-E82+IF(A81=INPUT!$C$11*12,O82,0)</f>
        <v>0</v>
      </c>
      <c r="V82" s="171"/>
      <c r="W82" s="112"/>
      <c r="X82" s="179">
        <f t="array" ref="X82">NPV('Pre-Calculation'!$E$20,$E83:E$246)</f>
        <v>266908.3005</v>
      </c>
      <c r="Y82" s="171">
        <f>10%*SA</f>
        <v>100000</v>
      </c>
      <c r="Z82" s="179">
        <f t="array" ref="Z82">NPV('Pre-Calculation'!$E$20,Y83:Y92)</f>
        <v>969592.8037</v>
      </c>
    </row>
    <row r="83" ht="15.75" customHeight="1">
      <c r="A83" s="171">
        <f t="shared" si="1"/>
        <v>77</v>
      </c>
      <c r="B83" s="171">
        <f t="shared" si="2"/>
        <v>7</v>
      </c>
      <c r="C83" s="176">
        <f>EDATE(RCD,A82)</f>
        <v>44864</v>
      </c>
      <c r="D83" s="171">
        <f>Age_At_Entry+Cashflows_Backtesting!B83-1</f>
        <v>41</v>
      </c>
      <c r="E83" s="175">
        <f>IF(AND(C83&lt;=Last_Prem,MOD(A82,Mode)=0),Mod_Prem,0)</f>
        <v>0</v>
      </c>
      <c r="F83" s="177">
        <f>E83*VLOOKUP(B83,'Pre-Calculation'!$H$1:$I$31,2,FALSE)</f>
        <v>0</v>
      </c>
      <c r="G83" s="177">
        <f>IF(B83&lt;PT+1,VLOOKUP(B83,'Pre-Calculation'!$H$1:$L$32,3,FALSE)+VLOOKUP(B83,'Pre-Calculation'!$H$1:$L$32,4,FALSE)*'Pre-Calculation'!$D$7,0)</f>
        <v>830</v>
      </c>
      <c r="H83" s="175">
        <f>(E83-(F83+G83)*(1+Tax)+O82)</f>
        <v>907713.8256</v>
      </c>
      <c r="I83" s="175">
        <f>IF(B83&lt;PT+1,VLOOKUP(D83,'Pre-Calculation'!$N$3:$P$79,IF(INPUT!$C$4="M",2,3),FALSE)*(J83/1000)*(1/12),0)</f>
        <v>15.06571798</v>
      </c>
      <c r="J83" s="175">
        <f>MAX(0,(SA-H83))</f>
        <v>92286.17444</v>
      </c>
      <c r="K83" s="175">
        <f>H83-I83*(1+Tax)</f>
        <v>907696.048</v>
      </c>
      <c r="L83" s="187">
        <f>VLOOKUP(C83,'NAVs_Till 29 Jun 2021'!$A$3:$J$2236,MATCH('Pre-Calculation'!$C$34,'NAVs_Till 29 Jun 2021'!$A$1:$J$1,0))</f>
        <v>20.7486</v>
      </c>
      <c r="M83" s="187">
        <f>IFERROR(1,VLOOKUP(C83,'NAVs_Till 29 Jun 2021'!$A$3:$J$2236,MATCH(#REF!,'NAVs_Till 29 Jun 2021'!$A$1:$J$1,0)))</f>
        <v>1</v>
      </c>
      <c r="N83" s="175">
        <f>VLOOKUP('Pre-Calculation'!$C$34,INPUT!$B$20:$C$28,2,0)*K83*(L84/L83)+ IFERROR(0,VLOOKUP('Pre-Calculation'!$D$34,INPUT!$B$20:$C$28,2,0))*K83*(M84/M83)</f>
        <v>907696.048</v>
      </c>
      <c r="O83" s="175">
        <f t="shared" si="3"/>
        <v>907696.048</v>
      </c>
      <c r="P83" s="175">
        <f t="shared" si="4"/>
        <v>907696.048</v>
      </c>
      <c r="Q83" s="175">
        <f>IF('Pre-Calculation'!$D$17="Type 4 a",MAX(SA,O83,1.05*R83),IF('Pre-Calculation'!$D$17="Type 4 c",O83,IF('Pre-Calculation'!$D$17="Type 4 d",SA+O83,IF('Pre-Calculation'!$D$17="Type 4 e",MAX(SA,O83),IF('Pre-Calculation'!$D$17="Type 4 f",SA,IF('Pre-Calculation'!$D$17="Type 4 g",1000+O83,IF('Pre-Calculation'!$D$17="Type 4 h",SA+S83,IF('Pre-Calculation'!$D$17="Type 4 i",MAX(O83,R83),IF('Pre-Calculation'!$D$17="Type 4 k",MAX(O83,1.01*R83),IF('Pre-Calculation'!$D$17="Type 4 m",MAX(105%*R83,SA+O83),IF('Pre-Calculation'!$D$17="Type 4 o",MAX(SA,105%*R83)+X83+Z83,IF('Pre-Calculation'!$D$17="Type 5",0))))))))))))</f>
        <v>1000000</v>
      </c>
      <c r="R83" s="175">
        <f t="shared" si="5"/>
        <v>700000</v>
      </c>
      <c r="S83" s="119">
        <f>K83*(1+GROWTH_RATE)*FMC</f>
        <v>1027.16932</v>
      </c>
      <c r="T83" s="178">
        <f>T82*(1+'Pre-Calculation'!$E$27)</f>
        <v>810551.4763</v>
      </c>
      <c r="U83" s="175">
        <f>-E83+IF(A82=INPUT!$C$11*12,O83,0)</f>
        <v>0</v>
      </c>
      <c r="V83" s="171"/>
      <c r="W83" s="112"/>
      <c r="X83" s="179">
        <f t="array" ref="X83">NPV('Pre-Calculation'!$E$20,$E84:E$246)</f>
        <v>268417.4389</v>
      </c>
      <c r="Y83" s="171">
        <f>10%*SA</f>
        <v>100000</v>
      </c>
      <c r="Z83" s="179">
        <f t="array" ref="Z83">NPV('Pre-Calculation'!$E$20,Y84:Y93)</f>
        <v>969592.8037</v>
      </c>
    </row>
    <row r="84" ht="15.75" customHeight="1">
      <c r="A84" s="171">
        <f t="shared" si="1"/>
        <v>78</v>
      </c>
      <c r="B84" s="171">
        <f t="shared" si="2"/>
        <v>7</v>
      </c>
      <c r="C84" s="176">
        <f>EDATE(RCD,A83)</f>
        <v>44895</v>
      </c>
      <c r="D84" s="171">
        <f>Age_At_Entry+Cashflows_Backtesting!B84-1</f>
        <v>41</v>
      </c>
      <c r="E84" s="175">
        <f>IF(AND(C84&lt;=Last_Prem,MOD(A83,Mode)=0),Mod_Prem,0)</f>
        <v>0</v>
      </c>
      <c r="F84" s="177">
        <f>E84*VLOOKUP(B84,'Pre-Calculation'!$H$1:$I$31,2,FALSE)</f>
        <v>0</v>
      </c>
      <c r="G84" s="177">
        <f>IF(B84&lt;PT+1,VLOOKUP(B84,'Pre-Calculation'!$H$1:$L$32,3,FALSE)+VLOOKUP(B84,'Pre-Calculation'!$H$1:$L$32,4,FALSE)*'Pre-Calculation'!$D$7,0)</f>
        <v>830</v>
      </c>
      <c r="H84" s="175">
        <f>(E84-(F84+G84)*(1+Tax)+O83)</f>
        <v>906716.648</v>
      </c>
      <c r="I84" s="175">
        <f>IF(B84&lt;PT+1,VLOOKUP(D84,'Pre-Calculation'!$N$3:$P$79,IF(INPUT!$C$4="M",2,3),FALSE)*(J84/1000)*(1/12),0)</f>
        <v>15.22850721</v>
      </c>
      <c r="J84" s="175">
        <f>MAX(0,(SA-H84))</f>
        <v>93283.35198</v>
      </c>
      <c r="K84" s="175">
        <f>H84-I84*(1+Tax)</f>
        <v>906698.6784</v>
      </c>
      <c r="L84" s="187">
        <f>VLOOKUP(C84,'NAVs_Till 29 Jun 2021'!$A$3:$J$2236,MATCH('Pre-Calculation'!$C$34,'NAVs_Till 29 Jun 2021'!$A$1:$J$1,0))</f>
        <v>20.7486</v>
      </c>
      <c r="M84" s="187">
        <f>IFERROR(1,VLOOKUP(C84,'NAVs_Till 29 Jun 2021'!$A$3:$J$2236,MATCH(#REF!,'NAVs_Till 29 Jun 2021'!$A$1:$J$1,0)))</f>
        <v>1</v>
      </c>
      <c r="N84" s="175">
        <f>VLOOKUP('Pre-Calculation'!$C$34,INPUT!$B$20:$C$28,2,0)*K84*(L85/L84)+ IFERROR(0,VLOOKUP('Pre-Calculation'!$D$34,INPUT!$B$20:$C$28,2,0))*K84*(M85/M84)</f>
        <v>906698.6784</v>
      </c>
      <c r="O84" s="175">
        <f t="shared" si="3"/>
        <v>906698.6784</v>
      </c>
      <c r="P84" s="175">
        <f t="shared" si="4"/>
        <v>906698.6784</v>
      </c>
      <c r="Q84" s="175">
        <f>IF('Pre-Calculation'!$D$17="Type 4 a",MAX(SA,O84,1.05*R84),IF('Pre-Calculation'!$D$17="Type 4 c",O84,IF('Pre-Calculation'!$D$17="Type 4 d",SA+O84,IF('Pre-Calculation'!$D$17="Type 4 e",MAX(SA,O84),IF('Pre-Calculation'!$D$17="Type 4 f",SA,IF('Pre-Calculation'!$D$17="Type 4 g",1000+O84,IF('Pre-Calculation'!$D$17="Type 4 h",SA+S84,IF('Pre-Calculation'!$D$17="Type 4 i",MAX(O84,R84),IF('Pre-Calculation'!$D$17="Type 4 k",MAX(O84,1.01*R84),IF('Pre-Calculation'!$D$17="Type 4 m",MAX(105%*R84,SA+O84),IF('Pre-Calculation'!$D$17="Type 4 o",MAX(SA,105%*R84)+X84+Z84,IF('Pre-Calculation'!$D$17="Type 5",0))))))))))))</f>
        <v>1000000</v>
      </c>
      <c r="R84" s="175">
        <f t="shared" si="5"/>
        <v>700000</v>
      </c>
      <c r="S84" s="119">
        <f>K84*(1+GROWTH_RATE)*FMC</f>
        <v>1026.040674</v>
      </c>
      <c r="T84" s="178">
        <f>T83*(1+'Pre-Calculation'!$E$27)</f>
        <v>812878.4875</v>
      </c>
      <c r="U84" s="175">
        <f>-E84+IF(A83=INPUT!$C$11*12,O84,0)</f>
        <v>0</v>
      </c>
      <c r="V84" s="171"/>
      <c r="W84" s="112"/>
      <c r="X84" s="179">
        <f t="array" ref="X84">NPV('Pre-Calculation'!$E$20,$E85:E$246)</f>
        <v>269935.1101</v>
      </c>
      <c r="Y84" s="171">
        <f>10%*SA</f>
        <v>100000</v>
      </c>
      <c r="Z84" s="179">
        <f t="array" ref="Z84">NPV('Pre-Calculation'!$E$20,Y85:Y94)</f>
        <v>969592.8037</v>
      </c>
    </row>
    <row r="85" ht="15.75" customHeight="1">
      <c r="A85" s="171">
        <f t="shared" si="1"/>
        <v>79</v>
      </c>
      <c r="B85" s="171">
        <f t="shared" si="2"/>
        <v>7</v>
      </c>
      <c r="C85" s="176">
        <f>EDATE(RCD,A84)</f>
        <v>44925</v>
      </c>
      <c r="D85" s="171">
        <f>Age_At_Entry+Cashflows_Backtesting!B85-1</f>
        <v>41</v>
      </c>
      <c r="E85" s="175">
        <f>IF(AND(C85&lt;=Last_Prem,MOD(A84,Mode)=0),Mod_Prem,0)</f>
        <v>0</v>
      </c>
      <c r="F85" s="177">
        <f>E85*VLOOKUP(B85,'Pre-Calculation'!$H$1:$I$31,2,FALSE)</f>
        <v>0</v>
      </c>
      <c r="G85" s="177">
        <f>IF(B85&lt;PT+1,VLOOKUP(B85,'Pre-Calculation'!$H$1:$L$32,3,FALSE)+VLOOKUP(B85,'Pre-Calculation'!$H$1:$L$32,4,FALSE)*'Pre-Calculation'!$D$7,0)</f>
        <v>830</v>
      </c>
      <c r="H85" s="175">
        <f>(E85-(F85+G85)*(1+Tax)+O84)</f>
        <v>905719.2784</v>
      </c>
      <c r="I85" s="175">
        <f>IF(B85&lt;PT+1,VLOOKUP(D85,'Pre-Calculation'!$N$3:$P$79,IF(INPUT!$C$4="M",2,3),FALSE)*(J85/1000)*(1/12),0)</f>
        <v>15.3913278</v>
      </c>
      <c r="J85" s="175">
        <f>MAX(0,(SA-H85))</f>
        <v>94280.72162</v>
      </c>
      <c r="K85" s="175">
        <f>H85-I85*(1+Tax)</f>
        <v>905701.1166</v>
      </c>
      <c r="L85" s="187">
        <f>VLOOKUP(C85,'NAVs_Till 29 Jun 2021'!$A$3:$J$2236,MATCH('Pre-Calculation'!$C$34,'NAVs_Till 29 Jun 2021'!$A$1:$J$1,0))</f>
        <v>20.7486</v>
      </c>
      <c r="M85" s="187">
        <f>IFERROR(1,VLOOKUP(C85,'NAVs_Till 29 Jun 2021'!$A$3:$J$2236,MATCH(#REF!,'NAVs_Till 29 Jun 2021'!$A$1:$J$1,0)))</f>
        <v>1</v>
      </c>
      <c r="N85" s="175">
        <f>VLOOKUP('Pre-Calculation'!$C$34,INPUT!$B$20:$C$28,2,0)*K85*(L86/L85)+ IFERROR(0,VLOOKUP('Pre-Calculation'!$D$34,INPUT!$B$20:$C$28,2,0))*K85*(M86/M85)</f>
        <v>905701.1166</v>
      </c>
      <c r="O85" s="175">
        <f t="shared" si="3"/>
        <v>905701.1166</v>
      </c>
      <c r="P85" s="175">
        <f t="shared" si="4"/>
        <v>905701.1166</v>
      </c>
      <c r="Q85" s="175">
        <f>IF('Pre-Calculation'!$D$17="Type 4 a",MAX(SA,O85,1.05*R85),IF('Pre-Calculation'!$D$17="Type 4 c",O85,IF('Pre-Calculation'!$D$17="Type 4 d",SA+O85,IF('Pre-Calculation'!$D$17="Type 4 e",MAX(SA,O85),IF('Pre-Calculation'!$D$17="Type 4 f",SA,IF('Pre-Calculation'!$D$17="Type 4 g",1000+O85,IF('Pre-Calculation'!$D$17="Type 4 h",SA+S85,IF('Pre-Calculation'!$D$17="Type 4 i",MAX(O85,R85),IF('Pre-Calculation'!$D$17="Type 4 k",MAX(O85,1.01*R85),IF('Pre-Calculation'!$D$17="Type 4 m",MAX(105%*R85,SA+O85),IF('Pre-Calculation'!$D$17="Type 4 o",MAX(SA,105%*R85)+X85+Z85,IF('Pre-Calculation'!$D$17="Type 5",0))))))))))))</f>
        <v>1000000</v>
      </c>
      <c r="R85" s="175">
        <f t="shared" si="5"/>
        <v>700000</v>
      </c>
      <c r="S85" s="119">
        <f>K85*(1+GROWTH_RATE)*FMC</f>
        <v>1024.911811</v>
      </c>
      <c r="T85" s="178">
        <f>T84*(1+'Pre-Calculation'!$E$27)</f>
        <v>815212.1793</v>
      </c>
      <c r="U85" s="175">
        <f>-E85+IF(A84=INPUT!$C$11*12,O85,0)</f>
        <v>0</v>
      </c>
      <c r="V85" s="171"/>
      <c r="W85" s="112"/>
      <c r="X85" s="179">
        <f t="array" ref="X85">NPV('Pre-Calculation'!$E$20,$E86:E$246)</f>
        <v>271461.3624</v>
      </c>
      <c r="Y85" s="171">
        <f>10%*SA</f>
        <v>100000</v>
      </c>
      <c r="Z85" s="179">
        <f t="array" ref="Z85">NPV('Pre-Calculation'!$E$20,Y86:Y95)</f>
        <v>969592.8037</v>
      </c>
    </row>
    <row r="86" ht="15.75" customHeight="1">
      <c r="A86" s="171">
        <f t="shared" si="1"/>
        <v>80</v>
      </c>
      <c r="B86" s="171">
        <f t="shared" si="2"/>
        <v>7</v>
      </c>
      <c r="C86" s="176">
        <f>EDATE(RCD,A85)</f>
        <v>44956</v>
      </c>
      <c r="D86" s="171">
        <f>Age_At_Entry+Cashflows_Backtesting!B86-1</f>
        <v>41</v>
      </c>
      <c r="E86" s="175">
        <f>IF(AND(C86&lt;=Last_Prem,MOD(A85,Mode)=0),Mod_Prem,0)</f>
        <v>0</v>
      </c>
      <c r="F86" s="177">
        <f>E86*VLOOKUP(B86,'Pre-Calculation'!$H$1:$I$31,2,FALSE)</f>
        <v>0</v>
      </c>
      <c r="G86" s="177">
        <f>IF(B86&lt;PT+1,VLOOKUP(B86,'Pre-Calculation'!$H$1:$L$32,3,FALSE)+VLOOKUP(B86,'Pre-Calculation'!$H$1:$L$32,4,FALSE)*'Pre-Calculation'!$D$7,0)</f>
        <v>830</v>
      </c>
      <c r="H86" s="175">
        <f>(E86-(F86+G86)*(1+Tax)+O85)</f>
        <v>904721.7166</v>
      </c>
      <c r="I86" s="175">
        <f>IF(B86&lt;PT+1,VLOOKUP(D86,'Pre-Calculation'!$N$3:$P$79,IF(INPUT!$C$4="M",2,3),FALSE)*(J86/1000)*(1/12),0)</f>
        <v>15.55417976</v>
      </c>
      <c r="J86" s="175">
        <f>MAX(0,(SA-H86))</f>
        <v>95278.28339</v>
      </c>
      <c r="K86" s="175">
        <f>H86-I86*(1+Tax)</f>
        <v>904703.3627</v>
      </c>
      <c r="L86" s="187">
        <f>VLOOKUP(C86,'NAVs_Till 29 Jun 2021'!$A$3:$J$2236,MATCH('Pre-Calculation'!$C$34,'NAVs_Till 29 Jun 2021'!$A$1:$J$1,0))</f>
        <v>20.7486</v>
      </c>
      <c r="M86" s="187">
        <f>IFERROR(1,VLOOKUP(C86,'NAVs_Till 29 Jun 2021'!$A$3:$J$2236,MATCH(#REF!,'NAVs_Till 29 Jun 2021'!$A$1:$J$1,0)))</f>
        <v>1</v>
      </c>
      <c r="N86" s="175">
        <f>VLOOKUP('Pre-Calculation'!$C$34,INPUT!$B$20:$C$28,2,0)*K86*(L87/L86)+ IFERROR(0,VLOOKUP('Pre-Calculation'!$D$34,INPUT!$B$20:$C$28,2,0))*K86*(M87/M86)</f>
        <v>904703.3627</v>
      </c>
      <c r="O86" s="175">
        <f t="shared" si="3"/>
        <v>904703.3627</v>
      </c>
      <c r="P86" s="175">
        <f t="shared" si="4"/>
        <v>904703.3627</v>
      </c>
      <c r="Q86" s="175">
        <f>IF('Pre-Calculation'!$D$17="Type 4 a",MAX(SA,O86,1.05*R86),IF('Pre-Calculation'!$D$17="Type 4 c",O86,IF('Pre-Calculation'!$D$17="Type 4 d",SA+O86,IF('Pre-Calculation'!$D$17="Type 4 e",MAX(SA,O86),IF('Pre-Calculation'!$D$17="Type 4 f",SA,IF('Pre-Calculation'!$D$17="Type 4 g",1000+O86,IF('Pre-Calculation'!$D$17="Type 4 h",SA+S86,IF('Pre-Calculation'!$D$17="Type 4 i",MAX(O86,R86),IF('Pre-Calculation'!$D$17="Type 4 k",MAX(O86,1.01*R86),IF('Pre-Calculation'!$D$17="Type 4 m",MAX(105%*R86,SA+O86),IF('Pre-Calculation'!$D$17="Type 4 o",MAX(SA,105%*R86)+X86+Z86,IF('Pre-Calculation'!$D$17="Type 5",0))))))))))))</f>
        <v>1000000</v>
      </c>
      <c r="R86" s="175">
        <f t="shared" si="5"/>
        <v>700000</v>
      </c>
      <c r="S86" s="119">
        <f>K86*(1+GROWTH_RATE)*FMC</f>
        <v>1023.78273</v>
      </c>
      <c r="T86" s="178">
        <f>T85*(1+'Pre-Calculation'!$E$27)</f>
        <v>817552.5709</v>
      </c>
      <c r="U86" s="175">
        <f>-E86+IF(A85=INPUT!$C$11*12,O86,0)</f>
        <v>0</v>
      </c>
      <c r="V86" s="171"/>
      <c r="W86" s="112"/>
      <c r="X86" s="179">
        <f t="array" ref="X86">NPV('Pre-Calculation'!$E$20,$E87:E$246)</f>
        <v>272996.2445</v>
      </c>
      <c r="Y86" s="171">
        <f>10%*SA</f>
        <v>100000</v>
      </c>
      <c r="Z86" s="179">
        <f t="array" ref="Z86">NPV('Pre-Calculation'!$E$20,Y87:Y96)</f>
        <v>969592.8037</v>
      </c>
    </row>
    <row r="87" ht="15.75" customHeight="1">
      <c r="A87" s="171">
        <f t="shared" si="1"/>
        <v>81</v>
      </c>
      <c r="B87" s="171">
        <f t="shared" si="2"/>
        <v>7</v>
      </c>
      <c r="C87" s="176">
        <f>EDATE(RCD,A86)</f>
        <v>44985</v>
      </c>
      <c r="D87" s="171">
        <f>Age_At_Entry+Cashflows_Backtesting!B87-1</f>
        <v>41</v>
      </c>
      <c r="E87" s="175">
        <f>IF(AND(C87&lt;=Last_Prem,MOD(A86,Mode)=0),Mod_Prem,0)</f>
        <v>0</v>
      </c>
      <c r="F87" s="177">
        <f>E87*VLOOKUP(B87,'Pre-Calculation'!$H$1:$I$31,2,FALSE)</f>
        <v>0</v>
      </c>
      <c r="G87" s="177">
        <f>IF(B87&lt;PT+1,VLOOKUP(B87,'Pre-Calculation'!$H$1:$L$32,3,FALSE)+VLOOKUP(B87,'Pre-Calculation'!$H$1:$L$32,4,FALSE)*'Pre-Calculation'!$D$7,0)</f>
        <v>830</v>
      </c>
      <c r="H87" s="175">
        <f>(E87-(F87+G87)*(1+Tax)+O86)</f>
        <v>903723.9627</v>
      </c>
      <c r="I87" s="175">
        <f>IF(B87&lt;PT+1,VLOOKUP(D87,'Pre-Calculation'!$N$3:$P$79,IF(INPUT!$C$4="M",2,3),FALSE)*(J87/1000)*(1/12),0)</f>
        <v>15.71706309</v>
      </c>
      <c r="J87" s="175">
        <f>MAX(0,(SA-H87))</f>
        <v>96276.03732</v>
      </c>
      <c r="K87" s="175">
        <f>H87-I87*(1+Tax)</f>
        <v>903705.4165</v>
      </c>
      <c r="L87" s="187">
        <f>VLOOKUP(C87,'NAVs_Till 29 Jun 2021'!$A$3:$J$2236,MATCH('Pre-Calculation'!$C$34,'NAVs_Till 29 Jun 2021'!$A$1:$J$1,0))</f>
        <v>20.7486</v>
      </c>
      <c r="M87" s="187">
        <f>IFERROR(1,VLOOKUP(C87,'NAVs_Till 29 Jun 2021'!$A$3:$J$2236,MATCH(#REF!,'NAVs_Till 29 Jun 2021'!$A$1:$J$1,0)))</f>
        <v>1</v>
      </c>
      <c r="N87" s="175">
        <f>VLOOKUP('Pre-Calculation'!$C$34,INPUT!$B$20:$C$28,2,0)*K87*(L88/L87)+ IFERROR(0,VLOOKUP('Pre-Calculation'!$D$34,INPUT!$B$20:$C$28,2,0))*K87*(M88/M87)</f>
        <v>903705.4165</v>
      </c>
      <c r="O87" s="175">
        <f t="shared" si="3"/>
        <v>903705.4165</v>
      </c>
      <c r="P87" s="175">
        <f t="shared" si="4"/>
        <v>903705.4165</v>
      </c>
      <c r="Q87" s="175">
        <f>IF('Pre-Calculation'!$D$17="Type 4 a",MAX(SA,O87,1.05*R87),IF('Pre-Calculation'!$D$17="Type 4 c",O87,IF('Pre-Calculation'!$D$17="Type 4 d",SA+O87,IF('Pre-Calculation'!$D$17="Type 4 e",MAX(SA,O87),IF('Pre-Calculation'!$D$17="Type 4 f",SA,IF('Pre-Calculation'!$D$17="Type 4 g",1000+O87,IF('Pre-Calculation'!$D$17="Type 4 h",SA+S87,IF('Pre-Calculation'!$D$17="Type 4 i",MAX(O87,R87),IF('Pre-Calculation'!$D$17="Type 4 k",MAX(O87,1.01*R87),IF('Pre-Calculation'!$D$17="Type 4 m",MAX(105%*R87,SA+O87),IF('Pre-Calculation'!$D$17="Type 4 o",MAX(SA,105%*R87)+X87+Z87,IF('Pre-Calculation'!$D$17="Type 5",0))))))))))))</f>
        <v>1000000</v>
      </c>
      <c r="R87" s="175">
        <f t="shared" si="5"/>
        <v>700000</v>
      </c>
      <c r="S87" s="119">
        <f>K87*(1+GROWTH_RATE)*FMC</f>
        <v>1022.653432</v>
      </c>
      <c r="T87" s="178">
        <f>T86*(1+'Pre-Calculation'!$E$27)</f>
        <v>819899.6816</v>
      </c>
      <c r="U87" s="175">
        <f>-E87+IF(A86=INPUT!$C$11*12,O87,0)</f>
        <v>0</v>
      </c>
      <c r="V87" s="171"/>
      <c r="W87" s="112"/>
      <c r="X87" s="179">
        <f t="array" ref="X87">NPV('Pre-Calculation'!$E$20,$E88:E$246)</f>
        <v>274539.8049</v>
      </c>
      <c r="Y87" s="171">
        <f>10%*SA</f>
        <v>100000</v>
      </c>
      <c r="Z87" s="179">
        <f t="array" ref="Z87">NPV('Pre-Calculation'!$E$20,Y88:Y97)</f>
        <v>969592.8037</v>
      </c>
    </row>
    <row r="88" ht="15.75" customHeight="1">
      <c r="A88" s="171">
        <f t="shared" si="1"/>
        <v>82</v>
      </c>
      <c r="B88" s="171">
        <f t="shared" si="2"/>
        <v>7</v>
      </c>
      <c r="C88" s="176">
        <f>EDATE(RCD,A87)</f>
        <v>45015</v>
      </c>
      <c r="D88" s="171">
        <f>Age_At_Entry+Cashflows_Backtesting!B88-1</f>
        <v>41</v>
      </c>
      <c r="E88" s="175">
        <f>IF(AND(C88&lt;=Last_Prem,MOD(A87,Mode)=0),Mod_Prem,0)</f>
        <v>0</v>
      </c>
      <c r="F88" s="177">
        <f>E88*VLOOKUP(B88,'Pre-Calculation'!$H$1:$I$31,2,FALSE)</f>
        <v>0</v>
      </c>
      <c r="G88" s="177">
        <f>IF(B88&lt;PT+1,VLOOKUP(B88,'Pre-Calculation'!$H$1:$L$32,3,FALSE)+VLOOKUP(B88,'Pre-Calculation'!$H$1:$L$32,4,FALSE)*'Pre-Calculation'!$D$7,0)</f>
        <v>830</v>
      </c>
      <c r="H88" s="175">
        <f>(E88-(F88+G88)*(1+Tax)+O87)</f>
        <v>902726.0165</v>
      </c>
      <c r="I88" s="175">
        <f>IF(B88&lt;PT+1,VLOOKUP(D88,'Pre-Calculation'!$N$3:$P$79,IF(INPUT!$C$4="M",2,3),FALSE)*(J88/1000)*(1/12),0)</f>
        <v>15.8799778</v>
      </c>
      <c r="J88" s="175">
        <f>MAX(0,(SA-H88))</f>
        <v>97273.98345</v>
      </c>
      <c r="K88" s="175">
        <f>H88-I88*(1+Tax)</f>
        <v>902707.2782</v>
      </c>
      <c r="L88" s="187">
        <f>VLOOKUP(C88,'NAVs_Till 29 Jun 2021'!$A$3:$J$2236,MATCH('Pre-Calculation'!$C$34,'NAVs_Till 29 Jun 2021'!$A$1:$J$1,0))</f>
        <v>20.7486</v>
      </c>
      <c r="M88" s="187">
        <f>IFERROR(1,VLOOKUP(C88,'NAVs_Till 29 Jun 2021'!$A$3:$J$2236,MATCH(#REF!,'NAVs_Till 29 Jun 2021'!$A$1:$J$1,0)))</f>
        <v>1</v>
      </c>
      <c r="N88" s="175">
        <f>VLOOKUP('Pre-Calculation'!$C$34,INPUT!$B$20:$C$28,2,0)*K88*(L89/L88)+ IFERROR(0,VLOOKUP('Pre-Calculation'!$D$34,INPUT!$B$20:$C$28,2,0))*K88*(M89/M88)</f>
        <v>902707.2782</v>
      </c>
      <c r="O88" s="175">
        <f t="shared" si="3"/>
        <v>902707.2782</v>
      </c>
      <c r="P88" s="175">
        <f t="shared" si="4"/>
        <v>902707.2782</v>
      </c>
      <c r="Q88" s="175">
        <f>IF('Pre-Calculation'!$D$17="Type 4 a",MAX(SA,O88,1.05*R88),IF('Pre-Calculation'!$D$17="Type 4 c",O88,IF('Pre-Calculation'!$D$17="Type 4 d",SA+O88,IF('Pre-Calculation'!$D$17="Type 4 e",MAX(SA,O88),IF('Pre-Calculation'!$D$17="Type 4 f",SA,IF('Pre-Calculation'!$D$17="Type 4 g",1000+O88,IF('Pre-Calculation'!$D$17="Type 4 h",SA+S88,IF('Pre-Calculation'!$D$17="Type 4 i",MAX(O88,R88),IF('Pre-Calculation'!$D$17="Type 4 k",MAX(O88,1.01*R88),IF('Pre-Calculation'!$D$17="Type 4 m",MAX(105%*R88,SA+O88),IF('Pre-Calculation'!$D$17="Type 4 o",MAX(SA,105%*R88)+X88+Z88,IF('Pre-Calculation'!$D$17="Type 5",0))))))))))))</f>
        <v>1000000</v>
      </c>
      <c r="R88" s="175">
        <f t="shared" si="5"/>
        <v>700000</v>
      </c>
      <c r="S88" s="119">
        <f>K88*(1+GROWTH_RATE)*FMC</f>
        <v>1021.523916</v>
      </c>
      <c r="T88" s="178">
        <f>T87*(1+'Pre-Calculation'!$E$27)</f>
        <v>822253.5305</v>
      </c>
      <c r="U88" s="175">
        <f>-E88+IF(A87=INPUT!$C$11*12,O88,0)</f>
        <v>0</v>
      </c>
      <c r="V88" s="171"/>
      <c r="W88" s="112"/>
      <c r="X88" s="179">
        <f t="array" ref="X88">NPV('Pre-Calculation'!$E$20,$E89:E$246)</f>
        <v>276092.0929</v>
      </c>
      <c r="Y88" s="171">
        <f>10%*SA</f>
        <v>100000</v>
      </c>
      <c r="Z88" s="179">
        <f t="array" ref="Z88">NPV('Pre-Calculation'!$E$20,Y89:Y98)</f>
        <v>969592.8037</v>
      </c>
    </row>
    <row r="89" ht="15.75" customHeight="1">
      <c r="A89" s="171">
        <f t="shared" si="1"/>
        <v>83</v>
      </c>
      <c r="B89" s="171">
        <f t="shared" si="2"/>
        <v>7</v>
      </c>
      <c r="C89" s="176">
        <f>EDATE(RCD,A88)</f>
        <v>45046</v>
      </c>
      <c r="D89" s="171">
        <f>Age_At_Entry+Cashflows_Backtesting!B89-1</f>
        <v>41</v>
      </c>
      <c r="E89" s="175">
        <f>IF(AND(C89&lt;=Last_Prem,MOD(A88,Mode)=0),Mod_Prem,0)</f>
        <v>0</v>
      </c>
      <c r="F89" s="177">
        <f>E89*VLOOKUP(B89,'Pre-Calculation'!$H$1:$I$31,2,FALSE)</f>
        <v>0</v>
      </c>
      <c r="G89" s="177">
        <f>IF(B89&lt;PT+1,VLOOKUP(B89,'Pre-Calculation'!$H$1:$L$32,3,FALSE)+VLOOKUP(B89,'Pre-Calculation'!$H$1:$L$32,4,FALSE)*'Pre-Calculation'!$D$7,0)</f>
        <v>830</v>
      </c>
      <c r="H89" s="175">
        <f>(E89-(F89+G89)*(1+Tax)+O88)</f>
        <v>901727.8782</v>
      </c>
      <c r="I89" s="175">
        <f>IF(B89&lt;PT+1,VLOOKUP(D89,'Pre-Calculation'!$N$3:$P$79,IF(INPUT!$C$4="M",2,3),FALSE)*(J89/1000)*(1/12),0)</f>
        <v>16.04292389</v>
      </c>
      <c r="J89" s="175">
        <f>MAX(0,(SA-H89))</f>
        <v>98272.12183</v>
      </c>
      <c r="K89" s="175">
        <f>H89-I89*(1+Tax)</f>
        <v>901708.9475</v>
      </c>
      <c r="L89" s="187">
        <f>VLOOKUP(C89,'NAVs_Till 29 Jun 2021'!$A$3:$J$2236,MATCH('Pre-Calculation'!$C$34,'NAVs_Till 29 Jun 2021'!$A$1:$J$1,0))</f>
        <v>20.7486</v>
      </c>
      <c r="M89" s="187">
        <f>IFERROR(1,VLOOKUP(C89,'NAVs_Till 29 Jun 2021'!$A$3:$J$2236,MATCH(#REF!,'NAVs_Till 29 Jun 2021'!$A$1:$J$1,0)))</f>
        <v>1</v>
      </c>
      <c r="N89" s="175">
        <f>VLOOKUP('Pre-Calculation'!$C$34,INPUT!$B$20:$C$28,2,0)*K89*(L90/L89)+ IFERROR(0,VLOOKUP('Pre-Calculation'!$D$34,INPUT!$B$20:$C$28,2,0))*K89*(M90/M89)</f>
        <v>901708.9475</v>
      </c>
      <c r="O89" s="175">
        <f t="shared" si="3"/>
        <v>901708.9475</v>
      </c>
      <c r="P89" s="175">
        <f t="shared" si="4"/>
        <v>901708.9475</v>
      </c>
      <c r="Q89" s="175">
        <f>IF('Pre-Calculation'!$D$17="Type 4 a",MAX(SA,O89,1.05*R89),IF('Pre-Calculation'!$D$17="Type 4 c",O89,IF('Pre-Calculation'!$D$17="Type 4 d",SA+O89,IF('Pre-Calculation'!$D$17="Type 4 e",MAX(SA,O89),IF('Pre-Calculation'!$D$17="Type 4 f",SA,IF('Pre-Calculation'!$D$17="Type 4 g",1000+O89,IF('Pre-Calculation'!$D$17="Type 4 h",SA+S89,IF('Pre-Calculation'!$D$17="Type 4 i",MAX(O89,R89),IF('Pre-Calculation'!$D$17="Type 4 k",MAX(O89,1.01*R89),IF('Pre-Calculation'!$D$17="Type 4 m",MAX(105%*R89,SA+O89),IF('Pre-Calculation'!$D$17="Type 4 o",MAX(SA,105%*R89)+X89+Z89,IF('Pre-Calculation'!$D$17="Type 5",0))))))))))))</f>
        <v>1000000</v>
      </c>
      <c r="R89" s="175">
        <f t="shared" si="5"/>
        <v>700000</v>
      </c>
      <c r="S89" s="119">
        <f>K89*(1+GROWTH_RATE)*FMC</f>
        <v>1020.394182</v>
      </c>
      <c r="T89" s="178">
        <f>T88*(1+'Pre-Calculation'!$E$27)</f>
        <v>824614.1371</v>
      </c>
      <c r="U89" s="175">
        <f>-E89+IF(A88=INPUT!$C$11*12,O89,0)</f>
        <v>0</v>
      </c>
      <c r="V89" s="112"/>
      <c r="W89" s="112"/>
      <c r="X89" s="179">
        <f t="array" ref="X89">NPV('Pre-Calculation'!$E$20,$E90:E$246)</f>
        <v>277653.1577</v>
      </c>
      <c r="Y89" s="171">
        <f>10%*SA</f>
        <v>100000</v>
      </c>
      <c r="Z89" s="179">
        <f t="array" ref="Z89">NPV('Pre-Calculation'!$E$20,Y90:Y99)</f>
        <v>969592.8037</v>
      </c>
    </row>
    <row r="90" ht="15.75" customHeight="1">
      <c r="A90" s="171">
        <f t="shared" si="1"/>
        <v>84</v>
      </c>
      <c r="B90" s="171">
        <f t="shared" si="2"/>
        <v>7</v>
      </c>
      <c r="C90" s="176">
        <f>EDATE(RCD,A89)</f>
        <v>45076</v>
      </c>
      <c r="D90" s="171">
        <f>Age_At_Entry+Cashflows_Backtesting!B90-1</f>
        <v>41</v>
      </c>
      <c r="E90" s="175">
        <f>IF(AND(C90&lt;=Last_Prem,MOD(A89,Mode)=0),Mod_Prem,0)</f>
        <v>0</v>
      </c>
      <c r="F90" s="177">
        <f>E90*VLOOKUP(B90,'Pre-Calculation'!$H$1:$I$31,2,FALSE)</f>
        <v>0</v>
      </c>
      <c r="G90" s="177">
        <f>IF(B90&lt;PT+1,VLOOKUP(B90,'Pre-Calculation'!$H$1:$L$32,3,FALSE)+VLOOKUP(B90,'Pre-Calculation'!$H$1:$L$32,4,FALSE)*'Pre-Calculation'!$D$7,0)</f>
        <v>830</v>
      </c>
      <c r="H90" s="175">
        <f>(E90-(F90+G90)*(1+Tax)+O89)</f>
        <v>900729.5475</v>
      </c>
      <c r="I90" s="175">
        <f>IF(B90&lt;PT+1,VLOOKUP(D90,'Pre-Calculation'!$N$3:$P$79,IF(INPUT!$C$4="M",2,3),FALSE)*(J90/1000)*(1/12),0)</f>
        <v>16.20590137</v>
      </c>
      <c r="J90" s="175">
        <f>MAX(0,(SA-H90))</f>
        <v>99270.45248</v>
      </c>
      <c r="K90" s="175">
        <f>H90-I90*(1+Tax)</f>
        <v>900710.4246</v>
      </c>
      <c r="L90" s="187">
        <f>VLOOKUP(C90,'NAVs_Till 29 Jun 2021'!$A$3:$J$2236,MATCH('Pre-Calculation'!$C$34,'NAVs_Till 29 Jun 2021'!$A$1:$J$1,0))</f>
        <v>20.7486</v>
      </c>
      <c r="M90" s="187">
        <f>IFERROR(1,VLOOKUP(C90,'NAVs_Till 29 Jun 2021'!$A$3:$J$2236,MATCH(#REF!,'NAVs_Till 29 Jun 2021'!$A$1:$J$1,0)))</f>
        <v>1</v>
      </c>
      <c r="N90" s="175">
        <f>VLOOKUP('Pre-Calculation'!$C$34,INPUT!$B$20:$C$28,2,0)*K90*(L91/L90)+ IFERROR(0,VLOOKUP('Pre-Calculation'!$D$34,INPUT!$B$20:$C$28,2,0))*K90*(M91/M90)</f>
        <v>900710.4246</v>
      </c>
      <c r="O90" s="175">
        <f t="shared" si="3"/>
        <v>900710.4246</v>
      </c>
      <c r="P90" s="175">
        <f t="shared" si="4"/>
        <v>900710.4246</v>
      </c>
      <c r="Q90" s="175">
        <f>IF('Pre-Calculation'!$D$17="Type 4 a",MAX(SA,O90,1.05*R90),IF('Pre-Calculation'!$D$17="Type 4 c",O90,IF('Pre-Calculation'!$D$17="Type 4 d",SA+O90,IF('Pre-Calculation'!$D$17="Type 4 e",MAX(SA,O90),IF('Pre-Calculation'!$D$17="Type 4 f",SA,IF('Pre-Calculation'!$D$17="Type 4 g",1000+O90,IF('Pre-Calculation'!$D$17="Type 4 h",SA+S90,IF('Pre-Calculation'!$D$17="Type 4 i",MAX(O90,R90),IF('Pre-Calculation'!$D$17="Type 4 k",MAX(O90,1.01*R90),IF('Pre-Calculation'!$D$17="Type 4 m",MAX(105%*R90,SA+O90),IF('Pre-Calculation'!$D$17="Type 4 o",MAX(SA,105%*R90)+X90+Z90,IF('Pre-Calculation'!$D$17="Type 5",0))))))))))))</f>
        <v>1000000</v>
      </c>
      <c r="R90" s="175">
        <f t="shared" si="5"/>
        <v>700000</v>
      </c>
      <c r="S90" s="119">
        <f>K90*(1+GROWTH_RATE)*FMC</f>
        <v>1019.264231</v>
      </c>
      <c r="T90" s="178">
        <f>T89*(1+'Pre-Calculation'!$E$27)</f>
        <v>826981.5208</v>
      </c>
      <c r="U90" s="175">
        <f>-E90+IF(A89=INPUT!$C$11*12,O90,0)</f>
        <v>0</v>
      </c>
      <c r="V90" s="112"/>
      <c r="W90" s="112"/>
      <c r="X90" s="179">
        <f t="array" ref="X90">NPV('Pre-Calculation'!$E$20,$E91:E$246)</f>
        <v>279223.049</v>
      </c>
      <c r="Y90" s="171">
        <f>10%*SA</f>
        <v>100000</v>
      </c>
      <c r="Z90" s="179">
        <f t="array" ref="Z90">NPV('Pre-Calculation'!$E$20,Y91:Y100)</f>
        <v>969592.8037</v>
      </c>
    </row>
    <row r="91" ht="15.75" customHeight="1">
      <c r="A91" s="171">
        <f t="shared" si="1"/>
        <v>85</v>
      </c>
      <c r="B91" s="171">
        <f t="shared" si="2"/>
        <v>8</v>
      </c>
      <c r="C91" s="176">
        <f>EDATE(RCD,A90)</f>
        <v>45107</v>
      </c>
      <c r="D91" s="171">
        <f>Age_At_Entry+Cashflows_Backtesting!B91-1</f>
        <v>42</v>
      </c>
      <c r="E91" s="175">
        <f>IF(AND(C91&lt;=Last_Prem,MOD(A90,Mode)=0),Mod_Prem,0)</f>
        <v>100000</v>
      </c>
      <c r="F91" s="177">
        <f>E91*VLOOKUP(B91,'Pre-Calculation'!$H$1:$I$31,2,FALSE)</f>
        <v>0</v>
      </c>
      <c r="G91" s="177">
        <f>IF(B91&lt;PT+1,VLOOKUP(B91,'Pre-Calculation'!$H$1:$L$32,3,FALSE)+VLOOKUP(B91,'Pre-Calculation'!$H$1:$L$32,4,FALSE)*'Pre-Calculation'!$D$7,0)</f>
        <v>830</v>
      </c>
      <c r="H91" s="175">
        <f>(E91-(F91+G91)*(1+Tax)+O90)</f>
        <v>999731.0246</v>
      </c>
      <c r="I91" s="175">
        <f>IF(B91&lt;PT+1,VLOOKUP(D91,'Pre-Calculation'!$N$3:$P$79,IF(INPUT!$C$4="M",2,3),FALSE)*(J91/1000)*(1/12),0)</f>
        <v>0.04796728724</v>
      </c>
      <c r="J91" s="175">
        <f>MAX(0,(SA-H91))</f>
        <v>268.9754425</v>
      </c>
      <c r="K91" s="175">
        <f>H91-I91*(1+Tax)</f>
        <v>999730.968</v>
      </c>
      <c r="L91" s="187">
        <f>VLOOKUP(C91,'NAVs_Till 29 Jun 2021'!$A$3:$J$2236,MATCH('Pre-Calculation'!$C$34,'NAVs_Till 29 Jun 2021'!$A$1:$J$1,0))</f>
        <v>20.7486</v>
      </c>
      <c r="M91" s="187">
        <f>IFERROR(1,VLOOKUP(C91,'NAVs_Till 29 Jun 2021'!$A$3:$J$2236,MATCH(#REF!,'NAVs_Till 29 Jun 2021'!$A$1:$J$1,0)))</f>
        <v>1</v>
      </c>
      <c r="N91" s="175">
        <f>VLOOKUP('Pre-Calculation'!$C$34,INPUT!$B$20:$C$28,2,0)*K91*(L92/L91)+ IFERROR(0,VLOOKUP('Pre-Calculation'!$D$34,INPUT!$B$20:$C$28,2,0))*K91*(M92/M91)</f>
        <v>999730.968</v>
      </c>
      <c r="O91" s="175">
        <f t="shared" si="3"/>
        <v>999730.968</v>
      </c>
      <c r="P91" s="175">
        <f t="shared" si="4"/>
        <v>999730.968</v>
      </c>
      <c r="Q91" s="175">
        <f>IF('Pre-Calculation'!$D$17="Type 4 a",MAX(SA,O91,1.05*R91),IF('Pre-Calculation'!$D$17="Type 4 c",O91,IF('Pre-Calculation'!$D$17="Type 4 d",SA+O91,IF('Pre-Calculation'!$D$17="Type 4 e",MAX(SA,O91),IF('Pre-Calculation'!$D$17="Type 4 f",SA,IF('Pre-Calculation'!$D$17="Type 4 g",1000+O91,IF('Pre-Calculation'!$D$17="Type 4 h",SA+S91,IF('Pre-Calculation'!$D$17="Type 4 i",MAX(O91,R91),IF('Pre-Calculation'!$D$17="Type 4 k",MAX(O91,1.01*R91),IF('Pre-Calculation'!$D$17="Type 4 m",MAX(105%*R91,SA+O91),IF('Pre-Calculation'!$D$17="Type 4 o",MAX(SA,105%*R91)+X91+Z91,IF('Pre-Calculation'!$D$17="Type 5",0))))))))))))</f>
        <v>1000000</v>
      </c>
      <c r="R91" s="175">
        <f t="shared" si="5"/>
        <v>800000</v>
      </c>
      <c r="S91" s="119">
        <f>K91*(1+GROWTH_RATE)*FMC</f>
        <v>1131.318111</v>
      </c>
      <c r="T91" s="178">
        <f>T90*(1+'Pre-Calculation'!$E$27)</f>
        <v>829355.701</v>
      </c>
      <c r="U91" s="175">
        <f>-E91+IF(A90=INPUT!$C$11*12,O91,0)</f>
        <v>-100000</v>
      </c>
      <c r="V91" s="112"/>
      <c r="W91" s="112"/>
      <c r="X91" s="179">
        <f t="array" ref="X91">NPV('Pre-Calculation'!$E$20,$E92:E$246)</f>
        <v>180801.8168</v>
      </c>
      <c r="Y91" s="171">
        <f>10%*SA</f>
        <v>100000</v>
      </c>
      <c r="Z91" s="179">
        <f t="array" ref="Z91">NPV('Pre-Calculation'!$E$20,Y92:Y101)</f>
        <v>969592.8037</v>
      </c>
    </row>
    <row r="92" ht="15.75" customHeight="1">
      <c r="A92" s="171">
        <f t="shared" si="1"/>
        <v>86</v>
      </c>
      <c r="B92" s="171">
        <f t="shared" si="2"/>
        <v>8</v>
      </c>
      <c r="C92" s="176">
        <f>EDATE(RCD,A91)</f>
        <v>45137</v>
      </c>
      <c r="D92" s="171">
        <f>Age_At_Entry+Cashflows_Backtesting!B92-1</f>
        <v>42</v>
      </c>
      <c r="E92" s="175">
        <f>IF(AND(C92&lt;=Last_Prem,MOD(A91,Mode)=0),Mod_Prem,0)</f>
        <v>0</v>
      </c>
      <c r="F92" s="177">
        <f>E92*VLOOKUP(B92,'Pre-Calculation'!$H$1:$I$31,2,FALSE)</f>
        <v>0</v>
      </c>
      <c r="G92" s="177">
        <f>IF(B92&lt;PT+1,VLOOKUP(B92,'Pre-Calculation'!$H$1:$L$32,3,FALSE)+VLOOKUP(B92,'Pre-Calculation'!$H$1:$L$32,4,FALSE)*'Pre-Calculation'!$D$7,0)</f>
        <v>830</v>
      </c>
      <c r="H92" s="175">
        <f>(E92-(F92+G92)*(1+Tax)+O91)</f>
        <v>998751.568</v>
      </c>
      <c r="I92" s="175">
        <f>IF(B92&lt;PT+1,VLOOKUP(D92,'Pre-Calculation'!$N$3:$P$79,IF(INPUT!$C$4="M",2,3),FALSE)*(J92/1000)*(1/12),0)</f>
        <v>0.2226370478</v>
      </c>
      <c r="J92" s="175">
        <f>MAX(0,(SA-H92))</f>
        <v>1248.432044</v>
      </c>
      <c r="K92" s="175">
        <f>H92-I92*(1+Tax)</f>
        <v>998751.3052</v>
      </c>
      <c r="L92" s="187">
        <f>VLOOKUP(C92,'NAVs_Till 29 Jun 2021'!$A$3:$J$2236,MATCH('Pre-Calculation'!$C$34,'NAVs_Till 29 Jun 2021'!$A$1:$J$1,0))</f>
        <v>20.7486</v>
      </c>
      <c r="M92" s="187">
        <f>IFERROR(1,VLOOKUP(C92,'NAVs_Till 29 Jun 2021'!$A$3:$J$2236,MATCH(#REF!,'NAVs_Till 29 Jun 2021'!$A$1:$J$1,0)))</f>
        <v>1</v>
      </c>
      <c r="N92" s="175">
        <f>VLOOKUP('Pre-Calculation'!$C$34,INPUT!$B$20:$C$28,2,0)*K92*(L93/L92)+ IFERROR(0,VLOOKUP('Pre-Calculation'!$D$34,INPUT!$B$20:$C$28,2,0))*K92*(M93/M92)</f>
        <v>998751.3052</v>
      </c>
      <c r="O92" s="175">
        <f t="shared" si="3"/>
        <v>998751.3052</v>
      </c>
      <c r="P92" s="175">
        <f t="shared" si="4"/>
        <v>998751.3052</v>
      </c>
      <c r="Q92" s="175">
        <f>IF('Pre-Calculation'!$D$17="Type 4 a",MAX(SA,O92,1.05*R92),IF('Pre-Calculation'!$D$17="Type 4 c",O92,IF('Pre-Calculation'!$D$17="Type 4 d",SA+O92,IF('Pre-Calculation'!$D$17="Type 4 e",MAX(SA,O92),IF('Pre-Calculation'!$D$17="Type 4 f",SA,IF('Pre-Calculation'!$D$17="Type 4 g",1000+O92,IF('Pre-Calculation'!$D$17="Type 4 h",SA+S92,IF('Pre-Calculation'!$D$17="Type 4 i",MAX(O92,R92),IF('Pre-Calculation'!$D$17="Type 4 k",MAX(O92,1.01*R92),IF('Pre-Calculation'!$D$17="Type 4 m",MAX(105%*R92,SA+O92),IF('Pre-Calculation'!$D$17="Type 4 o",MAX(SA,105%*R92)+X92+Z92,IF('Pre-Calculation'!$D$17="Type 5",0))))))))))))</f>
        <v>1000000</v>
      </c>
      <c r="R92" s="175">
        <f t="shared" si="5"/>
        <v>800000</v>
      </c>
      <c r="S92" s="119">
        <f>K92*(1+GROWTH_RATE)*FMC</f>
        <v>1130.209503</v>
      </c>
      <c r="T92" s="178">
        <f>T91*(1+'Pre-Calculation'!$E$27)</f>
        <v>831736.6972</v>
      </c>
      <c r="U92" s="175">
        <f>-E92+IF(A91=INPUT!$C$11*12,O92,0)</f>
        <v>0</v>
      </c>
      <c r="V92" s="112"/>
      <c r="W92" s="112"/>
      <c r="X92" s="179">
        <f t="array" ref="X92">NPV('Pre-Calculation'!$E$20,$E93:E$246)</f>
        <v>181824.0965</v>
      </c>
      <c r="Y92" s="171">
        <f>10%*SA</f>
        <v>100000</v>
      </c>
      <c r="Z92" s="179">
        <f t="array" ref="Z92">NPV('Pre-Calculation'!$E$20,Y93:Y102)</f>
        <v>969592.8037</v>
      </c>
    </row>
    <row r="93" ht="15.75" customHeight="1">
      <c r="A93" s="171">
        <f t="shared" si="1"/>
        <v>87</v>
      </c>
      <c r="B93" s="171">
        <f t="shared" si="2"/>
        <v>8</v>
      </c>
      <c r="C93" s="176">
        <f>EDATE(RCD,A92)</f>
        <v>45168</v>
      </c>
      <c r="D93" s="171">
        <f>Age_At_Entry+Cashflows_Backtesting!B93-1</f>
        <v>42</v>
      </c>
      <c r="E93" s="175">
        <f>IF(AND(C93&lt;=Last_Prem,MOD(A92,Mode)=0),Mod_Prem,0)</f>
        <v>0</v>
      </c>
      <c r="F93" s="177">
        <f>E93*VLOOKUP(B93,'Pre-Calculation'!$H$1:$I$31,2,FALSE)</f>
        <v>0</v>
      </c>
      <c r="G93" s="177">
        <f>IF(B93&lt;PT+1,VLOOKUP(B93,'Pre-Calculation'!$H$1:$L$32,3,FALSE)+VLOOKUP(B93,'Pre-Calculation'!$H$1:$L$32,4,FALSE)*'Pre-Calculation'!$D$7,0)</f>
        <v>830</v>
      </c>
      <c r="H93" s="175">
        <f>(E93-(F93+G93)*(1+Tax)+O92)</f>
        <v>997771.9052</v>
      </c>
      <c r="I93" s="175">
        <f>IF(B93&lt;PT+1,VLOOKUP(D93,'Pre-Calculation'!$N$3:$P$79,IF(INPUT!$C$4="M",2,3),FALSE)*(J93/1000)*(1/12),0)</f>
        <v>0.3973435647</v>
      </c>
      <c r="J93" s="175">
        <f>MAX(0,(SA-H93))</f>
        <v>2228.094756</v>
      </c>
      <c r="K93" s="175">
        <f>H93-I93*(1+Tax)</f>
        <v>997771.4364</v>
      </c>
      <c r="L93" s="187">
        <f>VLOOKUP(C93,'NAVs_Till 29 Jun 2021'!$A$3:$J$2236,MATCH('Pre-Calculation'!$C$34,'NAVs_Till 29 Jun 2021'!$A$1:$J$1,0))</f>
        <v>20.7486</v>
      </c>
      <c r="M93" s="187">
        <f>IFERROR(1,VLOOKUP(C93,'NAVs_Till 29 Jun 2021'!$A$3:$J$2236,MATCH(#REF!,'NAVs_Till 29 Jun 2021'!$A$1:$J$1,0)))</f>
        <v>1</v>
      </c>
      <c r="N93" s="175">
        <f>VLOOKUP('Pre-Calculation'!$C$34,INPUT!$B$20:$C$28,2,0)*K93*(L94/L93)+ IFERROR(0,VLOOKUP('Pre-Calculation'!$D$34,INPUT!$B$20:$C$28,2,0))*K93*(M94/M93)</f>
        <v>997771.4364</v>
      </c>
      <c r="O93" s="175">
        <f t="shared" si="3"/>
        <v>997771.4364</v>
      </c>
      <c r="P93" s="175">
        <f t="shared" si="4"/>
        <v>997771.4364</v>
      </c>
      <c r="Q93" s="175">
        <f>IF('Pre-Calculation'!$D$17="Type 4 a",MAX(SA,O93,1.05*R93),IF('Pre-Calculation'!$D$17="Type 4 c",O93,IF('Pre-Calculation'!$D$17="Type 4 d",SA+O93,IF('Pre-Calculation'!$D$17="Type 4 e",MAX(SA,O93),IF('Pre-Calculation'!$D$17="Type 4 f",SA,IF('Pre-Calculation'!$D$17="Type 4 g",1000+O93,IF('Pre-Calculation'!$D$17="Type 4 h",SA+S93,IF('Pre-Calculation'!$D$17="Type 4 i",MAX(O93,R93),IF('Pre-Calculation'!$D$17="Type 4 k",MAX(O93,1.01*R93),IF('Pre-Calculation'!$D$17="Type 4 m",MAX(105%*R93,SA+O93),IF('Pre-Calculation'!$D$17="Type 4 o",MAX(SA,105%*R93)+X93+Z93,IF('Pre-Calculation'!$D$17="Type 5",0))))))))))))</f>
        <v>1000000</v>
      </c>
      <c r="R93" s="175">
        <f t="shared" si="5"/>
        <v>800000</v>
      </c>
      <c r="S93" s="119">
        <f>K93*(1+GROWTH_RATE)*FMC</f>
        <v>1129.100661</v>
      </c>
      <c r="T93" s="178">
        <f>T92*(1+'Pre-Calculation'!$E$27)</f>
        <v>834124.529</v>
      </c>
      <c r="U93" s="175">
        <f>-E93+IF(A92=INPUT!$C$11*12,O93,0)</f>
        <v>0</v>
      </c>
      <c r="V93" s="112"/>
      <c r="W93" s="112"/>
      <c r="X93" s="179">
        <f t="array" ref="X93">NPV('Pre-Calculation'!$E$20,$E94:E$246)</f>
        <v>182852.1564</v>
      </c>
      <c r="Y93" s="171">
        <f>10%*SA</f>
        <v>100000</v>
      </c>
      <c r="Z93" s="179">
        <f t="array" ref="Z93">NPV('Pre-Calculation'!$E$20,Y94:Y103)</f>
        <v>969592.8037</v>
      </c>
    </row>
    <row r="94" ht="15.75" customHeight="1">
      <c r="A94" s="171">
        <f t="shared" si="1"/>
        <v>88</v>
      </c>
      <c r="B94" s="171">
        <f t="shared" si="2"/>
        <v>8</v>
      </c>
      <c r="C94" s="176">
        <f>EDATE(RCD,A93)</f>
        <v>45199</v>
      </c>
      <c r="D94" s="171">
        <f>Age_At_Entry+Cashflows_Backtesting!B94-1</f>
        <v>42</v>
      </c>
      <c r="E94" s="175">
        <f>IF(AND(C94&lt;=Last_Prem,MOD(A93,Mode)=0),Mod_Prem,0)</f>
        <v>0</v>
      </c>
      <c r="F94" s="177">
        <f>E94*VLOOKUP(B94,'Pre-Calculation'!$H$1:$I$31,2,FALSE)</f>
        <v>0</v>
      </c>
      <c r="G94" s="177">
        <f>IF(B94&lt;PT+1,VLOOKUP(B94,'Pre-Calculation'!$H$1:$L$32,3,FALSE)+VLOOKUP(B94,'Pre-Calculation'!$H$1:$L$32,4,FALSE)*'Pre-Calculation'!$D$7,0)</f>
        <v>830</v>
      </c>
      <c r="H94" s="175">
        <f>(E94-(F94+G94)*(1+Tax)+O93)</f>
        <v>996792.0364</v>
      </c>
      <c r="I94" s="175">
        <f>IF(B94&lt;PT+1,VLOOKUP(D94,'Pre-Calculation'!$N$3:$P$79,IF(INPUT!$C$4="M",2,3),FALSE)*(J94/1000)*(1/12),0)</f>
        <v>0.5720868457</v>
      </c>
      <c r="J94" s="175">
        <f>MAX(0,(SA-H94))</f>
        <v>3207.963621</v>
      </c>
      <c r="K94" s="175">
        <f>H94-I94*(1+Tax)</f>
        <v>996791.3613</v>
      </c>
      <c r="L94" s="187">
        <f>VLOOKUP(C94,'NAVs_Till 29 Jun 2021'!$A$3:$J$2236,MATCH('Pre-Calculation'!$C$34,'NAVs_Till 29 Jun 2021'!$A$1:$J$1,0))</f>
        <v>20.7486</v>
      </c>
      <c r="M94" s="187">
        <f>IFERROR(1,VLOOKUP(C94,'NAVs_Till 29 Jun 2021'!$A$3:$J$2236,MATCH(#REF!,'NAVs_Till 29 Jun 2021'!$A$1:$J$1,0)))</f>
        <v>1</v>
      </c>
      <c r="N94" s="175">
        <f>VLOOKUP('Pre-Calculation'!$C$34,INPUT!$B$20:$C$28,2,0)*K94*(L95/L94)+ IFERROR(0,VLOOKUP('Pre-Calculation'!$D$34,INPUT!$B$20:$C$28,2,0))*K94*(M95/M94)</f>
        <v>996791.3613</v>
      </c>
      <c r="O94" s="175">
        <f t="shared" si="3"/>
        <v>996791.3613</v>
      </c>
      <c r="P94" s="175">
        <f t="shared" si="4"/>
        <v>996791.3613</v>
      </c>
      <c r="Q94" s="175">
        <f>IF('Pre-Calculation'!$D$17="Type 4 a",MAX(SA,O94,1.05*R94),IF('Pre-Calculation'!$D$17="Type 4 c",O94,IF('Pre-Calculation'!$D$17="Type 4 d",SA+O94,IF('Pre-Calculation'!$D$17="Type 4 e",MAX(SA,O94),IF('Pre-Calculation'!$D$17="Type 4 f",SA,IF('Pre-Calculation'!$D$17="Type 4 g",1000+O94,IF('Pre-Calculation'!$D$17="Type 4 h",SA+S94,IF('Pre-Calculation'!$D$17="Type 4 i",MAX(O94,R94),IF('Pre-Calculation'!$D$17="Type 4 k",MAX(O94,1.01*R94),IF('Pre-Calculation'!$D$17="Type 4 m",MAX(105%*R94,SA+O94),IF('Pre-Calculation'!$D$17="Type 4 o",MAX(SA,105%*R94)+X94+Z94,IF('Pre-Calculation'!$D$17="Type 5",0))))))))))))</f>
        <v>1000000</v>
      </c>
      <c r="R94" s="175">
        <f t="shared" si="5"/>
        <v>800000</v>
      </c>
      <c r="S94" s="119">
        <f>K94*(1+GROWTH_RATE)*FMC</f>
        <v>1127.991586</v>
      </c>
      <c r="T94" s="178">
        <f>T93*(1+'Pre-Calculation'!$E$27)</f>
        <v>836519.2161</v>
      </c>
      <c r="U94" s="175">
        <f>-E94+IF(A93=INPUT!$C$11*12,O94,0)</f>
        <v>0</v>
      </c>
      <c r="V94" s="112"/>
      <c r="W94" s="112"/>
      <c r="X94" s="179">
        <f t="array" ref="X94">NPV('Pre-Calculation'!$E$20,$E95:E$246)</f>
        <v>183886.0291</v>
      </c>
      <c r="Y94" s="171">
        <f>10%*SA</f>
        <v>100000</v>
      </c>
      <c r="Z94" s="179">
        <f t="array" ref="Z94">NPV('Pre-Calculation'!$E$20,Y95:Y104)</f>
        <v>969592.8037</v>
      </c>
    </row>
    <row r="95" ht="15.75" customHeight="1">
      <c r="A95" s="171">
        <f t="shared" si="1"/>
        <v>89</v>
      </c>
      <c r="B95" s="171">
        <f t="shared" si="2"/>
        <v>8</v>
      </c>
      <c r="C95" s="176">
        <f>EDATE(RCD,A94)</f>
        <v>45229</v>
      </c>
      <c r="D95" s="171">
        <f>Age_At_Entry+Cashflows_Backtesting!B95-1</f>
        <v>42</v>
      </c>
      <c r="E95" s="175">
        <f>IF(AND(C95&lt;=Last_Prem,MOD(A94,Mode)=0),Mod_Prem,0)</f>
        <v>0</v>
      </c>
      <c r="F95" s="177">
        <f>E95*VLOOKUP(B95,'Pre-Calculation'!$H$1:$I$31,2,FALSE)</f>
        <v>0</v>
      </c>
      <c r="G95" s="177">
        <f>IF(B95&lt;PT+1,VLOOKUP(B95,'Pre-Calculation'!$H$1:$L$32,3,FALSE)+VLOOKUP(B95,'Pre-Calculation'!$H$1:$L$32,4,FALSE)*'Pre-Calculation'!$D$7,0)</f>
        <v>830</v>
      </c>
      <c r="H95" s="175">
        <f>(E95-(F95+G95)*(1+Tax)+O94)</f>
        <v>995811.9613</v>
      </c>
      <c r="I95" s="175">
        <f>IF(B95&lt;PT+1,VLOOKUP(D95,'Pre-Calculation'!$N$3:$P$79,IF(INPUT!$C$4="M",2,3),FALSE)*(J95/1000)*(1/12),0)</f>
        <v>0.7468668986</v>
      </c>
      <c r="J95" s="175">
        <f>MAX(0,(SA-H95))</f>
        <v>4188.038683</v>
      </c>
      <c r="K95" s="175">
        <f>H95-I95*(1+Tax)</f>
        <v>995811.08</v>
      </c>
      <c r="L95" s="187">
        <f>VLOOKUP(C95,'NAVs_Till 29 Jun 2021'!$A$3:$J$2236,MATCH('Pre-Calculation'!$C$34,'NAVs_Till 29 Jun 2021'!$A$1:$J$1,0))</f>
        <v>20.7486</v>
      </c>
      <c r="M95" s="187">
        <f>IFERROR(1,VLOOKUP(C95,'NAVs_Till 29 Jun 2021'!$A$3:$J$2236,MATCH(#REF!,'NAVs_Till 29 Jun 2021'!$A$1:$J$1,0)))</f>
        <v>1</v>
      </c>
      <c r="N95" s="175">
        <f>VLOOKUP('Pre-Calculation'!$C$34,INPUT!$B$20:$C$28,2,0)*K95*(L96/L95)+ IFERROR(0,VLOOKUP('Pre-Calculation'!$D$34,INPUT!$B$20:$C$28,2,0))*K95*(M96/M95)</f>
        <v>995811.08</v>
      </c>
      <c r="O95" s="175">
        <f t="shared" si="3"/>
        <v>995811.08</v>
      </c>
      <c r="P95" s="175">
        <f t="shared" si="4"/>
        <v>995811.08</v>
      </c>
      <c r="Q95" s="175">
        <f>IF('Pre-Calculation'!$D$17="Type 4 a",MAX(SA,O95,1.05*R95),IF('Pre-Calculation'!$D$17="Type 4 c",O95,IF('Pre-Calculation'!$D$17="Type 4 d",SA+O95,IF('Pre-Calculation'!$D$17="Type 4 e",MAX(SA,O95),IF('Pre-Calculation'!$D$17="Type 4 f",SA,IF('Pre-Calculation'!$D$17="Type 4 g",1000+O95,IF('Pre-Calculation'!$D$17="Type 4 h",SA+S95,IF('Pre-Calculation'!$D$17="Type 4 i",MAX(O95,R95),IF('Pre-Calculation'!$D$17="Type 4 k",MAX(O95,1.01*R95),IF('Pre-Calculation'!$D$17="Type 4 m",MAX(105%*R95,SA+O95),IF('Pre-Calculation'!$D$17="Type 4 o",MAX(SA,105%*R95)+X95+Z95,IF('Pre-Calculation'!$D$17="Type 5",0))))))))))))</f>
        <v>1000000</v>
      </c>
      <c r="R95" s="175">
        <f t="shared" si="5"/>
        <v>800000</v>
      </c>
      <c r="S95" s="119">
        <f>K95*(1+GROWTH_RATE)*FMC</f>
        <v>1126.882278</v>
      </c>
      <c r="T95" s="178">
        <f>T94*(1+'Pre-Calculation'!$E$27)</f>
        <v>838920.778</v>
      </c>
      <c r="U95" s="175">
        <f>-E95+IF(A94=INPUT!$C$11*12,O95,0)</f>
        <v>0</v>
      </c>
      <c r="V95" s="112"/>
      <c r="W95" s="112"/>
      <c r="X95" s="179">
        <f t="array" ref="X95">NPV('Pre-Calculation'!$E$20,$E96:E$246)</f>
        <v>184925.7474</v>
      </c>
      <c r="Y95" s="171">
        <f>10%*SA</f>
        <v>100000</v>
      </c>
      <c r="Z95" s="179">
        <f t="array" ref="Z95">NPV('Pre-Calculation'!$E$20,Y96:Y105)</f>
        <v>969592.8037</v>
      </c>
    </row>
    <row r="96" ht="15.75" customHeight="1">
      <c r="A96" s="171">
        <f t="shared" si="1"/>
        <v>90</v>
      </c>
      <c r="B96" s="171">
        <f t="shared" si="2"/>
        <v>8</v>
      </c>
      <c r="C96" s="176">
        <f>EDATE(RCD,A95)</f>
        <v>45260</v>
      </c>
      <c r="D96" s="171">
        <f>Age_At_Entry+Cashflows_Backtesting!B96-1</f>
        <v>42</v>
      </c>
      <c r="E96" s="175">
        <f>IF(AND(C96&lt;=Last_Prem,MOD(A95,Mode)=0),Mod_Prem,0)</f>
        <v>0</v>
      </c>
      <c r="F96" s="177">
        <f>E96*VLOOKUP(B96,'Pre-Calculation'!$H$1:$I$31,2,FALSE)</f>
        <v>0</v>
      </c>
      <c r="G96" s="177">
        <f>IF(B96&lt;PT+1,VLOOKUP(B96,'Pre-Calculation'!$H$1:$L$32,3,FALSE)+VLOOKUP(B96,'Pre-Calculation'!$H$1:$L$32,4,FALSE)*'Pre-Calculation'!$D$7,0)</f>
        <v>830</v>
      </c>
      <c r="H96" s="175">
        <f>(E96-(F96+G96)*(1+Tax)+O95)</f>
        <v>994831.68</v>
      </c>
      <c r="I96" s="175">
        <f>IF(B96&lt;PT+1,VLOOKUP(D96,'Pre-Calculation'!$N$3:$P$79,IF(INPUT!$C$4="M",2,3),FALSE)*(J96/1000)*(1/12),0)</f>
        <v>0.9216837309</v>
      </c>
      <c r="J96" s="175">
        <f>MAX(0,(SA-H96))</f>
        <v>5168.319986</v>
      </c>
      <c r="K96" s="175">
        <f>H96-I96*(1+Tax)</f>
        <v>994830.5924</v>
      </c>
      <c r="L96" s="187">
        <f>VLOOKUP(C96,'NAVs_Till 29 Jun 2021'!$A$3:$J$2236,MATCH('Pre-Calculation'!$C$34,'NAVs_Till 29 Jun 2021'!$A$1:$J$1,0))</f>
        <v>20.7486</v>
      </c>
      <c r="M96" s="187">
        <f>IFERROR(1,VLOOKUP(C96,'NAVs_Till 29 Jun 2021'!$A$3:$J$2236,MATCH(#REF!,'NAVs_Till 29 Jun 2021'!$A$1:$J$1,0)))</f>
        <v>1</v>
      </c>
      <c r="N96" s="175">
        <f>VLOOKUP('Pre-Calculation'!$C$34,INPUT!$B$20:$C$28,2,0)*K96*(L97/L96)+ IFERROR(0,VLOOKUP('Pre-Calculation'!$D$34,INPUT!$B$20:$C$28,2,0))*K96*(M97/M96)</f>
        <v>994830.5924</v>
      </c>
      <c r="O96" s="175">
        <f t="shared" si="3"/>
        <v>994830.5924</v>
      </c>
      <c r="P96" s="175">
        <f t="shared" si="4"/>
        <v>994830.5924</v>
      </c>
      <c r="Q96" s="175">
        <f>IF('Pre-Calculation'!$D$17="Type 4 a",MAX(SA,O96,1.05*R96),IF('Pre-Calculation'!$D$17="Type 4 c",O96,IF('Pre-Calculation'!$D$17="Type 4 d",SA+O96,IF('Pre-Calculation'!$D$17="Type 4 e",MAX(SA,O96),IF('Pre-Calculation'!$D$17="Type 4 f",SA,IF('Pre-Calculation'!$D$17="Type 4 g",1000+O96,IF('Pre-Calculation'!$D$17="Type 4 h",SA+S96,IF('Pre-Calculation'!$D$17="Type 4 i",MAX(O96,R96),IF('Pre-Calculation'!$D$17="Type 4 k",MAX(O96,1.01*R96),IF('Pre-Calculation'!$D$17="Type 4 m",MAX(105%*R96,SA+O96),IF('Pre-Calculation'!$D$17="Type 4 o",MAX(SA,105%*R96)+X96+Z96,IF('Pre-Calculation'!$D$17="Type 5",0))))))))))))</f>
        <v>1000000</v>
      </c>
      <c r="R96" s="175">
        <f t="shared" si="5"/>
        <v>800000</v>
      </c>
      <c r="S96" s="119">
        <f>K96*(1+GROWTH_RATE)*FMC</f>
        <v>1125.772736</v>
      </c>
      <c r="T96" s="178">
        <f>T95*(1+'Pre-Calculation'!$E$27)</f>
        <v>841329.2346</v>
      </c>
      <c r="U96" s="175">
        <f>-E96+IF(A95=INPUT!$C$11*12,O96,0)</f>
        <v>0</v>
      </c>
      <c r="V96" s="112"/>
      <c r="W96" s="112"/>
      <c r="X96" s="179">
        <f t="array" ref="X96">NPV('Pre-Calculation'!$E$20,$E97:E$246)</f>
        <v>185971.3445</v>
      </c>
      <c r="Y96" s="171">
        <f>10%*SA</f>
        <v>100000</v>
      </c>
      <c r="Z96" s="179">
        <f t="array" ref="Z96">NPV('Pre-Calculation'!$E$20,Y97:Y106)</f>
        <v>969592.8037</v>
      </c>
    </row>
    <row r="97" ht="15.75" customHeight="1">
      <c r="A97" s="171">
        <f t="shared" si="1"/>
        <v>91</v>
      </c>
      <c r="B97" s="171">
        <f t="shared" si="2"/>
        <v>8</v>
      </c>
      <c r="C97" s="176">
        <f>EDATE(RCD,A96)</f>
        <v>45290</v>
      </c>
      <c r="D97" s="171">
        <f>Age_At_Entry+Cashflows_Backtesting!B97-1</f>
        <v>42</v>
      </c>
      <c r="E97" s="175">
        <f>IF(AND(C97&lt;=Last_Prem,MOD(A96,Mode)=0),Mod_Prem,0)</f>
        <v>0</v>
      </c>
      <c r="F97" s="177">
        <f>E97*VLOOKUP(B97,'Pre-Calculation'!$H$1:$I$31,2,FALSE)</f>
        <v>0</v>
      </c>
      <c r="G97" s="177">
        <f>IF(B97&lt;PT+1,VLOOKUP(B97,'Pre-Calculation'!$H$1:$L$32,3,FALSE)+VLOOKUP(B97,'Pre-Calculation'!$H$1:$L$32,4,FALSE)*'Pre-Calculation'!$D$7,0)</f>
        <v>830</v>
      </c>
      <c r="H97" s="175">
        <f>(E97-(F97+G97)*(1+Tax)+O96)</f>
        <v>993851.1924</v>
      </c>
      <c r="I97" s="175">
        <f>IF(B97&lt;PT+1,VLOOKUP(D97,'Pre-Calculation'!$N$3:$P$79,IF(INPUT!$C$4="M",2,3),FALSE)*(J97/1000)*(1/12),0)</f>
        <v>1.096537351</v>
      </c>
      <c r="J97" s="175">
        <f>MAX(0,(SA-H97))</f>
        <v>6148.807573</v>
      </c>
      <c r="K97" s="175">
        <f>H97-I97*(1+Tax)</f>
        <v>993849.8985</v>
      </c>
      <c r="L97" s="187">
        <f>VLOOKUP(C97,'NAVs_Till 29 Jun 2021'!$A$3:$J$2236,MATCH('Pre-Calculation'!$C$34,'NAVs_Till 29 Jun 2021'!$A$1:$J$1,0))</f>
        <v>20.7486</v>
      </c>
      <c r="M97" s="187">
        <f>IFERROR(1,VLOOKUP(C97,'NAVs_Till 29 Jun 2021'!$A$3:$J$2236,MATCH(#REF!,'NAVs_Till 29 Jun 2021'!$A$1:$J$1,0)))</f>
        <v>1</v>
      </c>
      <c r="N97" s="175">
        <f>VLOOKUP('Pre-Calculation'!$C$34,INPUT!$B$20:$C$28,2,0)*K97*(L98/L97)+ IFERROR(0,VLOOKUP('Pre-Calculation'!$D$34,INPUT!$B$20:$C$28,2,0))*K97*(M98/M97)</f>
        <v>993849.8985</v>
      </c>
      <c r="O97" s="175">
        <f t="shared" si="3"/>
        <v>993849.8985</v>
      </c>
      <c r="P97" s="175">
        <f t="shared" si="4"/>
        <v>993849.8985</v>
      </c>
      <c r="Q97" s="175">
        <f>IF('Pre-Calculation'!$D$17="Type 4 a",MAX(SA,O97,1.05*R97),IF('Pre-Calculation'!$D$17="Type 4 c",O97,IF('Pre-Calculation'!$D$17="Type 4 d",SA+O97,IF('Pre-Calculation'!$D$17="Type 4 e",MAX(SA,O97),IF('Pre-Calculation'!$D$17="Type 4 f",SA,IF('Pre-Calculation'!$D$17="Type 4 g",1000+O97,IF('Pre-Calculation'!$D$17="Type 4 h",SA+S97,IF('Pre-Calculation'!$D$17="Type 4 i",MAX(O97,R97),IF('Pre-Calculation'!$D$17="Type 4 k",MAX(O97,1.01*R97),IF('Pre-Calculation'!$D$17="Type 4 m",MAX(105%*R97,SA+O97),IF('Pre-Calculation'!$D$17="Type 4 o",MAX(SA,105%*R97)+X97+Z97,IF('Pre-Calculation'!$D$17="Type 5",0))))))))))))</f>
        <v>1000000</v>
      </c>
      <c r="R97" s="175">
        <f t="shared" si="5"/>
        <v>800000</v>
      </c>
      <c r="S97" s="119">
        <f>K97*(1+GROWTH_RATE)*FMC</f>
        <v>1124.662961</v>
      </c>
      <c r="T97" s="178">
        <f>T96*(1+'Pre-Calculation'!$E$27)</f>
        <v>843744.6056</v>
      </c>
      <c r="U97" s="175">
        <f>-E97+IF(A96=INPUT!$C$11*12,O97,0)</f>
        <v>0</v>
      </c>
      <c r="V97" s="112"/>
      <c r="W97" s="112"/>
      <c r="X97" s="179">
        <f t="array" ref="X97">NPV('Pre-Calculation'!$E$20,$E98:E$246)</f>
        <v>187022.8535</v>
      </c>
      <c r="Y97" s="171">
        <f>10%*SA</f>
        <v>100000</v>
      </c>
      <c r="Z97" s="179">
        <f t="array" ref="Z97">NPV('Pre-Calculation'!$E$20,Y98:Y107)</f>
        <v>969592.8037</v>
      </c>
    </row>
    <row r="98" ht="15.75" customHeight="1">
      <c r="A98" s="171">
        <f t="shared" si="1"/>
        <v>92</v>
      </c>
      <c r="B98" s="171">
        <f t="shared" si="2"/>
        <v>8</v>
      </c>
      <c r="C98" s="176">
        <f>EDATE(RCD,A97)</f>
        <v>45321</v>
      </c>
      <c r="D98" s="171">
        <f>Age_At_Entry+Cashflows_Backtesting!B98-1</f>
        <v>42</v>
      </c>
      <c r="E98" s="175">
        <f>IF(AND(C98&lt;=Last_Prem,MOD(A97,Mode)=0),Mod_Prem,0)</f>
        <v>0</v>
      </c>
      <c r="F98" s="177">
        <f>E98*VLOOKUP(B98,'Pre-Calculation'!$H$1:$I$31,2,FALSE)</f>
        <v>0</v>
      </c>
      <c r="G98" s="177">
        <f>IF(B98&lt;PT+1,VLOOKUP(B98,'Pre-Calculation'!$H$1:$L$32,3,FALSE)+VLOOKUP(B98,'Pre-Calculation'!$H$1:$L$32,4,FALSE)*'Pre-Calculation'!$D$7,0)</f>
        <v>830</v>
      </c>
      <c r="H98" s="175">
        <f>(E98-(F98+G98)*(1+Tax)+O97)</f>
        <v>992870.4985</v>
      </c>
      <c r="I98" s="175">
        <f>IF(B98&lt;PT+1,VLOOKUP(D98,'Pre-Calculation'!$N$3:$P$79,IF(INPUT!$C$4="M",2,3),FALSE)*(J98/1000)*(1/12),0)</f>
        <v>1.271427765</v>
      </c>
      <c r="J98" s="175">
        <f>MAX(0,(SA-H98))</f>
        <v>7129.501487</v>
      </c>
      <c r="K98" s="175">
        <f>H98-I98*(1+Tax)</f>
        <v>992868.9982</v>
      </c>
      <c r="L98" s="187">
        <f>VLOOKUP(C98,'NAVs_Till 29 Jun 2021'!$A$3:$J$2236,MATCH('Pre-Calculation'!$C$34,'NAVs_Till 29 Jun 2021'!$A$1:$J$1,0))</f>
        <v>20.7486</v>
      </c>
      <c r="M98" s="187">
        <f>IFERROR(1,VLOOKUP(C98,'NAVs_Till 29 Jun 2021'!$A$3:$J$2236,MATCH(#REF!,'NAVs_Till 29 Jun 2021'!$A$1:$J$1,0)))</f>
        <v>1</v>
      </c>
      <c r="N98" s="175">
        <f>VLOOKUP('Pre-Calculation'!$C$34,INPUT!$B$20:$C$28,2,0)*K98*(L99/L98)+ IFERROR(0,VLOOKUP('Pre-Calculation'!$D$34,INPUT!$B$20:$C$28,2,0))*K98*(M99/M98)</f>
        <v>992868.9982</v>
      </c>
      <c r="O98" s="175">
        <f t="shared" si="3"/>
        <v>992868.9982</v>
      </c>
      <c r="P98" s="175">
        <f t="shared" si="4"/>
        <v>992868.9982</v>
      </c>
      <c r="Q98" s="175">
        <f>IF('Pre-Calculation'!$D$17="Type 4 a",MAX(SA,O98,1.05*R98),IF('Pre-Calculation'!$D$17="Type 4 c",O98,IF('Pre-Calculation'!$D$17="Type 4 d",SA+O98,IF('Pre-Calculation'!$D$17="Type 4 e",MAX(SA,O98),IF('Pre-Calculation'!$D$17="Type 4 f",SA,IF('Pre-Calculation'!$D$17="Type 4 g",1000+O98,IF('Pre-Calculation'!$D$17="Type 4 h",SA+S98,IF('Pre-Calculation'!$D$17="Type 4 i",MAX(O98,R98),IF('Pre-Calculation'!$D$17="Type 4 k",MAX(O98,1.01*R98),IF('Pre-Calculation'!$D$17="Type 4 m",MAX(105%*R98,SA+O98),IF('Pre-Calculation'!$D$17="Type 4 o",MAX(SA,105%*R98)+X98+Z98,IF('Pre-Calculation'!$D$17="Type 5",0))))))))))))</f>
        <v>1000000</v>
      </c>
      <c r="R98" s="175">
        <f t="shared" si="5"/>
        <v>800000</v>
      </c>
      <c r="S98" s="119">
        <f>K98*(1+GROWTH_RATE)*FMC</f>
        <v>1123.552952</v>
      </c>
      <c r="T98" s="178">
        <f>T97*(1+'Pre-Calculation'!$E$27)</f>
        <v>846166.9109</v>
      </c>
      <c r="U98" s="175">
        <f>-E98+IF(A97=INPUT!$C$11*12,O98,0)</f>
        <v>0</v>
      </c>
      <c r="V98" s="112"/>
      <c r="W98" s="112"/>
      <c r="X98" s="179">
        <f t="array" ref="X98">NPV('Pre-Calculation'!$E$20,$E99:E$246)</f>
        <v>188080.3079</v>
      </c>
      <c r="Y98" s="171">
        <f>10%*SA</f>
        <v>100000</v>
      </c>
      <c r="Z98" s="179">
        <f t="array" ref="Z98">NPV('Pre-Calculation'!$E$20,Y99:Y108)</f>
        <v>969592.8037</v>
      </c>
    </row>
    <row r="99" ht="15.75" customHeight="1">
      <c r="A99" s="171">
        <f t="shared" si="1"/>
        <v>93</v>
      </c>
      <c r="B99" s="171">
        <f t="shared" si="2"/>
        <v>8</v>
      </c>
      <c r="C99" s="176">
        <f>EDATE(RCD,A98)</f>
        <v>45351</v>
      </c>
      <c r="D99" s="171">
        <f>Age_At_Entry+Cashflows_Backtesting!B99-1</f>
        <v>42</v>
      </c>
      <c r="E99" s="175">
        <f>IF(AND(C99&lt;=Last_Prem,MOD(A98,Mode)=0),Mod_Prem,0)</f>
        <v>0</v>
      </c>
      <c r="F99" s="177">
        <f>E99*VLOOKUP(B99,'Pre-Calculation'!$H$1:$I$31,2,FALSE)</f>
        <v>0</v>
      </c>
      <c r="G99" s="177">
        <f>IF(B99&lt;PT+1,VLOOKUP(B99,'Pre-Calculation'!$H$1:$L$32,3,FALSE)+VLOOKUP(B99,'Pre-Calculation'!$H$1:$L$32,4,FALSE)*'Pre-Calculation'!$D$7,0)</f>
        <v>830</v>
      </c>
      <c r="H99" s="175">
        <f>(E99-(F99+G99)*(1+Tax)+O98)</f>
        <v>991889.5982</v>
      </c>
      <c r="I99" s="175">
        <f>IF(B99&lt;PT+1,VLOOKUP(D99,'Pre-Calculation'!$N$3:$P$79,IF(INPUT!$C$4="M",2,3),FALSE)*(J99/1000)*(1/12),0)</f>
        <v>1.446354983</v>
      </c>
      <c r="J99" s="175">
        <f>MAX(0,(SA-H99))</f>
        <v>8110.401772</v>
      </c>
      <c r="K99" s="175">
        <f>H99-I99*(1+Tax)</f>
        <v>991887.8915</v>
      </c>
      <c r="L99" s="187">
        <f>VLOOKUP(C99,'NAVs_Till 29 Jun 2021'!$A$3:$J$2236,MATCH('Pre-Calculation'!$C$34,'NAVs_Till 29 Jun 2021'!$A$1:$J$1,0))</f>
        <v>20.7486</v>
      </c>
      <c r="M99" s="187">
        <f>IFERROR(1,VLOOKUP(C99,'NAVs_Till 29 Jun 2021'!$A$3:$J$2236,MATCH(#REF!,'NAVs_Till 29 Jun 2021'!$A$1:$J$1,0)))</f>
        <v>1</v>
      </c>
      <c r="N99" s="175">
        <f>VLOOKUP('Pre-Calculation'!$C$34,INPUT!$B$20:$C$28,2,0)*K99*(L100/L99)+ IFERROR(0,VLOOKUP('Pre-Calculation'!$D$34,INPUT!$B$20:$C$28,2,0))*K99*(M100/M99)</f>
        <v>991887.8915</v>
      </c>
      <c r="O99" s="175">
        <f t="shared" si="3"/>
        <v>991887.8915</v>
      </c>
      <c r="P99" s="175">
        <f t="shared" si="4"/>
        <v>991887.8915</v>
      </c>
      <c r="Q99" s="175">
        <f>IF('Pre-Calculation'!$D$17="Type 4 a",MAX(SA,O99,1.05*R99),IF('Pre-Calculation'!$D$17="Type 4 c",O99,IF('Pre-Calculation'!$D$17="Type 4 d",SA+O99,IF('Pre-Calculation'!$D$17="Type 4 e",MAX(SA,O99),IF('Pre-Calculation'!$D$17="Type 4 f",SA,IF('Pre-Calculation'!$D$17="Type 4 g",1000+O99,IF('Pre-Calculation'!$D$17="Type 4 h",SA+S99,IF('Pre-Calculation'!$D$17="Type 4 i",MAX(O99,R99),IF('Pre-Calculation'!$D$17="Type 4 k",MAX(O99,1.01*R99),IF('Pre-Calculation'!$D$17="Type 4 m",MAX(105%*R99,SA+O99),IF('Pre-Calculation'!$D$17="Type 4 o",MAX(SA,105%*R99)+X99+Z99,IF('Pre-Calculation'!$D$17="Type 5",0))))))))))))</f>
        <v>1000000</v>
      </c>
      <c r="R99" s="175">
        <f t="shared" si="5"/>
        <v>800000</v>
      </c>
      <c r="S99" s="119">
        <f>K99*(1+GROWTH_RATE)*FMC</f>
        <v>1122.442709</v>
      </c>
      <c r="T99" s="178">
        <f>T98*(1+'Pre-Calculation'!$E$27)</f>
        <v>848596.1704</v>
      </c>
      <c r="U99" s="175">
        <f>-E99+IF(A98=INPUT!$C$11*12,O99,0)</f>
        <v>0</v>
      </c>
      <c r="V99" s="112"/>
      <c r="W99" s="112"/>
      <c r="X99" s="179">
        <f t="array" ref="X99">NPV('Pre-Calculation'!$E$20,$E100:E$246)</f>
        <v>189143.7413</v>
      </c>
      <c r="Y99" s="171">
        <f>10%*SA</f>
        <v>100000</v>
      </c>
      <c r="Z99" s="179">
        <f t="array" ref="Z99">NPV('Pre-Calculation'!$E$20,Y100:Y109)</f>
        <v>969592.8037</v>
      </c>
    </row>
    <row r="100" ht="15.75" customHeight="1">
      <c r="A100" s="171">
        <f t="shared" si="1"/>
        <v>94</v>
      </c>
      <c r="B100" s="171">
        <f t="shared" si="2"/>
        <v>8</v>
      </c>
      <c r="C100" s="176">
        <f>EDATE(RCD,A99)</f>
        <v>45381</v>
      </c>
      <c r="D100" s="171">
        <f>Age_At_Entry+Cashflows_Backtesting!B100-1</f>
        <v>42</v>
      </c>
      <c r="E100" s="175">
        <f>IF(AND(C100&lt;=Last_Prem,MOD(A99,Mode)=0),Mod_Prem,0)</f>
        <v>0</v>
      </c>
      <c r="F100" s="177">
        <f>E100*VLOOKUP(B100,'Pre-Calculation'!$H$1:$I$31,2,FALSE)</f>
        <v>0</v>
      </c>
      <c r="G100" s="177">
        <f>IF(B100&lt;PT+1,VLOOKUP(B100,'Pre-Calculation'!$H$1:$L$32,3,FALSE)+VLOOKUP(B100,'Pre-Calculation'!$H$1:$L$32,4,FALSE)*'Pre-Calculation'!$D$7,0)</f>
        <v>830</v>
      </c>
      <c r="H100" s="175">
        <f>(E100-(F100+G100)*(1+Tax)+O99)</f>
        <v>990908.4915</v>
      </c>
      <c r="I100" s="175">
        <f>IF(B100&lt;PT+1,VLOOKUP(D100,'Pre-Calculation'!$N$3:$P$79,IF(INPUT!$C$4="M",2,3),FALSE)*(J100/1000)*(1/12),0)</f>
        <v>1.621319011</v>
      </c>
      <c r="J100" s="175">
        <f>MAX(0,(SA-H100))</f>
        <v>9091.508471</v>
      </c>
      <c r="K100" s="175">
        <f>H100-I100*(1+Tax)</f>
        <v>990906.5784</v>
      </c>
      <c r="L100" s="187">
        <f>VLOOKUP(C100,'NAVs_Till 29 Jun 2021'!$A$3:$J$2236,MATCH('Pre-Calculation'!$C$34,'NAVs_Till 29 Jun 2021'!$A$1:$J$1,0))</f>
        <v>20.7486</v>
      </c>
      <c r="M100" s="187">
        <f>IFERROR(1,VLOOKUP(C100,'NAVs_Till 29 Jun 2021'!$A$3:$J$2236,MATCH(#REF!,'NAVs_Till 29 Jun 2021'!$A$1:$J$1,0)))</f>
        <v>1</v>
      </c>
      <c r="N100" s="175">
        <f>VLOOKUP('Pre-Calculation'!$C$34,INPUT!$B$20:$C$28,2,0)*K100*(L101/L100)+ IFERROR(0,VLOOKUP('Pre-Calculation'!$D$34,INPUT!$B$20:$C$28,2,0))*K100*(M101/M100)</f>
        <v>990906.5784</v>
      </c>
      <c r="O100" s="175">
        <f t="shared" si="3"/>
        <v>990906.5784</v>
      </c>
      <c r="P100" s="175">
        <f t="shared" si="4"/>
        <v>990906.5784</v>
      </c>
      <c r="Q100" s="175">
        <f>IF('Pre-Calculation'!$D$17="Type 4 a",MAX(SA,O100,1.05*R100),IF('Pre-Calculation'!$D$17="Type 4 c",O100,IF('Pre-Calculation'!$D$17="Type 4 d",SA+O100,IF('Pre-Calculation'!$D$17="Type 4 e",MAX(SA,O100),IF('Pre-Calculation'!$D$17="Type 4 f",SA,IF('Pre-Calculation'!$D$17="Type 4 g",1000+O100,IF('Pre-Calculation'!$D$17="Type 4 h",SA+S100,IF('Pre-Calculation'!$D$17="Type 4 i",MAX(O100,R100),IF('Pre-Calculation'!$D$17="Type 4 k",MAX(O100,1.01*R100),IF('Pre-Calculation'!$D$17="Type 4 m",MAX(105%*R100,SA+O100),IF('Pre-Calculation'!$D$17="Type 4 o",MAX(SA,105%*R100)+X100+Z100,IF('Pre-Calculation'!$D$17="Type 5",0))))))))))))</f>
        <v>1000000</v>
      </c>
      <c r="R100" s="175">
        <f t="shared" si="5"/>
        <v>800000</v>
      </c>
      <c r="S100" s="119">
        <f>K100*(1+GROWTH_RATE)*FMC</f>
        <v>1121.332233</v>
      </c>
      <c r="T100" s="178">
        <f>T99*(1+'Pre-Calculation'!$E$27)</f>
        <v>851032.4041</v>
      </c>
      <c r="U100" s="175">
        <f>-E100+IF(A99=INPUT!$C$11*12,O100,0)</f>
        <v>0</v>
      </c>
      <c r="V100" s="112"/>
      <c r="W100" s="112"/>
      <c r="X100" s="179">
        <f t="array" ref="X100">NPV('Pre-Calculation'!$E$20,$E101:E$246)</f>
        <v>190213.1875</v>
      </c>
      <c r="Y100" s="171">
        <f>10%*SA</f>
        <v>100000</v>
      </c>
      <c r="Z100" s="179">
        <f t="array" ref="Z100">NPV('Pre-Calculation'!$E$20,Y101:Y110)</f>
        <v>969592.8037</v>
      </c>
    </row>
    <row r="101" ht="15.75" customHeight="1">
      <c r="A101" s="171">
        <f t="shared" si="1"/>
        <v>95</v>
      </c>
      <c r="B101" s="171">
        <f t="shared" si="2"/>
        <v>8</v>
      </c>
      <c r="C101" s="176">
        <f>EDATE(RCD,A100)</f>
        <v>45412</v>
      </c>
      <c r="D101" s="171">
        <f>Age_At_Entry+Cashflows_Backtesting!B101-1</f>
        <v>42</v>
      </c>
      <c r="E101" s="175">
        <f>IF(AND(C101&lt;=Last_Prem,MOD(A100,Mode)=0),Mod_Prem,0)</f>
        <v>0</v>
      </c>
      <c r="F101" s="177">
        <f>E101*VLOOKUP(B101,'Pre-Calculation'!$H$1:$I$31,2,FALSE)</f>
        <v>0</v>
      </c>
      <c r="G101" s="177">
        <f>IF(B101&lt;PT+1,VLOOKUP(B101,'Pre-Calculation'!$H$1:$L$32,3,FALSE)+VLOOKUP(B101,'Pre-Calculation'!$H$1:$L$32,4,FALSE)*'Pre-Calculation'!$D$7,0)</f>
        <v>830</v>
      </c>
      <c r="H101" s="175">
        <f>(E101-(F101+G101)*(1+Tax)+O100)</f>
        <v>989927.1784</v>
      </c>
      <c r="I101" s="175">
        <f>IF(B101&lt;PT+1,VLOOKUP(D101,'Pre-Calculation'!$N$3:$P$79,IF(INPUT!$C$4="M",2,3),FALSE)*(J101/1000)*(1/12),0)</f>
        <v>1.796319857</v>
      </c>
      <c r="J101" s="175">
        <f>MAX(0,(SA-H101))</f>
        <v>10072.82163</v>
      </c>
      <c r="K101" s="175">
        <f>H101-I101*(1+Tax)</f>
        <v>989925.0587</v>
      </c>
      <c r="L101" s="187">
        <f>VLOOKUP(C101,'NAVs_Till 29 Jun 2021'!$A$3:$J$2236,MATCH('Pre-Calculation'!$C$34,'NAVs_Till 29 Jun 2021'!$A$1:$J$1,0))</f>
        <v>20.7486</v>
      </c>
      <c r="M101" s="187">
        <f>IFERROR(1,VLOOKUP(C101,'NAVs_Till 29 Jun 2021'!$A$3:$J$2236,MATCH(#REF!,'NAVs_Till 29 Jun 2021'!$A$1:$J$1,0)))</f>
        <v>1</v>
      </c>
      <c r="N101" s="175">
        <f>VLOOKUP('Pre-Calculation'!$C$34,INPUT!$B$20:$C$28,2,0)*K101*(L102/L101)+ IFERROR(0,VLOOKUP('Pre-Calculation'!$D$34,INPUT!$B$20:$C$28,2,0))*K101*(M102/M101)</f>
        <v>989925.0587</v>
      </c>
      <c r="O101" s="175">
        <f t="shared" si="3"/>
        <v>989925.0587</v>
      </c>
      <c r="P101" s="175">
        <f t="shared" si="4"/>
        <v>989925.0587</v>
      </c>
      <c r="Q101" s="175">
        <f>IF('Pre-Calculation'!$D$17="Type 4 a",MAX(SA,O101,1.05*R101),IF('Pre-Calculation'!$D$17="Type 4 c",O101,IF('Pre-Calculation'!$D$17="Type 4 d",SA+O101,IF('Pre-Calculation'!$D$17="Type 4 e",MAX(SA,O101),IF('Pre-Calculation'!$D$17="Type 4 f",SA,IF('Pre-Calculation'!$D$17="Type 4 g",1000+O101,IF('Pre-Calculation'!$D$17="Type 4 h",SA+S101,IF('Pre-Calculation'!$D$17="Type 4 i",MAX(O101,R101),IF('Pre-Calculation'!$D$17="Type 4 k",MAX(O101,1.01*R101),IF('Pre-Calculation'!$D$17="Type 4 m",MAX(105%*R101,SA+O101),IF('Pre-Calculation'!$D$17="Type 4 o",MAX(SA,105%*R101)+X101+Z101,IF('Pre-Calculation'!$D$17="Type 5",0))))))))))))</f>
        <v>1000000</v>
      </c>
      <c r="R101" s="175">
        <f t="shared" si="5"/>
        <v>800000</v>
      </c>
      <c r="S101" s="119">
        <f>K101*(1+GROWTH_RATE)*FMC</f>
        <v>1120.221523</v>
      </c>
      <c r="T101" s="178">
        <f>T100*(1+'Pre-Calculation'!$E$27)</f>
        <v>853475.6319</v>
      </c>
      <c r="U101" s="175">
        <f>-E101+IF(A100=INPUT!$C$11*12,O101,0)</f>
        <v>0</v>
      </c>
      <c r="V101" s="112"/>
      <c r="W101" s="112"/>
      <c r="X101" s="179">
        <f t="array" ref="X101">NPV('Pre-Calculation'!$E$20,$E102:E$246)</f>
        <v>191288.6805</v>
      </c>
      <c r="Y101" s="171">
        <f>10%*SA</f>
        <v>100000</v>
      </c>
      <c r="Z101" s="179">
        <f t="array" ref="Z101">NPV('Pre-Calculation'!$E$20,Y102:Y111)</f>
        <v>969592.8037</v>
      </c>
    </row>
    <row r="102" ht="15.75" customHeight="1">
      <c r="A102" s="171">
        <f t="shared" si="1"/>
        <v>96</v>
      </c>
      <c r="B102" s="171">
        <f t="shared" si="2"/>
        <v>8</v>
      </c>
      <c r="C102" s="176">
        <f>EDATE(RCD,A101)</f>
        <v>45442</v>
      </c>
      <c r="D102" s="171">
        <f>Age_At_Entry+Cashflows_Backtesting!B102-1</f>
        <v>42</v>
      </c>
      <c r="E102" s="175">
        <f>IF(AND(C102&lt;=Last_Prem,MOD(A101,Mode)=0),Mod_Prem,0)</f>
        <v>0</v>
      </c>
      <c r="F102" s="177">
        <f>E102*VLOOKUP(B102,'Pre-Calculation'!$H$1:$I$31,2,FALSE)</f>
        <v>0</v>
      </c>
      <c r="G102" s="177">
        <f>IF(B102&lt;PT+1,VLOOKUP(B102,'Pre-Calculation'!$H$1:$L$32,3,FALSE)+VLOOKUP(B102,'Pre-Calculation'!$H$1:$L$32,4,FALSE)*'Pre-Calculation'!$D$7,0)</f>
        <v>830</v>
      </c>
      <c r="H102" s="175">
        <f>(E102-(F102+G102)*(1+Tax)+O101)</f>
        <v>988945.6587</v>
      </c>
      <c r="I102" s="175">
        <f>IF(B102&lt;PT+1,VLOOKUP(D102,'Pre-Calculation'!$N$3:$P$79,IF(INPUT!$C$4="M",2,3),FALSE)*(J102/1000)*(1/12),0)</f>
        <v>1.971357529</v>
      </c>
      <c r="J102" s="175">
        <f>MAX(0,(SA-H102))</f>
        <v>11054.34128</v>
      </c>
      <c r="K102" s="175">
        <f>H102-I102*(1+Tax)</f>
        <v>988943.3325</v>
      </c>
      <c r="L102" s="187">
        <f>VLOOKUP(C102,'NAVs_Till 29 Jun 2021'!$A$3:$J$2236,MATCH('Pre-Calculation'!$C$34,'NAVs_Till 29 Jun 2021'!$A$1:$J$1,0))</f>
        <v>20.7486</v>
      </c>
      <c r="M102" s="187">
        <f>IFERROR(1,VLOOKUP(C102,'NAVs_Till 29 Jun 2021'!$A$3:$J$2236,MATCH(#REF!,'NAVs_Till 29 Jun 2021'!$A$1:$J$1,0)))</f>
        <v>1</v>
      </c>
      <c r="N102" s="175">
        <f>VLOOKUP('Pre-Calculation'!$C$34,INPUT!$B$20:$C$28,2,0)*K102*(L103/L102)+ IFERROR(0,VLOOKUP('Pre-Calculation'!$D$34,INPUT!$B$20:$C$28,2,0))*K102*(M103/M102)</f>
        <v>988943.3325</v>
      </c>
      <c r="O102" s="175">
        <f t="shared" si="3"/>
        <v>988943.3325</v>
      </c>
      <c r="P102" s="175">
        <f t="shared" si="4"/>
        <v>988943.3325</v>
      </c>
      <c r="Q102" s="175">
        <f>IF('Pre-Calculation'!$D$17="Type 4 a",MAX(SA,O102,1.05*R102),IF('Pre-Calculation'!$D$17="Type 4 c",O102,IF('Pre-Calculation'!$D$17="Type 4 d",SA+O102,IF('Pre-Calculation'!$D$17="Type 4 e",MAX(SA,O102),IF('Pre-Calculation'!$D$17="Type 4 f",SA,IF('Pre-Calculation'!$D$17="Type 4 g",1000+O102,IF('Pre-Calculation'!$D$17="Type 4 h",SA+S102,IF('Pre-Calculation'!$D$17="Type 4 i",MAX(O102,R102),IF('Pre-Calculation'!$D$17="Type 4 k",MAX(O102,1.01*R102),IF('Pre-Calculation'!$D$17="Type 4 m",MAX(105%*R102,SA+O102),IF('Pre-Calculation'!$D$17="Type 4 o",MAX(SA,105%*R102)+X102+Z102,IF('Pre-Calculation'!$D$17="Type 5",0))))))))))))</f>
        <v>1000000</v>
      </c>
      <c r="R102" s="175">
        <f t="shared" si="5"/>
        <v>800000</v>
      </c>
      <c r="S102" s="119">
        <f>K102*(1+GROWTH_RATE)*FMC</f>
        <v>1119.11058</v>
      </c>
      <c r="T102" s="178">
        <f>T101*(1+'Pre-Calculation'!$E$27)</f>
        <v>855925.874</v>
      </c>
      <c r="U102" s="175">
        <f>-E102+IF(A101=INPUT!$C$11*12,O102,0)</f>
        <v>0</v>
      </c>
      <c r="V102" s="112"/>
      <c r="W102" s="112"/>
      <c r="X102" s="179">
        <f t="array" ref="X102">NPV('Pre-Calculation'!$E$20,$E103:E$246)</f>
        <v>192370.2545</v>
      </c>
      <c r="Y102" s="171">
        <f>10%*SA</f>
        <v>100000</v>
      </c>
      <c r="Z102" s="179">
        <f t="array" ref="Z102">NPV('Pre-Calculation'!$E$20,Y103:Y112)</f>
        <v>969592.8037</v>
      </c>
    </row>
    <row r="103" ht="15.75" customHeight="1">
      <c r="A103" s="171">
        <f t="shared" si="1"/>
        <v>97</v>
      </c>
      <c r="B103" s="171">
        <f t="shared" si="2"/>
        <v>9</v>
      </c>
      <c r="C103" s="176">
        <f>EDATE(RCD,A102)</f>
        <v>45473</v>
      </c>
      <c r="D103" s="171">
        <f>Age_At_Entry+Cashflows_Backtesting!B103-1</f>
        <v>43</v>
      </c>
      <c r="E103" s="175">
        <f>IF(AND(C103&lt;=Last_Prem,MOD(A102,Mode)=0),Mod_Prem,0)</f>
        <v>100000</v>
      </c>
      <c r="F103" s="177">
        <f>E103*VLOOKUP(B103,'Pre-Calculation'!$H$1:$I$31,2,FALSE)</f>
        <v>0</v>
      </c>
      <c r="G103" s="177">
        <f>IF(B103&lt;PT+1,VLOOKUP(B103,'Pre-Calculation'!$H$1:$L$32,3,FALSE)+VLOOKUP(B103,'Pre-Calculation'!$H$1:$L$32,4,FALSE)*'Pre-Calculation'!$D$7,0)</f>
        <v>830</v>
      </c>
      <c r="H103" s="175">
        <f>(E103-(F103+G103)*(1+Tax)+O102)</f>
        <v>1087963.933</v>
      </c>
      <c r="I103" s="175">
        <f>IF(B103&lt;PT+1,VLOOKUP(D103,'Pre-Calculation'!$N$3:$P$79,IF(INPUT!$C$4="M",2,3),FALSE)*(J103/1000)*(1/12),0)</f>
        <v>0</v>
      </c>
      <c r="J103" s="175">
        <f>MAX(0,(SA-H103))</f>
        <v>0</v>
      </c>
      <c r="K103" s="175">
        <f>H103-I103*(1+Tax)</f>
        <v>1087963.933</v>
      </c>
      <c r="L103" s="187">
        <f>VLOOKUP(C103,'NAVs_Till 29 Jun 2021'!$A$3:$J$2236,MATCH('Pre-Calculation'!$C$34,'NAVs_Till 29 Jun 2021'!$A$1:$J$1,0))</f>
        <v>20.7486</v>
      </c>
      <c r="M103" s="187">
        <f>IFERROR(1,VLOOKUP(C103,'NAVs_Till 29 Jun 2021'!$A$3:$J$2236,MATCH(#REF!,'NAVs_Till 29 Jun 2021'!$A$1:$J$1,0)))</f>
        <v>1</v>
      </c>
      <c r="N103" s="175">
        <f>VLOOKUP('Pre-Calculation'!$C$34,INPUT!$B$20:$C$28,2,0)*K103*(L104/L103)+ IFERROR(0,VLOOKUP('Pre-Calculation'!$D$34,INPUT!$B$20:$C$28,2,0))*K103*(M104/M103)</f>
        <v>1087963.933</v>
      </c>
      <c r="O103" s="175">
        <f t="shared" si="3"/>
        <v>1087963.933</v>
      </c>
      <c r="P103" s="175">
        <f t="shared" si="4"/>
        <v>1087963.933</v>
      </c>
      <c r="Q103" s="175">
        <f>IF('Pre-Calculation'!$D$17="Type 4 a",MAX(SA,O103,1.05*R103),IF('Pre-Calculation'!$D$17="Type 4 c",O103,IF('Pre-Calculation'!$D$17="Type 4 d",SA+O103,IF('Pre-Calculation'!$D$17="Type 4 e",MAX(SA,O103),IF('Pre-Calculation'!$D$17="Type 4 f",SA,IF('Pre-Calculation'!$D$17="Type 4 g",1000+O103,IF('Pre-Calculation'!$D$17="Type 4 h",SA+S103,IF('Pre-Calculation'!$D$17="Type 4 i",MAX(O103,R103),IF('Pre-Calculation'!$D$17="Type 4 k",MAX(O103,1.01*R103),IF('Pre-Calculation'!$D$17="Type 4 m",MAX(105%*R103,SA+O103),IF('Pre-Calculation'!$D$17="Type 4 o",MAX(SA,105%*R103)+X103+Z103,IF('Pre-Calculation'!$D$17="Type 5",0))))))))))))</f>
        <v>1087963.933</v>
      </c>
      <c r="R103" s="175">
        <f t="shared" si="5"/>
        <v>900000</v>
      </c>
      <c r="S103" s="119">
        <f>K103*(1+GROWTH_RATE)*FMC</f>
        <v>1231.164524</v>
      </c>
      <c r="T103" s="178">
        <f>T102*(1+'Pre-Calculation'!$E$27)</f>
        <v>858383.1505</v>
      </c>
      <c r="U103" s="175">
        <f>-E103+IF(A102=INPUT!$C$11*12,O103,0)</f>
        <v>-100000</v>
      </c>
      <c r="V103" s="112"/>
      <c r="W103" s="112"/>
      <c r="X103" s="179">
        <f t="array" ref="X103">NPV('Pre-Calculation'!$E$20,$E104:E$246)</f>
        <v>93457.94393</v>
      </c>
      <c r="Y103" s="171">
        <f>10%*SA</f>
        <v>100000</v>
      </c>
      <c r="Z103" s="179">
        <f t="array" ref="Z103">NPV('Pre-Calculation'!$E$20,Y104:Y113)</f>
        <v>969592.8037</v>
      </c>
    </row>
    <row r="104" ht="15.75" customHeight="1">
      <c r="A104" s="171">
        <f t="shared" si="1"/>
        <v>98</v>
      </c>
      <c r="B104" s="171">
        <f t="shared" si="2"/>
        <v>9</v>
      </c>
      <c r="C104" s="176">
        <f>EDATE(RCD,A103)</f>
        <v>45503</v>
      </c>
      <c r="D104" s="171">
        <f>Age_At_Entry+Cashflows_Backtesting!B104-1</f>
        <v>43</v>
      </c>
      <c r="E104" s="175">
        <f>IF(AND(C104&lt;=Last_Prem,MOD(A103,Mode)=0),Mod_Prem,0)</f>
        <v>0</v>
      </c>
      <c r="F104" s="177">
        <f>E104*VLOOKUP(B104,'Pre-Calculation'!$H$1:$I$31,2,FALSE)</f>
        <v>0</v>
      </c>
      <c r="G104" s="177">
        <f>IF(B104&lt;PT+1,VLOOKUP(B104,'Pre-Calculation'!$H$1:$L$32,3,FALSE)+VLOOKUP(B104,'Pre-Calculation'!$H$1:$L$32,4,FALSE)*'Pre-Calculation'!$D$7,0)</f>
        <v>830</v>
      </c>
      <c r="H104" s="175">
        <f>(E104-(F104+G104)*(1+Tax)+O103)</f>
        <v>1086984.533</v>
      </c>
      <c r="I104" s="175">
        <f>IF(B104&lt;PT+1,VLOOKUP(D104,'Pre-Calculation'!$N$3:$P$79,IF(INPUT!$C$4="M",2,3),FALSE)*(J104/1000)*(1/12),0)</f>
        <v>0</v>
      </c>
      <c r="J104" s="175">
        <f>MAX(0,(SA-H104))</f>
        <v>0</v>
      </c>
      <c r="K104" s="175">
        <f>H104-I104*(1+Tax)</f>
        <v>1086984.533</v>
      </c>
      <c r="L104" s="187">
        <f>VLOOKUP(C104,'NAVs_Till 29 Jun 2021'!$A$3:$J$2236,MATCH('Pre-Calculation'!$C$34,'NAVs_Till 29 Jun 2021'!$A$1:$J$1,0))</f>
        <v>20.7486</v>
      </c>
      <c r="M104" s="187">
        <f>IFERROR(1,VLOOKUP(C104,'NAVs_Till 29 Jun 2021'!$A$3:$J$2236,MATCH(#REF!,'NAVs_Till 29 Jun 2021'!$A$1:$J$1,0)))</f>
        <v>1</v>
      </c>
      <c r="N104" s="175">
        <f>VLOOKUP('Pre-Calculation'!$C$34,INPUT!$B$20:$C$28,2,0)*K104*(L105/L104)+ IFERROR(0,VLOOKUP('Pre-Calculation'!$D$34,INPUT!$B$20:$C$28,2,0))*K104*(M105/M104)</f>
        <v>1086984.533</v>
      </c>
      <c r="O104" s="175">
        <f t="shared" si="3"/>
        <v>1086984.533</v>
      </c>
      <c r="P104" s="175">
        <f t="shared" si="4"/>
        <v>1086984.533</v>
      </c>
      <c r="Q104" s="175">
        <f>IF('Pre-Calculation'!$D$17="Type 4 a",MAX(SA,O104,1.05*R104),IF('Pre-Calculation'!$D$17="Type 4 c",O104,IF('Pre-Calculation'!$D$17="Type 4 d",SA+O104,IF('Pre-Calculation'!$D$17="Type 4 e",MAX(SA,O104),IF('Pre-Calculation'!$D$17="Type 4 f",SA,IF('Pre-Calculation'!$D$17="Type 4 g",1000+O104,IF('Pre-Calculation'!$D$17="Type 4 h",SA+S104,IF('Pre-Calculation'!$D$17="Type 4 i",MAX(O104,R104),IF('Pre-Calculation'!$D$17="Type 4 k",MAX(O104,1.01*R104),IF('Pre-Calculation'!$D$17="Type 4 m",MAX(105%*R104,SA+O104),IF('Pre-Calculation'!$D$17="Type 4 o",MAX(SA,105%*R104)+X104+Z104,IF('Pre-Calculation'!$D$17="Type 5",0))))))))))))</f>
        <v>1086984.533</v>
      </c>
      <c r="R104" s="175">
        <f t="shared" si="5"/>
        <v>900000</v>
      </c>
      <c r="S104" s="119">
        <f>K104*(1+GROWTH_RATE)*FMC</f>
        <v>1230.056213</v>
      </c>
      <c r="T104" s="178">
        <f>T103*(1+'Pre-Calculation'!$E$27)</f>
        <v>860847.4816</v>
      </c>
      <c r="U104" s="175">
        <f>-E104+IF(A103=INPUT!$C$11*12,O104,0)</f>
        <v>0</v>
      </c>
      <c r="V104" s="112"/>
      <c r="W104" s="112"/>
      <c r="X104" s="179">
        <f t="array" ref="X104">NPV('Pre-Calculation'!$E$20,$E105:E$246)</f>
        <v>93986.36873</v>
      </c>
      <c r="Y104" s="171">
        <f>10%*SA</f>
        <v>100000</v>
      </c>
      <c r="Z104" s="179">
        <f t="array" ref="Z104">NPV('Pre-Calculation'!$E$20,Y105:Y114)</f>
        <v>969592.8037</v>
      </c>
    </row>
    <row r="105" ht="15.75" customHeight="1">
      <c r="A105" s="171">
        <f t="shared" si="1"/>
        <v>99</v>
      </c>
      <c r="B105" s="171">
        <f t="shared" si="2"/>
        <v>9</v>
      </c>
      <c r="C105" s="176">
        <f>EDATE(RCD,A104)</f>
        <v>45534</v>
      </c>
      <c r="D105" s="171">
        <f>Age_At_Entry+Cashflows_Backtesting!B105-1</f>
        <v>43</v>
      </c>
      <c r="E105" s="175">
        <f>IF(AND(C105&lt;=Last_Prem,MOD(A104,Mode)=0),Mod_Prem,0)</f>
        <v>0</v>
      </c>
      <c r="F105" s="177">
        <f>E105*VLOOKUP(B105,'Pre-Calculation'!$H$1:$I$31,2,FALSE)</f>
        <v>0</v>
      </c>
      <c r="G105" s="177">
        <f>IF(B105&lt;PT+1,VLOOKUP(B105,'Pre-Calculation'!$H$1:$L$32,3,FALSE)+VLOOKUP(B105,'Pre-Calculation'!$H$1:$L$32,4,FALSE)*'Pre-Calculation'!$D$7,0)</f>
        <v>830</v>
      </c>
      <c r="H105" s="175">
        <f>(E105-(F105+G105)*(1+Tax)+O104)</f>
        <v>1086005.133</v>
      </c>
      <c r="I105" s="175">
        <f>IF(B105&lt;PT+1,VLOOKUP(D105,'Pre-Calculation'!$N$3:$P$79,IF(INPUT!$C$4="M",2,3),FALSE)*(J105/1000)*(1/12),0)</f>
        <v>0</v>
      </c>
      <c r="J105" s="175">
        <f>MAX(0,(SA-H105))</f>
        <v>0</v>
      </c>
      <c r="K105" s="175">
        <f>H105-I105*(1+Tax)</f>
        <v>1086005.133</v>
      </c>
      <c r="L105" s="187">
        <f>VLOOKUP(C105,'NAVs_Till 29 Jun 2021'!$A$3:$J$2236,MATCH('Pre-Calculation'!$C$34,'NAVs_Till 29 Jun 2021'!$A$1:$J$1,0))</f>
        <v>20.7486</v>
      </c>
      <c r="M105" s="187">
        <f>IFERROR(1,VLOOKUP(C105,'NAVs_Till 29 Jun 2021'!$A$3:$J$2236,MATCH(#REF!,'NAVs_Till 29 Jun 2021'!$A$1:$J$1,0)))</f>
        <v>1</v>
      </c>
      <c r="N105" s="175">
        <f>VLOOKUP('Pre-Calculation'!$C$34,INPUT!$B$20:$C$28,2,0)*K105*(L106/L105)+ IFERROR(0,VLOOKUP('Pre-Calculation'!$D$34,INPUT!$B$20:$C$28,2,0))*K105*(M106/M105)</f>
        <v>1086005.133</v>
      </c>
      <c r="O105" s="175">
        <f t="shared" si="3"/>
        <v>1086005.133</v>
      </c>
      <c r="P105" s="175">
        <f t="shared" si="4"/>
        <v>1086005.133</v>
      </c>
      <c r="Q105" s="175">
        <f>IF('Pre-Calculation'!$D$17="Type 4 a",MAX(SA,O105,1.05*R105),IF('Pre-Calculation'!$D$17="Type 4 c",O105,IF('Pre-Calculation'!$D$17="Type 4 d",SA+O105,IF('Pre-Calculation'!$D$17="Type 4 e",MAX(SA,O105),IF('Pre-Calculation'!$D$17="Type 4 f",SA,IF('Pre-Calculation'!$D$17="Type 4 g",1000+O105,IF('Pre-Calculation'!$D$17="Type 4 h",SA+S105,IF('Pre-Calculation'!$D$17="Type 4 i",MAX(O105,R105),IF('Pre-Calculation'!$D$17="Type 4 k",MAX(O105,1.01*R105),IF('Pre-Calculation'!$D$17="Type 4 m",MAX(105%*R105,SA+O105),IF('Pre-Calculation'!$D$17="Type 4 o",MAX(SA,105%*R105)+X105+Z105,IF('Pre-Calculation'!$D$17="Type 5",0))))))))))))</f>
        <v>1086005.133</v>
      </c>
      <c r="R105" s="175">
        <f t="shared" si="5"/>
        <v>900000</v>
      </c>
      <c r="S105" s="119">
        <f>K105*(1+GROWTH_RATE)*FMC</f>
        <v>1228.947902</v>
      </c>
      <c r="T105" s="178">
        <f>T104*(1+'Pre-Calculation'!$E$27)</f>
        <v>863318.8875</v>
      </c>
      <c r="U105" s="175">
        <f>-E105+IF(A104=INPUT!$C$11*12,O105,0)</f>
        <v>0</v>
      </c>
      <c r="V105" s="112"/>
      <c r="W105" s="112"/>
      <c r="X105" s="179">
        <f t="array" ref="X105">NPV('Pre-Calculation'!$E$20,$E106:E$246)</f>
        <v>94517.78132</v>
      </c>
      <c r="Y105" s="171">
        <f>10%*SA</f>
        <v>100000</v>
      </c>
      <c r="Z105" s="179">
        <f t="array" ref="Z105">NPV('Pre-Calculation'!$E$20,Y106:Y115)</f>
        <v>969592.8037</v>
      </c>
    </row>
    <row r="106" ht="15.75" customHeight="1">
      <c r="A106" s="171">
        <f t="shared" si="1"/>
        <v>100</v>
      </c>
      <c r="B106" s="171">
        <f t="shared" si="2"/>
        <v>9</v>
      </c>
      <c r="C106" s="176">
        <f>EDATE(RCD,A105)</f>
        <v>45565</v>
      </c>
      <c r="D106" s="171">
        <f>Age_At_Entry+Cashflows_Backtesting!B106-1</f>
        <v>43</v>
      </c>
      <c r="E106" s="175">
        <f>IF(AND(C106&lt;=Last_Prem,MOD(A105,Mode)=0),Mod_Prem,0)</f>
        <v>0</v>
      </c>
      <c r="F106" s="177">
        <f>E106*VLOOKUP(B106,'Pre-Calculation'!$H$1:$I$31,2,FALSE)</f>
        <v>0</v>
      </c>
      <c r="G106" s="177">
        <f>IF(B106&lt;PT+1,VLOOKUP(B106,'Pre-Calculation'!$H$1:$L$32,3,FALSE)+VLOOKUP(B106,'Pre-Calculation'!$H$1:$L$32,4,FALSE)*'Pre-Calculation'!$D$7,0)</f>
        <v>830</v>
      </c>
      <c r="H106" s="175">
        <f>(E106-(F106+G106)*(1+Tax)+O105)</f>
        <v>1085025.733</v>
      </c>
      <c r="I106" s="175">
        <f>IF(B106&lt;PT+1,VLOOKUP(D106,'Pre-Calculation'!$N$3:$P$79,IF(INPUT!$C$4="M",2,3),FALSE)*(J106/1000)*(1/12),0)</f>
        <v>0</v>
      </c>
      <c r="J106" s="175">
        <f>MAX(0,(SA-H106))</f>
        <v>0</v>
      </c>
      <c r="K106" s="175">
        <f>H106-I106*(1+Tax)</f>
        <v>1085025.733</v>
      </c>
      <c r="L106" s="187">
        <f>VLOOKUP(C106,'NAVs_Till 29 Jun 2021'!$A$3:$J$2236,MATCH('Pre-Calculation'!$C$34,'NAVs_Till 29 Jun 2021'!$A$1:$J$1,0))</f>
        <v>20.7486</v>
      </c>
      <c r="M106" s="187">
        <f>IFERROR(1,VLOOKUP(C106,'NAVs_Till 29 Jun 2021'!$A$3:$J$2236,MATCH(#REF!,'NAVs_Till 29 Jun 2021'!$A$1:$J$1,0)))</f>
        <v>1</v>
      </c>
      <c r="N106" s="175">
        <f>VLOOKUP('Pre-Calculation'!$C$34,INPUT!$B$20:$C$28,2,0)*K106*(L107/L106)+ IFERROR(0,VLOOKUP('Pre-Calculation'!$D$34,INPUT!$B$20:$C$28,2,0))*K106*(M107/M106)</f>
        <v>1085025.733</v>
      </c>
      <c r="O106" s="175">
        <f t="shared" si="3"/>
        <v>1085025.733</v>
      </c>
      <c r="P106" s="175">
        <f t="shared" si="4"/>
        <v>1085025.733</v>
      </c>
      <c r="Q106" s="175">
        <f>IF('Pre-Calculation'!$D$17="Type 4 a",MAX(SA,O106,1.05*R106),IF('Pre-Calculation'!$D$17="Type 4 c",O106,IF('Pre-Calculation'!$D$17="Type 4 d",SA+O106,IF('Pre-Calculation'!$D$17="Type 4 e",MAX(SA,O106),IF('Pre-Calculation'!$D$17="Type 4 f",SA,IF('Pre-Calculation'!$D$17="Type 4 g",1000+O106,IF('Pre-Calculation'!$D$17="Type 4 h",SA+S106,IF('Pre-Calculation'!$D$17="Type 4 i",MAX(O106,R106),IF('Pre-Calculation'!$D$17="Type 4 k",MAX(O106,1.01*R106),IF('Pre-Calculation'!$D$17="Type 4 m",MAX(105%*R106,SA+O106),IF('Pre-Calculation'!$D$17="Type 4 o",MAX(SA,105%*R106)+X106+Z106,IF('Pre-Calculation'!$D$17="Type 5",0))))))))))))</f>
        <v>1085025.733</v>
      </c>
      <c r="R106" s="175">
        <f t="shared" si="5"/>
        <v>900000</v>
      </c>
      <c r="S106" s="119">
        <f>K106*(1+GROWTH_RATE)*FMC</f>
        <v>1227.839591</v>
      </c>
      <c r="T106" s="178">
        <f>T105*(1+'Pre-Calculation'!$E$27)</f>
        <v>865797.3886</v>
      </c>
      <c r="U106" s="175">
        <f>-E106+IF(A105=INPUT!$C$11*12,O106,0)</f>
        <v>0</v>
      </c>
      <c r="V106" s="112"/>
      <c r="W106" s="112"/>
      <c r="X106" s="179">
        <f t="array" ref="X106">NPV('Pre-Calculation'!$E$20,$E107:E$246)</f>
        <v>95052.1986</v>
      </c>
      <c r="Y106" s="171">
        <f>10%*SA</f>
        <v>100000</v>
      </c>
      <c r="Z106" s="179">
        <f t="array" ref="Z106">NPV('Pre-Calculation'!$E$20,Y107:Y116)</f>
        <v>969592.8037</v>
      </c>
    </row>
    <row r="107" ht="15.75" customHeight="1">
      <c r="A107" s="171">
        <f t="shared" si="1"/>
        <v>101</v>
      </c>
      <c r="B107" s="171">
        <f t="shared" si="2"/>
        <v>9</v>
      </c>
      <c r="C107" s="176">
        <f>EDATE(RCD,A106)</f>
        <v>45595</v>
      </c>
      <c r="D107" s="171">
        <f>Age_At_Entry+Cashflows_Backtesting!B107-1</f>
        <v>43</v>
      </c>
      <c r="E107" s="175">
        <f>IF(AND(C107&lt;=Last_Prem,MOD(A106,Mode)=0),Mod_Prem,0)</f>
        <v>0</v>
      </c>
      <c r="F107" s="177">
        <f>E107*VLOOKUP(B107,'Pre-Calculation'!$H$1:$I$31,2,FALSE)</f>
        <v>0</v>
      </c>
      <c r="G107" s="177">
        <f>IF(B107&lt;PT+1,VLOOKUP(B107,'Pre-Calculation'!$H$1:$L$32,3,FALSE)+VLOOKUP(B107,'Pre-Calculation'!$H$1:$L$32,4,FALSE)*'Pre-Calculation'!$D$7,0)</f>
        <v>830</v>
      </c>
      <c r="H107" s="175">
        <f>(E107-(F107+G107)*(1+Tax)+O106)</f>
        <v>1084046.333</v>
      </c>
      <c r="I107" s="175">
        <f>IF(B107&lt;PT+1,VLOOKUP(D107,'Pre-Calculation'!$N$3:$P$79,IF(INPUT!$C$4="M",2,3),FALSE)*(J107/1000)*(1/12),0)</f>
        <v>0</v>
      </c>
      <c r="J107" s="175">
        <f>MAX(0,(SA-H107))</f>
        <v>0</v>
      </c>
      <c r="K107" s="175">
        <f>H107-I107*(1+Tax)</f>
        <v>1084046.333</v>
      </c>
      <c r="L107" s="187">
        <f>VLOOKUP(C107,'NAVs_Till 29 Jun 2021'!$A$3:$J$2236,MATCH('Pre-Calculation'!$C$34,'NAVs_Till 29 Jun 2021'!$A$1:$J$1,0))</f>
        <v>20.7486</v>
      </c>
      <c r="M107" s="187">
        <f>IFERROR(1,VLOOKUP(C107,'NAVs_Till 29 Jun 2021'!$A$3:$J$2236,MATCH(#REF!,'NAVs_Till 29 Jun 2021'!$A$1:$J$1,0)))</f>
        <v>1</v>
      </c>
      <c r="N107" s="175">
        <f>VLOOKUP('Pre-Calculation'!$C$34,INPUT!$B$20:$C$28,2,0)*K107*(L108/L107)+ IFERROR(0,VLOOKUP('Pre-Calculation'!$D$34,INPUT!$B$20:$C$28,2,0))*K107*(M108/M107)</f>
        <v>1084046.333</v>
      </c>
      <c r="O107" s="175">
        <f t="shared" si="3"/>
        <v>1084046.333</v>
      </c>
      <c r="P107" s="175">
        <f t="shared" si="4"/>
        <v>1084046.333</v>
      </c>
      <c r="Q107" s="175">
        <f>IF('Pre-Calculation'!$D$17="Type 4 a",MAX(SA,O107,1.05*R107),IF('Pre-Calculation'!$D$17="Type 4 c",O107,IF('Pre-Calculation'!$D$17="Type 4 d",SA+O107,IF('Pre-Calculation'!$D$17="Type 4 e",MAX(SA,O107),IF('Pre-Calculation'!$D$17="Type 4 f",SA,IF('Pre-Calculation'!$D$17="Type 4 g",1000+O107,IF('Pre-Calculation'!$D$17="Type 4 h",SA+S107,IF('Pre-Calculation'!$D$17="Type 4 i",MAX(O107,R107),IF('Pre-Calculation'!$D$17="Type 4 k",MAX(O107,1.01*R107),IF('Pre-Calculation'!$D$17="Type 4 m",MAX(105%*R107,SA+O107),IF('Pre-Calculation'!$D$17="Type 4 o",MAX(SA,105%*R107)+X107+Z107,IF('Pre-Calculation'!$D$17="Type 5",0))))))))))))</f>
        <v>1084046.333</v>
      </c>
      <c r="R107" s="175">
        <f t="shared" si="5"/>
        <v>900000</v>
      </c>
      <c r="S107" s="119">
        <f>K107*(1+GROWTH_RATE)*FMC</f>
        <v>1226.73128</v>
      </c>
      <c r="T107" s="178">
        <f>T106*(1+'Pre-Calculation'!$E$27)</f>
        <v>868283.0052</v>
      </c>
      <c r="U107" s="175">
        <f>-E107+IF(A106=INPUT!$C$11*12,O107,0)</f>
        <v>0</v>
      </c>
      <c r="V107" s="112"/>
      <c r="W107" s="112"/>
      <c r="X107" s="179">
        <f t="array" ref="X107">NPV('Pre-Calculation'!$E$20,$E108:E$246)</f>
        <v>95589.63755</v>
      </c>
      <c r="Y107" s="171">
        <f>10%*SA</f>
        <v>100000</v>
      </c>
      <c r="Z107" s="179">
        <f t="array" ref="Z107">NPV('Pre-Calculation'!$E$20,Y108:Y117)</f>
        <v>969592.8037</v>
      </c>
    </row>
    <row r="108" ht="15.75" customHeight="1">
      <c r="A108" s="171">
        <f t="shared" si="1"/>
        <v>102</v>
      </c>
      <c r="B108" s="171">
        <f t="shared" si="2"/>
        <v>9</v>
      </c>
      <c r="C108" s="176">
        <f>EDATE(RCD,A107)</f>
        <v>45626</v>
      </c>
      <c r="D108" s="171">
        <f>Age_At_Entry+Cashflows_Backtesting!B108-1</f>
        <v>43</v>
      </c>
      <c r="E108" s="175">
        <f>IF(AND(C108&lt;=Last_Prem,MOD(A107,Mode)=0),Mod_Prem,0)</f>
        <v>0</v>
      </c>
      <c r="F108" s="177">
        <f>E108*VLOOKUP(B108,'Pre-Calculation'!$H$1:$I$31,2,FALSE)</f>
        <v>0</v>
      </c>
      <c r="G108" s="177">
        <f>IF(B108&lt;PT+1,VLOOKUP(B108,'Pre-Calculation'!$H$1:$L$32,3,FALSE)+VLOOKUP(B108,'Pre-Calculation'!$H$1:$L$32,4,FALSE)*'Pre-Calculation'!$D$7,0)</f>
        <v>830</v>
      </c>
      <c r="H108" s="175">
        <f>(E108-(F108+G108)*(1+Tax)+O107)</f>
        <v>1083066.933</v>
      </c>
      <c r="I108" s="175">
        <f>IF(B108&lt;PT+1,VLOOKUP(D108,'Pre-Calculation'!$N$3:$P$79,IF(INPUT!$C$4="M",2,3),FALSE)*(J108/1000)*(1/12),0)</f>
        <v>0</v>
      </c>
      <c r="J108" s="175">
        <f>MAX(0,(SA-H108))</f>
        <v>0</v>
      </c>
      <c r="K108" s="175">
        <f>H108-I108*(1+Tax)</f>
        <v>1083066.933</v>
      </c>
      <c r="L108" s="187">
        <f>VLOOKUP(C108,'NAVs_Till 29 Jun 2021'!$A$3:$J$2236,MATCH('Pre-Calculation'!$C$34,'NAVs_Till 29 Jun 2021'!$A$1:$J$1,0))</f>
        <v>20.7486</v>
      </c>
      <c r="M108" s="187">
        <f>IFERROR(1,VLOOKUP(C108,'NAVs_Till 29 Jun 2021'!$A$3:$J$2236,MATCH(#REF!,'NAVs_Till 29 Jun 2021'!$A$1:$J$1,0)))</f>
        <v>1</v>
      </c>
      <c r="N108" s="175">
        <f>VLOOKUP('Pre-Calculation'!$C$34,INPUT!$B$20:$C$28,2,0)*K108*(L109/L108)+ IFERROR(0,VLOOKUP('Pre-Calculation'!$D$34,INPUT!$B$20:$C$28,2,0))*K108*(M109/M108)</f>
        <v>1083066.933</v>
      </c>
      <c r="O108" s="175">
        <f t="shared" si="3"/>
        <v>1083066.933</v>
      </c>
      <c r="P108" s="175">
        <f t="shared" si="4"/>
        <v>1083066.933</v>
      </c>
      <c r="Q108" s="175">
        <f>IF('Pre-Calculation'!$D$17="Type 4 a",MAX(SA,O108,1.05*R108),IF('Pre-Calculation'!$D$17="Type 4 c",O108,IF('Pre-Calculation'!$D$17="Type 4 d",SA+O108,IF('Pre-Calculation'!$D$17="Type 4 e",MAX(SA,O108),IF('Pre-Calculation'!$D$17="Type 4 f",SA,IF('Pre-Calculation'!$D$17="Type 4 g",1000+O108,IF('Pre-Calculation'!$D$17="Type 4 h",SA+S108,IF('Pre-Calculation'!$D$17="Type 4 i",MAX(O108,R108),IF('Pre-Calculation'!$D$17="Type 4 k",MAX(O108,1.01*R108),IF('Pre-Calculation'!$D$17="Type 4 m",MAX(105%*R108,SA+O108),IF('Pre-Calculation'!$D$17="Type 4 o",MAX(SA,105%*R108)+X108+Z108,IF('Pre-Calculation'!$D$17="Type 5",0))))))))))))</f>
        <v>1083066.933</v>
      </c>
      <c r="R108" s="175">
        <f t="shared" si="5"/>
        <v>900000</v>
      </c>
      <c r="S108" s="119">
        <f>K108*(1+GROWTH_RATE)*FMC</f>
        <v>1225.622969</v>
      </c>
      <c r="T108" s="178">
        <f>T107*(1+'Pre-Calculation'!$E$27)</f>
        <v>870775.7578</v>
      </c>
      <c r="U108" s="175">
        <f>-E108+IF(A107=INPUT!$C$11*12,O108,0)</f>
        <v>0</v>
      </c>
      <c r="V108" s="112"/>
      <c r="W108" s="112"/>
      <c r="X108" s="179">
        <f t="array" ref="X108">NPV('Pre-Calculation'!$E$20,$E109:E$246)</f>
        <v>96130.11526</v>
      </c>
      <c r="Y108" s="171">
        <f>10%*SA</f>
        <v>100000</v>
      </c>
      <c r="Z108" s="179">
        <f t="array" ref="Z108">NPV('Pre-Calculation'!$E$20,Y109:Y118)</f>
        <v>969592.8037</v>
      </c>
    </row>
    <row r="109" ht="15.75" customHeight="1">
      <c r="A109" s="171">
        <f t="shared" si="1"/>
        <v>103</v>
      </c>
      <c r="B109" s="171">
        <f t="shared" si="2"/>
        <v>9</v>
      </c>
      <c r="C109" s="176">
        <f>EDATE(RCD,A108)</f>
        <v>45656</v>
      </c>
      <c r="D109" s="171">
        <f>Age_At_Entry+Cashflows_Backtesting!B109-1</f>
        <v>43</v>
      </c>
      <c r="E109" s="175">
        <f>IF(AND(C109&lt;=Last_Prem,MOD(A108,Mode)=0),Mod_Prem,0)</f>
        <v>0</v>
      </c>
      <c r="F109" s="177">
        <f>E109*VLOOKUP(B109,'Pre-Calculation'!$H$1:$I$31,2,FALSE)</f>
        <v>0</v>
      </c>
      <c r="G109" s="177">
        <f>IF(B109&lt;PT+1,VLOOKUP(B109,'Pre-Calculation'!$H$1:$L$32,3,FALSE)+VLOOKUP(B109,'Pre-Calculation'!$H$1:$L$32,4,FALSE)*'Pre-Calculation'!$D$7,0)</f>
        <v>830</v>
      </c>
      <c r="H109" s="175">
        <f>(E109-(F109+G109)*(1+Tax)+O108)</f>
        <v>1082087.533</v>
      </c>
      <c r="I109" s="175">
        <f>IF(B109&lt;PT+1,VLOOKUP(D109,'Pre-Calculation'!$N$3:$P$79,IF(INPUT!$C$4="M",2,3),FALSE)*(J109/1000)*(1/12),0)</f>
        <v>0</v>
      </c>
      <c r="J109" s="175">
        <f>MAX(0,(SA-H109))</f>
        <v>0</v>
      </c>
      <c r="K109" s="175">
        <f>H109-I109*(1+Tax)</f>
        <v>1082087.533</v>
      </c>
      <c r="L109" s="187">
        <f>VLOOKUP(C109,'NAVs_Till 29 Jun 2021'!$A$3:$J$2236,MATCH('Pre-Calculation'!$C$34,'NAVs_Till 29 Jun 2021'!$A$1:$J$1,0))</f>
        <v>20.7486</v>
      </c>
      <c r="M109" s="187">
        <f>IFERROR(1,VLOOKUP(C109,'NAVs_Till 29 Jun 2021'!$A$3:$J$2236,MATCH(#REF!,'NAVs_Till 29 Jun 2021'!$A$1:$J$1,0)))</f>
        <v>1</v>
      </c>
      <c r="N109" s="175">
        <f>VLOOKUP('Pre-Calculation'!$C$34,INPUT!$B$20:$C$28,2,0)*K109*(L110/L109)+ IFERROR(0,VLOOKUP('Pre-Calculation'!$D$34,INPUT!$B$20:$C$28,2,0))*K109*(M110/M109)</f>
        <v>1082087.533</v>
      </c>
      <c r="O109" s="175">
        <f t="shared" si="3"/>
        <v>1082087.533</v>
      </c>
      <c r="P109" s="175">
        <f t="shared" si="4"/>
        <v>1082087.533</v>
      </c>
      <c r="Q109" s="175">
        <f>IF('Pre-Calculation'!$D$17="Type 4 a",MAX(SA,O109,1.05*R109),IF('Pre-Calculation'!$D$17="Type 4 c",O109,IF('Pre-Calculation'!$D$17="Type 4 d",SA+O109,IF('Pre-Calculation'!$D$17="Type 4 e",MAX(SA,O109),IF('Pre-Calculation'!$D$17="Type 4 f",SA,IF('Pre-Calculation'!$D$17="Type 4 g",1000+O109,IF('Pre-Calculation'!$D$17="Type 4 h",SA+S109,IF('Pre-Calculation'!$D$17="Type 4 i",MAX(O109,R109),IF('Pre-Calculation'!$D$17="Type 4 k",MAX(O109,1.01*R109),IF('Pre-Calculation'!$D$17="Type 4 m",MAX(105%*R109,SA+O109),IF('Pre-Calculation'!$D$17="Type 4 o",MAX(SA,105%*R109)+X109+Z109,IF('Pre-Calculation'!$D$17="Type 5",0))))))))))))</f>
        <v>1082087.533</v>
      </c>
      <c r="R109" s="175">
        <f t="shared" si="5"/>
        <v>900000</v>
      </c>
      <c r="S109" s="119">
        <f>K109*(1+GROWTH_RATE)*FMC</f>
        <v>1224.514657</v>
      </c>
      <c r="T109" s="178">
        <f>T108*(1+'Pre-Calculation'!$E$27)</f>
        <v>873275.6668</v>
      </c>
      <c r="U109" s="175">
        <f>-E109+IF(A108=INPUT!$C$11*12,O109,0)</f>
        <v>0</v>
      </c>
      <c r="V109" s="112"/>
      <c r="W109" s="112"/>
      <c r="X109" s="179">
        <f t="array" ref="X109">NPV('Pre-Calculation'!$E$20,$E110:E$246)</f>
        <v>96673.6489</v>
      </c>
      <c r="Y109" s="171">
        <f>10%*SA</f>
        <v>100000</v>
      </c>
      <c r="Z109" s="179">
        <f t="array" ref="Z109">NPV('Pre-Calculation'!$E$20,Y110:Y119)</f>
        <v>969592.8037</v>
      </c>
    </row>
    <row r="110" ht="15.75" customHeight="1">
      <c r="A110" s="171">
        <f t="shared" si="1"/>
        <v>104</v>
      </c>
      <c r="B110" s="171">
        <f t="shared" si="2"/>
        <v>9</v>
      </c>
      <c r="C110" s="176">
        <f>EDATE(RCD,A109)</f>
        <v>45687</v>
      </c>
      <c r="D110" s="171">
        <f>Age_At_Entry+Cashflows_Backtesting!B110-1</f>
        <v>43</v>
      </c>
      <c r="E110" s="175">
        <f>IF(AND(C110&lt;=Last_Prem,MOD(A109,Mode)=0),Mod_Prem,0)</f>
        <v>0</v>
      </c>
      <c r="F110" s="177">
        <f>E110*VLOOKUP(B110,'Pre-Calculation'!$H$1:$I$31,2,FALSE)</f>
        <v>0</v>
      </c>
      <c r="G110" s="177">
        <f>IF(B110&lt;PT+1,VLOOKUP(B110,'Pre-Calculation'!$H$1:$L$32,3,FALSE)+VLOOKUP(B110,'Pre-Calculation'!$H$1:$L$32,4,FALSE)*'Pre-Calculation'!$D$7,0)</f>
        <v>830</v>
      </c>
      <c r="H110" s="175">
        <f>(E110-(F110+G110)*(1+Tax)+O109)</f>
        <v>1081108.133</v>
      </c>
      <c r="I110" s="175">
        <f>IF(B110&lt;PT+1,VLOOKUP(D110,'Pre-Calculation'!$N$3:$P$79,IF(INPUT!$C$4="M",2,3),FALSE)*(J110/1000)*(1/12),0)</f>
        <v>0</v>
      </c>
      <c r="J110" s="175">
        <f>MAX(0,(SA-H110))</f>
        <v>0</v>
      </c>
      <c r="K110" s="175">
        <f>H110-I110*(1+Tax)</f>
        <v>1081108.133</v>
      </c>
      <c r="L110" s="187">
        <f>VLOOKUP(C110,'NAVs_Till 29 Jun 2021'!$A$3:$J$2236,MATCH('Pre-Calculation'!$C$34,'NAVs_Till 29 Jun 2021'!$A$1:$J$1,0))</f>
        <v>20.7486</v>
      </c>
      <c r="M110" s="187">
        <f>IFERROR(1,VLOOKUP(C110,'NAVs_Till 29 Jun 2021'!$A$3:$J$2236,MATCH(#REF!,'NAVs_Till 29 Jun 2021'!$A$1:$J$1,0)))</f>
        <v>1</v>
      </c>
      <c r="N110" s="175">
        <f>VLOOKUP('Pre-Calculation'!$C$34,INPUT!$B$20:$C$28,2,0)*K110*(L111/L110)+ IFERROR(0,VLOOKUP('Pre-Calculation'!$D$34,INPUT!$B$20:$C$28,2,0))*K110*(M111/M110)</f>
        <v>1081108.133</v>
      </c>
      <c r="O110" s="175">
        <f t="shared" si="3"/>
        <v>1081108.133</v>
      </c>
      <c r="P110" s="175">
        <f t="shared" si="4"/>
        <v>1081108.133</v>
      </c>
      <c r="Q110" s="175">
        <f>IF('Pre-Calculation'!$D$17="Type 4 a",MAX(SA,O110,1.05*R110),IF('Pre-Calculation'!$D$17="Type 4 c",O110,IF('Pre-Calculation'!$D$17="Type 4 d",SA+O110,IF('Pre-Calculation'!$D$17="Type 4 e",MAX(SA,O110),IF('Pre-Calculation'!$D$17="Type 4 f",SA,IF('Pre-Calculation'!$D$17="Type 4 g",1000+O110,IF('Pre-Calculation'!$D$17="Type 4 h",SA+S110,IF('Pre-Calculation'!$D$17="Type 4 i",MAX(O110,R110),IF('Pre-Calculation'!$D$17="Type 4 k",MAX(O110,1.01*R110),IF('Pre-Calculation'!$D$17="Type 4 m",MAX(105%*R110,SA+O110),IF('Pre-Calculation'!$D$17="Type 4 o",MAX(SA,105%*R110)+X110+Z110,IF('Pre-Calculation'!$D$17="Type 5",0))))))))))))</f>
        <v>1081108.133</v>
      </c>
      <c r="R110" s="175">
        <f t="shared" si="5"/>
        <v>900000</v>
      </c>
      <c r="S110" s="119">
        <f>K110*(1+GROWTH_RATE)*FMC</f>
        <v>1223.406346</v>
      </c>
      <c r="T110" s="178">
        <f>T109*(1+'Pre-Calculation'!$E$27)</f>
        <v>875782.7528</v>
      </c>
      <c r="U110" s="175">
        <f>-E110+IF(A109=INPUT!$C$11*12,O110,0)</f>
        <v>0</v>
      </c>
      <c r="V110" s="112"/>
      <c r="W110" s="112"/>
      <c r="X110" s="179">
        <f t="array" ref="X110">NPV('Pre-Calculation'!$E$20,$E111:E$246)</f>
        <v>97220.25577</v>
      </c>
      <c r="Y110" s="171">
        <f>10%*SA</f>
        <v>100000</v>
      </c>
      <c r="Z110" s="179">
        <f t="array" ref="Z110">NPV('Pre-Calculation'!$E$20,Y111:Y120)</f>
        <v>969592.8037</v>
      </c>
    </row>
    <row r="111" ht="15.75" customHeight="1">
      <c r="A111" s="171">
        <f t="shared" si="1"/>
        <v>105</v>
      </c>
      <c r="B111" s="171">
        <f t="shared" si="2"/>
        <v>9</v>
      </c>
      <c r="C111" s="176">
        <f>EDATE(RCD,A110)</f>
        <v>45716</v>
      </c>
      <c r="D111" s="171">
        <f>Age_At_Entry+Cashflows_Backtesting!B111-1</f>
        <v>43</v>
      </c>
      <c r="E111" s="175">
        <f>IF(AND(C111&lt;=Last_Prem,MOD(A110,Mode)=0),Mod_Prem,0)</f>
        <v>0</v>
      </c>
      <c r="F111" s="177">
        <f>E111*VLOOKUP(B111,'Pre-Calculation'!$H$1:$I$31,2,FALSE)</f>
        <v>0</v>
      </c>
      <c r="G111" s="177">
        <f>IF(B111&lt;PT+1,VLOOKUP(B111,'Pre-Calculation'!$H$1:$L$32,3,FALSE)+VLOOKUP(B111,'Pre-Calculation'!$H$1:$L$32,4,FALSE)*'Pre-Calculation'!$D$7,0)</f>
        <v>830</v>
      </c>
      <c r="H111" s="175">
        <f>(E111-(F111+G111)*(1+Tax)+O110)</f>
        <v>1080128.733</v>
      </c>
      <c r="I111" s="175">
        <f>IF(B111&lt;PT+1,VLOOKUP(D111,'Pre-Calculation'!$N$3:$P$79,IF(INPUT!$C$4="M",2,3),FALSE)*(J111/1000)*(1/12),0)</f>
        <v>0</v>
      </c>
      <c r="J111" s="175">
        <f>MAX(0,(SA-H111))</f>
        <v>0</v>
      </c>
      <c r="K111" s="175">
        <f>H111-I111*(1+Tax)</f>
        <v>1080128.733</v>
      </c>
      <c r="L111" s="187">
        <f>VLOOKUP(C111,'NAVs_Till 29 Jun 2021'!$A$3:$J$2236,MATCH('Pre-Calculation'!$C$34,'NAVs_Till 29 Jun 2021'!$A$1:$J$1,0))</f>
        <v>20.7486</v>
      </c>
      <c r="M111" s="187">
        <f>IFERROR(1,VLOOKUP(C111,'NAVs_Till 29 Jun 2021'!$A$3:$J$2236,MATCH(#REF!,'NAVs_Till 29 Jun 2021'!$A$1:$J$1,0)))</f>
        <v>1</v>
      </c>
      <c r="N111" s="175">
        <f>VLOOKUP('Pre-Calculation'!$C$34,INPUT!$B$20:$C$28,2,0)*K111*(L112/L111)+ IFERROR(0,VLOOKUP('Pre-Calculation'!$D$34,INPUT!$B$20:$C$28,2,0))*K111*(M112/M111)</f>
        <v>1080128.733</v>
      </c>
      <c r="O111" s="175">
        <f t="shared" si="3"/>
        <v>1080128.733</v>
      </c>
      <c r="P111" s="175">
        <f t="shared" si="4"/>
        <v>1080128.733</v>
      </c>
      <c r="Q111" s="175">
        <f>IF('Pre-Calculation'!$D$17="Type 4 a",MAX(SA,O111,1.05*R111),IF('Pre-Calculation'!$D$17="Type 4 c",O111,IF('Pre-Calculation'!$D$17="Type 4 d",SA+O111,IF('Pre-Calculation'!$D$17="Type 4 e",MAX(SA,O111),IF('Pre-Calculation'!$D$17="Type 4 f",SA,IF('Pre-Calculation'!$D$17="Type 4 g",1000+O111,IF('Pre-Calculation'!$D$17="Type 4 h",SA+S111,IF('Pre-Calculation'!$D$17="Type 4 i",MAX(O111,R111),IF('Pre-Calculation'!$D$17="Type 4 k",MAX(O111,1.01*R111),IF('Pre-Calculation'!$D$17="Type 4 m",MAX(105%*R111,SA+O111),IF('Pre-Calculation'!$D$17="Type 4 o",MAX(SA,105%*R111)+X111+Z111,IF('Pre-Calculation'!$D$17="Type 5",0))))))))))))</f>
        <v>1080128.733</v>
      </c>
      <c r="R111" s="175">
        <f t="shared" si="5"/>
        <v>900000</v>
      </c>
      <c r="S111" s="119">
        <f>K111*(1+GROWTH_RATE)*FMC</f>
        <v>1222.298035</v>
      </c>
      <c r="T111" s="178">
        <f>T110*(1+'Pre-Calculation'!$E$27)</f>
        <v>878297.0364</v>
      </c>
      <c r="U111" s="175">
        <f>-E111+IF(A110=INPUT!$C$11*12,O111,0)</f>
        <v>0</v>
      </c>
      <c r="V111" s="112"/>
      <c r="W111" s="112"/>
      <c r="X111" s="179">
        <f t="array" ref="X111">NPV('Pre-Calculation'!$E$20,$E112:E$246)</f>
        <v>97769.95323</v>
      </c>
      <c r="Y111" s="171">
        <f>10%*SA</f>
        <v>100000</v>
      </c>
      <c r="Z111" s="179">
        <f t="array" ref="Z111">NPV('Pre-Calculation'!$E$20,Y112:Y121)</f>
        <v>969592.8037</v>
      </c>
    </row>
    <row r="112" ht="15.75" customHeight="1">
      <c r="A112" s="171">
        <f t="shared" si="1"/>
        <v>106</v>
      </c>
      <c r="B112" s="171">
        <f t="shared" si="2"/>
        <v>9</v>
      </c>
      <c r="C112" s="176">
        <f>EDATE(RCD,A111)</f>
        <v>45746</v>
      </c>
      <c r="D112" s="171">
        <f>Age_At_Entry+Cashflows_Backtesting!B112-1</f>
        <v>43</v>
      </c>
      <c r="E112" s="175">
        <f>IF(AND(C112&lt;=Last_Prem,MOD(A111,Mode)=0),Mod_Prem,0)</f>
        <v>0</v>
      </c>
      <c r="F112" s="177">
        <f>E112*VLOOKUP(B112,'Pre-Calculation'!$H$1:$I$31,2,FALSE)</f>
        <v>0</v>
      </c>
      <c r="G112" s="177">
        <f>IF(B112&lt;PT+1,VLOOKUP(B112,'Pre-Calculation'!$H$1:$L$32,3,FALSE)+VLOOKUP(B112,'Pre-Calculation'!$H$1:$L$32,4,FALSE)*'Pre-Calculation'!$D$7,0)</f>
        <v>830</v>
      </c>
      <c r="H112" s="175">
        <f>(E112-(F112+G112)*(1+Tax)+O111)</f>
        <v>1079149.333</v>
      </c>
      <c r="I112" s="175">
        <f>IF(B112&lt;PT+1,VLOOKUP(D112,'Pre-Calculation'!$N$3:$P$79,IF(INPUT!$C$4="M",2,3),FALSE)*(J112/1000)*(1/12),0)</f>
        <v>0</v>
      </c>
      <c r="J112" s="175">
        <f>MAX(0,(SA-H112))</f>
        <v>0</v>
      </c>
      <c r="K112" s="175">
        <f>H112-I112*(1+Tax)</f>
        <v>1079149.333</v>
      </c>
      <c r="L112" s="187">
        <f>VLOOKUP(C112,'NAVs_Till 29 Jun 2021'!$A$3:$J$2236,MATCH('Pre-Calculation'!$C$34,'NAVs_Till 29 Jun 2021'!$A$1:$J$1,0))</f>
        <v>20.7486</v>
      </c>
      <c r="M112" s="187">
        <f>IFERROR(1,VLOOKUP(C112,'NAVs_Till 29 Jun 2021'!$A$3:$J$2236,MATCH(#REF!,'NAVs_Till 29 Jun 2021'!$A$1:$J$1,0)))</f>
        <v>1</v>
      </c>
      <c r="N112" s="175">
        <f>VLOOKUP('Pre-Calculation'!$C$34,INPUT!$B$20:$C$28,2,0)*K112*(L113/L112)+ IFERROR(0,VLOOKUP('Pre-Calculation'!$D$34,INPUT!$B$20:$C$28,2,0))*K112*(M113/M112)</f>
        <v>1079149.333</v>
      </c>
      <c r="O112" s="175">
        <f t="shared" si="3"/>
        <v>1079149.333</v>
      </c>
      <c r="P112" s="175">
        <f t="shared" si="4"/>
        <v>1079149.333</v>
      </c>
      <c r="Q112" s="175">
        <f>IF('Pre-Calculation'!$D$17="Type 4 a",MAX(SA,O112,1.05*R112),IF('Pre-Calculation'!$D$17="Type 4 c",O112,IF('Pre-Calculation'!$D$17="Type 4 d",SA+O112,IF('Pre-Calculation'!$D$17="Type 4 e",MAX(SA,O112),IF('Pre-Calculation'!$D$17="Type 4 f",SA,IF('Pre-Calculation'!$D$17="Type 4 g",1000+O112,IF('Pre-Calculation'!$D$17="Type 4 h",SA+S112,IF('Pre-Calculation'!$D$17="Type 4 i",MAX(O112,R112),IF('Pre-Calculation'!$D$17="Type 4 k",MAX(O112,1.01*R112),IF('Pre-Calculation'!$D$17="Type 4 m",MAX(105%*R112,SA+O112),IF('Pre-Calculation'!$D$17="Type 4 o",MAX(SA,105%*R112)+X112+Z112,IF('Pre-Calculation'!$D$17="Type 5",0))))))))))))</f>
        <v>1079149.333</v>
      </c>
      <c r="R112" s="175">
        <f t="shared" si="5"/>
        <v>900000</v>
      </c>
      <c r="S112" s="119">
        <f>K112*(1+GROWTH_RATE)*FMC</f>
        <v>1221.189724</v>
      </c>
      <c r="T112" s="178">
        <f>T111*(1+'Pre-Calculation'!$E$27)</f>
        <v>880818.5382</v>
      </c>
      <c r="U112" s="175">
        <f>-E112+IF(A111=INPUT!$C$11*12,O112,0)</f>
        <v>0</v>
      </c>
      <c r="V112" s="112"/>
      <c r="W112" s="112"/>
      <c r="X112" s="179">
        <f t="array" ref="X112">NPV('Pre-Calculation'!$E$20,$E113:E$246)</f>
        <v>98322.75876</v>
      </c>
      <c r="Y112" s="171">
        <f>10%*SA</f>
        <v>100000</v>
      </c>
      <c r="Z112" s="179">
        <f t="array" ref="Z112">NPV('Pre-Calculation'!$E$20,Y113:Y122)</f>
        <v>969592.8037</v>
      </c>
    </row>
    <row r="113" ht="15.75" customHeight="1">
      <c r="A113" s="171">
        <f t="shared" si="1"/>
        <v>107</v>
      </c>
      <c r="B113" s="171">
        <f t="shared" si="2"/>
        <v>9</v>
      </c>
      <c r="C113" s="176">
        <f>EDATE(RCD,A112)</f>
        <v>45777</v>
      </c>
      <c r="D113" s="171">
        <f>Age_At_Entry+Cashflows_Backtesting!B113-1</f>
        <v>43</v>
      </c>
      <c r="E113" s="175">
        <f>IF(AND(C113&lt;=Last_Prem,MOD(A112,Mode)=0),Mod_Prem,0)</f>
        <v>0</v>
      </c>
      <c r="F113" s="177">
        <f>E113*VLOOKUP(B113,'Pre-Calculation'!$H$1:$I$31,2,FALSE)</f>
        <v>0</v>
      </c>
      <c r="G113" s="177">
        <f>IF(B113&lt;PT+1,VLOOKUP(B113,'Pre-Calculation'!$H$1:$L$32,3,FALSE)+VLOOKUP(B113,'Pre-Calculation'!$H$1:$L$32,4,FALSE)*'Pre-Calculation'!$D$7,0)</f>
        <v>830</v>
      </c>
      <c r="H113" s="175">
        <f>(E113-(F113+G113)*(1+Tax)+O112)</f>
        <v>1078169.933</v>
      </c>
      <c r="I113" s="175">
        <f>IF(B113&lt;PT+1,VLOOKUP(D113,'Pre-Calculation'!$N$3:$P$79,IF(INPUT!$C$4="M",2,3),FALSE)*(J113/1000)*(1/12),0)</f>
        <v>0</v>
      </c>
      <c r="J113" s="175">
        <f>MAX(0,(SA-H113))</f>
        <v>0</v>
      </c>
      <c r="K113" s="175">
        <f>H113-I113*(1+Tax)</f>
        <v>1078169.933</v>
      </c>
      <c r="L113" s="187">
        <f>VLOOKUP(C113,'NAVs_Till 29 Jun 2021'!$A$3:$J$2236,MATCH('Pre-Calculation'!$C$34,'NAVs_Till 29 Jun 2021'!$A$1:$J$1,0))</f>
        <v>20.7486</v>
      </c>
      <c r="M113" s="187">
        <f>IFERROR(1,VLOOKUP(C113,'NAVs_Till 29 Jun 2021'!$A$3:$J$2236,MATCH(#REF!,'NAVs_Till 29 Jun 2021'!$A$1:$J$1,0)))</f>
        <v>1</v>
      </c>
      <c r="N113" s="175">
        <f>VLOOKUP('Pre-Calculation'!$C$34,INPUT!$B$20:$C$28,2,0)*K113*(L114/L113)+ IFERROR(0,VLOOKUP('Pre-Calculation'!$D$34,INPUT!$B$20:$C$28,2,0))*K113*(M114/M113)</f>
        <v>1078169.933</v>
      </c>
      <c r="O113" s="175">
        <f t="shared" si="3"/>
        <v>1078169.933</v>
      </c>
      <c r="P113" s="175">
        <f t="shared" si="4"/>
        <v>1078169.933</v>
      </c>
      <c r="Q113" s="175">
        <f>IF('Pre-Calculation'!$D$17="Type 4 a",MAX(SA,O113,1.05*R113),IF('Pre-Calculation'!$D$17="Type 4 c",O113,IF('Pre-Calculation'!$D$17="Type 4 d",SA+O113,IF('Pre-Calculation'!$D$17="Type 4 e",MAX(SA,O113),IF('Pre-Calculation'!$D$17="Type 4 f",SA,IF('Pre-Calculation'!$D$17="Type 4 g",1000+O113,IF('Pre-Calculation'!$D$17="Type 4 h",SA+S113,IF('Pre-Calculation'!$D$17="Type 4 i",MAX(O113,R113),IF('Pre-Calculation'!$D$17="Type 4 k",MAX(O113,1.01*R113),IF('Pre-Calculation'!$D$17="Type 4 m",MAX(105%*R113,SA+O113),IF('Pre-Calculation'!$D$17="Type 4 o",MAX(SA,105%*R113)+X113+Z113,IF('Pre-Calculation'!$D$17="Type 5",0))))))))))))</f>
        <v>1078169.933</v>
      </c>
      <c r="R113" s="175">
        <f t="shared" si="5"/>
        <v>900000</v>
      </c>
      <c r="S113" s="119">
        <f>K113*(1+GROWTH_RATE)*FMC</f>
        <v>1220.081413</v>
      </c>
      <c r="T113" s="178">
        <f>T112*(1+'Pre-Calculation'!$E$27)</f>
        <v>883347.279</v>
      </c>
      <c r="U113" s="175">
        <f>-E113+IF(A112=INPUT!$C$11*12,O113,0)</f>
        <v>0</v>
      </c>
      <c r="V113" s="112"/>
      <c r="W113" s="112"/>
      <c r="X113" s="179">
        <f t="array" ref="X113">NPV('Pre-Calculation'!$E$20,$E114:E$246)</f>
        <v>98878.68993</v>
      </c>
      <c r="Y113" s="171">
        <f>10%*SA</f>
        <v>100000</v>
      </c>
      <c r="Z113" s="179">
        <f t="array" ref="Z113">NPV('Pre-Calculation'!$E$20,Y114:Y123)</f>
        <v>969592.8037</v>
      </c>
    </row>
    <row r="114" ht="15.75" customHeight="1">
      <c r="A114" s="171">
        <f t="shared" si="1"/>
        <v>108</v>
      </c>
      <c r="B114" s="171">
        <f t="shared" si="2"/>
        <v>9</v>
      </c>
      <c r="C114" s="176">
        <f>EDATE(RCD,A113)</f>
        <v>45807</v>
      </c>
      <c r="D114" s="171">
        <f>Age_At_Entry+Cashflows_Backtesting!B114-1</f>
        <v>43</v>
      </c>
      <c r="E114" s="175">
        <f>IF(AND(C114&lt;=Last_Prem,MOD(A113,Mode)=0),Mod_Prem,0)</f>
        <v>0</v>
      </c>
      <c r="F114" s="177">
        <f>E114*VLOOKUP(B114,'Pre-Calculation'!$H$1:$I$31,2,FALSE)</f>
        <v>0</v>
      </c>
      <c r="G114" s="177">
        <f>IF(B114&lt;PT+1,VLOOKUP(B114,'Pre-Calculation'!$H$1:$L$32,3,FALSE)+VLOOKUP(B114,'Pre-Calculation'!$H$1:$L$32,4,FALSE)*'Pre-Calculation'!$D$7,0)</f>
        <v>830</v>
      </c>
      <c r="H114" s="175">
        <f>(E114-(F114+G114)*(1+Tax)+O113)</f>
        <v>1077190.533</v>
      </c>
      <c r="I114" s="175">
        <f>IF(B114&lt;PT+1,VLOOKUP(D114,'Pre-Calculation'!$N$3:$P$79,IF(INPUT!$C$4="M",2,3),FALSE)*(J114/1000)*(1/12),0)</f>
        <v>0</v>
      </c>
      <c r="J114" s="175">
        <f>MAX(0,(SA-H114))</f>
        <v>0</v>
      </c>
      <c r="K114" s="175">
        <f>H114-I114*(1+Tax)</f>
        <v>1077190.533</v>
      </c>
      <c r="L114" s="187">
        <f>VLOOKUP(C114,'NAVs_Till 29 Jun 2021'!$A$3:$J$2236,MATCH('Pre-Calculation'!$C$34,'NAVs_Till 29 Jun 2021'!$A$1:$J$1,0))</f>
        <v>20.7486</v>
      </c>
      <c r="M114" s="187">
        <f>IFERROR(1,VLOOKUP(C114,'NAVs_Till 29 Jun 2021'!$A$3:$J$2236,MATCH(#REF!,'NAVs_Till 29 Jun 2021'!$A$1:$J$1,0)))</f>
        <v>1</v>
      </c>
      <c r="N114" s="175">
        <f>VLOOKUP('Pre-Calculation'!$C$34,INPUT!$B$20:$C$28,2,0)*K114*(L115/L114)+ IFERROR(0,VLOOKUP('Pre-Calculation'!$D$34,INPUT!$B$20:$C$28,2,0))*K114*(M115/M114)</f>
        <v>1077190.533</v>
      </c>
      <c r="O114" s="175">
        <f t="shared" si="3"/>
        <v>1077190.533</v>
      </c>
      <c r="P114" s="175">
        <f t="shared" si="4"/>
        <v>1077190.533</v>
      </c>
      <c r="Q114" s="175">
        <f>IF('Pre-Calculation'!$D$17="Type 4 a",MAX(SA,O114,1.05*R114),IF('Pre-Calculation'!$D$17="Type 4 c",O114,IF('Pre-Calculation'!$D$17="Type 4 d",SA+O114,IF('Pre-Calculation'!$D$17="Type 4 e",MAX(SA,O114),IF('Pre-Calculation'!$D$17="Type 4 f",SA,IF('Pre-Calculation'!$D$17="Type 4 g",1000+O114,IF('Pre-Calculation'!$D$17="Type 4 h",SA+S114,IF('Pre-Calculation'!$D$17="Type 4 i",MAX(O114,R114),IF('Pre-Calculation'!$D$17="Type 4 k",MAX(O114,1.01*R114),IF('Pre-Calculation'!$D$17="Type 4 m",MAX(105%*R114,SA+O114),IF('Pre-Calculation'!$D$17="Type 4 o",MAX(SA,105%*R114)+X114+Z114,IF('Pre-Calculation'!$D$17="Type 5",0))))))))))))</f>
        <v>1077190.533</v>
      </c>
      <c r="R114" s="175">
        <f t="shared" si="5"/>
        <v>900000</v>
      </c>
      <c r="S114" s="119">
        <f>K114*(1+GROWTH_RATE)*FMC</f>
        <v>1218.973102</v>
      </c>
      <c r="T114" s="178">
        <f>T113*(1+'Pre-Calculation'!$E$27)</f>
        <v>885883.2796</v>
      </c>
      <c r="U114" s="175">
        <f>-E114+IF(A113=INPUT!$C$11*12,O114,0)</f>
        <v>0</v>
      </c>
      <c r="V114" s="112"/>
      <c r="W114" s="112"/>
      <c r="X114" s="179">
        <f t="array" ref="X114">NPV('Pre-Calculation'!$E$20,$E115:E$246)</f>
        <v>99437.76442</v>
      </c>
      <c r="Y114" s="171">
        <f>10%*SA</f>
        <v>100000</v>
      </c>
      <c r="Z114" s="179">
        <f t="array" ref="Z114">NPV('Pre-Calculation'!$E$20,Y115:Y124)</f>
        <v>969592.8037</v>
      </c>
    </row>
    <row r="115" ht="15.75" customHeight="1">
      <c r="A115" s="171">
        <f t="shared" si="1"/>
        <v>109</v>
      </c>
      <c r="B115" s="171">
        <f t="shared" si="2"/>
        <v>10</v>
      </c>
      <c r="C115" s="176">
        <f>EDATE(RCD,A114)</f>
        <v>45838</v>
      </c>
      <c r="D115" s="171">
        <f>Age_At_Entry+Cashflows_Backtesting!B115-1</f>
        <v>44</v>
      </c>
      <c r="E115" s="175">
        <f>IF(AND(C115&lt;=Last_Prem,MOD(A114,Mode)=0),Mod_Prem,0)</f>
        <v>100000</v>
      </c>
      <c r="F115" s="177">
        <f>E115*VLOOKUP(B115,'Pre-Calculation'!$H$1:$I$31,2,FALSE)</f>
        <v>0</v>
      </c>
      <c r="G115" s="177">
        <f>IF(B115&lt;PT+1,VLOOKUP(B115,'Pre-Calculation'!$H$1:$L$32,3,FALSE)+VLOOKUP(B115,'Pre-Calculation'!$H$1:$L$32,4,FALSE)*'Pre-Calculation'!$D$7,0)</f>
        <v>830</v>
      </c>
      <c r="H115" s="175">
        <f>(E115-(F115+G115)*(1+Tax)+O114)</f>
        <v>1176211.133</v>
      </c>
      <c r="I115" s="175">
        <f>IF(B115&lt;PT+1,VLOOKUP(D115,'Pre-Calculation'!$N$3:$P$79,IF(INPUT!$C$4="M",2,3),FALSE)*(J115/1000)*(1/12),0)</f>
        <v>0</v>
      </c>
      <c r="J115" s="175">
        <f>MAX(0,(SA-H115))</f>
        <v>0</v>
      </c>
      <c r="K115" s="175">
        <f>H115-I115*(1+Tax)</f>
        <v>1176211.133</v>
      </c>
      <c r="L115" s="187">
        <f>VLOOKUP(C115,'NAVs_Till 29 Jun 2021'!$A$3:$J$2236,MATCH('Pre-Calculation'!$C$34,'NAVs_Till 29 Jun 2021'!$A$1:$J$1,0))</f>
        <v>20.7486</v>
      </c>
      <c r="M115" s="187">
        <f>IFERROR(1,VLOOKUP(C115,'NAVs_Till 29 Jun 2021'!$A$3:$J$2236,MATCH(#REF!,'NAVs_Till 29 Jun 2021'!$A$1:$J$1,0)))</f>
        <v>1</v>
      </c>
      <c r="N115" s="175">
        <f>VLOOKUP('Pre-Calculation'!$C$34,INPUT!$B$20:$C$28,2,0)*K115*(L116/L115)+ IFERROR(0,VLOOKUP('Pre-Calculation'!$D$34,INPUT!$B$20:$C$28,2,0))*K115*(M116/M115)</f>
        <v>1176211.133</v>
      </c>
      <c r="O115" s="175">
        <f t="shared" si="3"/>
        <v>1176211.133</v>
      </c>
      <c r="P115" s="175">
        <f t="shared" si="4"/>
        <v>1176211.133</v>
      </c>
      <c r="Q115" s="175">
        <f>IF('Pre-Calculation'!$D$17="Type 4 a",MAX(SA,O115,1.05*R115),IF('Pre-Calculation'!$D$17="Type 4 c",O115,IF('Pre-Calculation'!$D$17="Type 4 d",SA+O115,IF('Pre-Calculation'!$D$17="Type 4 e",MAX(SA,O115),IF('Pre-Calculation'!$D$17="Type 4 f",SA,IF('Pre-Calculation'!$D$17="Type 4 g",1000+O115,IF('Pre-Calculation'!$D$17="Type 4 h",SA+S115,IF('Pre-Calculation'!$D$17="Type 4 i",MAX(O115,R115),IF('Pre-Calculation'!$D$17="Type 4 k",MAX(O115,1.01*R115),IF('Pre-Calculation'!$D$17="Type 4 m",MAX(105%*R115,SA+O115),IF('Pre-Calculation'!$D$17="Type 4 o",MAX(SA,105%*R115)+X115+Z115,IF('Pre-Calculation'!$D$17="Type 5",0))))))))))))</f>
        <v>1176211.133</v>
      </c>
      <c r="R115" s="175">
        <f t="shared" si="5"/>
        <v>1000000</v>
      </c>
      <c r="S115" s="119">
        <f>K115*(1+GROWTH_RATE)*FMC</f>
        <v>1331.027046</v>
      </c>
      <c r="T115" s="178">
        <f>T114*(1+'Pre-Calculation'!$E$27)</f>
        <v>888426.5608</v>
      </c>
      <c r="U115" s="175">
        <f>-E115+IF(A114=INPUT!$C$11*12,O115,0)</f>
        <v>-100000</v>
      </c>
      <c r="V115" s="112"/>
      <c r="W115" s="112"/>
      <c r="X115" s="179">
        <f t="array" ref="X115">NPV('Pre-Calculation'!$E$20,$E116:E$246)</f>
        <v>0</v>
      </c>
      <c r="Y115" s="171">
        <f>10%*SA</f>
        <v>100000</v>
      </c>
      <c r="Z115" s="179">
        <f t="array" ref="Z115">NPV('Pre-Calculation'!$E$20,Y116:Y125)</f>
        <v>969592.8037</v>
      </c>
    </row>
    <row r="116" ht="15.75" customHeight="1">
      <c r="A116" s="171">
        <f t="shared" si="1"/>
        <v>110</v>
      </c>
      <c r="B116" s="171">
        <f t="shared" si="2"/>
        <v>10</v>
      </c>
      <c r="C116" s="176">
        <f>EDATE(RCD,A115)</f>
        <v>45868</v>
      </c>
      <c r="D116" s="171">
        <f>Age_At_Entry+Cashflows_Backtesting!B116-1</f>
        <v>44</v>
      </c>
      <c r="E116" s="175">
        <f>IF(AND(C116&lt;=Last_Prem,MOD(A115,Mode)=0),Mod_Prem,0)</f>
        <v>0</v>
      </c>
      <c r="F116" s="177">
        <f>E116*VLOOKUP(B116,'Pre-Calculation'!$H$1:$I$31,2,FALSE)</f>
        <v>0</v>
      </c>
      <c r="G116" s="177">
        <f>IF(B116&lt;PT+1,VLOOKUP(B116,'Pre-Calculation'!$H$1:$L$32,3,FALSE)+VLOOKUP(B116,'Pre-Calculation'!$H$1:$L$32,4,FALSE)*'Pre-Calculation'!$D$7,0)</f>
        <v>830</v>
      </c>
      <c r="H116" s="175">
        <f>(E116-(F116+G116)*(1+Tax)+O115)</f>
        <v>1175231.733</v>
      </c>
      <c r="I116" s="175">
        <f>IF(B116&lt;PT+1,VLOOKUP(D116,'Pre-Calculation'!$N$3:$P$79,IF(INPUT!$C$4="M",2,3),FALSE)*(J116/1000)*(1/12),0)</f>
        <v>0</v>
      </c>
      <c r="J116" s="175">
        <f>MAX(0,(SA-H116))</f>
        <v>0</v>
      </c>
      <c r="K116" s="175">
        <f>H116-I116*(1+Tax)</f>
        <v>1175231.733</v>
      </c>
      <c r="L116" s="187">
        <f>VLOOKUP(C116,'NAVs_Till 29 Jun 2021'!$A$3:$J$2236,MATCH('Pre-Calculation'!$C$34,'NAVs_Till 29 Jun 2021'!$A$1:$J$1,0))</f>
        <v>20.7486</v>
      </c>
      <c r="M116" s="187">
        <f>IFERROR(1,VLOOKUP(C116,'NAVs_Till 29 Jun 2021'!$A$3:$J$2236,MATCH(#REF!,'NAVs_Till 29 Jun 2021'!$A$1:$J$1,0)))</f>
        <v>1</v>
      </c>
      <c r="N116" s="175">
        <f>VLOOKUP('Pre-Calculation'!$C$34,INPUT!$B$20:$C$28,2,0)*K116*(L117/L116)+ IFERROR(0,VLOOKUP('Pre-Calculation'!$D$34,INPUT!$B$20:$C$28,2,0))*K116*(M117/M116)</f>
        <v>1175231.733</v>
      </c>
      <c r="O116" s="175">
        <f t="shared" si="3"/>
        <v>1175231.733</v>
      </c>
      <c r="P116" s="175">
        <f t="shared" si="4"/>
        <v>1175231.733</v>
      </c>
      <c r="Q116" s="175">
        <f>IF('Pre-Calculation'!$D$17="Type 4 a",MAX(SA,O116,1.05*R116),IF('Pre-Calculation'!$D$17="Type 4 c",O116,IF('Pre-Calculation'!$D$17="Type 4 d",SA+O116,IF('Pre-Calculation'!$D$17="Type 4 e",MAX(SA,O116),IF('Pre-Calculation'!$D$17="Type 4 f",SA,IF('Pre-Calculation'!$D$17="Type 4 g",1000+O116,IF('Pre-Calculation'!$D$17="Type 4 h",SA+S116,IF('Pre-Calculation'!$D$17="Type 4 i",MAX(O116,R116),IF('Pre-Calculation'!$D$17="Type 4 k",MAX(O116,1.01*R116),IF('Pre-Calculation'!$D$17="Type 4 m",MAX(105%*R116,SA+O116),IF('Pre-Calculation'!$D$17="Type 4 o",MAX(SA,105%*R116)+X116+Z116,IF('Pre-Calculation'!$D$17="Type 5",0))))))))))))</f>
        <v>1175231.733</v>
      </c>
      <c r="R116" s="175">
        <f t="shared" si="5"/>
        <v>1000000</v>
      </c>
      <c r="S116" s="119">
        <f>K116*(1+GROWTH_RATE)*FMC</f>
        <v>1329.918735</v>
      </c>
      <c r="T116" s="178">
        <f>T115*(1+'Pre-Calculation'!$E$27)</f>
        <v>890977.1435</v>
      </c>
      <c r="U116" s="175">
        <f>-E116+IF(A115=INPUT!$C$11*12,O116,0)</f>
        <v>0</v>
      </c>
      <c r="V116" s="112"/>
      <c r="W116" s="112"/>
      <c r="X116" s="179">
        <f t="array" ref="X116">NPV('Pre-Calculation'!$E$20,$E117:E$246)</f>
        <v>0</v>
      </c>
      <c r="Y116" s="171">
        <f>10%*SA</f>
        <v>100000</v>
      </c>
      <c r="Z116" s="179">
        <f t="array" ref="Z116">NPV('Pre-Calculation'!$E$20,Y117:Y126)</f>
        <v>969592.8037</v>
      </c>
    </row>
    <row r="117" ht="15.75" customHeight="1">
      <c r="A117" s="171">
        <f t="shared" si="1"/>
        <v>111</v>
      </c>
      <c r="B117" s="171">
        <f t="shared" si="2"/>
        <v>10</v>
      </c>
      <c r="C117" s="176">
        <f>EDATE(RCD,A116)</f>
        <v>45899</v>
      </c>
      <c r="D117" s="171">
        <f>Age_At_Entry+Cashflows_Backtesting!B117-1</f>
        <v>44</v>
      </c>
      <c r="E117" s="175">
        <f>IF(AND(C117&lt;=Last_Prem,MOD(A116,Mode)=0),Mod_Prem,0)</f>
        <v>0</v>
      </c>
      <c r="F117" s="177">
        <f>E117*VLOOKUP(B117,'Pre-Calculation'!$H$1:$I$31,2,FALSE)</f>
        <v>0</v>
      </c>
      <c r="G117" s="177">
        <f>IF(B117&lt;PT+1,VLOOKUP(B117,'Pre-Calculation'!$H$1:$L$32,3,FALSE)+VLOOKUP(B117,'Pre-Calculation'!$H$1:$L$32,4,FALSE)*'Pre-Calculation'!$D$7,0)</f>
        <v>830</v>
      </c>
      <c r="H117" s="175">
        <f>(E117-(F117+G117)*(1+Tax)+O116)</f>
        <v>1174252.333</v>
      </c>
      <c r="I117" s="175">
        <f>IF(B117&lt;PT+1,VLOOKUP(D117,'Pre-Calculation'!$N$3:$P$79,IF(INPUT!$C$4="M",2,3),FALSE)*(J117/1000)*(1/12),0)</f>
        <v>0</v>
      </c>
      <c r="J117" s="175">
        <f>MAX(0,(SA-H117))</f>
        <v>0</v>
      </c>
      <c r="K117" s="175">
        <f>H117-I117*(1+Tax)</f>
        <v>1174252.333</v>
      </c>
      <c r="L117" s="187">
        <f>VLOOKUP(C117,'NAVs_Till 29 Jun 2021'!$A$3:$J$2236,MATCH('Pre-Calculation'!$C$34,'NAVs_Till 29 Jun 2021'!$A$1:$J$1,0))</f>
        <v>20.7486</v>
      </c>
      <c r="M117" s="187">
        <f>IFERROR(1,VLOOKUP(C117,'NAVs_Till 29 Jun 2021'!$A$3:$J$2236,MATCH(#REF!,'NAVs_Till 29 Jun 2021'!$A$1:$J$1,0)))</f>
        <v>1</v>
      </c>
      <c r="N117" s="175">
        <f>VLOOKUP('Pre-Calculation'!$C$34,INPUT!$B$20:$C$28,2,0)*K117*(L118/L117)+ IFERROR(0,VLOOKUP('Pre-Calculation'!$D$34,INPUT!$B$20:$C$28,2,0))*K117*(M118/M117)</f>
        <v>1174252.333</v>
      </c>
      <c r="O117" s="175">
        <f t="shared" si="3"/>
        <v>1174252.333</v>
      </c>
      <c r="P117" s="175">
        <f t="shared" si="4"/>
        <v>1174252.333</v>
      </c>
      <c r="Q117" s="175">
        <f>IF('Pre-Calculation'!$D$17="Type 4 a",MAX(SA,O117,1.05*R117),IF('Pre-Calculation'!$D$17="Type 4 c",O117,IF('Pre-Calculation'!$D$17="Type 4 d",SA+O117,IF('Pre-Calculation'!$D$17="Type 4 e",MAX(SA,O117),IF('Pre-Calculation'!$D$17="Type 4 f",SA,IF('Pre-Calculation'!$D$17="Type 4 g",1000+O117,IF('Pre-Calculation'!$D$17="Type 4 h",SA+S117,IF('Pre-Calculation'!$D$17="Type 4 i",MAX(O117,R117),IF('Pre-Calculation'!$D$17="Type 4 k",MAX(O117,1.01*R117),IF('Pre-Calculation'!$D$17="Type 4 m",MAX(105%*R117,SA+O117),IF('Pre-Calculation'!$D$17="Type 4 o",MAX(SA,105%*R117)+X117+Z117,IF('Pre-Calculation'!$D$17="Type 5",0))))))))))))</f>
        <v>1174252.333</v>
      </c>
      <c r="R117" s="175">
        <f t="shared" si="5"/>
        <v>1000000</v>
      </c>
      <c r="S117" s="119">
        <f>K117*(1+GROWTH_RATE)*FMC</f>
        <v>1328.810424</v>
      </c>
      <c r="T117" s="178">
        <f>T116*(1+'Pre-Calculation'!$E$27)</f>
        <v>893535.0486</v>
      </c>
      <c r="U117" s="175">
        <f>-E117+IF(A116=INPUT!$C$11*12,O117,0)</f>
        <v>0</v>
      </c>
      <c r="V117" s="112"/>
      <c r="W117" s="112"/>
      <c r="X117" s="179">
        <f t="array" ref="X117">NPV('Pre-Calculation'!$E$20,$E118:E$246)</f>
        <v>0</v>
      </c>
      <c r="Y117" s="171">
        <f>10%*SA</f>
        <v>100000</v>
      </c>
      <c r="Z117" s="179">
        <f t="array" ref="Z117">NPV('Pre-Calculation'!$E$20,Y118:Y127)</f>
        <v>969592.8037</v>
      </c>
    </row>
    <row r="118" ht="15.75" customHeight="1">
      <c r="A118" s="171">
        <f t="shared" si="1"/>
        <v>112</v>
      </c>
      <c r="B118" s="171">
        <f t="shared" si="2"/>
        <v>10</v>
      </c>
      <c r="C118" s="176">
        <f>EDATE(RCD,A117)</f>
        <v>45930</v>
      </c>
      <c r="D118" s="171">
        <f>Age_At_Entry+Cashflows_Backtesting!B118-1</f>
        <v>44</v>
      </c>
      <c r="E118" s="175">
        <f>IF(AND(C118&lt;=Last_Prem,MOD(A117,Mode)=0),Mod_Prem,0)</f>
        <v>0</v>
      </c>
      <c r="F118" s="177">
        <f>E118*VLOOKUP(B118,'Pre-Calculation'!$H$1:$I$31,2,FALSE)</f>
        <v>0</v>
      </c>
      <c r="G118" s="177">
        <f>IF(B118&lt;PT+1,VLOOKUP(B118,'Pre-Calculation'!$H$1:$L$32,3,FALSE)+VLOOKUP(B118,'Pre-Calculation'!$H$1:$L$32,4,FALSE)*'Pre-Calculation'!$D$7,0)</f>
        <v>830</v>
      </c>
      <c r="H118" s="175">
        <f>(E118-(F118+G118)*(1+Tax)+O117)</f>
        <v>1173272.933</v>
      </c>
      <c r="I118" s="175">
        <f>IF(B118&lt;PT+1,VLOOKUP(D118,'Pre-Calculation'!$N$3:$P$79,IF(INPUT!$C$4="M",2,3),FALSE)*(J118/1000)*(1/12),0)</f>
        <v>0</v>
      </c>
      <c r="J118" s="175">
        <f>MAX(0,(SA-H118))</f>
        <v>0</v>
      </c>
      <c r="K118" s="175">
        <f>H118-I118*(1+Tax)</f>
        <v>1173272.933</v>
      </c>
      <c r="L118" s="187">
        <f>VLOOKUP(C118,'NAVs_Till 29 Jun 2021'!$A$3:$J$2236,MATCH('Pre-Calculation'!$C$34,'NAVs_Till 29 Jun 2021'!$A$1:$J$1,0))</f>
        <v>20.7486</v>
      </c>
      <c r="M118" s="187">
        <f>IFERROR(1,VLOOKUP(C118,'NAVs_Till 29 Jun 2021'!$A$3:$J$2236,MATCH(#REF!,'NAVs_Till 29 Jun 2021'!$A$1:$J$1,0)))</f>
        <v>1</v>
      </c>
      <c r="N118" s="175">
        <f>VLOOKUP('Pre-Calculation'!$C$34,INPUT!$B$20:$C$28,2,0)*K118*(L119/L118)+ IFERROR(0,VLOOKUP('Pre-Calculation'!$D$34,INPUT!$B$20:$C$28,2,0))*K118*(M119/M118)</f>
        <v>1173272.933</v>
      </c>
      <c r="O118" s="175">
        <f t="shared" si="3"/>
        <v>1173272.933</v>
      </c>
      <c r="P118" s="175">
        <f t="shared" si="4"/>
        <v>1173272.933</v>
      </c>
      <c r="Q118" s="175">
        <f>IF('Pre-Calculation'!$D$17="Type 4 a",MAX(SA,O118,1.05*R118),IF('Pre-Calculation'!$D$17="Type 4 c",O118,IF('Pre-Calculation'!$D$17="Type 4 d",SA+O118,IF('Pre-Calculation'!$D$17="Type 4 e",MAX(SA,O118),IF('Pre-Calculation'!$D$17="Type 4 f",SA,IF('Pre-Calculation'!$D$17="Type 4 g",1000+O118,IF('Pre-Calculation'!$D$17="Type 4 h",SA+S118,IF('Pre-Calculation'!$D$17="Type 4 i",MAX(O118,R118),IF('Pre-Calculation'!$D$17="Type 4 k",MAX(O118,1.01*R118),IF('Pre-Calculation'!$D$17="Type 4 m",MAX(105%*R118,SA+O118),IF('Pre-Calculation'!$D$17="Type 4 o",MAX(SA,105%*R118)+X118+Z118,IF('Pre-Calculation'!$D$17="Type 5",0))))))))))))</f>
        <v>1173272.933</v>
      </c>
      <c r="R118" s="175">
        <f t="shared" si="5"/>
        <v>1000000</v>
      </c>
      <c r="S118" s="119">
        <f>K118*(1+GROWTH_RATE)*FMC</f>
        <v>1327.702113</v>
      </c>
      <c r="T118" s="178">
        <f>T117*(1+'Pre-Calculation'!$E$27)</f>
        <v>896100.2972</v>
      </c>
      <c r="U118" s="175">
        <f>-E118+IF(A117=INPUT!$C$11*12,O118,0)</f>
        <v>0</v>
      </c>
      <c r="V118" s="112"/>
      <c r="W118" s="112"/>
      <c r="X118" s="179">
        <f t="array" ref="X118">NPV('Pre-Calculation'!$E$20,$E119:E$246)</f>
        <v>0</v>
      </c>
      <c r="Y118" s="171">
        <f>10%*SA</f>
        <v>100000</v>
      </c>
      <c r="Z118" s="179">
        <f t="array" ref="Z118">NPV('Pre-Calculation'!$E$20,Y119:Y128)</f>
        <v>969592.8037</v>
      </c>
    </row>
    <row r="119" ht="15.75" customHeight="1">
      <c r="A119" s="171">
        <f t="shared" si="1"/>
        <v>113</v>
      </c>
      <c r="B119" s="171">
        <f t="shared" si="2"/>
        <v>10</v>
      </c>
      <c r="C119" s="176">
        <f>EDATE(RCD,A118)</f>
        <v>45960</v>
      </c>
      <c r="D119" s="171">
        <f>Age_At_Entry+Cashflows_Backtesting!B119-1</f>
        <v>44</v>
      </c>
      <c r="E119" s="175">
        <f>IF(AND(C119&lt;=Last_Prem,MOD(A118,Mode)=0),Mod_Prem,0)</f>
        <v>0</v>
      </c>
      <c r="F119" s="177">
        <f>E119*VLOOKUP(B119,'Pre-Calculation'!$H$1:$I$31,2,FALSE)</f>
        <v>0</v>
      </c>
      <c r="G119" s="177">
        <f>IF(B119&lt;PT+1,VLOOKUP(B119,'Pre-Calculation'!$H$1:$L$32,3,FALSE)+VLOOKUP(B119,'Pre-Calculation'!$H$1:$L$32,4,FALSE)*'Pre-Calculation'!$D$7,0)</f>
        <v>830</v>
      </c>
      <c r="H119" s="175">
        <f>(E119-(F119+G119)*(1+Tax)+O118)</f>
        <v>1172293.533</v>
      </c>
      <c r="I119" s="175">
        <f>IF(B119&lt;PT+1,VLOOKUP(D119,'Pre-Calculation'!$N$3:$P$79,IF(INPUT!$C$4="M",2,3),FALSE)*(J119/1000)*(1/12),0)</f>
        <v>0</v>
      </c>
      <c r="J119" s="175">
        <f>MAX(0,(SA-H119))</f>
        <v>0</v>
      </c>
      <c r="K119" s="175">
        <f>H119-I119*(1+Tax)</f>
        <v>1172293.533</v>
      </c>
      <c r="L119" s="187">
        <f>VLOOKUP(C119,'NAVs_Till 29 Jun 2021'!$A$3:$J$2236,MATCH('Pre-Calculation'!$C$34,'NAVs_Till 29 Jun 2021'!$A$1:$J$1,0))</f>
        <v>20.7486</v>
      </c>
      <c r="M119" s="187">
        <f>IFERROR(1,VLOOKUP(C119,'NAVs_Till 29 Jun 2021'!$A$3:$J$2236,MATCH(#REF!,'NAVs_Till 29 Jun 2021'!$A$1:$J$1,0)))</f>
        <v>1</v>
      </c>
      <c r="N119" s="175">
        <f>VLOOKUP('Pre-Calculation'!$C$34,INPUT!$B$20:$C$28,2,0)*K119*(L120/L119)+ IFERROR(0,VLOOKUP('Pre-Calculation'!$D$34,INPUT!$B$20:$C$28,2,0))*K119*(M120/M119)</f>
        <v>1172293.533</v>
      </c>
      <c r="O119" s="175">
        <f t="shared" si="3"/>
        <v>1172293.533</v>
      </c>
      <c r="P119" s="175">
        <f t="shared" si="4"/>
        <v>1172293.533</v>
      </c>
      <c r="Q119" s="175">
        <f>IF('Pre-Calculation'!$D$17="Type 4 a",MAX(SA,O119,1.05*R119),IF('Pre-Calculation'!$D$17="Type 4 c",O119,IF('Pre-Calculation'!$D$17="Type 4 d",SA+O119,IF('Pre-Calculation'!$D$17="Type 4 e",MAX(SA,O119),IF('Pre-Calculation'!$D$17="Type 4 f",SA,IF('Pre-Calculation'!$D$17="Type 4 g",1000+O119,IF('Pre-Calculation'!$D$17="Type 4 h",SA+S119,IF('Pre-Calculation'!$D$17="Type 4 i",MAX(O119,R119),IF('Pre-Calculation'!$D$17="Type 4 k",MAX(O119,1.01*R119),IF('Pre-Calculation'!$D$17="Type 4 m",MAX(105%*R119,SA+O119),IF('Pre-Calculation'!$D$17="Type 4 o",MAX(SA,105%*R119)+X119+Z119,IF('Pre-Calculation'!$D$17="Type 5",0))))))))))))</f>
        <v>1172293.533</v>
      </c>
      <c r="R119" s="175">
        <f t="shared" si="5"/>
        <v>1000000</v>
      </c>
      <c r="S119" s="119">
        <f>K119*(1+GROWTH_RATE)*FMC</f>
        <v>1326.593802</v>
      </c>
      <c r="T119" s="178">
        <f>T118*(1+'Pre-Calculation'!$E$27)</f>
        <v>898672.9104</v>
      </c>
      <c r="U119" s="175">
        <f>-E119+IF(A118=INPUT!$C$11*12,O119,0)</f>
        <v>0</v>
      </c>
      <c r="V119" s="112"/>
      <c r="W119" s="112"/>
      <c r="X119" s="179">
        <f t="array" ref="X119">NPV('Pre-Calculation'!$E$20,$E120:E$246)</f>
        <v>0</v>
      </c>
      <c r="Y119" s="171">
        <f>10%*SA</f>
        <v>100000</v>
      </c>
      <c r="Z119" s="179">
        <f t="array" ref="Z119">NPV('Pre-Calculation'!$E$20,Y120:Y129)</f>
        <v>969592.8037</v>
      </c>
    </row>
    <row r="120" ht="15.75" customHeight="1">
      <c r="A120" s="171">
        <f t="shared" si="1"/>
        <v>114</v>
      </c>
      <c r="B120" s="171">
        <f t="shared" si="2"/>
        <v>10</v>
      </c>
      <c r="C120" s="176">
        <f>EDATE(RCD,A119)</f>
        <v>45991</v>
      </c>
      <c r="D120" s="171">
        <f>Age_At_Entry+Cashflows_Backtesting!B120-1</f>
        <v>44</v>
      </c>
      <c r="E120" s="175">
        <f>IF(AND(C120&lt;=Last_Prem,MOD(A119,Mode)=0),Mod_Prem,0)</f>
        <v>0</v>
      </c>
      <c r="F120" s="177">
        <f>E120*VLOOKUP(B120,'Pre-Calculation'!$H$1:$I$31,2,FALSE)</f>
        <v>0</v>
      </c>
      <c r="G120" s="177">
        <f>IF(B120&lt;PT+1,VLOOKUP(B120,'Pre-Calculation'!$H$1:$L$32,3,FALSE)+VLOOKUP(B120,'Pre-Calculation'!$H$1:$L$32,4,FALSE)*'Pre-Calculation'!$D$7,0)</f>
        <v>830</v>
      </c>
      <c r="H120" s="175">
        <f>(E120-(F120+G120)*(1+Tax)+O119)</f>
        <v>1171314.133</v>
      </c>
      <c r="I120" s="175">
        <f>IF(B120&lt;PT+1,VLOOKUP(D120,'Pre-Calculation'!$N$3:$P$79,IF(INPUT!$C$4="M",2,3),FALSE)*(J120/1000)*(1/12),0)</f>
        <v>0</v>
      </c>
      <c r="J120" s="175">
        <f>MAX(0,(SA-H120))</f>
        <v>0</v>
      </c>
      <c r="K120" s="175">
        <f>H120-I120*(1+Tax)</f>
        <v>1171314.133</v>
      </c>
      <c r="L120" s="187">
        <f>VLOOKUP(C120,'NAVs_Till 29 Jun 2021'!$A$3:$J$2236,MATCH('Pre-Calculation'!$C$34,'NAVs_Till 29 Jun 2021'!$A$1:$J$1,0))</f>
        <v>20.7486</v>
      </c>
      <c r="M120" s="187">
        <f>IFERROR(1,VLOOKUP(C120,'NAVs_Till 29 Jun 2021'!$A$3:$J$2236,MATCH(#REF!,'NAVs_Till 29 Jun 2021'!$A$1:$J$1,0)))</f>
        <v>1</v>
      </c>
      <c r="N120" s="175">
        <f>VLOOKUP('Pre-Calculation'!$C$34,INPUT!$B$20:$C$28,2,0)*K120*(L121/L120)+ IFERROR(0,VLOOKUP('Pre-Calculation'!$D$34,INPUT!$B$20:$C$28,2,0))*K120*(M121/M120)</f>
        <v>1171314.133</v>
      </c>
      <c r="O120" s="175">
        <f t="shared" si="3"/>
        <v>1171314.133</v>
      </c>
      <c r="P120" s="175">
        <f t="shared" si="4"/>
        <v>1171314.133</v>
      </c>
      <c r="Q120" s="175">
        <f>IF('Pre-Calculation'!$D$17="Type 4 a",MAX(SA,O120,1.05*R120),IF('Pre-Calculation'!$D$17="Type 4 c",O120,IF('Pre-Calculation'!$D$17="Type 4 d",SA+O120,IF('Pre-Calculation'!$D$17="Type 4 e",MAX(SA,O120),IF('Pre-Calculation'!$D$17="Type 4 f",SA,IF('Pre-Calculation'!$D$17="Type 4 g",1000+O120,IF('Pre-Calculation'!$D$17="Type 4 h",SA+S120,IF('Pre-Calculation'!$D$17="Type 4 i",MAX(O120,R120),IF('Pre-Calculation'!$D$17="Type 4 k",MAX(O120,1.01*R120),IF('Pre-Calculation'!$D$17="Type 4 m",MAX(105%*R120,SA+O120),IF('Pre-Calculation'!$D$17="Type 4 o",MAX(SA,105%*R120)+X120+Z120,IF('Pre-Calculation'!$D$17="Type 5",0))))))))))))</f>
        <v>1171314.133</v>
      </c>
      <c r="R120" s="175">
        <f t="shared" si="5"/>
        <v>1000000</v>
      </c>
      <c r="S120" s="119">
        <f>K120*(1+GROWTH_RATE)*FMC</f>
        <v>1325.48549</v>
      </c>
      <c r="T120" s="178">
        <f>T119*(1+'Pre-Calculation'!$E$27)</f>
        <v>901252.9093</v>
      </c>
      <c r="U120" s="175">
        <f>-E120+IF(A119=INPUT!$C$11*12,O120,0)</f>
        <v>0</v>
      </c>
      <c r="V120" s="112"/>
      <c r="W120" s="112"/>
      <c r="X120" s="179">
        <f t="array" ref="X120">NPV('Pre-Calculation'!$E$20,$E121:E$246)</f>
        <v>0</v>
      </c>
      <c r="Y120" s="171">
        <f>10%*SA</f>
        <v>100000</v>
      </c>
      <c r="Z120" s="179">
        <f t="array" ref="Z120">NPV('Pre-Calculation'!$E$20,Y121:Y130)</f>
        <v>969592.8037</v>
      </c>
    </row>
    <row r="121" ht="15.75" customHeight="1">
      <c r="A121" s="171">
        <f t="shared" si="1"/>
        <v>115</v>
      </c>
      <c r="B121" s="171">
        <f t="shared" si="2"/>
        <v>10</v>
      </c>
      <c r="C121" s="176">
        <f>EDATE(RCD,A120)</f>
        <v>46021</v>
      </c>
      <c r="D121" s="171">
        <f>Age_At_Entry+Cashflows_Backtesting!B121-1</f>
        <v>44</v>
      </c>
      <c r="E121" s="175">
        <f>IF(AND(C121&lt;=Last_Prem,MOD(A120,Mode)=0),Mod_Prem,0)</f>
        <v>0</v>
      </c>
      <c r="F121" s="177">
        <f>E121*VLOOKUP(B121,'Pre-Calculation'!$H$1:$I$31,2,FALSE)</f>
        <v>0</v>
      </c>
      <c r="G121" s="177">
        <f>IF(B121&lt;PT+1,VLOOKUP(B121,'Pre-Calculation'!$H$1:$L$32,3,FALSE)+VLOOKUP(B121,'Pre-Calculation'!$H$1:$L$32,4,FALSE)*'Pre-Calculation'!$D$7,0)</f>
        <v>830</v>
      </c>
      <c r="H121" s="175">
        <f>(E121-(F121+G121)*(1+Tax)+O120)</f>
        <v>1170334.733</v>
      </c>
      <c r="I121" s="175">
        <f>IF(B121&lt;PT+1,VLOOKUP(D121,'Pre-Calculation'!$N$3:$P$79,IF(INPUT!$C$4="M",2,3),FALSE)*(J121/1000)*(1/12),0)</f>
        <v>0</v>
      </c>
      <c r="J121" s="175">
        <f>MAX(0,(SA-H121))</f>
        <v>0</v>
      </c>
      <c r="K121" s="175">
        <f>H121-I121*(1+Tax)</f>
        <v>1170334.733</v>
      </c>
      <c r="L121" s="187">
        <f>VLOOKUP(C121,'NAVs_Till 29 Jun 2021'!$A$3:$J$2236,MATCH('Pre-Calculation'!$C$34,'NAVs_Till 29 Jun 2021'!$A$1:$J$1,0))</f>
        <v>20.7486</v>
      </c>
      <c r="M121" s="187">
        <f>IFERROR(1,VLOOKUP(C121,'NAVs_Till 29 Jun 2021'!$A$3:$J$2236,MATCH(#REF!,'NAVs_Till 29 Jun 2021'!$A$1:$J$1,0)))</f>
        <v>1</v>
      </c>
      <c r="N121" s="175">
        <f>VLOOKUP('Pre-Calculation'!$C$34,INPUT!$B$20:$C$28,2,0)*K121*(L122/L121)+ IFERROR(0,VLOOKUP('Pre-Calculation'!$D$34,INPUT!$B$20:$C$28,2,0))*K121*(M122/M121)</f>
        <v>1170334.733</v>
      </c>
      <c r="O121" s="175">
        <f t="shared" si="3"/>
        <v>1170334.733</v>
      </c>
      <c r="P121" s="175">
        <f t="shared" si="4"/>
        <v>1170334.733</v>
      </c>
      <c r="Q121" s="175">
        <f>IF('Pre-Calculation'!$D$17="Type 4 a",MAX(SA,O121,1.05*R121),IF('Pre-Calculation'!$D$17="Type 4 c",O121,IF('Pre-Calculation'!$D$17="Type 4 d",SA+O121,IF('Pre-Calculation'!$D$17="Type 4 e",MAX(SA,O121),IF('Pre-Calculation'!$D$17="Type 4 f",SA,IF('Pre-Calculation'!$D$17="Type 4 g",1000+O121,IF('Pre-Calculation'!$D$17="Type 4 h",SA+S121,IF('Pre-Calculation'!$D$17="Type 4 i",MAX(O121,R121),IF('Pre-Calculation'!$D$17="Type 4 k",MAX(O121,1.01*R121),IF('Pre-Calculation'!$D$17="Type 4 m",MAX(105%*R121,SA+O121),IF('Pre-Calculation'!$D$17="Type 4 o",MAX(SA,105%*R121)+X121+Z121,IF('Pre-Calculation'!$D$17="Type 5",0))))))))))))</f>
        <v>1170334.733</v>
      </c>
      <c r="R121" s="175">
        <f t="shared" si="5"/>
        <v>1000000</v>
      </c>
      <c r="S121" s="119">
        <f>K121*(1+GROWTH_RATE)*FMC</f>
        <v>1324.377179</v>
      </c>
      <c r="T121" s="178">
        <f>T120*(1+'Pre-Calculation'!$E$27)</f>
        <v>903840.3152</v>
      </c>
      <c r="U121" s="175">
        <f>-E121+IF(A120=INPUT!$C$11*12,O121,0)</f>
        <v>0</v>
      </c>
      <c r="V121" s="112"/>
      <c r="W121" s="112"/>
      <c r="X121" s="179">
        <f t="array" ref="X121">NPV('Pre-Calculation'!$E$20,$E122:E$246)</f>
        <v>0</v>
      </c>
      <c r="Y121" s="171">
        <f>10%*SA</f>
        <v>100000</v>
      </c>
      <c r="Z121" s="179">
        <f t="array" ref="Z121">NPV('Pre-Calculation'!$E$20,Y122:Y131)</f>
        <v>969592.8037</v>
      </c>
    </row>
    <row r="122" ht="15.75" customHeight="1">
      <c r="A122" s="171">
        <f t="shared" si="1"/>
        <v>116</v>
      </c>
      <c r="B122" s="171">
        <f t="shared" si="2"/>
        <v>10</v>
      </c>
      <c r="C122" s="176">
        <f>EDATE(RCD,A121)</f>
        <v>46052</v>
      </c>
      <c r="D122" s="171">
        <f>Age_At_Entry+Cashflows_Backtesting!B122-1</f>
        <v>44</v>
      </c>
      <c r="E122" s="175">
        <f>IF(AND(C122&lt;=Last_Prem,MOD(A121,Mode)=0),Mod_Prem,0)</f>
        <v>0</v>
      </c>
      <c r="F122" s="177">
        <f>E122*VLOOKUP(B122,'Pre-Calculation'!$H$1:$I$31,2,FALSE)</f>
        <v>0</v>
      </c>
      <c r="G122" s="177">
        <f>IF(B122&lt;PT+1,VLOOKUP(B122,'Pre-Calculation'!$H$1:$L$32,3,FALSE)+VLOOKUP(B122,'Pre-Calculation'!$H$1:$L$32,4,FALSE)*'Pre-Calculation'!$D$7,0)</f>
        <v>830</v>
      </c>
      <c r="H122" s="175">
        <f>(E122-(F122+G122)*(1+Tax)+O121)</f>
        <v>1169355.333</v>
      </c>
      <c r="I122" s="175">
        <f>IF(B122&lt;PT+1,VLOOKUP(D122,'Pre-Calculation'!$N$3:$P$79,IF(INPUT!$C$4="M",2,3),FALSE)*(J122/1000)*(1/12),0)</f>
        <v>0</v>
      </c>
      <c r="J122" s="175">
        <f>MAX(0,(SA-H122))</f>
        <v>0</v>
      </c>
      <c r="K122" s="175">
        <f>H122-I122*(1+Tax)</f>
        <v>1169355.333</v>
      </c>
      <c r="L122" s="187">
        <f>VLOOKUP(C122,'NAVs_Till 29 Jun 2021'!$A$3:$J$2236,MATCH('Pre-Calculation'!$C$34,'NAVs_Till 29 Jun 2021'!$A$1:$J$1,0))</f>
        <v>20.7486</v>
      </c>
      <c r="M122" s="187">
        <f>IFERROR(1,VLOOKUP(C122,'NAVs_Till 29 Jun 2021'!$A$3:$J$2236,MATCH(#REF!,'NAVs_Till 29 Jun 2021'!$A$1:$J$1,0)))</f>
        <v>1</v>
      </c>
      <c r="N122" s="175">
        <f>VLOOKUP('Pre-Calculation'!$C$34,INPUT!$B$20:$C$28,2,0)*K122*(L123/L122)+ IFERROR(0,VLOOKUP('Pre-Calculation'!$D$34,INPUT!$B$20:$C$28,2,0))*K122*(M123/M122)</f>
        <v>1169355.333</v>
      </c>
      <c r="O122" s="175">
        <f t="shared" si="3"/>
        <v>1169355.333</v>
      </c>
      <c r="P122" s="175">
        <f t="shared" si="4"/>
        <v>1169355.333</v>
      </c>
      <c r="Q122" s="175">
        <f>IF('Pre-Calculation'!$D$17="Type 4 a",MAX(SA,O122,1.05*R122),IF('Pre-Calculation'!$D$17="Type 4 c",O122,IF('Pre-Calculation'!$D$17="Type 4 d",SA+O122,IF('Pre-Calculation'!$D$17="Type 4 e",MAX(SA,O122),IF('Pre-Calculation'!$D$17="Type 4 f",SA,IF('Pre-Calculation'!$D$17="Type 4 g",1000+O122,IF('Pre-Calculation'!$D$17="Type 4 h",SA+S122,IF('Pre-Calculation'!$D$17="Type 4 i",MAX(O122,R122),IF('Pre-Calculation'!$D$17="Type 4 k",MAX(O122,1.01*R122),IF('Pre-Calculation'!$D$17="Type 4 m",MAX(105%*R122,SA+O122),IF('Pre-Calculation'!$D$17="Type 4 o",MAX(SA,105%*R122)+X122+Z122,IF('Pre-Calculation'!$D$17="Type 5",0))))))))))))</f>
        <v>1169355.333</v>
      </c>
      <c r="R122" s="175">
        <f t="shared" si="5"/>
        <v>1000000</v>
      </c>
      <c r="S122" s="119">
        <f>K122*(1+GROWTH_RATE)*FMC</f>
        <v>1323.268868</v>
      </c>
      <c r="T122" s="178">
        <f>T121*(1+'Pre-Calculation'!$E$27)</f>
        <v>906435.1492</v>
      </c>
      <c r="U122" s="175">
        <f>-E122+IF(A121=INPUT!$C$11*12,O122,0)</f>
        <v>0</v>
      </c>
      <c r="V122" s="112"/>
      <c r="W122" s="112"/>
      <c r="X122" s="179">
        <f t="array" ref="X122">NPV('Pre-Calculation'!$E$20,$E123:E$246)</f>
        <v>0</v>
      </c>
      <c r="Y122" s="171">
        <f>10%*SA</f>
        <v>100000</v>
      </c>
      <c r="Z122" s="179">
        <f t="array" ref="Z122">NPV('Pre-Calculation'!$E$20,Y123:Y132)</f>
        <v>969592.8037</v>
      </c>
    </row>
    <row r="123" ht="15.75" customHeight="1">
      <c r="A123" s="171">
        <f t="shared" si="1"/>
        <v>117</v>
      </c>
      <c r="B123" s="171">
        <f t="shared" si="2"/>
        <v>10</v>
      </c>
      <c r="C123" s="176">
        <f>EDATE(RCD,A122)</f>
        <v>46081</v>
      </c>
      <c r="D123" s="171">
        <f>Age_At_Entry+Cashflows_Backtesting!B123-1</f>
        <v>44</v>
      </c>
      <c r="E123" s="175">
        <f>IF(AND(C123&lt;=Last_Prem,MOD(A122,Mode)=0),Mod_Prem,0)</f>
        <v>0</v>
      </c>
      <c r="F123" s="177">
        <f>E123*VLOOKUP(B123,'Pre-Calculation'!$H$1:$I$31,2,FALSE)</f>
        <v>0</v>
      </c>
      <c r="G123" s="177">
        <f>IF(B123&lt;PT+1,VLOOKUP(B123,'Pre-Calculation'!$H$1:$L$32,3,FALSE)+VLOOKUP(B123,'Pre-Calculation'!$H$1:$L$32,4,FALSE)*'Pre-Calculation'!$D$7,0)</f>
        <v>830</v>
      </c>
      <c r="H123" s="175">
        <f>(E123-(F123+G123)*(1+Tax)+O122)</f>
        <v>1168375.933</v>
      </c>
      <c r="I123" s="175">
        <f>IF(B123&lt;PT+1,VLOOKUP(D123,'Pre-Calculation'!$N$3:$P$79,IF(INPUT!$C$4="M",2,3),FALSE)*(J123/1000)*(1/12),0)</f>
        <v>0</v>
      </c>
      <c r="J123" s="175">
        <f>MAX(0,(SA-H123))</f>
        <v>0</v>
      </c>
      <c r="K123" s="175">
        <f>H123-I123*(1+Tax)</f>
        <v>1168375.933</v>
      </c>
      <c r="L123" s="187">
        <f>VLOOKUP(C123,'NAVs_Till 29 Jun 2021'!$A$3:$J$2236,MATCH('Pre-Calculation'!$C$34,'NAVs_Till 29 Jun 2021'!$A$1:$J$1,0))</f>
        <v>20.7486</v>
      </c>
      <c r="M123" s="187">
        <f>IFERROR(1,VLOOKUP(C123,'NAVs_Till 29 Jun 2021'!$A$3:$J$2236,MATCH(#REF!,'NAVs_Till 29 Jun 2021'!$A$1:$J$1,0)))</f>
        <v>1</v>
      </c>
      <c r="N123" s="175">
        <f>VLOOKUP('Pre-Calculation'!$C$34,INPUT!$B$20:$C$28,2,0)*K123*(L124/L123)+ IFERROR(0,VLOOKUP('Pre-Calculation'!$D$34,INPUT!$B$20:$C$28,2,0))*K123*(M124/M123)</f>
        <v>1168375.933</v>
      </c>
      <c r="O123" s="175">
        <f t="shared" si="3"/>
        <v>1168375.933</v>
      </c>
      <c r="P123" s="175">
        <f t="shared" si="4"/>
        <v>1168375.933</v>
      </c>
      <c r="Q123" s="175">
        <f>IF('Pre-Calculation'!$D$17="Type 4 a",MAX(SA,O123,1.05*R123),IF('Pre-Calculation'!$D$17="Type 4 c",O123,IF('Pre-Calculation'!$D$17="Type 4 d",SA+O123,IF('Pre-Calculation'!$D$17="Type 4 e",MAX(SA,O123),IF('Pre-Calculation'!$D$17="Type 4 f",SA,IF('Pre-Calculation'!$D$17="Type 4 g",1000+O123,IF('Pre-Calculation'!$D$17="Type 4 h",SA+S123,IF('Pre-Calculation'!$D$17="Type 4 i",MAX(O123,R123),IF('Pre-Calculation'!$D$17="Type 4 k",MAX(O123,1.01*R123),IF('Pre-Calculation'!$D$17="Type 4 m",MAX(105%*R123,SA+O123),IF('Pre-Calculation'!$D$17="Type 4 o",MAX(SA,105%*R123)+X123+Z123,IF('Pre-Calculation'!$D$17="Type 5",0))))))))))))</f>
        <v>1168375.933</v>
      </c>
      <c r="R123" s="175">
        <f t="shared" si="5"/>
        <v>1000000</v>
      </c>
      <c r="S123" s="119">
        <f>K123*(1+GROWTH_RATE)*FMC</f>
        <v>1322.160557</v>
      </c>
      <c r="T123" s="178">
        <f>T122*(1+'Pre-Calculation'!$E$27)</f>
        <v>909037.4327</v>
      </c>
      <c r="U123" s="175">
        <f>-E123+IF(A122=INPUT!$C$11*12,O123,0)</f>
        <v>0</v>
      </c>
      <c r="V123" s="112"/>
      <c r="W123" s="112"/>
      <c r="X123" s="179">
        <f t="array" ref="X123">NPV('Pre-Calculation'!$E$20,$E124:E$246)</f>
        <v>0</v>
      </c>
      <c r="Y123" s="171">
        <f>10%*SA</f>
        <v>100000</v>
      </c>
      <c r="Z123" s="179">
        <f t="array" ref="Z123">NPV('Pre-Calculation'!$E$20,Y124:Y133)</f>
        <v>969592.8037</v>
      </c>
    </row>
    <row r="124" ht="15.75" customHeight="1">
      <c r="A124" s="171">
        <f t="shared" si="1"/>
        <v>118</v>
      </c>
      <c r="B124" s="171">
        <f t="shared" si="2"/>
        <v>10</v>
      </c>
      <c r="C124" s="176">
        <f>EDATE(RCD,A123)</f>
        <v>46111</v>
      </c>
      <c r="D124" s="171">
        <f>Age_At_Entry+Cashflows_Backtesting!B124-1</f>
        <v>44</v>
      </c>
      <c r="E124" s="175">
        <f>IF(AND(C124&lt;=Last_Prem,MOD(A123,Mode)=0),Mod_Prem,0)</f>
        <v>0</v>
      </c>
      <c r="F124" s="177">
        <f>E124*VLOOKUP(B124,'Pre-Calculation'!$H$1:$I$31,2,FALSE)</f>
        <v>0</v>
      </c>
      <c r="G124" s="177">
        <f>IF(B124&lt;PT+1,VLOOKUP(B124,'Pre-Calculation'!$H$1:$L$32,3,FALSE)+VLOOKUP(B124,'Pre-Calculation'!$H$1:$L$32,4,FALSE)*'Pre-Calculation'!$D$7,0)</f>
        <v>830</v>
      </c>
      <c r="H124" s="175">
        <f>(E124-(F124+G124)*(1+Tax)+O123)</f>
        <v>1167396.533</v>
      </c>
      <c r="I124" s="175">
        <f>IF(B124&lt;PT+1,VLOOKUP(D124,'Pre-Calculation'!$N$3:$P$79,IF(INPUT!$C$4="M",2,3),FALSE)*(J124/1000)*(1/12),0)</f>
        <v>0</v>
      </c>
      <c r="J124" s="175">
        <f>MAX(0,(SA-H124))</f>
        <v>0</v>
      </c>
      <c r="K124" s="175">
        <f>H124-I124*(1+Tax)</f>
        <v>1167396.533</v>
      </c>
      <c r="L124" s="187">
        <f>VLOOKUP(C124,'NAVs_Till 29 Jun 2021'!$A$3:$J$2236,MATCH('Pre-Calculation'!$C$34,'NAVs_Till 29 Jun 2021'!$A$1:$J$1,0))</f>
        <v>20.7486</v>
      </c>
      <c r="M124" s="187">
        <f>IFERROR(1,VLOOKUP(C124,'NAVs_Till 29 Jun 2021'!$A$3:$J$2236,MATCH(#REF!,'NAVs_Till 29 Jun 2021'!$A$1:$J$1,0)))</f>
        <v>1</v>
      </c>
      <c r="N124" s="175">
        <f>VLOOKUP('Pre-Calculation'!$C$34,INPUT!$B$20:$C$28,2,0)*K124*(L125/L124)+ IFERROR(0,VLOOKUP('Pre-Calculation'!$D$34,INPUT!$B$20:$C$28,2,0))*K124*(M125/M124)</f>
        <v>1167396.533</v>
      </c>
      <c r="O124" s="175">
        <f t="shared" si="3"/>
        <v>1167396.533</v>
      </c>
      <c r="P124" s="175">
        <f t="shared" si="4"/>
        <v>1167396.533</v>
      </c>
      <c r="Q124" s="175">
        <f>IF('Pre-Calculation'!$D$17="Type 4 a",MAX(SA,O124,1.05*R124),IF('Pre-Calculation'!$D$17="Type 4 c",O124,IF('Pre-Calculation'!$D$17="Type 4 d",SA+O124,IF('Pre-Calculation'!$D$17="Type 4 e",MAX(SA,O124),IF('Pre-Calculation'!$D$17="Type 4 f",SA,IF('Pre-Calculation'!$D$17="Type 4 g",1000+O124,IF('Pre-Calculation'!$D$17="Type 4 h",SA+S124,IF('Pre-Calculation'!$D$17="Type 4 i",MAX(O124,R124),IF('Pre-Calculation'!$D$17="Type 4 k",MAX(O124,1.01*R124),IF('Pre-Calculation'!$D$17="Type 4 m",MAX(105%*R124,SA+O124),IF('Pre-Calculation'!$D$17="Type 4 o",MAX(SA,105%*R124)+X124+Z124,IF('Pre-Calculation'!$D$17="Type 5",0))))))))))))</f>
        <v>1167396.533</v>
      </c>
      <c r="R124" s="175">
        <f t="shared" si="5"/>
        <v>1000000</v>
      </c>
      <c r="S124" s="119">
        <f>K124*(1+GROWTH_RATE)*FMC</f>
        <v>1321.052246</v>
      </c>
      <c r="T124" s="178">
        <f>T123*(1+'Pre-Calculation'!$E$27)</f>
        <v>911647.1871</v>
      </c>
      <c r="U124" s="175">
        <f>-E124+IF(A123=INPUT!$C$11*12,O124,0)</f>
        <v>0</v>
      </c>
      <c r="V124" s="112"/>
      <c r="W124" s="112"/>
      <c r="X124" s="179">
        <f t="array" ref="X124">NPV('Pre-Calculation'!$E$20,$E125:E$246)</f>
        <v>0</v>
      </c>
      <c r="Y124" s="171">
        <f>10%*SA</f>
        <v>100000</v>
      </c>
      <c r="Z124" s="179">
        <f t="array" ref="Z124">NPV('Pre-Calculation'!$E$20,Y125:Y134)</f>
        <v>969592.8037</v>
      </c>
    </row>
    <row r="125" ht="15.75" customHeight="1">
      <c r="A125" s="171">
        <f t="shared" si="1"/>
        <v>119</v>
      </c>
      <c r="B125" s="171">
        <f t="shared" si="2"/>
        <v>10</v>
      </c>
      <c r="C125" s="176">
        <f>EDATE(RCD,A124)</f>
        <v>46142</v>
      </c>
      <c r="D125" s="171">
        <f>Age_At_Entry+Cashflows_Backtesting!B125-1</f>
        <v>44</v>
      </c>
      <c r="E125" s="175">
        <f>IF(AND(C125&lt;=Last_Prem,MOD(A124,Mode)=0),Mod_Prem,0)</f>
        <v>0</v>
      </c>
      <c r="F125" s="177">
        <f>E125*VLOOKUP(B125,'Pre-Calculation'!$H$1:$I$31,2,FALSE)</f>
        <v>0</v>
      </c>
      <c r="G125" s="177">
        <f>IF(B125&lt;PT+1,VLOOKUP(B125,'Pre-Calculation'!$H$1:$L$32,3,FALSE)+VLOOKUP(B125,'Pre-Calculation'!$H$1:$L$32,4,FALSE)*'Pre-Calculation'!$D$7,0)</f>
        <v>830</v>
      </c>
      <c r="H125" s="175">
        <f>(E125-(F125+G125)*(1+Tax)+O124)</f>
        <v>1166417.133</v>
      </c>
      <c r="I125" s="175">
        <f>IF(B125&lt;PT+1,VLOOKUP(D125,'Pre-Calculation'!$N$3:$P$79,IF(INPUT!$C$4="M",2,3),FALSE)*(J125/1000)*(1/12),0)</f>
        <v>0</v>
      </c>
      <c r="J125" s="175">
        <f>MAX(0,(SA-H125))</f>
        <v>0</v>
      </c>
      <c r="K125" s="175">
        <f>H125-I125*(1+Tax)</f>
        <v>1166417.133</v>
      </c>
      <c r="L125" s="187">
        <f>VLOOKUP(C125,'NAVs_Till 29 Jun 2021'!$A$3:$J$2236,MATCH('Pre-Calculation'!$C$34,'NAVs_Till 29 Jun 2021'!$A$1:$J$1,0))</f>
        <v>20.7486</v>
      </c>
      <c r="M125" s="187">
        <f>IFERROR(1,VLOOKUP(C125,'NAVs_Till 29 Jun 2021'!$A$3:$J$2236,MATCH(#REF!,'NAVs_Till 29 Jun 2021'!$A$1:$J$1,0)))</f>
        <v>1</v>
      </c>
      <c r="N125" s="175">
        <f>VLOOKUP('Pre-Calculation'!$C$34,INPUT!$B$20:$C$28,2,0)*K125*(L126/L125)+ IFERROR(0,VLOOKUP('Pre-Calculation'!$D$34,INPUT!$B$20:$C$28,2,0))*K125*(M126/M125)</f>
        <v>1166417.133</v>
      </c>
      <c r="O125" s="175">
        <f t="shared" si="3"/>
        <v>1166417.133</v>
      </c>
      <c r="P125" s="175">
        <f t="shared" si="4"/>
        <v>1166417.133</v>
      </c>
      <c r="Q125" s="175">
        <f>IF('Pre-Calculation'!$D$17="Type 4 a",MAX(SA,O125,1.05*R125),IF('Pre-Calculation'!$D$17="Type 4 c",O125,IF('Pre-Calculation'!$D$17="Type 4 d",SA+O125,IF('Pre-Calculation'!$D$17="Type 4 e",MAX(SA,O125),IF('Pre-Calculation'!$D$17="Type 4 f",SA,IF('Pre-Calculation'!$D$17="Type 4 g",1000+O125,IF('Pre-Calculation'!$D$17="Type 4 h",SA+S125,IF('Pre-Calculation'!$D$17="Type 4 i",MAX(O125,R125),IF('Pre-Calculation'!$D$17="Type 4 k",MAX(O125,1.01*R125),IF('Pre-Calculation'!$D$17="Type 4 m",MAX(105%*R125,SA+O125),IF('Pre-Calculation'!$D$17="Type 4 o",MAX(SA,105%*R125)+X125+Z125,IF('Pre-Calculation'!$D$17="Type 5",0))))))))))))</f>
        <v>1166417.133</v>
      </c>
      <c r="R125" s="175">
        <f t="shared" si="5"/>
        <v>1000000</v>
      </c>
      <c r="S125" s="119">
        <f>K125*(1+GROWTH_RATE)*FMC</f>
        <v>1319.943935</v>
      </c>
      <c r="T125" s="178">
        <f>T124*(1+'Pre-Calculation'!$E$27)</f>
        <v>914264.4338</v>
      </c>
      <c r="U125" s="175">
        <f>-E125+IF(A124=INPUT!$C$11*12,O125,0)</f>
        <v>0</v>
      </c>
      <c r="V125" s="112"/>
      <c r="W125" s="112"/>
      <c r="X125" s="179">
        <f t="array" ref="X125">NPV('Pre-Calculation'!$E$20,$E126:E$246)</f>
        <v>0</v>
      </c>
      <c r="Y125" s="171">
        <f>10%*SA</f>
        <v>100000</v>
      </c>
      <c r="Z125" s="179">
        <f t="array" ref="Z125">NPV('Pre-Calculation'!$E$20,Y126:Y135)</f>
        <v>969592.8037</v>
      </c>
    </row>
    <row r="126" ht="15.75" customHeight="1">
      <c r="A126" s="171">
        <f t="shared" si="1"/>
        <v>120</v>
      </c>
      <c r="B126" s="171">
        <f t="shared" si="2"/>
        <v>10</v>
      </c>
      <c r="C126" s="176">
        <f>EDATE(RCD,A125)</f>
        <v>46172</v>
      </c>
      <c r="D126" s="171">
        <f>Age_At_Entry+Cashflows_Backtesting!B126-1</f>
        <v>44</v>
      </c>
      <c r="E126" s="175">
        <f>IF(AND(C126&lt;=Last_Prem,MOD(A125,Mode)=0),Mod_Prem,0)</f>
        <v>0</v>
      </c>
      <c r="F126" s="177">
        <f>E126*VLOOKUP(B126,'Pre-Calculation'!$H$1:$I$31,2,FALSE)</f>
        <v>0</v>
      </c>
      <c r="G126" s="177">
        <f>IF(B126&lt;PT+1,VLOOKUP(B126,'Pre-Calculation'!$H$1:$L$32,3,FALSE)+VLOOKUP(B126,'Pre-Calculation'!$H$1:$L$32,4,FALSE)*'Pre-Calculation'!$D$7,0)</f>
        <v>830</v>
      </c>
      <c r="H126" s="175">
        <f>(E126-(F126+G126)*(1+Tax)+O125)</f>
        <v>1165437.733</v>
      </c>
      <c r="I126" s="175">
        <f>IF(B126&lt;PT+1,VLOOKUP(D126,'Pre-Calculation'!$N$3:$P$79,IF(INPUT!$C$4="M",2,3),FALSE)*(J126/1000)*(1/12),0)</f>
        <v>0</v>
      </c>
      <c r="J126" s="175">
        <f>MAX(0,(SA-H126))</f>
        <v>0</v>
      </c>
      <c r="K126" s="175">
        <f>H126-I126*(1+Tax)</f>
        <v>1165437.733</v>
      </c>
      <c r="L126" s="187">
        <f>VLOOKUP(C126,'NAVs_Till 29 Jun 2021'!$A$3:$J$2236,MATCH('Pre-Calculation'!$C$34,'NAVs_Till 29 Jun 2021'!$A$1:$J$1,0))</f>
        <v>20.7486</v>
      </c>
      <c r="M126" s="187">
        <f>IFERROR(1,VLOOKUP(C126,'NAVs_Till 29 Jun 2021'!$A$3:$J$2236,MATCH(#REF!,'NAVs_Till 29 Jun 2021'!$A$1:$J$1,0)))</f>
        <v>1</v>
      </c>
      <c r="N126" s="175">
        <f>VLOOKUP('Pre-Calculation'!$C$34,INPUT!$B$20:$C$28,2,0)*K126*(L127/L126)+ IFERROR(0,VLOOKUP('Pre-Calculation'!$D$34,INPUT!$B$20:$C$28,2,0))*K126*(M127/M126)</f>
        <v>1165437.733</v>
      </c>
      <c r="O126" s="175">
        <f t="shared" si="3"/>
        <v>1165437.733</v>
      </c>
      <c r="P126" s="175">
        <f t="shared" si="4"/>
        <v>1165437.733</v>
      </c>
      <c r="Q126" s="175">
        <f>IF('Pre-Calculation'!$D$17="Type 4 a",MAX(SA,O126,1.05*R126),IF('Pre-Calculation'!$D$17="Type 4 c",O126,IF('Pre-Calculation'!$D$17="Type 4 d",SA+O126,IF('Pre-Calculation'!$D$17="Type 4 e",MAX(SA,O126),IF('Pre-Calculation'!$D$17="Type 4 f",SA,IF('Pre-Calculation'!$D$17="Type 4 g",1000+O126,IF('Pre-Calculation'!$D$17="Type 4 h",SA+S126,IF('Pre-Calculation'!$D$17="Type 4 i",MAX(O126,R126),IF('Pre-Calculation'!$D$17="Type 4 k",MAX(O126,1.01*R126),IF('Pre-Calculation'!$D$17="Type 4 m",MAX(105%*R126,SA+O126),IF('Pre-Calculation'!$D$17="Type 4 o",MAX(SA,105%*R126)+X126+Z126,IF('Pre-Calculation'!$D$17="Type 5",0))))))))))))</f>
        <v>1165437.733</v>
      </c>
      <c r="R126" s="175">
        <f t="shared" si="5"/>
        <v>1000000</v>
      </c>
      <c r="S126" s="119">
        <f>K126*(1+GROWTH_RATE)*FMC</f>
        <v>1318.835624</v>
      </c>
      <c r="T126" s="178">
        <f>T125*(1+'Pre-Calculation'!$E$27)</f>
        <v>916889.1944</v>
      </c>
      <c r="U126" s="175">
        <f>-E126+IF(A125=INPUT!$C$11*12,O126,0)</f>
        <v>0</v>
      </c>
      <c r="V126" s="112"/>
      <c r="W126" s="112"/>
      <c r="X126" s="179">
        <f t="array" ref="X126">NPV('Pre-Calculation'!$E$20,$E127:E$246)</f>
        <v>0</v>
      </c>
      <c r="Y126" s="171">
        <f>10%*SA</f>
        <v>100000</v>
      </c>
      <c r="Z126" s="179">
        <f t="array" ref="Z126">NPV('Pre-Calculation'!$E$20,Y127:Y136)</f>
        <v>969592.8037</v>
      </c>
    </row>
    <row r="127" ht="15.75" customHeight="1">
      <c r="A127" s="171">
        <f t="shared" si="1"/>
        <v>121</v>
      </c>
      <c r="B127" s="171">
        <f t="shared" si="2"/>
        <v>11</v>
      </c>
      <c r="C127" s="176">
        <f>EDATE(RCD,A126)</f>
        <v>46203</v>
      </c>
      <c r="D127" s="171">
        <f>Age_At_Entry+Cashflows_Backtesting!B127-1</f>
        <v>45</v>
      </c>
      <c r="E127" s="175">
        <f>IF(AND(C127&lt;=Last_Prem,MOD(A126,Mode)=0),Mod_Prem,0)</f>
        <v>0</v>
      </c>
      <c r="F127" s="177">
        <f>E127*VLOOKUP(B127,'Pre-Calculation'!$H$1:$I$31,2,FALSE)</f>
        <v>0</v>
      </c>
      <c r="G127" s="177">
        <f>IF(B127&lt;PT+1,VLOOKUP(B127,'Pre-Calculation'!$H$1:$L$32,3,FALSE)+VLOOKUP(B127,'Pre-Calculation'!$H$1:$L$32,4,FALSE)*'Pre-Calculation'!$D$7,0)</f>
        <v>0</v>
      </c>
      <c r="H127" s="175">
        <f>(E127-(F127+G127)*(1+Tax)+O126)</f>
        <v>1165437.733</v>
      </c>
      <c r="I127" s="175">
        <f>IF(B127&lt;PT+1,VLOOKUP(D127,'Pre-Calculation'!$N$3:$P$79,IF(INPUT!$C$4="M",2,3),FALSE)*(J127/1000)*(1/12),0)</f>
        <v>0</v>
      </c>
      <c r="J127" s="175">
        <f>MAX(0,(SA-H127))</f>
        <v>0</v>
      </c>
      <c r="K127" s="175">
        <f>H127-I127*(1+Tax)</f>
        <v>1165437.733</v>
      </c>
      <c r="L127" s="187">
        <f>VLOOKUP(C127,'NAVs_Till 29 Jun 2021'!$A$3:$J$2236,MATCH('Pre-Calculation'!$C$34,'NAVs_Till 29 Jun 2021'!$A$1:$J$1,0))</f>
        <v>20.7486</v>
      </c>
      <c r="M127" s="187">
        <f>IFERROR(1,VLOOKUP(C127,'NAVs_Till 29 Jun 2021'!$A$3:$J$2236,MATCH(#REF!,'NAVs_Till 29 Jun 2021'!$A$1:$J$1,0)))</f>
        <v>1</v>
      </c>
      <c r="N127" s="175">
        <f>VLOOKUP('Pre-Calculation'!$C$34,INPUT!$B$20:$C$28,2,0)*K127*(L128/L127)+ IFERROR(0,VLOOKUP('Pre-Calculation'!$D$34,INPUT!$B$20:$C$28,2,0))*K127*(M128/M127)</f>
        <v>1165437.733</v>
      </c>
      <c r="O127" s="175">
        <f t="shared" si="3"/>
        <v>1165437.733</v>
      </c>
      <c r="P127" s="175">
        <f t="shared" si="4"/>
        <v>1165437.733</v>
      </c>
      <c r="Q127" s="175">
        <f>IF('Pre-Calculation'!$D$17="Type 4 a",MAX(SA,O127,1.05*R127),IF('Pre-Calculation'!$D$17="Type 4 c",O127,IF('Pre-Calculation'!$D$17="Type 4 d",SA+O127,IF('Pre-Calculation'!$D$17="Type 4 e",MAX(SA,O127),IF('Pre-Calculation'!$D$17="Type 4 f",SA,IF('Pre-Calculation'!$D$17="Type 4 g",1000+O127,IF('Pre-Calculation'!$D$17="Type 4 h",SA+S127,IF('Pre-Calculation'!$D$17="Type 4 i",MAX(O127,R127),IF('Pre-Calculation'!$D$17="Type 4 k",MAX(O127,1.01*R127),IF('Pre-Calculation'!$D$17="Type 4 m",MAX(105%*R127,SA+O127),IF('Pre-Calculation'!$D$17="Type 4 o",MAX(SA,105%*R127)+X127+Z127,IF('Pre-Calculation'!$D$17="Type 5",0))))))))))))</f>
        <v>1165437.733</v>
      </c>
      <c r="R127" s="175">
        <f t="shared" si="5"/>
        <v>1000000</v>
      </c>
      <c r="S127" s="119">
        <f>K127*(1+GROWTH_RATE)*FMC</f>
        <v>1318.835624</v>
      </c>
      <c r="T127" s="178">
        <f>T126*(1+'Pre-Calculation'!$E$27)</f>
        <v>919521.4904</v>
      </c>
      <c r="U127" s="175">
        <f>-E127+IF(A126=INPUT!$C$11*12,O127,0)</f>
        <v>1165437.733</v>
      </c>
      <c r="V127" s="112"/>
      <c r="W127" s="112"/>
      <c r="X127" s="179">
        <f t="array" ref="X127">NPV('Pre-Calculation'!$E$20,$E128:E$246)</f>
        <v>0</v>
      </c>
      <c r="Y127" s="171">
        <f>10%*SA</f>
        <v>100000</v>
      </c>
      <c r="Z127" s="179">
        <f t="array" ref="Z127">NPV('Pre-Calculation'!$E$20,Y128:Y137)</f>
        <v>969592.8037</v>
      </c>
    </row>
    <row r="128" ht="15.75" customHeight="1">
      <c r="A128" s="171">
        <f t="shared" si="1"/>
        <v>122</v>
      </c>
      <c r="B128" s="171">
        <f t="shared" si="2"/>
        <v>11</v>
      </c>
      <c r="C128" s="176">
        <f>EDATE(RCD,A127)</f>
        <v>46233</v>
      </c>
      <c r="D128" s="171">
        <f>Age_At_Entry+Cashflows_Backtesting!B128-1</f>
        <v>45</v>
      </c>
      <c r="E128" s="175">
        <f>IF(AND(C128&lt;=Last_Prem,MOD(A127,Mode)=0),Mod_Prem,0)</f>
        <v>0</v>
      </c>
      <c r="F128" s="177">
        <f>E128*VLOOKUP(B128,'Pre-Calculation'!$H$1:$I$31,2,FALSE)</f>
        <v>0</v>
      </c>
      <c r="G128" s="177">
        <f>IF(B128&lt;PT+1,VLOOKUP(B128,'Pre-Calculation'!$H$1:$L$32,3,FALSE)+VLOOKUP(B128,'Pre-Calculation'!$H$1:$L$32,4,FALSE)*'Pre-Calculation'!$D$7,0)</f>
        <v>0</v>
      </c>
      <c r="H128" s="175">
        <f>(E128-(F128+G128)*(1+Tax)+O127)</f>
        <v>1165437.733</v>
      </c>
      <c r="I128" s="175">
        <f>IF(B128&lt;PT+1,VLOOKUP(D128,'Pre-Calculation'!$N$3:$P$79,IF(INPUT!$C$4="M",2,3),FALSE)*(J128/1000)*(1/12),0)</f>
        <v>0</v>
      </c>
      <c r="J128" s="175">
        <f>MAX(0,(SA-H128))</f>
        <v>0</v>
      </c>
      <c r="K128" s="175">
        <f>H128-I128*(1+Tax)</f>
        <v>1165437.733</v>
      </c>
      <c r="L128" s="187">
        <f>VLOOKUP(C128,'NAVs_Till 29 Jun 2021'!$A$3:$J$2236,MATCH('Pre-Calculation'!$C$34,'NAVs_Till 29 Jun 2021'!$A$1:$J$1,0))</f>
        <v>20.7486</v>
      </c>
      <c r="M128" s="187">
        <f>IFERROR(1,VLOOKUP(C128,'NAVs_Till 29 Jun 2021'!$A$3:$J$2236,MATCH(#REF!,'NAVs_Till 29 Jun 2021'!$A$1:$J$1,0)))</f>
        <v>1</v>
      </c>
      <c r="N128" s="175">
        <f>VLOOKUP('Pre-Calculation'!$C$34,INPUT!$B$20:$C$28,2,0)*K128*(L129/L128)+ IFERROR(0,VLOOKUP('Pre-Calculation'!$D$34,INPUT!$B$20:$C$28,2,0))*K128*(M129/M128)</f>
        <v>1165437.733</v>
      </c>
      <c r="O128" s="175">
        <f t="shared" si="3"/>
        <v>1165437.733</v>
      </c>
      <c r="P128" s="175">
        <f t="shared" si="4"/>
        <v>1165437.733</v>
      </c>
      <c r="Q128" s="175">
        <f>IF('Pre-Calculation'!$D$17="Type 4 a",MAX(SA,O128,1.05*R128),IF('Pre-Calculation'!$D$17="Type 4 c",O128,IF('Pre-Calculation'!$D$17="Type 4 d",SA+O128,IF('Pre-Calculation'!$D$17="Type 4 e",MAX(SA,O128),IF('Pre-Calculation'!$D$17="Type 4 f",SA,IF('Pre-Calculation'!$D$17="Type 4 g",1000+O128,IF('Pre-Calculation'!$D$17="Type 4 h",SA+S128,IF('Pre-Calculation'!$D$17="Type 4 i",MAX(O128,R128),IF('Pre-Calculation'!$D$17="Type 4 k",MAX(O128,1.01*R128),IF('Pre-Calculation'!$D$17="Type 4 m",MAX(105%*R128,SA+O128),IF('Pre-Calculation'!$D$17="Type 4 o",MAX(SA,105%*R128)+X128+Z128,IF('Pre-Calculation'!$D$17="Type 5",0))))))))))))</f>
        <v>1165437.733</v>
      </c>
      <c r="R128" s="175">
        <f t="shared" si="5"/>
        <v>1000000</v>
      </c>
      <c r="S128" s="119">
        <f>K128*(1+GROWTH_RATE)*FMC</f>
        <v>1318.835624</v>
      </c>
      <c r="T128" s="178">
        <f>T127*(1+'Pre-Calculation'!$E$27)</f>
        <v>922161.3435</v>
      </c>
      <c r="U128" s="175">
        <f>-E128+IF(A127=INPUT!$C$11*12,O128,0)</f>
        <v>0</v>
      </c>
      <c r="V128" s="112"/>
      <c r="W128" s="112"/>
      <c r="X128" s="179">
        <f t="array" ref="X128">NPV('Pre-Calculation'!$E$20,$E129:E$246)</f>
        <v>0</v>
      </c>
      <c r="Y128" s="171">
        <f>10%*SA</f>
        <v>100000</v>
      </c>
      <c r="Z128" s="179">
        <f t="array" ref="Z128">NPV('Pre-Calculation'!$E$20,Y129:Y138)</f>
        <v>969592.8037</v>
      </c>
    </row>
    <row r="129" ht="15.75" customHeight="1">
      <c r="A129" s="171">
        <f t="shared" si="1"/>
        <v>123</v>
      </c>
      <c r="B129" s="171">
        <f t="shared" si="2"/>
        <v>11</v>
      </c>
      <c r="C129" s="176">
        <f>EDATE(RCD,A128)</f>
        <v>46264</v>
      </c>
      <c r="D129" s="171">
        <f>Age_At_Entry+Cashflows_Backtesting!B129-1</f>
        <v>45</v>
      </c>
      <c r="E129" s="175">
        <f>IF(AND(C129&lt;=Last_Prem,MOD(A128,Mode)=0),Mod_Prem,0)</f>
        <v>0</v>
      </c>
      <c r="F129" s="177">
        <f>E129*VLOOKUP(B129,'Pre-Calculation'!$H$1:$I$31,2,FALSE)</f>
        <v>0</v>
      </c>
      <c r="G129" s="177">
        <f>IF(B129&lt;PT+1,VLOOKUP(B129,'Pre-Calculation'!$H$1:$L$32,3,FALSE)+VLOOKUP(B129,'Pre-Calculation'!$H$1:$L$32,4,FALSE)*'Pre-Calculation'!$D$7,0)</f>
        <v>0</v>
      </c>
      <c r="H129" s="175">
        <f>(E129-(F129+G129)*(1+Tax)+O128)</f>
        <v>1165437.733</v>
      </c>
      <c r="I129" s="175">
        <f>IF(B129&lt;PT+1,VLOOKUP(D129,'Pre-Calculation'!$N$3:$P$79,IF(INPUT!$C$4="M",2,3),FALSE)*(J129/1000)*(1/12),0)</f>
        <v>0</v>
      </c>
      <c r="J129" s="175">
        <f>MAX(0,(SA-H129))</f>
        <v>0</v>
      </c>
      <c r="K129" s="175">
        <f>H129-I129*(1+Tax)</f>
        <v>1165437.733</v>
      </c>
      <c r="L129" s="187">
        <f>VLOOKUP(C129,'NAVs_Till 29 Jun 2021'!$A$3:$J$2236,MATCH('Pre-Calculation'!$C$34,'NAVs_Till 29 Jun 2021'!$A$1:$J$1,0))</f>
        <v>20.7486</v>
      </c>
      <c r="M129" s="187">
        <f>IFERROR(1,VLOOKUP(C129,'NAVs_Till 29 Jun 2021'!$A$3:$J$2236,MATCH(#REF!,'NAVs_Till 29 Jun 2021'!$A$1:$J$1,0)))</f>
        <v>1</v>
      </c>
      <c r="N129" s="175">
        <f>VLOOKUP('Pre-Calculation'!$C$34,INPUT!$B$20:$C$28,2,0)*K129*(L130/L129)+ IFERROR(0,VLOOKUP('Pre-Calculation'!$D$34,INPUT!$B$20:$C$28,2,0))*K129*(M130/M129)</f>
        <v>1165437.733</v>
      </c>
      <c r="O129" s="175">
        <f t="shared" si="3"/>
        <v>1165437.733</v>
      </c>
      <c r="P129" s="175">
        <f t="shared" si="4"/>
        <v>1165437.733</v>
      </c>
      <c r="Q129" s="175">
        <f>IF('Pre-Calculation'!$D$17="Type 4 a",MAX(SA,O129,1.05*R129),IF('Pre-Calculation'!$D$17="Type 4 c",O129,IF('Pre-Calculation'!$D$17="Type 4 d",SA+O129,IF('Pre-Calculation'!$D$17="Type 4 e",MAX(SA,O129),IF('Pre-Calculation'!$D$17="Type 4 f",SA,IF('Pre-Calculation'!$D$17="Type 4 g",1000+O129,IF('Pre-Calculation'!$D$17="Type 4 h",SA+S129,IF('Pre-Calculation'!$D$17="Type 4 i",MAX(O129,R129),IF('Pre-Calculation'!$D$17="Type 4 k",MAX(O129,1.01*R129),IF('Pre-Calculation'!$D$17="Type 4 m",MAX(105%*R129,SA+O129),IF('Pre-Calculation'!$D$17="Type 4 o",MAX(SA,105%*R129)+X129+Z129,IF('Pre-Calculation'!$D$17="Type 5",0))))))))))))</f>
        <v>1165437.733</v>
      </c>
      <c r="R129" s="175">
        <f t="shared" si="5"/>
        <v>1000000</v>
      </c>
      <c r="S129" s="119">
        <f>K129*(1+GROWTH_RATE)*FMC</f>
        <v>1318.835624</v>
      </c>
      <c r="T129" s="178">
        <f>T128*(1+'Pre-Calculation'!$E$27)</f>
        <v>924808.7753</v>
      </c>
      <c r="U129" s="175">
        <f>-E129+IF(A128=INPUT!$C$11*12,O129,0)</f>
        <v>0</v>
      </c>
      <c r="V129" s="112"/>
      <c r="W129" s="112"/>
      <c r="X129" s="179">
        <f t="array" ref="X129">NPV('Pre-Calculation'!$E$20,$E130:E$246)</f>
        <v>0</v>
      </c>
      <c r="Y129" s="171">
        <f>10%*SA</f>
        <v>100000</v>
      </c>
      <c r="Z129" s="179">
        <f t="array" ref="Z129">NPV('Pre-Calculation'!$E$20,Y130:Y139)</f>
        <v>969592.8037</v>
      </c>
    </row>
    <row r="130" ht="15.75" customHeight="1">
      <c r="A130" s="171">
        <f t="shared" si="1"/>
        <v>124</v>
      </c>
      <c r="B130" s="171">
        <f t="shared" si="2"/>
        <v>11</v>
      </c>
      <c r="C130" s="176">
        <f>EDATE(RCD,A129)</f>
        <v>46295</v>
      </c>
      <c r="D130" s="171">
        <f>Age_At_Entry+Cashflows_Backtesting!B130-1</f>
        <v>45</v>
      </c>
      <c r="E130" s="175">
        <f>IF(AND(C130&lt;=Last_Prem,MOD(A129,Mode)=0),Mod_Prem,0)</f>
        <v>0</v>
      </c>
      <c r="F130" s="177">
        <f>E130*VLOOKUP(B130,'Pre-Calculation'!$H$1:$I$31,2,FALSE)</f>
        <v>0</v>
      </c>
      <c r="G130" s="177">
        <f>IF(B130&lt;PT+1,VLOOKUP(B130,'Pre-Calculation'!$H$1:$L$32,3,FALSE)+VLOOKUP(B130,'Pre-Calculation'!$H$1:$L$32,4,FALSE)*'Pre-Calculation'!$D$7,0)</f>
        <v>0</v>
      </c>
      <c r="H130" s="175">
        <f>(E130-(F130+G130)*(1+Tax)+O129)</f>
        <v>1165437.733</v>
      </c>
      <c r="I130" s="175">
        <f>IF(B130&lt;PT+1,VLOOKUP(D130,'Pre-Calculation'!$N$3:$P$79,IF(INPUT!$C$4="M",2,3),FALSE)*(J130/1000)*(1/12),0)</f>
        <v>0</v>
      </c>
      <c r="J130" s="175">
        <f>MAX(0,(SA-H130))</f>
        <v>0</v>
      </c>
      <c r="K130" s="175">
        <f>H130-I130*(1+Tax)</f>
        <v>1165437.733</v>
      </c>
      <c r="L130" s="187">
        <f>VLOOKUP(C130,'NAVs_Till 29 Jun 2021'!$A$3:$J$2236,MATCH('Pre-Calculation'!$C$34,'NAVs_Till 29 Jun 2021'!$A$1:$J$1,0))</f>
        <v>20.7486</v>
      </c>
      <c r="M130" s="187">
        <f>IFERROR(1,VLOOKUP(C130,'NAVs_Till 29 Jun 2021'!$A$3:$J$2236,MATCH(#REF!,'NAVs_Till 29 Jun 2021'!$A$1:$J$1,0)))</f>
        <v>1</v>
      </c>
      <c r="N130" s="175">
        <f>VLOOKUP('Pre-Calculation'!$C$34,INPUT!$B$20:$C$28,2,0)*K130*(L131/L130)+ IFERROR(0,VLOOKUP('Pre-Calculation'!$D$34,INPUT!$B$20:$C$28,2,0))*K130*(M131/M130)</f>
        <v>1165437.733</v>
      </c>
      <c r="O130" s="175">
        <f t="shared" si="3"/>
        <v>1165437.733</v>
      </c>
      <c r="P130" s="175">
        <f t="shared" si="4"/>
        <v>1165437.733</v>
      </c>
      <c r="Q130" s="175">
        <f>IF('Pre-Calculation'!$D$17="Type 4 a",MAX(SA,O130,1.05*R130),IF('Pre-Calculation'!$D$17="Type 4 c",O130,IF('Pre-Calculation'!$D$17="Type 4 d",SA+O130,IF('Pre-Calculation'!$D$17="Type 4 e",MAX(SA,O130),IF('Pre-Calculation'!$D$17="Type 4 f",SA,IF('Pre-Calculation'!$D$17="Type 4 g",1000+O130,IF('Pre-Calculation'!$D$17="Type 4 h",SA+S130,IF('Pre-Calculation'!$D$17="Type 4 i",MAX(O130,R130),IF('Pre-Calculation'!$D$17="Type 4 k",MAX(O130,1.01*R130),IF('Pre-Calculation'!$D$17="Type 4 m",MAX(105%*R130,SA+O130),IF('Pre-Calculation'!$D$17="Type 4 o",MAX(SA,105%*R130)+X130+Z130,IF('Pre-Calculation'!$D$17="Type 5",0))))))))))))</f>
        <v>1165437.733</v>
      </c>
      <c r="R130" s="175">
        <f t="shared" si="5"/>
        <v>1000000</v>
      </c>
      <c r="S130" s="119">
        <f>K130*(1+GROWTH_RATE)*FMC</f>
        <v>1318.835624</v>
      </c>
      <c r="T130" s="178">
        <f>T129*(1+'Pre-Calculation'!$E$27)</f>
        <v>927463.8076</v>
      </c>
      <c r="U130" s="175">
        <f>-E130+IF(A129=INPUT!$C$11*12,O130,0)</f>
        <v>0</v>
      </c>
      <c r="V130" s="112"/>
      <c r="W130" s="112"/>
      <c r="X130" s="179">
        <f t="array" ref="X130">NPV('Pre-Calculation'!$E$20,$E131:E$246)</f>
        <v>0</v>
      </c>
      <c r="Y130" s="171">
        <f>10%*SA</f>
        <v>100000</v>
      </c>
      <c r="Z130" s="179">
        <f t="array" ref="Z130">NPV('Pre-Calculation'!$E$20,Y131:Y140)</f>
        <v>969592.8037</v>
      </c>
    </row>
    <row r="131" ht="15.75" customHeight="1">
      <c r="A131" s="171">
        <f t="shared" si="1"/>
        <v>125</v>
      </c>
      <c r="B131" s="171">
        <f t="shared" si="2"/>
        <v>11</v>
      </c>
      <c r="C131" s="176">
        <f>EDATE(RCD,A130)</f>
        <v>46325</v>
      </c>
      <c r="D131" s="171">
        <f>Age_At_Entry+Cashflows_Backtesting!B131-1</f>
        <v>45</v>
      </c>
      <c r="E131" s="175">
        <f>IF(AND(C131&lt;=Last_Prem,MOD(A130,Mode)=0),Mod_Prem,0)</f>
        <v>0</v>
      </c>
      <c r="F131" s="177">
        <f>E131*VLOOKUP(B131,'Pre-Calculation'!$H$1:$I$31,2,FALSE)</f>
        <v>0</v>
      </c>
      <c r="G131" s="177">
        <f>IF(B131&lt;PT+1,VLOOKUP(B131,'Pre-Calculation'!$H$1:$L$32,3,FALSE)+VLOOKUP(B131,'Pre-Calculation'!$H$1:$L$32,4,FALSE)*'Pre-Calculation'!$D$7,0)</f>
        <v>0</v>
      </c>
      <c r="H131" s="175">
        <f>(E131-(F131+G131)*(1+Tax)+O130)</f>
        <v>1165437.733</v>
      </c>
      <c r="I131" s="175">
        <f>IF(B131&lt;PT+1,VLOOKUP(D131,'Pre-Calculation'!$N$3:$P$79,IF(INPUT!$C$4="M",2,3),FALSE)*(J131/1000)*(1/12),0)</f>
        <v>0</v>
      </c>
      <c r="J131" s="175">
        <f>MAX(0,(SA-H131))</f>
        <v>0</v>
      </c>
      <c r="K131" s="175">
        <f>H131-I131*(1+Tax)</f>
        <v>1165437.733</v>
      </c>
      <c r="L131" s="187">
        <f>VLOOKUP(C131,'NAVs_Till 29 Jun 2021'!$A$3:$J$2236,MATCH('Pre-Calculation'!$C$34,'NAVs_Till 29 Jun 2021'!$A$1:$J$1,0))</f>
        <v>20.7486</v>
      </c>
      <c r="M131" s="187">
        <f>IFERROR(1,VLOOKUP(C131,'NAVs_Till 29 Jun 2021'!$A$3:$J$2236,MATCH(#REF!,'NAVs_Till 29 Jun 2021'!$A$1:$J$1,0)))</f>
        <v>1</v>
      </c>
      <c r="N131" s="175">
        <f>VLOOKUP('Pre-Calculation'!$C$34,INPUT!$B$20:$C$28,2,0)*K131*(L132/L131)+ IFERROR(0,VLOOKUP('Pre-Calculation'!$D$34,INPUT!$B$20:$C$28,2,0))*K131*(M132/M131)</f>
        <v>1165437.733</v>
      </c>
      <c r="O131" s="175">
        <f t="shared" si="3"/>
        <v>1165437.733</v>
      </c>
      <c r="P131" s="175">
        <f t="shared" si="4"/>
        <v>1165437.733</v>
      </c>
      <c r="Q131" s="175">
        <f>IF('Pre-Calculation'!$D$17="Type 4 a",MAX(SA,O131,1.05*R131),IF('Pre-Calculation'!$D$17="Type 4 c",O131,IF('Pre-Calculation'!$D$17="Type 4 d",SA+O131,IF('Pre-Calculation'!$D$17="Type 4 e",MAX(SA,O131),IF('Pre-Calculation'!$D$17="Type 4 f",SA,IF('Pre-Calculation'!$D$17="Type 4 g",1000+O131,IF('Pre-Calculation'!$D$17="Type 4 h",SA+S131,IF('Pre-Calculation'!$D$17="Type 4 i",MAX(O131,R131),IF('Pre-Calculation'!$D$17="Type 4 k",MAX(O131,1.01*R131),IF('Pre-Calculation'!$D$17="Type 4 m",MAX(105%*R131,SA+O131),IF('Pre-Calculation'!$D$17="Type 4 o",MAX(SA,105%*R131)+X131+Z131,IF('Pre-Calculation'!$D$17="Type 5",0))))))))))))</f>
        <v>1165437.733</v>
      </c>
      <c r="R131" s="175">
        <f t="shared" si="5"/>
        <v>1000000</v>
      </c>
      <c r="S131" s="119">
        <f>K131*(1+GROWTH_RATE)*FMC</f>
        <v>1318.835624</v>
      </c>
      <c r="T131" s="178">
        <f>T130*(1+'Pre-Calculation'!$E$27)</f>
        <v>930126.4623</v>
      </c>
      <c r="U131" s="175">
        <f>-E131+IF(A130=INPUT!$C$11*12,O131,0)</f>
        <v>0</v>
      </c>
      <c r="V131" s="112"/>
      <c r="W131" s="112"/>
      <c r="X131" s="179">
        <f t="array" ref="X131">NPV('Pre-Calculation'!$E$20,$E132:E$246)</f>
        <v>0</v>
      </c>
      <c r="Y131" s="171">
        <f>10%*SA</f>
        <v>100000</v>
      </c>
      <c r="Z131" s="179">
        <f t="array" ref="Z131">NPV('Pre-Calculation'!$E$20,Y132:Y141)</f>
        <v>969592.8037</v>
      </c>
    </row>
    <row r="132" ht="15.75" customHeight="1">
      <c r="A132" s="171">
        <f t="shared" si="1"/>
        <v>126</v>
      </c>
      <c r="B132" s="171">
        <f t="shared" si="2"/>
        <v>11</v>
      </c>
      <c r="C132" s="176">
        <f>EDATE(RCD,A131)</f>
        <v>46356</v>
      </c>
      <c r="D132" s="171">
        <f>Age_At_Entry+Cashflows_Backtesting!B132-1</f>
        <v>45</v>
      </c>
      <c r="E132" s="175">
        <f>IF(AND(C132&lt;=Last_Prem,MOD(A131,Mode)=0),Mod_Prem,0)</f>
        <v>0</v>
      </c>
      <c r="F132" s="177">
        <f>E132*VLOOKUP(B132,'Pre-Calculation'!$H$1:$I$31,2,FALSE)</f>
        <v>0</v>
      </c>
      <c r="G132" s="177">
        <f>IF(B132&lt;PT+1,VLOOKUP(B132,'Pre-Calculation'!$H$1:$L$32,3,FALSE)+VLOOKUP(B132,'Pre-Calculation'!$H$1:$L$32,4,FALSE)*'Pre-Calculation'!$D$7,0)</f>
        <v>0</v>
      </c>
      <c r="H132" s="175">
        <f>(E132-(F132+G132)*(1+Tax)+O131)</f>
        <v>1165437.733</v>
      </c>
      <c r="I132" s="175">
        <f>IF(B132&lt;PT+1,VLOOKUP(D132,'Pre-Calculation'!$N$3:$P$79,IF(INPUT!$C$4="M",2,3),FALSE)*(J132/1000)*(1/12),0)</f>
        <v>0</v>
      </c>
      <c r="J132" s="175">
        <f>MAX(0,(SA-H132))</f>
        <v>0</v>
      </c>
      <c r="K132" s="175">
        <f>H132-I132*(1+Tax)</f>
        <v>1165437.733</v>
      </c>
      <c r="L132" s="187">
        <f>VLOOKUP(C132,'NAVs_Till 29 Jun 2021'!$A$3:$J$2236,MATCH('Pre-Calculation'!$C$34,'NAVs_Till 29 Jun 2021'!$A$1:$J$1,0))</f>
        <v>20.7486</v>
      </c>
      <c r="M132" s="187">
        <f>IFERROR(1,VLOOKUP(C132,'NAVs_Till 29 Jun 2021'!$A$3:$J$2236,MATCH(#REF!,'NAVs_Till 29 Jun 2021'!$A$1:$J$1,0)))</f>
        <v>1</v>
      </c>
      <c r="N132" s="175">
        <f>VLOOKUP('Pre-Calculation'!$C$34,INPUT!$B$20:$C$28,2,0)*K132*(L133/L132)+ IFERROR(0,VLOOKUP('Pre-Calculation'!$D$34,INPUT!$B$20:$C$28,2,0))*K132*(M133/M132)</f>
        <v>1165437.733</v>
      </c>
      <c r="O132" s="175">
        <f t="shared" si="3"/>
        <v>1165437.733</v>
      </c>
      <c r="P132" s="175">
        <f t="shared" si="4"/>
        <v>1165437.733</v>
      </c>
      <c r="Q132" s="175">
        <f>IF('Pre-Calculation'!$D$17="Type 4 a",MAX(SA,O132,1.05*R132),IF('Pre-Calculation'!$D$17="Type 4 c",O132,IF('Pre-Calculation'!$D$17="Type 4 d",SA+O132,IF('Pre-Calculation'!$D$17="Type 4 e",MAX(SA,O132),IF('Pre-Calculation'!$D$17="Type 4 f",SA,IF('Pre-Calculation'!$D$17="Type 4 g",1000+O132,IF('Pre-Calculation'!$D$17="Type 4 h",SA+S132,IF('Pre-Calculation'!$D$17="Type 4 i",MAX(O132,R132),IF('Pre-Calculation'!$D$17="Type 4 k",MAX(O132,1.01*R132),IF('Pre-Calculation'!$D$17="Type 4 m",MAX(105%*R132,SA+O132),IF('Pre-Calculation'!$D$17="Type 4 o",MAX(SA,105%*R132)+X132+Z132,IF('Pre-Calculation'!$D$17="Type 5",0))))))))))))</f>
        <v>1165437.733</v>
      </c>
      <c r="R132" s="175">
        <f t="shared" si="5"/>
        <v>1000000</v>
      </c>
      <c r="S132" s="119">
        <f>K132*(1+GROWTH_RATE)*FMC</f>
        <v>1318.835624</v>
      </c>
      <c r="T132" s="178">
        <f>T131*(1+'Pre-Calculation'!$E$27)</f>
        <v>932796.7612</v>
      </c>
      <c r="U132" s="175">
        <f>-E132+IF(A131=INPUT!$C$11*12,O132,0)</f>
        <v>0</v>
      </c>
      <c r="V132" s="112"/>
      <c r="W132" s="112"/>
      <c r="X132" s="179">
        <f t="array" ref="X132">NPV('Pre-Calculation'!$E$20,$E133:E$246)</f>
        <v>0</v>
      </c>
      <c r="Y132" s="171">
        <f>10%*SA</f>
        <v>100000</v>
      </c>
      <c r="Z132" s="179">
        <f t="array" ref="Z132">NPV('Pre-Calculation'!$E$20,Y133:Y142)</f>
        <v>969592.8037</v>
      </c>
    </row>
    <row r="133" ht="15.75" customHeight="1">
      <c r="A133" s="171">
        <f t="shared" si="1"/>
        <v>127</v>
      </c>
      <c r="B133" s="171">
        <f t="shared" si="2"/>
        <v>11</v>
      </c>
      <c r="C133" s="176">
        <f>EDATE(RCD,A132)</f>
        <v>46386</v>
      </c>
      <c r="D133" s="171">
        <f>Age_At_Entry+Cashflows_Backtesting!B133-1</f>
        <v>45</v>
      </c>
      <c r="E133" s="175">
        <f>IF(AND(C133&lt;=Last_Prem,MOD(A132,Mode)=0),Mod_Prem,0)</f>
        <v>0</v>
      </c>
      <c r="F133" s="177">
        <f>E133*VLOOKUP(B133,'Pre-Calculation'!$H$1:$I$31,2,FALSE)</f>
        <v>0</v>
      </c>
      <c r="G133" s="177">
        <f>IF(B133&lt;PT+1,VLOOKUP(B133,'Pre-Calculation'!$H$1:$L$32,3,FALSE)+VLOOKUP(B133,'Pre-Calculation'!$H$1:$L$32,4,FALSE)*'Pre-Calculation'!$D$7,0)</f>
        <v>0</v>
      </c>
      <c r="H133" s="175">
        <f>(E133-(F133+G133)*(1+Tax)+O132)</f>
        <v>1165437.733</v>
      </c>
      <c r="I133" s="175">
        <f>IF(B133&lt;PT+1,VLOOKUP(D133,'Pre-Calculation'!$N$3:$P$79,IF(INPUT!$C$4="M",2,3),FALSE)*(J133/1000)*(1/12),0)</f>
        <v>0</v>
      </c>
      <c r="J133" s="175">
        <f>MAX(0,(SA-H133))</f>
        <v>0</v>
      </c>
      <c r="K133" s="175">
        <f>H133-I133*(1+Tax)</f>
        <v>1165437.733</v>
      </c>
      <c r="L133" s="187">
        <f>VLOOKUP(C133,'NAVs_Till 29 Jun 2021'!$A$3:$J$2236,MATCH('Pre-Calculation'!$C$34,'NAVs_Till 29 Jun 2021'!$A$1:$J$1,0))</f>
        <v>20.7486</v>
      </c>
      <c r="M133" s="187">
        <f>IFERROR(1,VLOOKUP(C133,'NAVs_Till 29 Jun 2021'!$A$3:$J$2236,MATCH(#REF!,'NAVs_Till 29 Jun 2021'!$A$1:$J$1,0)))</f>
        <v>1</v>
      </c>
      <c r="N133" s="175">
        <f>VLOOKUP('Pre-Calculation'!$C$34,INPUT!$B$20:$C$28,2,0)*K133*(L134/L133)+ IFERROR(0,VLOOKUP('Pre-Calculation'!$D$34,INPUT!$B$20:$C$28,2,0))*K133*(M134/M133)</f>
        <v>1165437.733</v>
      </c>
      <c r="O133" s="175">
        <f t="shared" si="3"/>
        <v>1165437.733</v>
      </c>
      <c r="P133" s="175">
        <f t="shared" si="4"/>
        <v>1165437.733</v>
      </c>
      <c r="Q133" s="175">
        <f>IF('Pre-Calculation'!$D$17="Type 4 a",MAX(SA,O133,1.05*R133),IF('Pre-Calculation'!$D$17="Type 4 c",O133,IF('Pre-Calculation'!$D$17="Type 4 d",SA+O133,IF('Pre-Calculation'!$D$17="Type 4 e",MAX(SA,O133),IF('Pre-Calculation'!$D$17="Type 4 f",SA,IF('Pre-Calculation'!$D$17="Type 4 g",1000+O133,IF('Pre-Calculation'!$D$17="Type 4 h",SA+S133,IF('Pre-Calculation'!$D$17="Type 4 i",MAX(O133,R133),IF('Pre-Calculation'!$D$17="Type 4 k",MAX(O133,1.01*R133),IF('Pre-Calculation'!$D$17="Type 4 m",MAX(105%*R133,SA+O133),IF('Pre-Calculation'!$D$17="Type 4 o",MAX(SA,105%*R133)+X133+Z133,IF('Pre-Calculation'!$D$17="Type 5",0))))))))))))</f>
        <v>1165437.733</v>
      </c>
      <c r="R133" s="175">
        <f t="shared" si="5"/>
        <v>1000000</v>
      </c>
      <c r="S133" s="119">
        <f>K133*(1+GROWTH_RATE)*FMC</f>
        <v>1318.835624</v>
      </c>
      <c r="T133" s="178">
        <f>T132*(1+'Pre-Calculation'!$E$27)</f>
        <v>935474.7262</v>
      </c>
      <c r="U133" s="175">
        <f>-E133+IF(A132=INPUT!$C$11*12,O133,0)</f>
        <v>0</v>
      </c>
      <c r="V133" s="112"/>
      <c r="W133" s="112"/>
      <c r="X133" s="179">
        <f t="array" ref="X133">NPV('Pre-Calculation'!$E$20,$E134:E$246)</f>
        <v>0</v>
      </c>
      <c r="Y133" s="171">
        <f>10%*SA</f>
        <v>100000</v>
      </c>
      <c r="Z133" s="179">
        <f t="array" ref="Z133">NPV('Pre-Calculation'!$E$20,Y134:Y143)</f>
        <v>969592.8037</v>
      </c>
    </row>
    <row r="134" ht="15.75" customHeight="1">
      <c r="A134" s="171">
        <f t="shared" si="1"/>
        <v>128</v>
      </c>
      <c r="B134" s="171">
        <f t="shared" si="2"/>
        <v>11</v>
      </c>
      <c r="C134" s="176">
        <f>EDATE(RCD,A133)</f>
        <v>46417</v>
      </c>
      <c r="D134" s="171">
        <f>Age_At_Entry+Cashflows_Backtesting!B134-1</f>
        <v>45</v>
      </c>
      <c r="E134" s="175">
        <f>IF(AND(C134&lt;=Last_Prem,MOD(A133,Mode)=0),Mod_Prem,0)</f>
        <v>0</v>
      </c>
      <c r="F134" s="177">
        <f>E134*VLOOKUP(B134,'Pre-Calculation'!$H$1:$I$31,2,FALSE)</f>
        <v>0</v>
      </c>
      <c r="G134" s="177">
        <f>IF(B134&lt;PT+1,VLOOKUP(B134,'Pre-Calculation'!$H$1:$L$32,3,FALSE)+VLOOKUP(B134,'Pre-Calculation'!$H$1:$L$32,4,FALSE)*'Pre-Calculation'!$D$7,0)</f>
        <v>0</v>
      </c>
      <c r="H134" s="175">
        <f>(E134-(F134+G134)*(1+Tax)+O133)</f>
        <v>1165437.733</v>
      </c>
      <c r="I134" s="175">
        <f>IF(B134&lt;PT+1,VLOOKUP(D134,'Pre-Calculation'!$N$3:$P$79,IF(INPUT!$C$4="M",2,3),FALSE)*(J134/1000)*(1/12),0)</f>
        <v>0</v>
      </c>
      <c r="J134" s="175">
        <f>MAX(0,(SA-H134))</f>
        <v>0</v>
      </c>
      <c r="K134" s="175">
        <f>H134-I134*(1+Tax)</f>
        <v>1165437.733</v>
      </c>
      <c r="L134" s="187">
        <f>VLOOKUP(C134,'NAVs_Till 29 Jun 2021'!$A$3:$J$2236,MATCH('Pre-Calculation'!$C$34,'NAVs_Till 29 Jun 2021'!$A$1:$J$1,0))</f>
        <v>20.7486</v>
      </c>
      <c r="M134" s="187">
        <f>IFERROR(1,VLOOKUP(C134,'NAVs_Till 29 Jun 2021'!$A$3:$J$2236,MATCH(#REF!,'NAVs_Till 29 Jun 2021'!$A$1:$J$1,0)))</f>
        <v>1</v>
      </c>
      <c r="N134" s="175">
        <f>VLOOKUP('Pre-Calculation'!$C$34,INPUT!$B$20:$C$28,2,0)*K134*(L135/L134)+ IFERROR(0,VLOOKUP('Pre-Calculation'!$D$34,INPUT!$B$20:$C$28,2,0))*K134*(M135/M134)</f>
        <v>1165437.733</v>
      </c>
      <c r="O134" s="175">
        <f t="shared" si="3"/>
        <v>1165437.733</v>
      </c>
      <c r="P134" s="175">
        <f t="shared" si="4"/>
        <v>1165437.733</v>
      </c>
      <c r="Q134" s="175">
        <f>IF('Pre-Calculation'!$D$17="Type 4 a",MAX(SA,O134,1.05*R134),IF('Pre-Calculation'!$D$17="Type 4 c",O134,IF('Pre-Calculation'!$D$17="Type 4 d",SA+O134,IF('Pre-Calculation'!$D$17="Type 4 e",MAX(SA,O134),IF('Pre-Calculation'!$D$17="Type 4 f",SA,IF('Pre-Calculation'!$D$17="Type 4 g",1000+O134,IF('Pre-Calculation'!$D$17="Type 4 h",SA+S134,IF('Pre-Calculation'!$D$17="Type 4 i",MAX(O134,R134),IF('Pre-Calculation'!$D$17="Type 4 k",MAX(O134,1.01*R134),IF('Pre-Calculation'!$D$17="Type 4 m",MAX(105%*R134,SA+O134),IF('Pre-Calculation'!$D$17="Type 4 o",MAX(SA,105%*R134)+X134+Z134,IF('Pre-Calculation'!$D$17="Type 5",0))))))))))))</f>
        <v>1165437.733</v>
      </c>
      <c r="R134" s="175">
        <f t="shared" si="5"/>
        <v>1000000</v>
      </c>
      <c r="S134" s="119">
        <f>K134*(1+GROWTH_RATE)*FMC</f>
        <v>1318.835624</v>
      </c>
      <c r="T134" s="178">
        <f>T133*(1+'Pre-Calculation'!$E$27)</f>
        <v>938160.3794</v>
      </c>
      <c r="U134" s="175">
        <f>-E134+IF(A133=INPUT!$C$11*12,O134,0)</f>
        <v>0</v>
      </c>
      <c r="V134" s="112"/>
      <c r="W134" s="112"/>
      <c r="X134" s="179">
        <f t="array" ref="X134">NPV('Pre-Calculation'!$E$20,$E135:E$246)</f>
        <v>0</v>
      </c>
      <c r="Y134" s="171">
        <f>10%*SA</f>
        <v>100000</v>
      </c>
      <c r="Z134" s="179">
        <f t="array" ref="Z134">NPV('Pre-Calculation'!$E$20,Y135:Y144)</f>
        <v>969592.8037</v>
      </c>
    </row>
    <row r="135" ht="15.75" customHeight="1">
      <c r="A135" s="171">
        <f t="shared" si="1"/>
        <v>129</v>
      </c>
      <c r="B135" s="171">
        <f t="shared" si="2"/>
        <v>11</v>
      </c>
      <c r="C135" s="176">
        <f>EDATE(RCD,A134)</f>
        <v>46446</v>
      </c>
      <c r="D135" s="171">
        <f>Age_At_Entry+Cashflows_Backtesting!B135-1</f>
        <v>45</v>
      </c>
      <c r="E135" s="175">
        <f>IF(AND(C135&lt;=Last_Prem,MOD(A134,Mode)=0),Mod_Prem,0)</f>
        <v>0</v>
      </c>
      <c r="F135" s="177">
        <f>E135*VLOOKUP(B135,'Pre-Calculation'!$H$1:$I$31,2,FALSE)</f>
        <v>0</v>
      </c>
      <c r="G135" s="177">
        <f>IF(B135&lt;PT+1,VLOOKUP(B135,'Pre-Calculation'!$H$1:$L$32,3,FALSE)+VLOOKUP(B135,'Pre-Calculation'!$H$1:$L$32,4,FALSE)*'Pre-Calculation'!$D$7,0)</f>
        <v>0</v>
      </c>
      <c r="H135" s="175">
        <f>(E135-(F135+G135)*(1+Tax)+O134)</f>
        <v>1165437.733</v>
      </c>
      <c r="I135" s="175">
        <f>IF(B135&lt;PT+1,VLOOKUP(D135,'Pre-Calculation'!$N$3:$P$79,IF(INPUT!$C$4="M",2,3),FALSE)*(J135/1000)*(1/12),0)</f>
        <v>0</v>
      </c>
      <c r="J135" s="175">
        <f>MAX(0,(SA-H135))</f>
        <v>0</v>
      </c>
      <c r="K135" s="175">
        <f>H135-I135*(1+Tax)</f>
        <v>1165437.733</v>
      </c>
      <c r="L135" s="187">
        <f>VLOOKUP(C135,'NAVs_Till 29 Jun 2021'!$A$3:$J$2236,MATCH('Pre-Calculation'!$C$34,'NAVs_Till 29 Jun 2021'!$A$1:$J$1,0))</f>
        <v>20.7486</v>
      </c>
      <c r="M135" s="187">
        <f>IFERROR(1,VLOOKUP(C135,'NAVs_Till 29 Jun 2021'!$A$3:$J$2236,MATCH(#REF!,'NAVs_Till 29 Jun 2021'!$A$1:$J$1,0)))</f>
        <v>1</v>
      </c>
      <c r="N135" s="175">
        <f>VLOOKUP('Pre-Calculation'!$C$34,INPUT!$B$20:$C$28,2,0)*K135*(L136/L135)+ IFERROR(0,VLOOKUP('Pre-Calculation'!$D$34,INPUT!$B$20:$C$28,2,0))*K135*(M136/M135)</f>
        <v>1165437.733</v>
      </c>
      <c r="O135" s="175">
        <f t="shared" si="3"/>
        <v>1165437.733</v>
      </c>
      <c r="P135" s="175">
        <f t="shared" si="4"/>
        <v>1165437.733</v>
      </c>
      <c r="Q135" s="175">
        <f>IF('Pre-Calculation'!$D$17="Type 4 a",MAX(SA,O135,1.05*R135),IF('Pre-Calculation'!$D$17="Type 4 c",O135,IF('Pre-Calculation'!$D$17="Type 4 d",SA+O135,IF('Pre-Calculation'!$D$17="Type 4 e",MAX(SA,O135),IF('Pre-Calculation'!$D$17="Type 4 f",SA,IF('Pre-Calculation'!$D$17="Type 4 g",1000+O135,IF('Pre-Calculation'!$D$17="Type 4 h",SA+S135,IF('Pre-Calculation'!$D$17="Type 4 i",MAX(O135,R135),IF('Pre-Calculation'!$D$17="Type 4 k",MAX(O135,1.01*R135),IF('Pre-Calculation'!$D$17="Type 4 m",MAX(105%*R135,SA+O135),IF('Pre-Calculation'!$D$17="Type 4 o",MAX(SA,105%*R135)+X135+Z135,IF('Pre-Calculation'!$D$17="Type 5",0))))))))))))</f>
        <v>1165437.733</v>
      </c>
      <c r="R135" s="175">
        <f t="shared" si="5"/>
        <v>1000000</v>
      </c>
      <c r="S135" s="119">
        <f>K135*(1+GROWTH_RATE)*FMC</f>
        <v>1318.835624</v>
      </c>
      <c r="T135" s="178">
        <f>T134*(1+'Pre-Calculation'!$E$27)</f>
        <v>940853.7428</v>
      </c>
      <c r="U135" s="175">
        <f>-E135+IF(A134=INPUT!$C$11*12,O135,0)</f>
        <v>0</v>
      </c>
      <c r="V135" s="112"/>
      <c r="W135" s="112"/>
      <c r="X135" s="179">
        <f t="array" ref="X135">NPV('Pre-Calculation'!$E$20,$E136:E$246)</f>
        <v>0</v>
      </c>
      <c r="Y135" s="171">
        <f>10%*SA</f>
        <v>100000</v>
      </c>
      <c r="Z135" s="179">
        <f t="array" ref="Z135">NPV('Pre-Calculation'!$E$20,Y136:Y145)</f>
        <v>969592.8037</v>
      </c>
    </row>
    <row r="136" ht="15.75" customHeight="1">
      <c r="A136" s="171">
        <f t="shared" si="1"/>
        <v>130</v>
      </c>
      <c r="B136" s="171">
        <f t="shared" si="2"/>
        <v>11</v>
      </c>
      <c r="C136" s="176">
        <f>EDATE(RCD,A135)</f>
        <v>46476</v>
      </c>
      <c r="D136" s="171">
        <f>Age_At_Entry+Cashflows_Backtesting!B136-1</f>
        <v>45</v>
      </c>
      <c r="E136" s="175">
        <f>IF(AND(C136&lt;=Last_Prem,MOD(A135,Mode)=0),Mod_Prem,0)</f>
        <v>0</v>
      </c>
      <c r="F136" s="177">
        <f>E136*VLOOKUP(B136,'Pre-Calculation'!$H$1:$I$31,2,FALSE)</f>
        <v>0</v>
      </c>
      <c r="G136" s="177">
        <f>IF(B136&lt;PT+1,VLOOKUP(B136,'Pre-Calculation'!$H$1:$L$32,3,FALSE)+VLOOKUP(B136,'Pre-Calculation'!$H$1:$L$32,4,FALSE)*'Pre-Calculation'!$D$7,0)</f>
        <v>0</v>
      </c>
      <c r="H136" s="175">
        <f>(E136-(F136+G136)*(1+Tax)+O135)</f>
        <v>1165437.733</v>
      </c>
      <c r="I136" s="175">
        <f>IF(B136&lt;PT+1,VLOOKUP(D136,'Pre-Calculation'!$N$3:$P$79,IF(INPUT!$C$4="M",2,3),FALSE)*(J136/1000)*(1/12),0)</f>
        <v>0</v>
      </c>
      <c r="J136" s="175">
        <f>MAX(0,(SA-H136))</f>
        <v>0</v>
      </c>
      <c r="K136" s="175">
        <f>H136-I136*(1+Tax)</f>
        <v>1165437.733</v>
      </c>
      <c r="L136" s="187">
        <f>VLOOKUP(C136,'NAVs_Till 29 Jun 2021'!$A$3:$J$2236,MATCH('Pre-Calculation'!$C$34,'NAVs_Till 29 Jun 2021'!$A$1:$J$1,0))</f>
        <v>20.7486</v>
      </c>
      <c r="M136" s="187">
        <f>IFERROR(1,VLOOKUP(C136,'NAVs_Till 29 Jun 2021'!$A$3:$J$2236,MATCH(#REF!,'NAVs_Till 29 Jun 2021'!$A$1:$J$1,0)))</f>
        <v>1</v>
      </c>
      <c r="N136" s="175">
        <f>VLOOKUP('Pre-Calculation'!$C$34,INPUT!$B$20:$C$28,2,0)*K136*(L137/L136)+ IFERROR(0,VLOOKUP('Pre-Calculation'!$D$34,INPUT!$B$20:$C$28,2,0))*K136*(M137/M136)</f>
        <v>1165437.733</v>
      </c>
      <c r="O136" s="175">
        <f t="shared" si="3"/>
        <v>1165437.733</v>
      </c>
      <c r="P136" s="175">
        <f t="shared" si="4"/>
        <v>1165437.733</v>
      </c>
      <c r="Q136" s="175">
        <f>IF('Pre-Calculation'!$D$17="Type 4 a",MAX(SA,O136,1.05*R136),IF('Pre-Calculation'!$D$17="Type 4 c",O136,IF('Pre-Calculation'!$D$17="Type 4 d",SA+O136,IF('Pre-Calculation'!$D$17="Type 4 e",MAX(SA,O136),IF('Pre-Calculation'!$D$17="Type 4 f",SA,IF('Pre-Calculation'!$D$17="Type 4 g",1000+O136,IF('Pre-Calculation'!$D$17="Type 4 h",SA+S136,IF('Pre-Calculation'!$D$17="Type 4 i",MAX(O136,R136),IF('Pre-Calculation'!$D$17="Type 4 k",MAX(O136,1.01*R136),IF('Pre-Calculation'!$D$17="Type 4 m",MAX(105%*R136,SA+O136),IF('Pre-Calculation'!$D$17="Type 4 o",MAX(SA,105%*R136)+X136+Z136,IF('Pre-Calculation'!$D$17="Type 5",0))))))))))))</f>
        <v>1165437.733</v>
      </c>
      <c r="R136" s="175">
        <f t="shared" si="5"/>
        <v>1000000</v>
      </c>
      <c r="S136" s="119">
        <f>K136*(1+GROWTH_RATE)*FMC</f>
        <v>1318.835624</v>
      </c>
      <c r="T136" s="178">
        <f>T135*(1+'Pre-Calculation'!$E$27)</f>
        <v>943554.8386</v>
      </c>
      <c r="U136" s="175">
        <f>-E136+IF(A135=INPUT!$C$11*12,O136,0)</f>
        <v>0</v>
      </c>
      <c r="V136" s="112"/>
      <c r="W136" s="112"/>
      <c r="X136" s="179">
        <f t="array" ref="X136">NPV('Pre-Calculation'!$E$20,$E137:E$246)</f>
        <v>0</v>
      </c>
      <c r="Y136" s="171">
        <f>10%*SA</f>
        <v>100000</v>
      </c>
      <c r="Z136" s="179">
        <f t="array" ref="Z136">NPV('Pre-Calculation'!$E$20,Y137:Y146)</f>
        <v>969592.8037</v>
      </c>
    </row>
    <row r="137" ht="15.75" customHeight="1">
      <c r="A137" s="171">
        <f t="shared" si="1"/>
        <v>131</v>
      </c>
      <c r="B137" s="171">
        <f t="shared" si="2"/>
        <v>11</v>
      </c>
      <c r="C137" s="176">
        <f>EDATE(RCD,A136)</f>
        <v>46507</v>
      </c>
      <c r="D137" s="171">
        <f>Age_At_Entry+Cashflows_Backtesting!B137-1</f>
        <v>45</v>
      </c>
      <c r="E137" s="175">
        <f>IF(AND(C137&lt;=Last_Prem,MOD(A136,Mode)=0),Mod_Prem,0)</f>
        <v>0</v>
      </c>
      <c r="F137" s="177">
        <f>E137*VLOOKUP(B137,'Pre-Calculation'!$H$1:$I$31,2,FALSE)</f>
        <v>0</v>
      </c>
      <c r="G137" s="177">
        <f>IF(B137&lt;PT+1,VLOOKUP(B137,'Pre-Calculation'!$H$1:$L$32,3,FALSE)+VLOOKUP(B137,'Pre-Calculation'!$H$1:$L$32,4,FALSE)*'Pre-Calculation'!$D$7,0)</f>
        <v>0</v>
      </c>
      <c r="H137" s="175">
        <f>(E137-(F137+G137)*(1+Tax)+O136)</f>
        <v>1165437.733</v>
      </c>
      <c r="I137" s="175">
        <f>IF(B137&lt;PT+1,VLOOKUP(D137,'Pre-Calculation'!$N$3:$P$79,IF(INPUT!$C$4="M",2,3),FALSE)*(J137/1000)*(1/12),0)</f>
        <v>0</v>
      </c>
      <c r="J137" s="175">
        <f>MAX(0,(SA-H137))</f>
        <v>0</v>
      </c>
      <c r="K137" s="175">
        <f>H137-I137*(1+Tax)</f>
        <v>1165437.733</v>
      </c>
      <c r="L137" s="187">
        <f>VLOOKUP(C137,'NAVs_Till 29 Jun 2021'!$A$3:$J$2236,MATCH('Pre-Calculation'!$C$34,'NAVs_Till 29 Jun 2021'!$A$1:$J$1,0))</f>
        <v>20.7486</v>
      </c>
      <c r="M137" s="187">
        <f>IFERROR(1,VLOOKUP(C137,'NAVs_Till 29 Jun 2021'!$A$3:$J$2236,MATCH(#REF!,'NAVs_Till 29 Jun 2021'!$A$1:$J$1,0)))</f>
        <v>1</v>
      </c>
      <c r="N137" s="175">
        <f>VLOOKUP('Pre-Calculation'!$C$34,INPUT!$B$20:$C$28,2,0)*K137*(L138/L137)+ IFERROR(0,VLOOKUP('Pre-Calculation'!$D$34,INPUT!$B$20:$C$28,2,0))*K137*(M138/M137)</f>
        <v>1165437.733</v>
      </c>
      <c r="O137" s="175">
        <f t="shared" si="3"/>
        <v>1165437.733</v>
      </c>
      <c r="P137" s="175">
        <f t="shared" si="4"/>
        <v>1165437.733</v>
      </c>
      <c r="Q137" s="175">
        <f>IF('Pre-Calculation'!$D$17="Type 4 a",MAX(SA,O137,1.05*R137),IF('Pre-Calculation'!$D$17="Type 4 c",O137,IF('Pre-Calculation'!$D$17="Type 4 d",SA+O137,IF('Pre-Calculation'!$D$17="Type 4 e",MAX(SA,O137),IF('Pre-Calculation'!$D$17="Type 4 f",SA,IF('Pre-Calculation'!$D$17="Type 4 g",1000+O137,IF('Pre-Calculation'!$D$17="Type 4 h",SA+S137,IF('Pre-Calculation'!$D$17="Type 4 i",MAX(O137,R137),IF('Pre-Calculation'!$D$17="Type 4 k",MAX(O137,1.01*R137),IF('Pre-Calculation'!$D$17="Type 4 m",MAX(105%*R137,SA+O137),IF('Pre-Calculation'!$D$17="Type 4 o",MAX(SA,105%*R137)+X137+Z137,IF('Pre-Calculation'!$D$17="Type 5",0))))))))))))</f>
        <v>1165437.733</v>
      </c>
      <c r="R137" s="175">
        <f t="shared" si="5"/>
        <v>1000000</v>
      </c>
      <c r="S137" s="119">
        <f>K137*(1+GROWTH_RATE)*FMC</f>
        <v>1318.835624</v>
      </c>
      <c r="T137" s="178">
        <f>T136*(1+'Pre-Calculation'!$E$27)</f>
        <v>946263.689</v>
      </c>
      <c r="U137" s="175">
        <f>-E137+IF(A136=INPUT!$C$11*12,O137,0)</f>
        <v>0</v>
      </c>
      <c r="V137" s="112"/>
      <c r="W137" s="112"/>
      <c r="X137" s="179">
        <f t="array" ref="X137">NPV('Pre-Calculation'!$E$20,$E138:E$246)</f>
        <v>0</v>
      </c>
      <c r="Y137" s="171">
        <f>10%*SA</f>
        <v>100000</v>
      </c>
      <c r="Z137" s="179">
        <f t="array" ref="Z137">NPV('Pre-Calculation'!$E$20,Y138:Y147)</f>
        <v>969592.8037</v>
      </c>
    </row>
    <row r="138" ht="15.75" customHeight="1">
      <c r="A138" s="171">
        <f t="shared" si="1"/>
        <v>132</v>
      </c>
      <c r="B138" s="171">
        <f t="shared" si="2"/>
        <v>11</v>
      </c>
      <c r="C138" s="176">
        <f>EDATE(RCD,A137)</f>
        <v>46537</v>
      </c>
      <c r="D138" s="171">
        <f>Age_At_Entry+Cashflows_Backtesting!B138-1</f>
        <v>45</v>
      </c>
      <c r="E138" s="175">
        <f>IF(AND(C138&lt;=Last_Prem,MOD(A137,Mode)=0),Mod_Prem,0)</f>
        <v>0</v>
      </c>
      <c r="F138" s="177">
        <f>E138*VLOOKUP(B138,'Pre-Calculation'!$H$1:$I$31,2,FALSE)</f>
        <v>0</v>
      </c>
      <c r="G138" s="177">
        <f>IF(B138&lt;PT+1,VLOOKUP(B138,'Pre-Calculation'!$H$1:$L$32,3,FALSE)+VLOOKUP(B138,'Pre-Calculation'!$H$1:$L$32,4,FALSE)*'Pre-Calculation'!$D$7,0)</f>
        <v>0</v>
      </c>
      <c r="H138" s="175">
        <f>(E138-(F138+G138)*(1+Tax)+O137)</f>
        <v>1165437.733</v>
      </c>
      <c r="I138" s="175">
        <f>IF(B138&lt;PT+1,VLOOKUP(D138,'Pre-Calculation'!$N$3:$P$79,IF(INPUT!$C$4="M",2,3),FALSE)*(J138/1000)*(1/12),0)</f>
        <v>0</v>
      </c>
      <c r="J138" s="175">
        <f>MAX(0,(SA-H138))</f>
        <v>0</v>
      </c>
      <c r="K138" s="175">
        <f>H138-I138*(1+Tax)</f>
        <v>1165437.733</v>
      </c>
      <c r="L138" s="187">
        <f>VLOOKUP(C138,'NAVs_Till 29 Jun 2021'!$A$3:$J$2236,MATCH('Pre-Calculation'!$C$34,'NAVs_Till 29 Jun 2021'!$A$1:$J$1,0))</f>
        <v>20.7486</v>
      </c>
      <c r="M138" s="187">
        <f>IFERROR(1,VLOOKUP(C138,'NAVs_Till 29 Jun 2021'!$A$3:$J$2236,MATCH(#REF!,'NAVs_Till 29 Jun 2021'!$A$1:$J$1,0)))</f>
        <v>1</v>
      </c>
      <c r="N138" s="175">
        <f>VLOOKUP('Pre-Calculation'!$C$34,INPUT!$B$20:$C$28,2,0)*K138*(L139/L138)+ IFERROR(0,VLOOKUP('Pre-Calculation'!$D$34,INPUT!$B$20:$C$28,2,0))*K138*(M139/M138)</f>
        <v>1165437.733</v>
      </c>
      <c r="O138" s="175">
        <f t="shared" si="3"/>
        <v>1165437.733</v>
      </c>
      <c r="P138" s="175">
        <f t="shared" si="4"/>
        <v>1165437.733</v>
      </c>
      <c r="Q138" s="175">
        <f>IF('Pre-Calculation'!$D$17="Type 4 a",MAX(SA,O138,1.05*R138),IF('Pre-Calculation'!$D$17="Type 4 c",O138,IF('Pre-Calculation'!$D$17="Type 4 d",SA+O138,IF('Pre-Calculation'!$D$17="Type 4 e",MAX(SA,O138),IF('Pre-Calculation'!$D$17="Type 4 f",SA,IF('Pre-Calculation'!$D$17="Type 4 g",1000+O138,IF('Pre-Calculation'!$D$17="Type 4 h",SA+S138,IF('Pre-Calculation'!$D$17="Type 4 i",MAX(O138,R138),IF('Pre-Calculation'!$D$17="Type 4 k",MAX(O138,1.01*R138),IF('Pre-Calculation'!$D$17="Type 4 m",MAX(105%*R138,SA+O138),IF('Pre-Calculation'!$D$17="Type 4 o",MAX(SA,105%*R138)+X138+Z138,IF('Pre-Calculation'!$D$17="Type 5",0))))))))))))</f>
        <v>1165437.733</v>
      </c>
      <c r="R138" s="175">
        <f t="shared" si="5"/>
        <v>1000000</v>
      </c>
      <c r="S138" s="119">
        <f>K138*(1+GROWTH_RATE)*FMC</f>
        <v>1318.835624</v>
      </c>
      <c r="T138" s="178">
        <f>T137*(1+'Pre-Calculation'!$E$27)</f>
        <v>948980.3162</v>
      </c>
      <c r="U138" s="175">
        <f>-E138+IF(A137=INPUT!$C$11*12,O138,0)</f>
        <v>0</v>
      </c>
      <c r="V138" s="112"/>
      <c r="W138" s="112"/>
      <c r="X138" s="179">
        <f t="array" ref="X138">NPV('Pre-Calculation'!$E$20,$E139:E$246)</f>
        <v>0</v>
      </c>
      <c r="Y138" s="171">
        <f>10%*SA</f>
        <v>100000</v>
      </c>
      <c r="Z138" s="179">
        <f t="array" ref="Z138">NPV('Pre-Calculation'!$E$20,Y139:Y148)</f>
        <v>969592.8037</v>
      </c>
    </row>
    <row r="139" ht="15.75" customHeight="1">
      <c r="A139" s="171">
        <f t="shared" si="1"/>
        <v>133</v>
      </c>
      <c r="B139" s="171">
        <f t="shared" si="2"/>
        <v>12</v>
      </c>
      <c r="C139" s="176">
        <f>EDATE(RCD,A138)</f>
        <v>46568</v>
      </c>
      <c r="D139" s="171">
        <f>Age_At_Entry+Cashflows_Backtesting!B139-1</f>
        <v>46</v>
      </c>
      <c r="E139" s="175">
        <f>IF(AND(C139&lt;=Last_Prem,MOD(A138,Mode)=0),Mod_Prem,0)</f>
        <v>0</v>
      </c>
      <c r="F139" s="177">
        <f>E139*VLOOKUP(B139,'Pre-Calculation'!$H$1:$I$31,2,FALSE)</f>
        <v>0</v>
      </c>
      <c r="G139" s="177">
        <f>IF(B139&lt;PT+1,VLOOKUP(B139,'Pre-Calculation'!$H$1:$L$32,3,FALSE)+VLOOKUP(B139,'Pre-Calculation'!$H$1:$L$32,4,FALSE)*'Pre-Calculation'!$D$7,0)</f>
        <v>0</v>
      </c>
      <c r="H139" s="175">
        <f>(E139-(F139+G139)*(1+Tax)+O138)</f>
        <v>1165437.733</v>
      </c>
      <c r="I139" s="175">
        <f>IF(B139&lt;PT+1,VLOOKUP(D139,'Pre-Calculation'!$N$3:$P$79,IF(INPUT!$C$4="M",2,3),FALSE)*(J139/1000)*(1/12),0)</f>
        <v>0</v>
      </c>
      <c r="J139" s="175">
        <f>MAX(0,(SA-H139))</f>
        <v>0</v>
      </c>
      <c r="K139" s="175">
        <f>H139-I139*(1+Tax)</f>
        <v>1165437.733</v>
      </c>
      <c r="L139" s="187">
        <f>VLOOKUP(C139,'NAVs_Till 29 Jun 2021'!$A$3:$J$2236,MATCH('Pre-Calculation'!$C$34,'NAVs_Till 29 Jun 2021'!$A$1:$J$1,0))</f>
        <v>20.7486</v>
      </c>
      <c r="M139" s="187">
        <f>IFERROR(1,VLOOKUP(C139,'NAVs_Till 29 Jun 2021'!$A$3:$J$2236,MATCH(#REF!,'NAVs_Till 29 Jun 2021'!$A$1:$J$1,0)))</f>
        <v>1</v>
      </c>
      <c r="N139" s="175">
        <f>VLOOKUP('Pre-Calculation'!$C$34,INPUT!$B$20:$C$28,2,0)*K139*(L140/L139)+ IFERROR(0,VLOOKUP('Pre-Calculation'!$D$34,INPUT!$B$20:$C$28,2,0))*K139*(M140/M139)</f>
        <v>1165437.733</v>
      </c>
      <c r="O139" s="175">
        <f t="shared" si="3"/>
        <v>1165437.733</v>
      </c>
      <c r="P139" s="175">
        <f t="shared" si="4"/>
        <v>1165437.733</v>
      </c>
      <c r="Q139" s="175">
        <f>IF('Pre-Calculation'!$D$17="Type 4 a",MAX(SA,O139,1.05*R139),IF('Pre-Calculation'!$D$17="Type 4 c",O139,IF('Pre-Calculation'!$D$17="Type 4 d",SA+O139,IF('Pre-Calculation'!$D$17="Type 4 e",MAX(SA,O139),IF('Pre-Calculation'!$D$17="Type 4 f",SA,IF('Pre-Calculation'!$D$17="Type 4 g",1000+O139,IF('Pre-Calculation'!$D$17="Type 4 h",SA+S139,IF('Pre-Calculation'!$D$17="Type 4 i",MAX(O139,R139),IF('Pre-Calculation'!$D$17="Type 4 k",MAX(O139,1.01*R139),IF('Pre-Calculation'!$D$17="Type 4 m",MAX(105%*R139,SA+O139),IF('Pre-Calculation'!$D$17="Type 4 o",MAX(SA,105%*R139)+X139+Z139,IF('Pre-Calculation'!$D$17="Type 5",0))))))))))))</f>
        <v>1165437.733</v>
      </c>
      <c r="R139" s="175">
        <f t="shared" si="5"/>
        <v>1000000</v>
      </c>
      <c r="S139" s="119">
        <f>K139*(1+GROWTH_RATE)*FMC</f>
        <v>1318.835624</v>
      </c>
      <c r="T139" s="178">
        <f>T138*(1+'Pre-Calculation'!$E$27)</f>
        <v>951704.7426</v>
      </c>
      <c r="U139" s="175">
        <f>-E139+IF(A138=INPUT!$C$11*12,O139,0)</f>
        <v>0</v>
      </c>
      <c r="V139" s="112"/>
      <c r="W139" s="112"/>
      <c r="X139" s="179">
        <f t="array" ref="X139">NPV('Pre-Calculation'!$E$20,$E140:E$246)</f>
        <v>0</v>
      </c>
      <c r="Y139" s="171">
        <f>10%*SA</f>
        <v>100000</v>
      </c>
      <c r="Z139" s="179">
        <f t="array" ref="Z139">NPV('Pre-Calculation'!$E$20,Y140:Y149)</f>
        <v>969592.8037</v>
      </c>
    </row>
    <row r="140" ht="15.75" customHeight="1">
      <c r="A140" s="171">
        <f t="shared" si="1"/>
        <v>134</v>
      </c>
      <c r="B140" s="171">
        <f t="shared" si="2"/>
        <v>12</v>
      </c>
      <c r="C140" s="176">
        <f>EDATE(RCD,A139)</f>
        <v>46598</v>
      </c>
      <c r="D140" s="171">
        <f>Age_At_Entry+Cashflows_Backtesting!B140-1</f>
        <v>46</v>
      </c>
      <c r="E140" s="175">
        <f>IF(AND(C140&lt;=Last_Prem,MOD(A139,Mode)=0),Mod_Prem,0)</f>
        <v>0</v>
      </c>
      <c r="F140" s="177">
        <f>E140*VLOOKUP(B140,'Pre-Calculation'!$H$1:$I$31,2,FALSE)</f>
        <v>0</v>
      </c>
      <c r="G140" s="177">
        <f>IF(B140&lt;PT+1,VLOOKUP(B140,'Pre-Calculation'!$H$1:$L$32,3,FALSE)+VLOOKUP(B140,'Pre-Calculation'!$H$1:$L$32,4,FALSE)*'Pre-Calculation'!$D$7,0)</f>
        <v>0</v>
      </c>
      <c r="H140" s="175">
        <f>(E140-(F140+G140)*(1+Tax)+O139)</f>
        <v>1165437.733</v>
      </c>
      <c r="I140" s="175">
        <f>IF(B140&lt;PT+1,VLOOKUP(D140,'Pre-Calculation'!$N$3:$P$79,IF(INPUT!$C$4="M",2,3),FALSE)*(J140/1000)*(1/12),0)</f>
        <v>0</v>
      </c>
      <c r="J140" s="175">
        <f>MAX(0,(SA-H140))</f>
        <v>0</v>
      </c>
      <c r="K140" s="175">
        <f>H140-I140*(1+Tax)</f>
        <v>1165437.733</v>
      </c>
      <c r="L140" s="187">
        <f>VLOOKUP(C140,'NAVs_Till 29 Jun 2021'!$A$3:$J$2236,MATCH('Pre-Calculation'!$C$34,'NAVs_Till 29 Jun 2021'!$A$1:$J$1,0))</f>
        <v>20.7486</v>
      </c>
      <c r="M140" s="187">
        <f>IFERROR(1,VLOOKUP(C140,'NAVs_Till 29 Jun 2021'!$A$3:$J$2236,MATCH(#REF!,'NAVs_Till 29 Jun 2021'!$A$1:$J$1,0)))</f>
        <v>1</v>
      </c>
      <c r="N140" s="175">
        <f>VLOOKUP('Pre-Calculation'!$C$34,INPUT!$B$20:$C$28,2,0)*K140*(L141/L140)+ IFERROR(0,VLOOKUP('Pre-Calculation'!$D$34,INPUT!$B$20:$C$28,2,0))*K140*(M141/M140)</f>
        <v>1165437.733</v>
      </c>
      <c r="O140" s="175">
        <f t="shared" si="3"/>
        <v>1165437.733</v>
      </c>
      <c r="P140" s="175">
        <f t="shared" si="4"/>
        <v>1165437.733</v>
      </c>
      <c r="Q140" s="175">
        <f>IF('Pre-Calculation'!$D$17="Type 4 a",MAX(SA,O140,1.05*R140),IF('Pre-Calculation'!$D$17="Type 4 c",O140,IF('Pre-Calculation'!$D$17="Type 4 d",SA+O140,IF('Pre-Calculation'!$D$17="Type 4 e",MAX(SA,O140),IF('Pre-Calculation'!$D$17="Type 4 f",SA,IF('Pre-Calculation'!$D$17="Type 4 g",1000+O140,IF('Pre-Calculation'!$D$17="Type 4 h",SA+S140,IF('Pre-Calculation'!$D$17="Type 4 i",MAX(O140,R140),IF('Pre-Calculation'!$D$17="Type 4 k",MAX(O140,1.01*R140),IF('Pre-Calculation'!$D$17="Type 4 m",MAX(105%*R140,SA+O140),IF('Pre-Calculation'!$D$17="Type 4 o",MAX(SA,105%*R140)+X140+Z140,IF('Pre-Calculation'!$D$17="Type 5",0))))))))))))</f>
        <v>1165437.733</v>
      </c>
      <c r="R140" s="175">
        <f t="shared" si="5"/>
        <v>1000000</v>
      </c>
      <c r="S140" s="119">
        <f>K140*(1+GROWTH_RATE)*FMC</f>
        <v>1318.835624</v>
      </c>
      <c r="T140" s="178">
        <f>T139*(1+'Pre-Calculation'!$E$27)</f>
        <v>954436.9905</v>
      </c>
      <c r="U140" s="175">
        <f>-E140+IF(A139=INPUT!$C$11*12,O140,0)</f>
        <v>0</v>
      </c>
      <c r="V140" s="112"/>
      <c r="W140" s="112"/>
      <c r="X140" s="179">
        <f t="array" ref="X140">NPV('Pre-Calculation'!$E$20,$E141:E$246)</f>
        <v>0</v>
      </c>
      <c r="Y140" s="171">
        <f>10%*SA</f>
        <v>100000</v>
      </c>
      <c r="Z140" s="179">
        <f t="array" ref="Z140">NPV('Pre-Calculation'!$E$20,Y141:Y150)</f>
        <v>969592.8037</v>
      </c>
    </row>
    <row r="141" ht="15.75" customHeight="1">
      <c r="A141" s="171">
        <f t="shared" si="1"/>
        <v>135</v>
      </c>
      <c r="B141" s="171">
        <f t="shared" si="2"/>
        <v>12</v>
      </c>
      <c r="C141" s="176">
        <f>EDATE(RCD,A140)</f>
        <v>46629</v>
      </c>
      <c r="D141" s="171">
        <f>Age_At_Entry+Cashflows_Backtesting!B141-1</f>
        <v>46</v>
      </c>
      <c r="E141" s="175">
        <f>IF(AND(C141&lt;=Last_Prem,MOD(A140,Mode)=0),Mod_Prem,0)</f>
        <v>0</v>
      </c>
      <c r="F141" s="177">
        <f>E141*VLOOKUP(B141,'Pre-Calculation'!$H$1:$I$31,2,FALSE)</f>
        <v>0</v>
      </c>
      <c r="G141" s="177">
        <f>IF(B141&lt;PT+1,VLOOKUP(B141,'Pre-Calculation'!$H$1:$L$32,3,FALSE)+VLOOKUP(B141,'Pre-Calculation'!$H$1:$L$32,4,FALSE)*'Pre-Calculation'!$D$7,0)</f>
        <v>0</v>
      </c>
      <c r="H141" s="175">
        <f>(E141-(F141+G141)*(1+Tax)+O140)</f>
        <v>1165437.733</v>
      </c>
      <c r="I141" s="175">
        <f>IF(B141&lt;PT+1,VLOOKUP(D141,'Pre-Calculation'!$N$3:$P$79,IF(INPUT!$C$4="M",2,3),FALSE)*(J141/1000)*(1/12),0)</f>
        <v>0</v>
      </c>
      <c r="J141" s="175">
        <f>MAX(0,(SA-H141))</f>
        <v>0</v>
      </c>
      <c r="K141" s="175">
        <f>H141-I141*(1+Tax)</f>
        <v>1165437.733</v>
      </c>
      <c r="L141" s="187">
        <f>VLOOKUP(C141,'NAVs_Till 29 Jun 2021'!$A$3:$J$2236,MATCH('Pre-Calculation'!$C$34,'NAVs_Till 29 Jun 2021'!$A$1:$J$1,0))</f>
        <v>20.7486</v>
      </c>
      <c r="M141" s="187">
        <f>IFERROR(1,VLOOKUP(C141,'NAVs_Till 29 Jun 2021'!$A$3:$J$2236,MATCH(#REF!,'NAVs_Till 29 Jun 2021'!$A$1:$J$1,0)))</f>
        <v>1</v>
      </c>
      <c r="N141" s="175">
        <f>VLOOKUP('Pre-Calculation'!$C$34,INPUT!$B$20:$C$28,2,0)*K141*(L142/L141)+ IFERROR(0,VLOOKUP('Pre-Calculation'!$D$34,INPUT!$B$20:$C$28,2,0))*K141*(M142/M141)</f>
        <v>1165437.733</v>
      </c>
      <c r="O141" s="175">
        <f t="shared" si="3"/>
        <v>1165437.733</v>
      </c>
      <c r="P141" s="175">
        <f t="shared" si="4"/>
        <v>1165437.733</v>
      </c>
      <c r="Q141" s="175">
        <f>IF('Pre-Calculation'!$D$17="Type 4 a",MAX(SA,O141,1.05*R141),IF('Pre-Calculation'!$D$17="Type 4 c",O141,IF('Pre-Calculation'!$D$17="Type 4 d",SA+O141,IF('Pre-Calculation'!$D$17="Type 4 e",MAX(SA,O141),IF('Pre-Calculation'!$D$17="Type 4 f",SA,IF('Pre-Calculation'!$D$17="Type 4 g",1000+O141,IF('Pre-Calculation'!$D$17="Type 4 h",SA+S141,IF('Pre-Calculation'!$D$17="Type 4 i",MAX(O141,R141),IF('Pre-Calculation'!$D$17="Type 4 k",MAX(O141,1.01*R141),IF('Pre-Calculation'!$D$17="Type 4 m",MAX(105%*R141,SA+O141),IF('Pre-Calculation'!$D$17="Type 4 o",MAX(SA,105%*R141)+X141+Z141,IF('Pre-Calculation'!$D$17="Type 5",0))))))))))))</f>
        <v>1165437.733</v>
      </c>
      <c r="R141" s="175">
        <f t="shared" si="5"/>
        <v>1000000</v>
      </c>
      <c r="S141" s="119">
        <f>K141*(1+GROWTH_RATE)*FMC</f>
        <v>1318.835624</v>
      </c>
      <c r="T141" s="178">
        <f>T140*(1+'Pre-Calculation'!$E$27)</f>
        <v>957177.0824</v>
      </c>
      <c r="U141" s="175">
        <f>-E141+IF(A140=INPUT!$C$11*12,O141,0)</f>
        <v>0</v>
      </c>
      <c r="V141" s="112"/>
      <c r="W141" s="112"/>
      <c r="X141" s="179">
        <f t="array" ref="X141">NPV('Pre-Calculation'!$E$20,$E142:E$246)</f>
        <v>0</v>
      </c>
      <c r="Y141" s="171">
        <f>10%*SA</f>
        <v>100000</v>
      </c>
      <c r="Z141" s="179">
        <f t="array" ref="Z141">NPV('Pre-Calculation'!$E$20,Y142:Y151)</f>
        <v>969592.8037</v>
      </c>
    </row>
    <row r="142" ht="15.75" customHeight="1">
      <c r="A142" s="171">
        <f t="shared" si="1"/>
        <v>136</v>
      </c>
      <c r="B142" s="171">
        <f t="shared" si="2"/>
        <v>12</v>
      </c>
      <c r="C142" s="176">
        <f>EDATE(RCD,A141)</f>
        <v>46660</v>
      </c>
      <c r="D142" s="171">
        <f>Age_At_Entry+Cashflows_Backtesting!B142-1</f>
        <v>46</v>
      </c>
      <c r="E142" s="175">
        <f>IF(AND(C142&lt;=Last_Prem,MOD(A141,Mode)=0),Mod_Prem,0)</f>
        <v>0</v>
      </c>
      <c r="F142" s="177">
        <f>E142*VLOOKUP(B142,'Pre-Calculation'!$H$1:$I$31,2,FALSE)</f>
        <v>0</v>
      </c>
      <c r="G142" s="177">
        <f>IF(B142&lt;PT+1,VLOOKUP(B142,'Pre-Calculation'!$H$1:$L$32,3,FALSE)+VLOOKUP(B142,'Pre-Calculation'!$H$1:$L$32,4,FALSE)*'Pre-Calculation'!$D$7,0)</f>
        <v>0</v>
      </c>
      <c r="H142" s="175">
        <f>(E142-(F142+G142)*(1+Tax)+O141)</f>
        <v>1165437.733</v>
      </c>
      <c r="I142" s="175">
        <f>IF(B142&lt;PT+1,VLOOKUP(D142,'Pre-Calculation'!$N$3:$P$79,IF(INPUT!$C$4="M",2,3),FALSE)*(J142/1000)*(1/12),0)</f>
        <v>0</v>
      </c>
      <c r="J142" s="175">
        <f>MAX(0,(SA-H142))</f>
        <v>0</v>
      </c>
      <c r="K142" s="175">
        <f>H142-I142*(1+Tax)</f>
        <v>1165437.733</v>
      </c>
      <c r="L142" s="187">
        <f>VLOOKUP(C142,'NAVs_Till 29 Jun 2021'!$A$3:$J$2236,MATCH('Pre-Calculation'!$C$34,'NAVs_Till 29 Jun 2021'!$A$1:$J$1,0))</f>
        <v>20.7486</v>
      </c>
      <c r="M142" s="187">
        <f>IFERROR(1,VLOOKUP(C142,'NAVs_Till 29 Jun 2021'!$A$3:$J$2236,MATCH(#REF!,'NAVs_Till 29 Jun 2021'!$A$1:$J$1,0)))</f>
        <v>1</v>
      </c>
      <c r="N142" s="175">
        <f>VLOOKUP('Pre-Calculation'!$C$34,INPUT!$B$20:$C$28,2,0)*K142*(L143/L142)+ IFERROR(0,VLOOKUP('Pre-Calculation'!$D$34,INPUT!$B$20:$C$28,2,0))*K142*(M143/M142)</f>
        <v>1165437.733</v>
      </c>
      <c r="O142" s="175">
        <f t="shared" si="3"/>
        <v>1165437.733</v>
      </c>
      <c r="P142" s="175">
        <f t="shared" si="4"/>
        <v>1165437.733</v>
      </c>
      <c r="Q142" s="175">
        <f>IF('Pre-Calculation'!$D$17="Type 4 a",MAX(SA,O142,1.05*R142),IF('Pre-Calculation'!$D$17="Type 4 c",O142,IF('Pre-Calculation'!$D$17="Type 4 d",SA+O142,IF('Pre-Calculation'!$D$17="Type 4 e",MAX(SA,O142),IF('Pre-Calculation'!$D$17="Type 4 f",SA,IF('Pre-Calculation'!$D$17="Type 4 g",1000+O142,IF('Pre-Calculation'!$D$17="Type 4 h",SA+S142,IF('Pre-Calculation'!$D$17="Type 4 i",MAX(O142,R142),IF('Pre-Calculation'!$D$17="Type 4 k",MAX(O142,1.01*R142),IF('Pre-Calculation'!$D$17="Type 4 m",MAX(105%*R142,SA+O142),IF('Pre-Calculation'!$D$17="Type 4 o",MAX(SA,105%*R142)+X142+Z142,IF('Pre-Calculation'!$D$17="Type 5",0))))))))))))</f>
        <v>1165437.733</v>
      </c>
      <c r="R142" s="175">
        <f t="shared" si="5"/>
        <v>1000000</v>
      </c>
      <c r="S142" s="119">
        <f>K142*(1+GROWTH_RATE)*FMC</f>
        <v>1318.835624</v>
      </c>
      <c r="T142" s="178">
        <f>T141*(1+'Pre-Calculation'!$E$27)</f>
        <v>959925.0409</v>
      </c>
      <c r="U142" s="175">
        <f>-E142+IF(A141=INPUT!$C$11*12,O142,0)</f>
        <v>0</v>
      </c>
      <c r="V142" s="112"/>
      <c r="W142" s="112"/>
      <c r="X142" s="179">
        <f t="array" ref="X142">NPV('Pre-Calculation'!$E$20,$E143:E$246)</f>
        <v>0</v>
      </c>
      <c r="Y142" s="171">
        <f>10%*SA</f>
        <v>100000</v>
      </c>
      <c r="Z142" s="179">
        <f t="array" ref="Z142">NPV('Pre-Calculation'!$E$20,Y143:Y152)</f>
        <v>969592.8037</v>
      </c>
    </row>
    <row r="143" ht="15.75" customHeight="1">
      <c r="A143" s="171">
        <f t="shared" si="1"/>
        <v>137</v>
      </c>
      <c r="B143" s="171">
        <f t="shared" si="2"/>
        <v>12</v>
      </c>
      <c r="C143" s="176">
        <f>EDATE(RCD,A142)</f>
        <v>46690</v>
      </c>
      <c r="D143" s="171">
        <f>Age_At_Entry+Cashflows_Backtesting!B143-1</f>
        <v>46</v>
      </c>
      <c r="E143" s="175">
        <f>IF(AND(C143&lt;=Last_Prem,MOD(A142,Mode)=0),Mod_Prem,0)</f>
        <v>0</v>
      </c>
      <c r="F143" s="177">
        <f>E143*VLOOKUP(B143,'Pre-Calculation'!$H$1:$I$31,2,FALSE)</f>
        <v>0</v>
      </c>
      <c r="G143" s="177">
        <f>IF(B143&lt;PT+1,VLOOKUP(B143,'Pre-Calculation'!$H$1:$L$32,3,FALSE)+VLOOKUP(B143,'Pre-Calculation'!$H$1:$L$32,4,FALSE)*'Pre-Calculation'!$D$7,0)</f>
        <v>0</v>
      </c>
      <c r="H143" s="175">
        <f>(E143-(F143+G143)*(1+Tax)+O142)</f>
        <v>1165437.733</v>
      </c>
      <c r="I143" s="175">
        <f>IF(B143&lt;PT+1,VLOOKUP(D143,'Pre-Calculation'!$N$3:$P$79,IF(INPUT!$C$4="M",2,3),FALSE)*(J143/1000)*(1/12),0)</f>
        <v>0</v>
      </c>
      <c r="J143" s="175">
        <f>MAX(0,(SA-H143))</f>
        <v>0</v>
      </c>
      <c r="K143" s="175">
        <f>H143-I143*(1+Tax)</f>
        <v>1165437.733</v>
      </c>
      <c r="L143" s="187">
        <f>VLOOKUP(C143,'NAVs_Till 29 Jun 2021'!$A$3:$J$2236,MATCH('Pre-Calculation'!$C$34,'NAVs_Till 29 Jun 2021'!$A$1:$J$1,0))</f>
        <v>20.7486</v>
      </c>
      <c r="M143" s="187">
        <f>IFERROR(1,VLOOKUP(C143,'NAVs_Till 29 Jun 2021'!$A$3:$J$2236,MATCH(#REF!,'NAVs_Till 29 Jun 2021'!$A$1:$J$1,0)))</f>
        <v>1</v>
      </c>
      <c r="N143" s="175">
        <f>VLOOKUP('Pre-Calculation'!$C$34,INPUT!$B$20:$C$28,2,0)*K143*(L144/L143)+ IFERROR(0,VLOOKUP('Pre-Calculation'!$D$34,INPUT!$B$20:$C$28,2,0))*K143*(M144/M143)</f>
        <v>1165437.733</v>
      </c>
      <c r="O143" s="175">
        <f t="shared" si="3"/>
        <v>1165437.733</v>
      </c>
      <c r="P143" s="175">
        <f t="shared" si="4"/>
        <v>1165437.733</v>
      </c>
      <c r="Q143" s="175">
        <f>IF('Pre-Calculation'!$D$17="Type 4 a",MAX(SA,O143,1.05*R143),IF('Pre-Calculation'!$D$17="Type 4 c",O143,IF('Pre-Calculation'!$D$17="Type 4 d",SA+O143,IF('Pre-Calculation'!$D$17="Type 4 e",MAX(SA,O143),IF('Pre-Calculation'!$D$17="Type 4 f",SA,IF('Pre-Calculation'!$D$17="Type 4 g",1000+O143,IF('Pre-Calculation'!$D$17="Type 4 h",SA+S143,IF('Pre-Calculation'!$D$17="Type 4 i",MAX(O143,R143),IF('Pre-Calculation'!$D$17="Type 4 k",MAX(O143,1.01*R143),IF('Pre-Calculation'!$D$17="Type 4 m",MAX(105%*R143,SA+O143),IF('Pre-Calculation'!$D$17="Type 4 o",MAX(SA,105%*R143)+X143+Z143,IF('Pre-Calculation'!$D$17="Type 5",0))))))))))))</f>
        <v>1165437.733</v>
      </c>
      <c r="R143" s="175">
        <f t="shared" si="5"/>
        <v>1000000</v>
      </c>
      <c r="S143" s="119">
        <f>K143*(1+GROWTH_RATE)*FMC</f>
        <v>1318.835624</v>
      </c>
      <c r="T143" s="178">
        <f>T142*(1+'Pre-Calculation'!$E$27)</f>
        <v>962680.8885</v>
      </c>
      <c r="U143" s="175">
        <f>-E143+IF(A142=INPUT!$C$11*12,O143,0)</f>
        <v>0</v>
      </c>
      <c r="V143" s="112"/>
      <c r="W143" s="112"/>
      <c r="X143" s="179">
        <f t="array" ref="X143">NPV('Pre-Calculation'!$E$20,$E144:E$246)</f>
        <v>0</v>
      </c>
      <c r="Y143" s="171">
        <f>10%*SA</f>
        <v>100000</v>
      </c>
      <c r="Z143" s="179">
        <f t="array" ref="Z143">NPV('Pre-Calculation'!$E$20,Y144:Y153)</f>
        <v>969592.8037</v>
      </c>
    </row>
    <row r="144" ht="15.75" customHeight="1">
      <c r="A144" s="171">
        <f t="shared" si="1"/>
        <v>138</v>
      </c>
      <c r="B144" s="171">
        <f t="shared" si="2"/>
        <v>12</v>
      </c>
      <c r="C144" s="176">
        <f>EDATE(RCD,A143)</f>
        <v>46721</v>
      </c>
      <c r="D144" s="171">
        <f>Age_At_Entry+Cashflows_Backtesting!B144-1</f>
        <v>46</v>
      </c>
      <c r="E144" s="175">
        <f>IF(AND(C144&lt;=Last_Prem,MOD(A143,Mode)=0),Mod_Prem,0)</f>
        <v>0</v>
      </c>
      <c r="F144" s="177">
        <f>E144*VLOOKUP(B144,'Pre-Calculation'!$H$1:$I$31,2,FALSE)</f>
        <v>0</v>
      </c>
      <c r="G144" s="177">
        <f>IF(B144&lt;PT+1,VLOOKUP(B144,'Pre-Calculation'!$H$1:$L$32,3,FALSE)+VLOOKUP(B144,'Pre-Calculation'!$H$1:$L$32,4,FALSE)*'Pre-Calculation'!$D$7,0)</f>
        <v>0</v>
      </c>
      <c r="H144" s="175">
        <f>(E144-(F144+G144)*(1+Tax)+O143)</f>
        <v>1165437.733</v>
      </c>
      <c r="I144" s="175">
        <f>IF(B144&lt;PT+1,VLOOKUP(D144,'Pre-Calculation'!$N$3:$P$79,IF(INPUT!$C$4="M",2,3),FALSE)*(J144/1000)*(1/12),0)</f>
        <v>0</v>
      </c>
      <c r="J144" s="175">
        <f>MAX(0,(SA-H144))</f>
        <v>0</v>
      </c>
      <c r="K144" s="175">
        <f>H144-I144*(1+Tax)</f>
        <v>1165437.733</v>
      </c>
      <c r="L144" s="187">
        <f>VLOOKUP(C144,'NAVs_Till 29 Jun 2021'!$A$3:$J$2236,MATCH('Pre-Calculation'!$C$34,'NAVs_Till 29 Jun 2021'!$A$1:$J$1,0))</f>
        <v>20.7486</v>
      </c>
      <c r="M144" s="187">
        <f>IFERROR(1,VLOOKUP(C144,'NAVs_Till 29 Jun 2021'!$A$3:$J$2236,MATCH(#REF!,'NAVs_Till 29 Jun 2021'!$A$1:$J$1,0)))</f>
        <v>1</v>
      </c>
      <c r="N144" s="175">
        <f>VLOOKUP('Pre-Calculation'!$C$34,INPUT!$B$20:$C$28,2,0)*K144*(L145/L144)+ IFERROR(0,VLOOKUP('Pre-Calculation'!$D$34,INPUT!$B$20:$C$28,2,0))*K144*(M145/M144)</f>
        <v>1165437.733</v>
      </c>
      <c r="O144" s="175">
        <f t="shared" si="3"/>
        <v>1165437.733</v>
      </c>
      <c r="P144" s="175">
        <f t="shared" si="4"/>
        <v>1165437.733</v>
      </c>
      <c r="Q144" s="175">
        <f>IF('Pre-Calculation'!$D$17="Type 4 a",MAX(SA,O144,1.05*R144),IF('Pre-Calculation'!$D$17="Type 4 c",O144,IF('Pre-Calculation'!$D$17="Type 4 d",SA+O144,IF('Pre-Calculation'!$D$17="Type 4 e",MAX(SA,O144),IF('Pre-Calculation'!$D$17="Type 4 f",SA,IF('Pre-Calculation'!$D$17="Type 4 g",1000+O144,IF('Pre-Calculation'!$D$17="Type 4 h",SA+S144,IF('Pre-Calculation'!$D$17="Type 4 i",MAX(O144,R144),IF('Pre-Calculation'!$D$17="Type 4 k",MAX(O144,1.01*R144),IF('Pre-Calculation'!$D$17="Type 4 m",MAX(105%*R144,SA+O144),IF('Pre-Calculation'!$D$17="Type 4 o",MAX(SA,105%*R144)+X144+Z144,IF('Pre-Calculation'!$D$17="Type 5",0))))))))))))</f>
        <v>1165437.733</v>
      </c>
      <c r="R144" s="175">
        <f t="shared" si="5"/>
        <v>1000000</v>
      </c>
      <c r="S144" s="119">
        <f>K144*(1+GROWTH_RATE)*FMC</f>
        <v>1318.835624</v>
      </c>
      <c r="T144" s="178">
        <f>T143*(1+'Pre-Calculation'!$E$27)</f>
        <v>965444.6478</v>
      </c>
      <c r="U144" s="175">
        <f>-E144+IF(A143=INPUT!$C$11*12,O144,0)</f>
        <v>0</v>
      </c>
      <c r="V144" s="112"/>
      <c r="W144" s="112"/>
      <c r="X144" s="179">
        <f t="array" ref="X144">NPV('Pre-Calculation'!$E$20,$E145:E$246)</f>
        <v>0</v>
      </c>
      <c r="Y144" s="171">
        <f>10%*SA</f>
        <v>100000</v>
      </c>
      <c r="Z144" s="179">
        <f t="array" ref="Z144">NPV('Pre-Calculation'!$E$20,Y145:Y154)</f>
        <v>969592.8037</v>
      </c>
    </row>
    <row r="145" ht="15.75" customHeight="1">
      <c r="A145" s="171">
        <f t="shared" si="1"/>
        <v>139</v>
      </c>
      <c r="B145" s="171">
        <f t="shared" si="2"/>
        <v>12</v>
      </c>
      <c r="C145" s="176">
        <f>EDATE(RCD,A144)</f>
        <v>46751</v>
      </c>
      <c r="D145" s="171">
        <f>Age_At_Entry+Cashflows_Backtesting!B145-1</f>
        <v>46</v>
      </c>
      <c r="E145" s="175">
        <f>IF(AND(C145&lt;=Last_Prem,MOD(A144,Mode)=0),Mod_Prem,0)</f>
        <v>0</v>
      </c>
      <c r="F145" s="177">
        <f>E145*VLOOKUP(B145,'Pre-Calculation'!$H$1:$I$31,2,FALSE)</f>
        <v>0</v>
      </c>
      <c r="G145" s="177">
        <f>IF(B145&lt;PT+1,VLOOKUP(B145,'Pre-Calculation'!$H$1:$L$32,3,FALSE)+VLOOKUP(B145,'Pre-Calculation'!$H$1:$L$32,4,FALSE)*'Pre-Calculation'!$D$7,0)</f>
        <v>0</v>
      </c>
      <c r="H145" s="175">
        <f>(E145-(F145+G145)*(1+Tax)+O144)</f>
        <v>1165437.733</v>
      </c>
      <c r="I145" s="175">
        <f>IF(B145&lt;PT+1,VLOOKUP(D145,'Pre-Calculation'!$N$3:$P$79,IF(INPUT!$C$4="M",2,3),FALSE)*(J145/1000)*(1/12),0)</f>
        <v>0</v>
      </c>
      <c r="J145" s="175">
        <f>MAX(0,(SA-H145))</f>
        <v>0</v>
      </c>
      <c r="K145" s="175">
        <f>H145-I145*(1+Tax)</f>
        <v>1165437.733</v>
      </c>
      <c r="L145" s="187">
        <f>VLOOKUP(C145,'NAVs_Till 29 Jun 2021'!$A$3:$J$2236,MATCH('Pre-Calculation'!$C$34,'NAVs_Till 29 Jun 2021'!$A$1:$J$1,0))</f>
        <v>20.7486</v>
      </c>
      <c r="M145" s="187">
        <f>IFERROR(1,VLOOKUP(C145,'NAVs_Till 29 Jun 2021'!$A$3:$J$2236,MATCH(#REF!,'NAVs_Till 29 Jun 2021'!$A$1:$J$1,0)))</f>
        <v>1</v>
      </c>
      <c r="N145" s="175">
        <f>VLOOKUP('Pre-Calculation'!$C$34,INPUT!$B$20:$C$28,2,0)*K145*(L146/L145)+ IFERROR(0,VLOOKUP('Pre-Calculation'!$D$34,INPUT!$B$20:$C$28,2,0))*K145*(M146/M145)</f>
        <v>1165437.733</v>
      </c>
      <c r="O145" s="175">
        <f t="shared" si="3"/>
        <v>1165437.733</v>
      </c>
      <c r="P145" s="175">
        <f t="shared" si="4"/>
        <v>1165437.733</v>
      </c>
      <c r="Q145" s="175">
        <f>IF('Pre-Calculation'!$D$17="Type 4 a",MAX(SA,O145,1.05*R145),IF('Pre-Calculation'!$D$17="Type 4 c",O145,IF('Pre-Calculation'!$D$17="Type 4 d",SA+O145,IF('Pre-Calculation'!$D$17="Type 4 e",MAX(SA,O145),IF('Pre-Calculation'!$D$17="Type 4 f",SA,IF('Pre-Calculation'!$D$17="Type 4 g",1000+O145,IF('Pre-Calculation'!$D$17="Type 4 h",SA+S145,IF('Pre-Calculation'!$D$17="Type 4 i",MAX(O145,R145),IF('Pre-Calculation'!$D$17="Type 4 k",MAX(O145,1.01*R145),IF('Pre-Calculation'!$D$17="Type 4 m",MAX(105%*R145,SA+O145),IF('Pre-Calculation'!$D$17="Type 4 o",MAX(SA,105%*R145)+X145+Z145,IF('Pre-Calculation'!$D$17="Type 5",0))))))))))))</f>
        <v>1165437.733</v>
      </c>
      <c r="R145" s="175">
        <f t="shared" si="5"/>
        <v>1000000</v>
      </c>
      <c r="S145" s="119">
        <f>K145*(1+GROWTH_RATE)*FMC</f>
        <v>1318.835624</v>
      </c>
      <c r="T145" s="178">
        <f>T144*(1+'Pre-Calculation'!$E$27)</f>
        <v>968216.3416</v>
      </c>
      <c r="U145" s="175">
        <f>-E145+IF(A144=INPUT!$C$11*12,O145,0)</f>
        <v>0</v>
      </c>
      <c r="V145" s="112"/>
      <c r="W145" s="112"/>
      <c r="X145" s="179">
        <f t="array" ref="X145">NPV('Pre-Calculation'!$E$20,$E146:E$246)</f>
        <v>0</v>
      </c>
      <c r="Y145" s="171">
        <f>10%*SA</f>
        <v>100000</v>
      </c>
      <c r="Z145" s="179">
        <f t="array" ref="Z145">NPV('Pre-Calculation'!$E$20,Y146:Y155)</f>
        <v>969592.8037</v>
      </c>
    </row>
    <row r="146" ht="15.75" customHeight="1">
      <c r="A146" s="171">
        <f t="shared" si="1"/>
        <v>140</v>
      </c>
      <c r="B146" s="171">
        <f t="shared" si="2"/>
        <v>12</v>
      </c>
      <c r="C146" s="176">
        <f>EDATE(RCD,A145)</f>
        <v>46782</v>
      </c>
      <c r="D146" s="171">
        <f>Age_At_Entry+Cashflows_Backtesting!B146-1</f>
        <v>46</v>
      </c>
      <c r="E146" s="175">
        <f>IF(AND(C146&lt;=Last_Prem,MOD(A145,Mode)=0),Mod_Prem,0)</f>
        <v>0</v>
      </c>
      <c r="F146" s="177">
        <f>E146*VLOOKUP(B146,'Pre-Calculation'!$H$1:$I$31,2,FALSE)</f>
        <v>0</v>
      </c>
      <c r="G146" s="177">
        <f>IF(B146&lt;PT+1,VLOOKUP(B146,'Pre-Calculation'!$H$1:$L$32,3,FALSE)+VLOOKUP(B146,'Pre-Calculation'!$H$1:$L$32,4,FALSE)*'Pre-Calculation'!$D$7,0)</f>
        <v>0</v>
      </c>
      <c r="H146" s="175">
        <f>(E146-(F146+G146)*(1+Tax)+O145)</f>
        <v>1165437.733</v>
      </c>
      <c r="I146" s="175">
        <f>IF(B146&lt;PT+1,VLOOKUP(D146,'Pre-Calculation'!$N$3:$P$79,IF(INPUT!$C$4="M",2,3),FALSE)*(J146/1000)*(1/12),0)</f>
        <v>0</v>
      </c>
      <c r="J146" s="175">
        <f>MAX(0,(SA-H146))</f>
        <v>0</v>
      </c>
      <c r="K146" s="175">
        <f>H146-I146*(1+Tax)</f>
        <v>1165437.733</v>
      </c>
      <c r="L146" s="187">
        <f>VLOOKUP(C146,'NAVs_Till 29 Jun 2021'!$A$3:$J$2236,MATCH('Pre-Calculation'!$C$34,'NAVs_Till 29 Jun 2021'!$A$1:$J$1,0))</f>
        <v>20.7486</v>
      </c>
      <c r="M146" s="187">
        <f>IFERROR(1,VLOOKUP(C146,'NAVs_Till 29 Jun 2021'!$A$3:$J$2236,MATCH(#REF!,'NAVs_Till 29 Jun 2021'!$A$1:$J$1,0)))</f>
        <v>1</v>
      </c>
      <c r="N146" s="175">
        <f>VLOOKUP('Pre-Calculation'!$C$34,INPUT!$B$20:$C$28,2,0)*K146*(L147/L146)+ IFERROR(0,VLOOKUP('Pre-Calculation'!$D$34,INPUT!$B$20:$C$28,2,0))*K146*(M147/M146)</f>
        <v>1165437.733</v>
      </c>
      <c r="O146" s="175">
        <f t="shared" si="3"/>
        <v>1165437.733</v>
      </c>
      <c r="P146" s="175">
        <f t="shared" si="4"/>
        <v>1165437.733</v>
      </c>
      <c r="Q146" s="175">
        <f>IF('Pre-Calculation'!$D$17="Type 4 a",MAX(SA,O146,1.05*R146),IF('Pre-Calculation'!$D$17="Type 4 c",O146,IF('Pre-Calculation'!$D$17="Type 4 d",SA+O146,IF('Pre-Calculation'!$D$17="Type 4 e",MAX(SA,O146),IF('Pre-Calculation'!$D$17="Type 4 f",SA,IF('Pre-Calculation'!$D$17="Type 4 g",1000+O146,IF('Pre-Calculation'!$D$17="Type 4 h",SA+S146,IF('Pre-Calculation'!$D$17="Type 4 i",MAX(O146,R146),IF('Pre-Calculation'!$D$17="Type 4 k",MAX(O146,1.01*R146),IF('Pre-Calculation'!$D$17="Type 4 m",MAX(105%*R146,SA+O146),IF('Pre-Calculation'!$D$17="Type 4 o",MAX(SA,105%*R146)+X146+Z146,IF('Pre-Calculation'!$D$17="Type 5",0))))))))))))</f>
        <v>1165437.733</v>
      </c>
      <c r="R146" s="175">
        <f t="shared" si="5"/>
        <v>1000000</v>
      </c>
      <c r="S146" s="119">
        <f>K146*(1+GROWTH_RATE)*FMC</f>
        <v>1318.835624</v>
      </c>
      <c r="T146" s="178">
        <f>T145*(1+'Pre-Calculation'!$E$27)</f>
        <v>970995.9927</v>
      </c>
      <c r="U146" s="175">
        <f>-E146+IF(A145=INPUT!$C$11*12,O146,0)</f>
        <v>0</v>
      </c>
      <c r="V146" s="112"/>
      <c r="W146" s="112"/>
      <c r="X146" s="179">
        <f t="array" ref="X146">NPV('Pre-Calculation'!$E$20,$E147:E$246)</f>
        <v>0</v>
      </c>
      <c r="Y146" s="171">
        <f>10%*SA</f>
        <v>100000</v>
      </c>
      <c r="Z146" s="179">
        <f t="array" ref="Z146">NPV('Pre-Calculation'!$E$20,Y147:Y156)</f>
        <v>969592.8037</v>
      </c>
    </row>
    <row r="147" ht="15.75" customHeight="1">
      <c r="A147" s="171">
        <f t="shared" si="1"/>
        <v>141</v>
      </c>
      <c r="B147" s="171">
        <f t="shared" si="2"/>
        <v>12</v>
      </c>
      <c r="C147" s="176">
        <f>EDATE(RCD,A146)</f>
        <v>46812</v>
      </c>
      <c r="D147" s="171">
        <f>Age_At_Entry+Cashflows_Backtesting!B147-1</f>
        <v>46</v>
      </c>
      <c r="E147" s="175">
        <f>IF(AND(C147&lt;=Last_Prem,MOD(A146,Mode)=0),Mod_Prem,0)</f>
        <v>0</v>
      </c>
      <c r="F147" s="177">
        <f>E147*VLOOKUP(B147,'Pre-Calculation'!$H$1:$I$31,2,FALSE)</f>
        <v>0</v>
      </c>
      <c r="G147" s="177">
        <f>IF(B147&lt;PT+1,VLOOKUP(B147,'Pre-Calculation'!$H$1:$L$32,3,FALSE)+VLOOKUP(B147,'Pre-Calculation'!$H$1:$L$32,4,FALSE)*'Pre-Calculation'!$D$7,0)</f>
        <v>0</v>
      </c>
      <c r="H147" s="175">
        <f>(E147-(F147+G147)*(1+Tax)+O146)</f>
        <v>1165437.733</v>
      </c>
      <c r="I147" s="175">
        <f>IF(B147&lt;PT+1,VLOOKUP(D147,'Pre-Calculation'!$N$3:$P$79,IF(INPUT!$C$4="M",2,3),FALSE)*(J147/1000)*(1/12),0)</f>
        <v>0</v>
      </c>
      <c r="J147" s="175">
        <f>MAX(0,(SA-H147))</f>
        <v>0</v>
      </c>
      <c r="K147" s="175">
        <f>H147-I147*(1+Tax)</f>
        <v>1165437.733</v>
      </c>
      <c r="L147" s="187">
        <f>VLOOKUP(C147,'NAVs_Till 29 Jun 2021'!$A$3:$J$2236,MATCH('Pre-Calculation'!$C$34,'NAVs_Till 29 Jun 2021'!$A$1:$J$1,0))</f>
        <v>20.7486</v>
      </c>
      <c r="M147" s="187">
        <f>IFERROR(1,VLOOKUP(C147,'NAVs_Till 29 Jun 2021'!$A$3:$J$2236,MATCH(#REF!,'NAVs_Till 29 Jun 2021'!$A$1:$J$1,0)))</f>
        <v>1</v>
      </c>
      <c r="N147" s="175">
        <f>VLOOKUP('Pre-Calculation'!$C$34,INPUT!$B$20:$C$28,2,0)*K147*(L148/L147)+ IFERROR(0,VLOOKUP('Pre-Calculation'!$D$34,INPUT!$B$20:$C$28,2,0))*K147*(M148/M147)</f>
        <v>1165437.733</v>
      </c>
      <c r="O147" s="175">
        <f t="shared" si="3"/>
        <v>1165437.733</v>
      </c>
      <c r="P147" s="175">
        <f t="shared" si="4"/>
        <v>1165437.733</v>
      </c>
      <c r="Q147" s="175">
        <f>IF('Pre-Calculation'!$D$17="Type 4 a",MAX(SA,O147,1.05*R147),IF('Pre-Calculation'!$D$17="Type 4 c",O147,IF('Pre-Calculation'!$D$17="Type 4 d",SA+O147,IF('Pre-Calculation'!$D$17="Type 4 e",MAX(SA,O147),IF('Pre-Calculation'!$D$17="Type 4 f",SA,IF('Pre-Calculation'!$D$17="Type 4 g",1000+O147,IF('Pre-Calculation'!$D$17="Type 4 h",SA+S147,IF('Pre-Calculation'!$D$17="Type 4 i",MAX(O147,R147),IF('Pre-Calculation'!$D$17="Type 4 k",MAX(O147,1.01*R147),IF('Pre-Calculation'!$D$17="Type 4 m",MAX(105%*R147,SA+O147),IF('Pre-Calculation'!$D$17="Type 4 o",MAX(SA,105%*R147)+X147+Z147,IF('Pre-Calculation'!$D$17="Type 5",0))))))))))))</f>
        <v>1165437.733</v>
      </c>
      <c r="R147" s="175">
        <f t="shared" si="5"/>
        <v>1000000</v>
      </c>
      <c r="S147" s="119">
        <f>K147*(1+GROWTH_RATE)*FMC</f>
        <v>1318.835624</v>
      </c>
      <c r="T147" s="178">
        <f>T146*(1+'Pre-Calculation'!$E$27)</f>
        <v>973783.6238</v>
      </c>
      <c r="U147" s="175">
        <f>-E147+IF(A146=INPUT!$C$11*12,O147,0)</f>
        <v>0</v>
      </c>
      <c r="V147" s="112"/>
      <c r="W147" s="112"/>
      <c r="X147" s="179">
        <f t="array" ref="X147">NPV('Pre-Calculation'!$E$20,$E148:E$246)</f>
        <v>0</v>
      </c>
      <c r="Y147" s="171">
        <f>10%*SA</f>
        <v>100000</v>
      </c>
      <c r="Z147" s="179">
        <f t="array" ref="Z147">NPV('Pre-Calculation'!$E$20,Y148:Y157)</f>
        <v>969592.8037</v>
      </c>
    </row>
    <row r="148" ht="15.75" customHeight="1">
      <c r="A148" s="171">
        <f t="shared" si="1"/>
        <v>142</v>
      </c>
      <c r="B148" s="171">
        <f t="shared" si="2"/>
        <v>12</v>
      </c>
      <c r="C148" s="176">
        <f>EDATE(RCD,A147)</f>
        <v>46842</v>
      </c>
      <c r="D148" s="171">
        <f>Age_At_Entry+Cashflows_Backtesting!B148-1</f>
        <v>46</v>
      </c>
      <c r="E148" s="175">
        <f>IF(AND(C148&lt;=Last_Prem,MOD(A147,Mode)=0),Mod_Prem,0)</f>
        <v>0</v>
      </c>
      <c r="F148" s="177">
        <f>E148*VLOOKUP(B148,'Pre-Calculation'!$H$1:$I$31,2,FALSE)</f>
        <v>0</v>
      </c>
      <c r="G148" s="177">
        <f>IF(B148&lt;PT+1,VLOOKUP(B148,'Pre-Calculation'!$H$1:$L$32,3,FALSE)+VLOOKUP(B148,'Pre-Calculation'!$H$1:$L$32,4,FALSE)*'Pre-Calculation'!$D$7,0)</f>
        <v>0</v>
      </c>
      <c r="H148" s="175">
        <f>(E148-(F148+G148)*(1+Tax)+O147)</f>
        <v>1165437.733</v>
      </c>
      <c r="I148" s="175">
        <f>IF(B148&lt;PT+1,VLOOKUP(D148,'Pre-Calculation'!$N$3:$P$79,IF(INPUT!$C$4="M",2,3),FALSE)*(J148/1000)*(1/12),0)</f>
        <v>0</v>
      </c>
      <c r="J148" s="175">
        <f>MAX(0,(SA-H148))</f>
        <v>0</v>
      </c>
      <c r="K148" s="175">
        <f>H148-I148*(1+Tax)</f>
        <v>1165437.733</v>
      </c>
      <c r="L148" s="187">
        <f>VLOOKUP(C148,'NAVs_Till 29 Jun 2021'!$A$3:$J$2236,MATCH('Pre-Calculation'!$C$34,'NAVs_Till 29 Jun 2021'!$A$1:$J$1,0))</f>
        <v>20.7486</v>
      </c>
      <c r="M148" s="187">
        <f>IFERROR(1,VLOOKUP(C148,'NAVs_Till 29 Jun 2021'!$A$3:$J$2236,MATCH(#REF!,'NAVs_Till 29 Jun 2021'!$A$1:$J$1,0)))</f>
        <v>1</v>
      </c>
      <c r="N148" s="175">
        <f>VLOOKUP('Pre-Calculation'!$C$34,INPUT!$B$20:$C$28,2,0)*K148*(L149/L148)+ IFERROR(0,VLOOKUP('Pre-Calculation'!$D$34,INPUT!$B$20:$C$28,2,0))*K148*(M149/M148)</f>
        <v>1165437.733</v>
      </c>
      <c r="O148" s="175">
        <f t="shared" si="3"/>
        <v>1165437.733</v>
      </c>
      <c r="P148" s="175">
        <f t="shared" si="4"/>
        <v>1165437.733</v>
      </c>
      <c r="Q148" s="175">
        <f>IF('Pre-Calculation'!$D$17="Type 4 a",MAX(SA,O148,1.05*R148),IF('Pre-Calculation'!$D$17="Type 4 c",O148,IF('Pre-Calculation'!$D$17="Type 4 d",SA+O148,IF('Pre-Calculation'!$D$17="Type 4 e",MAX(SA,O148),IF('Pre-Calculation'!$D$17="Type 4 f",SA,IF('Pre-Calculation'!$D$17="Type 4 g",1000+O148,IF('Pre-Calculation'!$D$17="Type 4 h",SA+S148,IF('Pre-Calculation'!$D$17="Type 4 i",MAX(O148,R148),IF('Pre-Calculation'!$D$17="Type 4 k",MAX(O148,1.01*R148),IF('Pre-Calculation'!$D$17="Type 4 m",MAX(105%*R148,SA+O148),IF('Pre-Calculation'!$D$17="Type 4 o",MAX(SA,105%*R148)+X148+Z148,IF('Pre-Calculation'!$D$17="Type 5",0))))))))))))</f>
        <v>1165437.733</v>
      </c>
      <c r="R148" s="175">
        <f t="shared" si="5"/>
        <v>1000000</v>
      </c>
      <c r="S148" s="119">
        <f>K148*(1+GROWTH_RATE)*FMC</f>
        <v>1318.835624</v>
      </c>
      <c r="T148" s="178">
        <f>T147*(1+'Pre-Calculation'!$E$27)</f>
        <v>976579.258</v>
      </c>
      <c r="U148" s="175">
        <f>-E148+IF(A147=INPUT!$C$11*12,O148,0)</f>
        <v>0</v>
      </c>
      <c r="V148" s="112"/>
      <c r="W148" s="112"/>
      <c r="X148" s="179">
        <f t="array" ref="X148">NPV('Pre-Calculation'!$E$20,$E149:E$246)</f>
        <v>0</v>
      </c>
      <c r="Y148" s="171">
        <f>10%*SA</f>
        <v>100000</v>
      </c>
      <c r="Z148" s="179">
        <f t="array" ref="Z148">NPV('Pre-Calculation'!$E$20,Y149:Y158)</f>
        <v>969592.8037</v>
      </c>
    </row>
    <row r="149" ht="15.75" customHeight="1">
      <c r="A149" s="171">
        <f t="shared" si="1"/>
        <v>143</v>
      </c>
      <c r="B149" s="171">
        <f t="shared" si="2"/>
        <v>12</v>
      </c>
      <c r="C149" s="176">
        <f>EDATE(RCD,A148)</f>
        <v>46873</v>
      </c>
      <c r="D149" s="171">
        <f>Age_At_Entry+Cashflows_Backtesting!B149-1</f>
        <v>46</v>
      </c>
      <c r="E149" s="175">
        <f>IF(AND(C149&lt;=Last_Prem,MOD(A148,Mode)=0),Mod_Prem,0)</f>
        <v>0</v>
      </c>
      <c r="F149" s="177">
        <f>E149*VLOOKUP(B149,'Pre-Calculation'!$H$1:$I$31,2,FALSE)</f>
        <v>0</v>
      </c>
      <c r="G149" s="177">
        <f>IF(B149&lt;PT+1,VLOOKUP(B149,'Pre-Calculation'!$H$1:$L$32,3,FALSE)+VLOOKUP(B149,'Pre-Calculation'!$H$1:$L$32,4,FALSE)*'Pre-Calculation'!$D$7,0)</f>
        <v>0</v>
      </c>
      <c r="H149" s="175">
        <f>(E149-(F149+G149)*(1+Tax)+O148)</f>
        <v>1165437.733</v>
      </c>
      <c r="I149" s="175">
        <f>IF(B149&lt;PT+1,VLOOKUP(D149,'Pre-Calculation'!$N$3:$P$79,IF(INPUT!$C$4="M",2,3),FALSE)*(J149/1000)*(1/12),0)</f>
        <v>0</v>
      </c>
      <c r="J149" s="175">
        <f>MAX(0,(SA-H149))</f>
        <v>0</v>
      </c>
      <c r="K149" s="175">
        <f>H149-I149*(1+Tax)</f>
        <v>1165437.733</v>
      </c>
      <c r="L149" s="187">
        <f>VLOOKUP(C149,'NAVs_Till 29 Jun 2021'!$A$3:$J$2236,MATCH('Pre-Calculation'!$C$34,'NAVs_Till 29 Jun 2021'!$A$1:$J$1,0))</f>
        <v>20.7486</v>
      </c>
      <c r="M149" s="187">
        <f>IFERROR(1,VLOOKUP(C149,'NAVs_Till 29 Jun 2021'!$A$3:$J$2236,MATCH(#REF!,'NAVs_Till 29 Jun 2021'!$A$1:$J$1,0)))</f>
        <v>1</v>
      </c>
      <c r="N149" s="175">
        <f>VLOOKUP('Pre-Calculation'!$C$34,INPUT!$B$20:$C$28,2,0)*K149*(L150/L149)+ IFERROR(0,VLOOKUP('Pre-Calculation'!$D$34,INPUT!$B$20:$C$28,2,0))*K149*(M150/M149)</f>
        <v>1165437.733</v>
      </c>
      <c r="O149" s="175">
        <f t="shared" si="3"/>
        <v>1165437.733</v>
      </c>
      <c r="P149" s="175">
        <f t="shared" si="4"/>
        <v>1165437.733</v>
      </c>
      <c r="Q149" s="175">
        <f>IF('Pre-Calculation'!$D$17="Type 4 a",MAX(SA,O149,1.05*R149),IF('Pre-Calculation'!$D$17="Type 4 c",O149,IF('Pre-Calculation'!$D$17="Type 4 d",SA+O149,IF('Pre-Calculation'!$D$17="Type 4 e",MAX(SA,O149),IF('Pre-Calculation'!$D$17="Type 4 f",SA,IF('Pre-Calculation'!$D$17="Type 4 g",1000+O149,IF('Pre-Calculation'!$D$17="Type 4 h",SA+S149,IF('Pre-Calculation'!$D$17="Type 4 i",MAX(O149,R149),IF('Pre-Calculation'!$D$17="Type 4 k",MAX(O149,1.01*R149),IF('Pre-Calculation'!$D$17="Type 4 m",MAX(105%*R149,SA+O149),IF('Pre-Calculation'!$D$17="Type 4 o",MAX(SA,105%*R149)+X149+Z149,IF('Pre-Calculation'!$D$17="Type 5",0))))))))))))</f>
        <v>1165437.733</v>
      </c>
      <c r="R149" s="175">
        <f t="shared" si="5"/>
        <v>1000000</v>
      </c>
      <c r="S149" s="119">
        <f>K149*(1+GROWTH_RATE)*FMC</f>
        <v>1318.835624</v>
      </c>
      <c r="T149" s="178">
        <f>T148*(1+'Pre-Calculation'!$E$27)</f>
        <v>979382.9181</v>
      </c>
      <c r="U149" s="175">
        <f>-E149+IF(A148=INPUT!$C$11*12,O149,0)</f>
        <v>0</v>
      </c>
      <c r="V149" s="112"/>
      <c r="W149" s="112"/>
      <c r="X149" s="179">
        <f t="array" ref="X149">NPV('Pre-Calculation'!$E$20,$E150:E$246)</f>
        <v>0</v>
      </c>
      <c r="Y149" s="171">
        <f>10%*SA</f>
        <v>100000</v>
      </c>
      <c r="Z149" s="179">
        <f t="array" ref="Z149">NPV('Pre-Calculation'!$E$20,Y150:Y159)</f>
        <v>969592.8037</v>
      </c>
    </row>
    <row r="150" ht="15.75" customHeight="1">
      <c r="A150" s="171">
        <f t="shared" si="1"/>
        <v>144</v>
      </c>
      <c r="B150" s="171">
        <f t="shared" si="2"/>
        <v>12</v>
      </c>
      <c r="C150" s="176">
        <f>EDATE(RCD,A149)</f>
        <v>46903</v>
      </c>
      <c r="D150" s="171">
        <f>Age_At_Entry+Cashflows_Backtesting!B150-1</f>
        <v>46</v>
      </c>
      <c r="E150" s="175">
        <f>IF(AND(C150&lt;=Last_Prem,MOD(A149,Mode)=0),Mod_Prem,0)</f>
        <v>0</v>
      </c>
      <c r="F150" s="177">
        <f>E150*VLOOKUP(B150,'Pre-Calculation'!$H$1:$I$31,2,FALSE)</f>
        <v>0</v>
      </c>
      <c r="G150" s="177">
        <f>IF(B150&lt;PT+1,VLOOKUP(B150,'Pre-Calculation'!$H$1:$L$32,3,FALSE)+VLOOKUP(B150,'Pre-Calculation'!$H$1:$L$32,4,FALSE)*'Pre-Calculation'!$D$7,0)</f>
        <v>0</v>
      </c>
      <c r="H150" s="175">
        <f>(E150-(F150+G150)*(1+Tax)+O149)</f>
        <v>1165437.733</v>
      </c>
      <c r="I150" s="175">
        <f>IF(B150&lt;PT+1,VLOOKUP(D150,'Pre-Calculation'!$N$3:$P$79,IF(INPUT!$C$4="M",2,3),FALSE)*(J150/1000)*(1/12),0)</f>
        <v>0</v>
      </c>
      <c r="J150" s="175">
        <f>MAX(0,(SA-H150))</f>
        <v>0</v>
      </c>
      <c r="K150" s="175">
        <f>H150-I150*(1+Tax)</f>
        <v>1165437.733</v>
      </c>
      <c r="L150" s="187">
        <f>VLOOKUP(C150,'NAVs_Till 29 Jun 2021'!$A$3:$J$2236,MATCH('Pre-Calculation'!$C$34,'NAVs_Till 29 Jun 2021'!$A$1:$J$1,0))</f>
        <v>20.7486</v>
      </c>
      <c r="M150" s="187">
        <f>IFERROR(1,VLOOKUP(C150,'NAVs_Till 29 Jun 2021'!$A$3:$J$2236,MATCH(#REF!,'NAVs_Till 29 Jun 2021'!$A$1:$J$1,0)))</f>
        <v>1</v>
      </c>
      <c r="N150" s="175">
        <f>VLOOKUP('Pre-Calculation'!$C$34,INPUT!$B$20:$C$28,2,0)*K150*(L151/L150)+ IFERROR(0,VLOOKUP('Pre-Calculation'!$D$34,INPUT!$B$20:$C$28,2,0))*K150*(M151/M150)</f>
        <v>1165437.733</v>
      </c>
      <c r="O150" s="175">
        <f t="shared" si="3"/>
        <v>1165437.733</v>
      </c>
      <c r="P150" s="175">
        <f t="shared" si="4"/>
        <v>1165437.733</v>
      </c>
      <c r="Q150" s="175">
        <f>IF('Pre-Calculation'!$D$17="Type 4 a",MAX(SA,O150,1.05*R150),IF('Pre-Calculation'!$D$17="Type 4 c",O150,IF('Pre-Calculation'!$D$17="Type 4 d",SA+O150,IF('Pre-Calculation'!$D$17="Type 4 e",MAX(SA,O150),IF('Pre-Calculation'!$D$17="Type 4 f",SA,IF('Pre-Calculation'!$D$17="Type 4 g",1000+O150,IF('Pre-Calculation'!$D$17="Type 4 h",SA+S150,IF('Pre-Calculation'!$D$17="Type 4 i",MAX(O150,R150),IF('Pre-Calculation'!$D$17="Type 4 k",MAX(O150,1.01*R150),IF('Pre-Calculation'!$D$17="Type 4 m",MAX(105%*R150,SA+O150),IF('Pre-Calculation'!$D$17="Type 4 o",MAX(SA,105%*R150)+X150+Z150,IF('Pre-Calculation'!$D$17="Type 5",0))))))))))))</f>
        <v>1165437.733</v>
      </c>
      <c r="R150" s="175">
        <f t="shared" si="5"/>
        <v>1000000</v>
      </c>
      <c r="S150" s="119">
        <f>K150*(1+GROWTH_RATE)*FMC</f>
        <v>1318.835624</v>
      </c>
      <c r="T150" s="178">
        <f>T149*(1+'Pre-Calculation'!$E$27)</f>
        <v>982194.6273</v>
      </c>
      <c r="U150" s="175">
        <f>-E150+IF(A149=INPUT!$C$11*12,O150,0)</f>
        <v>0</v>
      </c>
      <c r="V150" s="112"/>
      <c r="W150" s="112"/>
      <c r="X150" s="179">
        <f t="array" ref="X150">NPV('Pre-Calculation'!$E$20,$E151:E$246)</f>
        <v>0</v>
      </c>
      <c r="Y150" s="171">
        <f>10%*SA</f>
        <v>100000</v>
      </c>
      <c r="Z150" s="179">
        <f t="array" ref="Z150">NPV('Pre-Calculation'!$E$20,Y151:Y160)</f>
        <v>969592.8037</v>
      </c>
    </row>
    <row r="151" ht="15.75" customHeight="1">
      <c r="A151" s="171">
        <f t="shared" si="1"/>
        <v>145</v>
      </c>
      <c r="B151" s="171">
        <f t="shared" si="2"/>
        <v>13</v>
      </c>
      <c r="C151" s="176">
        <f>EDATE(RCD,A150)</f>
        <v>46934</v>
      </c>
      <c r="D151" s="171">
        <f>Age_At_Entry+Cashflows_Backtesting!B151-1</f>
        <v>47</v>
      </c>
      <c r="E151" s="175">
        <f>IF(AND(C151&lt;=Last_Prem,MOD(A150,Mode)=0),Mod_Prem,0)</f>
        <v>0</v>
      </c>
      <c r="F151" s="177">
        <f>E151*VLOOKUP(B151,'Pre-Calculation'!$H$1:$I$31,2,FALSE)</f>
        <v>0</v>
      </c>
      <c r="G151" s="177">
        <f>IF(B151&lt;PT+1,VLOOKUP(B151,'Pre-Calculation'!$H$1:$L$32,3,FALSE)+VLOOKUP(B151,'Pre-Calculation'!$H$1:$L$32,4,FALSE)*'Pre-Calculation'!$D$7,0)</f>
        <v>0</v>
      </c>
      <c r="H151" s="175">
        <f>(E151-(F151+G151)*(1+Tax)+O150)</f>
        <v>1165437.733</v>
      </c>
      <c r="I151" s="175">
        <f>IF(B151&lt;PT+1,VLOOKUP(D151,'Pre-Calculation'!$N$3:$P$79,IF(INPUT!$C$4="M",2,3),FALSE)*(J151/1000)*(1/12),0)</f>
        <v>0</v>
      </c>
      <c r="J151" s="175">
        <f>MAX(0,(SA-H151))</f>
        <v>0</v>
      </c>
      <c r="K151" s="175">
        <f>H151-I151*(1+Tax)</f>
        <v>1165437.733</v>
      </c>
      <c r="L151" s="187">
        <f>VLOOKUP(C151,'NAVs_Till 29 Jun 2021'!$A$3:$J$2236,MATCH('Pre-Calculation'!$C$34,'NAVs_Till 29 Jun 2021'!$A$1:$J$1,0))</f>
        <v>20.7486</v>
      </c>
      <c r="M151" s="187">
        <f>IFERROR(1,VLOOKUP(C151,'NAVs_Till 29 Jun 2021'!$A$3:$J$2236,MATCH(#REF!,'NAVs_Till 29 Jun 2021'!$A$1:$J$1,0)))</f>
        <v>1</v>
      </c>
      <c r="N151" s="175">
        <f>VLOOKUP('Pre-Calculation'!$C$34,INPUT!$B$20:$C$28,2,0)*K151*(L152/L151)+ IFERROR(0,VLOOKUP('Pre-Calculation'!$D$34,INPUT!$B$20:$C$28,2,0))*K151*(M152/M151)</f>
        <v>1165437.733</v>
      </c>
      <c r="O151" s="175">
        <f t="shared" si="3"/>
        <v>1165437.733</v>
      </c>
      <c r="P151" s="175">
        <f t="shared" si="4"/>
        <v>1165437.733</v>
      </c>
      <c r="Q151" s="175">
        <f>IF('Pre-Calculation'!$D$17="Type 4 a",MAX(SA,O151,1.05*R151),IF('Pre-Calculation'!$D$17="Type 4 c",O151,IF('Pre-Calculation'!$D$17="Type 4 d",SA+O151,IF('Pre-Calculation'!$D$17="Type 4 e",MAX(SA,O151),IF('Pre-Calculation'!$D$17="Type 4 f",SA,IF('Pre-Calculation'!$D$17="Type 4 g",1000+O151,IF('Pre-Calculation'!$D$17="Type 4 h",SA+S151,IF('Pre-Calculation'!$D$17="Type 4 i",MAX(O151,R151),IF('Pre-Calculation'!$D$17="Type 4 k",MAX(O151,1.01*R151),IF('Pre-Calculation'!$D$17="Type 4 m",MAX(105%*R151,SA+O151),IF('Pre-Calculation'!$D$17="Type 4 o",MAX(SA,105%*R151)+X151+Z151,IF('Pre-Calculation'!$D$17="Type 5",0))))))))))))</f>
        <v>1165437.733</v>
      </c>
      <c r="R151" s="175">
        <f t="shared" si="5"/>
        <v>1000000</v>
      </c>
      <c r="S151" s="119">
        <f>K151*(1+GROWTH_RATE)*FMC</f>
        <v>1318.835624</v>
      </c>
      <c r="T151" s="178">
        <f>T150*(1+'Pre-Calculation'!$E$27)</f>
        <v>985014.4086</v>
      </c>
      <c r="U151" s="175">
        <f>-E151+IF(A150=INPUT!$C$11*12,O151,0)</f>
        <v>0</v>
      </c>
      <c r="V151" s="112"/>
      <c r="W151" s="112"/>
      <c r="X151" s="179">
        <f t="array" ref="X151">NPV('Pre-Calculation'!$E$20,$E152:E$246)</f>
        <v>0</v>
      </c>
      <c r="Y151" s="171">
        <f>10%*SA</f>
        <v>100000</v>
      </c>
      <c r="Z151" s="179">
        <f t="array" ref="Z151">NPV('Pre-Calculation'!$E$20,Y152:Y161)</f>
        <v>969592.8037</v>
      </c>
    </row>
    <row r="152" ht="15.75" customHeight="1">
      <c r="A152" s="171">
        <f t="shared" si="1"/>
        <v>146</v>
      </c>
      <c r="B152" s="171">
        <f t="shared" si="2"/>
        <v>13</v>
      </c>
      <c r="C152" s="176">
        <f>EDATE(RCD,A151)</f>
        <v>46964</v>
      </c>
      <c r="D152" s="171">
        <f>Age_At_Entry+Cashflows_Backtesting!B152-1</f>
        <v>47</v>
      </c>
      <c r="E152" s="175">
        <f>IF(AND(C152&lt;=Last_Prem,MOD(A151,Mode)=0),Mod_Prem,0)</f>
        <v>0</v>
      </c>
      <c r="F152" s="177">
        <f>E152*VLOOKUP(B152,'Pre-Calculation'!$H$1:$I$31,2,FALSE)</f>
        <v>0</v>
      </c>
      <c r="G152" s="177">
        <f>IF(B152&lt;PT+1,VLOOKUP(B152,'Pre-Calculation'!$H$1:$L$32,3,FALSE)+VLOOKUP(B152,'Pre-Calculation'!$H$1:$L$32,4,FALSE)*'Pre-Calculation'!$D$7,0)</f>
        <v>0</v>
      </c>
      <c r="H152" s="175">
        <f>(E152-(F152+G152)*(1+Tax)+O151)</f>
        <v>1165437.733</v>
      </c>
      <c r="I152" s="175">
        <f>IF(B152&lt;PT+1,VLOOKUP(D152,'Pre-Calculation'!$N$3:$P$79,IF(INPUT!$C$4="M",2,3),FALSE)*(J152/1000)*(1/12),0)</f>
        <v>0</v>
      </c>
      <c r="J152" s="175">
        <f>MAX(0,(SA-H152))</f>
        <v>0</v>
      </c>
      <c r="K152" s="175">
        <f>H152-I152*(1+Tax)</f>
        <v>1165437.733</v>
      </c>
      <c r="L152" s="187">
        <f>VLOOKUP(C152,'NAVs_Till 29 Jun 2021'!$A$3:$J$2236,MATCH('Pre-Calculation'!$C$34,'NAVs_Till 29 Jun 2021'!$A$1:$J$1,0))</f>
        <v>20.7486</v>
      </c>
      <c r="M152" s="187">
        <f>IFERROR(1,VLOOKUP(C152,'NAVs_Till 29 Jun 2021'!$A$3:$J$2236,MATCH(#REF!,'NAVs_Till 29 Jun 2021'!$A$1:$J$1,0)))</f>
        <v>1</v>
      </c>
      <c r="N152" s="175">
        <f>VLOOKUP('Pre-Calculation'!$C$34,INPUT!$B$20:$C$28,2,0)*K152*(L153/L152)+ IFERROR(0,VLOOKUP('Pre-Calculation'!$D$34,INPUT!$B$20:$C$28,2,0))*K152*(M153/M152)</f>
        <v>1165437.733</v>
      </c>
      <c r="O152" s="175">
        <f t="shared" si="3"/>
        <v>1165437.733</v>
      </c>
      <c r="P152" s="175">
        <f t="shared" si="4"/>
        <v>1165437.733</v>
      </c>
      <c r="Q152" s="175">
        <f>IF('Pre-Calculation'!$D$17="Type 4 a",MAX(SA,O152,1.05*R152),IF('Pre-Calculation'!$D$17="Type 4 c",O152,IF('Pre-Calculation'!$D$17="Type 4 d",SA+O152,IF('Pre-Calculation'!$D$17="Type 4 e",MAX(SA,O152),IF('Pre-Calculation'!$D$17="Type 4 f",SA,IF('Pre-Calculation'!$D$17="Type 4 g",1000+O152,IF('Pre-Calculation'!$D$17="Type 4 h",SA+S152,IF('Pre-Calculation'!$D$17="Type 4 i",MAX(O152,R152),IF('Pre-Calculation'!$D$17="Type 4 k",MAX(O152,1.01*R152),IF('Pre-Calculation'!$D$17="Type 4 m",MAX(105%*R152,SA+O152),IF('Pre-Calculation'!$D$17="Type 4 o",MAX(SA,105%*R152)+X152+Z152,IF('Pre-Calculation'!$D$17="Type 5",0))))))))))))</f>
        <v>1165437.733</v>
      </c>
      <c r="R152" s="175">
        <f t="shared" si="5"/>
        <v>1000000</v>
      </c>
      <c r="S152" s="119">
        <f>K152*(1+GROWTH_RATE)*FMC</f>
        <v>1318.835624</v>
      </c>
      <c r="T152" s="178">
        <f>T151*(1+'Pre-Calculation'!$E$27)</f>
        <v>987842.2852</v>
      </c>
      <c r="U152" s="175">
        <f>-E152+IF(A151=INPUT!$C$11*12,O152,0)</f>
        <v>0</v>
      </c>
      <c r="V152" s="112"/>
      <c r="W152" s="112"/>
      <c r="X152" s="179">
        <f t="array" ref="X152">NPV('Pre-Calculation'!$E$20,$E153:E$246)</f>
        <v>0</v>
      </c>
      <c r="Y152" s="171">
        <f>10%*SA</f>
        <v>100000</v>
      </c>
      <c r="Z152" s="179">
        <f t="array" ref="Z152">NPV('Pre-Calculation'!$E$20,Y153:Y162)</f>
        <v>969592.8037</v>
      </c>
    </row>
    <row r="153" ht="15.75" customHeight="1">
      <c r="A153" s="171">
        <f t="shared" si="1"/>
        <v>147</v>
      </c>
      <c r="B153" s="171">
        <f t="shared" si="2"/>
        <v>13</v>
      </c>
      <c r="C153" s="176">
        <f>EDATE(RCD,A152)</f>
        <v>46995</v>
      </c>
      <c r="D153" s="171">
        <f>Age_At_Entry+Cashflows_Backtesting!B153-1</f>
        <v>47</v>
      </c>
      <c r="E153" s="175">
        <f>IF(AND(C153&lt;=Last_Prem,MOD(A152,Mode)=0),Mod_Prem,0)</f>
        <v>0</v>
      </c>
      <c r="F153" s="177">
        <f>E153*VLOOKUP(B153,'Pre-Calculation'!$H$1:$I$31,2,FALSE)</f>
        <v>0</v>
      </c>
      <c r="G153" s="177">
        <f>IF(B153&lt;PT+1,VLOOKUP(B153,'Pre-Calculation'!$H$1:$L$32,3,FALSE)+VLOOKUP(B153,'Pre-Calculation'!$H$1:$L$32,4,FALSE)*'Pre-Calculation'!$D$7,0)</f>
        <v>0</v>
      </c>
      <c r="H153" s="175">
        <f>(E153-(F153+G153)*(1+Tax)+O152)</f>
        <v>1165437.733</v>
      </c>
      <c r="I153" s="175">
        <f>IF(B153&lt;PT+1,VLOOKUP(D153,'Pre-Calculation'!$N$3:$P$79,IF(INPUT!$C$4="M",2,3),FALSE)*(J153/1000)*(1/12),0)</f>
        <v>0</v>
      </c>
      <c r="J153" s="175">
        <f>MAX(0,(SA-H153))</f>
        <v>0</v>
      </c>
      <c r="K153" s="175">
        <f>H153-I153*(1+Tax)</f>
        <v>1165437.733</v>
      </c>
      <c r="L153" s="187">
        <f>VLOOKUP(C153,'NAVs_Till 29 Jun 2021'!$A$3:$J$2236,MATCH('Pre-Calculation'!$C$34,'NAVs_Till 29 Jun 2021'!$A$1:$J$1,0))</f>
        <v>20.7486</v>
      </c>
      <c r="M153" s="187">
        <f>IFERROR(1,VLOOKUP(C153,'NAVs_Till 29 Jun 2021'!$A$3:$J$2236,MATCH(#REF!,'NAVs_Till 29 Jun 2021'!$A$1:$J$1,0)))</f>
        <v>1</v>
      </c>
      <c r="N153" s="175">
        <f>VLOOKUP('Pre-Calculation'!$C$34,INPUT!$B$20:$C$28,2,0)*K153*(L154/L153)+ IFERROR(0,VLOOKUP('Pre-Calculation'!$D$34,INPUT!$B$20:$C$28,2,0))*K153*(M154/M153)</f>
        <v>1165437.733</v>
      </c>
      <c r="O153" s="175">
        <f t="shared" si="3"/>
        <v>1165437.733</v>
      </c>
      <c r="P153" s="175">
        <f t="shared" si="4"/>
        <v>1165437.733</v>
      </c>
      <c r="Q153" s="175">
        <f>IF('Pre-Calculation'!$D$17="Type 4 a",MAX(SA,O153,1.05*R153),IF('Pre-Calculation'!$D$17="Type 4 c",O153,IF('Pre-Calculation'!$D$17="Type 4 d",SA+O153,IF('Pre-Calculation'!$D$17="Type 4 e",MAX(SA,O153),IF('Pre-Calculation'!$D$17="Type 4 f",SA,IF('Pre-Calculation'!$D$17="Type 4 g",1000+O153,IF('Pre-Calculation'!$D$17="Type 4 h",SA+S153,IF('Pre-Calculation'!$D$17="Type 4 i",MAX(O153,R153),IF('Pre-Calculation'!$D$17="Type 4 k",MAX(O153,1.01*R153),IF('Pre-Calculation'!$D$17="Type 4 m",MAX(105%*R153,SA+O153),IF('Pre-Calculation'!$D$17="Type 4 o",MAX(SA,105%*R153)+X153+Z153,IF('Pre-Calculation'!$D$17="Type 5",0))))))))))))</f>
        <v>1165437.733</v>
      </c>
      <c r="R153" s="175">
        <f t="shared" si="5"/>
        <v>1000000</v>
      </c>
      <c r="S153" s="119">
        <f>K153*(1+GROWTH_RATE)*FMC</f>
        <v>1318.835624</v>
      </c>
      <c r="T153" s="178">
        <f>T152*(1+'Pre-Calculation'!$E$27)</f>
        <v>990678.2803</v>
      </c>
      <c r="U153" s="175">
        <f>-E153+IF(A152=INPUT!$C$11*12,O153,0)</f>
        <v>0</v>
      </c>
      <c r="V153" s="112"/>
      <c r="W153" s="112"/>
      <c r="X153" s="179">
        <f t="array" ref="X153">NPV('Pre-Calculation'!$E$20,$E154:E$246)</f>
        <v>0</v>
      </c>
      <c r="Y153" s="171">
        <f>10%*SA</f>
        <v>100000</v>
      </c>
      <c r="Z153" s="179">
        <f t="array" ref="Z153">NPV('Pre-Calculation'!$E$20,Y154:Y163)</f>
        <v>969592.8037</v>
      </c>
    </row>
    <row r="154" ht="15.75" customHeight="1">
      <c r="A154" s="171">
        <f t="shared" si="1"/>
        <v>148</v>
      </c>
      <c r="B154" s="171">
        <f t="shared" si="2"/>
        <v>13</v>
      </c>
      <c r="C154" s="176">
        <f>EDATE(RCD,A153)</f>
        <v>47026</v>
      </c>
      <c r="D154" s="171">
        <f>Age_At_Entry+Cashflows_Backtesting!B154-1</f>
        <v>47</v>
      </c>
      <c r="E154" s="175">
        <f>IF(AND(C154&lt;=Last_Prem,MOD(A153,Mode)=0),Mod_Prem,0)</f>
        <v>0</v>
      </c>
      <c r="F154" s="177">
        <f>E154*VLOOKUP(B154,'Pre-Calculation'!$H$1:$I$31,2,FALSE)</f>
        <v>0</v>
      </c>
      <c r="G154" s="177">
        <f>IF(B154&lt;PT+1,VLOOKUP(B154,'Pre-Calculation'!$H$1:$L$32,3,FALSE)+VLOOKUP(B154,'Pre-Calculation'!$H$1:$L$32,4,FALSE)*'Pre-Calculation'!$D$7,0)</f>
        <v>0</v>
      </c>
      <c r="H154" s="175">
        <f>(E154-(F154+G154)*(1+Tax)+O153)</f>
        <v>1165437.733</v>
      </c>
      <c r="I154" s="175">
        <f>IF(B154&lt;PT+1,VLOOKUP(D154,'Pre-Calculation'!$N$3:$P$79,IF(INPUT!$C$4="M",2,3),FALSE)*(J154/1000)*(1/12),0)</f>
        <v>0</v>
      </c>
      <c r="J154" s="175">
        <f>MAX(0,(SA-H154))</f>
        <v>0</v>
      </c>
      <c r="K154" s="175">
        <f>H154-I154*(1+Tax)</f>
        <v>1165437.733</v>
      </c>
      <c r="L154" s="187">
        <f>VLOOKUP(C154,'NAVs_Till 29 Jun 2021'!$A$3:$J$2236,MATCH('Pre-Calculation'!$C$34,'NAVs_Till 29 Jun 2021'!$A$1:$J$1,0))</f>
        <v>20.7486</v>
      </c>
      <c r="M154" s="187">
        <f>IFERROR(1,VLOOKUP(C154,'NAVs_Till 29 Jun 2021'!$A$3:$J$2236,MATCH(#REF!,'NAVs_Till 29 Jun 2021'!$A$1:$J$1,0)))</f>
        <v>1</v>
      </c>
      <c r="N154" s="175">
        <f>VLOOKUP('Pre-Calculation'!$C$34,INPUT!$B$20:$C$28,2,0)*K154*(L155/L154)+ IFERROR(0,VLOOKUP('Pre-Calculation'!$D$34,INPUT!$B$20:$C$28,2,0))*K154*(M155/M154)</f>
        <v>1165437.733</v>
      </c>
      <c r="O154" s="175">
        <f t="shared" si="3"/>
        <v>1165437.733</v>
      </c>
      <c r="P154" s="175">
        <f t="shared" si="4"/>
        <v>1165437.733</v>
      </c>
      <c r="Q154" s="175">
        <f>IF('Pre-Calculation'!$D$17="Type 4 a",MAX(SA,O154,1.05*R154),IF('Pre-Calculation'!$D$17="Type 4 c",O154,IF('Pre-Calculation'!$D$17="Type 4 d",SA+O154,IF('Pre-Calculation'!$D$17="Type 4 e",MAX(SA,O154),IF('Pre-Calculation'!$D$17="Type 4 f",SA,IF('Pre-Calculation'!$D$17="Type 4 g",1000+O154,IF('Pre-Calculation'!$D$17="Type 4 h",SA+S154,IF('Pre-Calculation'!$D$17="Type 4 i",MAX(O154,R154),IF('Pre-Calculation'!$D$17="Type 4 k",MAX(O154,1.01*R154),IF('Pre-Calculation'!$D$17="Type 4 m",MAX(105%*R154,SA+O154),IF('Pre-Calculation'!$D$17="Type 4 o",MAX(SA,105%*R154)+X154+Z154,IF('Pre-Calculation'!$D$17="Type 5",0))))))))))))</f>
        <v>1165437.733</v>
      </c>
      <c r="R154" s="175">
        <f t="shared" si="5"/>
        <v>1000000</v>
      </c>
      <c r="S154" s="119">
        <f>K154*(1+GROWTH_RATE)*FMC</f>
        <v>1318.835624</v>
      </c>
      <c r="T154" s="178">
        <f>T153*(1+'Pre-Calculation'!$E$27)</f>
        <v>993522.4173</v>
      </c>
      <c r="U154" s="175">
        <f>-E154+IF(A153=INPUT!$C$11*12,O154,0)</f>
        <v>0</v>
      </c>
      <c r="V154" s="112"/>
      <c r="W154" s="112"/>
      <c r="X154" s="179">
        <f t="array" ref="X154">NPV('Pre-Calculation'!$E$20,$E155:E$246)</f>
        <v>0</v>
      </c>
      <c r="Y154" s="171">
        <f>10%*SA</f>
        <v>100000</v>
      </c>
      <c r="Z154" s="179">
        <f t="array" ref="Z154">NPV('Pre-Calculation'!$E$20,Y155:Y164)</f>
        <v>969592.8037</v>
      </c>
    </row>
    <row r="155" ht="15.75" customHeight="1">
      <c r="A155" s="171">
        <f t="shared" si="1"/>
        <v>149</v>
      </c>
      <c r="B155" s="171">
        <f t="shared" si="2"/>
        <v>13</v>
      </c>
      <c r="C155" s="176">
        <f>EDATE(RCD,A154)</f>
        <v>47056</v>
      </c>
      <c r="D155" s="171">
        <f>Age_At_Entry+Cashflows_Backtesting!B155-1</f>
        <v>47</v>
      </c>
      <c r="E155" s="175">
        <f>IF(AND(C155&lt;=Last_Prem,MOD(A154,Mode)=0),Mod_Prem,0)</f>
        <v>0</v>
      </c>
      <c r="F155" s="177">
        <f>E155*VLOOKUP(B155,'Pre-Calculation'!$H$1:$I$31,2,FALSE)</f>
        <v>0</v>
      </c>
      <c r="G155" s="177">
        <f>IF(B155&lt;PT+1,VLOOKUP(B155,'Pre-Calculation'!$H$1:$L$32,3,FALSE)+VLOOKUP(B155,'Pre-Calculation'!$H$1:$L$32,4,FALSE)*'Pre-Calculation'!$D$7,0)</f>
        <v>0</v>
      </c>
      <c r="H155" s="175">
        <f>(E155-(F155+G155)*(1+Tax)+O154)</f>
        <v>1165437.733</v>
      </c>
      <c r="I155" s="175">
        <f>IF(B155&lt;PT+1,VLOOKUP(D155,'Pre-Calculation'!$N$3:$P$79,IF(INPUT!$C$4="M",2,3),FALSE)*(J155/1000)*(1/12),0)</f>
        <v>0</v>
      </c>
      <c r="J155" s="175">
        <f>MAX(0,(SA-H155))</f>
        <v>0</v>
      </c>
      <c r="K155" s="175">
        <f>H155-I155*(1+Tax)</f>
        <v>1165437.733</v>
      </c>
      <c r="L155" s="187">
        <f>VLOOKUP(C155,'NAVs_Till 29 Jun 2021'!$A$3:$J$2236,MATCH('Pre-Calculation'!$C$34,'NAVs_Till 29 Jun 2021'!$A$1:$J$1,0))</f>
        <v>20.7486</v>
      </c>
      <c r="M155" s="187">
        <f>IFERROR(1,VLOOKUP(C155,'NAVs_Till 29 Jun 2021'!$A$3:$J$2236,MATCH(#REF!,'NAVs_Till 29 Jun 2021'!$A$1:$J$1,0)))</f>
        <v>1</v>
      </c>
      <c r="N155" s="175">
        <f>VLOOKUP('Pre-Calculation'!$C$34,INPUT!$B$20:$C$28,2,0)*K155*(L156/L155)+ IFERROR(0,VLOOKUP('Pre-Calculation'!$D$34,INPUT!$B$20:$C$28,2,0))*K155*(M156/M155)</f>
        <v>1165437.733</v>
      </c>
      <c r="O155" s="175">
        <f t="shared" si="3"/>
        <v>1165437.733</v>
      </c>
      <c r="P155" s="175">
        <f t="shared" si="4"/>
        <v>1165437.733</v>
      </c>
      <c r="Q155" s="175">
        <f>IF('Pre-Calculation'!$D$17="Type 4 a",MAX(SA,O155,1.05*R155),IF('Pre-Calculation'!$D$17="Type 4 c",O155,IF('Pre-Calculation'!$D$17="Type 4 d",SA+O155,IF('Pre-Calculation'!$D$17="Type 4 e",MAX(SA,O155),IF('Pre-Calculation'!$D$17="Type 4 f",SA,IF('Pre-Calculation'!$D$17="Type 4 g",1000+O155,IF('Pre-Calculation'!$D$17="Type 4 h",SA+S155,IF('Pre-Calculation'!$D$17="Type 4 i",MAX(O155,R155),IF('Pre-Calculation'!$D$17="Type 4 k",MAX(O155,1.01*R155),IF('Pre-Calculation'!$D$17="Type 4 m",MAX(105%*R155,SA+O155),IF('Pre-Calculation'!$D$17="Type 4 o",MAX(SA,105%*R155)+X155+Z155,IF('Pre-Calculation'!$D$17="Type 5",0))))))))))))</f>
        <v>1165437.733</v>
      </c>
      <c r="R155" s="175">
        <f t="shared" si="5"/>
        <v>1000000</v>
      </c>
      <c r="S155" s="119">
        <f>K155*(1+GROWTH_RATE)*FMC</f>
        <v>1318.835624</v>
      </c>
      <c r="T155" s="178">
        <f>T154*(1+'Pre-Calculation'!$E$27)</f>
        <v>996374.7196</v>
      </c>
      <c r="U155" s="175">
        <f>-E155+IF(A154=INPUT!$C$11*12,O155,0)</f>
        <v>0</v>
      </c>
      <c r="V155" s="112"/>
      <c r="W155" s="112"/>
      <c r="X155" s="179">
        <f t="array" ref="X155">NPV('Pre-Calculation'!$E$20,$E156:E$246)</f>
        <v>0</v>
      </c>
      <c r="Y155" s="171">
        <f>10%*SA</f>
        <v>100000</v>
      </c>
      <c r="Z155" s="179">
        <f t="array" ref="Z155">NPV('Pre-Calculation'!$E$20,Y156:Y165)</f>
        <v>969592.8037</v>
      </c>
    </row>
    <row r="156" ht="15.75" customHeight="1">
      <c r="A156" s="171">
        <f t="shared" si="1"/>
        <v>150</v>
      </c>
      <c r="B156" s="171">
        <f t="shared" si="2"/>
        <v>13</v>
      </c>
      <c r="C156" s="176">
        <f>EDATE(RCD,A155)</f>
        <v>47087</v>
      </c>
      <c r="D156" s="171">
        <f>Age_At_Entry+Cashflows_Backtesting!B156-1</f>
        <v>47</v>
      </c>
      <c r="E156" s="175">
        <f>IF(AND(C156&lt;=Last_Prem,MOD(A155,Mode)=0),Mod_Prem,0)</f>
        <v>0</v>
      </c>
      <c r="F156" s="177">
        <f>E156*VLOOKUP(B156,'Pre-Calculation'!$H$1:$I$31,2,FALSE)</f>
        <v>0</v>
      </c>
      <c r="G156" s="177">
        <f>IF(B156&lt;PT+1,VLOOKUP(B156,'Pre-Calculation'!$H$1:$L$32,3,FALSE)+VLOOKUP(B156,'Pre-Calculation'!$H$1:$L$32,4,FALSE)*'Pre-Calculation'!$D$7,0)</f>
        <v>0</v>
      </c>
      <c r="H156" s="175">
        <f>(E156-(F156+G156)*(1+Tax)+O155)</f>
        <v>1165437.733</v>
      </c>
      <c r="I156" s="175">
        <f>IF(B156&lt;PT+1,VLOOKUP(D156,'Pre-Calculation'!$N$3:$P$79,IF(INPUT!$C$4="M",2,3),FALSE)*(J156/1000)*(1/12),0)</f>
        <v>0</v>
      </c>
      <c r="J156" s="175">
        <f>MAX(0,(SA-H156))</f>
        <v>0</v>
      </c>
      <c r="K156" s="175">
        <f>H156-I156*(1+Tax)</f>
        <v>1165437.733</v>
      </c>
      <c r="L156" s="187">
        <f>VLOOKUP(C156,'NAVs_Till 29 Jun 2021'!$A$3:$J$2236,MATCH('Pre-Calculation'!$C$34,'NAVs_Till 29 Jun 2021'!$A$1:$J$1,0))</f>
        <v>20.7486</v>
      </c>
      <c r="M156" s="187">
        <f>IFERROR(1,VLOOKUP(C156,'NAVs_Till 29 Jun 2021'!$A$3:$J$2236,MATCH(#REF!,'NAVs_Till 29 Jun 2021'!$A$1:$J$1,0)))</f>
        <v>1</v>
      </c>
      <c r="N156" s="175">
        <f>VLOOKUP('Pre-Calculation'!$C$34,INPUT!$B$20:$C$28,2,0)*K156*(L157/L156)+ IFERROR(0,VLOOKUP('Pre-Calculation'!$D$34,INPUT!$B$20:$C$28,2,0))*K156*(M157/M156)</f>
        <v>1165437.733</v>
      </c>
      <c r="O156" s="175">
        <f t="shared" si="3"/>
        <v>1165437.733</v>
      </c>
      <c r="P156" s="175">
        <f t="shared" si="4"/>
        <v>1165437.733</v>
      </c>
      <c r="Q156" s="175">
        <f>IF('Pre-Calculation'!$D$17="Type 4 a",MAX(SA,O156,1.05*R156),IF('Pre-Calculation'!$D$17="Type 4 c",O156,IF('Pre-Calculation'!$D$17="Type 4 d",SA+O156,IF('Pre-Calculation'!$D$17="Type 4 e",MAX(SA,O156),IF('Pre-Calculation'!$D$17="Type 4 f",SA,IF('Pre-Calculation'!$D$17="Type 4 g",1000+O156,IF('Pre-Calculation'!$D$17="Type 4 h",SA+S156,IF('Pre-Calculation'!$D$17="Type 4 i",MAX(O156,R156),IF('Pre-Calculation'!$D$17="Type 4 k",MAX(O156,1.01*R156),IF('Pre-Calculation'!$D$17="Type 4 m",MAX(105%*R156,SA+O156),IF('Pre-Calculation'!$D$17="Type 4 o",MAX(SA,105%*R156)+X156+Z156,IF('Pre-Calculation'!$D$17="Type 5",0))))))))))))</f>
        <v>1165437.733</v>
      </c>
      <c r="R156" s="175">
        <f t="shared" si="5"/>
        <v>1000000</v>
      </c>
      <c r="S156" s="119">
        <f>K156*(1+GROWTH_RATE)*FMC</f>
        <v>1318.835624</v>
      </c>
      <c r="T156" s="178">
        <f>T155*(1+'Pre-Calculation'!$E$27)</f>
        <v>999235.2105</v>
      </c>
      <c r="U156" s="175">
        <f>-E156+IF(A155=INPUT!$C$11*12,O156,0)</f>
        <v>0</v>
      </c>
      <c r="V156" s="112"/>
      <c r="W156" s="112"/>
      <c r="X156" s="179">
        <f t="array" ref="X156">NPV('Pre-Calculation'!$E$20,$E157:E$246)</f>
        <v>0</v>
      </c>
      <c r="Y156" s="171">
        <f>10%*SA</f>
        <v>100000</v>
      </c>
      <c r="Z156" s="179">
        <f t="array" ref="Z156">NPV('Pre-Calculation'!$E$20,Y157:Y166)</f>
        <v>969592.8037</v>
      </c>
    </row>
    <row r="157" ht="15.75" customHeight="1">
      <c r="A157" s="171">
        <f t="shared" si="1"/>
        <v>151</v>
      </c>
      <c r="B157" s="171">
        <f t="shared" si="2"/>
        <v>13</v>
      </c>
      <c r="C157" s="176">
        <f>EDATE(RCD,A156)</f>
        <v>47117</v>
      </c>
      <c r="D157" s="171">
        <f>Age_At_Entry+Cashflows_Backtesting!B157-1</f>
        <v>47</v>
      </c>
      <c r="E157" s="175">
        <f>IF(AND(C157&lt;=Last_Prem,MOD(A156,Mode)=0),Mod_Prem,0)</f>
        <v>0</v>
      </c>
      <c r="F157" s="177">
        <f>E157*VLOOKUP(B157,'Pre-Calculation'!$H$1:$I$31,2,FALSE)</f>
        <v>0</v>
      </c>
      <c r="G157" s="177">
        <f>IF(B157&lt;PT+1,VLOOKUP(B157,'Pre-Calculation'!$H$1:$L$32,3,FALSE)+VLOOKUP(B157,'Pre-Calculation'!$H$1:$L$32,4,FALSE)*'Pre-Calculation'!$D$7,0)</f>
        <v>0</v>
      </c>
      <c r="H157" s="175">
        <f>(E157-(F157+G157)*(1+Tax)+O156)</f>
        <v>1165437.733</v>
      </c>
      <c r="I157" s="175">
        <f>IF(B157&lt;PT+1,VLOOKUP(D157,'Pre-Calculation'!$N$3:$P$79,IF(INPUT!$C$4="M",2,3),FALSE)*(J157/1000)*(1/12),0)</f>
        <v>0</v>
      </c>
      <c r="J157" s="175">
        <f>MAX(0,(SA-H157))</f>
        <v>0</v>
      </c>
      <c r="K157" s="175">
        <f>H157-I157*(1+Tax)</f>
        <v>1165437.733</v>
      </c>
      <c r="L157" s="187">
        <f>VLOOKUP(C157,'NAVs_Till 29 Jun 2021'!$A$3:$J$2236,MATCH('Pre-Calculation'!$C$34,'NAVs_Till 29 Jun 2021'!$A$1:$J$1,0))</f>
        <v>20.7486</v>
      </c>
      <c r="M157" s="187">
        <f>IFERROR(1,VLOOKUP(C157,'NAVs_Till 29 Jun 2021'!$A$3:$J$2236,MATCH(#REF!,'NAVs_Till 29 Jun 2021'!$A$1:$J$1,0)))</f>
        <v>1</v>
      </c>
      <c r="N157" s="175">
        <f>VLOOKUP('Pre-Calculation'!$C$34,INPUT!$B$20:$C$28,2,0)*K157*(L158/L157)+ IFERROR(0,VLOOKUP('Pre-Calculation'!$D$34,INPUT!$B$20:$C$28,2,0))*K157*(M158/M157)</f>
        <v>1165437.733</v>
      </c>
      <c r="O157" s="175">
        <f t="shared" si="3"/>
        <v>1165437.733</v>
      </c>
      <c r="P157" s="175">
        <f t="shared" si="4"/>
        <v>1165437.733</v>
      </c>
      <c r="Q157" s="175">
        <f>IF('Pre-Calculation'!$D$17="Type 4 a",MAX(SA,O157,1.05*R157),IF('Pre-Calculation'!$D$17="Type 4 c",O157,IF('Pre-Calculation'!$D$17="Type 4 d",SA+O157,IF('Pre-Calculation'!$D$17="Type 4 e",MAX(SA,O157),IF('Pre-Calculation'!$D$17="Type 4 f",SA,IF('Pre-Calculation'!$D$17="Type 4 g",1000+O157,IF('Pre-Calculation'!$D$17="Type 4 h",SA+S157,IF('Pre-Calculation'!$D$17="Type 4 i",MAX(O157,R157),IF('Pre-Calculation'!$D$17="Type 4 k",MAX(O157,1.01*R157),IF('Pre-Calculation'!$D$17="Type 4 m",MAX(105%*R157,SA+O157),IF('Pre-Calculation'!$D$17="Type 4 o",MAX(SA,105%*R157)+X157+Z157,IF('Pre-Calculation'!$D$17="Type 5",0))))))))))))</f>
        <v>1165437.733</v>
      </c>
      <c r="R157" s="175">
        <f t="shared" si="5"/>
        <v>1000000</v>
      </c>
      <c r="S157" s="119">
        <f>K157*(1+GROWTH_RATE)*FMC</f>
        <v>1318.835624</v>
      </c>
      <c r="T157" s="178">
        <f>T156*(1+'Pre-Calculation'!$E$27)</f>
        <v>1002103.914</v>
      </c>
      <c r="U157" s="175">
        <f>-E157+IF(A156=INPUT!$C$11*12,O157,0)</f>
        <v>0</v>
      </c>
      <c r="V157" s="112"/>
      <c r="W157" s="112"/>
      <c r="X157" s="179">
        <f t="array" ref="X157">NPV('Pre-Calculation'!$E$20,$E158:E$246)</f>
        <v>0</v>
      </c>
      <c r="Y157" s="171">
        <f>10%*SA</f>
        <v>100000</v>
      </c>
      <c r="Z157" s="179">
        <f t="array" ref="Z157">NPV('Pre-Calculation'!$E$20,Y158:Y167)</f>
        <v>969592.8037</v>
      </c>
    </row>
    <row r="158" ht="15.75" customHeight="1">
      <c r="A158" s="171">
        <f t="shared" si="1"/>
        <v>152</v>
      </c>
      <c r="B158" s="171">
        <f t="shared" si="2"/>
        <v>13</v>
      </c>
      <c r="C158" s="176">
        <f>EDATE(RCD,A157)</f>
        <v>47148</v>
      </c>
      <c r="D158" s="171">
        <f>Age_At_Entry+Cashflows_Backtesting!B158-1</f>
        <v>47</v>
      </c>
      <c r="E158" s="175">
        <f>IF(AND(C158&lt;=Last_Prem,MOD(A157,Mode)=0),Mod_Prem,0)</f>
        <v>0</v>
      </c>
      <c r="F158" s="177">
        <f>E158*VLOOKUP(B158,'Pre-Calculation'!$H$1:$I$31,2,FALSE)</f>
        <v>0</v>
      </c>
      <c r="G158" s="177">
        <f>IF(B158&lt;PT+1,VLOOKUP(B158,'Pre-Calculation'!$H$1:$L$32,3,FALSE)+VLOOKUP(B158,'Pre-Calculation'!$H$1:$L$32,4,FALSE)*'Pre-Calculation'!$D$7,0)</f>
        <v>0</v>
      </c>
      <c r="H158" s="175">
        <f>(E158-(F158+G158)*(1+Tax)+O157)</f>
        <v>1165437.733</v>
      </c>
      <c r="I158" s="175">
        <f>IF(B158&lt;PT+1,VLOOKUP(D158,'Pre-Calculation'!$N$3:$P$79,IF(INPUT!$C$4="M",2,3),FALSE)*(J158/1000)*(1/12),0)</f>
        <v>0</v>
      </c>
      <c r="J158" s="175">
        <f>MAX(0,(SA-H158))</f>
        <v>0</v>
      </c>
      <c r="K158" s="175">
        <f>H158-I158*(1+Tax)</f>
        <v>1165437.733</v>
      </c>
      <c r="L158" s="187">
        <f>VLOOKUP(C158,'NAVs_Till 29 Jun 2021'!$A$3:$J$2236,MATCH('Pre-Calculation'!$C$34,'NAVs_Till 29 Jun 2021'!$A$1:$J$1,0))</f>
        <v>20.7486</v>
      </c>
      <c r="M158" s="187">
        <f>IFERROR(1,VLOOKUP(C158,'NAVs_Till 29 Jun 2021'!$A$3:$J$2236,MATCH(#REF!,'NAVs_Till 29 Jun 2021'!$A$1:$J$1,0)))</f>
        <v>1</v>
      </c>
      <c r="N158" s="175">
        <f>VLOOKUP('Pre-Calculation'!$C$34,INPUT!$B$20:$C$28,2,0)*K158*(L159/L158)+ IFERROR(0,VLOOKUP('Pre-Calculation'!$D$34,INPUT!$B$20:$C$28,2,0))*K158*(M159/M158)</f>
        <v>1165437.733</v>
      </c>
      <c r="O158" s="175">
        <f t="shared" si="3"/>
        <v>1165437.733</v>
      </c>
      <c r="P158" s="175">
        <f t="shared" si="4"/>
        <v>1165437.733</v>
      </c>
      <c r="Q158" s="175">
        <f>IF('Pre-Calculation'!$D$17="Type 4 a",MAX(SA,O158,1.05*R158),IF('Pre-Calculation'!$D$17="Type 4 c",O158,IF('Pre-Calculation'!$D$17="Type 4 d",SA+O158,IF('Pre-Calculation'!$D$17="Type 4 e",MAX(SA,O158),IF('Pre-Calculation'!$D$17="Type 4 f",SA,IF('Pre-Calculation'!$D$17="Type 4 g",1000+O158,IF('Pre-Calculation'!$D$17="Type 4 h",SA+S158,IF('Pre-Calculation'!$D$17="Type 4 i",MAX(O158,R158),IF('Pre-Calculation'!$D$17="Type 4 k",MAX(O158,1.01*R158),IF('Pre-Calculation'!$D$17="Type 4 m",MAX(105%*R158,SA+O158),IF('Pre-Calculation'!$D$17="Type 4 o",MAX(SA,105%*R158)+X158+Z158,IF('Pre-Calculation'!$D$17="Type 5",0))))))))))))</f>
        <v>1165437.733</v>
      </c>
      <c r="R158" s="175">
        <f t="shared" si="5"/>
        <v>1000000</v>
      </c>
      <c r="S158" s="119">
        <f>K158*(1+GROWTH_RATE)*FMC</f>
        <v>1318.835624</v>
      </c>
      <c r="T158" s="178">
        <f>T157*(1+'Pre-Calculation'!$E$27)</f>
        <v>1004980.852</v>
      </c>
      <c r="U158" s="175">
        <f>-E158+IF(A157=INPUT!$C$11*12,O158,0)</f>
        <v>0</v>
      </c>
      <c r="V158" s="112"/>
      <c r="W158" s="112"/>
      <c r="X158" s="179">
        <f t="array" ref="X158">NPV('Pre-Calculation'!$E$20,$E159:E$246)</f>
        <v>0</v>
      </c>
      <c r="Y158" s="171">
        <f>10%*SA</f>
        <v>100000</v>
      </c>
      <c r="Z158" s="179">
        <f t="array" ref="Z158">NPV('Pre-Calculation'!$E$20,Y159:Y168)</f>
        <v>969592.8037</v>
      </c>
    </row>
    <row r="159" ht="15.75" customHeight="1">
      <c r="A159" s="171">
        <f t="shared" si="1"/>
        <v>153</v>
      </c>
      <c r="B159" s="171">
        <f t="shared" si="2"/>
        <v>13</v>
      </c>
      <c r="C159" s="176">
        <f>EDATE(RCD,A158)</f>
        <v>47177</v>
      </c>
      <c r="D159" s="171">
        <f>Age_At_Entry+Cashflows_Backtesting!B159-1</f>
        <v>47</v>
      </c>
      <c r="E159" s="175">
        <f>IF(AND(C159&lt;=Last_Prem,MOD(A158,Mode)=0),Mod_Prem,0)</f>
        <v>0</v>
      </c>
      <c r="F159" s="177">
        <f>E159*VLOOKUP(B159,'Pre-Calculation'!$H$1:$I$31,2,FALSE)</f>
        <v>0</v>
      </c>
      <c r="G159" s="177">
        <f>IF(B159&lt;PT+1,VLOOKUP(B159,'Pre-Calculation'!$H$1:$L$32,3,FALSE)+VLOOKUP(B159,'Pre-Calculation'!$H$1:$L$32,4,FALSE)*'Pre-Calculation'!$D$7,0)</f>
        <v>0</v>
      </c>
      <c r="H159" s="175">
        <f>(E159-(F159+G159)*(1+Tax)+O158)</f>
        <v>1165437.733</v>
      </c>
      <c r="I159" s="175">
        <f>IF(B159&lt;PT+1,VLOOKUP(D159,'Pre-Calculation'!$N$3:$P$79,IF(INPUT!$C$4="M",2,3),FALSE)*(J159/1000)*(1/12),0)</f>
        <v>0</v>
      </c>
      <c r="J159" s="175">
        <f>MAX(0,(SA-H159))</f>
        <v>0</v>
      </c>
      <c r="K159" s="175">
        <f>H159-I159*(1+Tax)</f>
        <v>1165437.733</v>
      </c>
      <c r="L159" s="187">
        <f>VLOOKUP(C159,'NAVs_Till 29 Jun 2021'!$A$3:$J$2236,MATCH('Pre-Calculation'!$C$34,'NAVs_Till 29 Jun 2021'!$A$1:$J$1,0))</f>
        <v>20.7486</v>
      </c>
      <c r="M159" s="187">
        <f>IFERROR(1,VLOOKUP(C159,'NAVs_Till 29 Jun 2021'!$A$3:$J$2236,MATCH(#REF!,'NAVs_Till 29 Jun 2021'!$A$1:$J$1,0)))</f>
        <v>1</v>
      </c>
      <c r="N159" s="175">
        <f>VLOOKUP('Pre-Calculation'!$C$34,INPUT!$B$20:$C$28,2,0)*K159*(L160/L159)+ IFERROR(0,VLOOKUP('Pre-Calculation'!$D$34,INPUT!$B$20:$C$28,2,0))*K159*(M160/M159)</f>
        <v>1165437.733</v>
      </c>
      <c r="O159" s="175">
        <f t="shared" si="3"/>
        <v>1165437.733</v>
      </c>
      <c r="P159" s="175">
        <f t="shared" si="4"/>
        <v>1165437.733</v>
      </c>
      <c r="Q159" s="175">
        <f>IF('Pre-Calculation'!$D$17="Type 4 a",MAX(SA,O159,1.05*R159),IF('Pre-Calculation'!$D$17="Type 4 c",O159,IF('Pre-Calculation'!$D$17="Type 4 d",SA+O159,IF('Pre-Calculation'!$D$17="Type 4 e",MAX(SA,O159),IF('Pre-Calculation'!$D$17="Type 4 f",SA,IF('Pre-Calculation'!$D$17="Type 4 g",1000+O159,IF('Pre-Calculation'!$D$17="Type 4 h",SA+S159,IF('Pre-Calculation'!$D$17="Type 4 i",MAX(O159,R159),IF('Pre-Calculation'!$D$17="Type 4 k",MAX(O159,1.01*R159),IF('Pre-Calculation'!$D$17="Type 4 m",MAX(105%*R159,SA+O159),IF('Pre-Calculation'!$D$17="Type 4 o",MAX(SA,105%*R159)+X159+Z159,IF('Pre-Calculation'!$D$17="Type 5",0))))))))))))</f>
        <v>1165437.733</v>
      </c>
      <c r="R159" s="175">
        <f t="shared" si="5"/>
        <v>1000000</v>
      </c>
      <c r="S159" s="119">
        <f>K159*(1+GROWTH_RATE)*FMC</f>
        <v>1318.835624</v>
      </c>
      <c r="T159" s="178">
        <f>T158*(1+'Pre-Calculation'!$E$27)</f>
        <v>1007866.051</v>
      </c>
      <c r="U159" s="175">
        <f>-E159+IF(A158=INPUT!$C$11*12,O159,0)</f>
        <v>0</v>
      </c>
      <c r="V159" s="112"/>
      <c r="W159" s="112"/>
      <c r="X159" s="179">
        <f t="array" ref="X159">NPV('Pre-Calculation'!$E$20,$E160:E$246)</f>
        <v>0</v>
      </c>
      <c r="Y159" s="171">
        <f>10%*SA</f>
        <v>100000</v>
      </c>
      <c r="Z159" s="179">
        <f t="array" ref="Z159">NPV('Pre-Calculation'!$E$20,Y160:Y169)</f>
        <v>969592.8037</v>
      </c>
    </row>
    <row r="160" ht="15.75" customHeight="1">
      <c r="A160" s="171">
        <f t="shared" si="1"/>
        <v>154</v>
      </c>
      <c r="B160" s="171">
        <f t="shared" si="2"/>
        <v>13</v>
      </c>
      <c r="C160" s="176">
        <f>EDATE(RCD,A159)</f>
        <v>47207</v>
      </c>
      <c r="D160" s="171">
        <f>Age_At_Entry+Cashflows_Backtesting!B160-1</f>
        <v>47</v>
      </c>
      <c r="E160" s="175">
        <f>IF(AND(C160&lt;=Last_Prem,MOD(A159,Mode)=0),Mod_Prem,0)</f>
        <v>0</v>
      </c>
      <c r="F160" s="177">
        <f>E160*VLOOKUP(B160,'Pre-Calculation'!$H$1:$I$31,2,FALSE)</f>
        <v>0</v>
      </c>
      <c r="G160" s="177">
        <f>IF(B160&lt;PT+1,VLOOKUP(B160,'Pre-Calculation'!$H$1:$L$32,3,FALSE)+VLOOKUP(B160,'Pre-Calculation'!$H$1:$L$32,4,FALSE)*'Pre-Calculation'!$D$7,0)</f>
        <v>0</v>
      </c>
      <c r="H160" s="175">
        <f>(E160-(F160+G160)*(1+Tax)+O159)</f>
        <v>1165437.733</v>
      </c>
      <c r="I160" s="175">
        <f>IF(B160&lt;PT+1,VLOOKUP(D160,'Pre-Calculation'!$N$3:$P$79,IF(INPUT!$C$4="M",2,3),FALSE)*(J160/1000)*(1/12),0)</f>
        <v>0</v>
      </c>
      <c r="J160" s="175">
        <f>MAX(0,(SA-H160))</f>
        <v>0</v>
      </c>
      <c r="K160" s="175">
        <f>H160-I160*(1+Tax)</f>
        <v>1165437.733</v>
      </c>
      <c r="L160" s="187">
        <f>VLOOKUP(C160,'NAVs_Till 29 Jun 2021'!$A$3:$J$2236,MATCH('Pre-Calculation'!$C$34,'NAVs_Till 29 Jun 2021'!$A$1:$J$1,0))</f>
        <v>20.7486</v>
      </c>
      <c r="M160" s="187">
        <f>IFERROR(1,VLOOKUP(C160,'NAVs_Till 29 Jun 2021'!$A$3:$J$2236,MATCH(#REF!,'NAVs_Till 29 Jun 2021'!$A$1:$J$1,0)))</f>
        <v>1</v>
      </c>
      <c r="N160" s="175">
        <f>VLOOKUP('Pre-Calculation'!$C$34,INPUT!$B$20:$C$28,2,0)*K160*(L161/L160)+ IFERROR(0,VLOOKUP('Pre-Calculation'!$D$34,INPUT!$B$20:$C$28,2,0))*K160*(M161/M160)</f>
        <v>1165437.733</v>
      </c>
      <c r="O160" s="175">
        <f t="shared" si="3"/>
        <v>1165437.733</v>
      </c>
      <c r="P160" s="175">
        <f t="shared" si="4"/>
        <v>1165437.733</v>
      </c>
      <c r="Q160" s="175">
        <f>IF('Pre-Calculation'!$D$17="Type 4 a",MAX(SA,O160,1.05*R160),IF('Pre-Calculation'!$D$17="Type 4 c",O160,IF('Pre-Calculation'!$D$17="Type 4 d",SA+O160,IF('Pre-Calculation'!$D$17="Type 4 e",MAX(SA,O160),IF('Pre-Calculation'!$D$17="Type 4 f",SA,IF('Pre-Calculation'!$D$17="Type 4 g",1000+O160,IF('Pre-Calculation'!$D$17="Type 4 h",SA+S160,IF('Pre-Calculation'!$D$17="Type 4 i",MAX(O160,R160),IF('Pre-Calculation'!$D$17="Type 4 k",MAX(O160,1.01*R160),IF('Pre-Calculation'!$D$17="Type 4 m",MAX(105%*R160,SA+O160),IF('Pre-Calculation'!$D$17="Type 4 o",MAX(SA,105%*R160)+X160+Z160,IF('Pre-Calculation'!$D$17="Type 5",0))))))))))))</f>
        <v>1165437.733</v>
      </c>
      <c r="R160" s="175">
        <f t="shared" si="5"/>
        <v>1000000</v>
      </c>
      <c r="S160" s="119">
        <f>K160*(1+GROWTH_RATE)*FMC</f>
        <v>1318.835624</v>
      </c>
      <c r="T160" s="178">
        <f>T159*(1+'Pre-Calculation'!$E$27)</f>
        <v>1010759.532</v>
      </c>
      <c r="U160" s="175">
        <f>-E160+IF(A159=INPUT!$C$11*12,O160,0)</f>
        <v>0</v>
      </c>
      <c r="V160" s="112"/>
      <c r="W160" s="112"/>
      <c r="X160" s="179">
        <f t="array" ref="X160">NPV('Pre-Calculation'!$E$20,$E161:E$246)</f>
        <v>0</v>
      </c>
      <c r="Y160" s="171">
        <f>10%*SA</f>
        <v>100000</v>
      </c>
      <c r="Z160" s="179">
        <f t="array" ref="Z160">NPV('Pre-Calculation'!$E$20,Y161:Y170)</f>
        <v>969592.8037</v>
      </c>
    </row>
    <row r="161" ht="15.75" customHeight="1">
      <c r="A161" s="171">
        <f t="shared" si="1"/>
        <v>155</v>
      </c>
      <c r="B161" s="171">
        <f t="shared" si="2"/>
        <v>13</v>
      </c>
      <c r="C161" s="176">
        <f>EDATE(RCD,A160)</f>
        <v>47238</v>
      </c>
      <c r="D161" s="171">
        <f>Age_At_Entry+Cashflows_Backtesting!B161-1</f>
        <v>47</v>
      </c>
      <c r="E161" s="175">
        <f>IF(AND(C161&lt;=Last_Prem,MOD(A160,Mode)=0),Mod_Prem,0)</f>
        <v>0</v>
      </c>
      <c r="F161" s="177">
        <f>E161*VLOOKUP(B161,'Pre-Calculation'!$H$1:$I$31,2,FALSE)</f>
        <v>0</v>
      </c>
      <c r="G161" s="177">
        <f>IF(B161&lt;PT+1,VLOOKUP(B161,'Pre-Calculation'!$H$1:$L$32,3,FALSE)+VLOOKUP(B161,'Pre-Calculation'!$H$1:$L$32,4,FALSE)*'Pre-Calculation'!$D$7,0)</f>
        <v>0</v>
      </c>
      <c r="H161" s="175">
        <f>(E161-(F161+G161)*(1+Tax)+O160)</f>
        <v>1165437.733</v>
      </c>
      <c r="I161" s="175">
        <f>IF(B161&lt;PT+1,VLOOKUP(D161,'Pre-Calculation'!$N$3:$P$79,IF(INPUT!$C$4="M",2,3),FALSE)*(J161/1000)*(1/12),0)</f>
        <v>0</v>
      </c>
      <c r="J161" s="175">
        <f>MAX(0,(SA-H161))</f>
        <v>0</v>
      </c>
      <c r="K161" s="175">
        <f>H161-I161*(1+Tax)</f>
        <v>1165437.733</v>
      </c>
      <c r="L161" s="187">
        <f>VLOOKUP(C161,'NAVs_Till 29 Jun 2021'!$A$3:$J$2236,MATCH('Pre-Calculation'!$C$34,'NAVs_Till 29 Jun 2021'!$A$1:$J$1,0))</f>
        <v>20.7486</v>
      </c>
      <c r="M161" s="187">
        <f>IFERROR(1,VLOOKUP(C161,'NAVs_Till 29 Jun 2021'!$A$3:$J$2236,MATCH(#REF!,'NAVs_Till 29 Jun 2021'!$A$1:$J$1,0)))</f>
        <v>1</v>
      </c>
      <c r="N161" s="175">
        <f>VLOOKUP('Pre-Calculation'!$C$34,INPUT!$B$20:$C$28,2,0)*K161*(L162/L161)+ IFERROR(0,VLOOKUP('Pre-Calculation'!$D$34,INPUT!$B$20:$C$28,2,0))*K161*(M162/M161)</f>
        <v>1165437.733</v>
      </c>
      <c r="O161" s="175">
        <f t="shared" si="3"/>
        <v>1165437.733</v>
      </c>
      <c r="P161" s="175">
        <f t="shared" si="4"/>
        <v>1165437.733</v>
      </c>
      <c r="Q161" s="175">
        <f>IF('Pre-Calculation'!$D$17="Type 4 a",MAX(SA,O161,1.05*R161),IF('Pre-Calculation'!$D$17="Type 4 c",O161,IF('Pre-Calculation'!$D$17="Type 4 d",SA+O161,IF('Pre-Calculation'!$D$17="Type 4 e",MAX(SA,O161),IF('Pre-Calculation'!$D$17="Type 4 f",SA,IF('Pre-Calculation'!$D$17="Type 4 g",1000+O161,IF('Pre-Calculation'!$D$17="Type 4 h",SA+S161,IF('Pre-Calculation'!$D$17="Type 4 i",MAX(O161,R161),IF('Pre-Calculation'!$D$17="Type 4 k",MAX(O161,1.01*R161),IF('Pre-Calculation'!$D$17="Type 4 m",MAX(105%*R161,SA+O161),IF('Pre-Calculation'!$D$17="Type 4 o",MAX(SA,105%*R161)+X161+Z161,IF('Pre-Calculation'!$D$17="Type 5",0))))))))))))</f>
        <v>1165437.733</v>
      </c>
      <c r="R161" s="175">
        <f t="shared" si="5"/>
        <v>1000000</v>
      </c>
      <c r="S161" s="119">
        <f>K161*(1+GROWTH_RATE)*FMC</f>
        <v>1318.835624</v>
      </c>
      <c r="T161" s="178">
        <f>T160*(1+'Pre-Calculation'!$E$27)</f>
        <v>1013661.32</v>
      </c>
      <c r="U161" s="175">
        <f>-E161+IF(A160=INPUT!$C$11*12,O161,0)</f>
        <v>0</v>
      </c>
      <c r="V161" s="112"/>
      <c r="W161" s="112"/>
      <c r="X161" s="179">
        <f t="array" ref="X161">NPV('Pre-Calculation'!$E$20,$E162:E$246)</f>
        <v>0</v>
      </c>
      <c r="Y161" s="171">
        <f>10%*SA</f>
        <v>100000</v>
      </c>
      <c r="Z161" s="179">
        <f t="array" ref="Z161">NPV('Pre-Calculation'!$E$20,Y162:Y171)</f>
        <v>969592.8037</v>
      </c>
    </row>
    <row r="162" ht="15.75" customHeight="1">
      <c r="A162" s="171">
        <f t="shared" si="1"/>
        <v>156</v>
      </c>
      <c r="B162" s="171">
        <f t="shared" si="2"/>
        <v>13</v>
      </c>
      <c r="C162" s="176">
        <f>EDATE(RCD,A161)</f>
        <v>47268</v>
      </c>
      <c r="D162" s="171">
        <f>Age_At_Entry+Cashflows_Backtesting!B162-1</f>
        <v>47</v>
      </c>
      <c r="E162" s="175">
        <f>IF(AND(C162&lt;=Last_Prem,MOD(A161,Mode)=0),Mod_Prem,0)</f>
        <v>0</v>
      </c>
      <c r="F162" s="177">
        <f>E162*VLOOKUP(B162,'Pre-Calculation'!$H$1:$I$31,2,FALSE)</f>
        <v>0</v>
      </c>
      <c r="G162" s="177">
        <f>IF(B162&lt;PT+1,VLOOKUP(B162,'Pre-Calculation'!$H$1:$L$32,3,FALSE)+VLOOKUP(B162,'Pre-Calculation'!$H$1:$L$32,4,FALSE)*'Pre-Calculation'!$D$7,0)</f>
        <v>0</v>
      </c>
      <c r="H162" s="175">
        <f>(E162-(F162+G162)*(1+Tax)+O161)</f>
        <v>1165437.733</v>
      </c>
      <c r="I162" s="175">
        <f>IF(B162&lt;PT+1,VLOOKUP(D162,'Pre-Calculation'!$N$3:$P$79,IF(INPUT!$C$4="M",2,3),FALSE)*(J162/1000)*(1/12),0)</f>
        <v>0</v>
      </c>
      <c r="J162" s="175">
        <f>MAX(0,(SA-H162))</f>
        <v>0</v>
      </c>
      <c r="K162" s="175">
        <f>H162-I162*(1+Tax)</f>
        <v>1165437.733</v>
      </c>
      <c r="L162" s="187">
        <f>VLOOKUP(C162,'NAVs_Till 29 Jun 2021'!$A$3:$J$2236,MATCH('Pre-Calculation'!$C$34,'NAVs_Till 29 Jun 2021'!$A$1:$J$1,0))</f>
        <v>20.7486</v>
      </c>
      <c r="M162" s="187">
        <f>IFERROR(1,VLOOKUP(C162,'NAVs_Till 29 Jun 2021'!$A$3:$J$2236,MATCH(#REF!,'NAVs_Till 29 Jun 2021'!$A$1:$J$1,0)))</f>
        <v>1</v>
      </c>
      <c r="N162" s="175">
        <f>VLOOKUP('Pre-Calculation'!$C$34,INPUT!$B$20:$C$28,2,0)*K162*(L163/L162)+ IFERROR(0,VLOOKUP('Pre-Calculation'!$D$34,INPUT!$B$20:$C$28,2,0))*K162*(M163/M162)</f>
        <v>1165437.733</v>
      </c>
      <c r="O162" s="175">
        <f t="shared" si="3"/>
        <v>1165437.733</v>
      </c>
      <c r="P162" s="175">
        <f t="shared" si="4"/>
        <v>1165437.733</v>
      </c>
      <c r="Q162" s="175">
        <f>IF('Pre-Calculation'!$D$17="Type 4 a",MAX(SA,O162,1.05*R162),IF('Pre-Calculation'!$D$17="Type 4 c",O162,IF('Pre-Calculation'!$D$17="Type 4 d",SA+O162,IF('Pre-Calculation'!$D$17="Type 4 e",MAX(SA,O162),IF('Pre-Calculation'!$D$17="Type 4 f",SA,IF('Pre-Calculation'!$D$17="Type 4 g",1000+O162,IF('Pre-Calculation'!$D$17="Type 4 h",SA+S162,IF('Pre-Calculation'!$D$17="Type 4 i",MAX(O162,R162),IF('Pre-Calculation'!$D$17="Type 4 k",MAX(O162,1.01*R162),IF('Pre-Calculation'!$D$17="Type 4 m",MAX(105%*R162,SA+O162),IF('Pre-Calculation'!$D$17="Type 4 o",MAX(SA,105%*R162)+X162+Z162,IF('Pre-Calculation'!$D$17="Type 5",0))))))))))))</f>
        <v>1165437.733</v>
      </c>
      <c r="R162" s="175">
        <f t="shared" si="5"/>
        <v>1000000</v>
      </c>
      <c r="S162" s="119">
        <f>K162*(1+GROWTH_RATE)*FMC</f>
        <v>1318.835624</v>
      </c>
      <c r="T162" s="178">
        <f>T161*(1+'Pre-Calculation'!$E$27)</f>
        <v>1016571.439</v>
      </c>
      <c r="U162" s="175">
        <f>-E162+IF(A161=INPUT!$C$11*12,O162,0)</f>
        <v>0</v>
      </c>
      <c r="V162" s="112"/>
      <c r="W162" s="112"/>
      <c r="X162" s="179">
        <f t="array" ref="X162">NPV('Pre-Calculation'!$E$20,$E163:E$246)</f>
        <v>0</v>
      </c>
      <c r="Y162" s="171">
        <f>10%*SA</f>
        <v>100000</v>
      </c>
      <c r="Z162" s="179">
        <f t="array" ref="Z162">NPV('Pre-Calculation'!$E$20,Y163:Y172)</f>
        <v>969592.8037</v>
      </c>
    </row>
    <row r="163" ht="15.75" customHeight="1">
      <c r="A163" s="171">
        <f t="shared" si="1"/>
        <v>157</v>
      </c>
      <c r="B163" s="171">
        <f t="shared" si="2"/>
        <v>14</v>
      </c>
      <c r="C163" s="176">
        <f>EDATE(RCD,A162)</f>
        <v>47299</v>
      </c>
      <c r="D163" s="171">
        <f>Age_At_Entry+Cashflows_Backtesting!B163-1</f>
        <v>48</v>
      </c>
      <c r="E163" s="175">
        <f>IF(AND(C163&lt;=Last_Prem,MOD(A162,Mode)=0),Mod_Prem,0)</f>
        <v>0</v>
      </c>
      <c r="F163" s="177">
        <f>E163*VLOOKUP(B163,'Pre-Calculation'!$H$1:$I$31,2,FALSE)</f>
        <v>0</v>
      </c>
      <c r="G163" s="177">
        <f>IF(B163&lt;PT+1,VLOOKUP(B163,'Pre-Calculation'!$H$1:$L$32,3,FALSE)+VLOOKUP(B163,'Pre-Calculation'!$H$1:$L$32,4,FALSE)*'Pre-Calculation'!$D$7,0)</f>
        <v>0</v>
      </c>
      <c r="H163" s="175">
        <f>(E163-(F163+G163)*(1+Tax)+O162)</f>
        <v>1165437.733</v>
      </c>
      <c r="I163" s="175">
        <f>IF(B163&lt;PT+1,VLOOKUP(D163,'Pre-Calculation'!$N$3:$P$79,IF(INPUT!$C$4="M",2,3),FALSE)*(J163/1000)*(1/12),0)</f>
        <v>0</v>
      </c>
      <c r="J163" s="175">
        <f>MAX(0,(SA-H163))</f>
        <v>0</v>
      </c>
      <c r="K163" s="175">
        <f>H163-I163*(1+Tax)</f>
        <v>1165437.733</v>
      </c>
      <c r="L163" s="187">
        <f>VLOOKUP(C163,'NAVs_Till 29 Jun 2021'!$A$3:$J$2236,MATCH('Pre-Calculation'!$C$34,'NAVs_Till 29 Jun 2021'!$A$1:$J$1,0))</f>
        <v>20.7486</v>
      </c>
      <c r="M163" s="187">
        <f>IFERROR(1,VLOOKUP(C163,'NAVs_Till 29 Jun 2021'!$A$3:$J$2236,MATCH(#REF!,'NAVs_Till 29 Jun 2021'!$A$1:$J$1,0)))</f>
        <v>1</v>
      </c>
      <c r="N163" s="175">
        <f>VLOOKUP('Pre-Calculation'!$C$34,INPUT!$B$20:$C$28,2,0)*K163*(L164/L163)+ IFERROR(0,VLOOKUP('Pre-Calculation'!$D$34,INPUT!$B$20:$C$28,2,0))*K163*(M164/M163)</f>
        <v>1165437.733</v>
      </c>
      <c r="O163" s="175">
        <f t="shared" si="3"/>
        <v>1165437.733</v>
      </c>
      <c r="P163" s="175">
        <f t="shared" si="4"/>
        <v>1165437.733</v>
      </c>
      <c r="Q163" s="175">
        <f>IF('Pre-Calculation'!$D$17="Type 4 a",MAX(SA,O163,1.05*R163),IF('Pre-Calculation'!$D$17="Type 4 c",O163,IF('Pre-Calculation'!$D$17="Type 4 d",SA+O163,IF('Pre-Calculation'!$D$17="Type 4 e",MAX(SA,O163),IF('Pre-Calculation'!$D$17="Type 4 f",SA,IF('Pre-Calculation'!$D$17="Type 4 g",1000+O163,IF('Pre-Calculation'!$D$17="Type 4 h",SA+S163,IF('Pre-Calculation'!$D$17="Type 4 i",MAX(O163,R163),IF('Pre-Calculation'!$D$17="Type 4 k",MAX(O163,1.01*R163),IF('Pre-Calculation'!$D$17="Type 4 m",MAX(105%*R163,SA+O163),IF('Pre-Calculation'!$D$17="Type 4 o",MAX(SA,105%*R163)+X163+Z163,IF('Pre-Calculation'!$D$17="Type 5",0))))))))))))</f>
        <v>1165437.733</v>
      </c>
      <c r="R163" s="175">
        <f t="shared" si="5"/>
        <v>1000000</v>
      </c>
      <c r="S163" s="119">
        <f>K163*(1+GROWTH_RATE)*FMC</f>
        <v>1318.835624</v>
      </c>
      <c r="T163" s="178">
        <f>T162*(1+'Pre-Calculation'!$E$27)</f>
        <v>1019489.913</v>
      </c>
      <c r="U163" s="175">
        <f>-E163+IF(A162=INPUT!$C$11*12,O163,0)</f>
        <v>0</v>
      </c>
      <c r="V163" s="112"/>
      <c r="W163" s="112"/>
      <c r="X163" s="179">
        <f t="array" ref="X163">NPV('Pre-Calculation'!$E$20,$E164:E$246)</f>
        <v>0</v>
      </c>
      <c r="Y163" s="171">
        <f>10%*SA</f>
        <v>100000</v>
      </c>
      <c r="Z163" s="179">
        <f t="array" ref="Z163">NPV('Pre-Calculation'!$E$20,Y164:Y173)</f>
        <v>969592.8037</v>
      </c>
    </row>
    <row r="164" ht="15.75" customHeight="1">
      <c r="A164" s="171">
        <f t="shared" si="1"/>
        <v>158</v>
      </c>
      <c r="B164" s="171">
        <f t="shared" si="2"/>
        <v>14</v>
      </c>
      <c r="C164" s="176">
        <f>EDATE(RCD,A163)</f>
        <v>47329</v>
      </c>
      <c r="D164" s="171">
        <f>Age_At_Entry+Cashflows_Backtesting!B164-1</f>
        <v>48</v>
      </c>
      <c r="E164" s="175">
        <f>IF(AND(C164&lt;=Last_Prem,MOD(A163,Mode)=0),Mod_Prem,0)</f>
        <v>0</v>
      </c>
      <c r="F164" s="177">
        <f>E164*VLOOKUP(B164,'Pre-Calculation'!$H$1:$I$31,2,FALSE)</f>
        <v>0</v>
      </c>
      <c r="G164" s="177">
        <f>IF(B164&lt;PT+1,VLOOKUP(B164,'Pre-Calculation'!$H$1:$L$32,3,FALSE)+VLOOKUP(B164,'Pre-Calculation'!$H$1:$L$32,4,FALSE)*'Pre-Calculation'!$D$7,0)</f>
        <v>0</v>
      </c>
      <c r="H164" s="175">
        <f>(E164-(F164+G164)*(1+Tax)+O163)</f>
        <v>1165437.733</v>
      </c>
      <c r="I164" s="175">
        <f>IF(B164&lt;PT+1,VLOOKUP(D164,'Pre-Calculation'!$N$3:$P$79,IF(INPUT!$C$4="M",2,3),FALSE)*(J164/1000)*(1/12),0)</f>
        <v>0</v>
      </c>
      <c r="J164" s="175">
        <f>MAX(0,(SA-H164))</f>
        <v>0</v>
      </c>
      <c r="K164" s="175">
        <f>H164-I164*(1+Tax)</f>
        <v>1165437.733</v>
      </c>
      <c r="L164" s="187">
        <f>VLOOKUP(C164,'NAVs_Till 29 Jun 2021'!$A$3:$J$2236,MATCH('Pre-Calculation'!$C$34,'NAVs_Till 29 Jun 2021'!$A$1:$J$1,0))</f>
        <v>20.7486</v>
      </c>
      <c r="M164" s="187">
        <f>IFERROR(1,VLOOKUP(C164,'NAVs_Till 29 Jun 2021'!$A$3:$J$2236,MATCH(#REF!,'NAVs_Till 29 Jun 2021'!$A$1:$J$1,0)))</f>
        <v>1</v>
      </c>
      <c r="N164" s="175">
        <f>VLOOKUP('Pre-Calculation'!$C$34,INPUT!$B$20:$C$28,2,0)*K164*(L165/L164)+ IFERROR(0,VLOOKUP('Pre-Calculation'!$D$34,INPUT!$B$20:$C$28,2,0))*K164*(M165/M164)</f>
        <v>1165437.733</v>
      </c>
      <c r="O164" s="175">
        <f t="shared" si="3"/>
        <v>1165437.733</v>
      </c>
      <c r="P164" s="175">
        <f t="shared" si="4"/>
        <v>1165437.733</v>
      </c>
      <c r="Q164" s="175">
        <f>IF('Pre-Calculation'!$D$17="Type 4 a",MAX(SA,O164,1.05*R164),IF('Pre-Calculation'!$D$17="Type 4 c",O164,IF('Pre-Calculation'!$D$17="Type 4 d",SA+O164,IF('Pre-Calculation'!$D$17="Type 4 e",MAX(SA,O164),IF('Pre-Calculation'!$D$17="Type 4 f",SA,IF('Pre-Calculation'!$D$17="Type 4 g",1000+O164,IF('Pre-Calculation'!$D$17="Type 4 h",SA+S164,IF('Pre-Calculation'!$D$17="Type 4 i",MAX(O164,R164),IF('Pre-Calculation'!$D$17="Type 4 k",MAX(O164,1.01*R164),IF('Pre-Calculation'!$D$17="Type 4 m",MAX(105%*R164,SA+O164),IF('Pre-Calculation'!$D$17="Type 4 o",MAX(SA,105%*R164)+X164+Z164,IF('Pre-Calculation'!$D$17="Type 5",0))))))))))))</f>
        <v>1165437.733</v>
      </c>
      <c r="R164" s="175">
        <f t="shared" si="5"/>
        <v>1000000</v>
      </c>
      <c r="S164" s="119">
        <f>K164*(1+GROWTH_RATE)*FMC</f>
        <v>1318.835624</v>
      </c>
      <c r="T164" s="178">
        <f>T163*(1+'Pre-Calculation'!$E$27)</f>
        <v>1022416.765</v>
      </c>
      <c r="U164" s="175">
        <f>-E164+IF(A163=INPUT!$C$11*12,O164,0)</f>
        <v>0</v>
      </c>
      <c r="V164" s="112"/>
      <c r="W164" s="112"/>
      <c r="X164" s="179">
        <f t="array" ref="X164">NPV('Pre-Calculation'!$E$20,$E165:E$246)</f>
        <v>0</v>
      </c>
      <c r="Y164" s="171">
        <f>10%*SA</f>
        <v>100000</v>
      </c>
      <c r="Z164" s="179">
        <f t="array" ref="Z164">NPV('Pre-Calculation'!$E$20,Y165:Y174)</f>
        <v>969592.8037</v>
      </c>
    </row>
    <row r="165" ht="15.75" customHeight="1">
      <c r="A165" s="171">
        <f t="shared" si="1"/>
        <v>159</v>
      </c>
      <c r="B165" s="171">
        <f t="shared" si="2"/>
        <v>14</v>
      </c>
      <c r="C165" s="176">
        <f>EDATE(RCD,A164)</f>
        <v>47360</v>
      </c>
      <c r="D165" s="171">
        <f>Age_At_Entry+Cashflows_Backtesting!B165-1</f>
        <v>48</v>
      </c>
      <c r="E165" s="175">
        <f>IF(AND(C165&lt;=Last_Prem,MOD(A164,Mode)=0),Mod_Prem,0)</f>
        <v>0</v>
      </c>
      <c r="F165" s="177">
        <f>E165*VLOOKUP(B165,'Pre-Calculation'!$H$1:$I$31,2,FALSE)</f>
        <v>0</v>
      </c>
      <c r="G165" s="177">
        <f>IF(B165&lt;PT+1,VLOOKUP(B165,'Pre-Calculation'!$H$1:$L$32,3,FALSE)+VLOOKUP(B165,'Pre-Calculation'!$H$1:$L$32,4,FALSE)*'Pre-Calculation'!$D$7,0)</f>
        <v>0</v>
      </c>
      <c r="H165" s="175">
        <f>(E165-(F165+G165)*(1+Tax)+O164)</f>
        <v>1165437.733</v>
      </c>
      <c r="I165" s="175">
        <f>IF(B165&lt;PT+1,VLOOKUP(D165,'Pre-Calculation'!$N$3:$P$79,IF(INPUT!$C$4="M",2,3),FALSE)*(J165/1000)*(1/12),0)</f>
        <v>0</v>
      </c>
      <c r="J165" s="175">
        <f>MAX(0,(SA-H165))</f>
        <v>0</v>
      </c>
      <c r="K165" s="175">
        <f>H165-I165*(1+Tax)</f>
        <v>1165437.733</v>
      </c>
      <c r="L165" s="187">
        <f>VLOOKUP(C165,'NAVs_Till 29 Jun 2021'!$A$3:$J$2236,MATCH('Pre-Calculation'!$C$34,'NAVs_Till 29 Jun 2021'!$A$1:$J$1,0))</f>
        <v>20.7486</v>
      </c>
      <c r="M165" s="187">
        <f>IFERROR(1,VLOOKUP(C165,'NAVs_Till 29 Jun 2021'!$A$3:$J$2236,MATCH(#REF!,'NAVs_Till 29 Jun 2021'!$A$1:$J$1,0)))</f>
        <v>1</v>
      </c>
      <c r="N165" s="175">
        <f>VLOOKUP('Pre-Calculation'!$C$34,INPUT!$B$20:$C$28,2,0)*K165*(L166/L165)+ IFERROR(0,VLOOKUP('Pre-Calculation'!$D$34,INPUT!$B$20:$C$28,2,0))*K165*(M166/M165)</f>
        <v>1165437.733</v>
      </c>
      <c r="O165" s="175">
        <f t="shared" si="3"/>
        <v>1165437.733</v>
      </c>
      <c r="P165" s="175">
        <f t="shared" si="4"/>
        <v>1165437.733</v>
      </c>
      <c r="Q165" s="175">
        <f>IF('Pre-Calculation'!$D$17="Type 4 a",MAX(SA,O165,1.05*R165),IF('Pre-Calculation'!$D$17="Type 4 c",O165,IF('Pre-Calculation'!$D$17="Type 4 d",SA+O165,IF('Pre-Calculation'!$D$17="Type 4 e",MAX(SA,O165),IF('Pre-Calculation'!$D$17="Type 4 f",SA,IF('Pre-Calculation'!$D$17="Type 4 g",1000+O165,IF('Pre-Calculation'!$D$17="Type 4 h",SA+S165,IF('Pre-Calculation'!$D$17="Type 4 i",MAX(O165,R165),IF('Pre-Calculation'!$D$17="Type 4 k",MAX(O165,1.01*R165),IF('Pre-Calculation'!$D$17="Type 4 m",MAX(105%*R165,SA+O165),IF('Pre-Calculation'!$D$17="Type 4 o",MAX(SA,105%*R165)+X165+Z165,IF('Pre-Calculation'!$D$17="Type 5",0))))))))))))</f>
        <v>1165437.733</v>
      </c>
      <c r="R165" s="175">
        <f t="shared" si="5"/>
        <v>1000000</v>
      </c>
      <c r="S165" s="119">
        <f>K165*(1+GROWTH_RATE)*FMC</f>
        <v>1318.835624</v>
      </c>
      <c r="T165" s="178">
        <f>T164*(1+'Pre-Calculation'!$E$27)</f>
        <v>1025352.02</v>
      </c>
      <c r="U165" s="175">
        <f>-E165+IF(A164=INPUT!$C$11*12,O165,0)</f>
        <v>0</v>
      </c>
      <c r="V165" s="112"/>
      <c r="W165" s="112"/>
      <c r="X165" s="179">
        <f t="array" ref="X165">NPV('Pre-Calculation'!$E$20,$E166:E$246)</f>
        <v>0</v>
      </c>
      <c r="Y165" s="171">
        <f>10%*SA</f>
        <v>100000</v>
      </c>
      <c r="Z165" s="179">
        <f t="array" ref="Z165">NPV('Pre-Calculation'!$E$20,Y166:Y175)</f>
        <v>969592.8037</v>
      </c>
    </row>
    <row r="166" ht="15.75" customHeight="1">
      <c r="A166" s="171">
        <f t="shared" si="1"/>
        <v>160</v>
      </c>
      <c r="B166" s="171">
        <f t="shared" si="2"/>
        <v>14</v>
      </c>
      <c r="C166" s="176">
        <f>EDATE(RCD,A165)</f>
        <v>47391</v>
      </c>
      <c r="D166" s="171">
        <f>Age_At_Entry+Cashflows_Backtesting!B166-1</f>
        <v>48</v>
      </c>
      <c r="E166" s="175">
        <f>IF(AND(C166&lt;=Last_Prem,MOD(A165,Mode)=0),Mod_Prem,0)</f>
        <v>0</v>
      </c>
      <c r="F166" s="177">
        <f>E166*VLOOKUP(B166,'Pre-Calculation'!$H$1:$I$31,2,FALSE)</f>
        <v>0</v>
      </c>
      <c r="G166" s="177">
        <f>IF(B166&lt;PT+1,VLOOKUP(B166,'Pre-Calculation'!$H$1:$L$32,3,FALSE)+VLOOKUP(B166,'Pre-Calculation'!$H$1:$L$32,4,FALSE)*'Pre-Calculation'!$D$7,0)</f>
        <v>0</v>
      </c>
      <c r="H166" s="175">
        <f>(E166-(F166+G166)*(1+Tax)+O165)</f>
        <v>1165437.733</v>
      </c>
      <c r="I166" s="175">
        <f>IF(B166&lt;PT+1,VLOOKUP(D166,'Pre-Calculation'!$N$3:$P$79,IF(INPUT!$C$4="M",2,3),FALSE)*(J166/1000)*(1/12),0)</f>
        <v>0</v>
      </c>
      <c r="J166" s="175">
        <f>MAX(0,(SA-H166))</f>
        <v>0</v>
      </c>
      <c r="K166" s="175">
        <f>H166-I166*(1+Tax)</f>
        <v>1165437.733</v>
      </c>
      <c r="L166" s="187">
        <f>VLOOKUP(C166,'NAVs_Till 29 Jun 2021'!$A$3:$J$2236,MATCH('Pre-Calculation'!$C$34,'NAVs_Till 29 Jun 2021'!$A$1:$J$1,0))</f>
        <v>20.7486</v>
      </c>
      <c r="M166" s="187">
        <f>IFERROR(1,VLOOKUP(C166,'NAVs_Till 29 Jun 2021'!$A$3:$J$2236,MATCH(#REF!,'NAVs_Till 29 Jun 2021'!$A$1:$J$1,0)))</f>
        <v>1</v>
      </c>
      <c r="N166" s="175">
        <f>VLOOKUP('Pre-Calculation'!$C$34,INPUT!$B$20:$C$28,2,0)*K166*(L167/L166)+ IFERROR(0,VLOOKUP('Pre-Calculation'!$D$34,INPUT!$B$20:$C$28,2,0))*K166*(M167/M166)</f>
        <v>1165437.733</v>
      </c>
      <c r="O166" s="175">
        <f t="shared" si="3"/>
        <v>1165437.733</v>
      </c>
      <c r="P166" s="175">
        <f t="shared" si="4"/>
        <v>1165437.733</v>
      </c>
      <c r="Q166" s="175">
        <f>IF('Pre-Calculation'!$D$17="Type 4 a",MAX(SA,O166,1.05*R166),IF('Pre-Calculation'!$D$17="Type 4 c",O166,IF('Pre-Calculation'!$D$17="Type 4 d",SA+O166,IF('Pre-Calculation'!$D$17="Type 4 e",MAX(SA,O166),IF('Pre-Calculation'!$D$17="Type 4 f",SA,IF('Pre-Calculation'!$D$17="Type 4 g",1000+O166,IF('Pre-Calculation'!$D$17="Type 4 h",SA+S166,IF('Pre-Calculation'!$D$17="Type 4 i",MAX(O166,R166),IF('Pre-Calculation'!$D$17="Type 4 k",MAX(O166,1.01*R166),IF('Pre-Calculation'!$D$17="Type 4 m",MAX(105%*R166,SA+O166),IF('Pre-Calculation'!$D$17="Type 4 o",MAX(SA,105%*R166)+X166+Z166,IF('Pre-Calculation'!$D$17="Type 5",0))))))))))))</f>
        <v>1165437.733</v>
      </c>
      <c r="R166" s="175">
        <f t="shared" si="5"/>
        <v>1000000</v>
      </c>
      <c r="S166" s="119">
        <f>K166*(1+GROWTH_RATE)*FMC</f>
        <v>1318.835624</v>
      </c>
      <c r="T166" s="178">
        <f>T165*(1+'Pre-Calculation'!$E$27)</f>
        <v>1028295.702</v>
      </c>
      <c r="U166" s="175">
        <f>-E166+IF(A165=INPUT!$C$11*12,O166,0)</f>
        <v>0</v>
      </c>
      <c r="V166" s="112"/>
      <c r="W166" s="112"/>
      <c r="X166" s="179">
        <f t="array" ref="X166">NPV('Pre-Calculation'!$E$20,$E167:E$246)</f>
        <v>0</v>
      </c>
      <c r="Y166" s="171">
        <f>10%*SA</f>
        <v>100000</v>
      </c>
      <c r="Z166" s="179">
        <f t="array" ref="Z166">NPV('Pre-Calculation'!$E$20,Y167:Y176)</f>
        <v>969592.8037</v>
      </c>
    </row>
    <row r="167" ht="15.75" customHeight="1">
      <c r="A167" s="171">
        <f t="shared" si="1"/>
        <v>161</v>
      </c>
      <c r="B167" s="171">
        <f t="shared" si="2"/>
        <v>14</v>
      </c>
      <c r="C167" s="176">
        <f>EDATE(RCD,A166)</f>
        <v>47421</v>
      </c>
      <c r="D167" s="171">
        <f>Age_At_Entry+Cashflows_Backtesting!B167-1</f>
        <v>48</v>
      </c>
      <c r="E167" s="175">
        <f>IF(AND(C167&lt;=Last_Prem,MOD(A166,Mode)=0),Mod_Prem,0)</f>
        <v>0</v>
      </c>
      <c r="F167" s="177">
        <f>E167*VLOOKUP(B167,'Pre-Calculation'!$H$1:$I$31,2,FALSE)</f>
        <v>0</v>
      </c>
      <c r="G167" s="177">
        <f>IF(B167&lt;PT+1,VLOOKUP(B167,'Pre-Calculation'!$H$1:$L$32,3,FALSE)+VLOOKUP(B167,'Pre-Calculation'!$H$1:$L$32,4,FALSE)*'Pre-Calculation'!$D$7,0)</f>
        <v>0</v>
      </c>
      <c r="H167" s="175">
        <f>(E167-(F167+G167)*(1+Tax)+O166)</f>
        <v>1165437.733</v>
      </c>
      <c r="I167" s="175">
        <f>IF(B167&lt;PT+1,VLOOKUP(D167,'Pre-Calculation'!$N$3:$P$79,IF(INPUT!$C$4="M",2,3),FALSE)*(J167/1000)*(1/12),0)</f>
        <v>0</v>
      </c>
      <c r="J167" s="175">
        <f>MAX(0,(SA-H167))</f>
        <v>0</v>
      </c>
      <c r="K167" s="175">
        <f>H167-I167*(1+Tax)</f>
        <v>1165437.733</v>
      </c>
      <c r="L167" s="187">
        <f>VLOOKUP(C167,'NAVs_Till 29 Jun 2021'!$A$3:$J$2236,MATCH('Pre-Calculation'!$C$34,'NAVs_Till 29 Jun 2021'!$A$1:$J$1,0))</f>
        <v>20.7486</v>
      </c>
      <c r="M167" s="187">
        <f>IFERROR(1,VLOOKUP(C167,'NAVs_Till 29 Jun 2021'!$A$3:$J$2236,MATCH(#REF!,'NAVs_Till 29 Jun 2021'!$A$1:$J$1,0)))</f>
        <v>1</v>
      </c>
      <c r="N167" s="175">
        <f>VLOOKUP('Pre-Calculation'!$C$34,INPUT!$B$20:$C$28,2,0)*K167*(L168/L167)+ IFERROR(0,VLOOKUP('Pre-Calculation'!$D$34,INPUT!$B$20:$C$28,2,0))*K167*(M168/M167)</f>
        <v>1165437.733</v>
      </c>
      <c r="O167" s="175">
        <f t="shared" si="3"/>
        <v>1165437.733</v>
      </c>
      <c r="P167" s="175">
        <f t="shared" si="4"/>
        <v>1165437.733</v>
      </c>
      <c r="Q167" s="175">
        <f>IF('Pre-Calculation'!$D$17="Type 4 a",MAX(SA,O167,1.05*R167),IF('Pre-Calculation'!$D$17="Type 4 c",O167,IF('Pre-Calculation'!$D$17="Type 4 d",SA+O167,IF('Pre-Calculation'!$D$17="Type 4 e",MAX(SA,O167),IF('Pre-Calculation'!$D$17="Type 4 f",SA,IF('Pre-Calculation'!$D$17="Type 4 g",1000+O167,IF('Pre-Calculation'!$D$17="Type 4 h",SA+S167,IF('Pre-Calculation'!$D$17="Type 4 i",MAX(O167,R167),IF('Pre-Calculation'!$D$17="Type 4 k",MAX(O167,1.01*R167),IF('Pre-Calculation'!$D$17="Type 4 m",MAX(105%*R167,SA+O167),IF('Pre-Calculation'!$D$17="Type 4 o",MAX(SA,105%*R167)+X167+Z167,IF('Pre-Calculation'!$D$17="Type 5",0))))))))))))</f>
        <v>1165437.733</v>
      </c>
      <c r="R167" s="175">
        <f t="shared" si="5"/>
        <v>1000000</v>
      </c>
      <c r="S167" s="119">
        <f>K167*(1+GROWTH_RATE)*FMC</f>
        <v>1318.835624</v>
      </c>
      <c r="T167" s="178">
        <f>T166*(1+'Pre-Calculation'!$E$27)</f>
        <v>1031247.835</v>
      </c>
      <c r="U167" s="175">
        <f>-E167+IF(A166=INPUT!$C$11*12,O167,0)</f>
        <v>0</v>
      </c>
      <c r="V167" s="112"/>
      <c r="W167" s="112"/>
      <c r="X167" s="179">
        <f t="array" ref="X167">NPV('Pre-Calculation'!$E$20,$E168:E$246)</f>
        <v>0</v>
      </c>
      <c r="Y167" s="171">
        <f>10%*SA</f>
        <v>100000</v>
      </c>
      <c r="Z167" s="179">
        <f t="array" ref="Z167">NPV('Pre-Calculation'!$E$20,Y168:Y177)</f>
        <v>969592.8037</v>
      </c>
    </row>
    <row r="168" ht="15.75" customHeight="1">
      <c r="A168" s="171">
        <f t="shared" si="1"/>
        <v>162</v>
      </c>
      <c r="B168" s="171">
        <f t="shared" si="2"/>
        <v>14</v>
      </c>
      <c r="C168" s="176">
        <f>EDATE(RCD,A167)</f>
        <v>47452</v>
      </c>
      <c r="D168" s="171">
        <f>Age_At_Entry+Cashflows_Backtesting!B168-1</f>
        <v>48</v>
      </c>
      <c r="E168" s="175">
        <f>IF(AND(C168&lt;=Last_Prem,MOD(A167,Mode)=0),Mod_Prem,0)</f>
        <v>0</v>
      </c>
      <c r="F168" s="177">
        <f>E168*VLOOKUP(B168,'Pre-Calculation'!$H$1:$I$31,2,FALSE)</f>
        <v>0</v>
      </c>
      <c r="G168" s="177">
        <f>IF(B168&lt;PT+1,VLOOKUP(B168,'Pre-Calculation'!$H$1:$L$32,3,FALSE)+VLOOKUP(B168,'Pre-Calculation'!$H$1:$L$32,4,FALSE)*'Pre-Calculation'!$D$7,0)</f>
        <v>0</v>
      </c>
      <c r="H168" s="175">
        <f>(E168-(F168+G168)*(1+Tax)+O167)</f>
        <v>1165437.733</v>
      </c>
      <c r="I168" s="175">
        <f>IF(B168&lt;PT+1,VLOOKUP(D168,'Pre-Calculation'!$N$3:$P$79,IF(INPUT!$C$4="M",2,3),FALSE)*(J168/1000)*(1/12),0)</f>
        <v>0</v>
      </c>
      <c r="J168" s="175">
        <f>MAX(0,(SA-H168))</f>
        <v>0</v>
      </c>
      <c r="K168" s="175">
        <f>H168-I168*(1+Tax)</f>
        <v>1165437.733</v>
      </c>
      <c r="L168" s="187">
        <f>VLOOKUP(C168,'NAVs_Till 29 Jun 2021'!$A$3:$J$2236,MATCH('Pre-Calculation'!$C$34,'NAVs_Till 29 Jun 2021'!$A$1:$J$1,0))</f>
        <v>20.7486</v>
      </c>
      <c r="M168" s="187">
        <f>IFERROR(1,VLOOKUP(C168,'NAVs_Till 29 Jun 2021'!$A$3:$J$2236,MATCH(#REF!,'NAVs_Till 29 Jun 2021'!$A$1:$J$1,0)))</f>
        <v>1</v>
      </c>
      <c r="N168" s="175">
        <f>VLOOKUP('Pre-Calculation'!$C$34,INPUT!$B$20:$C$28,2,0)*K168*(L169/L168)+ IFERROR(0,VLOOKUP('Pre-Calculation'!$D$34,INPUT!$B$20:$C$28,2,0))*K168*(M169/M168)</f>
        <v>1165437.733</v>
      </c>
      <c r="O168" s="175">
        <f t="shared" si="3"/>
        <v>1165437.733</v>
      </c>
      <c r="P168" s="175">
        <f t="shared" si="4"/>
        <v>1165437.733</v>
      </c>
      <c r="Q168" s="175">
        <f>IF('Pre-Calculation'!$D$17="Type 4 a",MAX(SA,O168,1.05*R168),IF('Pre-Calculation'!$D$17="Type 4 c",O168,IF('Pre-Calculation'!$D$17="Type 4 d",SA+O168,IF('Pre-Calculation'!$D$17="Type 4 e",MAX(SA,O168),IF('Pre-Calculation'!$D$17="Type 4 f",SA,IF('Pre-Calculation'!$D$17="Type 4 g",1000+O168,IF('Pre-Calculation'!$D$17="Type 4 h",SA+S168,IF('Pre-Calculation'!$D$17="Type 4 i",MAX(O168,R168),IF('Pre-Calculation'!$D$17="Type 4 k",MAX(O168,1.01*R168),IF('Pre-Calculation'!$D$17="Type 4 m",MAX(105%*R168,SA+O168),IF('Pre-Calculation'!$D$17="Type 4 o",MAX(SA,105%*R168)+X168+Z168,IF('Pre-Calculation'!$D$17="Type 5",0))))))))))))</f>
        <v>1165437.733</v>
      </c>
      <c r="R168" s="175">
        <f t="shared" si="5"/>
        <v>1000000</v>
      </c>
      <c r="S168" s="119">
        <f>K168*(1+GROWTH_RATE)*FMC</f>
        <v>1318.835624</v>
      </c>
      <c r="T168" s="178">
        <f>T167*(1+'Pre-Calculation'!$E$27)</f>
        <v>1034208.443</v>
      </c>
      <c r="U168" s="175">
        <f>-E168+IF(A167=INPUT!$C$11*12,O168,0)</f>
        <v>0</v>
      </c>
      <c r="V168" s="112"/>
      <c r="W168" s="112"/>
      <c r="X168" s="179">
        <f t="array" ref="X168">NPV('Pre-Calculation'!$E$20,$E169:E$246)</f>
        <v>0</v>
      </c>
      <c r="Y168" s="171">
        <f>10%*SA</f>
        <v>100000</v>
      </c>
      <c r="Z168" s="179">
        <f t="array" ref="Z168">NPV('Pre-Calculation'!$E$20,Y169:Y178)</f>
        <v>969592.8037</v>
      </c>
    </row>
    <row r="169" ht="15.75" customHeight="1">
      <c r="A169" s="171">
        <f t="shared" si="1"/>
        <v>163</v>
      </c>
      <c r="B169" s="171">
        <f t="shared" si="2"/>
        <v>14</v>
      </c>
      <c r="C169" s="176">
        <f>EDATE(RCD,A168)</f>
        <v>47482</v>
      </c>
      <c r="D169" s="171">
        <f>Age_At_Entry+Cashflows_Backtesting!B169-1</f>
        <v>48</v>
      </c>
      <c r="E169" s="175">
        <f>IF(AND(C169&lt;=Last_Prem,MOD(A168,Mode)=0),Mod_Prem,0)</f>
        <v>0</v>
      </c>
      <c r="F169" s="177">
        <f>E169*VLOOKUP(B169,'Pre-Calculation'!$H$1:$I$31,2,FALSE)</f>
        <v>0</v>
      </c>
      <c r="G169" s="177">
        <f>IF(B169&lt;PT+1,VLOOKUP(B169,'Pre-Calculation'!$H$1:$L$32,3,FALSE)+VLOOKUP(B169,'Pre-Calculation'!$H$1:$L$32,4,FALSE)*'Pre-Calculation'!$D$7,0)</f>
        <v>0</v>
      </c>
      <c r="H169" s="175">
        <f>(E169-(F169+G169)*(1+Tax)+O168)</f>
        <v>1165437.733</v>
      </c>
      <c r="I169" s="175">
        <f>IF(B169&lt;PT+1,VLOOKUP(D169,'Pre-Calculation'!$N$3:$P$79,IF(INPUT!$C$4="M",2,3),FALSE)*(J169/1000)*(1/12),0)</f>
        <v>0</v>
      </c>
      <c r="J169" s="175">
        <f>MAX(0,(SA-H169))</f>
        <v>0</v>
      </c>
      <c r="K169" s="175">
        <f>H169-I169*(1+Tax)</f>
        <v>1165437.733</v>
      </c>
      <c r="L169" s="187">
        <f>VLOOKUP(C169,'NAVs_Till 29 Jun 2021'!$A$3:$J$2236,MATCH('Pre-Calculation'!$C$34,'NAVs_Till 29 Jun 2021'!$A$1:$J$1,0))</f>
        <v>20.7486</v>
      </c>
      <c r="M169" s="187">
        <f>IFERROR(1,VLOOKUP(C169,'NAVs_Till 29 Jun 2021'!$A$3:$J$2236,MATCH(#REF!,'NAVs_Till 29 Jun 2021'!$A$1:$J$1,0)))</f>
        <v>1</v>
      </c>
      <c r="N169" s="175">
        <f>VLOOKUP('Pre-Calculation'!$C$34,INPUT!$B$20:$C$28,2,0)*K169*(L170/L169)+ IFERROR(0,VLOOKUP('Pre-Calculation'!$D$34,INPUT!$B$20:$C$28,2,0))*K169*(M170/M169)</f>
        <v>1165437.733</v>
      </c>
      <c r="O169" s="175">
        <f t="shared" si="3"/>
        <v>1165437.733</v>
      </c>
      <c r="P169" s="175">
        <f t="shared" si="4"/>
        <v>1165437.733</v>
      </c>
      <c r="Q169" s="175">
        <f>IF('Pre-Calculation'!$D$17="Type 4 a",MAX(SA,O169,1.05*R169),IF('Pre-Calculation'!$D$17="Type 4 c",O169,IF('Pre-Calculation'!$D$17="Type 4 d",SA+O169,IF('Pre-Calculation'!$D$17="Type 4 e",MAX(SA,O169),IF('Pre-Calculation'!$D$17="Type 4 f",SA,IF('Pre-Calculation'!$D$17="Type 4 g",1000+O169,IF('Pre-Calculation'!$D$17="Type 4 h",SA+S169,IF('Pre-Calculation'!$D$17="Type 4 i",MAX(O169,R169),IF('Pre-Calculation'!$D$17="Type 4 k",MAX(O169,1.01*R169),IF('Pre-Calculation'!$D$17="Type 4 m",MAX(105%*R169,SA+O169),IF('Pre-Calculation'!$D$17="Type 4 o",MAX(SA,105%*R169)+X169+Z169,IF('Pre-Calculation'!$D$17="Type 5",0))))))))))))</f>
        <v>1165437.733</v>
      </c>
      <c r="R169" s="175">
        <f t="shared" si="5"/>
        <v>1000000</v>
      </c>
      <c r="S169" s="119">
        <f>K169*(1+GROWTH_RATE)*FMC</f>
        <v>1318.835624</v>
      </c>
      <c r="T169" s="178">
        <f>T168*(1+'Pre-Calculation'!$E$27)</f>
        <v>1037177.551</v>
      </c>
      <c r="U169" s="175">
        <f>-E169+IF(A168=INPUT!$C$11*12,O169,0)</f>
        <v>0</v>
      </c>
      <c r="V169" s="112"/>
      <c r="W169" s="112"/>
      <c r="X169" s="179">
        <f t="array" ref="X169">NPV('Pre-Calculation'!$E$20,$E170:E$246)</f>
        <v>0</v>
      </c>
      <c r="Y169" s="171">
        <f>10%*SA</f>
        <v>100000</v>
      </c>
      <c r="Z169" s="179">
        <f t="array" ref="Z169">NPV('Pre-Calculation'!$E$20,Y170:Y179)</f>
        <v>969592.8037</v>
      </c>
    </row>
    <row r="170" ht="15.75" customHeight="1">
      <c r="A170" s="171">
        <f t="shared" si="1"/>
        <v>164</v>
      </c>
      <c r="B170" s="171">
        <f t="shared" si="2"/>
        <v>14</v>
      </c>
      <c r="C170" s="176">
        <f>EDATE(RCD,A169)</f>
        <v>47513</v>
      </c>
      <c r="D170" s="171">
        <f>Age_At_Entry+Cashflows_Backtesting!B170-1</f>
        <v>48</v>
      </c>
      <c r="E170" s="175">
        <f>IF(AND(C170&lt;=Last_Prem,MOD(A169,Mode)=0),Mod_Prem,0)</f>
        <v>0</v>
      </c>
      <c r="F170" s="177">
        <f>E170*VLOOKUP(B170,'Pre-Calculation'!$H$1:$I$31,2,FALSE)</f>
        <v>0</v>
      </c>
      <c r="G170" s="177">
        <f>IF(B170&lt;PT+1,VLOOKUP(B170,'Pre-Calculation'!$H$1:$L$32,3,FALSE)+VLOOKUP(B170,'Pre-Calculation'!$H$1:$L$32,4,FALSE)*'Pre-Calculation'!$D$7,0)</f>
        <v>0</v>
      </c>
      <c r="H170" s="175">
        <f>(E170-(F170+G170)*(1+Tax)+O169)</f>
        <v>1165437.733</v>
      </c>
      <c r="I170" s="175">
        <f>IF(B170&lt;PT+1,VLOOKUP(D170,'Pre-Calculation'!$N$3:$P$79,IF(INPUT!$C$4="M",2,3),FALSE)*(J170/1000)*(1/12),0)</f>
        <v>0</v>
      </c>
      <c r="J170" s="175">
        <f>MAX(0,(SA-H170))</f>
        <v>0</v>
      </c>
      <c r="K170" s="175">
        <f>H170-I170*(1+Tax)</f>
        <v>1165437.733</v>
      </c>
      <c r="L170" s="187">
        <f>VLOOKUP(C170,'NAVs_Till 29 Jun 2021'!$A$3:$J$2236,MATCH('Pre-Calculation'!$C$34,'NAVs_Till 29 Jun 2021'!$A$1:$J$1,0))</f>
        <v>20.7486</v>
      </c>
      <c r="M170" s="187">
        <f>IFERROR(1,VLOOKUP(C170,'NAVs_Till 29 Jun 2021'!$A$3:$J$2236,MATCH(#REF!,'NAVs_Till 29 Jun 2021'!$A$1:$J$1,0)))</f>
        <v>1</v>
      </c>
      <c r="N170" s="175">
        <f>VLOOKUP('Pre-Calculation'!$C$34,INPUT!$B$20:$C$28,2,0)*K170*(L171/L170)+ IFERROR(0,VLOOKUP('Pre-Calculation'!$D$34,INPUT!$B$20:$C$28,2,0))*K170*(M171/M170)</f>
        <v>1165437.733</v>
      </c>
      <c r="O170" s="175">
        <f t="shared" si="3"/>
        <v>1165437.733</v>
      </c>
      <c r="P170" s="175">
        <f t="shared" si="4"/>
        <v>1165437.733</v>
      </c>
      <c r="Q170" s="175">
        <f>IF('Pre-Calculation'!$D$17="Type 4 a",MAX(SA,O170,1.05*R170),IF('Pre-Calculation'!$D$17="Type 4 c",O170,IF('Pre-Calculation'!$D$17="Type 4 d",SA+O170,IF('Pre-Calculation'!$D$17="Type 4 e",MAX(SA,O170),IF('Pre-Calculation'!$D$17="Type 4 f",SA,IF('Pre-Calculation'!$D$17="Type 4 g",1000+O170,IF('Pre-Calculation'!$D$17="Type 4 h",SA+S170,IF('Pre-Calculation'!$D$17="Type 4 i",MAX(O170,R170),IF('Pre-Calculation'!$D$17="Type 4 k",MAX(O170,1.01*R170),IF('Pre-Calculation'!$D$17="Type 4 m",MAX(105%*R170,SA+O170),IF('Pre-Calculation'!$D$17="Type 4 o",MAX(SA,105%*R170)+X170+Z170,IF('Pre-Calculation'!$D$17="Type 5",0))))))))))))</f>
        <v>1165437.733</v>
      </c>
      <c r="R170" s="175">
        <f t="shared" si="5"/>
        <v>1000000</v>
      </c>
      <c r="S170" s="119">
        <f>K170*(1+GROWTH_RATE)*FMC</f>
        <v>1318.835624</v>
      </c>
      <c r="T170" s="178">
        <f>T169*(1+'Pre-Calculation'!$E$27)</f>
        <v>1040155.182</v>
      </c>
      <c r="U170" s="175">
        <f>-E170+IF(A169=INPUT!$C$11*12,O170,0)</f>
        <v>0</v>
      </c>
      <c r="V170" s="112"/>
      <c r="W170" s="112"/>
      <c r="X170" s="179">
        <f t="array" ref="X170">NPV('Pre-Calculation'!$E$20,$E171:E$246)</f>
        <v>0</v>
      </c>
      <c r="Y170" s="171">
        <f>10%*SA</f>
        <v>100000</v>
      </c>
      <c r="Z170" s="179">
        <f t="array" ref="Z170">NPV('Pre-Calculation'!$E$20,Y171:Y180)</f>
        <v>969592.8037</v>
      </c>
    </row>
    <row r="171" ht="15.75" customHeight="1">
      <c r="A171" s="171">
        <f t="shared" si="1"/>
        <v>165</v>
      </c>
      <c r="B171" s="171">
        <f t="shared" si="2"/>
        <v>14</v>
      </c>
      <c r="C171" s="176">
        <f>EDATE(RCD,A170)</f>
        <v>47542</v>
      </c>
      <c r="D171" s="171">
        <f>Age_At_Entry+Cashflows_Backtesting!B171-1</f>
        <v>48</v>
      </c>
      <c r="E171" s="175">
        <f>IF(AND(C171&lt;=Last_Prem,MOD(A170,Mode)=0),Mod_Prem,0)</f>
        <v>0</v>
      </c>
      <c r="F171" s="177">
        <f>E171*VLOOKUP(B171,'Pre-Calculation'!$H$1:$I$31,2,FALSE)</f>
        <v>0</v>
      </c>
      <c r="G171" s="177">
        <f>IF(B171&lt;PT+1,VLOOKUP(B171,'Pre-Calculation'!$H$1:$L$32,3,FALSE)+VLOOKUP(B171,'Pre-Calculation'!$H$1:$L$32,4,FALSE)*'Pre-Calculation'!$D$7,0)</f>
        <v>0</v>
      </c>
      <c r="H171" s="175">
        <f>(E171-(F171+G171)*(1+Tax)+O170)</f>
        <v>1165437.733</v>
      </c>
      <c r="I171" s="175">
        <f>IF(B171&lt;PT+1,VLOOKUP(D171,'Pre-Calculation'!$N$3:$P$79,IF(INPUT!$C$4="M",2,3),FALSE)*(J171/1000)*(1/12),0)</f>
        <v>0</v>
      </c>
      <c r="J171" s="175">
        <f>MAX(0,(SA-H171))</f>
        <v>0</v>
      </c>
      <c r="K171" s="175">
        <f>H171-I171*(1+Tax)</f>
        <v>1165437.733</v>
      </c>
      <c r="L171" s="187">
        <f>VLOOKUP(C171,'NAVs_Till 29 Jun 2021'!$A$3:$J$2236,MATCH('Pre-Calculation'!$C$34,'NAVs_Till 29 Jun 2021'!$A$1:$J$1,0))</f>
        <v>20.7486</v>
      </c>
      <c r="M171" s="187">
        <f>IFERROR(1,VLOOKUP(C171,'NAVs_Till 29 Jun 2021'!$A$3:$J$2236,MATCH(#REF!,'NAVs_Till 29 Jun 2021'!$A$1:$J$1,0)))</f>
        <v>1</v>
      </c>
      <c r="N171" s="175">
        <f>VLOOKUP('Pre-Calculation'!$C$34,INPUT!$B$20:$C$28,2,0)*K171*(L172/L171)+ IFERROR(0,VLOOKUP('Pre-Calculation'!$D$34,INPUT!$B$20:$C$28,2,0))*K171*(M172/M171)</f>
        <v>1165437.733</v>
      </c>
      <c r="O171" s="175">
        <f t="shared" si="3"/>
        <v>1165437.733</v>
      </c>
      <c r="P171" s="175">
        <f t="shared" si="4"/>
        <v>1165437.733</v>
      </c>
      <c r="Q171" s="175">
        <f>IF('Pre-Calculation'!$D$17="Type 4 a",MAX(SA,O171,1.05*R171),IF('Pre-Calculation'!$D$17="Type 4 c",O171,IF('Pre-Calculation'!$D$17="Type 4 d",SA+O171,IF('Pre-Calculation'!$D$17="Type 4 e",MAX(SA,O171),IF('Pre-Calculation'!$D$17="Type 4 f",SA,IF('Pre-Calculation'!$D$17="Type 4 g",1000+O171,IF('Pre-Calculation'!$D$17="Type 4 h",SA+S171,IF('Pre-Calculation'!$D$17="Type 4 i",MAX(O171,R171),IF('Pre-Calculation'!$D$17="Type 4 k",MAX(O171,1.01*R171),IF('Pre-Calculation'!$D$17="Type 4 m",MAX(105%*R171,SA+O171),IF('Pre-Calculation'!$D$17="Type 4 o",MAX(SA,105%*R171)+X171+Z171,IF('Pre-Calculation'!$D$17="Type 5",0))))))))))))</f>
        <v>1165437.733</v>
      </c>
      <c r="R171" s="175">
        <f t="shared" si="5"/>
        <v>1000000</v>
      </c>
      <c r="S171" s="119">
        <f>K171*(1+GROWTH_RATE)*FMC</f>
        <v>1318.835624</v>
      </c>
      <c r="T171" s="178">
        <f>T170*(1+'Pre-Calculation'!$E$27)</f>
        <v>1043141.362</v>
      </c>
      <c r="U171" s="175">
        <f>-E171+IF(A170=INPUT!$C$11*12,O171,0)</f>
        <v>0</v>
      </c>
      <c r="V171" s="112"/>
      <c r="W171" s="112"/>
      <c r="X171" s="179">
        <f t="array" ref="X171">NPV('Pre-Calculation'!$E$20,$E172:E$246)</f>
        <v>0</v>
      </c>
      <c r="Y171" s="171">
        <f>10%*SA</f>
        <v>100000</v>
      </c>
      <c r="Z171" s="179">
        <f t="array" ref="Z171">NPV('Pre-Calculation'!$E$20,Y172:Y181)</f>
        <v>969592.8037</v>
      </c>
    </row>
    <row r="172" ht="15.75" customHeight="1">
      <c r="A172" s="171">
        <f t="shared" si="1"/>
        <v>166</v>
      </c>
      <c r="B172" s="171">
        <f t="shared" si="2"/>
        <v>14</v>
      </c>
      <c r="C172" s="176">
        <f>EDATE(RCD,A171)</f>
        <v>47572</v>
      </c>
      <c r="D172" s="171">
        <f>Age_At_Entry+Cashflows_Backtesting!B172-1</f>
        <v>48</v>
      </c>
      <c r="E172" s="175">
        <f>IF(AND(C172&lt;=Last_Prem,MOD(A171,Mode)=0),Mod_Prem,0)</f>
        <v>0</v>
      </c>
      <c r="F172" s="177">
        <f>E172*VLOOKUP(B172,'Pre-Calculation'!$H$1:$I$31,2,FALSE)</f>
        <v>0</v>
      </c>
      <c r="G172" s="177">
        <f>IF(B172&lt;PT+1,VLOOKUP(B172,'Pre-Calculation'!$H$1:$L$32,3,FALSE)+VLOOKUP(B172,'Pre-Calculation'!$H$1:$L$32,4,FALSE)*'Pre-Calculation'!$D$7,0)</f>
        <v>0</v>
      </c>
      <c r="H172" s="175">
        <f>(E172-(F172+G172)*(1+Tax)+O171)</f>
        <v>1165437.733</v>
      </c>
      <c r="I172" s="175">
        <f>IF(B172&lt;PT+1,VLOOKUP(D172,'Pre-Calculation'!$N$3:$P$79,IF(INPUT!$C$4="M",2,3),FALSE)*(J172/1000)*(1/12),0)</f>
        <v>0</v>
      </c>
      <c r="J172" s="175">
        <f>MAX(0,(SA-H172))</f>
        <v>0</v>
      </c>
      <c r="K172" s="175">
        <f>H172-I172*(1+Tax)</f>
        <v>1165437.733</v>
      </c>
      <c r="L172" s="187">
        <f>VLOOKUP(C172,'NAVs_Till 29 Jun 2021'!$A$3:$J$2236,MATCH('Pre-Calculation'!$C$34,'NAVs_Till 29 Jun 2021'!$A$1:$J$1,0))</f>
        <v>20.7486</v>
      </c>
      <c r="M172" s="187">
        <f>IFERROR(1,VLOOKUP(C172,'NAVs_Till 29 Jun 2021'!$A$3:$J$2236,MATCH(#REF!,'NAVs_Till 29 Jun 2021'!$A$1:$J$1,0)))</f>
        <v>1</v>
      </c>
      <c r="N172" s="175">
        <f>VLOOKUP('Pre-Calculation'!$C$34,INPUT!$B$20:$C$28,2,0)*K172*(L173/L172)+ IFERROR(0,VLOOKUP('Pre-Calculation'!$D$34,INPUT!$B$20:$C$28,2,0))*K172*(M173/M172)</f>
        <v>1165437.733</v>
      </c>
      <c r="O172" s="175">
        <f t="shared" si="3"/>
        <v>1165437.733</v>
      </c>
      <c r="P172" s="175">
        <f t="shared" si="4"/>
        <v>1165437.733</v>
      </c>
      <c r="Q172" s="175">
        <f>IF('Pre-Calculation'!$D$17="Type 4 a",MAX(SA,O172,1.05*R172),IF('Pre-Calculation'!$D$17="Type 4 c",O172,IF('Pre-Calculation'!$D$17="Type 4 d",SA+O172,IF('Pre-Calculation'!$D$17="Type 4 e",MAX(SA,O172),IF('Pre-Calculation'!$D$17="Type 4 f",SA,IF('Pre-Calculation'!$D$17="Type 4 g",1000+O172,IF('Pre-Calculation'!$D$17="Type 4 h",SA+S172,IF('Pre-Calculation'!$D$17="Type 4 i",MAX(O172,R172),IF('Pre-Calculation'!$D$17="Type 4 k",MAX(O172,1.01*R172),IF('Pre-Calculation'!$D$17="Type 4 m",MAX(105%*R172,SA+O172),IF('Pre-Calculation'!$D$17="Type 4 o",MAX(SA,105%*R172)+X172+Z172,IF('Pre-Calculation'!$D$17="Type 5",0))))))))))))</f>
        <v>1165437.733</v>
      </c>
      <c r="R172" s="175">
        <f t="shared" si="5"/>
        <v>1000000</v>
      </c>
      <c r="S172" s="119">
        <f>K172*(1+GROWTH_RATE)*FMC</f>
        <v>1318.835624</v>
      </c>
      <c r="T172" s="178">
        <f>T171*(1+'Pre-Calculation'!$E$27)</f>
        <v>1046136.116</v>
      </c>
      <c r="U172" s="175">
        <f>-E172+IF(A171=INPUT!$C$11*12,O172,0)</f>
        <v>0</v>
      </c>
      <c r="V172" s="112"/>
      <c r="W172" s="112"/>
      <c r="X172" s="179">
        <f t="array" ref="X172">NPV('Pre-Calculation'!$E$20,$E173:E$246)</f>
        <v>0</v>
      </c>
      <c r="Y172" s="171">
        <f>10%*SA</f>
        <v>100000</v>
      </c>
      <c r="Z172" s="179">
        <f t="array" ref="Z172">NPV('Pre-Calculation'!$E$20,Y173:Y182)</f>
        <v>969592.8037</v>
      </c>
    </row>
    <row r="173" ht="15.75" customHeight="1">
      <c r="A173" s="171">
        <f t="shared" si="1"/>
        <v>167</v>
      </c>
      <c r="B173" s="171">
        <f t="shared" si="2"/>
        <v>14</v>
      </c>
      <c r="C173" s="176">
        <f>EDATE(RCD,A172)</f>
        <v>47603</v>
      </c>
      <c r="D173" s="171">
        <f>Age_At_Entry+Cashflows_Backtesting!B173-1</f>
        <v>48</v>
      </c>
      <c r="E173" s="175">
        <f>IF(AND(C173&lt;=Last_Prem,MOD(A172,Mode)=0),Mod_Prem,0)</f>
        <v>0</v>
      </c>
      <c r="F173" s="177">
        <f>E173*VLOOKUP(B173,'Pre-Calculation'!$H$1:$I$31,2,FALSE)</f>
        <v>0</v>
      </c>
      <c r="G173" s="177">
        <f>IF(B173&lt;PT+1,VLOOKUP(B173,'Pre-Calculation'!$H$1:$L$32,3,FALSE)+VLOOKUP(B173,'Pre-Calculation'!$H$1:$L$32,4,FALSE)*'Pre-Calculation'!$D$7,0)</f>
        <v>0</v>
      </c>
      <c r="H173" s="175">
        <f>(E173-(F173+G173)*(1+Tax)+O172)</f>
        <v>1165437.733</v>
      </c>
      <c r="I173" s="175">
        <f>IF(B173&lt;PT+1,VLOOKUP(D173,'Pre-Calculation'!$N$3:$P$79,IF(INPUT!$C$4="M",2,3),FALSE)*(J173/1000)*(1/12),0)</f>
        <v>0</v>
      </c>
      <c r="J173" s="175">
        <f>MAX(0,(SA-H173))</f>
        <v>0</v>
      </c>
      <c r="K173" s="175">
        <f>H173-I173*(1+Tax)</f>
        <v>1165437.733</v>
      </c>
      <c r="L173" s="187">
        <f>VLOOKUP(C173,'NAVs_Till 29 Jun 2021'!$A$3:$J$2236,MATCH('Pre-Calculation'!$C$34,'NAVs_Till 29 Jun 2021'!$A$1:$J$1,0))</f>
        <v>20.7486</v>
      </c>
      <c r="M173" s="187">
        <f>IFERROR(1,VLOOKUP(C173,'NAVs_Till 29 Jun 2021'!$A$3:$J$2236,MATCH(#REF!,'NAVs_Till 29 Jun 2021'!$A$1:$J$1,0)))</f>
        <v>1</v>
      </c>
      <c r="N173" s="175">
        <f>VLOOKUP('Pre-Calculation'!$C$34,INPUT!$B$20:$C$28,2,0)*K173*(L174/L173)+ IFERROR(0,VLOOKUP('Pre-Calculation'!$D$34,INPUT!$B$20:$C$28,2,0))*K173*(M174/M173)</f>
        <v>1165437.733</v>
      </c>
      <c r="O173" s="175">
        <f t="shared" si="3"/>
        <v>1165437.733</v>
      </c>
      <c r="P173" s="175">
        <f t="shared" si="4"/>
        <v>1165437.733</v>
      </c>
      <c r="Q173" s="175">
        <f>IF('Pre-Calculation'!$D$17="Type 4 a",MAX(SA,O173,1.05*R173),IF('Pre-Calculation'!$D$17="Type 4 c",O173,IF('Pre-Calculation'!$D$17="Type 4 d",SA+O173,IF('Pre-Calculation'!$D$17="Type 4 e",MAX(SA,O173),IF('Pre-Calculation'!$D$17="Type 4 f",SA,IF('Pre-Calculation'!$D$17="Type 4 g",1000+O173,IF('Pre-Calculation'!$D$17="Type 4 h",SA+S173,IF('Pre-Calculation'!$D$17="Type 4 i",MAX(O173,R173),IF('Pre-Calculation'!$D$17="Type 4 k",MAX(O173,1.01*R173),IF('Pre-Calculation'!$D$17="Type 4 m",MAX(105%*R173,SA+O173),IF('Pre-Calculation'!$D$17="Type 4 o",MAX(SA,105%*R173)+X173+Z173,IF('Pre-Calculation'!$D$17="Type 5",0))))))))))))</f>
        <v>1165437.733</v>
      </c>
      <c r="R173" s="175">
        <f t="shared" si="5"/>
        <v>1000000</v>
      </c>
      <c r="S173" s="119">
        <f>K173*(1+GROWTH_RATE)*FMC</f>
        <v>1318.835624</v>
      </c>
      <c r="T173" s="178">
        <f>T172*(1+'Pre-Calculation'!$E$27)</f>
        <v>1049139.466</v>
      </c>
      <c r="U173" s="175">
        <f>-E173+IF(A172=INPUT!$C$11*12,O173,0)</f>
        <v>0</v>
      </c>
      <c r="V173" s="112"/>
      <c r="W173" s="112"/>
      <c r="X173" s="179">
        <f t="array" ref="X173">NPV('Pre-Calculation'!$E$20,$E174:E$246)</f>
        <v>0</v>
      </c>
      <c r="Y173" s="171">
        <f>10%*SA</f>
        <v>100000</v>
      </c>
      <c r="Z173" s="179">
        <f t="array" ref="Z173">NPV('Pre-Calculation'!$E$20,Y174:Y183)</f>
        <v>969592.8037</v>
      </c>
    </row>
    <row r="174" ht="15.75" customHeight="1">
      <c r="A174" s="171">
        <f t="shared" si="1"/>
        <v>168</v>
      </c>
      <c r="B174" s="171">
        <f t="shared" si="2"/>
        <v>14</v>
      </c>
      <c r="C174" s="176">
        <f>EDATE(RCD,A173)</f>
        <v>47633</v>
      </c>
      <c r="D174" s="171">
        <f>Age_At_Entry+Cashflows_Backtesting!B174-1</f>
        <v>48</v>
      </c>
      <c r="E174" s="175">
        <f>IF(AND(C174&lt;=Last_Prem,MOD(A173,Mode)=0),Mod_Prem,0)</f>
        <v>0</v>
      </c>
      <c r="F174" s="177">
        <f>E174*VLOOKUP(B174,'Pre-Calculation'!$H$1:$I$31,2,FALSE)</f>
        <v>0</v>
      </c>
      <c r="G174" s="177">
        <f>IF(B174&lt;PT+1,VLOOKUP(B174,'Pre-Calculation'!$H$1:$L$32,3,FALSE)+VLOOKUP(B174,'Pre-Calculation'!$H$1:$L$32,4,FALSE)*'Pre-Calculation'!$D$7,0)</f>
        <v>0</v>
      </c>
      <c r="H174" s="175">
        <f>(E174-(F174+G174)*(1+Tax)+O173)</f>
        <v>1165437.733</v>
      </c>
      <c r="I174" s="175">
        <f>IF(B174&lt;PT+1,VLOOKUP(D174,'Pre-Calculation'!$N$3:$P$79,IF(INPUT!$C$4="M",2,3),FALSE)*(J174/1000)*(1/12),0)</f>
        <v>0</v>
      </c>
      <c r="J174" s="175">
        <f>MAX(0,(SA-H174))</f>
        <v>0</v>
      </c>
      <c r="K174" s="175">
        <f>H174-I174*(1+Tax)</f>
        <v>1165437.733</v>
      </c>
      <c r="L174" s="187">
        <f>VLOOKUP(C174,'NAVs_Till 29 Jun 2021'!$A$3:$J$2236,MATCH('Pre-Calculation'!$C$34,'NAVs_Till 29 Jun 2021'!$A$1:$J$1,0))</f>
        <v>20.7486</v>
      </c>
      <c r="M174" s="187">
        <f>IFERROR(1,VLOOKUP(C174,'NAVs_Till 29 Jun 2021'!$A$3:$J$2236,MATCH(#REF!,'NAVs_Till 29 Jun 2021'!$A$1:$J$1,0)))</f>
        <v>1</v>
      </c>
      <c r="N174" s="175">
        <f>VLOOKUP('Pre-Calculation'!$C$34,INPUT!$B$20:$C$28,2,0)*K174*(L175/L174)+ IFERROR(0,VLOOKUP('Pre-Calculation'!$D$34,INPUT!$B$20:$C$28,2,0))*K174*(M175/M174)</f>
        <v>1165437.733</v>
      </c>
      <c r="O174" s="175">
        <f t="shared" si="3"/>
        <v>1165437.733</v>
      </c>
      <c r="P174" s="175">
        <f t="shared" si="4"/>
        <v>1165437.733</v>
      </c>
      <c r="Q174" s="175">
        <f>IF('Pre-Calculation'!$D$17="Type 4 a",MAX(SA,O174,1.05*R174),IF('Pre-Calculation'!$D$17="Type 4 c",O174,IF('Pre-Calculation'!$D$17="Type 4 d",SA+O174,IF('Pre-Calculation'!$D$17="Type 4 e",MAX(SA,O174),IF('Pre-Calculation'!$D$17="Type 4 f",SA,IF('Pre-Calculation'!$D$17="Type 4 g",1000+O174,IF('Pre-Calculation'!$D$17="Type 4 h",SA+S174,IF('Pre-Calculation'!$D$17="Type 4 i",MAX(O174,R174),IF('Pre-Calculation'!$D$17="Type 4 k",MAX(O174,1.01*R174),IF('Pre-Calculation'!$D$17="Type 4 m",MAX(105%*R174,SA+O174),IF('Pre-Calculation'!$D$17="Type 4 o",MAX(SA,105%*R174)+X174+Z174,IF('Pre-Calculation'!$D$17="Type 5",0))))))))))))</f>
        <v>1165437.733</v>
      </c>
      <c r="R174" s="175">
        <f t="shared" si="5"/>
        <v>1000000</v>
      </c>
      <c r="S174" s="119">
        <f>K174*(1+GROWTH_RATE)*FMC</f>
        <v>1318.835624</v>
      </c>
      <c r="T174" s="178">
        <f>T173*(1+'Pre-Calculation'!$E$27)</f>
        <v>1052151.44</v>
      </c>
      <c r="U174" s="175">
        <f>-E174+IF(A173=INPUT!$C$11*12,O174,0)</f>
        <v>0</v>
      </c>
      <c r="V174" s="112"/>
      <c r="W174" s="112"/>
      <c r="X174" s="179">
        <f t="array" ref="X174">NPV('Pre-Calculation'!$E$20,$E175:E$246)</f>
        <v>0</v>
      </c>
      <c r="Y174" s="171">
        <f>10%*SA</f>
        <v>100000</v>
      </c>
      <c r="Z174" s="179">
        <f t="array" ref="Z174">NPV('Pre-Calculation'!$E$20,Y175:Y184)</f>
        <v>969592.8037</v>
      </c>
    </row>
    <row r="175" ht="15.75" customHeight="1">
      <c r="A175" s="171">
        <f t="shared" si="1"/>
        <v>169</v>
      </c>
      <c r="B175" s="171">
        <f t="shared" si="2"/>
        <v>15</v>
      </c>
      <c r="C175" s="176">
        <f>EDATE(RCD,A174)</f>
        <v>47664</v>
      </c>
      <c r="D175" s="171">
        <f>Age_At_Entry+Cashflows_Backtesting!B175-1</f>
        <v>49</v>
      </c>
      <c r="E175" s="175">
        <f>IF(AND(C175&lt;=Last_Prem,MOD(A174,Mode)=0),Mod_Prem,0)</f>
        <v>0</v>
      </c>
      <c r="F175" s="177">
        <f>E175*VLOOKUP(B175,'Pre-Calculation'!$H$1:$I$31,2,FALSE)</f>
        <v>0</v>
      </c>
      <c r="G175" s="177">
        <f>IF(B175&lt;PT+1,VLOOKUP(B175,'Pre-Calculation'!$H$1:$L$32,3,FALSE)+VLOOKUP(B175,'Pre-Calculation'!$H$1:$L$32,4,FALSE)*'Pre-Calculation'!$D$7,0)</f>
        <v>0</v>
      </c>
      <c r="H175" s="175">
        <f>(E175-(F175+G175)*(1+Tax)+O174)</f>
        <v>1165437.733</v>
      </c>
      <c r="I175" s="175">
        <f>IF(B175&lt;PT+1,VLOOKUP(D175,'Pre-Calculation'!$N$3:$P$79,IF(INPUT!$C$4="M",2,3),FALSE)*(J175/1000)*(1/12),0)</f>
        <v>0</v>
      </c>
      <c r="J175" s="175">
        <f>MAX(0,(SA-H175))</f>
        <v>0</v>
      </c>
      <c r="K175" s="175">
        <f>H175-I175*(1+Tax)</f>
        <v>1165437.733</v>
      </c>
      <c r="L175" s="187">
        <f>VLOOKUP(C175,'NAVs_Till 29 Jun 2021'!$A$3:$J$2236,MATCH('Pre-Calculation'!$C$34,'NAVs_Till 29 Jun 2021'!$A$1:$J$1,0))</f>
        <v>20.7486</v>
      </c>
      <c r="M175" s="187">
        <f>IFERROR(1,VLOOKUP(C175,'NAVs_Till 29 Jun 2021'!$A$3:$J$2236,MATCH(#REF!,'NAVs_Till 29 Jun 2021'!$A$1:$J$1,0)))</f>
        <v>1</v>
      </c>
      <c r="N175" s="175">
        <f>VLOOKUP('Pre-Calculation'!$C$34,INPUT!$B$20:$C$28,2,0)*K175*(L176/L175)+ IFERROR(0,VLOOKUP('Pre-Calculation'!$D$34,INPUT!$B$20:$C$28,2,0))*K175*(M176/M175)</f>
        <v>1165437.733</v>
      </c>
      <c r="O175" s="175">
        <f t="shared" si="3"/>
        <v>1165437.733</v>
      </c>
      <c r="P175" s="175">
        <f t="shared" si="4"/>
        <v>1165437.733</v>
      </c>
      <c r="Q175" s="175">
        <f>IF('Pre-Calculation'!$D$17="Type 4 a",MAX(SA,O175,1.05*R175),IF('Pre-Calculation'!$D$17="Type 4 c",O175,IF('Pre-Calculation'!$D$17="Type 4 d",SA+O175,IF('Pre-Calculation'!$D$17="Type 4 e",MAX(SA,O175),IF('Pre-Calculation'!$D$17="Type 4 f",SA,IF('Pre-Calculation'!$D$17="Type 4 g",1000+O175,IF('Pre-Calculation'!$D$17="Type 4 h",SA+S175,IF('Pre-Calculation'!$D$17="Type 4 i",MAX(O175,R175),IF('Pre-Calculation'!$D$17="Type 4 k",MAX(O175,1.01*R175),IF('Pre-Calculation'!$D$17="Type 4 m",MAX(105%*R175,SA+O175),IF('Pre-Calculation'!$D$17="Type 4 o",MAX(SA,105%*R175)+X175+Z175,IF('Pre-Calculation'!$D$17="Type 5",0))))))))))))</f>
        <v>1165437.733</v>
      </c>
      <c r="R175" s="175">
        <f t="shared" si="5"/>
        <v>1000000</v>
      </c>
      <c r="S175" s="119">
        <f>K175*(1+GROWTH_RATE)*FMC</f>
        <v>1318.835624</v>
      </c>
      <c r="T175" s="178">
        <f>T174*(1+'Pre-Calculation'!$E$27)</f>
        <v>1055172.06</v>
      </c>
      <c r="U175" s="175">
        <f>-E175+IF(A174=INPUT!$C$11*12,O175,0)</f>
        <v>0</v>
      </c>
      <c r="V175" s="112"/>
      <c r="W175" s="112"/>
      <c r="X175" s="179">
        <f t="array" ref="X175">NPV('Pre-Calculation'!$E$20,$E176:E$246)</f>
        <v>0</v>
      </c>
      <c r="Y175" s="171">
        <f>10%*SA</f>
        <v>100000</v>
      </c>
      <c r="Z175" s="179">
        <f t="array" ref="Z175">NPV('Pre-Calculation'!$E$20,Y176:Y185)</f>
        <v>969592.8037</v>
      </c>
    </row>
    <row r="176" ht="15.75" customHeight="1">
      <c r="A176" s="171">
        <f t="shared" si="1"/>
        <v>170</v>
      </c>
      <c r="B176" s="171">
        <f t="shared" si="2"/>
        <v>15</v>
      </c>
      <c r="C176" s="176">
        <f>EDATE(RCD,A175)</f>
        <v>47694</v>
      </c>
      <c r="D176" s="171">
        <f>Age_At_Entry+Cashflows_Backtesting!B176-1</f>
        <v>49</v>
      </c>
      <c r="E176" s="175">
        <f>IF(AND(C176&lt;=Last_Prem,MOD(A175,Mode)=0),Mod_Prem,0)</f>
        <v>0</v>
      </c>
      <c r="F176" s="177">
        <f>E176*VLOOKUP(B176,'Pre-Calculation'!$H$1:$I$31,2,FALSE)</f>
        <v>0</v>
      </c>
      <c r="G176" s="177">
        <f>IF(B176&lt;PT+1,VLOOKUP(B176,'Pre-Calculation'!$H$1:$L$32,3,FALSE)+VLOOKUP(B176,'Pre-Calculation'!$H$1:$L$32,4,FALSE)*'Pre-Calculation'!$D$7,0)</f>
        <v>0</v>
      </c>
      <c r="H176" s="175">
        <f>(E176-(F176+G176)*(1+Tax)+O175)</f>
        <v>1165437.733</v>
      </c>
      <c r="I176" s="175">
        <f>IF(B176&lt;PT+1,VLOOKUP(D176,'Pre-Calculation'!$N$3:$P$79,IF(INPUT!$C$4="M",2,3),FALSE)*(J176/1000)*(1/12),0)</f>
        <v>0</v>
      </c>
      <c r="J176" s="175">
        <f>MAX(0,(SA-H176))</f>
        <v>0</v>
      </c>
      <c r="K176" s="175">
        <f>H176-I176*(1+Tax)</f>
        <v>1165437.733</v>
      </c>
      <c r="L176" s="187">
        <f>VLOOKUP(C176,'NAVs_Till 29 Jun 2021'!$A$3:$J$2236,MATCH('Pre-Calculation'!$C$34,'NAVs_Till 29 Jun 2021'!$A$1:$J$1,0))</f>
        <v>20.7486</v>
      </c>
      <c r="M176" s="187">
        <f>IFERROR(1,VLOOKUP(C176,'NAVs_Till 29 Jun 2021'!$A$3:$J$2236,MATCH(#REF!,'NAVs_Till 29 Jun 2021'!$A$1:$J$1,0)))</f>
        <v>1</v>
      </c>
      <c r="N176" s="175">
        <f>VLOOKUP('Pre-Calculation'!$C$34,INPUT!$B$20:$C$28,2,0)*K176*(L177/L176)+ IFERROR(0,VLOOKUP('Pre-Calculation'!$D$34,INPUT!$B$20:$C$28,2,0))*K176*(M177/M176)</f>
        <v>1165437.733</v>
      </c>
      <c r="O176" s="175">
        <f t="shared" si="3"/>
        <v>1165437.733</v>
      </c>
      <c r="P176" s="175">
        <f t="shared" si="4"/>
        <v>1165437.733</v>
      </c>
      <c r="Q176" s="175">
        <f>IF('Pre-Calculation'!$D$17="Type 4 a",MAX(SA,O176,1.05*R176),IF('Pre-Calculation'!$D$17="Type 4 c",O176,IF('Pre-Calculation'!$D$17="Type 4 d",SA+O176,IF('Pre-Calculation'!$D$17="Type 4 e",MAX(SA,O176),IF('Pre-Calculation'!$D$17="Type 4 f",SA,IF('Pre-Calculation'!$D$17="Type 4 g",1000+O176,IF('Pre-Calculation'!$D$17="Type 4 h",SA+S176,IF('Pre-Calculation'!$D$17="Type 4 i",MAX(O176,R176),IF('Pre-Calculation'!$D$17="Type 4 k",MAX(O176,1.01*R176),IF('Pre-Calculation'!$D$17="Type 4 m",MAX(105%*R176,SA+O176),IF('Pre-Calculation'!$D$17="Type 4 o",MAX(SA,105%*R176)+X176+Z176,IF('Pre-Calculation'!$D$17="Type 5",0))))))))))))</f>
        <v>1165437.733</v>
      </c>
      <c r="R176" s="175">
        <f t="shared" si="5"/>
        <v>1000000</v>
      </c>
      <c r="S176" s="119">
        <f>K176*(1+GROWTH_RATE)*FMC</f>
        <v>1318.835624</v>
      </c>
      <c r="T176" s="178">
        <f>T175*(1+'Pre-Calculation'!$E$27)</f>
        <v>1058201.352</v>
      </c>
      <c r="U176" s="175">
        <f>-E176+IF(A175=INPUT!$C$11*12,O176,0)</f>
        <v>0</v>
      </c>
      <c r="V176" s="112"/>
      <c r="W176" s="112"/>
      <c r="X176" s="179">
        <f t="array" ref="X176">NPV('Pre-Calculation'!$E$20,$E177:E$246)</f>
        <v>0</v>
      </c>
      <c r="Y176" s="171">
        <f>10%*SA</f>
        <v>100000</v>
      </c>
      <c r="Z176" s="179">
        <f t="array" ref="Z176">NPV('Pre-Calculation'!$E$20,Y177:Y186)</f>
        <v>969592.8037</v>
      </c>
    </row>
    <row r="177" ht="15.75" customHeight="1">
      <c r="A177" s="171">
        <f t="shared" si="1"/>
        <v>171</v>
      </c>
      <c r="B177" s="171">
        <f t="shared" si="2"/>
        <v>15</v>
      </c>
      <c r="C177" s="176">
        <f>EDATE(RCD,A176)</f>
        <v>47725</v>
      </c>
      <c r="D177" s="171">
        <f>Age_At_Entry+Cashflows_Backtesting!B177-1</f>
        <v>49</v>
      </c>
      <c r="E177" s="175">
        <f>IF(AND(C177&lt;=Last_Prem,MOD(A176,Mode)=0),Mod_Prem,0)</f>
        <v>0</v>
      </c>
      <c r="F177" s="177">
        <f>E177*VLOOKUP(B177,'Pre-Calculation'!$H$1:$I$31,2,FALSE)</f>
        <v>0</v>
      </c>
      <c r="G177" s="177">
        <f>IF(B177&lt;PT+1,VLOOKUP(B177,'Pre-Calculation'!$H$1:$L$32,3,FALSE)+VLOOKUP(B177,'Pre-Calculation'!$H$1:$L$32,4,FALSE)*'Pre-Calculation'!$D$7,0)</f>
        <v>0</v>
      </c>
      <c r="H177" s="175">
        <f>(E177-(F177+G177)*(1+Tax)+O176)</f>
        <v>1165437.733</v>
      </c>
      <c r="I177" s="175">
        <f>IF(B177&lt;PT+1,VLOOKUP(D177,'Pre-Calculation'!$N$3:$P$79,IF(INPUT!$C$4="M",2,3),FALSE)*(J177/1000)*(1/12),0)</f>
        <v>0</v>
      </c>
      <c r="J177" s="175">
        <f>MAX(0,(SA-H177))</f>
        <v>0</v>
      </c>
      <c r="K177" s="175">
        <f>H177-I177*(1+Tax)</f>
        <v>1165437.733</v>
      </c>
      <c r="L177" s="187">
        <f>VLOOKUP(C177,'NAVs_Till 29 Jun 2021'!$A$3:$J$2236,MATCH('Pre-Calculation'!$C$34,'NAVs_Till 29 Jun 2021'!$A$1:$J$1,0))</f>
        <v>20.7486</v>
      </c>
      <c r="M177" s="187">
        <f>IFERROR(1,VLOOKUP(C177,'NAVs_Till 29 Jun 2021'!$A$3:$J$2236,MATCH(#REF!,'NAVs_Till 29 Jun 2021'!$A$1:$J$1,0)))</f>
        <v>1</v>
      </c>
      <c r="N177" s="175">
        <f>VLOOKUP('Pre-Calculation'!$C$34,INPUT!$B$20:$C$28,2,0)*K177*(L178/L177)+ IFERROR(0,VLOOKUP('Pre-Calculation'!$D$34,INPUT!$B$20:$C$28,2,0))*K177*(M178/M177)</f>
        <v>1165437.733</v>
      </c>
      <c r="O177" s="175">
        <f t="shared" si="3"/>
        <v>1165437.733</v>
      </c>
      <c r="P177" s="175">
        <f t="shared" si="4"/>
        <v>1165437.733</v>
      </c>
      <c r="Q177" s="175">
        <f>IF('Pre-Calculation'!$D$17="Type 4 a",MAX(SA,O177,1.05*R177),IF('Pre-Calculation'!$D$17="Type 4 c",O177,IF('Pre-Calculation'!$D$17="Type 4 d",SA+O177,IF('Pre-Calculation'!$D$17="Type 4 e",MAX(SA,O177),IF('Pre-Calculation'!$D$17="Type 4 f",SA,IF('Pre-Calculation'!$D$17="Type 4 g",1000+O177,IF('Pre-Calculation'!$D$17="Type 4 h",SA+S177,IF('Pre-Calculation'!$D$17="Type 4 i",MAX(O177,R177),IF('Pre-Calculation'!$D$17="Type 4 k",MAX(O177,1.01*R177),IF('Pre-Calculation'!$D$17="Type 4 m",MAX(105%*R177,SA+O177),IF('Pre-Calculation'!$D$17="Type 4 o",MAX(SA,105%*R177)+X177+Z177,IF('Pre-Calculation'!$D$17="Type 5",0))))))))))))</f>
        <v>1165437.733</v>
      </c>
      <c r="R177" s="175">
        <f t="shared" si="5"/>
        <v>1000000</v>
      </c>
      <c r="S177" s="119">
        <f>K177*(1+GROWTH_RATE)*FMC</f>
        <v>1318.835624</v>
      </c>
      <c r="T177" s="178">
        <f>T176*(1+'Pre-Calculation'!$E$27)</f>
        <v>1061239.341</v>
      </c>
      <c r="U177" s="175">
        <f>-E177+IF(A176=INPUT!$C$11*12,O177,0)</f>
        <v>0</v>
      </c>
      <c r="V177" s="112"/>
      <c r="W177" s="112"/>
      <c r="X177" s="179">
        <f t="array" ref="X177">NPV('Pre-Calculation'!$E$20,$E178:E$246)</f>
        <v>0</v>
      </c>
      <c r="Y177" s="171">
        <f>10%*SA</f>
        <v>100000</v>
      </c>
      <c r="Z177" s="179">
        <f t="array" ref="Z177">NPV('Pre-Calculation'!$E$20,Y178:Y187)</f>
        <v>969592.8037</v>
      </c>
    </row>
    <row r="178" ht="15.75" customHeight="1">
      <c r="A178" s="171">
        <f t="shared" si="1"/>
        <v>172</v>
      </c>
      <c r="B178" s="171">
        <f t="shared" si="2"/>
        <v>15</v>
      </c>
      <c r="C178" s="176">
        <f>EDATE(RCD,A177)</f>
        <v>47756</v>
      </c>
      <c r="D178" s="171">
        <f>Age_At_Entry+Cashflows_Backtesting!B178-1</f>
        <v>49</v>
      </c>
      <c r="E178" s="175">
        <f>IF(AND(C178&lt;=Last_Prem,MOD(A177,Mode)=0),Mod_Prem,0)</f>
        <v>0</v>
      </c>
      <c r="F178" s="177">
        <f>E178*VLOOKUP(B178,'Pre-Calculation'!$H$1:$I$31,2,FALSE)</f>
        <v>0</v>
      </c>
      <c r="G178" s="177">
        <f>IF(B178&lt;PT+1,VLOOKUP(B178,'Pre-Calculation'!$H$1:$L$32,3,FALSE)+VLOOKUP(B178,'Pre-Calculation'!$H$1:$L$32,4,FALSE)*'Pre-Calculation'!$D$7,0)</f>
        <v>0</v>
      </c>
      <c r="H178" s="175">
        <f>(E178-(F178+G178)*(1+Tax)+O177)</f>
        <v>1165437.733</v>
      </c>
      <c r="I178" s="175">
        <f>IF(B178&lt;PT+1,VLOOKUP(D178,'Pre-Calculation'!$N$3:$P$79,IF(INPUT!$C$4="M",2,3),FALSE)*(J178/1000)*(1/12),0)</f>
        <v>0</v>
      </c>
      <c r="J178" s="175">
        <f>MAX(0,(SA-H178))</f>
        <v>0</v>
      </c>
      <c r="K178" s="175">
        <f>H178-I178*(1+Tax)</f>
        <v>1165437.733</v>
      </c>
      <c r="L178" s="187">
        <f>VLOOKUP(C178,'NAVs_Till 29 Jun 2021'!$A$3:$J$2236,MATCH('Pre-Calculation'!$C$34,'NAVs_Till 29 Jun 2021'!$A$1:$J$1,0))</f>
        <v>20.7486</v>
      </c>
      <c r="M178" s="187">
        <f>IFERROR(1,VLOOKUP(C178,'NAVs_Till 29 Jun 2021'!$A$3:$J$2236,MATCH(#REF!,'NAVs_Till 29 Jun 2021'!$A$1:$J$1,0)))</f>
        <v>1</v>
      </c>
      <c r="N178" s="175">
        <f>VLOOKUP('Pre-Calculation'!$C$34,INPUT!$B$20:$C$28,2,0)*K178*(L179/L178)+ IFERROR(0,VLOOKUP('Pre-Calculation'!$D$34,INPUT!$B$20:$C$28,2,0))*K178*(M179/M178)</f>
        <v>1165437.733</v>
      </c>
      <c r="O178" s="175">
        <f t="shared" si="3"/>
        <v>1165437.733</v>
      </c>
      <c r="P178" s="175">
        <f t="shared" si="4"/>
        <v>1165437.733</v>
      </c>
      <c r="Q178" s="175">
        <f>IF('Pre-Calculation'!$D$17="Type 4 a",MAX(SA,O178,1.05*R178),IF('Pre-Calculation'!$D$17="Type 4 c",O178,IF('Pre-Calculation'!$D$17="Type 4 d",SA+O178,IF('Pre-Calculation'!$D$17="Type 4 e",MAX(SA,O178),IF('Pre-Calculation'!$D$17="Type 4 f",SA,IF('Pre-Calculation'!$D$17="Type 4 g",1000+O178,IF('Pre-Calculation'!$D$17="Type 4 h",SA+S178,IF('Pre-Calculation'!$D$17="Type 4 i",MAX(O178,R178),IF('Pre-Calculation'!$D$17="Type 4 k",MAX(O178,1.01*R178),IF('Pre-Calculation'!$D$17="Type 4 m",MAX(105%*R178,SA+O178),IF('Pre-Calculation'!$D$17="Type 4 o",MAX(SA,105%*R178)+X178+Z178,IF('Pre-Calculation'!$D$17="Type 5",0))))))))))))</f>
        <v>1165437.733</v>
      </c>
      <c r="R178" s="175">
        <f t="shared" si="5"/>
        <v>1000000</v>
      </c>
      <c r="S178" s="119">
        <f>K178*(1+GROWTH_RATE)*FMC</f>
        <v>1318.835624</v>
      </c>
      <c r="T178" s="178">
        <f>T177*(1+'Pre-Calculation'!$E$27)</f>
        <v>1064286.052</v>
      </c>
      <c r="U178" s="175">
        <f>-E178+IF(A177=INPUT!$C$11*12,O178,0)</f>
        <v>0</v>
      </c>
      <c r="V178" s="112"/>
      <c r="W178" s="112"/>
      <c r="X178" s="179">
        <f t="array" ref="X178">NPV('Pre-Calculation'!$E$20,$E179:E$246)</f>
        <v>0</v>
      </c>
      <c r="Y178" s="171">
        <f>10%*SA</f>
        <v>100000</v>
      </c>
      <c r="Z178" s="179">
        <f t="array" ref="Z178">NPV('Pre-Calculation'!$E$20,Y179:Y188)</f>
        <v>969592.8037</v>
      </c>
    </row>
    <row r="179" ht="15.75" customHeight="1">
      <c r="A179" s="171">
        <f t="shared" si="1"/>
        <v>173</v>
      </c>
      <c r="B179" s="171">
        <f t="shared" si="2"/>
        <v>15</v>
      </c>
      <c r="C179" s="176">
        <f>EDATE(RCD,A178)</f>
        <v>47786</v>
      </c>
      <c r="D179" s="171">
        <f>Age_At_Entry+Cashflows_Backtesting!B179-1</f>
        <v>49</v>
      </c>
      <c r="E179" s="175">
        <f>IF(AND(C179&lt;=Last_Prem,MOD(A178,Mode)=0),Mod_Prem,0)</f>
        <v>0</v>
      </c>
      <c r="F179" s="177">
        <f>E179*VLOOKUP(B179,'Pre-Calculation'!$H$1:$I$31,2,FALSE)</f>
        <v>0</v>
      </c>
      <c r="G179" s="177">
        <f>IF(B179&lt;PT+1,VLOOKUP(B179,'Pre-Calculation'!$H$1:$L$32,3,FALSE)+VLOOKUP(B179,'Pre-Calculation'!$H$1:$L$32,4,FALSE)*'Pre-Calculation'!$D$7,0)</f>
        <v>0</v>
      </c>
      <c r="H179" s="175">
        <f>(E179-(F179+G179)*(1+Tax)+O178)</f>
        <v>1165437.733</v>
      </c>
      <c r="I179" s="175">
        <f>IF(B179&lt;PT+1,VLOOKUP(D179,'Pre-Calculation'!$N$3:$P$79,IF(INPUT!$C$4="M",2,3),FALSE)*(J179/1000)*(1/12),0)</f>
        <v>0</v>
      </c>
      <c r="J179" s="175">
        <f>MAX(0,(SA-H179))</f>
        <v>0</v>
      </c>
      <c r="K179" s="175">
        <f>H179-I179*(1+Tax)</f>
        <v>1165437.733</v>
      </c>
      <c r="L179" s="187">
        <f>VLOOKUP(C179,'NAVs_Till 29 Jun 2021'!$A$3:$J$2236,MATCH('Pre-Calculation'!$C$34,'NAVs_Till 29 Jun 2021'!$A$1:$J$1,0))</f>
        <v>20.7486</v>
      </c>
      <c r="M179" s="187">
        <f>IFERROR(1,VLOOKUP(C179,'NAVs_Till 29 Jun 2021'!$A$3:$J$2236,MATCH(#REF!,'NAVs_Till 29 Jun 2021'!$A$1:$J$1,0)))</f>
        <v>1</v>
      </c>
      <c r="N179" s="175">
        <f>VLOOKUP('Pre-Calculation'!$C$34,INPUT!$B$20:$C$28,2,0)*K179*(L180/L179)+ IFERROR(0,VLOOKUP('Pre-Calculation'!$D$34,INPUT!$B$20:$C$28,2,0))*K179*(M180/M179)</f>
        <v>1165437.733</v>
      </c>
      <c r="O179" s="175">
        <f t="shared" si="3"/>
        <v>1165437.733</v>
      </c>
      <c r="P179" s="175">
        <f t="shared" si="4"/>
        <v>1165437.733</v>
      </c>
      <c r="Q179" s="175">
        <f>IF('Pre-Calculation'!$D$17="Type 4 a",MAX(SA,O179,1.05*R179),IF('Pre-Calculation'!$D$17="Type 4 c",O179,IF('Pre-Calculation'!$D$17="Type 4 d",SA+O179,IF('Pre-Calculation'!$D$17="Type 4 e",MAX(SA,O179),IF('Pre-Calculation'!$D$17="Type 4 f",SA,IF('Pre-Calculation'!$D$17="Type 4 g",1000+O179,IF('Pre-Calculation'!$D$17="Type 4 h",SA+S179,IF('Pre-Calculation'!$D$17="Type 4 i",MAX(O179,R179),IF('Pre-Calculation'!$D$17="Type 4 k",MAX(O179,1.01*R179),IF('Pre-Calculation'!$D$17="Type 4 m",MAX(105%*R179,SA+O179),IF('Pre-Calculation'!$D$17="Type 4 o",MAX(SA,105%*R179)+X179+Z179,IF('Pre-Calculation'!$D$17="Type 5",0))))))))))))</f>
        <v>1165437.733</v>
      </c>
      <c r="R179" s="175">
        <f t="shared" si="5"/>
        <v>1000000</v>
      </c>
      <c r="S179" s="119">
        <f>K179*(1+GROWTH_RATE)*FMC</f>
        <v>1318.835624</v>
      </c>
      <c r="T179" s="178">
        <f>T178*(1+'Pre-Calculation'!$E$27)</f>
        <v>1067341.509</v>
      </c>
      <c r="U179" s="175">
        <f>-E179+IF(A178=INPUT!$C$11*12,O179,0)</f>
        <v>0</v>
      </c>
      <c r="V179" s="112"/>
      <c r="W179" s="112"/>
      <c r="X179" s="179">
        <f t="array" ref="X179">NPV('Pre-Calculation'!$E$20,$E180:E$246)</f>
        <v>0</v>
      </c>
      <c r="Y179" s="171">
        <f>10%*SA</f>
        <v>100000</v>
      </c>
      <c r="Z179" s="179">
        <f t="array" ref="Z179">NPV('Pre-Calculation'!$E$20,Y180:Y189)</f>
        <v>969592.8037</v>
      </c>
    </row>
    <row r="180" ht="15.75" customHeight="1">
      <c r="A180" s="171">
        <f t="shared" si="1"/>
        <v>174</v>
      </c>
      <c r="B180" s="171">
        <f t="shared" si="2"/>
        <v>15</v>
      </c>
      <c r="C180" s="176">
        <f>EDATE(RCD,A179)</f>
        <v>47817</v>
      </c>
      <c r="D180" s="171">
        <f>Age_At_Entry+Cashflows_Backtesting!B180-1</f>
        <v>49</v>
      </c>
      <c r="E180" s="175">
        <f>IF(AND(C180&lt;=Last_Prem,MOD(A179,Mode)=0),Mod_Prem,0)</f>
        <v>0</v>
      </c>
      <c r="F180" s="177">
        <f>E180*VLOOKUP(B180,'Pre-Calculation'!$H$1:$I$31,2,FALSE)</f>
        <v>0</v>
      </c>
      <c r="G180" s="177">
        <f>IF(B180&lt;PT+1,VLOOKUP(B180,'Pre-Calculation'!$H$1:$L$32,3,FALSE)+VLOOKUP(B180,'Pre-Calculation'!$H$1:$L$32,4,FALSE)*'Pre-Calculation'!$D$7,0)</f>
        <v>0</v>
      </c>
      <c r="H180" s="175">
        <f>(E180-(F180+G180)*(1+Tax)+O179)</f>
        <v>1165437.733</v>
      </c>
      <c r="I180" s="175">
        <f>IF(B180&lt;PT+1,VLOOKUP(D180,'Pre-Calculation'!$N$3:$P$79,IF(INPUT!$C$4="M",2,3),FALSE)*(J180/1000)*(1/12),0)</f>
        <v>0</v>
      </c>
      <c r="J180" s="175">
        <f>MAX(0,(SA-H180))</f>
        <v>0</v>
      </c>
      <c r="K180" s="175">
        <f>H180-I180*(1+Tax)</f>
        <v>1165437.733</v>
      </c>
      <c r="L180" s="187">
        <f>VLOOKUP(C180,'NAVs_Till 29 Jun 2021'!$A$3:$J$2236,MATCH('Pre-Calculation'!$C$34,'NAVs_Till 29 Jun 2021'!$A$1:$J$1,0))</f>
        <v>20.7486</v>
      </c>
      <c r="M180" s="187">
        <f>IFERROR(1,VLOOKUP(C180,'NAVs_Till 29 Jun 2021'!$A$3:$J$2236,MATCH(#REF!,'NAVs_Till 29 Jun 2021'!$A$1:$J$1,0)))</f>
        <v>1</v>
      </c>
      <c r="N180" s="175">
        <f>VLOOKUP('Pre-Calculation'!$C$34,INPUT!$B$20:$C$28,2,0)*K180*(L181/L180)+ IFERROR(0,VLOOKUP('Pre-Calculation'!$D$34,INPUT!$B$20:$C$28,2,0))*K180*(M181/M180)</f>
        <v>1165437.733</v>
      </c>
      <c r="O180" s="175">
        <f t="shared" si="3"/>
        <v>1165437.733</v>
      </c>
      <c r="P180" s="175">
        <f t="shared" si="4"/>
        <v>1165437.733</v>
      </c>
      <c r="Q180" s="175">
        <f>IF('Pre-Calculation'!$D$17="Type 4 a",MAX(SA,O180,1.05*R180),IF('Pre-Calculation'!$D$17="Type 4 c",O180,IF('Pre-Calculation'!$D$17="Type 4 d",SA+O180,IF('Pre-Calculation'!$D$17="Type 4 e",MAX(SA,O180),IF('Pre-Calculation'!$D$17="Type 4 f",SA,IF('Pre-Calculation'!$D$17="Type 4 g",1000+O180,IF('Pre-Calculation'!$D$17="Type 4 h",SA+S180,IF('Pre-Calculation'!$D$17="Type 4 i",MAX(O180,R180),IF('Pre-Calculation'!$D$17="Type 4 k",MAX(O180,1.01*R180),IF('Pre-Calculation'!$D$17="Type 4 m",MAX(105%*R180,SA+O180),IF('Pre-Calculation'!$D$17="Type 4 o",MAX(SA,105%*R180)+X180+Z180,IF('Pre-Calculation'!$D$17="Type 5",0))))))))))))</f>
        <v>1165437.733</v>
      </c>
      <c r="R180" s="175">
        <f t="shared" si="5"/>
        <v>1000000</v>
      </c>
      <c r="S180" s="119">
        <f>K180*(1+GROWTH_RATE)*FMC</f>
        <v>1318.835624</v>
      </c>
      <c r="T180" s="178">
        <f>T179*(1+'Pre-Calculation'!$E$27)</f>
        <v>1070405.738</v>
      </c>
      <c r="U180" s="175">
        <f>-E180+IF(A179=INPUT!$C$11*12,O180,0)</f>
        <v>0</v>
      </c>
      <c r="V180" s="112"/>
      <c r="W180" s="112"/>
      <c r="X180" s="179">
        <f t="array" ref="X180">NPV('Pre-Calculation'!$E$20,$E181:E$246)</f>
        <v>0</v>
      </c>
      <c r="Y180" s="171">
        <f>10%*SA</f>
        <v>100000</v>
      </c>
      <c r="Z180" s="179">
        <f t="array" ref="Z180">NPV('Pre-Calculation'!$E$20,Y181:Y190)</f>
        <v>969592.8037</v>
      </c>
    </row>
    <row r="181" ht="15.75" customHeight="1">
      <c r="A181" s="171">
        <f t="shared" si="1"/>
        <v>175</v>
      </c>
      <c r="B181" s="171">
        <f t="shared" si="2"/>
        <v>15</v>
      </c>
      <c r="C181" s="176">
        <f>EDATE(RCD,A180)</f>
        <v>47847</v>
      </c>
      <c r="D181" s="171">
        <f>Age_At_Entry+Cashflows_Backtesting!B181-1</f>
        <v>49</v>
      </c>
      <c r="E181" s="175">
        <f>IF(AND(C181&lt;=Last_Prem,MOD(A180,Mode)=0),Mod_Prem,0)</f>
        <v>0</v>
      </c>
      <c r="F181" s="177">
        <f>E181*VLOOKUP(B181,'Pre-Calculation'!$H$1:$I$31,2,FALSE)</f>
        <v>0</v>
      </c>
      <c r="G181" s="177">
        <f>IF(B181&lt;PT+1,VLOOKUP(B181,'Pre-Calculation'!$H$1:$L$32,3,FALSE)+VLOOKUP(B181,'Pre-Calculation'!$H$1:$L$32,4,FALSE)*'Pre-Calculation'!$D$7,0)</f>
        <v>0</v>
      </c>
      <c r="H181" s="175">
        <f>(E181-(F181+G181)*(1+Tax)+O180)</f>
        <v>1165437.733</v>
      </c>
      <c r="I181" s="175">
        <f>IF(B181&lt;PT+1,VLOOKUP(D181,'Pre-Calculation'!$N$3:$P$79,IF(INPUT!$C$4="M",2,3),FALSE)*(J181/1000)*(1/12),0)</f>
        <v>0</v>
      </c>
      <c r="J181" s="175">
        <f>MAX(0,(SA-H181))</f>
        <v>0</v>
      </c>
      <c r="K181" s="175">
        <f>H181-I181*(1+Tax)</f>
        <v>1165437.733</v>
      </c>
      <c r="L181" s="187">
        <f>VLOOKUP(C181,'NAVs_Till 29 Jun 2021'!$A$3:$J$2236,MATCH('Pre-Calculation'!$C$34,'NAVs_Till 29 Jun 2021'!$A$1:$J$1,0))</f>
        <v>20.7486</v>
      </c>
      <c r="M181" s="187">
        <f>IFERROR(1,VLOOKUP(C181,'NAVs_Till 29 Jun 2021'!$A$3:$J$2236,MATCH(#REF!,'NAVs_Till 29 Jun 2021'!$A$1:$J$1,0)))</f>
        <v>1</v>
      </c>
      <c r="N181" s="175">
        <f>VLOOKUP('Pre-Calculation'!$C$34,INPUT!$B$20:$C$28,2,0)*K181*(L182/L181)+ IFERROR(0,VLOOKUP('Pre-Calculation'!$D$34,INPUT!$B$20:$C$28,2,0))*K181*(M182/M181)</f>
        <v>1165437.733</v>
      </c>
      <c r="O181" s="175">
        <f t="shared" si="3"/>
        <v>1165437.733</v>
      </c>
      <c r="P181" s="175">
        <f t="shared" si="4"/>
        <v>1165437.733</v>
      </c>
      <c r="Q181" s="175">
        <f>IF('Pre-Calculation'!$D$17="Type 4 a",MAX(SA,O181,1.05*R181),IF('Pre-Calculation'!$D$17="Type 4 c",O181,IF('Pre-Calculation'!$D$17="Type 4 d",SA+O181,IF('Pre-Calculation'!$D$17="Type 4 e",MAX(SA,O181),IF('Pre-Calculation'!$D$17="Type 4 f",SA,IF('Pre-Calculation'!$D$17="Type 4 g",1000+O181,IF('Pre-Calculation'!$D$17="Type 4 h",SA+S181,IF('Pre-Calculation'!$D$17="Type 4 i",MAX(O181,R181),IF('Pre-Calculation'!$D$17="Type 4 k",MAX(O181,1.01*R181),IF('Pre-Calculation'!$D$17="Type 4 m",MAX(105%*R181,SA+O181),IF('Pre-Calculation'!$D$17="Type 4 o",MAX(SA,105%*R181)+X181+Z181,IF('Pre-Calculation'!$D$17="Type 5",0))))))))))))</f>
        <v>1165437.733</v>
      </c>
      <c r="R181" s="175">
        <f t="shared" si="5"/>
        <v>1000000</v>
      </c>
      <c r="S181" s="119">
        <f>K181*(1+GROWTH_RATE)*FMC</f>
        <v>1318.835624</v>
      </c>
      <c r="T181" s="178">
        <f>T180*(1+'Pre-Calculation'!$E$27)</f>
        <v>1073478.765</v>
      </c>
      <c r="U181" s="175">
        <f>-E181+IF(A180=INPUT!$C$11*12,O181,0)</f>
        <v>0</v>
      </c>
      <c r="V181" s="112"/>
      <c r="W181" s="112"/>
      <c r="X181" s="179">
        <f t="array" ref="X181">NPV('Pre-Calculation'!$E$20,$E182:E$246)</f>
        <v>0</v>
      </c>
      <c r="Y181" s="171">
        <f>10%*SA</f>
        <v>100000</v>
      </c>
      <c r="Z181" s="179">
        <f t="array" ref="Z181">NPV('Pre-Calculation'!$E$20,Y182:Y191)</f>
        <v>969592.8037</v>
      </c>
    </row>
    <row r="182" ht="15.75" customHeight="1">
      <c r="A182" s="171">
        <f t="shared" si="1"/>
        <v>176</v>
      </c>
      <c r="B182" s="171">
        <f t="shared" si="2"/>
        <v>15</v>
      </c>
      <c r="C182" s="176">
        <f>EDATE(RCD,A181)</f>
        <v>47878</v>
      </c>
      <c r="D182" s="171">
        <f>Age_At_Entry+Cashflows_Backtesting!B182-1</f>
        <v>49</v>
      </c>
      <c r="E182" s="175">
        <f>IF(AND(C182&lt;=Last_Prem,MOD(A181,Mode)=0),Mod_Prem,0)</f>
        <v>0</v>
      </c>
      <c r="F182" s="177">
        <f>E182*VLOOKUP(B182,'Pre-Calculation'!$H$1:$I$31,2,FALSE)</f>
        <v>0</v>
      </c>
      <c r="G182" s="177">
        <f>IF(B182&lt;PT+1,VLOOKUP(B182,'Pre-Calculation'!$H$1:$L$32,3,FALSE)+VLOOKUP(B182,'Pre-Calculation'!$H$1:$L$32,4,FALSE)*'Pre-Calculation'!$D$7,0)</f>
        <v>0</v>
      </c>
      <c r="H182" s="175">
        <f>(E182-(F182+G182)*(1+Tax)+O181)</f>
        <v>1165437.733</v>
      </c>
      <c r="I182" s="175">
        <f>IF(B182&lt;PT+1,VLOOKUP(D182,'Pre-Calculation'!$N$3:$P$79,IF(INPUT!$C$4="M",2,3),FALSE)*(J182/1000)*(1/12),0)</f>
        <v>0</v>
      </c>
      <c r="J182" s="175">
        <f>MAX(0,(SA-H182))</f>
        <v>0</v>
      </c>
      <c r="K182" s="175">
        <f>H182-I182*(1+Tax)</f>
        <v>1165437.733</v>
      </c>
      <c r="L182" s="187">
        <f>VLOOKUP(C182,'NAVs_Till 29 Jun 2021'!$A$3:$J$2236,MATCH('Pre-Calculation'!$C$34,'NAVs_Till 29 Jun 2021'!$A$1:$J$1,0))</f>
        <v>20.7486</v>
      </c>
      <c r="M182" s="187">
        <f>IFERROR(1,VLOOKUP(C182,'NAVs_Till 29 Jun 2021'!$A$3:$J$2236,MATCH(#REF!,'NAVs_Till 29 Jun 2021'!$A$1:$J$1,0)))</f>
        <v>1</v>
      </c>
      <c r="N182" s="175">
        <f>VLOOKUP('Pre-Calculation'!$C$34,INPUT!$B$20:$C$28,2,0)*K182*(L183/L182)+ IFERROR(0,VLOOKUP('Pre-Calculation'!$D$34,INPUT!$B$20:$C$28,2,0))*K182*(M183/M182)</f>
        <v>1165437.733</v>
      </c>
      <c r="O182" s="175">
        <f t="shared" si="3"/>
        <v>1165437.733</v>
      </c>
      <c r="P182" s="175">
        <f t="shared" si="4"/>
        <v>1165437.733</v>
      </c>
      <c r="Q182" s="175">
        <f>IF('Pre-Calculation'!$D$17="Type 4 a",MAX(SA,O182,1.05*R182),IF('Pre-Calculation'!$D$17="Type 4 c",O182,IF('Pre-Calculation'!$D$17="Type 4 d",SA+O182,IF('Pre-Calculation'!$D$17="Type 4 e",MAX(SA,O182),IF('Pre-Calculation'!$D$17="Type 4 f",SA,IF('Pre-Calculation'!$D$17="Type 4 g",1000+O182,IF('Pre-Calculation'!$D$17="Type 4 h",SA+S182,IF('Pre-Calculation'!$D$17="Type 4 i",MAX(O182,R182),IF('Pre-Calculation'!$D$17="Type 4 k",MAX(O182,1.01*R182),IF('Pre-Calculation'!$D$17="Type 4 m",MAX(105%*R182,SA+O182),IF('Pre-Calculation'!$D$17="Type 4 o",MAX(SA,105%*R182)+X182+Z182,IF('Pre-Calculation'!$D$17="Type 5",0))))))))))))</f>
        <v>1165437.733</v>
      </c>
      <c r="R182" s="175">
        <f t="shared" si="5"/>
        <v>1000000</v>
      </c>
      <c r="S182" s="119">
        <f>K182*(1+GROWTH_RATE)*FMC</f>
        <v>1318.835624</v>
      </c>
      <c r="T182" s="178">
        <f>T181*(1+'Pre-Calculation'!$E$27)</f>
        <v>1076560.614</v>
      </c>
      <c r="U182" s="175">
        <f>-E182+IF(A181=INPUT!$C$11*12,O182,0)</f>
        <v>0</v>
      </c>
      <c r="V182" s="112"/>
      <c r="W182" s="112"/>
      <c r="X182" s="179">
        <f t="array" ref="X182">NPV('Pre-Calculation'!$E$20,$E183:E$246)</f>
        <v>0</v>
      </c>
      <c r="Y182" s="171">
        <f>10%*SA</f>
        <v>100000</v>
      </c>
      <c r="Z182" s="179">
        <f t="array" ref="Z182">NPV('Pre-Calculation'!$E$20,Y183:Y192)</f>
        <v>969592.8037</v>
      </c>
    </row>
    <row r="183" ht="15.75" customHeight="1">
      <c r="A183" s="171">
        <f t="shared" si="1"/>
        <v>177</v>
      </c>
      <c r="B183" s="171">
        <f t="shared" si="2"/>
        <v>15</v>
      </c>
      <c r="C183" s="176">
        <f>EDATE(RCD,A182)</f>
        <v>47907</v>
      </c>
      <c r="D183" s="171">
        <f>Age_At_Entry+Cashflows_Backtesting!B183-1</f>
        <v>49</v>
      </c>
      <c r="E183" s="175">
        <f>IF(AND(C183&lt;=Last_Prem,MOD(A182,Mode)=0),Mod_Prem,0)</f>
        <v>0</v>
      </c>
      <c r="F183" s="177">
        <f>E183*VLOOKUP(B183,'Pre-Calculation'!$H$1:$I$31,2,FALSE)</f>
        <v>0</v>
      </c>
      <c r="G183" s="177">
        <f>IF(B183&lt;PT+1,VLOOKUP(B183,'Pre-Calculation'!$H$1:$L$32,3,FALSE)+VLOOKUP(B183,'Pre-Calculation'!$H$1:$L$32,4,FALSE)*'Pre-Calculation'!$D$7,0)</f>
        <v>0</v>
      </c>
      <c r="H183" s="175">
        <f>(E183-(F183+G183)*(1+Tax)+O182)</f>
        <v>1165437.733</v>
      </c>
      <c r="I183" s="175">
        <f>IF(B183&lt;PT+1,VLOOKUP(D183,'Pre-Calculation'!$N$3:$P$79,IF(INPUT!$C$4="M",2,3),FALSE)*(J183/1000)*(1/12),0)</f>
        <v>0</v>
      </c>
      <c r="J183" s="175">
        <f>MAX(0,(SA-H183))</f>
        <v>0</v>
      </c>
      <c r="K183" s="175">
        <f>H183-I183*(1+Tax)</f>
        <v>1165437.733</v>
      </c>
      <c r="L183" s="187">
        <f>VLOOKUP(C183,'NAVs_Till 29 Jun 2021'!$A$3:$J$2236,MATCH('Pre-Calculation'!$C$34,'NAVs_Till 29 Jun 2021'!$A$1:$J$1,0))</f>
        <v>20.7486</v>
      </c>
      <c r="M183" s="187">
        <f>IFERROR(1,VLOOKUP(C183,'NAVs_Till 29 Jun 2021'!$A$3:$J$2236,MATCH(#REF!,'NAVs_Till 29 Jun 2021'!$A$1:$J$1,0)))</f>
        <v>1</v>
      </c>
      <c r="N183" s="175">
        <f>VLOOKUP('Pre-Calculation'!$C$34,INPUT!$B$20:$C$28,2,0)*K183*(L184/L183)+ IFERROR(0,VLOOKUP('Pre-Calculation'!$D$34,INPUT!$B$20:$C$28,2,0))*K183*(M184/M183)</f>
        <v>1165437.733</v>
      </c>
      <c r="O183" s="175">
        <f t="shared" si="3"/>
        <v>1165437.733</v>
      </c>
      <c r="P183" s="175">
        <f t="shared" si="4"/>
        <v>1165437.733</v>
      </c>
      <c r="Q183" s="175">
        <f>IF('Pre-Calculation'!$D$17="Type 4 a",MAX(SA,O183,1.05*R183),IF('Pre-Calculation'!$D$17="Type 4 c",O183,IF('Pre-Calculation'!$D$17="Type 4 d",SA+O183,IF('Pre-Calculation'!$D$17="Type 4 e",MAX(SA,O183),IF('Pre-Calculation'!$D$17="Type 4 f",SA,IF('Pre-Calculation'!$D$17="Type 4 g",1000+O183,IF('Pre-Calculation'!$D$17="Type 4 h",SA+S183,IF('Pre-Calculation'!$D$17="Type 4 i",MAX(O183,R183),IF('Pre-Calculation'!$D$17="Type 4 k",MAX(O183,1.01*R183),IF('Pre-Calculation'!$D$17="Type 4 m",MAX(105%*R183,SA+O183),IF('Pre-Calculation'!$D$17="Type 4 o",MAX(SA,105%*R183)+X183+Z183,IF('Pre-Calculation'!$D$17="Type 5",0))))))))))))</f>
        <v>1165437.733</v>
      </c>
      <c r="R183" s="175">
        <f t="shared" si="5"/>
        <v>1000000</v>
      </c>
      <c r="S183" s="119">
        <f>K183*(1+GROWTH_RATE)*FMC</f>
        <v>1318.835624</v>
      </c>
      <c r="T183" s="178">
        <f>T182*(1+'Pre-Calculation'!$E$27)</f>
        <v>1079651.31</v>
      </c>
      <c r="U183" s="175">
        <f>-E183+IF(A182=INPUT!$C$11*12,O183,0)</f>
        <v>0</v>
      </c>
      <c r="V183" s="112"/>
      <c r="W183" s="112"/>
      <c r="X183" s="179">
        <f t="array" ref="X183">NPV('Pre-Calculation'!$E$20,$E184:E$246)</f>
        <v>0</v>
      </c>
      <c r="Y183" s="171">
        <f>10%*SA</f>
        <v>100000</v>
      </c>
      <c r="Z183" s="179">
        <f t="array" ref="Z183">NPV('Pre-Calculation'!$E$20,Y184:Y193)</f>
        <v>969592.8037</v>
      </c>
    </row>
    <row r="184" ht="15.75" customHeight="1">
      <c r="A184" s="171">
        <f t="shared" si="1"/>
        <v>178</v>
      </c>
      <c r="B184" s="171">
        <f t="shared" si="2"/>
        <v>15</v>
      </c>
      <c r="C184" s="176">
        <f>EDATE(RCD,A183)</f>
        <v>47937</v>
      </c>
      <c r="D184" s="171">
        <f>Age_At_Entry+Cashflows_Backtesting!B184-1</f>
        <v>49</v>
      </c>
      <c r="E184" s="175">
        <f>IF(AND(C184&lt;=Last_Prem,MOD(A183,Mode)=0),Mod_Prem,0)</f>
        <v>0</v>
      </c>
      <c r="F184" s="177">
        <f>E184*VLOOKUP(B184,'Pre-Calculation'!$H$1:$I$31,2,FALSE)</f>
        <v>0</v>
      </c>
      <c r="G184" s="177">
        <f>IF(B184&lt;PT+1,VLOOKUP(B184,'Pre-Calculation'!$H$1:$L$32,3,FALSE)+VLOOKUP(B184,'Pre-Calculation'!$H$1:$L$32,4,FALSE)*'Pre-Calculation'!$D$7,0)</f>
        <v>0</v>
      </c>
      <c r="H184" s="175">
        <f>(E184-(F184+G184)*(1+Tax)+O183)</f>
        <v>1165437.733</v>
      </c>
      <c r="I184" s="175">
        <f>IF(B184&lt;PT+1,VLOOKUP(D184,'Pre-Calculation'!$N$3:$P$79,IF(INPUT!$C$4="M",2,3),FALSE)*(J184/1000)*(1/12),0)</f>
        <v>0</v>
      </c>
      <c r="J184" s="175">
        <f>MAX(0,(SA-H184))</f>
        <v>0</v>
      </c>
      <c r="K184" s="175">
        <f>H184-I184*(1+Tax)</f>
        <v>1165437.733</v>
      </c>
      <c r="L184" s="187">
        <f>VLOOKUP(C184,'NAVs_Till 29 Jun 2021'!$A$3:$J$2236,MATCH('Pre-Calculation'!$C$34,'NAVs_Till 29 Jun 2021'!$A$1:$J$1,0))</f>
        <v>20.7486</v>
      </c>
      <c r="M184" s="187">
        <f>IFERROR(1,VLOOKUP(C184,'NAVs_Till 29 Jun 2021'!$A$3:$J$2236,MATCH(#REF!,'NAVs_Till 29 Jun 2021'!$A$1:$J$1,0)))</f>
        <v>1</v>
      </c>
      <c r="N184" s="175">
        <f>VLOOKUP('Pre-Calculation'!$C$34,INPUT!$B$20:$C$28,2,0)*K184*(L185/L184)+ IFERROR(0,VLOOKUP('Pre-Calculation'!$D$34,INPUT!$B$20:$C$28,2,0))*K184*(M185/M184)</f>
        <v>1165437.733</v>
      </c>
      <c r="O184" s="175">
        <f t="shared" si="3"/>
        <v>1165437.733</v>
      </c>
      <c r="P184" s="175">
        <f t="shared" si="4"/>
        <v>1165437.733</v>
      </c>
      <c r="Q184" s="175">
        <f>IF('Pre-Calculation'!$D$17="Type 4 a",MAX(SA,O184,1.05*R184),IF('Pre-Calculation'!$D$17="Type 4 c",O184,IF('Pre-Calculation'!$D$17="Type 4 d",SA+O184,IF('Pre-Calculation'!$D$17="Type 4 e",MAX(SA,O184),IF('Pre-Calculation'!$D$17="Type 4 f",SA,IF('Pre-Calculation'!$D$17="Type 4 g",1000+O184,IF('Pre-Calculation'!$D$17="Type 4 h",SA+S184,IF('Pre-Calculation'!$D$17="Type 4 i",MAX(O184,R184),IF('Pre-Calculation'!$D$17="Type 4 k",MAX(O184,1.01*R184),IF('Pre-Calculation'!$D$17="Type 4 m",MAX(105%*R184,SA+O184),IF('Pre-Calculation'!$D$17="Type 4 o",MAX(SA,105%*R184)+X184+Z184,IF('Pre-Calculation'!$D$17="Type 5",0))))))))))))</f>
        <v>1165437.733</v>
      </c>
      <c r="R184" s="175">
        <f t="shared" si="5"/>
        <v>1000000</v>
      </c>
      <c r="S184" s="119">
        <f>K184*(1+GROWTH_RATE)*FMC</f>
        <v>1318.835624</v>
      </c>
      <c r="T184" s="178">
        <f>T183*(1+'Pre-Calculation'!$E$27)</f>
        <v>1082750.88</v>
      </c>
      <c r="U184" s="175">
        <f>-E184+IF(A183=INPUT!$C$11*12,O184,0)</f>
        <v>0</v>
      </c>
      <c r="V184" s="112"/>
      <c r="W184" s="112"/>
      <c r="X184" s="179">
        <f t="array" ref="X184">NPV('Pre-Calculation'!$E$20,$E185:E$246)</f>
        <v>0</v>
      </c>
      <c r="Y184" s="171">
        <f>10%*SA</f>
        <v>100000</v>
      </c>
      <c r="Z184" s="179">
        <f t="array" ref="Z184">NPV('Pre-Calculation'!$E$20,Y185:Y194)</f>
        <v>969592.8037</v>
      </c>
    </row>
    <row r="185" ht="15.75" customHeight="1">
      <c r="A185" s="171">
        <f t="shared" si="1"/>
        <v>179</v>
      </c>
      <c r="B185" s="171">
        <f t="shared" si="2"/>
        <v>15</v>
      </c>
      <c r="C185" s="176">
        <f>EDATE(RCD,A184)</f>
        <v>47968</v>
      </c>
      <c r="D185" s="171">
        <f>Age_At_Entry+Cashflows_Backtesting!B185-1</f>
        <v>49</v>
      </c>
      <c r="E185" s="175">
        <f>IF(AND(C185&lt;=Last_Prem,MOD(A184,Mode)=0),Mod_Prem,0)</f>
        <v>0</v>
      </c>
      <c r="F185" s="177">
        <f>E185*VLOOKUP(B185,'Pre-Calculation'!$H$1:$I$31,2,FALSE)</f>
        <v>0</v>
      </c>
      <c r="G185" s="177">
        <f>IF(B185&lt;PT+1,VLOOKUP(B185,'Pre-Calculation'!$H$1:$L$32,3,FALSE)+VLOOKUP(B185,'Pre-Calculation'!$H$1:$L$32,4,FALSE)*'Pre-Calculation'!$D$7,0)</f>
        <v>0</v>
      </c>
      <c r="H185" s="175">
        <f>(E185-(F185+G185)*(1+Tax)+O184)</f>
        <v>1165437.733</v>
      </c>
      <c r="I185" s="175">
        <f>IF(B185&lt;PT+1,VLOOKUP(D185,'Pre-Calculation'!$N$3:$P$79,IF(INPUT!$C$4="M",2,3),FALSE)*(J185/1000)*(1/12),0)</f>
        <v>0</v>
      </c>
      <c r="J185" s="175">
        <f>MAX(0,(SA-H185))</f>
        <v>0</v>
      </c>
      <c r="K185" s="175">
        <f>H185-I185*(1+Tax)</f>
        <v>1165437.733</v>
      </c>
      <c r="L185" s="187">
        <f>VLOOKUP(C185,'NAVs_Till 29 Jun 2021'!$A$3:$J$2236,MATCH('Pre-Calculation'!$C$34,'NAVs_Till 29 Jun 2021'!$A$1:$J$1,0))</f>
        <v>20.7486</v>
      </c>
      <c r="M185" s="187">
        <f>IFERROR(1,VLOOKUP(C185,'NAVs_Till 29 Jun 2021'!$A$3:$J$2236,MATCH(#REF!,'NAVs_Till 29 Jun 2021'!$A$1:$J$1,0)))</f>
        <v>1</v>
      </c>
      <c r="N185" s="175">
        <f>VLOOKUP('Pre-Calculation'!$C$34,INPUT!$B$20:$C$28,2,0)*K185*(L186/L185)+ IFERROR(0,VLOOKUP('Pre-Calculation'!$D$34,INPUT!$B$20:$C$28,2,0))*K185*(M186/M185)</f>
        <v>1165437.733</v>
      </c>
      <c r="O185" s="175">
        <f t="shared" si="3"/>
        <v>1165437.733</v>
      </c>
      <c r="P185" s="175">
        <f t="shared" si="4"/>
        <v>1165437.733</v>
      </c>
      <c r="Q185" s="175">
        <f>IF('Pre-Calculation'!$D$17="Type 4 a",MAX(SA,O185,1.05*R185),IF('Pre-Calculation'!$D$17="Type 4 c",O185,IF('Pre-Calculation'!$D$17="Type 4 d",SA+O185,IF('Pre-Calculation'!$D$17="Type 4 e",MAX(SA,O185),IF('Pre-Calculation'!$D$17="Type 4 f",SA,IF('Pre-Calculation'!$D$17="Type 4 g",1000+O185,IF('Pre-Calculation'!$D$17="Type 4 h",SA+S185,IF('Pre-Calculation'!$D$17="Type 4 i",MAX(O185,R185),IF('Pre-Calculation'!$D$17="Type 4 k",MAX(O185,1.01*R185),IF('Pre-Calculation'!$D$17="Type 4 m",MAX(105%*R185,SA+O185),IF('Pre-Calculation'!$D$17="Type 4 o",MAX(SA,105%*R185)+X185+Z185,IF('Pre-Calculation'!$D$17="Type 5",0))))))))))))</f>
        <v>1165437.733</v>
      </c>
      <c r="R185" s="175">
        <f t="shared" si="5"/>
        <v>1000000</v>
      </c>
      <c r="S185" s="119">
        <f>K185*(1+GROWTH_RATE)*FMC</f>
        <v>1318.835624</v>
      </c>
      <c r="T185" s="178">
        <f>T184*(1+'Pre-Calculation'!$E$27)</f>
        <v>1085859.348</v>
      </c>
      <c r="U185" s="175">
        <f>-E185+IF(A184=INPUT!$C$11*12,O185,0)</f>
        <v>0</v>
      </c>
      <c r="V185" s="112"/>
      <c r="W185" s="112"/>
      <c r="X185" s="179">
        <f t="array" ref="X185">NPV('Pre-Calculation'!$E$20,$E186:E$246)</f>
        <v>0</v>
      </c>
      <c r="Y185" s="171">
        <f>10%*SA</f>
        <v>100000</v>
      </c>
      <c r="Z185" s="179">
        <f t="array" ref="Z185">NPV('Pre-Calculation'!$E$20,Y186:Y195)</f>
        <v>969592.8037</v>
      </c>
    </row>
    <row r="186" ht="15.75" customHeight="1">
      <c r="A186" s="171">
        <f t="shared" si="1"/>
        <v>180</v>
      </c>
      <c r="B186" s="171">
        <f t="shared" si="2"/>
        <v>15</v>
      </c>
      <c r="C186" s="176">
        <f>EDATE(RCD,A185)</f>
        <v>47998</v>
      </c>
      <c r="D186" s="171">
        <f>Age_At_Entry+Cashflows_Backtesting!B186-1</f>
        <v>49</v>
      </c>
      <c r="E186" s="175">
        <f>IF(AND(C186&lt;=Last_Prem,MOD(A185,Mode)=0),Mod_Prem,0)</f>
        <v>0</v>
      </c>
      <c r="F186" s="177">
        <f>E186*VLOOKUP(B186,'Pre-Calculation'!$H$1:$I$31,2,FALSE)</f>
        <v>0</v>
      </c>
      <c r="G186" s="177">
        <f>IF(B186&lt;PT+1,VLOOKUP(B186,'Pre-Calculation'!$H$1:$L$32,3,FALSE)+VLOOKUP(B186,'Pre-Calculation'!$H$1:$L$32,4,FALSE)*'Pre-Calculation'!$D$7,0)</f>
        <v>0</v>
      </c>
      <c r="H186" s="175">
        <f>(E186-(F186+G186)*(1+Tax)+O185)</f>
        <v>1165437.733</v>
      </c>
      <c r="I186" s="175">
        <f>IF(B186&lt;PT+1,VLOOKUP(D186,'Pre-Calculation'!$N$3:$P$79,IF(INPUT!$C$4="M",2,3),FALSE)*(J186/1000)*(1/12),0)</f>
        <v>0</v>
      </c>
      <c r="J186" s="175">
        <f>MAX(0,(SA-H186))</f>
        <v>0</v>
      </c>
      <c r="K186" s="175">
        <f>H186-I186*(1+Tax)</f>
        <v>1165437.733</v>
      </c>
      <c r="L186" s="187">
        <f>VLOOKUP(C186,'NAVs_Till 29 Jun 2021'!$A$3:$J$2236,MATCH('Pre-Calculation'!$C$34,'NAVs_Till 29 Jun 2021'!$A$1:$J$1,0))</f>
        <v>20.7486</v>
      </c>
      <c r="M186" s="187">
        <f>IFERROR(1,VLOOKUP(C186,'NAVs_Till 29 Jun 2021'!$A$3:$J$2236,MATCH(#REF!,'NAVs_Till 29 Jun 2021'!$A$1:$J$1,0)))</f>
        <v>1</v>
      </c>
      <c r="N186" s="175">
        <f>VLOOKUP('Pre-Calculation'!$C$34,INPUT!$B$20:$C$28,2,0)*K186*(L187/L186)+ IFERROR(0,VLOOKUP('Pre-Calculation'!$D$34,INPUT!$B$20:$C$28,2,0))*K186*(M187/M186)</f>
        <v>1165437.733</v>
      </c>
      <c r="O186" s="175">
        <f t="shared" si="3"/>
        <v>1165437.733</v>
      </c>
      <c r="P186" s="175">
        <f t="shared" si="4"/>
        <v>1165437.733</v>
      </c>
      <c r="Q186" s="175">
        <f>IF('Pre-Calculation'!$D$17="Type 4 a",MAX(SA,O186,1.05*R186),IF('Pre-Calculation'!$D$17="Type 4 c",O186,IF('Pre-Calculation'!$D$17="Type 4 d",SA+O186,IF('Pre-Calculation'!$D$17="Type 4 e",MAX(SA,O186),IF('Pre-Calculation'!$D$17="Type 4 f",SA,IF('Pre-Calculation'!$D$17="Type 4 g",1000+O186,IF('Pre-Calculation'!$D$17="Type 4 h",SA+S186,IF('Pre-Calculation'!$D$17="Type 4 i",MAX(O186,R186),IF('Pre-Calculation'!$D$17="Type 4 k",MAX(O186,1.01*R186),IF('Pre-Calculation'!$D$17="Type 4 m",MAX(105%*R186,SA+O186),IF('Pre-Calculation'!$D$17="Type 4 o",MAX(SA,105%*R186)+X186+Z186,IF('Pre-Calculation'!$D$17="Type 5",0))))))))))))</f>
        <v>1165437.733</v>
      </c>
      <c r="R186" s="175">
        <f t="shared" si="5"/>
        <v>1000000</v>
      </c>
      <c r="S186" s="119">
        <f>K186*(1+GROWTH_RATE)*FMC</f>
        <v>1318.835624</v>
      </c>
      <c r="T186" s="178">
        <f>T185*(1+'Pre-Calculation'!$E$27)</f>
        <v>1088976.74</v>
      </c>
      <c r="U186" s="175">
        <f>-E186+IF(A185=INPUT!$C$11*12,O186,0)</f>
        <v>0</v>
      </c>
      <c r="V186" s="112"/>
      <c r="W186" s="112"/>
      <c r="X186" s="179">
        <f t="array" ref="X186">NPV('Pre-Calculation'!$E$20,$E187:E$246)</f>
        <v>0</v>
      </c>
      <c r="Y186" s="171">
        <f>10%*SA</f>
        <v>100000</v>
      </c>
      <c r="Z186" s="179">
        <f t="array" ref="Z186">NPV('Pre-Calculation'!$E$20,Y187:Y196)</f>
        <v>969592.8037</v>
      </c>
    </row>
    <row r="187" ht="15.75" customHeight="1">
      <c r="A187" s="171">
        <f t="shared" si="1"/>
        <v>181</v>
      </c>
      <c r="B187" s="171">
        <f t="shared" si="2"/>
        <v>16</v>
      </c>
      <c r="C187" s="176">
        <f>EDATE(RCD,A186)</f>
        <v>48029</v>
      </c>
      <c r="D187" s="171">
        <f>Age_At_Entry+Cashflows_Backtesting!B187-1</f>
        <v>50</v>
      </c>
      <c r="E187" s="175">
        <f>IF(AND(C187&lt;=Last_Prem,MOD(A186,Mode)=0),Mod_Prem,0)</f>
        <v>0</v>
      </c>
      <c r="F187" s="177">
        <f>E187*VLOOKUP(B187,'Pre-Calculation'!$H$1:$I$31,2,FALSE)</f>
        <v>0</v>
      </c>
      <c r="G187" s="177">
        <f>IF(B187&lt;PT+1,VLOOKUP(B187,'Pre-Calculation'!$H$1:$L$32,3,FALSE)+VLOOKUP(B187,'Pre-Calculation'!$H$1:$L$32,4,FALSE)*'Pre-Calculation'!$D$7,0)</f>
        <v>0</v>
      </c>
      <c r="H187" s="175">
        <f>(E187-(F187+G187)*(1+Tax)+O186)</f>
        <v>1165437.733</v>
      </c>
      <c r="I187" s="175">
        <f>IF(B187&lt;PT+1,VLOOKUP(D187,'Pre-Calculation'!$N$3:$P$79,IF(INPUT!$C$4="M",2,3),FALSE)*(J187/1000)*(1/12),0)</f>
        <v>0</v>
      </c>
      <c r="J187" s="175">
        <f>MAX(0,(SA-H187))</f>
        <v>0</v>
      </c>
      <c r="K187" s="175">
        <f>H187-I187*(1+Tax)</f>
        <v>1165437.733</v>
      </c>
      <c r="L187" s="187">
        <f>VLOOKUP(C187,'NAVs_Till 29 Jun 2021'!$A$3:$J$2236,MATCH('Pre-Calculation'!$C$34,'NAVs_Till 29 Jun 2021'!$A$1:$J$1,0))</f>
        <v>20.7486</v>
      </c>
      <c r="M187" s="187">
        <f>IFERROR(1,VLOOKUP(C187,'NAVs_Till 29 Jun 2021'!$A$3:$J$2236,MATCH(#REF!,'NAVs_Till 29 Jun 2021'!$A$1:$J$1,0)))</f>
        <v>1</v>
      </c>
      <c r="N187" s="175">
        <f>VLOOKUP('Pre-Calculation'!$C$34,INPUT!$B$20:$C$28,2,0)*K187*(L188/L187)+ IFERROR(0,VLOOKUP('Pre-Calculation'!$D$34,INPUT!$B$20:$C$28,2,0))*K187*(M188/M187)</f>
        <v>1165437.733</v>
      </c>
      <c r="O187" s="175">
        <f t="shared" si="3"/>
        <v>1165437.733</v>
      </c>
      <c r="P187" s="175">
        <f t="shared" si="4"/>
        <v>1165437.733</v>
      </c>
      <c r="Q187" s="175">
        <f>IF('Pre-Calculation'!$D$17="Type 4 a",MAX(SA,O187,1.05*R187),IF('Pre-Calculation'!$D$17="Type 4 c",O187,IF('Pre-Calculation'!$D$17="Type 4 d",SA+O187,IF('Pre-Calculation'!$D$17="Type 4 e",MAX(SA,O187),IF('Pre-Calculation'!$D$17="Type 4 f",SA,IF('Pre-Calculation'!$D$17="Type 4 g",1000+O187,IF('Pre-Calculation'!$D$17="Type 4 h",SA+S187,IF('Pre-Calculation'!$D$17="Type 4 i",MAX(O187,R187),IF('Pre-Calculation'!$D$17="Type 4 k",MAX(O187,1.01*R187),IF('Pre-Calculation'!$D$17="Type 4 m",MAX(105%*R187,SA+O187),IF('Pre-Calculation'!$D$17="Type 4 o",MAX(SA,105%*R187)+X187+Z187,IF('Pre-Calculation'!$D$17="Type 5",0))))))))))))</f>
        <v>1165437.733</v>
      </c>
      <c r="R187" s="175">
        <f t="shared" si="5"/>
        <v>1000000</v>
      </c>
      <c r="S187" s="119">
        <f>K187*(1+GROWTH_RATE)*FMC</f>
        <v>1318.835624</v>
      </c>
      <c r="T187" s="178">
        <f>T186*(1+'Pre-Calculation'!$E$27)</f>
        <v>1092103.082</v>
      </c>
      <c r="U187" s="175">
        <f>-E187+IF(A186=INPUT!$C$11*12,O187,0)</f>
        <v>0</v>
      </c>
      <c r="V187" s="112"/>
      <c r="W187" s="112"/>
      <c r="X187" s="179">
        <f t="array" ref="X187">NPV('Pre-Calculation'!$E$20,$E188:E$246)</f>
        <v>0</v>
      </c>
      <c r="Y187" s="171">
        <f>10%*SA</f>
        <v>100000</v>
      </c>
      <c r="Z187" s="179">
        <f t="array" ref="Z187">NPV('Pre-Calculation'!$E$20,Y188:Y197)</f>
        <v>969592.8037</v>
      </c>
    </row>
    <row r="188" ht="15.75" customHeight="1">
      <c r="A188" s="171">
        <f t="shared" si="1"/>
        <v>182</v>
      </c>
      <c r="B188" s="171">
        <f t="shared" si="2"/>
        <v>16</v>
      </c>
      <c r="C188" s="176">
        <f>EDATE(RCD,A187)</f>
        <v>48059</v>
      </c>
      <c r="D188" s="171">
        <f>Age_At_Entry+Cashflows_Backtesting!B188-1</f>
        <v>50</v>
      </c>
      <c r="E188" s="175">
        <f>IF(AND(C188&lt;=Last_Prem,MOD(A187,Mode)=0),Mod_Prem,0)</f>
        <v>0</v>
      </c>
      <c r="F188" s="177">
        <f>E188*VLOOKUP(B188,'Pre-Calculation'!$H$1:$I$31,2,FALSE)</f>
        <v>0</v>
      </c>
      <c r="G188" s="177">
        <f>IF(B188&lt;PT+1,VLOOKUP(B188,'Pre-Calculation'!$H$1:$L$32,3,FALSE)+VLOOKUP(B188,'Pre-Calculation'!$H$1:$L$32,4,FALSE)*'Pre-Calculation'!$D$7,0)</f>
        <v>0</v>
      </c>
      <c r="H188" s="175">
        <f>(E188-(F188+G188)*(1+Tax)+O187)</f>
        <v>1165437.733</v>
      </c>
      <c r="I188" s="175">
        <f>IF(B188&lt;PT+1,VLOOKUP(D188,'Pre-Calculation'!$N$3:$P$79,IF(INPUT!$C$4="M",2,3),FALSE)*(J188/1000)*(1/12),0)</f>
        <v>0</v>
      </c>
      <c r="J188" s="175">
        <f>MAX(0,(SA-H188))</f>
        <v>0</v>
      </c>
      <c r="K188" s="175">
        <f>H188-I188*(1+Tax)</f>
        <v>1165437.733</v>
      </c>
      <c r="L188" s="187">
        <f>VLOOKUP(C188,'NAVs_Till 29 Jun 2021'!$A$3:$J$2236,MATCH('Pre-Calculation'!$C$34,'NAVs_Till 29 Jun 2021'!$A$1:$J$1,0))</f>
        <v>20.7486</v>
      </c>
      <c r="M188" s="187">
        <f>IFERROR(1,VLOOKUP(C188,'NAVs_Till 29 Jun 2021'!$A$3:$J$2236,MATCH(#REF!,'NAVs_Till 29 Jun 2021'!$A$1:$J$1,0)))</f>
        <v>1</v>
      </c>
      <c r="N188" s="175">
        <f>VLOOKUP('Pre-Calculation'!$C$34,INPUT!$B$20:$C$28,2,0)*K188*(L189/L188)+ IFERROR(0,VLOOKUP('Pre-Calculation'!$D$34,INPUT!$B$20:$C$28,2,0))*K188*(M189/M188)</f>
        <v>1165437.733</v>
      </c>
      <c r="O188" s="175">
        <f t="shared" si="3"/>
        <v>1165437.733</v>
      </c>
      <c r="P188" s="175">
        <f t="shared" si="4"/>
        <v>1165437.733</v>
      </c>
      <c r="Q188" s="175">
        <f>IF('Pre-Calculation'!$D$17="Type 4 a",MAX(SA,O188,1.05*R188),IF('Pre-Calculation'!$D$17="Type 4 c",O188,IF('Pre-Calculation'!$D$17="Type 4 d",SA+O188,IF('Pre-Calculation'!$D$17="Type 4 e",MAX(SA,O188),IF('Pre-Calculation'!$D$17="Type 4 f",SA,IF('Pre-Calculation'!$D$17="Type 4 g",1000+O188,IF('Pre-Calculation'!$D$17="Type 4 h",SA+S188,IF('Pre-Calculation'!$D$17="Type 4 i",MAX(O188,R188),IF('Pre-Calculation'!$D$17="Type 4 k",MAX(O188,1.01*R188),IF('Pre-Calculation'!$D$17="Type 4 m",MAX(105%*R188,SA+O188),IF('Pre-Calculation'!$D$17="Type 4 o",MAX(SA,105%*R188)+X188+Z188,IF('Pre-Calculation'!$D$17="Type 5",0))))))))))))</f>
        <v>1165437.733</v>
      </c>
      <c r="R188" s="175">
        <f t="shared" si="5"/>
        <v>1000000</v>
      </c>
      <c r="S188" s="119">
        <f>K188*(1+GROWTH_RATE)*FMC</f>
        <v>1318.835624</v>
      </c>
      <c r="T188" s="178">
        <f>T187*(1+'Pre-Calculation'!$E$27)</f>
        <v>1095238.399</v>
      </c>
      <c r="U188" s="175">
        <f>-E188+IF(A187=INPUT!$C$11*12,O188,0)</f>
        <v>0</v>
      </c>
      <c r="V188" s="112"/>
      <c r="W188" s="112"/>
      <c r="X188" s="179">
        <f t="array" ref="X188">NPV('Pre-Calculation'!$E$20,$E189:E$246)</f>
        <v>0</v>
      </c>
      <c r="Y188" s="171">
        <f>10%*SA</f>
        <v>100000</v>
      </c>
      <c r="Z188" s="179">
        <f t="array" ref="Z188">NPV('Pre-Calculation'!$E$20,Y189:Y198)</f>
        <v>969592.8037</v>
      </c>
    </row>
    <row r="189" ht="15.75" customHeight="1">
      <c r="A189" s="171">
        <f t="shared" si="1"/>
        <v>183</v>
      </c>
      <c r="B189" s="171">
        <f t="shared" si="2"/>
        <v>16</v>
      </c>
      <c r="C189" s="176">
        <f>EDATE(RCD,A188)</f>
        <v>48090</v>
      </c>
      <c r="D189" s="171">
        <f>Age_At_Entry+Cashflows_Backtesting!B189-1</f>
        <v>50</v>
      </c>
      <c r="E189" s="175">
        <f>IF(AND(C189&lt;=Last_Prem,MOD(A188,Mode)=0),Mod_Prem,0)</f>
        <v>0</v>
      </c>
      <c r="F189" s="177">
        <f>E189*VLOOKUP(B189,'Pre-Calculation'!$H$1:$I$31,2,FALSE)</f>
        <v>0</v>
      </c>
      <c r="G189" s="177">
        <f>IF(B189&lt;PT+1,VLOOKUP(B189,'Pre-Calculation'!$H$1:$L$32,3,FALSE)+VLOOKUP(B189,'Pre-Calculation'!$H$1:$L$32,4,FALSE)*'Pre-Calculation'!$D$7,0)</f>
        <v>0</v>
      </c>
      <c r="H189" s="175">
        <f>(E189-(F189+G189)*(1+Tax)+O188)</f>
        <v>1165437.733</v>
      </c>
      <c r="I189" s="175">
        <f>IF(B189&lt;PT+1,VLOOKUP(D189,'Pre-Calculation'!$N$3:$P$79,IF(INPUT!$C$4="M",2,3),FALSE)*(J189/1000)*(1/12),0)</f>
        <v>0</v>
      </c>
      <c r="J189" s="175">
        <f>MAX(0,(SA-H189))</f>
        <v>0</v>
      </c>
      <c r="K189" s="175">
        <f>H189-I189*(1+Tax)</f>
        <v>1165437.733</v>
      </c>
      <c r="L189" s="187">
        <f>VLOOKUP(C189,'NAVs_Till 29 Jun 2021'!$A$3:$J$2236,MATCH('Pre-Calculation'!$C$34,'NAVs_Till 29 Jun 2021'!$A$1:$J$1,0))</f>
        <v>20.7486</v>
      </c>
      <c r="M189" s="187">
        <f>IFERROR(1,VLOOKUP(C189,'NAVs_Till 29 Jun 2021'!$A$3:$J$2236,MATCH(#REF!,'NAVs_Till 29 Jun 2021'!$A$1:$J$1,0)))</f>
        <v>1</v>
      </c>
      <c r="N189" s="175">
        <f>VLOOKUP('Pre-Calculation'!$C$34,INPUT!$B$20:$C$28,2,0)*K189*(L190/L189)+ IFERROR(0,VLOOKUP('Pre-Calculation'!$D$34,INPUT!$B$20:$C$28,2,0))*K189*(M190/M189)</f>
        <v>1165437.733</v>
      </c>
      <c r="O189" s="175">
        <f t="shared" si="3"/>
        <v>1165437.733</v>
      </c>
      <c r="P189" s="175">
        <f t="shared" si="4"/>
        <v>1165437.733</v>
      </c>
      <c r="Q189" s="175">
        <f>IF('Pre-Calculation'!$D$17="Type 4 a",MAX(SA,O189,1.05*R189),IF('Pre-Calculation'!$D$17="Type 4 c",O189,IF('Pre-Calculation'!$D$17="Type 4 d",SA+O189,IF('Pre-Calculation'!$D$17="Type 4 e",MAX(SA,O189),IF('Pre-Calculation'!$D$17="Type 4 f",SA,IF('Pre-Calculation'!$D$17="Type 4 g",1000+O189,IF('Pre-Calculation'!$D$17="Type 4 h",SA+S189,IF('Pre-Calculation'!$D$17="Type 4 i",MAX(O189,R189),IF('Pre-Calculation'!$D$17="Type 4 k",MAX(O189,1.01*R189),IF('Pre-Calculation'!$D$17="Type 4 m",MAX(105%*R189,SA+O189),IF('Pre-Calculation'!$D$17="Type 4 o",MAX(SA,105%*R189)+X189+Z189,IF('Pre-Calculation'!$D$17="Type 5",0))))))))))))</f>
        <v>1165437.733</v>
      </c>
      <c r="R189" s="175">
        <f t="shared" si="5"/>
        <v>1000000</v>
      </c>
      <c r="S189" s="119">
        <f>K189*(1+GROWTH_RATE)*FMC</f>
        <v>1318.835624</v>
      </c>
      <c r="T189" s="178">
        <f>T188*(1+'Pre-Calculation'!$E$27)</f>
        <v>1098382.718</v>
      </c>
      <c r="U189" s="175">
        <f>-E189+IF(A188=INPUT!$C$11*12,O189,0)</f>
        <v>0</v>
      </c>
      <c r="V189" s="112"/>
      <c r="W189" s="112"/>
      <c r="X189" s="179">
        <f t="array" ref="X189">NPV('Pre-Calculation'!$E$20,$E190:E$246)</f>
        <v>0</v>
      </c>
      <c r="Y189" s="171">
        <f>10%*SA</f>
        <v>100000</v>
      </c>
      <c r="Z189" s="179">
        <f t="array" ref="Z189">NPV('Pre-Calculation'!$E$20,Y190:Y199)</f>
        <v>969592.8037</v>
      </c>
    </row>
    <row r="190" ht="15.75" customHeight="1">
      <c r="A190" s="171">
        <f t="shared" si="1"/>
        <v>184</v>
      </c>
      <c r="B190" s="171">
        <f t="shared" si="2"/>
        <v>16</v>
      </c>
      <c r="C190" s="176">
        <f>EDATE(RCD,A189)</f>
        <v>48121</v>
      </c>
      <c r="D190" s="171">
        <f>Age_At_Entry+Cashflows_Backtesting!B190-1</f>
        <v>50</v>
      </c>
      <c r="E190" s="175">
        <f>IF(AND(C190&lt;=Last_Prem,MOD(A189,Mode)=0),Mod_Prem,0)</f>
        <v>0</v>
      </c>
      <c r="F190" s="177">
        <f>E190*VLOOKUP(B190,'Pre-Calculation'!$H$1:$I$31,2,FALSE)</f>
        <v>0</v>
      </c>
      <c r="G190" s="177">
        <f>IF(B190&lt;PT+1,VLOOKUP(B190,'Pre-Calculation'!$H$1:$L$32,3,FALSE)+VLOOKUP(B190,'Pre-Calculation'!$H$1:$L$32,4,FALSE)*'Pre-Calculation'!$D$7,0)</f>
        <v>0</v>
      </c>
      <c r="H190" s="175">
        <f>(E190-(F190+G190)*(1+Tax)+O189)</f>
        <v>1165437.733</v>
      </c>
      <c r="I190" s="175">
        <f>IF(B190&lt;PT+1,VLOOKUP(D190,'Pre-Calculation'!$N$3:$P$79,IF(INPUT!$C$4="M",2,3),FALSE)*(J190/1000)*(1/12),0)</f>
        <v>0</v>
      </c>
      <c r="J190" s="175">
        <f>MAX(0,(SA-H190))</f>
        <v>0</v>
      </c>
      <c r="K190" s="175">
        <f>H190-I190*(1+Tax)</f>
        <v>1165437.733</v>
      </c>
      <c r="L190" s="187">
        <f>VLOOKUP(C190,'NAVs_Till 29 Jun 2021'!$A$3:$J$2236,MATCH('Pre-Calculation'!$C$34,'NAVs_Till 29 Jun 2021'!$A$1:$J$1,0))</f>
        <v>20.7486</v>
      </c>
      <c r="M190" s="187">
        <f>IFERROR(1,VLOOKUP(C190,'NAVs_Till 29 Jun 2021'!$A$3:$J$2236,MATCH(#REF!,'NAVs_Till 29 Jun 2021'!$A$1:$J$1,0)))</f>
        <v>1</v>
      </c>
      <c r="N190" s="175">
        <f>VLOOKUP('Pre-Calculation'!$C$34,INPUT!$B$20:$C$28,2,0)*K190*(L191/L190)+ IFERROR(0,VLOOKUP('Pre-Calculation'!$D$34,INPUT!$B$20:$C$28,2,0))*K190*(M191/M190)</f>
        <v>1165437.733</v>
      </c>
      <c r="O190" s="175">
        <f t="shared" si="3"/>
        <v>1165437.733</v>
      </c>
      <c r="P190" s="175">
        <f t="shared" si="4"/>
        <v>1165437.733</v>
      </c>
      <c r="Q190" s="175">
        <f>IF('Pre-Calculation'!$D$17="Type 4 a",MAX(SA,O190,1.05*R190),IF('Pre-Calculation'!$D$17="Type 4 c",O190,IF('Pre-Calculation'!$D$17="Type 4 d",SA+O190,IF('Pre-Calculation'!$D$17="Type 4 e",MAX(SA,O190),IF('Pre-Calculation'!$D$17="Type 4 f",SA,IF('Pre-Calculation'!$D$17="Type 4 g",1000+O190,IF('Pre-Calculation'!$D$17="Type 4 h",SA+S190,IF('Pre-Calculation'!$D$17="Type 4 i",MAX(O190,R190),IF('Pre-Calculation'!$D$17="Type 4 k",MAX(O190,1.01*R190),IF('Pre-Calculation'!$D$17="Type 4 m",MAX(105%*R190,SA+O190),IF('Pre-Calculation'!$D$17="Type 4 o",MAX(SA,105%*R190)+X190+Z190,IF('Pre-Calculation'!$D$17="Type 5",0))))))))))))</f>
        <v>1165437.733</v>
      </c>
      <c r="R190" s="175">
        <f t="shared" si="5"/>
        <v>1000000</v>
      </c>
      <c r="S190" s="119">
        <f>K190*(1+GROWTH_RATE)*FMC</f>
        <v>1318.835624</v>
      </c>
      <c r="T190" s="178">
        <f>T189*(1+'Pre-Calculation'!$E$27)</f>
        <v>1101536.063</v>
      </c>
      <c r="U190" s="175">
        <f>-E190+IF(A189=INPUT!$C$11*12,O190,0)</f>
        <v>0</v>
      </c>
      <c r="V190" s="112"/>
      <c r="W190" s="112"/>
      <c r="X190" s="179">
        <f t="array" ref="X190">NPV('Pre-Calculation'!$E$20,$E191:E$246)</f>
        <v>0</v>
      </c>
      <c r="Y190" s="171">
        <f>10%*SA</f>
        <v>100000</v>
      </c>
      <c r="Z190" s="179">
        <f t="array" ref="Z190">NPV('Pre-Calculation'!$E$20,Y191:Y200)</f>
        <v>969592.8037</v>
      </c>
    </row>
    <row r="191" ht="15.75" customHeight="1">
      <c r="A191" s="171">
        <f t="shared" si="1"/>
        <v>185</v>
      </c>
      <c r="B191" s="171">
        <f t="shared" si="2"/>
        <v>16</v>
      </c>
      <c r="C191" s="176">
        <f>EDATE(RCD,A190)</f>
        <v>48151</v>
      </c>
      <c r="D191" s="171">
        <f>Age_At_Entry+Cashflows_Backtesting!B191-1</f>
        <v>50</v>
      </c>
      <c r="E191" s="175">
        <f>IF(AND(C191&lt;=Last_Prem,MOD(A190,Mode)=0),Mod_Prem,0)</f>
        <v>0</v>
      </c>
      <c r="F191" s="177">
        <f>E191*VLOOKUP(B191,'Pre-Calculation'!$H$1:$I$31,2,FALSE)</f>
        <v>0</v>
      </c>
      <c r="G191" s="177">
        <f>IF(B191&lt;PT+1,VLOOKUP(B191,'Pre-Calculation'!$H$1:$L$32,3,FALSE)+VLOOKUP(B191,'Pre-Calculation'!$H$1:$L$32,4,FALSE)*'Pre-Calculation'!$D$7,0)</f>
        <v>0</v>
      </c>
      <c r="H191" s="175">
        <f>(E191-(F191+G191)*(1+Tax)+O190)</f>
        <v>1165437.733</v>
      </c>
      <c r="I191" s="175">
        <f>IF(B191&lt;PT+1,VLOOKUP(D191,'Pre-Calculation'!$N$3:$P$79,IF(INPUT!$C$4="M",2,3),FALSE)*(J191/1000)*(1/12),0)</f>
        <v>0</v>
      </c>
      <c r="J191" s="175">
        <f>MAX(0,(SA-H191))</f>
        <v>0</v>
      </c>
      <c r="K191" s="175">
        <f>H191-I191*(1+Tax)</f>
        <v>1165437.733</v>
      </c>
      <c r="L191" s="187">
        <f>VLOOKUP(C191,'NAVs_Till 29 Jun 2021'!$A$3:$J$2236,MATCH('Pre-Calculation'!$C$34,'NAVs_Till 29 Jun 2021'!$A$1:$J$1,0))</f>
        <v>20.7486</v>
      </c>
      <c r="M191" s="187">
        <f>IFERROR(1,VLOOKUP(C191,'NAVs_Till 29 Jun 2021'!$A$3:$J$2236,MATCH(#REF!,'NAVs_Till 29 Jun 2021'!$A$1:$J$1,0)))</f>
        <v>1</v>
      </c>
      <c r="N191" s="175">
        <f>VLOOKUP('Pre-Calculation'!$C$34,INPUT!$B$20:$C$28,2,0)*K191*(L192/L191)+ IFERROR(0,VLOOKUP('Pre-Calculation'!$D$34,INPUT!$B$20:$C$28,2,0))*K191*(M192/M191)</f>
        <v>1165437.733</v>
      </c>
      <c r="O191" s="175">
        <f t="shared" si="3"/>
        <v>1165437.733</v>
      </c>
      <c r="P191" s="175">
        <f t="shared" si="4"/>
        <v>1165437.733</v>
      </c>
      <c r="Q191" s="175">
        <f>IF('Pre-Calculation'!$D$17="Type 4 a",MAX(SA,O191,1.05*R191),IF('Pre-Calculation'!$D$17="Type 4 c",O191,IF('Pre-Calculation'!$D$17="Type 4 d",SA+O191,IF('Pre-Calculation'!$D$17="Type 4 e",MAX(SA,O191),IF('Pre-Calculation'!$D$17="Type 4 f",SA,IF('Pre-Calculation'!$D$17="Type 4 g",1000+O191,IF('Pre-Calculation'!$D$17="Type 4 h",SA+S191,IF('Pre-Calculation'!$D$17="Type 4 i",MAX(O191,R191),IF('Pre-Calculation'!$D$17="Type 4 k",MAX(O191,1.01*R191),IF('Pre-Calculation'!$D$17="Type 4 m",MAX(105%*R191,SA+O191),IF('Pre-Calculation'!$D$17="Type 4 o",MAX(SA,105%*R191)+X191+Z191,IF('Pre-Calculation'!$D$17="Type 5",0))))))))))))</f>
        <v>1165437.733</v>
      </c>
      <c r="R191" s="175">
        <f t="shared" si="5"/>
        <v>1000000</v>
      </c>
      <c r="S191" s="119">
        <f>K191*(1+GROWTH_RATE)*FMC</f>
        <v>1318.835624</v>
      </c>
      <c r="T191" s="178">
        <f>T190*(1+'Pre-Calculation'!$E$27)</f>
        <v>1104698.462</v>
      </c>
      <c r="U191" s="175">
        <f>-E191+IF(A190=INPUT!$C$11*12,O191,0)</f>
        <v>0</v>
      </c>
      <c r="V191" s="112"/>
      <c r="W191" s="112"/>
      <c r="X191" s="179">
        <f t="array" ref="X191">NPV('Pre-Calculation'!$E$20,$E192:E$246)</f>
        <v>0</v>
      </c>
      <c r="Y191" s="171">
        <f>10%*SA</f>
        <v>100000</v>
      </c>
      <c r="Z191" s="179">
        <f t="array" ref="Z191">NPV('Pre-Calculation'!$E$20,Y192:Y201)</f>
        <v>969592.8037</v>
      </c>
    </row>
    <row r="192" ht="15.75" customHeight="1">
      <c r="A192" s="171">
        <f t="shared" si="1"/>
        <v>186</v>
      </c>
      <c r="B192" s="171">
        <f t="shared" si="2"/>
        <v>16</v>
      </c>
      <c r="C192" s="176">
        <f>EDATE(RCD,A191)</f>
        <v>48182</v>
      </c>
      <c r="D192" s="171">
        <f>Age_At_Entry+Cashflows_Backtesting!B192-1</f>
        <v>50</v>
      </c>
      <c r="E192" s="175">
        <f>IF(AND(C192&lt;=Last_Prem,MOD(A191,Mode)=0),Mod_Prem,0)</f>
        <v>0</v>
      </c>
      <c r="F192" s="177">
        <f>E192*VLOOKUP(B192,'Pre-Calculation'!$H$1:$I$31,2,FALSE)</f>
        <v>0</v>
      </c>
      <c r="G192" s="177">
        <f>IF(B192&lt;PT+1,VLOOKUP(B192,'Pre-Calculation'!$H$1:$L$32,3,FALSE)+VLOOKUP(B192,'Pre-Calculation'!$H$1:$L$32,4,FALSE)*'Pre-Calculation'!$D$7,0)</f>
        <v>0</v>
      </c>
      <c r="H192" s="175">
        <f>(E192-(F192+G192)*(1+Tax)+O191)</f>
        <v>1165437.733</v>
      </c>
      <c r="I192" s="175">
        <f>IF(B192&lt;PT+1,VLOOKUP(D192,'Pre-Calculation'!$N$3:$P$79,IF(INPUT!$C$4="M",2,3),FALSE)*(J192/1000)*(1/12),0)</f>
        <v>0</v>
      </c>
      <c r="J192" s="175">
        <f>MAX(0,(SA-H192))</f>
        <v>0</v>
      </c>
      <c r="K192" s="175">
        <f>H192-I192*(1+Tax)</f>
        <v>1165437.733</v>
      </c>
      <c r="L192" s="187">
        <f>VLOOKUP(C192,'NAVs_Till 29 Jun 2021'!$A$3:$J$2236,MATCH('Pre-Calculation'!$C$34,'NAVs_Till 29 Jun 2021'!$A$1:$J$1,0))</f>
        <v>20.7486</v>
      </c>
      <c r="M192" s="187">
        <f>IFERROR(1,VLOOKUP(C192,'NAVs_Till 29 Jun 2021'!$A$3:$J$2236,MATCH(#REF!,'NAVs_Till 29 Jun 2021'!$A$1:$J$1,0)))</f>
        <v>1</v>
      </c>
      <c r="N192" s="175">
        <f>VLOOKUP('Pre-Calculation'!$C$34,INPUT!$B$20:$C$28,2,0)*K192*(L193/L192)+ IFERROR(0,VLOOKUP('Pre-Calculation'!$D$34,INPUT!$B$20:$C$28,2,0))*K192*(M193/M192)</f>
        <v>1165437.733</v>
      </c>
      <c r="O192" s="175">
        <f t="shared" si="3"/>
        <v>1165437.733</v>
      </c>
      <c r="P192" s="175">
        <f t="shared" si="4"/>
        <v>1165437.733</v>
      </c>
      <c r="Q192" s="175">
        <f>IF('Pre-Calculation'!$D$17="Type 4 a",MAX(SA,O192,1.05*R192),IF('Pre-Calculation'!$D$17="Type 4 c",O192,IF('Pre-Calculation'!$D$17="Type 4 d",SA+O192,IF('Pre-Calculation'!$D$17="Type 4 e",MAX(SA,O192),IF('Pre-Calculation'!$D$17="Type 4 f",SA,IF('Pre-Calculation'!$D$17="Type 4 g",1000+O192,IF('Pre-Calculation'!$D$17="Type 4 h",SA+S192,IF('Pre-Calculation'!$D$17="Type 4 i",MAX(O192,R192),IF('Pre-Calculation'!$D$17="Type 4 k",MAX(O192,1.01*R192),IF('Pre-Calculation'!$D$17="Type 4 m",MAX(105%*R192,SA+O192),IF('Pre-Calculation'!$D$17="Type 4 o",MAX(SA,105%*R192)+X192+Z192,IF('Pre-Calculation'!$D$17="Type 5",0))))))))))))</f>
        <v>1165437.733</v>
      </c>
      <c r="R192" s="175">
        <f t="shared" si="5"/>
        <v>1000000</v>
      </c>
      <c r="S192" s="119">
        <f>K192*(1+GROWTH_RATE)*FMC</f>
        <v>1318.835624</v>
      </c>
      <c r="T192" s="178">
        <f>T191*(1+'Pre-Calculation'!$E$27)</f>
        <v>1107869.939</v>
      </c>
      <c r="U192" s="175">
        <f>-E192+IF(A191=INPUT!$C$11*12,O192,0)</f>
        <v>0</v>
      </c>
      <c r="V192" s="112"/>
      <c r="W192" s="112"/>
      <c r="X192" s="179">
        <f t="array" ref="X192">NPV('Pre-Calculation'!$E$20,$E193:E$246)</f>
        <v>0</v>
      </c>
      <c r="Y192" s="171">
        <f>10%*SA</f>
        <v>100000</v>
      </c>
      <c r="Z192" s="179">
        <f t="array" ref="Z192">NPV('Pre-Calculation'!$E$20,Y193:Y202)</f>
        <v>969592.8037</v>
      </c>
    </row>
    <row r="193" ht="15.75" customHeight="1">
      <c r="A193" s="171">
        <f t="shared" si="1"/>
        <v>187</v>
      </c>
      <c r="B193" s="171">
        <f t="shared" si="2"/>
        <v>16</v>
      </c>
      <c r="C193" s="176">
        <f>EDATE(RCD,A192)</f>
        <v>48212</v>
      </c>
      <c r="D193" s="171">
        <f>Age_At_Entry+Cashflows_Backtesting!B193-1</f>
        <v>50</v>
      </c>
      <c r="E193" s="175">
        <f>IF(AND(C193&lt;=Last_Prem,MOD(A192,Mode)=0),Mod_Prem,0)</f>
        <v>0</v>
      </c>
      <c r="F193" s="177">
        <f>E193*VLOOKUP(B193,'Pre-Calculation'!$H$1:$I$31,2,FALSE)</f>
        <v>0</v>
      </c>
      <c r="G193" s="177">
        <f>IF(B193&lt;PT+1,VLOOKUP(B193,'Pre-Calculation'!$H$1:$L$32,3,FALSE)+VLOOKUP(B193,'Pre-Calculation'!$H$1:$L$32,4,FALSE)*'Pre-Calculation'!$D$7,0)</f>
        <v>0</v>
      </c>
      <c r="H193" s="175">
        <f>(E193-(F193+G193)*(1+Tax)+O192)</f>
        <v>1165437.733</v>
      </c>
      <c r="I193" s="175">
        <f>IF(B193&lt;PT+1,VLOOKUP(D193,'Pre-Calculation'!$N$3:$P$79,IF(INPUT!$C$4="M",2,3),FALSE)*(J193/1000)*(1/12),0)</f>
        <v>0</v>
      </c>
      <c r="J193" s="175">
        <f>MAX(0,(SA-H193))</f>
        <v>0</v>
      </c>
      <c r="K193" s="175">
        <f>H193-I193*(1+Tax)</f>
        <v>1165437.733</v>
      </c>
      <c r="L193" s="187">
        <f>VLOOKUP(C193,'NAVs_Till 29 Jun 2021'!$A$3:$J$2236,MATCH('Pre-Calculation'!$C$34,'NAVs_Till 29 Jun 2021'!$A$1:$J$1,0))</f>
        <v>20.7486</v>
      </c>
      <c r="M193" s="187">
        <f>IFERROR(1,VLOOKUP(C193,'NAVs_Till 29 Jun 2021'!$A$3:$J$2236,MATCH(#REF!,'NAVs_Till 29 Jun 2021'!$A$1:$J$1,0)))</f>
        <v>1</v>
      </c>
      <c r="N193" s="175">
        <f>VLOOKUP('Pre-Calculation'!$C$34,INPUT!$B$20:$C$28,2,0)*K193*(L194/L193)+ IFERROR(0,VLOOKUP('Pre-Calculation'!$D$34,INPUT!$B$20:$C$28,2,0))*K193*(M194/M193)</f>
        <v>1165437.733</v>
      </c>
      <c r="O193" s="175">
        <f t="shared" si="3"/>
        <v>1165437.733</v>
      </c>
      <c r="P193" s="175">
        <f t="shared" si="4"/>
        <v>1165437.733</v>
      </c>
      <c r="Q193" s="175">
        <f>IF('Pre-Calculation'!$D$17="Type 4 a",MAX(SA,O193,1.05*R193),IF('Pre-Calculation'!$D$17="Type 4 c",O193,IF('Pre-Calculation'!$D$17="Type 4 d",SA+O193,IF('Pre-Calculation'!$D$17="Type 4 e",MAX(SA,O193),IF('Pre-Calculation'!$D$17="Type 4 f",SA,IF('Pre-Calculation'!$D$17="Type 4 g",1000+O193,IF('Pre-Calculation'!$D$17="Type 4 h",SA+S193,IF('Pre-Calculation'!$D$17="Type 4 i",MAX(O193,R193),IF('Pre-Calculation'!$D$17="Type 4 k",MAX(O193,1.01*R193),IF('Pre-Calculation'!$D$17="Type 4 m",MAX(105%*R193,SA+O193),IF('Pre-Calculation'!$D$17="Type 4 o",MAX(SA,105%*R193)+X193+Z193,IF('Pre-Calculation'!$D$17="Type 5",0))))))))))))</f>
        <v>1165437.733</v>
      </c>
      <c r="R193" s="175">
        <f t="shared" si="5"/>
        <v>1000000</v>
      </c>
      <c r="S193" s="119">
        <f>K193*(1+GROWTH_RATE)*FMC</f>
        <v>1318.835624</v>
      </c>
      <c r="T193" s="178">
        <f>T192*(1+'Pre-Calculation'!$E$27)</f>
        <v>1111050.522</v>
      </c>
      <c r="U193" s="175">
        <f>-E193+IF(A192=INPUT!$C$11*12,O193,0)</f>
        <v>0</v>
      </c>
      <c r="V193" s="112"/>
      <c r="W193" s="112"/>
      <c r="X193" s="179">
        <f t="array" ref="X193">NPV('Pre-Calculation'!$E$20,$E194:E$246)</f>
        <v>0</v>
      </c>
      <c r="Y193" s="171">
        <f>10%*SA</f>
        <v>100000</v>
      </c>
      <c r="Z193" s="179">
        <f t="array" ref="Z193">NPV('Pre-Calculation'!$E$20,Y194:Y203)</f>
        <v>969592.8037</v>
      </c>
    </row>
    <row r="194" ht="15.75" customHeight="1">
      <c r="A194" s="171">
        <f t="shared" si="1"/>
        <v>188</v>
      </c>
      <c r="B194" s="171">
        <f t="shared" si="2"/>
        <v>16</v>
      </c>
      <c r="C194" s="176">
        <f>EDATE(RCD,A193)</f>
        <v>48243</v>
      </c>
      <c r="D194" s="171">
        <f>Age_At_Entry+Cashflows_Backtesting!B194-1</f>
        <v>50</v>
      </c>
      <c r="E194" s="175">
        <f>IF(AND(C194&lt;=Last_Prem,MOD(A193,Mode)=0),Mod_Prem,0)</f>
        <v>0</v>
      </c>
      <c r="F194" s="177">
        <f>E194*VLOOKUP(B194,'Pre-Calculation'!$H$1:$I$31,2,FALSE)</f>
        <v>0</v>
      </c>
      <c r="G194" s="177">
        <f>IF(B194&lt;PT+1,VLOOKUP(B194,'Pre-Calculation'!$H$1:$L$32,3,FALSE)+VLOOKUP(B194,'Pre-Calculation'!$H$1:$L$32,4,FALSE)*'Pre-Calculation'!$D$7,0)</f>
        <v>0</v>
      </c>
      <c r="H194" s="175">
        <f>(E194-(F194+G194)*(1+Tax)+O193)</f>
        <v>1165437.733</v>
      </c>
      <c r="I194" s="175">
        <f>IF(B194&lt;PT+1,VLOOKUP(D194,'Pre-Calculation'!$N$3:$P$79,IF(INPUT!$C$4="M",2,3),FALSE)*(J194/1000)*(1/12),0)</f>
        <v>0</v>
      </c>
      <c r="J194" s="175">
        <f>MAX(0,(SA-H194))</f>
        <v>0</v>
      </c>
      <c r="K194" s="175">
        <f>H194-I194*(1+Tax)</f>
        <v>1165437.733</v>
      </c>
      <c r="L194" s="187">
        <f>VLOOKUP(C194,'NAVs_Till 29 Jun 2021'!$A$3:$J$2236,MATCH('Pre-Calculation'!$C$34,'NAVs_Till 29 Jun 2021'!$A$1:$J$1,0))</f>
        <v>20.7486</v>
      </c>
      <c r="M194" s="187">
        <f>IFERROR(1,VLOOKUP(C194,'NAVs_Till 29 Jun 2021'!$A$3:$J$2236,MATCH(#REF!,'NAVs_Till 29 Jun 2021'!$A$1:$J$1,0)))</f>
        <v>1</v>
      </c>
      <c r="N194" s="175">
        <f>VLOOKUP('Pre-Calculation'!$C$34,INPUT!$B$20:$C$28,2,0)*K194*(L195/L194)+ IFERROR(0,VLOOKUP('Pre-Calculation'!$D$34,INPUT!$B$20:$C$28,2,0))*K194*(M195/M194)</f>
        <v>1165437.733</v>
      </c>
      <c r="O194" s="175">
        <f t="shared" si="3"/>
        <v>1165437.733</v>
      </c>
      <c r="P194" s="175">
        <f t="shared" si="4"/>
        <v>1165437.733</v>
      </c>
      <c r="Q194" s="175">
        <f>IF('Pre-Calculation'!$D$17="Type 4 a",MAX(SA,O194,1.05*R194),IF('Pre-Calculation'!$D$17="Type 4 c",O194,IF('Pre-Calculation'!$D$17="Type 4 d",SA+O194,IF('Pre-Calculation'!$D$17="Type 4 e",MAX(SA,O194),IF('Pre-Calculation'!$D$17="Type 4 f",SA,IF('Pre-Calculation'!$D$17="Type 4 g",1000+O194,IF('Pre-Calculation'!$D$17="Type 4 h",SA+S194,IF('Pre-Calculation'!$D$17="Type 4 i",MAX(O194,R194),IF('Pre-Calculation'!$D$17="Type 4 k",MAX(O194,1.01*R194),IF('Pre-Calculation'!$D$17="Type 4 m",MAX(105%*R194,SA+O194),IF('Pre-Calculation'!$D$17="Type 4 o",MAX(SA,105%*R194)+X194+Z194,IF('Pre-Calculation'!$D$17="Type 5",0))))))))))))</f>
        <v>1165437.733</v>
      </c>
      <c r="R194" s="175">
        <f t="shared" si="5"/>
        <v>1000000</v>
      </c>
      <c r="S194" s="119">
        <f>K194*(1+GROWTH_RATE)*FMC</f>
        <v>1318.835624</v>
      </c>
      <c r="T194" s="178">
        <f>T193*(1+'Pre-Calculation'!$E$27)</f>
        <v>1114240.235</v>
      </c>
      <c r="U194" s="175">
        <f>-E194+IF(A193=INPUT!$C$11*12,O194,0)</f>
        <v>0</v>
      </c>
      <c r="V194" s="112"/>
      <c r="W194" s="112"/>
      <c r="X194" s="179">
        <f t="array" ref="X194">NPV('Pre-Calculation'!$E$20,$E195:E$246)</f>
        <v>0</v>
      </c>
      <c r="Y194" s="171">
        <f>10%*SA</f>
        <v>100000</v>
      </c>
      <c r="Z194" s="179">
        <f t="array" ref="Z194">NPV('Pre-Calculation'!$E$20,Y195:Y204)</f>
        <v>969592.8037</v>
      </c>
    </row>
    <row r="195" ht="15.75" customHeight="1">
      <c r="A195" s="171">
        <f t="shared" si="1"/>
        <v>189</v>
      </c>
      <c r="B195" s="171">
        <f t="shared" si="2"/>
        <v>16</v>
      </c>
      <c r="C195" s="176">
        <f>EDATE(RCD,A194)</f>
        <v>48273</v>
      </c>
      <c r="D195" s="171">
        <f>Age_At_Entry+Cashflows_Backtesting!B195-1</f>
        <v>50</v>
      </c>
      <c r="E195" s="175">
        <f>IF(AND(C195&lt;=Last_Prem,MOD(A194,Mode)=0),Mod_Prem,0)</f>
        <v>0</v>
      </c>
      <c r="F195" s="177">
        <f>E195*VLOOKUP(B195,'Pre-Calculation'!$H$1:$I$31,2,FALSE)</f>
        <v>0</v>
      </c>
      <c r="G195" s="177">
        <f>IF(B195&lt;PT+1,VLOOKUP(B195,'Pre-Calculation'!$H$1:$L$32,3,FALSE)+VLOOKUP(B195,'Pre-Calculation'!$H$1:$L$32,4,FALSE)*'Pre-Calculation'!$D$7,0)</f>
        <v>0</v>
      </c>
      <c r="H195" s="175">
        <f>(E195-(F195+G195)*(1+Tax)+O194)</f>
        <v>1165437.733</v>
      </c>
      <c r="I195" s="175">
        <f>IF(B195&lt;PT+1,VLOOKUP(D195,'Pre-Calculation'!$N$3:$P$79,IF(INPUT!$C$4="M",2,3),FALSE)*(J195/1000)*(1/12),0)</f>
        <v>0</v>
      </c>
      <c r="J195" s="175">
        <f>MAX(0,(SA-H195))</f>
        <v>0</v>
      </c>
      <c r="K195" s="175">
        <f>H195-I195*(1+Tax)</f>
        <v>1165437.733</v>
      </c>
      <c r="L195" s="187">
        <f>VLOOKUP(C195,'NAVs_Till 29 Jun 2021'!$A$3:$J$2236,MATCH('Pre-Calculation'!$C$34,'NAVs_Till 29 Jun 2021'!$A$1:$J$1,0))</f>
        <v>20.7486</v>
      </c>
      <c r="M195" s="187">
        <f>IFERROR(1,VLOOKUP(C195,'NAVs_Till 29 Jun 2021'!$A$3:$J$2236,MATCH(#REF!,'NAVs_Till 29 Jun 2021'!$A$1:$J$1,0)))</f>
        <v>1</v>
      </c>
      <c r="N195" s="175">
        <f>VLOOKUP('Pre-Calculation'!$C$34,INPUT!$B$20:$C$28,2,0)*K195*(L196/L195)+ IFERROR(0,VLOOKUP('Pre-Calculation'!$D$34,INPUT!$B$20:$C$28,2,0))*K195*(M196/M195)</f>
        <v>1165437.733</v>
      </c>
      <c r="O195" s="175">
        <f t="shared" si="3"/>
        <v>1165437.733</v>
      </c>
      <c r="P195" s="175">
        <f t="shared" si="4"/>
        <v>1165437.733</v>
      </c>
      <c r="Q195" s="175">
        <f>IF('Pre-Calculation'!$D$17="Type 4 a",MAX(SA,O195,1.05*R195),IF('Pre-Calculation'!$D$17="Type 4 c",O195,IF('Pre-Calculation'!$D$17="Type 4 d",SA+O195,IF('Pre-Calculation'!$D$17="Type 4 e",MAX(SA,O195),IF('Pre-Calculation'!$D$17="Type 4 f",SA,IF('Pre-Calculation'!$D$17="Type 4 g",1000+O195,IF('Pre-Calculation'!$D$17="Type 4 h",SA+S195,IF('Pre-Calculation'!$D$17="Type 4 i",MAX(O195,R195),IF('Pre-Calculation'!$D$17="Type 4 k",MAX(O195,1.01*R195),IF('Pre-Calculation'!$D$17="Type 4 m",MAX(105%*R195,SA+O195),IF('Pre-Calculation'!$D$17="Type 4 o",MAX(SA,105%*R195)+X195+Z195,IF('Pre-Calculation'!$D$17="Type 5",0))))))))))))</f>
        <v>1165437.733</v>
      </c>
      <c r="R195" s="175">
        <f t="shared" si="5"/>
        <v>1000000</v>
      </c>
      <c r="S195" s="119">
        <f>K195*(1+GROWTH_RATE)*FMC</f>
        <v>1318.835624</v>
      </c>
      <c r="T195" s="178">
        <f>T194*(1+'Pre-Calculation'!$E$27)</f>
        <v>1117439.106</v>
      </c>
      <c r="U195" s="175">
        <f>-E195+IF(A194=INPUT!$C$11*12,O195,0)</f>
        <v>0</v>
      </c>
      <c r="V195" s="112"/>
      <c r="W195" s="112"/>
      <c r="X195" s="179">
        <f t="array" ref="X195">NPV('Pre-Calculation'!$E$20,$E196:E$246)</f>
        <v>0</v>
      </c>
      <c r="Y195" s="171">
        <f>10%*SA</f>
        <v>100000</v>
      </c>
      <c r="Z195" s="179">
        <f t="array" ref="Z195">NPV('Pre-Calculation'!$E$20,Y196:Y205)</f>
        <v>969592.8037</v>
      </c>
    </row>
    <row r="196" ht="15.75" customHeight="1">
      <c r="A196" s="171">
        <f t="shared" si="1"/>
        <v>190</v>
      </c>
      <c r="B196" s="171">
        <f t="shared" si="2"/>
        <v>16</v>
      </c>
      <c r="C196" s="176">
        <f>EDATE(RCD,A195)</f>
        <v>48303</v>
      </c>
      <c r="D196" s="171">
        <f>Age_At_Entry+Cashflows_Backtesting!B196-1</f>
        <v>50</v>
      </c>
      <c r="E196" s="175">
        <f>IF(AND(C196&lt;=Last_Prem,MOD(A195,Mode)=0),Mod_Prem,0)</f>
        <v>0</v>
      </c>
      <c r="F196" s="177">
        <f>E196*VLOOKUP(B196,'Pre-Calculation'!$H$1:$I$31,2,FALSE)</f>
        <v>0</v>
      </c>
      <c r="G196" s="177">
        <f>IF(B196&lt;PT+1,VLOOKUP(B196,'Pre-Calculation'!$H$1:$L$32,3,FALSE)+VLOOKUP(B196,'Pre-Calculation'!$H$1:$L$32,4,FALSE)*'Pre-Calculation'!$D$7,0)</f>
        <v>0</v>
      </c>
      <c r="H196" s="175">
        <f>(E196-(F196+G196)*(1+Tax)+O195)</f>
        <v>1165437.733</v>
      </c>
      <c r="I196" s="175">
        <f>IF(B196&lt;PT+1,VLOOKUP(D196,'Pre-Calculation'!$N$3:$P$79,IF(INPUT!$C$4="M",2,3),FALSE)*(J196/1000)*(1/12),0)</f>
        <v>0</v>
      </c>
      <c r="J196" s="175">
        <f>MAX(0,(SA-H196))</f>
        <v>0</v>
      </c>
      <c r="K196" s="175">
        <f>H196-I196*(1+Tax)</f>
        <v>1165437.733</v>
      </c>
      <c r="L196" s="187">
        <f>VLOOKUP(C196,'NAVs_Till 29 Jun 2021'!$A$3:$J$2236,MATCH('Pre-Calculation'!$C$34,'NAVs_Till 29 Jun 2021'!$A$1:$J$1,0))</f>
        <v>20.7486</v>
      </c>
      <c r="M196" s="187">
        <f>IFERROR(1,VLOOKUP(C196,'NAVs_Till 29 Jun 2021'!$A$3:$J$2236,MATCH(#REF!,'NAVs_Till 29 Jun 2021'!$A$1:$J$1,0)))</f>
        <v>1</v>
      </c>
      <c r="N196" s="175">
        <f>VLOOKUP('Pre-Calculation'!$C$34,INPUT!$B$20:$C$28,2,0)*K196*(L197/L196)+ IFERROR(0,VLOOKUP('Pre-Calculation'!$D$34,INPUT!$B$20:$C$28,2,0))*K196*(M197/M196)</f>
        <v>1165437.733</v>
      </c>
      <c r="O196" s="175">
        <f t="shared" si="3"/>
        <v>1165437.733</v>
      </c>
      <c r="P196" s="175">
        <f t="shared" si="4"/>
        <v>1165437.733</v>
      </c>
      <c r="Q196" s="175">
        <f>IF('Pre-Calculation'!$D$17="Type 4 a",MAX(SA,O196,1.05*R196),IF('Pre-Calculation'!$D$17="Type 4 c",O196,IF('Pre-Calculation'!$D$17="Type 4 d",SA+O196,IF('Pre-Calculation'!$D$17="Type 4 e",MAX(SA,O196),IF('Pre-Calculation'!$D$17="Type 4 f",SA,IF('Pre-Calculation'!$D$17="Type 4 g",1000+O196,IF('Pre-Calculation'!$D$17="Type 4 h",SA+S196,IF('Pre-Calculation'!$D$17="Type 4 i",MAX(O196,R196),IF('Pre-Calculation'!$D$17="Type 4 k",MAX(O196,1.01*R196),IF('Pre-Calculation'!$D$17="Type 4 m",MAX(105%*R196,SA+O196),IF('Pre-Calculation'!$D$17="Type 4 o",MAX(SA,105%*R196)+X196+Z196,IF('Pre-Calculation'!$D$17="Type 5",0))))))))))))</f>
        <v>1165437.733</v>
      </c>
      <c r="R196" s="175">
        <f t="shared" si="5"/>
        <v>1000000</v>
      </c>
      <c r="S196" s="119">
        <f>K196*(1+GROWTH_RATE)*FMC</f>
        <v>1318.835624</v>
      </c>
      <c r="T196" s="178">
        <f>T195*(1+'Pre-Calculation'!$E$27)</f>
        <v>1120647.16</v>
      </c>
      <c r="U196" s="175">
        <f>-E196+IF(A195=INPUT!$C$11*12,O196,0)</f>
        <v>0</v>
      </c>
      <c r="V196" s="112"/>
      <c r="W196" s="112"/>
      <c r="X196" s="179">
        <f t="array" ref="X196">NPV('Pre-Calculation'!$E$20,$E197:E$246)</f>
        <v>0</v>
      </c>
      <c r="Y196" s="171">
        <f>10%*SA</f>
        <v>100000</v>
      </c>
      <c r="Z196" s="179">
        <f t="array" ref="Z196">NPV('Pre-Calculation'!$E$20,Y197:Y206)</f>
        <v>969592.8037</v>
      </c>
    </row>
    <row r="197" ht="15.75" customHeight="1">
      <c r="A197" s="171">
        <f t="shared" si="1"/>
        <v>191</v>
      </c>
      <c r="B197" s="171">
        <f t="shared" si="2"/>
        <v>16</v>
      </c>
      <c r="C197" s="176">
        <f>EDATE(RCD,A196)</f>
        <v>48334</v>
      </c>
      <c r="D197" s="171">
        <f>Age_At_Entry+Cashflows_Backtesting!B197-1</f>
        <v>50</v>
      </c>
      <c r="E197" s="175">
        <f>IF(AND(C197&lt;=Last_Prem,MOD(A196,Mode)=0),Mod_Prem,0)</f>
        <v>0</v>
      </c>
      <c r="F197" s="177">
        <f>E197*VLOOKUP(B197,'Pre-Calculation'!$H$1:$I$31,2,FALSE)</f>
        <v>0</v>
      </c>
      <c r="G197" s="177">
        <f>IF(B197&lt;PT+1,VLOOKUP(B197,'Pre-Calculation'!$H$1:$L$32,3,FALSE)+VLOOKUP(B197,'Pre-Calculation'!$H$1:$L$32,4,FALSE)*'Pre-Calculation'!$D$7,0)</f>
        <v>0</v>
      </c>
      <c r="H197" s="175">
        <f>(E197-(F197+G197)*(1+Tax)+O196)</f>
        <v>1165437.733</v>
      </c>
      <c r="I197" s="175">
        <f>IF(B197&lt;PT+1,VLOOKUP(D197,'Pre-Calculation'!$N$3:$P$79,IF(INPUT!$C$4="M",2,3),FALSE)*(J197/1000)*(1/12),0)</f>
        <v>0</v>
      </c>
      <c r="J197" s="175">
        <f>MAX(0,(SA-H197))</f>
        <v>0</v>
      </c>
      <c r="K197" s="175">
        <f>H197-I197*(1+Tax)</f>
        <v>1165437.733</v>
      </c>
      <c r="L197" s="187">
        <f>VLOOKUP(C197,'NAVs_Till 29 Jun 2021'!$A$3:$J$2236,MATCH('Pre-Calculation'!$C$34,'NAVs_Till 29 Jun 2021'!$A$1:$J$1,0))</f>
        <v>20.7486</v>
      </c>
      <c r="M197" s="187">
        <f>IFERROR(1,VLOOKUP(C197,'NAVs_Till 29 Jun 2021'!$A$3:$J$2236,MATCH(#REF!,'NAVs_Till 29 Jun 2021'!$A$1:$J$1,0)))</f>
        <v>1</v>
      </c>
      <c r="N197" s="175">
        <f>VLOOKUP('Pre-Calculation'!$C$34,INPUT!$B$20:$C$28,2,0)*K197*(L198/L197)+ IFERROR(0,VLOOKUP('Pre-Calculation'!$D$34,INPUT!$B$20:$C$28,2,0))*K197*(M198/M197)</f>
        <v>1165437.733</v>
      </c>
      <c r="O197" s="175">
        <f t="shared" si="3"/>
        <v>1165437.733</v>
      </c>
      <c r="P197" s="175">
        <f t="shared" si="4"/>
        <v>1165437.733</v>
      </c>
      <c r="Q197" s="175">
        <f>IF('Pre-Calculation'!$D$17="Type 4 a",MAX(SA,O197,1.05*R197),IF('Pre-Calculation'!$D$17="Type 4 c",O197,IF('Pre-Calculation'!$D$17="Type 4 d",SA+O197,IF('Pre-Calculation'!$D$17="Type 4 e",MAX(SA,O197),IF('Pre-Calculation'!$D$17="Type 4 f",SA,IF('Pre-Calculation'!$D$17="Type 4 g",1000+O197,IF('Pre-Calculation'!$D$17="Type 4 h",SA+S197,IF('Pre-Calculation'!$D$17="Type 4 i",MAX(O197,R197),IF('Pre-Calculation'!$D$17="Type 4 k",MAX(O197,1.01*R197),IF('Pre-Calculation'!$D$17="Type 4 m",MAX(105%*R197,SA+O197),IF('Pre-Calculation'!$D$17="Type 4 o",MAX(SA,105%*R197)+X197+Z197,IF('Pre-Calculation'!$D$17="Type 5",0))))))))))))</f>
        <v>1165437.733</v>
      </c>
      <c r="R197" s="175">
        <f t="shared" si="5"/>
        <v>1000000</v>
      </c>
      <c r="S197" s="119">
        <f>K197*(1+GROWTH_RATE)*FMC</f>
        <v>1318.835624</v>
      </c>
      <c r="T197" s="178">
        <f>T196*(1+'Pre-Calculation'!$E$27)</f>
        <v>1123864.425</v>
      </c>
      <c r="U197" s="175">
        <f>-E197+IF(A196=INPUT!$C$11*12,O197,0)</f>
        <v>0</v>
      </c>
      <c r="V197" s="112"/>
      <c r="W197" s="112"/>
      <c r="X197" s="179">
        <f t="array" ref="X197">NPV('Pre-Calculation'!$E$20,$E198:E$246)</f>
        <v>0</v>
      </c>
      <c r="Y197" s="171">
        <f>10%*SA</f>
        <v>100000</v>
      </c>
      <c r="Z197" s="179">
        <f t="array" ref="Z197">NPV('Pre-Calculation'!$E$20,Y198:Y207)</f>
        <v>969592.8037</v>
      </c>
    </row>
    <row r="198" ht="15.75" customHeight="1">
      <c r="A198" s="171">
        <f t="shared" si="1"/>
        <v>192</v>
      </c>
      <c r="B198" s="171">
        <f t="shared" si="2"/>
        <v>16</v>
      </c>
      <c r="C198" s="176">
        <f>EDATE(RCD,A197)</f>
        <v>48364</v>
      </c>
      <c r="D198" s="171">
        <f>Age_At_Entry+Cashflows_Backtesting!B198-1</f>
        <v>50</v>
      </c>
      <c r="E198" s="175">
        <f>IF(AND(C198&lt;=Last_Prem,MOD(A197,Mode)=0),Mod_Prem,0)</f>
        <v>0</v>
      </c>
      <c r="F198" s="177">
        <f>E198*VLOOKUP(B198,'Pre-Calculation'!$H$1:$I$31,2,FALSE)</f>
        <v>0</v>
      </c>
      <c r="G198" s="177">
        <f>IF(B198&lt;PT+1,VLOOKUP(B198,'Pre-Calculation'!$H$1:$L$32,3,FALSE)+VLOOKUP(B198,'Pre-Calculation'!$H$1:$L$32,4,FALSE)*'Pre-Calculation'!$D$7,0)</f>
        <v>0</v>
      </c>
      <c r="H198" s="175">
        <f>(E198-(F198+G198)*(1+Tax)+O197)</f>
        <v>1165437.733</v>
      </c>
      <c r="I198" s="175">
        <f>IF(B198&lt;PT+1,VLOOKUP(D198,'Pre-Calculation'!$N$3:$P$79,IF(INPUT!$C$4="M",2,3),FALSE)*(J198/1000)*(1/12),0)</f>
        <v>0</v>
      </c>
      <c r="J198" s="175">
        <f>MAX(0,(SA-H198))</f>
        <v>0</v>
      </c>
      <c r="K198" s="175">
        <f>H198-I198*(1+Tax)</f>
        <v>1165437.733</v>
      </c>
      <c r="L198" s="187">
        <f>VLOOKUP(C198,'NAVs_Till 29 Jun 2021'!$A$3:$J$2236,MATCH('Pre-Calculation'!$C$34,'NAVs_Till 29 Jun 2021'!$A$1:$J$1,0))</f>
        <v>20.7486</v>
      </c>
      <c r="M198" s="187">
        <f>IFERROR(1,VLOOKUP(C198,'NAVs_Till 29 Jun 2021'!$A$3:$J$2236,MATCH(#REF!,'NAVs_Till 29 Jun 2021'!$A$1:$J$1,0)))</f>
        <v>1</v>
      </c>
      <c r="N198" s="175">
        <f>VLOOKUP('Pre-Calculation'!$C$34,INPUT!$B$20:$C$28,2,0)*K198*(L199/L198)+ IFERROR(0,VLOOKUP('Pre-Calculation'!$D$34,INPUT!$B$20:$C$28,2,0))*K198*(M199/M198)</f>
        <v>1165437.733</v>
      </c>
      <c r="O198" s="175">
        <f t="shared" si="3"/>
        <v>1165437.733</v>
      </c>
      <c r="P198" s="175">
        <f t="shared" si="4"/>
        <v>1165437.733</v>
      </c>
      <c r="Q198" s="175">
        <f>IF('Pre-Calculation'!$D$17="Type 4 a",MAX(SA,O198,1.05*R198),IF('Pre-Calculation'!$D$17="Type 4 c",O198,IF('Pre-Calculation'!$D$17="Type 4 d",SA+O198,IF('Pre-Calculation'!$D$17="Type 4 e",MAX(SA,O198),IF('Pre-Calculation'!$D$17="Type 4 f",SA,IF('Pre-Calculation'!$D$17="Type 4 g",1000+O198,IF('Pre-Calculation'!$D$17="Type 4 h",SA+S198,IF('Pre-Calculation'!$D$17="Type 4 i",MAX(O198,R198),IF('Pre-Calculation'!$D$17="Type 4 k",MAX(O198,1.01*R198),IF('Pre-Calculation'!$D$17="Type 4 m",MAX(105%*R198,SA+O198),IF('Pre-Calculation'!$D$17="Type 4 o",MAX(SA,105%*R198)+X198+Z198,IF('Pre-Calculation'!$D$17="Type 5",0))))))))))))</f>
        <v>1165437.733</v>
      </c>
      <c r="R198" s="175">
        <f t="shared" si="5"/>
        <v>1000000</v>
      </c>
      <c r="S198" s="119">
        <f>K198*(1+GROWTH_RATE)*FMC</f>
        <v>1318.835624</v>
      </c>
      <c r="T198" s="178">
        <f>T197*(1+'Pre-Calculation'!$E$27)</f>
        <v>1127090.926</v>
      </c>
      <c r="U198" s="175">
        <f>-E198+IF(A197=INPUT!$C$11*12,O198,0)</f>
        <v>0</v>
      </c>
      <c r="V198" s="112"/>
      <c r="W198" s="112"/>
      <c r="X198" s="179">
        <f t="array" ref="X198">NPV('Pre-Calculation'!$E$20,$E199:E$246)</f>
        <v>0</v>
      </c>
      <c r="Y198" s="171">
        <f>10%*SA</f>
        <v>100000</v>
      </c>
      <c r="Z198" s="179">
        <f t="array" ref="Z198">NPV('Pre-Calculation'!$E$20,Y199:Y208)</f>
        <v>969592.8037</v>
      </c>
    </row>
    <row r="199" ht="15.75" customHeight="1">
      <c r="A199" s="171">
        <f t="shared" si="1"/>
        <v>193</v>
      </c>
      <c r="B199" s="171">
        <f t="shared" si="2"/>
        <v>17</v>
      </c>
      <c r="C199" s="176">
        <f>EDATE(RCD,A198)</f>
        <v>48395</v>
      </c>
      <c r="D199" s="171">
        <f>Age_At_Entry+Cashflows_Backtesting!B199-1</f>
        <v>51</v>
      </c>
      <c r="E199" s="175">
        <f>IF(AND(C199&lt;=Last_Prem,MOD(A198,Mode)=0),Mod_Prem,0)</f>
        <v>0</v>
      </c>
      <c r="F199" s="177">
        <f>E199*VLOOKUP(B199,'Pre-Calculation'!$H$1:$I$31,2,FALSE)</f>
        <v>0</v>
      </c>
      <c r="G199" s="177">
        <f>IF(B199&lt;PT+1,VLOOKUP(B199,'Pre-Calculation'!$H$1:$L$32,3,FALSE)+VLOOKUP(B199,'Pre-Calculation'!$H$1:$L$32,4,FALSE)*'Pre-Calculation'!$D$7,0)</f>
        <v>0</v>
      </c>
      <c r="H199" s="175">
        <f>(E199-(F199+G199)*(1+Tax)+O198)</f>
        <v>1165437.733</v>
      </c>
      <c r="I199" s="175">
        <f>IF(B199&lt;PT+1,VLOOKUP(D199,'Pre-Calculation'!$N$3:$P$79,IF(INPUT!$C$4="M",2,3),FALSE)*(J199/1000)*(1/12),0)</f>
        <v>0</v>
      </c>
      <c r="J199" s="175">
        <f>MAX(0,(SA-H199))</f>
        <v>0</v>
      </c>
      <c r="K199" s="175">
        <f>H199-I199*(1+Tax)</f>
        <v>1165437.733</v>
      </c>
      <c r="L199" s="187">
        <f>VLOOKUP(C199,'NAVs_Till 29 Jun 2021'!$A$3:$J$2236,MATCH('Pre-Calculation'!$C$34,'NAVs_Till 29 Jun 2021'!$A$1:$J$1,0))</f>
        <v>20.7486</v>
      </c>
      <c r="M199" s="187">
        <f>IFERROR(1,VLOOKUP(C199,'NAVs_Till 29 Jun 2021'!$A$3:$J$2236,MATCH(#REF!,'NAVs_Till 29 Jun 2021'!$A$1:$J$1,0)))</f>
        <v>1</v>
      </c>
      <c r="N199" s="175">
        <f>VLOOKUP('Pre-Calculation'!$C$34,INPUT!$B$20:$C$28,2,0)*K199*(L200/L199)+ IFERROR(0,VLOOKUP('Pre-Calculation'!$D$34,INPUT!$B$20:$C$28,2,0))*K199*(M200/M199)</f>
        <v>1165437.733</v>
      </c>
      <c r="O199" s="175">
        <f t="shared" si="3"/>
        <v>1165437.733</v>
      </c>
      <c r="P199" s="175">
        <f t="shared" si="4"/>
        <v>1165437.733</v>
      </c>
      <c r="Q199" s="175">
        <f>IF('Pre-Calculation'!$D$17="Type 4 a",MAX(SA,O199,1.05*R199),IF('Pre-Calculation'!$D$17="Type 4 c",O199,IF('Pre-Calculation'!$D$17="Type 4 d",SA+O199,IF('Pre-Calculation'!$D$17="Type 4 e",MAX(SA,O199),IF('Pre-Calculation'!$D$17="Type 4 f",SA,IF('Pre-Calculation'!$D$17="Type 4 g",1000+O199,IF('Pre-Calculation'!$D$17="Type 4 h",SA+S199,IF('Pre-Calculation'!$D$17="Type 4 i",MAX(O199,R199),IF('Pre-Calculation'!$D$17="Type 4 k",MAX(O199,1.01*R199),IF('Pre-Calculation'!$D$17="Type 4 m",MAX(105%*R199,SA+O199),IF('Pre-Calculation'!$D$17="Type 4 o",MAX(SA,105%*R199)+X199+Z199,IF('Pre-Calculation'!$D$17="Type 5",0))))))))))))</f>
        <v>1165437.733</v>
      </c>
      <c r="R199" s="175">
        <f t="shared" si="5"/>
        <v>1000000</v>
      </c>
      <c r="S199" s="119">
        <f>K199*(1+GROWTH_RATE)*FMC</f>
        <v>1318.835624</v>
      </c>
      <c r="T199" s="178">
        <f>T198*(1+'Pre-Calculation'!$E$27)</f>
        <v>1130326.69</v>
      </c>
      <c r="U199" s="175">
        <f>-E199+IF(A198=INPUT!$C$11*12,O199,0)</f>
        <v>0</v>
      </c>
      <c r="V199" s="112"/>
      <c r="W199" s="112"/>
      <c r="X199" s="179">
        <f t="array" ref="X199">NPV('Pre-Calculation'!$E$20,$E200:E$246)</f>
        <v>0</v>
      </c>
      <c r="Y199" s="171">
        <f>10%*SA</f>
        <v>100000</v>
      </c>
      <c r="Z199" s="179">
        <f t="array" ref="Z199">NPV('Pre-Calculation'!$E$20,Y200:Y209)</f>
        <v>969592.8037</v>
      </c>
    </row>
    <row r="200" ht="15.75" customHeight="1">
      <c r="A200" s="171">
        <f t="shared" si="1"/>
        <v>194</v>
      </c>
      <c r="B200" s="171">
        <f t="shared" si="2"/>
        <v>17</v>
      </c>
      <c r="C200" s="176">
        <f>EDATE(RCD,A199)</f>
        <v>48425</v>
      </c>
      <c r="D200" s="171">
        <f>Age_At_Entry+Cashflows_Backtesting!B200-1</f>
        <v>51</v>
      </c>
      <c r="E200" s="175">
        <f>IF(AND(C200&lt;=Last_Prem,MOD(A199,Mode)=0),Mod_Prem,0)</f>
        <v>0</v>
      </c>
      <c r="F200" s="177">
        <f>E200*VLOOKUP(B200,'Pre-Calculation'!$H$1:$I$31,2,FALSE)</f>
        <v>0</v>
      </c>
      <c r="G200" s="177">
        <f>IF(B200&lt;PT+1,VLOOKUP(B200,'Pre-Calculation'!$H$1:$L$32,3,FALSE)+VLOOKUP(B200,'Pre-Calculation'!$H$1:$L$32,4,FALSE)*'Pre-Calculation'!$D$7,0)</f>
        <v>0</v>
      </c>
      <c r="H200" s="175">
        <f>(E200-(F200+G200)*(1+Tax)+O199)</f>
        <v>1165437.733</v>
      </c>
      <c r="I200" s="175">
        <f>IF(B200&lt;PT+1,VLOOKUP(D200,'Pre-Calculation'!$N$3:$P$79,IF(INPUT!$C$4="M",2,3),FALSE)*(J200/1000)*(1/12),0)</f>
        <v>0</v>
      </c>
      <c r="J200" s="175">
        <f>MAX(0,(SA-H200))</f>
        <v>0</v>
      </c>
      <c r="K200" s="175">
        <f>H200-I200*(1+Tax)</f>
        <v>1165437.733</v>
      </c>
      <c r="L200" s="187">
        <f>VLOOKUP(C200,'NAVs_Till 29 Jun 2021'!$A$3:$J$2236,MATCH('Pre-Calculation'!$C$34,'NAVs_Till 29 Jun 2021'!$A$1:$J$1,0))</f>
        <v>20.7486</v>
      </c>
      <c r="M200" s="187">
        <f>IFERROR(1,VLOOKUP(C200,'NAVs_Till 29 Jun 2021'!$A$3:$J$2236,MATCH(#REF!,'NAVs_Till 29 Jun 2021'!$A$1:$J$1,0)))</f>
        <v>1</v>
      </c>
      <c r="N200" s="175">
        <f>VLOOKUP('Pre-Calculation'!$C$34,INPUT!$B$20:$C$28,2,0)*K200*(L201/L200)+ IFERROR(0,VLOOKUP('Pre-Calculation'!$D$34,INPUT!$B$20:$C$28,2,0))*K200*(M201/M200)</f>
        <v>1165437.733</v>
      </c>
      <c r="O200" s="175">
        <f t="shared" si="3"/>
        <v>1165437.733</v>
      </c>
      <c r="P200" s="175">
        <f t="shared" si="4"/>
        <v>1165437.733</v>
      </c>
      <c r="Q200" s="175">
        <f>IF('Pre-Calculation'!$D$17="Type 4 a",MAX(SA,O200,1.05*R200),IF('Pre-Calculation'!$D$17="Type 4 c",O200,IF('Pre-Calculation'!$D$17="Type 4 d",SA+O200,IF('Pre-Calculation'!$D$17="Type 4 e",MAX(SA,O200),IF('Pre-Calculation'!$D$17="Type 4 f",SA,IF('Pre-Calculation'!$D$17="Type 4 g",1000+O200,IF('Pre-Calculation'!$D$17="Type 4 h",SA+S200,IF('Pre-Calculation'!$D$17="Type 4 i",MAX(O200,R200),IF('Pre-Calculation'!$D$17="Type 4 k",MAX(O200,1.01*R200),IF('Pre-Calculation'!$D$17="Type 4 m",MAX(105%*R200,SA+O200),IF('Pre-Calculation'!$D$17="Type 4 o",MAX(SA,105%*R200)+X200+Z200,IF('Pre-Calculation'!$D$17="Type 5",0))))))))))))</f>
        <v>1165437.733</v>
      </c>
      <c r="R200" s="175">
        <f t="shared" si="5"/>
        <v>1000000</v>
      </c>
      <c r="S200" s="119">
        <f>K200*(1+GROWTH_RATE)*FMC</f>
        <v>1318.835624</v>
      </c>
      <c r="T200" s="178">
        <f>T199*(1+'Pre-Calculation'!$E$27)</f>
        <v>1133571.743</v>
      </c>
      <c r="U200" s="175">
        <f>-E200+IF(A199=INPUT!$C$11*12,O200,0)</f>
        <v>0</v>
      </c>
      <c r="V200" s="112"/>
      <c r="W200" s="112"/>
      <c r="X200" s="179">
        <f t="array" ref="X200">NPV('Pre-Calculation'!$E$20,$E201:E$246)</f>
        <v>0</v>
      </c>
      <c r="Y200" s="171">
        <f>10%*SA</f>
        <v>100000</v>
      </c>
      <c r="Z200" s="179">
        <f t="array" ref="Z200">NPV('Pre-Calculation'!$E$20,Y201:Y210)</f>
        <v>969592.8037</v>
      </c>
    </row>
    <row r="201" ht="15.75" customHeight="1">
      <c r="A201" s="171">
        <f t="shared" si="1"/>
        <v>195</v>
      </c>
      <c r="B201" s="171">
        <f t="shared" si="2"/>
        <v>17</v>
      </c>
      <c r="C201" s="176">
        <f>EDATE(RCD,A200)</f>
        <v>48456</v>
      </c>
      <c r="D201" s="171">
        <f>Age_At_Entry+Cashflows_Backtesting!B201-1</f>
        <v>51</v>
      </c>
      <c r="E201" s="175">
        <f>IF(AND(C201&lt;=Last_Prem,MOD(A200,Mode)=0),Mod_Prem,0)</f>
        <v>0</v>
      </c>
      <c r="F201" s="177">
        <f>E201*VLOOKUP(B201,'Pre-Calculation'!$H$1:$I$31,2,FALSE)</f>
        <v>0</v>
      </c>
      <c r="G201" s="177">
        <f>IF(B201&lt;PT+1,VLOOKUP(B201,'Pre-Calculation'!$H$1:$L$32,3,FALSE)+VLOOKUP(B201,'Pre-Calculation'!$H$1:$L$32,4,FALSE)*'Pre-Calculation'!$D$7,0)</f>
        <v>0</v>
      </c>
      <c r="H201" s="175">
        <f>(E201-(F201+G201)*(1+Tax)+O200)</f>
        <v>1165437.733</v>
      </c>
      <c r="I201" s="175">
        <f>IF(B201&lt;PT+1,VLOOKUP(D201,'Pre-Calculation'!$N$3:$P$79,IF(INPUT!$C$4="M",2,3),FALSE)*(J201/1000)*(1/12),0)</f>
        <v>0</v>
      </c>
      <c r="J201" s="175">
        <f>MAX(0,(SA-H201))</f>
        <v>0</v>
      </c>
      <c r="K201" s="175">
        <f>H201-I201*(1+Tax)</f>
        <v>1165437.733</v>
      </c>
      <c r="L201" s="187">
        <f>VLOOKUP(C201,'NAVs_Till 29 Jun 2021'!$A$3:$J$2236,MATCH('Pre-Calculation'!$C$34,'NAVs_Till 29 Jun 2021'!$A$1:$J$1,0))</f>
        <v>20.7486</v>
      </c>
      <c r="M201" s="187">
        <f>IFERROR(1,VLOOKUP(C201,'NAVs_Till 29 Jun 2021'!$A$3:$J$2236,MATCH(#REF!,'NAVs_Till 29 Jun 2021'!$A$1:$J$1,0)))</f>
        <v>1</v>
      </c>
      <c r="N201" s="175">
        <f>VLOOKUP('Pre-Calculation'!$C$34,INPUT!$B$20:$C$28,2,0)*K201*(L202/L201)+ IFERROR(0,VLOOKUP('Pre-Calculation'!$D$34,INPUT!$B$20:$C$28,2,0))*K201*(M202/M201)</f>
        <v>1165437.733</v>
      </c>
      <c r="O201" s="175">
        <f t="shared" si="3"/>
        <v>1165437.733</v>
      </c>
      <c r="P201" s="175">
        <f t="shared" si="4"/>
        <v>1165437.733</v>
      </c>
      <c r="Q201" s="175">
        <f>IF('Pre-Calculation'!$D$17="Type 4 a",MAX(SA,O201,1.05*R201),IF('Pre-Calculation'!$D$17="Type 4 c",O201,IF('Pre-Calculation'!$D$17="Type 4 d",SA+O201,IF('Pre-Calculation'!$D$17="Type 4 e",MAX(SA,O201),IF('Pre-Calculation'!$D$17="Type 4 f",SA,IF('Pre-Calculation'!$D$17="Type 4 g",1000+O201,IF('Pre-Calculation'!$D$17="Type 4 h",SA+S201,IF('Pre-Calculation'!$D$17="Type 4 i",MAX(O201,R201),IF('Pre-Calculation'!$D$17="Type 4 k",MAX(O201,1.01*R201),IF('Pre-Calculation'!$D$17="Type 4 m",MAX(105%*R201,SA+O201),IF('Pre-Calculation'!$D$17="Type 4 o",MAX(SA,105%*R201)+X201+Z201,IF('Pre-Calculation'!$D$17="Type 5",0))))))))))))</f>
        <v>1165437.733</v>
      </c>
      <c r="R201" s="175">
        <f t="shared" si="5"/>
        <v>1000000</v>
      </c>
      <c r="S201" s="119">
        <f>K201*(1+GROWTH_RATE)*FMC</f>
        <v>1318.835624</v>
      </c>
      <c r="T201" s="178">
        <f>T200*(1+'Pre-Calculation'!$E$27)</f>
        <v>1136826.113</v>
      </c>
      <c r="U201" s="175">
        <f>-E201+IF(A200=INPUT!$C$11*12,O201,0)</f>
        <v>0</v>
      </c>
      <c r="V201" s="112"/>
      <c r="W201" s="112"/>
      <c r="X201" s="179">
        <f t="array" ref="X201">NPV('Pre-Calculation'!$E$20,$E202:E$246)</f>
        <v>0</v>
      </c>
      <c r="Y201" s="171">
        <f>10%*SA</f>
        <v>100000</v>
      </c>
      <c r="Z201" s="179">
        <f t="array" ref="Z201">NPV('Pre-Calculation'!$E$20,Y202:Y211)</f>
        <v>969592.8037</v>
      </c>
    </row>
    <row r="202" ht="15.75" customHeight="1">
      <c r="A202" s="171">
        <f t="shared" si="1"/>
        <v>196</v>
      </c>
      <c r="B202" s="171">
        <f t="shared" si="2"/>
        <v>17</v>
      </c>
      <c r="C202" s="176">
        <f>EDATE(RCD,A201)</f>
        <v>48487</v>
      </c>
      <c r="D202" s="171">
        <f>Age_At_Entry+Cashflows_Backtesting!B202-1</f>
        <v>51</v>
      </c>
      <c r="E202" s="175">
        <f>IF(AND(C202&lt;=Last_Prem,MOD(A201,Mode)=0),Mod_Prem,0)</f>
        <v>0</v>
      </c>
      <c r="F202" s="177">
        <f>E202*VLOOKUP(B202,'Pre-Calculation'!$H$1:$I$31,2,FALSE)</f>
        <v>0</v>
      </c>
      <c r="G202" s="177">
        <f>IF(B202&lt;PT+1,VLOOKUP(B202,'Pre-Calculation'!$H$1:$L$32,3,FALSE)+VLOOKUP(B202,'Pre-Calculation'!$H$1:$L$32,4,FALSE)*'Pre-Calculation'!$D$7,0)</f>
        <v>0</v>
      </c>
      <c r="H202" s="175">
        <f>(E202-(F202+G202)*(1+Tax)+O201)</f>
        <v>1165437.733</v>
      </c>
      <c r="I202" s="175">
        <f>IF(B202&lt;PT+1,VLOOKUP(D202,'Pre-Calculation'!$N$3:$P$79,IF(INPUT!$C$4="M",2,3),FALSE)*(J202/1000)*(1/12),0)</f>
        <v>0</v>
      </c>
      <c r="J202" s="175">
        <f>MAX(0,(SA-H202))</f>
        <v>0</v>
      </c>
      <c r="K202" s="175">
        <f>H202-I202*(1+Tax)</f>
        <v>1165437.733</v>
      </c>
      <c r="L202" s="187">
        <f>VLOOKUP(C202,'NAVs_Till 29 Jun 2021'!$A$3:$J$2236,MATCH('Pre-Calculation'!$C$34,'NAVs_Till 29 Jun 2021'!$A$1:$J$1,0))</f>
        <v>20.7486</v>
      </c>
      <c r="M202" s="187">
        <f>IFERROR(1,VLOOKUP(C202,'NAVs_Till 29 Jun 2021'!$A$3:$J$2236,MATCH(#REF!,'NAVs_Till 29 Jun 2021'!$A$1:$J$1,0)))</f>
        <v>1</v>
      </c>
      <c r="N202" s="175">
        <f>VLOOKUP('Pre-Calculation'!$C$34,INPUT!$B$20:$C$28,2,0)*K202*(L203/L202)+ IFERROR(0,VLOOKUP('Pre-Calculation'!$D$34,INPUT!$B$20:$C$28,2,0))*K202*(M203/M202)</f>
        <v>1165437.733</v>
      </c>
      <c r="O202" s="175">
        <f t="shared" si="3"/>
        <v>1165437.733</v>
      </c>
      <c r="P202" s="175">
        <f t="shared" si="4"/>
        <v>1165437.733</v>
      </c>
      <c r="Q202" s="175">
        <f>IF('Pre-Calculation'!$D$17="Type 4 a",MAX(SA,O202,1.05*R202),IF('Pre-Calculation'!$D$17="Type 4 c",O202,IF('Pre-Calculation'!$D$17="Type 4 d",SA+O202,IF('Pre-Calculation'!$D$17="Type 4 e",MAX(SA,O202),IF('Pre-Calculation'!$D$17="Type 4 f",SA,IF('Pre-Calculation'!$D$17="Type 4 g",1000+O202,IF('Pre-Calculation'!$D$17="Type 4 h",SA+S202,IF('Pre-Calculation'!$D$17="Type 4 i",MAX(O202,R202),IF('Pre-Calculation'!$D$17="Type 4 k",MAX(O202,1.01*R202),IF('Pre-Calculation'!$D$17="Type 4 m",MAX(105%*R202,SA+O202),IF('Pre-Calculation'!$D$17="Type 4 o",MAX(SA,105%*R202)+X202+Z202,IF('Pre-Calculation'!$D$17="Type 5",0))))))))))))</f>
        <v>1165437.733</v>
      </c>
      <c r="R202" s="175">
        <f t="shared" si="5"/>
        <v>1000000</v>
      </c>
      <c r="S202" s="119">
        <f>K202*(1+GROWTH_RATE)*FMC</f>
        <v>1318.835624</v>
      </c>
      <c r="T202" s="178">
        <f>T201*(1+'Pre-Calculation'!$E$27)</f>
        <v>1140089.826</v>
      </c>
      <c r="U202" s="175">
        <f>-E202+IF(A201=INPUT!$C$11*12,O202,0)</f>
        <v>0</v>
      </c>
      <c r="V202" s="112"/>
      <c r="W202" s="112"/>
      <c r="X202" s="179">
        <f t="array" ref="X202">NPV('Pre-Calculation'!$E$20,$E203:E$246)</f>
        <v>0</v>
      </c>
      <c r="Y202" s="171">
        <f>10%*SA</f>
        <v>100000</v>
      </c>
      <c r="Z202" s="179">
        <f t="array" ref="Z202">NPV('Pre-Calculation'!$E$20,Y203:Y212)</f>
        <v>969592.8037</v>
      </c>
    </row>
    <row r="203" ht="15.75" customHeight="1">
      <c r="A203" s="171">
        <f t="shared" si="1"/>
        <v>197</v>
      </c>
      <c r="B203" s="171">
        <f t="shared" si="2"/>
        <v>17</v>
      </c>
      <c r="C203" s="176">
        <f>EDATE(RCD,A202)</f>
        <v>48517</v>
      </c>
      <c r="D203" s="171">
        <f>Age_At_Entry+Cashflows_Backtesting!B203-1</f>
        <v>51</v>
      </c>
      <c r="E203" s="175">
        <f>IF(AND(C203&lt;=Last_Prem,MOD(A202,Mode)=0),Mod_Prem,0)</f>
        <v>0</v>
      </c>
      <c r="F203" s="177">
        <f>E203*VLOOKUP(B203,'Pre-Calculation'!$H$1:$I$31,2,FALSE)</f>
        <v>0</v>
      </c>
      <c r="G203" s="177">
        <f>IF(B203&lt;PT+1,VLOOKUP(B203,'Pre-Calculation'!$H$1:$L$32,3,FALSE)+VLOOKUP(B203,'Pre-Calculation'!$H$1:$L$32,4,FALSE)*'Pre-Calculation'!$D$7,0)</f>
        <v>0</v>
      </c>
      <c r="H203" s="175">
        <f>(E203-(F203+G203)*(1+Tax)+O202)</f>
        <v>1165437.733</v>
      </c>
      <c r="I203" s="175">
        <f>IF(B203&lt;PT+1,VLOOKUP(D203,'Pre-Calculation'!$N$3:$P$79,IF(INPUT!$C$4="M",2,3),FALSE)*(J203/1000)*(1/12),0)</f>
        <v>0</v>
      </c>
      <c r="J203" s="175">
        <f>MAX(0,(SA-H203))</f>
        <v>0</v>
      </c>
      <c r="K203" s="175">
        <f>H203-I203*(1+Tax)</f>
        <v>1165437.733</v>
      </c>
      <c r="L203" s="187">
        <f>VLOOKUP(C203,'NAVs_Till 29 Jun 2021'!$A$3:$J$2236,MATCH('Pre-Calculation'!$C$34,'NAVs_Till 29 Jun 2021'!$A$1:$J$1,0))</f>
        <v>20.7486</v>
      </c>
      <c r="M203" s="187">
        <f>IFERROR(1,VLOOKUP(C203,'NAVs_Till 29 Jun 2021'!$A$3:$J$2236,MATCH(#REF!,'NAVs_Till 29 Jun 2021'!$A$1:$J$1,0)))</f>
        <v>1</v>
      </c>
      <c r="N203" s="175">
        <f>VLOOKUP('Pre-Calculation'!$C$34,INPUT!$B$20:$C$28,2,0)*K203*(L204/L203)+ IFERROR(0,VLOOKUP('Pre-Calculation'!$D$34,INPUT!$B$20:$C$28,2,0))*K203*(M204/M203)</f>
        <v>1165437.733</v>
      </c>
      <c r="O203" s="175">
        <f t="shared" si="3"/>
        <v>1165437.733</v>
      </c>
      <c r="P203" s="175">
        <f t="shared" si="4"/>
        <v>1165437.733</v>
      </c>
      <c r="Q203" s="175">
        <f>IF('Pre-Calculation'!$D$17="Type 4 a",MAX(SA,O203,1.05*R203),IF('Pre-Calculation'!$D$17="Type 4 c",O203,IF('Pre-Calculation'!$D$17="Type 4 d",SA+O203,IF('Pre-Calculation'!$D$17="Type 4 e",MAX(SA,O203),IF('Pre-Calculation'!$D$17="Type 4 f",SA,IF('Pre-Calculation'!$D$17="Type 4 g",1000+O203,IF('Pre-Calculation'!$D$17="Type 4 h",SA+S203,IF('Pre-Calculation'!$D$17="Type 4 i",MAX(O203,R203),IF('Pre-Calculation'!$D$17="Type 4 k",MAX(O203,1.01*R203),IF('Pre-Calculation'!$D$17="Type 4 m",MAX(105%*R203,SA+O203),IF('Pre-Calculation'!$D$17="Type 4 o",MAX(SA,105%*R203)+X203+Z203,IF('Pre-Calculation'!$D$17="Type 5",0))))))))))))</f>
        <v>1165437.733</v>
      </c>
      <c r="R203" s="175">
        <f t="shared" si="5"/>
        <v>1000000</v>
      </c>
      <c r="S203" s="119">
        <f>K203*(1+GROWTH_RATE)*FMC</f>
        <v>1318.835624</v>
      </c>
      <c r="T203" s="178">
        <f>T202*(1+'Pre-Calculation'!$E$27)</f>
        <v>1143362.908</v>
      </c>
      <c r="U203" s="175">
        <f>-E203+IF(A202=INPUT!$C$11*12,O203,0)</f>
        <v>0</v>
      </c>
      <c r="V203" s="112"/>
      <c r="W203" s="112"/>
      <c r="X203" s="179">
        <f t="array" ref="X203">NPV('Pre-Calculation'!$E$20,$E204:E$246)</f>
        <v>0</v>
      </c>
      <c r="Y203" s="171">
        <f>10%*SA</f>
        <v>100000</v>
      </c>
      <c r="Z203" s="179">
        <f t="array" ref="Z203">NPV('Pre-Calculation'!$E$20,Y204:Y213)</f>
        <v>969592.8037</v>
      </c>
    </row>
    <row r="204" ht="15.75" customHeight="1">
      <c r="A204" s="171">
        <f t="shared" si="1"/>
        <v>198</v>
      </c>
      <c r="B204" s="171">
        <f t="shared" si="2"/>
        <v>17</v>
      </c>
      <c r="C204" s="176">
        <f>EDATE(RCD,A203)</f>
        <v>48548</v>
      </c>
      <c r="D204" s="171">
        <f>Age_At_Entry+Cashflows_Backtesting!B204-1</f>
        <v>51</v>
      </c>
      <c r="E204" s="175">
        <f>IF(AND(C204&lt;=Last_Prem,MOD(A203,Mode)=0),Mod_Prem,0)</f>
        <v>0</v>
      </c>
      <c r="F204" s="177">
        <f>E204*VLOOKUP(B204,'Pre-Calculation'!$H$1:$I$31,2,FALSE)</f>
        <v>0</v>
      </c>
      <c r="G204" s="177">
        <f>IF(B204&lt;PT+1,VLOOKUP(B204,'Pre-Calculation'!$H$1:$L$32,3,FALSE)+VLOOKUP(B204,'Pre-Calculation'!$H$1:$L$32,4,FALSE)*'Pre-Calculation'!$D$7,0)</f>
        <v>0</v>
      </c>
      <c r="H204" s="175">
        <f>(E204-(F204+G204)*(1+Tax)+O203)</f>
        <v>1165437.733</v>
      </c>
      <c r="I204" s="175">
        <f>IF(B204&lt;PT+1,VLOOKUP(D204,'Pre-Calculation'!$N$3:$P$79,IF(INPUT!$C$4="M",2,3),FALSE)*(J204/1000)*(1/12),0)</f>
        <v>0</v>
      </c>
      <c r="J204" s="175">
        <f>MAX(0,(SA-H204))</f>
        <v>0</v>
      </c>
      <c r="K204" s="175">
        <f>H204-I204*(1+Tax)</f>
        <v>1165437.733</v>
      </c>
      <c r="L204" s="187">
        <f>VLOOKUP(C204,'NAVs_Till 29 Jun 2021'!$A$3:$J$2236,MATCH('Pre-Calculation'!$C$34,'NAVs_Till 29 Jun 2021'!$A$1:$J$1,0))</f>
        <v>20.7486</v>
      </c>
      <c r="M204" s="187">
        <f>IFERROR(1,VLOOKUP(C204,'NAVs_Till 29 Jun 2021'!$A$3:$J$2236,MATCH(#REF!,'NAVs_Till 29 Jun 2021'!$A$1:$J$1,0)))</f>
        <v>1</v>
      </c>
      <c r="N204" s="175">
        <f>VLOOKUP('Pre-Calculation'!$C$34,INPUT!$B$20:$C$28,2,0)*K204*(L205/L204)+ IFERROR(0,VLOOKUP('Pre-Calculation'!$D$34,INPUT!$B$20:$C$28,2,0))*K204*(M205/M204)</f>
        <v>1165437.733</v>
      </c>
      <c r="O204" s="175">
        <f t="shared" si="3"/>
        <v>1165437.733</v>
      </c>
      <c r="P204" s="175">
        <f t="shared" si="4"/>
        <v>1165437.733</v>
      </c>
      <c r="Q204" s="175">
        <f>IF('Pre-Calculation'!$D$17="Type 4 a",MAX(SA,O204,1.05*R204),IF('Pre-Calculation'!$D$17="Type 4 c",O204,IF('Pre-Calculation'!$D$17="Type 4 d",SA+O204,IF('Pre-Calculation'!$D$17="Type 4 e",MAX(SA,O204),IF('Pre-Calculation'!$D$17="Type 4 f",SA,IF('Pre-Calculation'!$D$17="Type 4 g",1000+O204,IF('Pre-Calculation'!$D$17="Type 4 h",SA+S204,IF('Pre-Calculation'!$D$17="Type 4 i",MAX(O204,R204),IF('Pre-Calculation'!$D$17="Type 4 k",MAX(O204,1.01*R204),IF('Pre-Calculation'!$D$17="Type 4 m",MAX(105%*R204,SA+O204),IF('Pre-Calculation'!$D$17="Type 4 o",MAX(SA,105%*R204)+X204+Z204,IF('Pre-Calculation'!$D$17="Type 5",0))))))))))))</f>
        <v>1165437.733</v>
      </c>
      <c r="R204" s="175">
        <f t="shared" si="5"/>
        <v>1000000</v>
      </c>
      <c r="S204" s="119">
        <f>K204*(1+GROWTH_RATE)*FMC</f>
        <v>1318.835624</v>
      </c>
      <c r="T204" s="178">
        <f>T203*(1+'Pre-Calculation'!$E$27)</f>
        <v>1146645.387</v>
      </c>
      <c r="U204" s="175">
        <f>-E204+IF(A203=INPUT!$C$11*12,O204,0)</f>
        <v>0</v>
      </c>
      <c r="V204" s="112"/>
      <c r="W204" s="112"/>
      <c r="X204" s="179">
        <f t="array" ref="X204">NPV('Pre-Calculation'!$E$20,$E205:E$246)</f>
        <v>0</v>
      </c>
      <c r="Y204" s="171">
        <f>10%*SA</f>
        <v>100000</v>
      </c>
      <c r="Z204" s="179">
        <f t="array" ref="Z204">NPV('Pre-Calculation'!$E$20,Y205:Y214)</f>
        <v>969592.8037</v>
      </c>
    </row>
    <row r="205" ht="15.75" customHeight="1">
      <c r="A205" s="171">
        <f t="shared" si="1"/>
        <v>199</v>
      </c>
      <c r="B205" s="171">
        <f t="shared" si="2"/>
        <v>17</v>
      </c>
      <c r="C205" s="176">
        <f>EDATE(RCD,A204)</f>
        <v>48578</v>
      </c>
      <c r="D205" s="171">
        <f>Age_At_Entry+Cashflows_Backtesting!B205-1</f>
        <v>51</v>
      </c>
      <c r="E205" s="175">
        <f>IF(AND(C205&lt;=Last_Prem,MOD(A204,Mode)=0),Mod_Prem,0)</f>
        <v>0</v>
      </c>
      <c r="F205" s="177">
        <f>E205*VLOOKUP(B205,'Pre-Calculation'!$H$1:$I$31,2,FALSE)</f>
        <v>0</v>
      </c>
      <c r="G205" s="177">
        <f>IF(B205&lt;PT+1,VLOOKUP(B205,'Pre-Calculation'!$H$1:$L$32,3,FALSE)+VLOOKUP(B205,'Pre-Calculation'!$H$1:$L$32,4,FALSE)*'Pre-Calculation'!$D$7,0)</f>
        <v>0</v>
      </c>
      <c r="H205" s="175">
        <f>(E205-(F205+G205)*(1+Tax)+O204)</f>
        <v>1165437.733</v>
      </c>
      <c r="I205" s="175">
        <f>IF(B205&lt;PT+1,VLOOKUP(D205,'Pre-Calculation'!$N$3:$P$79,IF(INPUT!$C$4="M",2,3),FALSE)*(J205/1000)*(1/12),0)</f>
        <v>0</v>
      </c>
      <c r="J205" s="175">
        <f>MAX(0,(SA-H205))</f>
        <v>0</v>
      </c>
      <c r="K205" s="175">
        <f>H205-I205*(1+Tax)</f>
        <v>1165437.733</v>
      </c>
      <c r="L205" s="187">
        <f>VLOOKUP(C205,'NAVs_Till 29 Jun 2021'!$A$3:$J$2236,MATCH('Pre-Calculation'!$C$34,'NAVs_Till 29 Jun 2021'!$A$1:$J$1,0))</f>
        <v>20.7486</v>
      </c>
      <c r="M205" s="187">
        <f>IFERROR(1,VLOOKUP(C205,'NAVs_Till 29 Jun 2021'!$A$3:$J$2236,MATCH(#REF!,'NAVs_Till 29 Jun 2021'!$A$1:$J$1,0)))</f>
        <v>1</v>
      </c>
      <c r="N205" s="175">
        <f>VLOOKUP('Pre-Calculation'!$C$34,INPUT!$B$20:$C$28,2,0)*K205*(L206/L205)+ IFERROR(0,VLOOKUP('Pre-Calculation'!$D$34,INPUT!$B$20:$C$28,2,0))*K205*(M206/M205)</f>
        <v>1165437.733</v>
      </c>
      <c r="O205" s="175">
        <f t="shared" si="3"/>
        <v>1165437.733</v>
      </c>
      <c r="P205" s="175">
        <f t="shared" si="4"/>
        <v>1165437.733</v>
      </c>
      <c r="Q205" s="175">
        <f>IF('Pre-Calculation'!$D$17="Type 4 a",MAX(SA,O205,1.05*R205),IF('Pre-Calculation'!$D$17="Type 4 c",O205,IF('Pre-Calculation'!$D$17="Type 4 d",SA+O205,IF('Pre-Calculation'!$D$17="Type 4 e",MAX(SA,O205),IF('Pre-Calculation'!$D$17="Type 4 f",SA,IF('Pre-Calculation'!$D$17="Type 4 g",1000+O205,IF('Pre-Calculation'!$D$17="Type 4 h",SA+S205,IF('Pre-Calculation'!$D$17="Type 4 i",MAX(O205,R205),IF('Pre-Calculation'!$D$17="Type 4 k",MAX(O205,1.01*R205),IF('Pre-Calculation'!$D$17="Type 4 m",MAX(105%*R205,SA+O205),IF('Pre-Calculation'!$D$17="Type 4 o",MAX(SA,105%*R205)+X205+Z205,IF('Pre-Calculation'!$D$17="Type 5",0))))))))))))</f>
        <v>1165437.733</v>
      </c>
      <c r="R205" s="175">
        <f t="shared" si="5"/>
        <v>1000000</v>
      </c>
      <c r="S205" s="119">
        <f>K205*(1+GROWTH_RATE)*FMC</f>
        <v>1318.835624</v>
      </c>
      <c r="T205" s="178">
        <f>T204*(1+'Pre-Calculation'!$E$27)</f>
        <v>1149937.29</v>
      </c>
      <c r="U205" s="175">
        <f>-E205+IF(A204=INPUT!$C$11*12,O205,0)</f>
        <v>0</v>
      </c>
      <c r="V205" s="112"/>
      <c r="W205" s="112"/>
      <c r="X205" s="179">
        <f t="array" ref="X205">NPV('Pre-Calculation'!$E$20,$E206:E$246)</f>
        <v>0</v>
      </c>
      <c r="Y205" s="171">
        <f>10%*SA</f>
        <v>100000</v>
      </c>
      <c r="Z205" s="179">
        <f t="array" ref="Z205">NPV('Pre-Calculation'!$E$20,Y206:Y215)</f>
        <v>969592.8037</v>
      </c>
    </row>
    <row r="206" ht="15.75" customHeight="1">
      <c r="A206" s="171">
        <f t="shared" si="1"/>
        <v>200</v>
      </c>
      <c r="B206" s="171">
        <f t="shared" si="2"/>
        <v>17</v>
      </c>
      <c r="C206" s="176">
        <f>EDATE(RCD,A205)</f>
        <v>48609</v>
      </c>
      <c r="D206" s="171">
        <f>Age_At_Entry+Cashflows_Backtesting!B206-1</f>
        <v>51</v>
      </c>
      <c r="E206" s="175">
        <f>IF(AND(C206&lt;=Last_Prem,MOD(A205,Mode)=0),Mod_Prem,0)</f>
        <v>0</v>
      </c>
      <c r="F206" s="177">
        <f>E206*VLOOKUP(B206,'Pre-Calculation'!$H$1:$I$31,2,FALSE)</f>
        <v>0</v>
      </c>
      <c r="G206" s="177">
        <f>IF(B206&lt;PT+1,VLOOKUP(B206,'Pre-Calculation'!$H$1:$L$32,3,FALSE)+VLOOKUP(B206,'Pre-Calculation'!$H$1:$L$32,4,FALSE)*'Pre-Calculation'!$D$7,0)</f>
        <v>0</v>
      </c>
      <c r="H206" s="175">
        <f>(E206-(F206+G206)*(1+Tax)+O205)</f>
        <v>1165437.733</v>
      </c>
      <c r="I206" s="175">
        <f>IF(B206&lt;PT+1,VLOOKUP(D206,'Pre-Calculation'!$N$3:$P$79,IF(INPUT!$C$4="M",2,3),FALSE)*(J206/1000)*(1/12),0)</f>
        <v>0</v>
      </c>
      <c r="J206" s="175">
        <f>MAX(0,(SA-H206))</f>
        <v>0</v>
      </c>
      <c r="K206" s="175">
        <f>H206-I206*(1+Tax)</f>
        <v>1165437.733</v>
      </c>
      <c r="L206" s="187">
        <f>VLOOKUP(C206,'NAVs_Till 29 Jun 2021'!$A$3:$J$2236,MATCH('Pre-Calculation'!$C$34,'NAVs_Till 29 Jun 2021'!$A$1:$J$1,0))</f>
        <v>20.7486</v>
      </c>
      <c r="M206" s="187">
        <f>IFERROR(1,VLOOKUP(C206,'NAVs_Till 29 Jun 2021'!$A$3:$J$2236,MATCH(#REF!,'NAVs_Till 29 Jun 2021'!$A$1:$J$1,0)))</f>
        <v>1</v>
      </c>
      <c r="N206" s="175">
        <f>VLOOKUP('Pre-Calculation'!$C$34,INPUT!$B$20:$C$28,2,0)*K206*(L207/L206)+ IFERROR(0,VLOOKUP('Pre-Calculation'!$D$34,INPUT!$B$20:$C$28,2,0))*K206*(M207/M206)</f>
        <v>1165437.733</v>
      </c>
      <c r="O206" s="175">
        <f t="shared" si="3"/>
        <v>1165437.733</v>
      </c>
      <c r="P206" s="175">
        <f t="shared" si="4"/>
        <v>1165437.733</v>
      </c>
      <c r="Q206" s="175">
        <f>IF('Pre-Calculation'!$D$17="Type 4 a",MAX(SA,O206,1.05*R206),IF('Pre-Calculation'!$D$17="Type 4 c",O206,IF('Pre-Calculation'!$D$17="Type 4 d",SA+O206,IF('Pre-Calculation'!$D$17="Type 4 e",MAX(SA,O206),IF('Pre-Calculation'!$D$17="Type 4 f",SA,IF('Pre-Calculation'!$D$17="Type 4 g",1000+O206,IF('Pre-Calculation'!$D$17="Type 4 h",SA+S206,IF('Pre-Calculation'!$D$17="Type 4 i",MAX(O206,R206),IF('Pre-Calculation'!$D$17="Type 4 k",MAX(O206,1.01*R206),IF('Pre-Calculation'!$D$17="Type 4 m",MAX(105%*R206,SA+O206),IF('Pre-Calculation'!$D$17="Type 4 o",MAX(SA,105%*R206)+X206+Z206,IF('Pre-Calculation'!$D$17="Type 5",0))))))))))))</f>
        <v>1165437.733</v>
      </c>
      <c r="R206" s="175">
        <f t="shared" si="5"/>
        <v>1000000</v>
      </c>
      <c r="S206" s="119">
        <f>K206*(1+GROWTH_RATE)*FMC</f>
        <v>1318.835624</v>
      </c>
      <c r="T206" s="178">
        <f>T205*(1+'Pre-Calculation'!$E$27)</f>
        <v>1153238.643</v>
      </c>
      <c r="U206" s="175">
        <f>-E206+IF(A205=INPUT!$C$11*12,O206,0)</f>
        <v>0</v>
      </c>
      <c r="V206" s="112"/>
      <c r="W206" s="112"/>
      <c r="X206" s="179">
        <f t="array" ref="X206">NPV('Pre-Calculation'!$E$20,$E207:E$246)</f>
        <v>0</v>
      </c>
      <c r="Y206" s="171">
        <f>10%*SA</f>
        <v>100000</v>
      </c>
      <c r="Z206" s="179">
        <f t="array" ref="Z206">NPV('Pre-Calculation'!$E$20,Y207:Y216)</f>
        <v>969592.8037</v>
      </c>
    </row>
    <row r="207" ht="15.75" customHeight="1">
      <c r="A207" s="171">
        <f t="shared" si="1"/>
        <v>201</v>
      </c>
      <c r="B207" s="171">
        <f t="shared" si="2"/>
        <v>17</v>
      </c>
      <c r="C207" s="176">
        <f>EDATE(RCD,A206)</f>
        <v>48638</v>
      </c>
      <c r="D207" s="171">
        <f>Age_At_Entry+Cashflows_Backtesting!B207-1</f>
        <v>51</v>
      </c>
      <c r="E207" s="175">
        <f>IF(AND(C207&lt;=Last_Prem,MOD(A206,Mode)=0),Mod_Prem,0)</f>
        <v>0</v>
      </c>
      <c r="F207" s="177">
        <f>E207*VLOOKUP(B207,'Pre-Calculation'!$H$1:$I$31,2,FALSE)</f>
        <v>0</v>
      </c>
      <c r="G207" s="177">
        <f>IF(B207&lt;PT+1,VLOOKUP(B207,'Pre-Calculation'!$H$1:$L$32,3,FALSE)+VLOOKUP(B207,'Pre-Calculation'!$H$1:$L$32,4,FALSE)*'Pre-Calculation'!$D$7,0)</f>
        <v>0</v>
      </c>
      <c r="H207" s="175">
        <f>(E207-(F207+G207)*(1+Tax)+O206)</f>
        <v>1165437.733</v>
      </c>
      <c r="I207" s="175">
        <f>IF(B207&lt;PT+1,VLOOKUP(D207,'Pre-Calculation'!$N$3:$P$79,IF(INPUT!$C$4="M",2,3),FALSE)*(J207/1000)*(1/12),0)</f>
        <v>0</v>
      </c>
      <c r="J207" s="175">
        <f>MAX(0,(SA-H207))</f>
        <v>0</v>
      </c>
      <c r="K207" s="175">
        <f>H207-I207*(1+Tax)</f>
        <v>1165437.733</v>
      </c>
      <c r="L207" s="187">
        <f>VLOOKUP(C207,'NAVs_Till 29 Jun 2021'!$A$3:$J$2236,MATCH('Pre-Calculation'!$C$34,'NAVs_Till 29 Jun 2021'!$A$1:$J$1,0))</f>
        <v>20.7486</v>
      </c>
      <c r="M207" s="187">
        <f>IFERROR(1,VLOOKUP(C207,'NAVs_Till 29 Jun 2021'!$A$3:$J$2236,MATCH(#REF!,'NAVs_Till 29 Jun 2021'!$A$1:$J$1,0)))</f>
        <v>1</v>
      </c>
      <c r="N207" s="175">
        <f>VLOOKUP('Pre-Calculation'!$C$34,INPUT!$B$20:$C$28,2,0)*K207*(L208/L207)+ IFERROR(0,VLOOKUP('Pre-Calculation'!$D$34,INPUT!$B$20:$C$28,2,0))*K207*(M208/M207)</f>
        <v>1165437.733</v>
      </c>
      <c r="O207" s="175">
        <f t="shared" si="3"/>
        <v>1165437.733</v>
      </c>
      <c r="P207" s="175">
        <f t="shared" si="4"/>
        <v>1165437.733</v>
      </c>
      <c r="Q207" s="175">
        <f>IF('Pre-Calculation'!$D$17="Type 4 a",MAX(SA,O207,1.05*R207),IF('Pre-Calculation'!$D$17="Type 4 c",O207,IF('Pre-Calculation'!$D$17="Type 4 d",SA+O207,IF('Pre-Calculation'!$D$17="Type 4 e",MAX(SA,O207),IF('Pre-Calculation'!$D$17="Type 4 f",SA,IF('Pre-Calculation'!$D$17="Type 4 g",1000+O207,IF('Pre-Calculation'!$D$17="Type 4 h",SA+S207,IF('Pre-Calculation'!$D$17="Type 4 i",MAX(O207,R207),IF('Pre-Calculation'!$D$17="Type 4 k",MAX(O207,1.01*R207),IF('Pre-Calculation'!$D$17="Type 4 m",MAX(105%*R207,SA+O207),IF('Pre-Calculation'!$D$17="Type 4 o",MAX(SA,105%*R207)+X207+Z207,IF('Pre-Calculation'!$D$17="Type 5",0))))))))))))</f>
        <v>1165437.733</v>
      </c>
      <c r="R207" s="175">
        <f t="shared" si="5"/>
        <v>1000000</v>
      </c>
      <c r="S207" s="119">
        <f>K207*(1+GROWTH_RATE)*FMC</f>
        <v>1318.835624</v>
      </c>
      <c r="T207" s="178">
        <f>T206*(1+'Pre-Calculation'!$E$27)</f>
        <v>1156549.475</v>
      </c>
      <c r="U207" s="175">
        <f>-E207+IF(A206=INPUT!$C$11*12,O207,0)</f>
        <v>0</v>
      </c>
      <c r="V207" s="112"/>
      <c r="W207" s="112"/>
      <c r="X207" s="179">
        <f t="array" ref="X207">NPV('Pre-Calculation'!$E$20,$E208:E$246)</f>
        <v>0</v>
      </c>
      <c r="Y207" s="171">
        <f>10%*SA</f>
        <v>100000</v>
      </c>
      <c r="Z207" s="179">
        <f t="array" ref="Z207">NPV('Pre-Calculation'!$E$20,Y208:Y217)</f>
        <v>969592.8037</v>
      </c>
    </row>
    <row r="208" ht="15.75" customHeight="1">
      <c r="A208" s="171">
        <f t="shared" si="1"/>
        <v>202</v>
      </c>
      <c r="B208" s="171">
        <f t="shared" si="2"/>
        <v>17</v>
      </c>
      <c r="C208" s="176">
        <f>EDATE(RCD,A207)</f>
        <v>48668</v>
      </c>
      <c r="D208" s="171">
        <f>Age_At_Entry+Cashflows_Backtesting!B208-1</f>
        <v>51</v>
      </c>
      <c r="E208" s="175">
        <f>IF(AND(C208&lt;=Last_Prem,MOD(A207,Mode)=0),Mod_Prem,0)</f>
        <v>0</v>
      </c>
      <c r="F208" s="177">
        <f>E208*VLOOKUP(B208,'Pre-Calculation'!$H$1:$I$31,2,FALSE)</f>
        <v>0</v>
      </c>
      <c r="G208" s="177">
        <f>IF(B208&lt;PT+1,VLOOKUP(B208,'Pre-Calculation'!$H$1:$L$32,3,FALSE)+VLOOKUP(B208,'Pre-Calculation'!$H$1:$L$32,4,FALSE)*'Pre-Calculation'!$D$7,0)</f>
        <v>0</v>
      </c>
      <c r="H208" s="175">
        <f>(E208-(F208+G208)*(1+Tax)+O207)</f>
        <v>1165437.733</v>
      </c>
      <c r="I208" s="175">
        <f>IF(B208&lt;PT+1,VLOOKUP(D208,'Pre-Calculation'!$N$3:$P$79,IF(INPUT!$C$4="M",2,3),FALSE)*(J208/1000)*(1/12),0)</f>
        <v>0</v>
      </c>
      <c r="J208" s="175">
        <f>MAX(0,(SA-H208))</f>
        <v>0</v>
      </c>
      <c r="K208" s="175">
        <f>H208-I208*(1+Tax)</f>
        <v>1165437.733</v>
      </c>
      <c r="L208" s="187">
        <f>VLOOKUP(C208,'NAVs_Till 29 Jun 2021'!$A$3:$J$2236,MATCH('Pre-Calculation'!$C$34,'NAVs_Till 29 Jun 2021'!$A$1:$J$1,0))</f>
        <v>20.7486</v>
      </c>
      <c r="M208" s="187">
        <f>IFERROR(1,VLOOKUP(C208,'NAVs_Till 29 Jun 2021'!$A$3:$J$2236,MATCH(#REF!,'NAVs_Till 29 Jun 2021'!$A$1:$J$1,0)))</f>
        <v>1</v>
      </c>
      <c r="N208" s="175">
        <f>VLOOKUP('Pre-Calculation'!$C$34,INPUT!$B$20:$C$28,2,0)*K208*(L209/L208)+ IFERROR(0,VLOOKUP('Pre-Calculation'!$D$34,INPUT!$B$20:$C$28,2,0))*K208*(M209/M208)</f>
        <v>1165437.733</v>
      </c>
      <c r="O208" s="175">
        <f t="shared" si="3"/>
        <v>1165437.733</v>
      </c>
      <c r="P208" s="175">
        <f t="shared" si="4"/>
        <v>1165437.733</v>
      </c>
      <c r="Q208" s="175">
        <f>IF('Pre-Calculation'!$D$17="Type 4 a",MAX(SA,O208,1.05*R208),IF('Pre-Calculation'!$D$17="Type 4 c",O208,IF('Pre-Calculation'!$D$17="Type 4 d",SA+O208,IF('Pre-Calculation'!$D$17="Type 4 e",MAX(SA,O208),IF('Pre-Calculation'!$D$17="Type 4 f",SA,IF('Pre-Calculation'!$D$17="Type 4 g",1000+O208,IF('Pre-Calculation'!$D$17="Type 4 h",SA+S208,IF('Pre-Calculation'!$D$17="Type 4 i",MAX(O208,R208),IF('Pre-Calculation'!$D$17="Type 4 k",MAX(O208,1.01*R208),IF('Pre-Calculation'!$D$17="Type 4 m",MAX(105%*R208,SA+O208),IF('Pre-Calculation'!$D$17="Type 4 o",MAX(SA,105%*R208)+X208+Z208,IF('Pre-Calculation'!$D$17="Type 5",0))))))))))))</f>
        <v>1165437.733</v>
      </c>
      <c r="R208" s="175">
        <f t="shared" si="5"/>
        <v>1000000</v>
      </c>
      <c r="S208" s="119">
        <f>K208*(1+GROWTH_RATE)*FMC</f>
        <v>1318.835624</v>
      </c>
      <c r="T208" s="178">
        <f>T207*(1+'Pre-Calculation'!$E$27)</f>
        <v>1159869.811</v>
      </c>
      <c r="U208" s="175">
        <f>-E208+IF(A207=INPUT!$C$11*12,O208,0)</f>
        <v>0</v>
      </c>
      <c r="V208" s="112"/>
      <c r="W208" s="112"/>
      <c r="X208" s="179">
        <f t="array" ref="X208">NPV('Pre-Calculation'!$E$20,$E209:E$246)</f>
        <v>0</v>
      </c>
      <c r="Y208" s="171">
        <f>10%*SA</f>
        <v>100000</v>
      </c>
      <c r="Z208" s="179">
        <f t="array" ref="Z208">NPV('Pre-Calculation'!$E$20,Y209:Y218)</f>
        <v>969592.8037</v>
      </c>
    </row>
    <row r="209" ht="15.75" customHeight="1">
      <c r="A209" s="171">
        <f t="shared" si="1"/>
        <v>203</v>
      </c>
      <c r="B209" s="171">
        <f t="shared" si="2"/>
        <v>17</v>
      </c>
      <c r="C209" s="176">
        <f>EDATE(RCD,A208)</f>
        <v>48699</v>
      </c>
      <c r="D209" s="171">
        <f>Age_At_Entry+Cashflows_Backtesting!B209-1</f>
        <v>51</v>
      </c>
      <c r="E209" s="175">
        <f>IF(AND(C209&lt;=Last_Prem,MOD(A208,Mode)=0),Mod_Prem,0)</f>
        <v>0</v>
      </c>
      <c r="F209" s="177">
        <f>E209*VLOOKUP(B209,'Pre-Calculation'!$H$1:$I$31,2,FALSE)</f>
        <v>0</v>
      </c>
      <c r="G209" s="177">
        <f>IF(B209&lt;PT+1,VLOOKUP(B209,'Pre-Calculation'!$H$1:$L$32,3,FALSE)+VLOOKUP(B209,'Pre-Calculation'!$H$1:$L$32,4,FALSE)*'Pre-Calculation'!$D$7,0)</f>
        <v>0</v>
      </c>
      <c r="H209" s="175">
        <f>(E209-(F209+G209)*(1+Tax)+O208)</f>
        <v>1165437.733</v>
      </c>
      <c r="I209" s="175">
        <f>IF(B209&lt;PT+1,VLOOKUP(D209,'Pre-Calculation'!$N$3:$P$79,IF(INPUT!$C$4="M",2,3),FALSE)*(J209/1000)*(1/12),0)</f>
        <v>0</v>
      </c>
      <c r="J209" s="175">
        <f>MAX(0,(SA-H209))</f>
        <v>0</v>
      </c>
      <c r="K209" s="175">
        <f>H209-I209*(1+Tax)</f>
        <v>1165437.733</v>
      </c>
      <c r="L209" s="187">
        <f>VLOOKUP(C209,'NAVs_Till 29 Jun 2021'!$A$3:$J$2236,MATCH('Pre-Calculation'!$C$34,'NAVs_Till 29 Jun 2021'!$A$1:$J$1,0))</f>
        <v>20.7486</v>
      </c>
      <c r="M209" s="187">
        <f>IFERROR(1,VLOOKUP(C209,'NAVs_Till 29 Jun 2021'!$A$3:$J$2236,MATCH(#REF!,'NAVs_Till 29 Jun 2021'!$A$1:$J$1,0)))</f>
        <v>1</v>
      </c>
      <c r="N209" s="175">
        <f>VLOOKUP('Pre-Calculation'!$C$34,INPUT!$B$20:$C$28,2,0)*K209*(L210/L209)+ IFERROR(0,VLOOKUP('Pre-Calculation'!$D$34,INPUT!$B$20:$C$28,2,0))*K209*(M210/M209)</f>
        <v>1165437.733</v>
      </c>
      <c r="O209" s="175">
        <f t="shared" si="3"/>
        <v>1165437.733</v>
      </c>
      <c r="P209" s="175">
        <f t="shared" si="4"/>
        <v>1165437.733</v>
      </c>
      <c r="Q209" s="175">
        <f>IF('Pre-Calculation'!$D$17="Type 4 a",MAX(SA,O209,1.05*R209),IF('Pre-Calculation'!$D$17="Type 4 c",O209,IF('Pre-Calculation'!$D$17="Type 4 d",SA+O209,IF('Pre-Calculation'!$D$17="Type 4 e",MAX(SA,O209),IF('Pre-Calculation'!$D$17="Type 4 f",SA,IF('Pre-Calculation'!$D$17="Type 4 g",1000+O209,IF('Pre-Calculation'!$D$17="Type 4 h",SA+S209,IF('Pre-Calculation'!$D$17="Type 4 i",MAX(O209,R209),IF('Pre-Calculation'!$D$17="Type 4 k",MAX(O209,1.01*R209),IF('Pre-Calculation'!$D$17="Type 4 m",MAX(105%*R209,SA+O209),IF('Pre-Calculation'!$D$17="Type 4 o",MAX(SA,105%*R209)+X209+Z209,IF('Pre-Calculation'!$D$17="Type 5",0))))))))))))</f>
        <v>1165437.733</v>
      </c>
      <c r="R209" s="175">
        <f t="shared" si="5"/>
        <v>1000000</v>
      </c>
      <c r="S209" s="119">
        <f>K209*(1+GROWTH_RATE)*FMC</f>
        <v>1318.835624</v>
      </c>
      <c r="T209" s="178">
        <f>T208*(1+'Pre-Calculation'!$E$27)</f>
        <v>1163199.68</v>
      </c>
      <c r="U209" s="175">
        <f>-E209+IF(A208=INPUT!$C$11*12,O209,0)</f>
        <v>0</v>
      </c>
      <c r="V209" s="112"/>
      <c r="W209" s="112"/>
      <c r="X209" s="179">
        <f t="array" ref="X209">NPV('Pre-Calculation'!$E$20,$E210:E$246)</f>
        <v>0</v>
      </c>
      <c r="Y209" s="171">
        <f>10%*SA</f>
        <v>100000</v>
      </c>
      <c r="Z209" s="179">
        <f t="array" ref="Z209">NPV('Pre-Calculation'!$E$20,Y210:Y219)</f>
        <v>969592.8037</v>
      </c>
    </row>
    <row r="210" ht="15.75" customHeight="1">
      <c r="A210" s="171">
        <f t="shared" si="1"/>
        <v>204</v>
      </c>
      <c r="B210" s="171">
        <f t="shared" si="2"/>
        <v>17</v>
      </c>
      <c r="C210" s="176">
        <f>EDATE(RCD,A209)</f>
        <v>48729</v>
      </c>
      <c r="D210" s="171">
        <f>Age_At_Entry+Cashflows_Backtesting!B210-1</f>
        <v>51</v>
      </c>
      <c r="E210" s="175">
        <f>IF(AND(C210&lt;=Last_Prem,MOD(A209,Mode)=0),Mod_Prem,0)</f>
        <v>0</v>
      </c>
      <c r="F210" s="177">
        <f>E210*VLOOKUP(B210,'Pre-Calculation'!$H$1:$I$31,2,FALSE)</f>
        <v>0</v>
      </c>
      <c r="G210" s="177">
        <f>IF(B210&lt;PT+1,VLOOKUP(B210,'Pre-Calculation'!$H$1:$L$32,3,FALSE)+VLOOKUP(B210,'Pre-Calculation'!$H$1:$L$32,4,FALSE)*'Pre-Calculation'!$D$7,0)</f>
        <v>0</v>
      </c>
      <c r="H210" s="175">
        <f>(E210-(F210+G210)*(1+Tax)+O209)</f>
        <v>1165437.733</v>
      </c>
      <c r="I210" s="175">
        <f>IF(B210&lt;PT+1,VLOOKUP(D210,'Pre-Calculation'!$N$3:$P$79,IF(INPUT!$C$4="M",2,3),FALSE)*(J210/1000)*(1/12),0)</f>
        <v>0</v>
      </c>
      <c r="J210" s="175">
        <f>MAX(0,(SA-H210))</f>
        <v>0</v>
      </c>
      <c r="K210" s="175">
        <f>H210-I210*(1+Tax)</f>
        <v>1165437.733</v>
      </c>
      <c r="L210" s="187">
        <f>VLOOKUP(C210,'NAVs_Till 29 Jun 2021'!$A$3:$J$2236,MATCH('Pre-Calculation'!$C$34,'NAVs_Till 29 Jun 2021'!$A$1:$J$1,0))</f>
        <v>20.7486</v>
      </c>
      <c r="M210" s="187">
        <f>IFERROR(1,VLOOKUP(C210,'NAVs_Till 29 Jun 2021'!$A$3:$J$2236,MATCH(#REF!,'NAVs_Till 29 Jun 2021'!$A$1:$J$1,0)))</f>
        <v>1</v>
      </c>
      <c r="N210" s="175">
        <f>VLOOKUP('Pre-Calculation'!$C$34,INPUT!$B$20:$C$28,2,0)*K210*(L211/L210)+ IFERROR(0,VLOOKUP('Pre-Calculation'!$D$34,INPUT!$B$20:$C$28,2,0))*K210*(M211/M210)</f>
        <v>1165437.733</v>
      </c>
      <c r="O210" s="175">
        <f t="shared" si="3"/>
        <v>1165437.733</v>
      </c>
      <c r="P210" s="175">
        <f t="shared" si="4"/>
        <v>1165437.733</v>
      </c>
      <c r="Q210" s="175">
        <f>IF('Pre-Calculation'!$D$17="Type 4 a",MAX(SA,O210,1.05*R210),IF('Pre-Calculation'!$D$17="Type 4 c",O210,IF('Pre-Calculation'!$D$17="Type 4 d",SA+O210,IF('Pre-Calculation'!$D$17="Type 4 e",MAX(SA,O210),IF('Pre-Calculation'!$D$17="Type 4 f",SA,IF('Pre-Calculation'!$D$17="Type 4 g",1000+O210,IF('Pre-Calculation'!$D$17="Type 4 h",SA+S210,IF('Pre-Calculation'!$D$17="Type 4 i",MAX(O210,R210),IF('Pre-Calculation'!$D$17="Type 4 k",MAX(O210,1.01*R210),IF('Pre-Calculation'!$D$17="Type 4 m",MAX(105%*R210,SA+O210),IF('Pre-Calculation'!$D$17="Type 4 o",MAX(SA,105%*R210)+X210+Z210,IF('Pre-Calculation'!$D$17="Type 5",0))))))))))))</f>
        <v>1165437.733</v>
      </c>
      <c r="R210" s="175">
        <f t="shared" si="5"/>
        <v>1000000</v>
      </c>
      <c r="S210" s="119">
        <f>K210*(1+GROWTH_RATE)*FMC</f>
        <v>1318.835624</v>
      </c>
      <c r="T210" s="178">
        <f>T209*(1+'Pre-Calculation'!$E$27)</f>
        <v>1166539.108</v>
      </c>
      <c r="U210" s="175">
        <f>-E210+IF(A209=INPUT!$C$11*12,O210,0)</f>
        <v>0</v>
      </c>
      <c r="V210" s="112"/>
      <c r="W210" s="112"/>
      <c r="X210" s="179">
        <f t="array" ref="X210">NPV('Pre-Calculation'!$E$20,$E211:E$246)</f>
        <v>0</v>
      </c>
      <c r="Y210" s="171">
        <f>10%*SA</f>
        <v>100000</v>
      </c>
      <c r="Z210" s="179">
        <f t="array" ref="Z210">NPV('Pre-Calculation'!$E$20,Y211:Y220)</f>
        <v>969592.8037</v>
      </c>
    </row>
    <row r="211" ht="15.75" customHeight="1">
      <c r="A211" s="171">
        <f t="shared" si="1"/>
        <v>205</v>
      </c>
      <c r="B211" s="171">
        <f t="shared" si="2"/>
        <v>18</v>
      </c>
      <c r="C211" s="176">
        <f>EDATE(RCD,A210)</f>
        <v>48760</v>
      </c>
      <c r="D211" s="171">
        <f>Age_At_Entry+Cashflows_Backtesting!B211-1</f>
        <v>52</v>
      </c>
      <c r="E211" s="175">
        <f>IF(AND(C211&lt;=Last_Prem,MOD(A210,Mode)=0),Mod_Prem,0)</f>
        <v>0</v>
      </c>
      <c r="F211" s="177">
        <f>E211*VLOOKUP(B211,'Pre-Calculation'!$H$1:$I$31,2,FALSE)</f>
        <v>0</v>
      </c>
      <c r="G211" s="177">
        <f>IF(B211&lt;PT+1,VLOOKUP(B211,'Pre-Calculation'!$H$1:$L$32,3,FALSE)+VLOOKUP(B211,'Pre-Calculation'!$H$1:$L$32,4,FALSE)*'Pre-Calculation'!$D$7,0)</f>
        <v>0</v>
      </c>
      <c r="H211" s="175">
        <f>(E211-(F211+G211)*(1+Tax)+O210)</f>
        <v>1165437.733</v>
      </c>
      <c r="I211" s="175">
        <f>IF(B211&lt;PT+1,VLOOKUP(D211,'Pre-Calculation'!$N$3:$P$79,IF(INPUT!$C$4="M",2,3),FALSE)*(J211/1000)*(1/12),0)</f>
        <v>0</v>
      </c>
      <c r="J211" s="175">
        <f>MAX(0,(SA-H211))</f>
        <v>0</v>
      </c>
      <c r="K211" s="175">
        <f>H211-I211*(1+Tax)</f>
        <v>1165437.733</v>
      </c>
      <c r="L211" s="187">
        <f>VLOOKUP(C211,'NAVs_Till 29 Jun 2021'!$A$3:$J$2236,MATCH('Pre-Calculation'!$C$34,'NAVs_Till 29 Jun 2021'!$A$1:$J$1,0))</f>
        <v>20.7486</v>
      </c>
      <c r="M211" s="187">
        <f>IFERROR(1,VLOOKUP(C211,'NAVs_Till 29 Jun 2021'!$A$3:$J$2236,MATCH(#REF!,'NAVs_Till 29 Jun 2021'!$A$1:$J$1,0)))</f>
        <v>1</v>
      </c>
      <c r="N211" s="175">
        <f>VLOOKUP('Pre-Calculation'!$C$34,INPUT!$B$20:$C$28,2,0)*K211*(L212/L211)+ IFERROR(0,VLOOKUP('Pre-Calculation'!$D$34,INPUT!$B$20:$C$28,2,0))*K211*(M212/M211)</f>
        <v>1165437.733</v>
      </c>
      <c r="O211" s="175">
        <f t="shared" si="3"/>
        <v>1165437.733</v>
      </c>
      <c r="P211" s="175">
        <f t="shared" si="4"/>
        <v>1165437.733</v>
      </c>
      <c r="Q211" s="175">
        <f>IF('Pre-Calculation'!$D$17="Type 4 a",MAX(SA,O211,1.05*R211),IF('Pre-Calculation'!$D$17="Type 4 c",O211,IF('Pre-Calculation'!$D$17="Type 4 d",SA+O211,IF('Pre-Calculation'!$D$17="Type 4 e",MAX(SA,O211),IF('Pre-Calculation'!$D$17="Type 4 f",SA,IF('Pre-Calculation'!$D$17="Type 4 g",1000+O211,IF('Pre-Calculation'!$D$17="Type 4 h",SA+S211,IF('Pre-Calculation'!$D$17="Type 4 i",MAX(O211,R211),IF('Pre-Calculation'!$D$17="Type 4 k",MAX(O211,1.01*R211),IF('Pre-Calculation'!$D$17="Type 4 m",MAX(105%*R211,SA+O211),IF('Pre-Calculation'!$D$17="Type 4 o",MAX(SA,105%*R211)+X211+Z211,IF('Pre-Calculation'!$D$17="Type 5",0))))))))))))</f>
        <v>1165437.733</v>
      </c>
      <c r="R211" s="175">
        <f t="shared" si="5"/>
        <v>1000000</v>
      </c>
      <c r="S211" s="119">
        <f>K211*(1+GROWTH_RATE)*FMC</f>
        <v>1318.835624</v>
      </c>
      <c r="T211" s="178">
        <f>T210*(1+'Pre-Calculation'!$E$27)</f>
        <v>1169888.124</v>
      </c>
      <c r="U211" s="175">
        <f>-E211+IF(A210=INPUT!$C$11*12,O211,0)</f>
        <v>0</v>
      </c>
      <c r="V211" s="112"/>
      <c r="W211" s="112"/>
      <c r="X211" s="179">
        <f t="array" ref="X211">NPV('Pre-Calculation'!$E$20,$E212:E$246)</f>
        <v>0</v>
      </c>
      <c r="Y211" s="171">
        <f>10%*SA</f>
        <v>100000</v>
      </c>
      <c r="Z211" s="179">
        <f t="array" ref="Z211">NPV('Pre-Calculation'!$E$20,Y212:Y221)</f>
        <v>969592.8037</v>
      </c>
    </row>
    <row r="212" ht="15.75" customHeight="1">
      <c r="A212" s="171">
        <f t="shared" si="1"/>
        <v>206</v>
      </c>
      <c r="B212" s="171">
        <f t="shared" si="2"/>
        <v>18</v>
      </c>
      <c r="C212" s="176">
        <f>EDATE(RCD,A211)</f>
        <v>48790</v>
      </c>
      <c r="D212" s="171">
        <f>Age_At_Entry+Cashflows_Backtesting!B212-1</f>
        <v>52</v>
      </c>
      <c r="E212" s="175">
        <f>IF(AND(C212&lt;=Last_Prem,MOD(A211,Mode)=0),Mod_Prem,0)</f>
        <v>0</v>
      </c>
      <c r="F212" s="177">
        <f>E212*VLOOKUP(B212,'Pre-Calculation'!$H$1:$I$31,2,FALSE)</f>
        <v>0</v>
      </c>
      <c r="G212" s="177">
        <f>IF(B212&lt;PT+1,VLOOKUP(B212,'Pre-Calculation'!$H$1:$L$32,3,FALSE)+VLOOKUP(B212,'Pre-Calculation'!$H$1:$L$32,4,FALSE)*'Pre-Calculation'!$D$7,0)</f>
        <v>0</v>
      </c>
      <c r="H212" s="175">
        <f>(E212-(F212+G212)*(1+Tax)+O211)</f>
        <v>1165437.733</v>
      </c>
      <c r="I212" s="175">
        <f>IF(B212&lt;PT+1,VLOOKUP(D212,'Pre-Calculation'!$N$3:$P$79,IF(INPUT!$C$4="M",2,3),FALSE)*(J212/1000)*(1/12),0)</f>
        <v>0</v>
      </c>
      <c r="J212" s="175">
        <f>MAX(0,(SA-H212))</f>
        <v>0</v>
      </c>
      <c r="K212" s="175">
        <f>H212-I212*(1+Tax)</f>
        <v>1165437.733</v>
      </c>
      <c r="L212" s="187">
        <f>VLOOKUP(C212,'NAVs_Till 29 Jun 2021'!$A$3:$J$2236,MATCH('Pre-Calculation'!$C$34,'NAVs_Till 29 Jun 2021'!$A$1:$J$1,0))</f>
        <v>20.7486</v>
      </c>
      <c r="M212" s="187">
        <f>IFERROR(1,VLOOKUP(C212,'NAVs_Till 29 Jun 2021'!$A$3:$J$2236,MATCH(#REF!,'NAVs_Till 29 Jun 2021'!$A$1:$J$1,0)))</f>
        <v>1</v>
      </c>
      <c r="N212" s="175">
        <f>VLOOKUP('Pre-Calculation'!$C$34,INPUT!$B$20:$C$28,2,0)*K212*(L213/L212)+ IFERROR(0,VLOOKUP('Pre-Calculation'!$D$34,INPUT!$B$20:$C$28,2,0))*K212*(M213/M212)</f>
        <v>1165437.733</v>
      </c>
      <c r="O212" s="175">
        <f t="shared" si="3"/>
        <v>1165437.733</v>
      </c>
      <c r="P212" s="175">
        <f t="shared" si="4"/>
        <v>1165437.733</v>
      </c>
      <c r="Q212" s="175">
        <f>IF('Pre-Calculation'!$D$17="Type 4 a",MAX(SA,O212,1.05*R212),IF('Pre-Calculation'!$D$17="Type 4 c",O212,IF('Pre-Calculation'!$D$17="Type 4 d",SA+O212,IF('Pre-Calculation'!$D$17="Type 4 e",MAX(SA,O212),IF('Pre-Calculation'!$D$17="Type 4 f",SA,IF('Pre-Calculation'!$D$17="Type 4 g",1000+O212,IF('Pre-Calculation'!$D$17="Type 4 h",SA+S212,IF('Pre-Calculation'!$D$17="Type 4 i",MAX(O212,R212),IF('Pre-Calculation'!$D$17="Type 4 k",MAX(O212,1.01*R212),IF('Pre-Calculation'!$D$17="Type 4 m",MAX(105%*R212,SA+O212),IF('Pre-Calculation'!$D$17="Type 4 o",MAX(SA,105%*R212)+X212+Z212,IF('Pre-Calculation'!$D$17="Type 5",0))))))))))))</f>
        <v>1165437.733</v>
      </c>
      <c r="R212" s="175">
        <f t="shared" si="5"/>
        <v>1000000</v>
      </c>
      <c r="S212" s="119">
        <f>K212*(1+GROWTH_RATE)*FMC</f>
        <v>1318.835624</v>
      </c>
      <c r="T212" s="178">
        <f>T211*(1+'Pre-Calculation'!$E$27)</f>
        <v>1173246.754</v>
      </c>
      <c r="U212" s="175">
        <f>-E212+IF(A211=INPUT!$C$11*12,O212,0)</f>
        <v>0</v>
      </c>
      <c r="V212" s="112"/>
      <c r="W212" s="112"/>
      <c r="X212" s="179">
        <f t="array" ref="X212">NPV('Pre-Calculation'!$E$20,$E213:E$246)</f>
        <v>0</v>
      </c>
      <c r="Y212" s="171">
        <f>10%*SA</f>
        <v>100000</v>
      </c>
      <c r="Z212" s="179">
        <f t="array" ref="Z212">NPV('Pre-Calculation'!$E$20,Y213:Y222)</f>
        <v>969592.8037</v>
      </c>
    </row>
    <row r="213" ht="15.75" customHeight="1">
      <c r="A213" s="171">
        <f t="shared" si="1"/>
        <v>207</v>
      </c>
      <c r="B213" s="171">
        <f t="shared" si="2"/>
        <v>18</v>
      </c>
      <c r="C213" s="176">
        <f>EDATE(RCD,A212)</f>
        <v>48821</v>
      </c>
      <c r="D213" s="171">
        <f>Age_At_Entry+Cashflows_Backtesting!B213-1</f>
        <v>52</v>
      </c>
      <c r="E213" s="175">
        <f>IF(AND(C213&lt;=Last_Prem,MOD(A212,Mode)=0),Mod_Prem,0)</f>
        <v>0</v>
      </c>
      <c r="F213" s="177">
        <f>E213*VLOOKUP(B213,'Pre-Calculation'!$H$1:$I$31,2,FALSE)</f>
        <v>0</v>
      </c>
      <c r="G213" s="177">
        <f>IF(B213&lt;PT+1,VLOOKUP(B213,'Pre-Calculation'!$H$1:$L$32,3,FALSE)+VLOOKUP(B213,'Pre-Calculation'!$H$1:$L$32,4,FALSE)*'Pre-Calculation'!$D$7,0)</f>
        <v>0</v>
      </c>
      <c r="H213" s="175">
        <f>(E213-(F213+G213)*(1+Tax)+O212)</f>
        <v>1165437.733</v>
      </c>
      <c r="I213" s="175">
        <f>IF(B213&lt;PT+1,VLOOKUP(D213,'Pre-Calculation'!$N$3:$P$79,IF(INPUT!$C$4="M",2,3),FALSE)*(J213/1000)*(1/12),0)</f>
        <v>0</v>
      </c>
      <c r="J213" s="175">
        <f>MAX(0,(SA-H213))</f>
        <v>0</v>
      </c>
      <c r="K213" s="175">
        <f>H213-I213*(1+Tax)</f>
        <v>1165437.733</v>
      </c>
      <c r="L213" s="187">
        <f>VLOOKUP(C213,'NAVs_Till 29 Jun 2021'!$A$3:$J$2236,MATCH('Pre-Calculation'!$C$34,'NAVs_Till 29 Jun 2021'!$A$1:$J$1,0))</f>
        <v>20.7486</v>
      </c>
      <c r="M213" s="187">
        <f>IFERROR(1,VLOOKUP(C213,'NAVs_Till 29 Jun 2021'!$A$3:$J$2236,MATCH(#REF!,'NAVs_Till 29 Jun 2021'!$A$1:$J$1,0)))</f>
        <v>1</v>
      </c>
      <c r="N213" s="175">
        <f>VLOOKUP('Pre-Calculation'!$C$34,INPUT!$B$20:$C$28,2,0)*K213*(L214/L213)+ IFERROR(0,VLOOKUP('Pre-Calculation'!$D$34,INPUT!$B$20:$C$28,2,0))*K213*(M214/M213)</f>
        <v>1165437.733</v>
      </c>
      <c r="O213" s="175">
        <f t="shared" si="3"/>
        <v>1165437.733</v>
      </c>
      <c r="P213" s="175">
        <f t="shared" si="4"/>
        <v>1165437.733</v>
      </c>
      <c r="Q213" s="175">
        <f>IF('Pre-Calculation'!$D$17="Type 4 a",MAX(SA,O213,1.05*R213),IF('Pre-Calculation'!$D$17="Type 4 c",O213,IF('Pre-Calculation'!$D$17="Type 4 d",SA+O213,IF('Pre-Calculation'!$D$17="Type 4 e",MAX(SA,O213),IF('Pre-Calculation'!$D$17="Type 4 f",SA,IF('Pre-Calculation'!$D$17="Type 4 g",1000+O213,IF('Pre-Calculation'!$D$17="Type 4 h",SA+S213,IF('Pre-Calculation'!$D$17="Type 4 i",MAX(O213,R213),IF('Pre-Calculation'!$D$17="Type 4 k",MAX(O213,1.01*R213),IF('Pre-Calculation'!$D$17="Type 4 m",MAX(105%*R213,SA+O213),IF('Pre-Calculation'!$D$17="Type 4 o",MAX(SA,105%*R213)+X213+Z213,IF('Pre-Calculation'!$D$17="Type 5",0))))))))))))</f>
        <v>1165437.733</v>
      </c>
      <c r="R213" s="175">
        <f t="shared" si="5"/>
        <v>1000000</v>
      </c>
      <c r="S213" s="119">
        <f>K213*(1+GROWTH_RATE)*FMC</f>
        <v>1318.835624</v>
      </c>
      <c r="T213" s="178">
        <f>T212*(1+'Pre-Calculation'!$E$27)</f>
        <v>1176615.027</v>
      </c>
      <c r="U213" s="175">
        <f>-E213+IF(A212=INPUT!$C$11*12,O213,0)</f>
        <v>0</v>
      </c>
      <c r="V213" s="112"/>
      <c r="W213" s="112"/>
      <c r="X213" s="179">
        <f t="array" ref="X213">NPV('Pre-Calculation'!$E$20,$E214:E$246)</f>
        <v>0</v>
      </c>
      <c r="Y213" s="171">
        <f>10%*SA</f>
        <v>100000</v>
      </c>
      <c r="Z213" s="179">
        <f t="array" ref="Z213">NPV('Pre-Calculation'!$E$20,Y214:Y223)</f>
        <v>969592.8037</v>
      </c>
    </row>
    <row r="214" ht="15.75" customHeight="1">
      <c r="A214" s="171">
        <f t="shared" si="1"/>
        <v>208</v>
      </c>
      <c r="B214" s="171">
        <f t="shared" si="2"/>
        <v>18</v>
      </c>
      <c r="C214" s="176">
        <f>EDATE(RCD,A213)</f>
        <v>48852</v>
      </c>
      <c r="D214" s="171">
        <f>Age_At_Entry+Cashflows_Backtesting!B214-1</f>
        <v>52</v>
      </c>
      <c r="E214" s="175">
        <f>IF(AND(C214&lt;=Last_Prem,MOD(A213,Mode)=0),Mod_Prem,0)</f>
        <v>0</v>
      </c>
      <c r="F214" s="177">
        <f>E214*VLOOKUP(B214,'Pre-Calculation'!$H$1:$I$31,2,FALSE)</f>
        <v>0</v>
      </c>
      <c r="G214" s="177">
        <f>IF(B214&lt;PT+1,VLOOKUP(B214,'Pre-Calculation'!$H$1:$L$32,3,FALSE)+VLOOKUP(B214,'Pre-Calculation'!$H$1:$L$32,4,FALSE)*'Pre-Calculation'!$D$7,0)</f>
        <v>0</v>
      </c>
      <c r="H214" s="175">
        <f>(E214-(F214+G214)*(1+Tax)+O213)</f>
        <v>1165437.733</v>
      </c>
      <c r="I214" s="175">
        <f>IF(B214&lt;PT+1,VLOOKUP(D214,'Pre-Calculation'!$N$3:$P$79,IF(INPUT!$C$4="M",2,3),FALSE)*(J214/1000)*(1/12),0)</f>
        <v>0</v>
      </c>
      <c r="J214" s="175">
        <f>MAX(0,(SA-H214))</f>
        <v>0</v>
      </c>
      <c r="K214" s="175">
        <f>H214-I214*(1+Tax)</f>
        <v>1165437.733</v>
      </c>
      <c r="L214" s="187">
        <f>VLOOKUP(C214,'NAVs_Till 29 Jun 2021'!$A$3:$J$2236,MATCH('Pre-Calculation'!$C$34,'NAVs_Till 29 Jun 2021'!$A$1:$J$1,0))</f>
        <v>20.7486</v>
      </c>
      <c r="M214" s="187">
        <f>IFERROR(1,VLOOKUP(C214,'NAVs_Till 29 Jun 2021'!$A$3:$J$2236,MATCH(#REF!,'NAVs_Till 29 Jun 2021'!$A$1:$J$1,0)))</f>
        <v>1</v>
      </c>
      <c r="N214" s="175">
        <f>VLOOKUP('Pre-Calculation'!$C$34,INPUT!$B$20:$C$28,2,0)*K214*(L215/L214)+ IFERROR(0,VLOOKUP('Pre-Calculation'!$D$34,INPUT!$B$20:$C$28,2,0))*K214*(M215/M214)</f>
        <v>1165437.733</v>
      </c>
      <c r="O214" s="175">
        <f t="shared" si="3"/>
        <v>1165437.733</v>
      </c>
      <c r="P214" s="175">
        <f t="shared" si="4"/>
        <v>1165437.733</v>
      </c>
      <c r="Q214" s="175">
        <f>IF('Pre-Calculation'!$D$17="Type 4 a",MAX(SA,O214,1.05*R214),IF('Pre-Calculation'!$D$17="Type 4 c",O214,IF('Pre-Calculation'!$D$17="Type 4 d",SA+O214,IF('Pre-Calculation'!$D$17="Type 4 e",MAX(SA,O214),IF('Pre-Calculation'!$D$17="Type 4 f",SA,IF('Pre-Calculation'!$D$17="Type 4 g",1000+O214,IF('Pre-Calculation'!$D$17="Type 4 h",SA+S214,IF('Pre-Calculation'!$D$17="Type 4 i",MAX(O214,R214),IF('Pre-Calculation'!$D$17="Type 4 k",MAX(O214,1.01*R214),IF('Pre-Calculation'!$D$17="Type 4 m",MAX(105%*R214,SA+O214),IF('Pre-Calculation'!$D$17="Type 4 o",MAX(SA,105%*R214)+X214+Z214,IF('Pre-Calculation'!$D$17="Type 5",0))))))))))))</f>
        <v>1165437.733</v>
      </c>
      <c r="R214" s="175">
        <f t="shared" si="5"/>
        <v>1000000</v>
      </c>
      <c r="S214" s="119">
        <f>K214*(1+GROWTH_RATE)*FMC</f>
        <v>1318.835624</v>
      </c>
      <c r="T214" s="178">
        <f>T213*(1+'Pre-Calculation'!$E$27)</f>
        <v>1179992.969</v>
      </c>
      <c r="U214" s="175">
        <f>-E214+IF(A213=INPUT!$C$11*12,O214,0)</f>
        <v>0</v>
      </c>
      <c r="V214" s="112"/>
      <c r="W214" s="112"/>
      <c r="X214" s="179">
        <f t="array" ref="X214">NPV('Pre-Calculation'!$E$20,$E215:E$246)</f>
        <v>0</v>
      </c>
      <c r="Y214" s="171">
        <f>10%*SA</f>
        <v>100000</v>
      </c>
      <c r="Z214" s="179">
        <f t="array" ref="Z214">NPV('Pre-Calculation'!$E$20,Y215:Y224)</f>
        <v>969592.8037</v>
      </c>
    </row>
    <row r="215" ht="15.75" customHeight="1">
      <c r="A215" s="171">
        <f t="shared" si="1"/>
        <v>209</v>
      </c>
      <c r="B215" s="171">
        <f t="shared" si="2"/>
        <v>18</v>
      </c>
      <c r="C215" s="176">
        <f>EDATE(RCD,A214)</f>
        <v>48882</v>
      </c>
      <c r="D215" s="171">
        <f>Age_At_Entry+Cashflows_Backtesting!B215-1</f>
        <v>52</v>
      </c>
      <c r="E215" s="175">
        <f>IF(AND(C215&lt;=Last_Prem,MOD(A214,Mode)=0),Mod_Prem,0)</f>
        <v>0</v>
      </c>
      <c r="F215" s="177">
        <f>E215*VLOOKUP(B215,'Pre-Calculation'!$H$1:$I$31,2,FALSE)</f>
        <v>0</v>
      </c>
      <c r="G215" s="177">
        <f>IF(B215&lt;PT+1,VLOOKUP(B215,'Pre-Calculation'!$H$1:$L$32,3,FALSE)+VLOOKUP(B215,'Pre-Calculation'!$H$1:$L$32,4,FALSE)*'Pre-Calculation'!$D$7,0)</f>
        <v>0</v>
      </c>
      <c r="H215" s="175">
        <f>(E215-(F215+G215)*(1+Tax)+O214)</f>
        <v>1165437.733</v>
      </c>
      <c r="I215" s="175">
        <f>IF(B215&lt;PT+1,VLOOKUP(D215,'Pre-Calculation'!$N$3:$P$79,IF(INPUT!$C$4="M",2,3),FALSE)*(J215/1000)*(1/12),0)</f>
        <v>0</v>
      </c>
      <c r="J215" s="175">
        <f>MAX(0,(SA-H215))</f>
        <v>0</v>
      </c>
      <c r="K215" s="175">
        <f>H215-I215*(1+Tax)</f>
        <v>1165437.733</v>
      </c>
      <c r="L215" s="187">
        <f>VLOOKUP(C215,'NAVs_Till 29 Jun 2021'!$A$3:$J$2236,MATCH('Pre-Calculation'!$C$34,'NAVs_Till 29 Jun 2021'!$A$1:$J$1,0))</f>
        <v>20.7486</v>
      </c>
      <c r="M215" s="187">
        <f>IFERROR(1,VLOOKUP(C215,'NAVs_Till 29 Jun 2021'!$A$3:$J$2236,MATCH(#REF!,'NAVs_Till 29 Jun 2021'!$A$1:$J$1,0)))</f>
        <v>1</v>
      </c>
      <c r="N215" s="175">
        <f>VLOOKUP('Pre-Calculation'!$C$34,INPUT!$B$20:$C$28,2,0)*K215*(L216/L215)+ IFERROR(0,VLOOKUP('Pre-Calculation'!$D$34,INPUT!$B$20:$C$28,2,0))*K215*(M216/M215)</f>
        <v>1165437.733</v>
      </c>
      <c r="O215" s="175">
        <f t="shared" si="3"/>
        <v>1165437.733</v>
      </c>
      <c r="P215" s="175">
        <f t="shared" si="4"/>
        <v>1165437.733</v>
      </c>
      <c r="Q215" s="175">
        <f>IF('Pre-Calculation'!$D$17="Type 4 a",MAX(SA,O215,1.05*R215),IF('Pre-Calculation'!$D$17="Type 4 c",O215,IF('Pre-Calculation'!$D$17="Type 4 d",SA+O215,IF('Pre-Calculation'!$D$17="Type 4 e",MAX(SA,O215),IF('Pre-Calculation'!$D$17="Type 4 f",SA,IF('Pre-Calculation'!$D$17="Type 4 g",1000+O215,IF('Pre-Calculation'!$D$17="Type 4 h",SA+S215,IF('Pre-Calculation'!$D$17="Type 4 i",MAX(O215,R215),IF('Pre-Calculation'!$D$17="Type 4 k",MAX(O215,1.01*R215),IF('Pre-Calculation'!$D$17="Type 4 m",MAX(105%*R215,SA+O215),IF('Pre-Calculation'!$D$17="Type 4 o",MAX(SA,105%*R215)+X215+Z215,IF('Pre-Calculation'!$D$17="Type 5",0))))))))))))</f>
        <v>1165437.733</v>
      </c>
      <c r="R215" s="175">
        <f t="shared" si="5"/>
        <v>1000000</v>
      </c>
      <c r="S215" s="119">
        <f>K215*(1+GROWTH_RATE)*FMC</f>
        <v>1318.835624</v>
      </c>
      <c r="T215" s="178">
        <f>T214*(1+'Pre-Calculation'!$E$27)</f>
        <v>1183380.61</v>
      </c>
      <c r="U215" s="175">
        <f>-E215+IF(A214=INPUT!$C$11*12,O215,0)</f>
        <v>0</v>
      </c>
      <c r="V215" s="112"/>
      <c r="W215" s="112"/>
      <c r="X215" s="179">
        <f t="array" ref="X215">NPV('Pre-Calculation'!$E$20,$E216:E$246)</f>
        <v>0</v>
      </c>
      <c r="Y215" s="171">
        <f>10%*SA</f>
        <v>100000</v>
      </c>
      <c r="Z215" s="179">
        <f t="array" ref="Z215">NPV('Pre-Calculation'!$E$20,Y216:Y225)</f>
        <v>969592.8037</v>
      </c>
    </row>
    <row r="216" ht="15.75" customHeight="1">
      <c r="A216" s="171">
        <f t="shared" si="1"/>
        <v>210</v>
      </c>
      <c r="B216" s="171">
        <f t="shared" si="2"/>
        <v>18</v>
      </c>
      <c r="C216" s="176">
        <f>EDATE(RCD,A215)</f>
        <v>48913</v>
      </c>
      <c r="D216" s="171">
        <f>Age_At_Entry+Cashflows_Backtesting!B216-1</f>
        <v>52</v>
      </c>
      <c r="E216" s="175">
        <f>IF(AND(C216&lt;=Last_Prem,MOD(A215,Mode)=0),Mod_Prem,0)</f>
        <v>0</v>
      </c>
      <c r="F216" s="177">
        <f>E216*VLOOKUP(B216,'Pre-Calculation'!$H$1:$I$31,2,FALSE)</f>
        <v>0</v>
      </c>
      <c r="G216" s="177">
        <f>IF(B216&lt;PT+1,VLOOKUP(B216,'Pre-Calculation'!$H$1:$L$32,3,FALSE)+VLOOKUP(B216,'Pre-Calculation'!$H$1:$L$32,4,FALSE)*'Pre-Calculation'!$D$7,0)</f>
        <v>0</v>
      </c>
      <c r="H216" s="175">
        <f>(E216-(F216+G216)*(1+Tax)+O215)</f>
        <v>1165437.733</v>
      </c>
      <c r="I216" s="175">
        <f>IF(B216&lt;PT+1,VLOOKUP(D216,'Pre-Calculation'!$N$3:$P$79,IF(INPUT!$C$4="M",2,3),FALSE)*(J216/1000)*(1/12),0)</f>
        <v>0</v>
      </c>
      <c r="J216" s="175">
        <f>MAX(0,(SA-H216))</f>
        <v>0</v>
      </c>
      <c r="K216" s="175">
        <f>H216-I216*(1+Tax)</f>
        <v>1165437.733</v>
      </c>
      <c r="L216" s="187">
        <f>VLOOKUP(C216,'NAVs_Till 29 Jun 2021'!$A$3:$J$2236,MATCH('Pre-Calculation'!$C$34,'NAVs_Till 29 Jun 2021'!$A$1:$J$1,0))</f>
        <v>20.7486</v>
      </c>
      <c r="M216" s="187">
        <f>IFERROR(1,VLOOKUP(C216,'NAVs_Till 29 Jun 2021'!$A$3:$J$2236,MATCH(#REF!,'NAVs_Till 29 Jun 2021'!$A$1:$J$1,0)))</f>
        <v>1</v>
      </c>
      <c r="N216" s="175">
        <f>VLOOKUP('Pre-Calculation'!$C$34,INPUT!$B$20:$C$28,2,0)*K216*(L217/L216)+ IFERROR(0,VLOOKUP('Pre-Calculation'!$D$34,INPUT!$B$20:$C$28,2,0))*K216*(M217/M216)</f>
        <v>1165437.733</v>
      </c>
      <c r="O216" s="175">
        <f t="shared" si="3"/>
        <v>1165437.733</v>
      </c>
      <c r="P216" s="175">
        <f t="shared" si="4"/>
        <v>1165437.733</v>
      </c>
      <c r="Q216" s="175">
        <f>IF('Pre-Calculation'!$D$17="Type 4 a",MAX(SA,O216,1.05*R216),IF('Pre-Calculation'!$D$17="Type 4 c",O216,IF('Pre-Calculation'!$D$17="Type 4 d",SA+O216,IF('Pre-Calculation'!$D$17="Type 4 e",MAX(SA,O216),IF('Pre-Calculation'!$D$17="Type 4 f",SA,IF('Pre-Calculation'!$D$17="Type 4 g",1000+O216,IF('Pre-Calculation'!$D$17="Type 4 h",SA+S216,IF('Pre-Calculation'!$D$17="Type 4 i",MAX(O216,R216),IF('Pre-Calculation'!$D$17="Type 4 k",MAX(O216,1.01*R216),IF('Pre-Calculation'!$D$17="Type 4 m",MAX(105%*R216,SA+O216),IF('Pre-Calculation'!$D$17="Type 4 o",MAX(SA,105%*R216)+X216+Z216,IF('Pre-Calculation'!$D$17="Type 5",0))))))))))))</f>
        <v>1165437.733</v>
      </c>
      <c r="R216" s="175">
        <f t="shared" si="5"/>
        <v>1000000</v>
      </c>
      <c r="S216" s="119">
        <f>K216*(1+GROWTH_RATE)*FMC</f>
        <v>1318.835624</v>
      </c>
      <c r="T216" s="178">
        <f>T215*(1+'Pre-Calculation'!$E$27)</f>
        <v>1186777.976</v>
      </c>
      <c r="U216" s="175">
        <f>-E216+IF(A215=INPUT!$C$11*12,O216,0)</f>
        <v>0</v>
      </c>
      <c r="V216" s="112"/>
      <c r="W216" s="112"/>
      <c r="X216" s="179">
        <f t="array" ref="X216">NPV('Pre-Calculation'!$E$20,$E217:E$246)</f>
        <v>0</v>
      </c>
      <c r="Y216" s="171">
        <f>10%*SA</f>
        <v>100000</v>
      </c>
      <c r="Z216" s="179">
        <f t="array" ref="Z216">NPV('Pre-Calculation'!$E$20,Y217:Y226)</f>
        <v>969592.8037</v>
      </c>
    </row>
    <row r="217" ht="15.75" customHeight="1">
      <c r="A217" s="171">
        <f t="shared" si="1"/>
        <v>211</v>
      </c>
      <c r="B217" s="171">
        <f t="shared" si="2"/>
        <v>18</v>
      </c>
      <c r="C217" s="176">
        <f>EDATE(RCD,A216)</f>
        <v>48943</v>
      </c>
      <c r="D217" s="171">
        <f>Age_At_Entry+Cashflows_Backtesting!B217-1</f>
        <v>52</v>
      </c>
      <c r="E217" s="175">
        <f>IF(AND(C217&lt;=Last_Prem,MOD(A216,Mode)=0),Mod_Prem,0)</f>
        <v>0</v>
      </c>
      <c r="F217" s="177">
        <f>E217*VLOOKUP(B217,'Pre-Calculation'!$H$1:$I$31,2,FALSE)</f>
        <v>0</v>
      </c>
      <c r="G217" s="177">
        <f>IF(B217&lt;PT+1,VLOOKUP(B217,'Pre-Calculation'!$H$1:$L$32,3,FALSE)+VLOOKUP(B217,'Pre-Calculation'!$H$1:$L$32,4,FALSE)*'Pre-Calculation'!$D$7,0)</f>
        <v>0</v>
      </c>
      <c r="H217" s="175">
        <f>(E217-(F217+G217)*(1+Tax)+O216)</f>
        <v>1165437.733</v>
      </c>
      <c r="I217" s="175">
        <f>IF(B217&lt;PT+1,VLOOKUP(D217,'Pre-Calculation'!$N$3:$P$79,IF(INPUT!$C$4="M",2,3),FALSE)*(J217/1000)*(1/12),0)</f>
        <v>0</v>
      </c>
      <c r="J217" s="175">
        <f>MAX(0,(SA-H217))</f>
        <v>0</v>
      </c>
      <c r="K217" s="175">
        <f>H217-I217*(1+Tax)</f>
        <v>1165437.733</v>
      </c>
      <c r="L217" s="187">
        <f>VLOOKUP(C217,'NAVs_Till 29 Jun 2021'!$A$3:$J$2236,MATCH('Pre-Calculation'!$C$34,'NAVs_Till 29 Jun 2021'!$A$1:$J$1,0))</f>
        <v>20.7486</v>
      </c>
      <c r="M217" s="187">
        <f>IFERROR(1,VLOOKUP(C217,'NAVs_Till 29 Jun 2021'!$A$3:$J$2236,MATCH(#REF!,'NAVs_Till 29 Jun 2021'!$A$1:$J$1,0)))</f>
        <v>1</v>
      </c>
      <c r="N217" s="175">
        <f>VLOOKUP('Pre-Calculation'!$C$34,INPUT!$B$20:$C$28,2,0)*K217*(L218/L217)+ IFERROR(0,VLOOKUP('Pre-Calculation'!$D$34,INPUT!$B$20:$C$28,2,0))*K217*(M218/M217)</f>
        <v>1165437.733</v>
      </c>
      <c r="O217" s="175">
        <f t="shared" si="3"/>
        <v>1165437.733</v>
      </c>
      <c r="P217" s="175">
        <f t="shared" si="4"/>
        <v>1165437.733</v>
      </c>
      <c r="Q217" s="175">
        <f>IF('Pre-Calculation'!$D$17="Type 4 a",MAX(SA,O217,1.05*R217),IF('Pre-Calculation'!$D$17="Type 4 c",O217,IF('Pre-Calculation'!$D$17="Type 4 d",SA+O217,IF('Pre-Calculation'!$D$17="Type 4 e",MAX(SA,O217),IF('Pre-Calculation'!$D$17="Type 4 f",SA,IF('Pre-Calculation'!$D$17="Type 4 g",1000+O217,IF('Pre-Calculation'!$D$17="Type 4 h",SA+S217,IF('Pre-Calculation'!$D$17="Type 4 i",MAX(O217,R217),IF('Pre-Calculation'!$D$17="Type 4 k",MAX(O217,1.01*R217),IF('Pre-Calculation'!$D$17="Type 4 m",MAX(105%*R217,SA+O217),IF('Pre-Calculation'!$D$17="Type 4 o",MAX(SA,105%*R217)+X217+Z217,IF('Pre-Calculation'!$D$17="Type 5",0))))))))))))</f>
        <v>1165437.733</v>
      </c>
      <c r="R217" s="175">
        <f t="shared" si="5"/>
        <v>1000000</v>
      </c>
      <c r="S217" s="119">
        <f>K217*(1+GROWTH_RATE)*FMC</f>
        <v>1318.835624</v>
      </c>
      <c r="T217" s="178">
        <f>T216*(1+'Pre-Calculation'!$E$27)</f>
        <v>1190185.095</v>
      </c>
      <c r="U217" s="175">
        <f>-E217+IF(A216=INPUT!$C$11*12,O217,0)</f>
        <v>0</v>
      </c>
      <c r="V217" s="112"/>
      <c r="W217" s="112"/>
      <c r="X217" s="179">
        <f t="array" ref="X217">NPV('Pre-Calculation'!$E$20,$E218:E$246)</f>
        <v>0</v>
      </c>
      <c r="Y217" s="171">
        <f>10%*SA</f>
        <v>100000</v>
      </c>
      <c r="Z217" s="179">
        <f t="array" ref="Z217">NPV('Pre-Calculation'!$E$20,Y218:Y227)</f>
        <v>969592.8037</v>
      </c>
    </row>
    <row r="218" ht="15.75" customHeight="1">
      <c r="A218" s="171">
        <f t="shared" si="1"/>
        <v>212</v>
      </c>
      <c r="B218" s="171">
        <f t="shared" si="2"/>
        <v>18</v>
      </c>
      <c r="C218" s="176">
        <f>EDATE(RCD,A217)</f>
        <v>48974</v>
      </c>
      <c r="D218" s="171">
        <f>Age_At_Entry+Cashflows_Backtesting!B218-1</f>
        <v>52</v>
      </c>
      <c r="E218" s="175">
        <f>IF(AND(C218&lt;=Last_Prem,MOD(A217,Mode)=0),Mod_Prem,0)</f>
        <v>0</v>
      </c>
      <c r="F218" s="177">
        <f>E218*VLOOKUP(B218,'Pre-Calculation'!$H$1:$I$31,2,FALSE)</f>
        <v>0</v>
      </c>
      <c r="G218" s="177">
        <f>IF(B218&lt;PT+1,VLOOKUP(B218,'Pre-Calculation'!$H$1:$L$32,3,FALSE)+VLOOKUP(B218,'Pre-Calculation'!$H$1:$L$32,4,FALSE)*'Pre-Calculation'!$D$7,0)</f>
        <v>0</v>
      </c>
      <c r="H218" s="175">
        <f>(E218-(F218+G218)*(1+Tax)+O217)</f>
        <v>1165437.733</v>
      </c>
      <c r="I218" s="175">
        <f>IF(B218&lt;PT+1,VLOOKUP(D218,'Pre-Calculation'!$N$3:$P$79,IF(INPUT!$C$4="M",2,3),FALSE)*(J218/1000)*(1/12),0)</f>
        <v>0</v>
      </c>
      <c r="J218" s="175">
        <f>MAX(0,(SA-H218))</f>
        <v>0</v>
      </c>
      <c r="K218" s="175">
        <f>H218-I218*(1+Tax)</f>
        <v>1165437.733</v>
      </c>
      <c r="L218" s="187">
        <f>VLOOKUP(C218,'NAVs_Till 29 Jun 2021'!$A$3:$J$2236,MATCH('Pre-Calculation'!$C$34,'NAVs_Till 29 Jun 2021'!$A$1:$J$1,0))</f>
        <v>20.7486</v>
      </c>
      <c r="M218" s="187">
        <f>IFERROR(1,VLOOKUP(C218,'NAVs_Till 29 Jun 2021'!$A$3:$J$2236,MATCH(#REF!,'NAVs_Till 29 Jun 2021'!$A$1:$J$1,0)))</f>
        <v>1</v>
      </c>
      <c r="N218" s="175">
        <f>VLOOKUP('Pre-Calculation'!$C$34,INPUT!$B$20:$C$28,2,0)*K218*(L219/L218)+ IFERROR(0,VLOOKUP('Pre-Calculation'!$D$34,INPUT!$B$20:$C$28,2,0))*K218*(M219/M218)</f>
        <v>1165437.733</v>
      </c>
      <c r="O218" s="175">
        <f t="shared" si="3"/>
        <v>1165437.733</v>
      </c>
      <c r="P218" s="175">
        <f t="shared" si="4"/>
        <v>1165437.733</v>
      </c>
      <c r="Q218" s="175">
        <f>IF('Pre-Calculation'!$D$17="Type 4 a",MAX(SA,O218,1.05*R218),IF('Pre-Calculation'!$D$17="Type 4 c",O218,IF('Pre-Calculation'!$D$17="Type 4 d",SA+O218,IF('Pre-Calculation'!$D$17="Type 4 e",MAX(SA,O218),IF('Pre-Calculation'!$D$17="Type 4 f",SA,IF('Pre-Calculation'!$D$17="Type 4 g",1000+O218,IF('Pre-Calculation'!$D$17="Type 4 h",SA+S218,IF('Pre-Calculation'!$D$17="Type 4 i",MAX(O218,R218),IF('Pre-Calculation'!$D$17="Type 4 k",MAX(O218,1.01*R218),IF('Pre-Calculation'!$D$17="Type 4 m",MAX(105%*R218,SA+O218),IF('Pre-Calculation'!$D$17="Type 4 o",MAX(SA,105%*R218)+X218+Z218,IF('Pre-Calculation'!$D$17="Type 5",0))))))))))))</f>
        <v>1165437.733</v>
      </c>
      <c r="R218" s="175">
        <f t="shared" si="5"/>
        <v>1000000</v>
      </c>
      <c r="S218" s="119">
        <f>K218*(1+GROWTH_RATE)*FMC</f>
        <v>1318.835624</v>
      </c>
      <c r="T218" s="178">
        <f>T217*(1+'Pre-Calculation'!$E$27)</f>
        <v>1193601.996</v>
      </c>
      <c r="U218" s="175">
        <f>-E218+IF(A217=INPUT!$C$11*12,O218,0)</f>
        <v>0</v>
      </c>
      <c r="V218" s="112"/>
      <c r="W218" s="112"/>
      <c r="X218" s="179">
        <f t="array" ref="X218">NPV('Pre-Calculation'!$E$20,$E219:E$246)</f>
        <v>0</v>
      </c>
      <c r="Y218" s="171">
        <f>10%*SA</f>
        <v>100000</v>
      </c>
      <c r="Z218" s="179">
        <f t="array" ref="Z218">NPV('Pre-Calculation'!$E$20,Y219:Y228)</f>
        <v>969592.8037</v>
      </c>
    </row>
    <row r="219" ht="15.75" customHeight="1">
      <c r="A219" s="171">
        <f t="shared" si="1"/>
        <v>213</v>
      </c>
      <c r="B219" s="171">
        <f t="shared" si="2"/>
        <v>18</v>
      </c>
      <c r="C219" s="176">
        <f>EDATE(RCD,A218)</f>
        <v>49003</v>
      </c>
      <c r="D219" s="171">
        <f>Age_At_Entry+Cashflows_Backtesting!B219-1</f>
        <v>52</v>
      </c>
      <c r="E219" s="175">
        <f>IF(AND(C219&lt;=Last_Prem,MOD(A218,Mode)=0),Mod_Prem,0)</f>
        <v>0</v>
      </c>
      <c r="F219" s="177">
        <f>E219*VLOOKUP(B219,'Pre-Calculation'!$H$1:$I$31,2,FALSE)</f>
        <v>0</v>
      </c>
      <c r="G219" s="177">
        <f>IF(B219&lt;PT+1,VLOOKUP(B219,'Pre-Calculation'!$H$1:$L$32,3,FALSE)+VLOOKUP(B219,'Pre-Calculation'!$H$1:$L$32,4,FALSE)*'Pre-Calculation'!$D$7,0)</f>
        <v>0</v>
      </c>
      <c r="H219" s="175">
        <f>(E219-(F219+G219)*(1+Tax)+O218)</f>
        <v>1165437.733</v>
      </c>
      <c r="I219" s="175">
        <f>IF(B219&lt;PT+1,VLOOKUP(D219,'Pre-Calculation'!$N$3:$P$79,IF(INPUT!$C$4="M",2,3),FALSE)*(J219/1000)*(1/12),0)</f>
        <v>0</v>
      </c>
      <c r="J219" s="175">
        <f>MAX(0,(SA-H219))</f>
        <v>0</v>
      </c>
      <c r="K219" s="175">
        <f>H219-I219*(1+Tax)</f>
        <v>1165437.733</v>
      </c>
      <c r="L219" s="187">
        <f>VLOOKUP(C219,'NAVs_Till 29 Jun 2021'!$A$3:$J$2236,MATCH('Pre-Calculation'!$C$34,'NAVs_Till 29 Jun 2021'!$A$1:$J$1,0))</f>
        <v>20.7486</v>
      </c>
      <c r="M219" s="187">
        <f>IFERROR(1,VLOOKUP(C219,'NAVs_Till 29 Jun 2021'!$A$3:$J$2236,MATCH(#REF!,'NAVs_Till 29 Jun 2021'!$A$1:$J$1,0)))</f>
        <v>1</v>
      </c>
      <c r="N219" s="175">
        <f>VLOOKUP('Pre-Calculation'!$C$34,INPUT!$B$20:$C$28,2,0)*K219*(L220/L219)+ IFERROR(0,VLOOKUP('Pre-Calculation'!$D$34,INPUT!$B$20:$C$28,2,0))*K219*(M220/M219)</f>
        <v>1165437.733</v>
      </c>
      <c r="O219" s="175">
        <f t="shared" si="3"/>
        <v>1165437.733</v>
      </c>
      <c r="P219" s="175">
        <f t="shared" si="4"/>
        <v>1165437.733</v>
      </c>
      <c r="Q219" s="175">
        <f>IF('Pre-Calculation'!$D$17="Type 4 a",MAX(SA,O219,1.05*R219),IF('Pre-Calculation'!$D$17="Type 4 c",O219,IF('Pre-Calculation'!$D$17="Type 4 d",SA+O219,IF('Pre-Calculation'!$D$17="Type 4 e",MAX(SA,O219),IF('Pre-Calculation'!$D$17="Type 4 f",SA,IF('Pre-Calculation'!$D$17="Type 4 g",1000+O219,IF('Pre-Calculation'!$D$17="Type 4 h",SA+S219,IF('Pre-Calculation'!$D$17="Type 4 i",MAX(O219,R219),IF('Pre-Calculation'!$D$17="Type 4 k",MAX(O219,1.01*R219),IF('Pre-Calculation'!$D$17="Type 4 m",MAX(105%*R219,SA+O219),IF('Pre-Calculation'!$D$17="Type 4 o",MAX(SA,105%*R219)+X219+Z219,IF('Pre-Calculation'!$D$17="Type 5",0))))))))))))</f>
        <v>1165437.733</v>
      </c>
      <c r="R219" s="175">
        <f t="shared" si="5"/>
        <v>1000000</v>
      </c>
      <c r="S219" s="119">
        <f>K219*(1+GROWTH_RATE)*FMC</f>
        <v>1318.835624</v>
      </c>
      <c r="T219" s="178">
        <f>T218*(1+'Pre-Calculation'!$E$27)</f>
        <v>1197028.706</v>
      </c>
      <c r="U219" s="175">
        <f>-E219+IF(A218=INPUT!$C$11*12,O219,0)</f>
        <v>0</v>
      </c>
      <c r="V219" s="112"/>
      <c r="W219" s="112"/>
      <c r="X219" s="179">
        <f t="array" ref="X219">NPV('Pre-Calculation'!$E$20,$E220:E$246)</f>
        <v>0</v>
      </c>
      <c r="Y219" s="171">
        <f>10%*SA</f>
        <v>100000</v>
      </c>
      <c r="Z219" s="179">
        <f t="array" ref="Z219">NPV('Pre-Calculation'!$E$20,Y220:Y229)</f>
        <v>969592.8037</v>
      </c>
    </row>
    <row r="220" ht="15.75" customHeight="1">
      <c r="A220" s="171">
        <f t="shared" si="1"/>
        <v>214</v>
      </c>
      <c r="B220" s="171">
        <f t="shared" si="2"/>
        <v>18</v>
      </c>
      <c r="C220" s="176">
        <f>EDATE(RCD,A219)</f>
        <v>49033</v>
      </c>
      <c r="D220" s="171">
        <f>Age_At_Entry+Cashflows_Backtesting!B220-1</f>
        <v>52</v>
      </c>
      <c r="E220" s="175">
        <f>IF(AND(C220&lt;=Last_Prem,MOD(A219,Mode)=0),Mod_Prem,0)</f>
        <v>0</v>
      </c>
      <c r="F220" s="177">
        <f>E220*VLOOKUP(B220,'Pre-Calculation'!$H$1:$I$31,2,FALSE)</f>
        <v>0</v>
      </c>
      <c r="G220" s="177">
        <f>IF(B220&lt;PT+1,VLOOKUP(B220,'Pre-Calculation'!$H$1:$L$32,3,FALSE)+VLOOKUP(B220,'Pre-Calculation'!$H$1:$L$32,4,FALSE)*'Pre-Calculation'!$D$7,0)</f>
        <v>0</v>
      </c>
      <c r="H220" s="175">
        <f>(E220-(F220+G220)*(1+Tax)+O219)</f>
        <v>1165437.733</v>
      </c>
      <c r="I220" s="175">
        <f>IF(B220&lt;PT+1,VLOOKUP(D220,'Pre-Calculation'!$N$3:$P$79,IF(INPUT!$C$4="M",2,3),FALSE)*(J220/1000)*(1/12),0)</f>
        <v>0</v>
      </c>
      <c r="J220" s="175">
        <f>MAX(0,(SA-H220))</f>
        <v>0</v>
      </c>
      <c r="K220" s="175">
        <f>H220-I220*(1+Tax)</f>
        <v>1165437.733</v>
      </c>
      <c r="L220" s="187">
        <f>VLOOKUP(C220,'NAVs_Till 29 Jun 2021'!$A$3:$J$2236,MATCH('Pre-Calculation'!$C$34,'NAVs_Till 29 Jun 2021'!$A$1:$J$1,0))</f>
        <v>20.7486</v>
      </c>
      <c r="M220" s="187">
        <f>IFERROR(1,VLOOKUP(C220,'NAVs_Till 29 Jun 2021'!$A$3:$J$2236,MATCH(#REF!,'NAVs_Till 29 Jun 2021'!$A$1:$J$1,0)))</f>
        <v>1</v>
      </c>
      <c r="N220" s="175">
        <f>VLOOKUP('Pre-Calculation'!$C$34,INPUT!$B$20:$C$28,2,0)*K220*(L221/L220)+ IFERROR(0,VLOOKUP('Pre-Calculation'!$D$34,INPUT!$B$20:$C$28,2,0))*K220*(M221/M220)</f>
        <v>1165437.733</v>
      </c>
      <c r="O220" s="175">
        <f t="shared" si="3"/>
        <v>1165437.733</v>
      </c>
      <c r="P220" s="175">
        <f t="shared" si="4"/>
        <v>1165437.733</v>
      </c>
      <c r="Q220" s="175">
        <f>IF('Pre-Calculation'!$D$17="Type 4 a",MAX(SA,O220,1.05*R220),IF('Pre-Calculation'!$D$17="Type 4 c",O220,IF('Pre-Calculation'!$D$17="Type 4 d",SA+O220,IF('Pre-Calculation'!$D$17="Type 4 e",MAX(SA,O220),IF('Pre-Calculation'!$D$17="Type 4 f",SA,IF('Pre-Calculation'!$D$17="Type 4 g",1000+O220,IF('Pre-Calculation'!$D$17="Type 4 h",SA+S220,IF('Pre-Calculation'!$D$17="Type 4 i",MAX(O220,R220),IF('Pre-Calculation'!$D$17="Type 4 k",MAX(O220,1.01*R220),IF('Pre-Calculation'!$D$17="Type 4 m",MAX(105%*R220,SA+O220),IF('Pre-Calculation'!$D$17="Type 4 o",MAX(SA,105%*R220)+X220+Z220,IF('Pre-Calculation'!$D$17="Type 5",0))))))))))))</f>
        <v>1165437.733</v>
      </c>
      <c r="R220" s="175">
        <f t="shared" si="5"/>
        <v>1000000</v>
      </c>
      <c r="S220" s="119">
        <f>K220*(1+GROWTH_RATE)*FMC</f>
        <v>1318.835624</v>
      </c>
      <c r="T220" s="178">
        <f>T219*(1+'Pre-Calculation'!$E$27)</f>
        <v>1200465.254</v>
      </c>
      <c r="U220" s="175">
        <f>-E220+IF(A219=INPUT!$C$11*12,O220,0)</f>
        <v>0</v>
      </c>
      <c r="V220" s="112"/>
      <c r="W220" s="112"/>
      <c r="X220" s="179">
        <f t="array" ref="X220">NPV('Pre-Calculation'!$E$20,$E221:E$246)</f>
        <v>0</v>
      </c>
      <c r="Y220" s="171">
        <f>10%*SA</f>
        <v>100000</v>
      </c>
      <c r="Z220" s="179">
        <f t="array" ref="Z220">NPV('Pre-Calculation'!$E$20,Y221:Y230)</f>
        <v>969592.8037</v>
      </c>
    </row>
    <row r="221" ht="15.75" customHeight="1">
      <c r="A221" s="171">
        <f t="shared" si="1"/>
        <v>215</v>
      </c>
      <c r="B221" s="171">
        <f t="shared" si="2"/>
        <v>18</v>
      </c>
      <c r="C221" s="176">
        <f>EDATE(RCD,A220)</f>
        <v>49064</v>
      </c>
      <c r="D221" s="171">
        <f>Age_At_Entry+Cashflows_Backtesting!B221-1</f>
        <v>52</v>
      </c>
      <c r="E221" s="175">
        <f>IF(AND(C221&lt;=Last_Prem,MOD(A220,Mode)=0),Mod_Prem,0)</f>
        <v>0</v>
      </c>
      <c r="F221" s="177">
        <f>E221*VLOOKUP(B221,'Pre-Calculation'!$H$1:$I$31,2,FALSE)</f>
        <v>0</v>
      </c>
      <c r="G221" s="177">
        <f>IF(B221&lt;PT+1,VLOOKUP(B221,'Pre-Calculation'!$H$1:$L$32,3,FALSE)+VLOOKUP(B221,'Pre-Calculation'!$H$1:$L$32,4,FALSE)*'Pre-Calculation'!$D$7,0)</f>
        <v>0</v>
      </c>
      <c r="H221" s="175">
        <f>(E221-(F221+G221)*(1+Tax)+O220)</f>
        <v>1165437.733</v>
      </c>
      <c r="I221" s="175">
        <f>IF(B221&lt;PT+1,VLOOKUP(D221,'Pre-Calculation'!$N$3:$P$79,IF(INPUT!$C$4="M",2,3),FALSE)*(J221/1000)*(1/12),0)</f>
        <v>0</v>
      </c>
      <c r="J221" s="175">
        <f>MAX(0,(SA-H221))</f>
        <v>0</v>
      </c>
      <c r="K221" s="175">
        <f>H221-I221*(1+Tax)</f>
        <v>1165437.733</v>
      </c>
      <c r="L221" s="187">
        <f>VLOOKUP(C221,'NAVs_Till 29 Jun 2021'!$A$3:$J$2236,MATCH('Pre-Calculation'!$C$34,'NAVs_Till 29 Jun 2021'!$A$1:$J$1,0))</f>
        <v>20.7486</v>
      </c>
      <c r="M221" s="187">
        <f>IFERROR(1,VLOOKUP(C221,'NAVs_Till 29 Jun 2021'!$A$3:$J$2236,MATCH(#REF!,'NAVs_Till 29 Jun 2021'!$A$1:$J$1,0)))</f>
        <v>1</v>
      </c>
      <c r="N221" s="175">
        <f>VLOOKUP('Pre-Calculation'!$C$34,INPUT!$B$20:$C$28,2,0)*K221*(L222/L221)+ IFERROR(0,VLOOKUP('Pre-Calculation'!$D$34,INPUT!$B$20:$C$28,2,0))*K221*(M222/M221)</f>
        <v>1165437.733</v>
      </c>
      <c r="O221" s="175">
        <f t="shared" si="3"/>
        <v>1165437.733</v>
      </c>
      <c r="P221" s="175">
        <f t="shared" si="4"/>
        <v>1165437.733</v>
      </c>
      <c r="Q221" s="175">
        <f>IF('Pre-Calculation'!$D$17="Type 4 a",MAX(SA,O221,1.05*R221),IF('Pre-Calculation'!$D$17="Type 4 c",O221,IF('Pre-Calculation'!$D$17="Type 4 d",SA+O221,IF('Pre-Calculation'!$D$17="Type 4 e",MAX(SA,O221),IF('Pre-Calculation'!$D$17="Type 4 f",SA,IF('Pre-Calculation'!$D$17="Type 4 g",1000+O221,IF('Pre-Calculation'!$D$17="Type 4 h",SA+S221,IF('Pre-Calculation'!$D$17="Type 4 i",MAX(O221,R221),IF('Pre-Calculation'!$D$17="Type 4 k",MAX(O221,1.01*R221),IF('Pre-Calculation'!$D$17="Type 4 m",MAX(105%*R221,SA+O221),IF('Pre-Calculation'!$D$17="Type 4 o",MAX(SA,105%*R221)+X221+Z221,IF('Pre-Calculation'!$D$17="Type 5",0))))))))))))</f>
        <v>1165437.733</v>
      </c>
      <c r="R221" s="175">
        <f t="shared" si="5"/>
        <v>1000000</v>
      </c>
      <c r="S221" s="119">
        <f>K221*(1+GROWTH_RATE)*FMC</f>
        <v>1318.835624</v>
      </c>
      <c r="T221" s="178">
        <f>T220*(1+'Pre-Calculation'!$E$27)</f>
        <v>1203911.669</v>
      </c>
      <c r="U221" s="175">
        <f>-E221+IF(A220=INPUT!$C$11*12,O221,0)</f>
        <v>0</v>
      </c>
      <c r="V221" s="112"/>
      <c r="W221" s="112"/>
      <c r="X221" s="179">
        <f t="array" ref="X221">NPV('Pre-Calculation'!$E$20,$E222:E$246)</f>
        <v>0</v>
      </c>
      <c r="Y221" s="171">
        <f>10%*SA</f>
        <v>100000</v>
      </c>
      <c r="Z221" s="179">
        <f t="array" ref="Z221">NPV('Pre-Calculation'!$E$20,Y222:Y231)</f>
        <v>969592.8037</v>
      </c>
    </row>
    <row r="222" ht="15.75" customHeight="1">
      <c r="A222" s="171">
        <f t="shared" si="1"/>
        <v>216</v>
      </c>
      <c r="B222" s="171">
        <f t="shared" si="2"/>
        <v>18</v>
      </c>
      <c r="C222" s="176">
        <f>EDATE(RCD,A221)</f>
        <v>49094</v>
      </c>
      <c r="D222" s="171">
        <f>Age_At_Entry+Cashflows_Backtesting!B222-1</f>
        <v>52</v>
      </c>
      <c r="E222" s="175">
        <f>IF(AND(C222&lt;=Last_Prem,MOD(A221,Mode)=0),Mod_Prem,0)</f>
        <v>0</v>
      </c>
      <c r="F222" s="177">
        <f>E222*VLOOKUP(B222,'Pre-Calculation'!$H$1:$I$31,2,FALSE)</f>
        <v>0</v>
      </c>
      <c r="G222" s="177">
        <f>IF(B222&lt;PT+1,VLOOKUP(B222,'Pre-Calculation'!$H$1:$L$32,3,FALSE)+VLOOKUP(B222,'Pre-Calculation'!$H$1:$L$32,4,FALSE)*'Pre-Calculation'!$D$7,0)</f>
        <v>0</v>
      </c>
      <c r="H222" s="175">
        <f>(E222-(F222+G222)*(1+Tax)+O221)</f>
        <v>1165437.733</v>
      </c>
      <c r="I222" s="175">
        <f>IF(B222&lt;PT+1,VLOOKUP(D222,'Pre-Calculation'!$N$3:$P$79,IF(INPUT!$C$4="M",2,3),FALSE)*(J222/1000)*(1/12),0)</f>
        <v>0</v>
      </c>
      <c r="J222" s="175">
        <f>MAX(0,(SA-H222))</f>
        <v>0</v>
      </c>
      <c r="K222" s="175">
        <f>H222-I222*(1+Tax)</f>
        <v>1165437.733</v>
      </c>
      <c r="L222" s="187">
        <f>VLOOKUP(C222,'NAVs_Till 29 Jun 2021'!$A$3:$J$2236,MATCH('Pre-Calculation'!$C$34,'NAVs_Till 29 Jun 2021'!$A$1:$J$1,0))</f>
        <v>20.7486</v>
      </c>
      <c r="M222" s="187">
        <f>IFERROR(1,VLOOKUP(C222,'NAVs_Till 29 Jun 2021'!$A$3:$J$2236,MATCH(#REF!,'NAVs_Till 29 Jun 2021'!$A$1:$J$1,0)))</f>
        <v>1</v>
      </c>
      <c r="N222" s="175">
        <f>VLOOKUP('Pre-Calculation'!$C$34,INPUT!$B$20:$C$28,2,0)*K222*(L223/L222)+ IFERROR(0,VLOOKUP('Pre-Calculation'!$D$34,INPUT!$B$20:$C$28,2,0))*K222*(M223/M222)</f>
        <v>1165437.733</v>
      </c>
      <c r="O222" s="175">
        <f t="shared" si="3"/>
        <v>1165437.733</v>
      </c>
      <c r="P222" s="175">
        <f t="shared" si="4"/>
        <v>1165437.733</v>
      </c>
      <c r="Q222" s="175">
        <f>IF('Pre-Calculation'!$D$17="Type 4 a",MAX(SA,O222,1.05*R222),IF('Pre-Calculation'!$D$17="Type 4 c",O222,IF('Pre-Calculation'!$D$17="Type 4 d",SA+O222,IF('Pre-Calculation'!$D$17="Type 4 e",MAX(SA,O222),IF('Pre-Calculation'!$D$17="Type 4 f",SA,IF('Pre-Calculation'!$D$17="Type 4 g",1000+O222,IF('Pre-Calculation'!$D$17="Type 4 h",SA+S222,IF('Pre-Calculation'!$D$17="Type 4 i",MAX(O222,R222),IF('Pre-Calculation'!$D$17="Type 4 k",MAX(O222,1.01*R222),IF('Pre-Calculation'!$D$17="Type 4 m",MAX(105%*R222,SA+O222),IF('Pre-Calculation'!$D$17="Type 4 o",MAX(SA,105%*R222)+X222+Z222,IF('Pre-Calculation'!$D$17="Type 5",0))))))))))))</f>
        <v>1165437.733</v>
      </c>
      <c r="R222" s="175">
        <f t="shared" si="5"/>
        <v>1000000</v>
      </c>
      <c r="S222" s="119">
        <f>K222*(1+GROWTH_RATE)*FMC</f>
        <v>1318.835624</v>
      </c>
      <c r="T222" s="178">
        <f>T221*(1+'Pre-Calculation'!$E$27)</f>
        <v>1207367.977</v>
      </c>
      <c r="U222" s="175">
        <f>-E222+IF(A221=INPUT!$C$11*12,O222,0)</f>
        <v>0</v>
      </c>
      <c r="V222" s="112"/>
      <c r="W222" s="112"/>
      <c r="X222" s="179">
        <f t="array" ref="X222">NPV('Pre-Calculation'!$E$20,$E223:E$246)</f>
        <v>0</v>
      </c>
      <c r="Y222" s="171">
        <f>10%*SA</f>
        <v>100000</v>
      </c>
      <c r="Z222" s="179">
        <f t="array" ref="Z222">NPV('Pre-Calculation'!$E$20,Y223:Y232)</f>
        <v>969592.8037</v>
      </c>
    </row>
    <row r="223" ht="15.75" customHeight="1">
      <c r="A223" s="171">
        <f t="shared" si="1"/>
        <v>217</v>
      </c>
      <c r="B223" s="171">
        <f t="shared" si="2"/>
        <v>19</v>
      </c>
      <c r="C223" s="176">
        <f>EDATE(RCD,A222)</f>
        <v>49125</v>
      </c>
      <c r="D223" s="171">
        <f>Age_At_Entry+Cashflows_Backtesting!B223-1</f>
        <v>53</v>
      </c>
      <c r="E223" s="175">
        <f>IF(AND(C223&lt;=Last_Prem,MOD(A222,Mode)=0),Mod_Prem,0)</f>
        <v>0</v>
      </c>
      <c r="F223" s="177">
        <f>E223*VLOOKUP(B223,'Pre-Calculation'!$H$1:$I$31,2,FALSE)</f>
        <v>0</v>
      </c>
      <c r="G223" s="177">
        <f>IF(B223&lt;PT+1,VLOOKUP(B223,'Pre-Calculation'!$H$1:$L$32,3,FALSE)+VLOOKUP(B223,'Pre-Calculation'!$H$1:$L$32,4,FALSE)*'Pre-Calculation'!$D$7,0)</f>
        <v>0</v>
      </c>
      <c r="H223" s="175">
        <f>(E223-(F223+G223)*(1+Tax)+O222)</f>
        <v>1165437.733</v>
      </c>
      <c r="I223" s="175">
        <f>IF(B223&lt;PT+1,VLOOKUP(D223,'Pre-Calculation'!$N$3:$P$79,IF(INPUT!$C$4="M",2,3),FALSE)*(J223/1000)*(1/12),0)</f>
        <v>0</v>
      </c>
      <c r="J223" s="175">
        <f>MAX(0,(SA-H223))</f>
        <v>0</v>
      </c>
      <c r="K223" s="175">
        <f>H223-I223*(1+Tax)</f>
        <v>1165437.733</v>
      </c>
      <c r="L223" s="187">
        <f>VLOOKUP(C223,'NAVs_Till 29 Jun 2021'!$A$3:$J$2236,MATCH('Pre-Calculation'!$C$34,'NAVs_Till 29 Jun 2021'!$A$1:$J$1,0))</f>
        <v>20.7486</v>
      </c>
      <c r="M223" s="187">
        <f>IFERROR(1,VLOOKUP(C223,'NAVs_Till 29 Jun 2021'!$A$3:$J$2236,MATCH(#REF!,'NAVs_Till 29 Jun 2021'!$A$1:$J$1,0)))</f>
        <v>1</v>
      </c>
      <c r="N223" s="175">
        <f>VLOOKUP('Pre-Calculation'!$C$34,INPUT!$B$20:$C$28,2,0)*K223*(L224/L223)+ IFERROR(0,VLOOKUP('Pre-Calculation'!$D$34,INPUT!$B$20:$C$28,2,0))*K223*(M224/M223)</f>
        <v>1165437.733</v>
      </c>
      <c r="O223" s="175">
        <f t="shared" si="3"/>
        <v>1165437.733</v>
      </c>
      <c r="P223" s="175">
        <f t="shared" si="4"/>
        <v>1165437.733</v>
      </c>
      <c r="Q223" s="175">
        <f>IF('Pre-Calculation'!$D$17="Type 4 a",MAX(SA,O223,1.05*R223),IF('Pre-Calculation'!$D$17="Type 4 c",O223,IF('Pre-Calculation'!$D$17="Type 4 d",SA+O223,IF('Pre-Calculation'!$D$17="Type 4 e",MAX(SA,O223),IF('Pre-Calculation'!$D$17="Type 4 f",SA,IF('Pre-Calculation'!$D$17="Type 4 g",1000+O223,IF('Pre-Calculation'!$D$17="Type 4 h",SA+S223,IF('Pre-Calculation'!$D$17="Type 4 i",MAX(O223,R223),IF('Pre-Calculation'!$D$17="Type 4 k",MAX(O223,1.01*R223),IF('Pre-Calculation'!$D$17="Type 4 m",MAX(105%*R223,SA+O223),IF('Pre-Calculation'!$D$17="Type 4 o",MAX(SA,105%*R223)+X223+Z223,IF('Pre-Calculation'!$D$17="Type 5",0))))))))))))</f>
        <v>1165437.733</v>
      </c>
      <c r="R223" s="175">
        <f t="shared" si="5"/>
        <v>1000000</v>
      </c>
      <c r="S223" s="119">
        <f>K223*(1+GROWTH_RATE)*FMC</f>
        <v>1318.835624</v>
      </c>
      <c r="T223" s="178">
        <f>T222*(1+'Pre-Calculation'!$E$27)</f>
        <v>1210834.208</v>
      </c>
      <c r="U223" s="175">
        <f>-E223+IF(A222=INPUT!$C$11*12,O223,0)</f>
        <v>0</v>
      </c>
      <c r="V223" s="112"/>
      <c r="W223" s="112"/>
      <c r="X223" s="179">
        <f t="array" ref="X223">NPV('Pre-Calculation'!$E$20,$E224:E$246)</f>
        <v>0</v>
      </c>
      <c r="Y223" s="171">
        <f>10%*SA</f>
        <v>100000</v>
      </c>
      <c r="Z223" s="179">
        <f t="array" ref="Z223">NPV('Pre-Calculation'!$E$20,Y224:Y233)</f>
        <v>969592.8037</v>
      </c>
    </row>
    <row r="224" ht="15.75" customHeight="1">
      <c r="A224" s="171">
        <f t="shared" si="1"/>
        <v>218</v>
      </c>
      <c r="B224" s="171">
        <f t="shared" si="2"/>
        <v>19</v>
      </c>
      <c r="C224" s="176">
        <f>EDATE(RCD,A223)</f>
        <v>49155</v>
      </c>
      <c r="D224" s="171">
        <f>Age_At_Entry+Cashflows_Backtesting!B224-1</f>
        <v>53</v>
      </c>
      <c r="E224" s="175">
        <f>IF(AND(C224&lt;=Last_Prem,MOD(A223,Mode)=0),Mod_Prem,0)</f>
        <v>0</v>
      </c>
      <c r="F224" s="177">
        <f>E224*VLOOKUP(B224,'Pre-Calculation'!$H$1:$I$31,2,FALSE)</f>
        <v>0</v>
      </c>
      <c r="G224" s="177">
        <f>IF(B224&lt;PT+1,VLOOKUP(B224,'Pre-Calculation'!$H$1:$L$32,3,FALSE)+VLOOKUP(B224,'Pre-Calculation'!$H$1:$L$32,4,FALSE)*'Pre-Calculation'!$D$7,0)</f>
        <v>0</v>
      </c>
      <c r="H224" s="175">
        <f>(E224-(F224+G224)*(1+Tax)+O223)</f>
        <v>1165437.733</v>
      </c>
      <c r="I224" s="175">
        <f>IF(B224&lt;PT+1,VLOOKUP(D224,'Pre-Calculation'!$N$3:$P$79,IF(INPUT!$C$4="M",2,3),FALSE)*(J224/1000)*(1/12),0)</f>
        <v>0</v>
      </c>
      <c r="J224" s="175">
        <f>MAX(0,(SA-H224))</f>
        <v>0</v>
      </c>
      <c r="K224" s="175">
        <f>H224-I224*(1+Tax)</f>
        <v>1165437.733</v>
      </c>
      <c r="L224" s="187">
        <f>VLOOKUP(C224,'NAVs_Till 29 Jun 2021'!$A$3:$J$2236,MATCH('Pre-Calculation'!$C$34,'NAVs_Till 29 Jun 2021'!$A$1:$J$1,0))</f>
        <v>20.7486</v>
      </c>
      <c r="M224" s="187">
        <f>IFERROR(1,VLOOKUP(C224,'NAVs_Till 29 Jun 2021'!$A$3:$J$2236,MATCH(#REF!,'NAVs_Till 29 Jun 2021'!$A$1:$J$1,0)))</f>
        <v>1</v>
      </c>
      <c r="N224" s="175">
        <f>VLOOKUP('Pre-Calculation'!$C$34,INPUT!$B$20:$C$28,2,0)*K224*(L225/L224)+ IFERROR(0,VLOOKUP('Pre-Calculation'!$D$34,INPUT!$B$20:$C$28,2,0))*K224*(M225/M224)</f>
        <v>1165437.733</v>
      </c>
      <c r="O224" s="175">
        <f t="shared" si="3"/>
        <v>1165437.733</v>
      </c>
      <c r="P224" s="175">
        <f t="shared" si="4"/>
        <v>1165437.733</v>
      </c>
      <c r="Q224" s="175">
        <f>IF('Pre-Calculation'!$D$17="Type 4 a",MAX(SA,O224,1.05*R224),IF('Pre-Calculation'!$D$17="Type 4 c",O224,IF('Pre-Calculation'!$D$17="Type 4 d",SA+O224,IF('Pre-Calculation'!$D$17="Type 4 e",MAX(SA,O224),IF('Pre-Calculation'!$D$17="Type 4 f",SA,IF('Pre-Calculation'!$D$17="Type 4 g",1000+O224,IF('Pre-Calculation'!$D$17="Type 4 h",SA+S224,IF('Pre-Calculation'!$D$17="Type 4 i",MAX(O224,R224),IF('Pre-Calculation'!$D$17="Type 4 k",MAX(O224,1.01*R224),IF('Pre-Calculation'!$D$17="Type 4 m",MAX(105%*R224,SA+O224),IF('Pre-Calculation'!$D$17="Type 4 o",MAX(SA,105%*R224)+X224+Z224,IF('Pre-Calculation'!$D$17="Type 5",0))))))))))))</f>
        <v>1165437.733</v>
      </c>
      <c r="R224" s="175">
        <f t="shared" si="5"/>
        <v>1000000</v>
      </c>
      <c r="S224" s="119">
        <f>K224*(1+GROWTH_RATE)*FMC</f>
        <v>1318.835624</v>
      </c>
      <c r="T224" s="178">
        <f>T223*(1+'Pre-Calculation'!$E$27)</f>
        <v>1214310.391</v>
      </c>
      <c r="U224" s="175">
        <f>-E224+IF(A223=INPUT!$C$11*12,O224,0)</f>
        <v>0</v>
      </c>
      <c r="V224" s="112"/>
      <c r="W224" s="112"/>
      <c r="X224" s="179">
        <f t="array" ref="X224">NPV('Pre-Calculation'!$E$20,$E225:E$246)</f>
        <v>0</v>
      </c>
      <c r="Y224" s="171">
        <f>10%*SA</f>
        <v>100000</v>
      </c>
      <c r="Z224" s="179">
        <f t="array" ref="Z224">NPV('Pre-Calculation'!$E$20,Y225:Y234)</f>
        <v>969592.8037</v>
      </c>
    </row>
    <row r="225" ht="15.75" customHeight="1">
      <c r="A225" s="171">
        <f t="shared" si="1"/>
        <v>219</v>
      </c>
      <c r="B225" s="171">
        <f t="shared" si="2"/>
        <v>19</v>
      </c>
      <c r="C225" s="176">
        <f>EDATE(RCD,A224)</f>
        <v>49186</v>
      </c>
      <c r="D225" s="171">
        <f>Age_At_Entry+Cashflows_Backtesting!B225-1</f>
        <v>53</v>
      </c>
      <c r="E225" s="175">
        <f>IF(AND(C225&lt;=Last_Prem,MOD(A224,Mode)=0),Mod_Prem,0)</f>
        <v>0</v>
      </c>
      <c r="F225" s="177">
        <f>E225*VLOOKUP(B225,'Pre-Calculation'!$H$1:$I$31,2,FALSE)</f>
        <v>0</v>
      </c>
      <c r="G225" s="177">
        <f>IF(B225&lt;PT+1,VLOOKUP(B225,'Pre-Calculation'!$H$1:$L$32,3,FALSE)+VLOOKUP(B225,'Pre-Calculation'!$H$1:$L$32,4,FALSE)*'Pre-Calculation'!$D$7,0)</f>
        <v>0</v>
      </c>
      <c r="H225" s="175">
        <f>(E225-(F225+G225)*(1+Tax)+O224)</f>
        <v>1165437.733</v>
      </c>
      <c r="I225" s="175">
        <f>IF(B225&lt;PT+1,VLOOKUP(D225,'Pre-Calculation'!$N$3:$P$79,IF(INPUT!$C$4="M",2,3),FALSE)*(J225/1000)*(1/12),0)</f>
        <v>0</v>
      </c>
      <c r="J225" s="175">
        <f>MAX(0,(SA-H225))</f>
        <v>0</v>
      </c>
      <c r="K225" s="175">
        <f>H225-I225*(1+Tax)</f>
        <v>1165437.733</v>
      </c>
      <c r="L225" s="187">
        <f>VLOOKUP(C225,'NAVs_Till 29 Jun 2021'!$A$3:$J$2236,MATCH('Pre-Calculation'!$C$34,'NAVs_Till 29 Jun 2021'!$A$1:$J$1,0))</f>
        <v>20.7486</v>
      </c>
      <c r="M225" s="187">
        <f>IFERROR(1,VLOOKUP(C225,'NAVs_Till 29 Jun 2021'!$A$3:$J$2236,MATCH(#REF!,'NAVs_Till 29 Jun 2021'!$A$1:$J$1,0)))</f>
        <v>1</v>
      </c>
      <c r="N225" s="175">
        <f>VLOOKUP('Pre-Calculation'!$C$34,INPUT!$B$20:$C$28,2,0)*K225*(L226/L225)+ IFERROR(0,VLOOKUP('Pre-Calculation'!$D$34,INPUT!$B$20:$C$28,2,0))*K225*(M226/M225)</f>
        <v>1165437.733</v>
      </c>
      <c r="O225" s="175">
        <f t="shared" si="3"/>
        <v>1165437.733</v>
      </c>
      <c r="P225" s="175">
        <f t="shared" si="4"/>
        <v>1165437.733</v>
      </c>
      <c r="Q225" s="175">
        <f>IF('Pre-Calculation'!$D$17="Type 4 a",MAX(SA,O225,1.05*R225),IF('Pre-Calculation'!$D$17="Type 4 c",O225,IF('Pre-Calculation'!$D$17="Type 4 d",SA+O225,IF('Pre-Calculation'!$D$17="Type 4 e",MAX(SA,O225),IF('Pre-Calculation'!$D$17="Type 4 f",SA,IF('Pre-Calculation'!$D$17="Type 4 g",1000+O225,IF('Pre-Calculation'!$D$17="Type 4 h",SA+S225,IF('Pre-Calculation'!$D$17="Type 4 i",MAX(O225,R225),IF('Pre-Calculation'!$D$17="Type 4 k",MAX(O225,1.01*R225),IF('Pre-Calculation'!$D$17="Type 4 m",MAX(105%*R225,SA+O225),IF('Pre-Calculation'!$D$17="Type 4 o",MAX(SA,105%*R225)+X225+Z225,IF('Pre-Calculation'!$D$17="Type 5",0))))))))))))</f>
        <v>1165437.733</v>
      </c>
      <c r="R225" s="175">
        <f t="shared" si="5"/>
        <v>1000000</v>
      </c>
      <c r="S225" s="119">
        <f>K225*(1+GROWTH_RATE)*FMC</f>
        <v>1318.835624</v>
      </c>
      <c r="T225" s="178">
        <f>T224*(1+'Pre-Calculation'!$E$27)</f>
        <v>1217796.553</v>
      </c>
      <c r="U225" s="175">
        <f>-E225+IF(A224=INPUT!$C$11*12,O225,0)</f>
        <v>0</v>
      </c>
      <c r="V225" s="112"/>
      <c r="W225" s="112"/>
      <c r="X225" s="179">
        <f t="array" ref="X225">NPV('Pre-Calculation'!$E$20,$E226:E$246)</f>
        <v>0</v>
      </c>
      <c r="Y225" s="171">
        <f>10%*SA</f>
        <v>100000</v>
      </c>
      <c r="Z225" s="179">
        <f t="array" ref="Z225">NPV('Pre-Calculation'!$E$20,Y226:Y235)</f>
        <v>969592.8037</v>
      </c>
    </row>
    <row r="226" ht="15.75" customHeight="1">
      <c r="A226" s="171">
        <f t="shared" si="1"/>
        <v>220</v>
      </c>
      <c r="B226" s="171">
        <f t="shared" si="2"/>
        <v>19</v>
      </c>
      <c r="C226" s="176">
        <f>EDATE(RCD,A225)</f>
        <v>49217</v>
      </c>
      <c r="D226" s="171">
        <f>Age_At_Entry+Cashflows_Backtesting!B226-1</f>
        <v>53</v>
      </c>
      <c r="E226" s="175">
        <f>IF(AND(C226&lt;=Last_Prem,MOD(A225,Mode)=0),Mod_Prem,0)</f>
        <v>0</v>
      </c>
      <c r="F226" s="177">
        <f>E226*VLOOKUP(B226,'Pre-Calculation'!$H$1:$I$31,2,FALSE)</f>
        <v>0</v>
      </c>
      <c r="G226" s="177">
        <f>IF(B226&lt;PT+1,VLOOKUP(B226,'Pre-Calculation'!$H$1:$L$32,3,FALSE)+VLOOKUP(B226,'Pre-Calculation'!$H$1:$L$32,4,FALSE)*'Pre-Calculation'!$D$7,0)</f>
        <v>0</v>
      </c>
      <c r="H226" s="175">
        <f>(E226-(F226+G226)*(1+Tax)+O225)</f>
        <v>1165437.733</v>
      </c>
      <c r="I226" s="175">
        <f>IF(B226&lt;PT+1,VLOOKUP(D226,'Pre-Calculation'!$N$3:$P$79,IF(INPUT!$C$4="M",2,3),FALSE)*(J226/1000)*(1/12),0)</f>
        <v>0</v>
      </c>
      <c r="J226" s="175">
        <f>MAX(0,(SA-H226))</f>
        <v>0</v>
      </c>
      <c r="K226" s="175">
        <f>H226-I226*(1+Tax)</f>
        <v>1165437.733</v>
      </c>
      <c r="L226" s="187">
        <f>VLOOKUP(C226,'NAVs_Till 29 Jun 2021'!$A$3:$J$2236,MATCH('Pre-Calculation'!$C$34,'NAVs_Till 29 Jun 2021'!$A$1:$J$1,0))</f>
        <v>20.7486</v>
      </c>
      <c r="M226" s="187">
        <f>IFERROR(1,VLOOKUP(C226,'NAVs_Till 29 Jun 2021'!$A$3:$J$2236,MATCH(#REF!,'NAVs_Till 29 Jun 2021'!$A$1:$J$1,0)))</f>
        <v>1</v>
      </c>
      <c r="N226" s="175">
        <f>VLOOKUP('Pre-Calculation'!$C$34,INPUT!$B$20:$C$28,2,0)*K226*(L227/L226)+ IFERROR(0,VLOOKUP('Pre-Calculation'!$D$34,INPUT!$B$20:$C$28,2,0))*K226*(M227/M226)</f>
        <v>1165437.733</v>
      </c>
      <c r="O226" s="175">
        <f t="shared" si="3"/>
        <v>1165437.733</v>
      </c>
      <c r="P226" s="175">
        <f t="shared" si="4"/>
        <v>1165437.733</v>
      </c>
      <c r="Q226" s="175">
        <f>IF('Pre-Calculation'!$D$17="Type 4 a",MAX(SA,O226,1.05*R226),IF('Pre-Calculation'!$D$17="Type 4 c",O226,IF('Pre-Calculation'!$D$17="Type 4 d",SA+O226,IF('Pre-Calculation'!$D$17="Type 4 e",MAX(SA,O226),IF('Pre-Calculation'!$D$17="Type 4 f",SA,IF('Pre-Calculation'!$D$17="Type 4 g",1000+O226,IF('Pre-Calculation'!$D$17="Type 4 h",SA+S226,IF('Pre-Calculation'!$D$17="Type 4 i",MAX(O226,R226),IF('Pre-Calculation'!$D$17="Type 4 k",MAX(O226,1.01*R226),IF('Pre-Calculation'!$D$17="Type 4 m",MAX(105%*R226,SA+O226),IF('Pre-Calculation'!$D$17="Type 4 o",MAX(SA,105%*R226)+X226+Z226,IF('Pre-Calculation'!$D$17="Type 5",0))))))))))))</f>
        <v>1165437.733</v>
      </c>
      <c r="R226" s="175">
        <f t="shared" si="5"/>
        <v>1000000</v>
      </c>
      <c r="S226" s="119">
        <f>K226*(1+GROWTH_RATE)*FMC</f>
        <v>1318.835624</v>
      </c>
      <c r="T226" s="178">
        <f>T225*(1+'Pre-Calculation'!$E$27)</f>
        <v>1221292.723</v>
      </c>
      <c r="U226" s="175">
        <f>-E226+IF(A225=INPUT!$C$11*12,O226,0)</f>
        <v>0</v>
      </c>
      <c r="V226" s="112"/>
      <c r="W226" s="112"/>
      <c r="X226" s="179">
        <f t="array" ref="X226">NPV('Pre-Calculation'!$E$20,$E227:E$246)</f>
        <v>0</v>
      </c>
      <c r="Y226" s="171">
        <f>10%*SA</f>
        <v>100000</v>
      </c>
      <c r="Z226" s="179">
        <f t="array" ref="Z226">NPV('Pre-Calculation'!$E$20,Y227:Y236)</f>
        <v>969592.8037</v>
      </c>
    </row>
    <row r="227" ht="15.75" customHeight="1">
      <c r="A227" s="171">
        <f t="shared" si="1"/>
        <v>221</v>
      </c>
      <c r="B227" s="171">
        <f t="shared" si="2"/>
        <v>19</v>
      </c>
      <c r="C227" s="176">
        <f>EDATE(RCD,A226)</f>
        <v>49247</v>
      </c>
      <c r="D227" s="171">
        <f>Age_At_Entry+Cashflows_Backtesting!B227-1</f>
        <v>53</v>
      </c>
      <c r="E227" s="175">
        <f>IF(AND(C227&lt;=Last_Prem,MOD(A226,Mode)=0),Mod_Prem,0)</f>
        <v>0</v>
      </c>
      <c r="F227" s="177">
        <f>E227*VLOOKUP(B227,'Pre-Calculation'!$H$1:$I$31,2,FALSE)</f>
        <v>0</v>
      </c>
      <c r="G227" s="177">
        <f>IF(B227&lt;PT+1,VLOOKUP(B227,'Pre-Calculation'!$H$1:$L$32,3,FALSE)+VLOOKUP(B227,'Pre-Calculation'!$H$1:$L$32,4,FALSE)*'Pre-Calculation'!$D$7,0)</f>
        <v>0</v>
      </c>
      <c r="H227" s="175">
        <f>(E227-(F227+G227)*(1+Tax)+O226)</f>
        <v>1165437.733</v>
      </c>
      <c r="I227" s="175">
        <f>IF(B227&lt;PT+1,VLOOKUP(D227,'Pre-Calculation'!$N$3:$P$79,IF(INPUT!$C$4="M",2,3),FALSE)*(J227/1000)*(1/12),0)</f>
        <v>0</v>
      </c>
      <c r="J227" s="175">
        <f>MAX(0,(SA-H227))</f>
        <v>0</v>
      </c>
      <c r="K227" s="175">
        <f>H227-I227*(1+Tax)</f>
        <v>1165437.733</v>
      </c>
      <c r="L227" s="187">
        <f>VLOOKUP(C227,'NAVs_Till 29 Jun 2021'!$A$3:$J$2236,MATCH('Pre-Calculation'!$C$34,'NAVs_Till 29 Jun 2021'!$A$1:$J$1,0))</f>
        <v>20.7486</v>
      </c>
      <c r="M227" s="187">
        <f>IFERROR(1,VLOOKUP(C227,'NAVs_Till 29 Jun 2021'!$A$3:$J$2236,MATCH(#REF!,'NAVs_Till 29 Jun 2021'!$A$1:$J$1,0)))</f>
        <v>1</v>
      </c>
      <c r="N227" s="175">
        <f>VLOOKUP('Pre-Calculation'!$C$34,INPUT!$B$20:$C$28,2,0)*K227*(L228/L227)+ IFERROR(0,VLOOKUP('Pre-Calculation'!$D$34,INPUT!$B$20:$C$28,2,0))*K227*(M228/M227)</f>
        <v>1165437.733</v>
      </c>
      <c r="O227" s="175">
        <f t="shared" si="3"/>
        <v>1165437.733</v>
      </c>
      <c r="P227" s="175">
        <f t="shared" si="4"/>
        <v>1165437.733</v>
      </c>
      <c r="Q227" s="175">
        <f>IF('Pre-Calculation'!$D$17="Type 4 a",MAX(SA,O227,1.05*R227),IF('Pre-Calculation'!$D$17="Type 4 c",O227,IF('Pre-Calculation'!$D$17="Type 4 d",SA+O227,IF('Pre-Calculation'!$D$17="Type 4 e",MAX(SA,O227),IF('Pre-Calculation'!$D$17="Type 4 f",SA,IF('Pre-Calculation'!$D$17="Type 4 g",1000+O227,IF('Pre-Calculation'!$D$17="Type 4 h",SA+S227,IF('Pre-Calculation'!$D$17="Type 4 i",MAX(O227,R227),IF('Pre-Calculation'!$D$17="Type 4 k",MAX(O227,1.01*R227),IF('Pre-Calculation'!$D$17="Type 4 m",MAX(105%*R227,SA+O227),IF('Pre-Calculation'!$D$17="Type 4 o",MAX(SA,105%*R227)+X227+Z227,IF('Pre-Calculation'!$D$17="Type 5",0))))))))))))</f>
        <v>1165437.733</v>
      </c>
      <c r="R227" s="175">
        <f t="shared" si="5"/>
        <v>1000000</v>
      </c>
      <c r="S227" s="119">
        <f>K227*(1+GROWTH_RATE)*FMC</f>
        <v>1318.835624</v>
      </c>
      <c r="T227" s="178">
        <f>T226*(1+'Pre-Calculation'!$E$27)</f>
        <v>1224798.931</v>
      </c>
      <c r="U227" s="175">
        <f>-E227+IF(A226=INPUT!$C$11*12,O227,0)</f>
        <v>0</v>
      </c>
      <c r="V227" s="112"/>
      <c r="W227" s="112"/>
      <c r="X227" s="179">
        <f t="array" ref="X227">NPV('Pre-Calculation'!$E$20,$E228:E$246)</f>
        <v>0</v>
      </c>
      <c r="Y227" s="171">
        <f>10%*SA</f>
        <v>100000</v>
      </c>
      <c r="Z227" s="179">
        <f t="array" ref="Z227">NPV('Pre-Calculation'!$E$20,Y228:Y237)</f>
        <v>969592.8037</v>
      </c>
    </row>
    <row r="228" ht="15.75" customHeight="1">
      <c r="A228" s="171">
        <f t="shared" si="1"/>
        <v>222</v>
      </c>
      <c r="B228" s="171">
        <f t="shared" si="2"/>
        <v>19</v>
      </c>
      <c r="C228" s="176">
        <f>EDATE(RCD,A227)</f>
        <v>49278</v>
      </c>
      <c r="D228" s="171">
        <f>Age_At_Entry+Cashflows_Backtesting!B228-1</f>
        <v>53</v>
      </c>
      <c r="E228" s="175">
        <f>IF(AND(C228&lt;=Last_Prem,MOD(A227,Mode)=0),Mod_Prem,0)</f>
        <v>0</v>
      </c>
      <c r="F228" s="177">
        <f>E228*VLOOKUP(B228,'Pre-Calculation'!$H$1:$I$31,2,FALSE)</f>
        <v>0</v>
      </c>
      <c r="G228" s="177">
        <f>IF(B228&lt;PT+1,VLOOKUP(B228,'Pre-Calculation'!$H$1:$L$32,3,FALSE)+VLOOKUP(B228,'Pre-Calculation'!$H$1:$L$32,4,FALSE)*'Pre-Calculation'!$D$7,0)</f>
        <v>0</v>
      </c>
      <c r="H228" s="175">
        <f>(E228-(F228+G228)*(1+Tax)+O227)</f>
        <v>1165437.733</v>
      </c>
      <c r="I228" s="175">
        <f>IF(B228&lt;PT+1,VLOOKUP(D228,'Pre-Calculation'!$N$3:$P$79,IF(INPUT!$C$4="M",2,3),FALSE)*(J228/1000)*(1/12),0)</f>
        <v>0</v>
      </c>
      <c r="J228" s="175">
        <f>MAX(0,(SA-H228))</f>
        <v>0</v>
      </c>
      <c r="K228" s="175">
        <f>H228-I228*(1+Tax)</f>
        <v>1165437.733</v>
      </c>
      <c r="L228" s="187">
        <f>VLOOKUP(C228,'NAVs_Till 29 Jun 2021'!$A$3:$J$2236,MATCH('Pre-Calculation'!$C$34,'NAVs_Till 29 Jun 2021'!$A$1:$J$1,0))</f>
        <v>20.7486</v>
      </c>
      <c r="M228" s="187">
        <f>IFERROR(1,VLOOKUP(C228,'NAVs_Till 29 Jun 2021'!$A$3:$J$2236,MATCH(#REF!,'NAVs_Till 29 Jun 2021'!$A$1:$J$1,0)))</f>
        <v>1</v>
      </c>
      <c r="N228" s="175">
        <f>VLOOKUP('Pre-Calculation'!$C$34,INPUT!$B$20:$C$28,2,0)*K228*(L229/L228)+ IFERROR(0,VLOOKUP('Pre-Calculation'!$D$34,INPUT!$B$20:$C$28,2,0))*K228*(M229/M228)</f>
        <v>1165437.733</v>
      </c>
      <c r="O228" s="175">
        <f t="shared" si="3"/>
        <v>1165437.733</v>
      </c>
      <c r="P228" s="175">
        <f t="shared" si="4"/>
        <v>1165437.733</v>
      </c>
      <c r="Q228" s="175">
        <f>IF('Pre-Calculation'!$D$17="Type 4 a",MAX(SA,O228,1.05*R228),IF('Pre-Calculation'!$D$17="Type 4 c",O228,IF('Pre-Calculation'!$D$17="Type 4 d",SA+O228,IF('Pre-Calculation'!$D$17="Type 4 e",MAX(SA,O228),IF('Pre-Calculation'!$D$17="Type 4 f",SA,IF('Pre-Calculation'!$D$17="Type 4 g",1000+O228,IF('Pre-Calculation'!$D$17="Type 4 h",SA+S228,IF('Pre-Calculation'!$D$17="Type 4 i",MAX(O228,R228),IF('Pre-Calculation'!$D$17="Type 4 k",MAX(O228,1.01*R228),IF('Pre-Calculation'!$D$17="Type 4 m",MAX(105%*R228,SA+O228),IF('Pre-Calculation'!$D$17="Type 4 o",MAX(SA,105%*R228)+X228+Z228,IF('Pre-Calculation'!$D$17="Type 5",0))))))))))))</f>
        <v>1165437.733</v>
      </c>
      <c r="R228" s="175">
        <f t="shared" si="5"/>
        <v>1000000</v>
      </c>
      <c r="S228" s="119">
        <f>K228*(1+GROWTH_RATE)*FMC</f>
        <v>1318.835624</v>
      </c>
      <c r="T228" s="178">
        <f>T227*(1+'Pre-Calculation'!$E$27)</f>
        <v>1228315.205</v>
      </c>
      <c r="U228" s="175">
        <f>-E228+IF(A227=INPUT!$C$11*12,O228,0)</f>
        <v>0</v>
      </c>
      <c r="V228" s="112"/>
      <c r="W228" s="112"/>
      <c r="X228" s="179">
        <f t="array" ref="X228">NPV('Pre-Calculation'!$E$20,$E229:E$246)</f>
        <v>0</v>
      </c>
      <c r="Y228" s="171">
        <f>10%*SA</f>
        <v>100000</v>
      </c>
      <c r="Z228" s="179">
        <f t="array" ref="Z228">NPV('Pre-Calculation'!$E$20,Y229:Y238)</f>
        <v>969592.8037</v>
      </c>
    </row>
    <row r="229" ht="15.75" customHeight="1">
      <c r="A229" s="171">
        <f t="shared" si="1"/>
        <v>223</v>
      </c>
      <c r="B229" s="171">
        <f t="shared" si="2"/>
        <v>19</v>
      </c>
      <c r="C229" s="176">
        <f>EDATE(RCD,A228)</f>
        <v>49308</v>
      </c>
      <c r="D229" s="171">
        <f>Age_At_Entry+Cashflows_Backtesting!B229-1</f>
        <v>53</v>
      </c>
      <c r="E229" s="175">
        <f>IF(AND(C229&lt;=Last_Prem,MOD(A228,Mode)=0),Mod_Prem,0)</f>
        <v>0</v>
      </c>
      <c r="F229" s="177">
        <f>E229*VLOOKUP(B229,'Pre-Calculation'!$H$1:$I$31,2,FALSE)</f>
        <v>0</v>
      </c>
      <c r="G229" s="177">
        <f>IF(B229&lt;PT+1,VLOOKUP(B229,'Pre-Calculation'!$H$1:$L$32,3,FALSE)+VLOOKUP(B229,'Pre-Calculation'!$H$1:$L$32,4,FALSE)*'Pre-Calculation'!$D$7,0)</f>
        <v>0</v>
      </c>
      <c r="H229" s="175">
        <f>(E229-(F229+G229)*(1+Tax)+O228)</f>
        <v>1165437.733</v>
      </c>
      <c r="I229" s="175">
        <f>IF(B229&lt;PT+1,VLOOKUP(D229,'Pre-Calculation'!$N$3:$P$79,IF(INPUT!$C$4="M",2,3),FALSE)*(J229/1000)*(1/12),0)</f>
        <v>0</v>
      </c>
      <c r="J229" s="175">
        <f>MAX(0,(SA-H229))</f>
        <v>0</v>
      </c>
      <c r="K229" s="175">
        <f>H229-I229*(1+Tax)</f>
        <v>1165437.733</v>
      </c>
      <c r="L229" s="187">
        <f>VLOOKUP(C229,'NAVs_Till 29 Jun 2021'!$A$3:$J$2236,MATCH('Pre-Calculation'!$C$34,'NAVs_Till 29 Jun 2021'!$A$1:$J$1,0))</f>
        <v>20.7486</v>
      </c>
      <c r="M229" s="187">
        <f>IFERROR(1,VLOOKUP(C229,'NAVs_Till 29 Jun 2021'!$A$3:$J$2236,MATCH(#REF!,'NAVs_Till 29 Jun 2021'!$A$1:$J$1,0)))</f>
        <v>1</v>
      </c>
      <c r="N229" s="175">
        <f>VLOOKUP('Pre-Calculation'!$C$34,INPUT!$B$20:$C$28,2,0)*K229*(L230/L229)+ IFERROR(0,VLOOKUP('Pre-Calculation'!$D$34,INPUT!$B$20:$C$28,2,0))*K229*(M230/M229)</f>
        <v>1165437.733</v>
      </c>
      <c r="O229" s="175">
        <f t="shared" si="3"/>
        <v>1165437.733</v>
      </c>
      <c r="P229" s="175">
        <f t="shared" si="4"/>
        <v>1165437.733</v>
      </c>
      <c r="Q229" s="175">
        <f>IF('Pre-Calculation'!$D$17="Type 4 a",MAX(SA,O229,1.05*R229),IF('Pre-Calculation'!$D$17="Type 4 c",O229,IF('Pre-Calculation'!$D$17="Type 4 d",SA+O229,IF('Pre-Calculation'!$D$17="Type 4 e",MAX(SA,O229),IF('Pre-Calculation'!$D$17="Type 4 f",SA,IF('Pre-Calculation'!$D$17="Type 4 g",1000+O229,IF('Pre-Calculation'!$D$17="Type 4 h",SA+S229,IF('Pre-Calculation'!$D$17="Type 4 i",MAX(O229,R229),IF('Pre-Calculation'!$D$17="Type 4 k",MAX(O229,1.01*R229),IF('Pre-Calculation'!$D$17="Type 4 m",MAX(105%*R229,SA+O229),IF('Pre-Calculation'!$D$17="Type 4 o",MAX(SA,105%*R229)+X229+Z229,IF('Pre-Calculation'!$D$17="Type 5",0))))))))))))</f>
        <v>1165437.733</v>
      </c>
      <c r="R229" s="175">
        <f t="shared" si="5"/>
        <v>1000000</v>
      </c>
      <c r="S229" s="119">
        <f>K229*(1+GROWTH_RATE)*FMC</f>
        <v>1318.835624</v>
      </c>
      <c r="T229" s="178">
        <f>T228*(1+'Pre-Calculation'!$E$27)</f>
        <v>1231841.573</v>
      </c>
      <c r="U229" s="175">
        <f>-E229+IF(A228=INPUT!$C$11*12,O229,0)</f>
        <v>0</v>
      </c>
      <c r="V229" s="112"/>
      <c r="W229" s="112"/>
      <c r="X229" s="179">
        <f t="array" ref="X229">NPV('Pre-Calculation'!$E$20,$E230:E$246)</f>
        <v>0</v>
      </c>
      <c r="Y229" s="171">
        <f>10%*SA</f>
        <v>100000</v>
      </c>
      <c r="Z229" s="179">
        <f t="array" ref="Z229">NPV('Pre-Calculation'!$E$20,Y230:Y239)</f>
        <v>969592.8037</v>
      </c>
    </row>
    <row r="230" ht="15.75" customHeight="1">
      <c r="A230" s="171">
        <f t="shared" si="1"/>
        <v>224</v>
      </c>
      <c r="B230" s="171">
        <f t="shared" si="2"/>
        <v>19</v>
      </c>
      <c r="C230" s="176">
        <f>EDATE(RCD,A229)</f>
        <v>49339</v>
      </c>
      <c r="D230" s="171">
        <f>Age_At_Entry+Cashflows_Backtesting!B230-1</f>
        <v>53</v>
      </c>
      <c r="E230" s="175">
        <f>IF(AND(C230&lt;=Last_Prem,MOD(A229,Mode)=0),Mod_Prem,0)</f>
        <v>0</v>
      </c>
      <c r="F230" s="177">
        <f>E230*VLOOKUP(B230,'Pre-Calculation'!$H$1:$I$31,2,FALSE)</f>
        <v>0</v>
      </c>
      <c r="G230" s="177">
        <f>IF(B230&lt;PT+1,VLOOKUP(B230,'Pre-Calculation'!$H$1:$L$32,3,FALSE)+VLOOKUP(B230,'Pre-Calculation'!$H$1:$L$32,4,FALSE)*'Pre-Calculation'!$D$7,0)</f>
        <v>0</v>
      </c>
      <c r="H230" s="175">
        <f>(E230-(F230+G230)*(1+Tax)+O229)</f>
        <v>1165437.733</v>
      </c>
      <c r="I230" s="175">
        <f>IF(B230&lt;PT+1,VLOOKUP(D230,'Pre-Calculation'!$N$3:$P$79,IF(INPUT!$C$4="M",2,3),FALSE)*(J230/1000)*(1/12),0)</f>
        <v>0</v>
      </c>
      <c r="J230" s="175">
        <f>MAX(0,(SA-H230))</f>
        <v>0</v>
      </c>
      <c r="K230" s="175">
        <f>H230-I230*(1+Tax)</f>
        <v>1165437.733</v>
      </c>
      <c r="L230" s="187">
        <f>VLOOKUP(C230,'NAVs_Till 29 Jun 2021'!$A$3:$J$2236,MATCH('Pre-Calculation'!$C$34,'NAVs_Till 29 Jun 2021'!$A$1:$J$1,0))</f>
        <v>20.7486</v>
      </c>
      <c r="M230" s="187">
        <f>IFERROR(1,VLOOKUP(C230,'NAVs_Till 29 Jun 2021'!$A$3:$J$2236,MATCH(#REF!,'NAVs_Till 29 Jun 2021'!$A$1:$J$1,0)))</f>
        <v>1</v>
      </c>
      <c r="N230" s="175">
        <f>VLOOKUP('Pre-Calculation'!$C$34,INPUT!$B$20:$C$28,2,0)*K230*(L231/L230)+ IFERROR(0,VLOOKUP('Pre-Calculation'!$D$34,INPUT!$B$20:$C$28,2,0))*K230*(M231/M230)</f>
        <v>1165437.733</v>
      </c>
      <c r="O230" s="175">
        <f t="shared" si="3"/>
        <v>1165437.733</v>
      </c>
      <c r="P230" s="175">
        <f t="shared" si="4"/>
        <v>1165437.733</v>
      </c>
      <c r="Q230" s="175">
        <f>IF('Pre-Calculation'!$D$17="Type 4 a",MAX(SA,O230,1.05*R230),IF('Pre-Calculation'!$D$17="Type 4 c",O230,IF('Pre-Calculation'!$D$17="Type 4 d",SA+O230,IF('Pre-Calculation'!$D$17="Type 4 e",MAX(SA,O230),IF('Pre-Calculation'!$D$17="Type 4 f",SA,IF('Pre-Calculation'!$D$17="Type 4 g",1000+O230,IF('Pre-Calculation'!$D$17="Type 4 h",SA+S230,IF('Pre-Calculation'!$D$17="Type 4 i",MAX(O230,R230),IF('Pre-Calculation'!$D$17="Type 4 k",MAX(O230,1.01*R230),IF('Pre-Calculation'!$D$17="Type 4 m",MAX(105%*R230,SA+O230),IF('Pre-Calculation'!$D$17="Type 4 o",MAX(SA,105%*R230)+X230+Z230,IF('Pre-Calculation'!$D$17="Type 5",0))))))))))))</f>
        <v>1165437.733</v>
      </c>
      <c r="R230" s="175">
        <f t="shared" si="5"/>
        <v>1000000</v>
      </c>
      <c r="S230" s="119">
        <f>K230*(1+GROWTH_RATE)*FMC</f>
        <v>1318.835624</v>
      </c>
      <c r="T230" s="178">
        <f>T229*(1+'Pre-Calculation'!$E$27)</f>
        <v>1235378.066</v>
      </c>
      <c r="U230" s="175">
        <f>-E230+IF(A229=INPUT!$C$11*12,O230,0)</f>
        <v>0</v>
      </c>
      <c r="V230" s="112"/>
      <c r="W230" s="112"/>
      <c r="X230" s="179">
        <f t="array" ref="X230">NPV('Pre-Calculation'!$E$20,$E231:E$246)</f>
        <v>0</v>
      </c>
      <c r="Y230" s="171">
        <f>10%*SA</f>
        <v>100000</v>
      </c>
      <c r="Z230" s="179">
        <f t="array" ref="Z230">NPV('Pre-Calculation'!$E$20,Y231:Y240)</f>
        <v>969592.8037</v>
      </c>
    </row>
    <row r="231" ht="15.75" customHeight="1">
      <c r="A231" s="171">
        <f t="shared" si="1"/>
        <v>225</v>
      </c>
      <c r="B231" s="171">
        <f t="shared" si="2"/>
        <v>19</v>
      </c>
      <c r="C231" s="176">
        <f>EDATE(RCD,A230)</f>
        <v>49368</v>
      </c>
      <c r="D231" s="171">
        <f>Age_At_Entry+Cashflows_Backtesting!B231-1</f>
        <v>53</v>
      </c>
      <c r="E231" s="175">
        <f>IF(AND(C231&lt;=Last_Prem,MOD(A230,Mode)=0),Mod_Prem,0)</f>
        <v>0</v>
      </c>
      <c r="F231" s="177">
        <f>E231*VLOOKUP(B231,'Pre-Calculation'!$H$1:$I$31,2,FALSE)</f>
        <v>0</v>
      </c>
      <c r="G231" s="177">
        <f>IF(B231&lt;PT+1,VLOOKUP(B231,'Pre-Calculation'!$H$1:$L$32,3,FALSE)+VLOOKUP(B231,'Pre-Calculation'!$H$1:$L$32,4,FALSE)*'Pre-Calculation'!$D$7,0)</f>
        <v>0</v>
      </c>
      <c r="H231" s="175">
        <f>(E231-(F231+G231)*(1+Tax)+O230)</f>
        <v>1165437.733</v>
      </c>
      <c r="I231" s="175">
        <f>IF(B231&lt;PT+1,VLOOKUP(D231,'Pre-Calculation'!$N$3:$P$79,IF(INPUT!$C$4="M",2,3),FALSE)*(J231/1000)*(1/12),0)</f>
        <v>0</v>
      </c>
      <c r="J231" s="175">
        <f>MAX(0,(SA-H231))</f>
        <v>0</v>
      </c>
      <c r="K231" s="175">
        <f>H231-I231*(1+Tax)</f>
        <v>1165437.733</v>
      </c>
      <c r="L231" s="187">
        <f>VLOOKUP(C231,'NAVs_Till 29 Jun 2021'!$A$3:$J$2236,MATCH('Pre-Calculation'!$C$34,'NAVs_Till 29 Jun 2021'!$A$1:$J$1,0))</f>
        <v>20.7486</v>
      </c>
      <c r="M231" s="187">
        <f>IFERROR(1,VLOOKUP(C231,'NAVs_Till 29 Jun 2021'!$A$3:$J$2236,MATCH(#REF!,'NAVs_Till 29 Jun 2021'!$A$1:$J$1,0)))</f>
        <v>1</v>
      </c>
      <c r="N231" s="175">
        <f>VLOOKUP('Pre-Calculation'!$C$34,INPUT!$B$20:$C$28,2,0)*K231*(L232/L231)+ IFERROR(0,VLOOKUP('Pre-Calculation'!$D$34,INPUT!$B$20:$C$28,2,0))*K231*(M232/M231)</f>
        <v>1165437.733</v>
      </c>
      <c r="O231" s="175">
        <f t="shared" si="3"/>
        <v>1165437.733</v>
      </c>
      <c r="P231" s="175">
        <f t="shared" si="4"/>
        <v>1165437.733</v>
      </c>
      <c r="Q231" s="175">
        <f>IF('Pre-Calculation'!$D$17="Type 4 a",MAX(SA,O231,1.05*R231),IF('Pre-Calculation'!$D$17="Type 4 c",O231,IF('Pre-Calculation'!$D$17="Type 4 d",SA+O231,IF('Pre-Calculation'!$D$17="Type 4 e",MAX(SA,O231),IF('Pre-Calculation'!$D$17="Type 4 f",SA,IF('Pre-Calculation'!$D$17="Type 4 g",1000+O231,IF('Pre-Calculation'!$D$17="Type 4 h",SA+S231,IF('Pre-Calculation'!$D$17="Type 4 i",MAX(O231,R231),IF('Pre-Calculation'!$D$17="Type 4 k",MAX(O231,1.01*R231),IF('Pre-Calculation'!$D$17="Type 4 m",MAX(105%*R231,SA+O231),IF('Pre-Calculation'!$D$17="Type 4 o",MAX(SA,105%*R231)+X231+Z231,IF('Pre-Calculation'!$D$17="Type 5",0))))))))))))</f>
        <v>1165437.733</v>
      </c>
      <c r="R231" s="175">
        <f t="shared" si="5"/>
        <v>1000000</v>
      </c>
      <c r="S231" s="119">
        <f>K231*(1+GROWTH_RATE)*FMC</f>
        <v>1318.835624</v>
      </c>
      <c r="T231" s="178">
        <f>T230*(1+'Pre-Calculation'!$E$27)</f>
        <v>1238924.711</v>
      </c>
      <c r="U231" s="175">
        <f>-E231+IF(A230=INPUT!$C$11*12,O231,0)</f>
        <v>0</v>
      </c>
      <c r="V231" s="112"/>
      <c r="W231" s="112"/>
      <c r="X231" s="179">
        <f t="array" ref="X231">NPV('Pre-Calculation'!$E$20,$E232:E$246)</f>
        <v>0</v>
      </c>
      <c r="Y231" s="171">
        <f>10%*SA</f>
        <v>100000</v>
      </c>
      <c r="Z231" s="179">
        <f t="array" ref="Z231">NPV('Pre-Calculation'!$E$20,Y232:Y241)</f>
        <v>969592.8037</v>
      </c>
    </row>
    <row r="232" ht="15.75" customHeight="1">
      <c r="A232" s="171">
        <f t="shared" si="1"/>
        <v>226</v>
      </c>
      <c r="B232" s="171">
        <f t="shared" si="2"/>
        <v>19</v>
      </c>
      <c r="C232" s="176">
        <f>EDATE(RCD,A231)</f>
        <v>49398</v>
      </c>
      <c r="D232" s="171">
        <f>Age_At_Entry+Cashflows_Backtesting!B232-1</f>
        <v>53</v>
      </c>
      <c r="E232" s="175">
        <f>IF(AND(C232&lt;=Last_Prem,MOD(A231,Mode)=0),Mod_Prem,0)</f>
        <v>0</v>
      </c>
      <c r="F232" s="177">
        <f>E232*VLOOKUP(B232,'Pre-Calculation'!$H$1:$I$31,2,FALSE)</f>
        <v>0</v>
      </c>
      <c r="G232" s="177">
        <f>IF(B232&lt;PT+1,VLOOKUP(B232,'Pre-Calculation'!$H$1:$L$32,3,FALSE)+VLOOKUP(B232,'Pre-Calculation'!$H$1:$L$32,4,FALSE)*'Pre-Calculation'!$D$7,0)</f>
        <v>0</v>
      </c>
      <c r="H232" s="175">
        <f>(E232-(F232+G232)*(1+Tax)+O231)</f>
        <v>1165437.733</v>
      </c>
      <c r="I232" s="175">
        <f>IF(B232&lt;PT+1,VLOOKUP(D232,'Pre-Calculation'!$N$3:$P$79,IF(INPUT!$C$4="M",2,3),FALSE)*(J232/1000)*(1/12),0)</f>
        <v>0</v>
      </c>
      <c r="J232" s="175">
        <f>MAX(0,(SA-H232))</f>
        <v>0</v>
      </c>
      <c r="K232" s="175">
        <f>H232-I232*(1+Tax)</f>
        <v>1165437.733</v>
      </c>
      <c r="L232" s="187">
        <f>VLOOKUP(C232,'NAVs_Till 29 Jun 2021'!$A$3:$J$2236,MATCH('Pre-Calculation'!$C$34,'NAVs_Till 29 Jun 2021'!$A$1:$J$1,0))</f>
        <v>20.7486</v>
      </c>
      <c r="M232" s="187">
        <f>IFERROR(1,VLOOKUP(C232,'NAVs_Till 29 Jun 2021'!$A$3:$J$2236,MATCH(#REF!,'NAVs_Till 29 Jun 2021'!$A$1:$J$1,0)))</f>
        <v>1</v>
      </c>
      <c r="N232" s="175">
        <f>VLOOKUP('Pre-Calculation'!$C$34,INPUT!$B$20:$C$28,2,0)*K232*(L233/L232)+ IFERROR(0,VLOOKUP('Pre-Calculation'!$D$34,INPUT!$B$20:$C$28,2,0))*K232*(M233/M232)</f>
        <v>1165437.733</v>
      </c>
      <c r="O232" s="175">
        <f t="shared" si="3"/>
        <v>1165437.733</v>
      </c>
      <c r="P232" s="175">
        <f t="shared" si="4"/>
        <v>1165437.733</v>
      </c>
      <c r="Q232" s="175">
        <f>IF('Pre-Calculation'!$D$17="Type 4 a",MAX(SA,O232,1.05*R232),IF('Pre-Calculation'!$D$17="Type 4 c",O232,IF('Pre-Calculation'!$D$17="Type 4 d",SA+O232,IF('Pre-Calculation'!$D$17="Type 4 e",MAX(SA,O232),IF('Pre-Calculation'!$D$17="Type 4 f",SA,IF('Pre-Calculation'!$D$17="Type 4 g",1000+O232,IF('Pre-Calculation'!$D$17="Type 4 h",SA+S232,IF('Pre-Calculation'!$D$17="Type 4 i",MAX(O232,R232),IF('Pre-Calculation'!$D$17="Type 4 k",MAX(O232,1.01*R232),IF('Pre-Calculation'!$D$17="Type 4 m",MAX(105%*R232,SA+O232),IF('Pre-Calculation'!$D$17="Type 4 o",MAX(SA,105%*R232)+X232+Z232,IF('Pre-Calculation'!$D$17="Type 5",0))))))))))))</f>
        <v>1165437.733</v>
      </c>
      <c r="R232" s="175">
        <f t="shared" si="5"/>
        <v>1000000</v>
      </c>
      <c r="S232" s="119">
        <f>K232*(1+GROWTH_RATE)*FMC</f>
        <v>1318.835624</v>
      </c>
      <c r="T232" s="178">
        <f>T231*(1+'Pre-Calculation'!$E$27)</f>
        <v>1242481.538</v>
      </c>
      <c r="U232" s="175">
        <f>-E232+IF(A231=INPUT!$C$11*12,O232,0)</f>
        <v>0</v>
      </c>
      <c r="V232" s="112"/>
      <c r="W232" s="112"/>
      <c r="X232" s="179">
        <f t="array" ref="X232">NPV('Pre-Calculation'!$E$20,$E233:E$246)</f>
        <v>0</v>
      </c>
      <c r="Y232" s="171">
        <f>10%*SA</f>
        <v>100000</v>
      </c>
      <c r="Z232" s="179">
        <f t="array" ref="Z232">NPV('Pre-Calculation'!$E$20,Y233:Y242)</f>
        <v>969592.8037</v>
      </c>
    </row>
    <row r="233" ht="15.75" customHeight="1">
      <c r="A233" s="171">
        <f t="shared" si="1"/>
        <v>227</v>
      </c>
      <c r="B233" s="171">
        <f t="shared" si="2"/>
        <v>19</v>
      </c>
      <c r="C233" s="176">
        <f>EDATE(RCD,A232)</f>
        <v>49429</v>
      </c>
      <c r="D233" s="171">
        <f>Age_At_Entry+Cashflows_Backtesting!B233-1</f>
        <v>53</v>
      </c>
      <c r="E233" s="175">
        <f>IF(AND(C233&lt;=Last_Prem,MOD(A232,Mode)=0),Mod_Prem,0)</f>
        <v>0</v>
      </c>
      <c r="F233" s="177">
        <f>E233*VLOOKUP(B233,'Pre-Calculation'!$H$1:$I$31,2,FALSE)</f>
        <v>0</v>
      </c>
      <c r="G233" s="177">
        <f>IF(B233&lt;PT+1,VLOOKUP(B233,'Pre-Calculation'!$H$1:$L$32,3,FALSE)+VLOOKUP(B233,'Pre-Calculation'!$H$1:$L$32,4,FALSE)*'Pre-Calculation'!$D$7,0)</f>
        <v>0</v>
      </c>
      <c r="H233" s="175">
        <f>(E233-(F233+G233)*(1+Tax)+O232)</f>
        <v>1165437.733</v>
      </c>
      <c r="I233" s="175">
        <f>IF(B233&lt;PT+1,VLOOKUP(D233,'Pre-Calculation'!$N$3:$P$79,IF(INPUT!$C$4="M",2,3),FALSE)*(J233/1000)*(1/12),0)</f>
        <v>0</v>
      </c>
      <c r="J233" s="175">
        <f>MAX(0,(SA-H233))</f>
        <v>0</v>
      </c>
      <c r="K233" s="175">
        <f>H233-I233*(1+Tax)</f>
        <v>1165437.733</v>
      </c>
      <c r="L233" s="187">
        <f>VLOOKUP(C233,'NAVs_Till 29 Jun 2021'!$A$3:$J$2236,MATCH('Pre-Calculation'!$C$34,'NAVs_Till 29 Jun 2021'!$A$1:$J$1,0))</f>
        <v>20.7486</v>
      </c>
      <c r="M233" s="187">
        <f>IFERROR(1,VLOOKUP(C233,'NAVs_Till 29 Jun 2021'!$A$3:$J$2236,MATCH(#REF!,'NAVs_Till 29 Jun 2021'!$A$1:$J$1,0)))</f>
        <v>1</v>
      </c>
      <c r="N233" s="175">
        <f>VLOOKUP('Pre-Calculation'!$C$34,INPUT!$B$20:$C$28,2,0)*K233*(L234/L233)+ IFERROR(0,VLOOKUP('Pre-Calculation'!$D$34,INPUT!$B$20:$C$28,2,0))*K233*(M234/M233)</f>
        <v>1165437.733</v>
      </c>
      <c r="O233" s="175">
        <f t="shared" si="3"/>
        <v>1165437.733</v>
      </c>
      <c r="P233" s="175">
        <f t="shared" si="4"/>
        <v>1165437.733</v>
      </c>
      <c r="Q233" s="175">
        <f>IF('Pre-Calculation'!$D$17="Type 4 a",MAX(SA,O233,1.05*R233),IF('Pre-Calculation'!$D$17="Type 4 c",O233,IF('Pre-Calculation'!$D$17="Type 4 d",SA+O233,IF('Pre-Calculation'!$D$17="Type 4 e",MAX(SA,O233),IF('Pre-Calculation'!$D$17="Type 4 f",SA,IF('Pre-Calculation'!$D$17="Type 4 g",1000+O233,IF('Pre-Calculation'!$D$17="Type 4 h",SA+S233,IF('Pre-Calculation'!$D$17="Type 4 i",MAX(O233,R233),IF('Pre-Calculation'!$D$17="Type 4 k",MAX(O233,1.01*R233),IF('Pre-Calculation'!$D$17="Type 4 m",MAX(105%*R233,SA+O233),IF('Pre-Calculation'!$D$17="Type 4 o",MAX(SA,105%*R233)+X233+Z233,IF('Pre-Calculation'!$D$17="Type 5",0))))))))))))</f>
        <v>1165437.733</v>
      </c>
      <c r="R233" s="175">
        <f t="shared" si="5"/>
        <v>1000000</v>
      </c>
      <c r="S233" s="119">
        <f>K233*(1+GROWTH_RATE)*FMC</f>
        <v>1318.835624</v>
      </c>
      <c r="T233" s="178">
        <f>T232*(1+'Pre-Calculation'!$E$27)</f>
        <v>1246048.577</v>
      </c>
      <c r="U233" s="175">
        <f>-E233+IF(A232=INPUT!$C$11*12,O233,0)</f>
        <v>0</v>
      </c>
      <c r="V233" s="112"/>
      <c r="W233" s="112"/>
      <c r="X233" s="179">
        <f t="array" ref="X233">NPV('Pre-Calculation'!$E$20,$E234:E$246)</f>
        <v>0</v>
      </c>
      <c r="Y233" s="171">
        <f>10%*SA</f>
        <v>100000</v>
      </c>
      <c r="Z233" s="179">
        <f t="array" ref="Z233">NPV('Pre-Calculation'!$E$20,Y234:Y243)</f>
        <v>969592.8037</v>
      </c>
    </row>
    <row r="234" ht="15.75" customHeight="1">
      <c r="A234" s="171">
        <f t="shared" si="1"/>
        <v>228</v>
      </c>
      <c r="B234" s="171">
        <f t="shared" si="2"/>
        <v>19</v>
      </c>
      <c r="C234" s="176">
        <f>EDATE(RCD,A233)</f>
        <v>49459</v>
      </c>
      <c r="D234" s="171">
        <f>Age_At_Entry+Cashflows_Backtesting!B234-1</f>
        <v>53</v>
      </c>
      <c r="E234" s="175">
        <f>IF(AND(C234&lt;=Last_Prem,MOD(A233,Mode)=0),Mod_Prem,0)</f>
        <v>0</v>
      </c>
      <c r="F234" s="177">
        <f>E234*VLOOKUP(B234,'Pre-Calculation'!$H$1:$I$31,2,FALSE)</f>
        <v>0</v>
      </c>
      <c r="G234" s="177">
        <f>IF(B234&lt;PT+1,VLOOKUP(B234,'Pre-Calculation'!$H$1:$L$32,3,FALSE)+VLOOKUP(B234,'Pre-Calculation'!$H$1:$L$32,4,FALSE)*'Pre-Calculation'!$D$7,0)</f>
        <v>0</v>
      </c>
      <c r="H234" s="175">
        <f>(E234-(F234+G234)*(1+Tax)+O233)</f>
        <v>1165437.733</v>
      </c>
      <c r="I234" s="175">
        <f>IF(B234&lt;PT+1,VLOOKUP(D234,'Pre-Calculation'!$N$3:$P$79,IF(INPUT!$C$4="M",2,3),FALSE)*(J234/1000)*(1/12),0)</f>
        <v>0</v>
      </c>
      <c r="J234" s="175">
        <f>MAX(0,(SA-H234))</f>
        <v>0</v>
      </c>
      <c r="K234" s="175">
        <f>H234-I234*(1+Tax)</f>
        <v>1165437.733</v>
      </c>
      <c r="L234" s="187">
        <f>VLOOKUP(C234,'NAVs_Till 29 Jun 2021'!$A$3:$J$2236,MATCH('Pre-Calculation'!$C$34,'NAVs_Till 29 Jun 2021'!$A$1:$J$1,0))</f>
        <v>20.7486</v>
      </c>
      <c r="M234" s="187">
        <f>IFERROR(1,VLOOKUP(C234,'NAVs_Till 29 Jun 2021'!$A$3:$J$2236,MATCH(#REF!,'NAVs_Till 29 Jun 2021'!$A$1:$J$1,0)))</f>
        <v>1</v>
      </c>
      <c r="N234" s="175">
        <f>VLOOKUP('Pre-Calculation'!$C$34,INPUT!$B$20:$C$28,2,0)*K234*(L235/L234)+ IFERROR(0,VLOOKUP('Pre-Calculation'!$D$34,INPUT!$B$20:$C$28,2,0))*K234*(M235/M234)</f>
        <v>1165437.733</v>
      </c>
      <c r="O234" s="175">
        <f t="shared" si="3"/>
        <v>1165437.733</v>
      </c>
      <c r="P234" s="175">
        <f t="shared" si="4"/>
        <v>1165437.733</v>
      </c>
      <c r="Q234" s="175">
        <f>IF('Pre-Calculation'!$D$17="Type 4 a",MAX(SA,O234,1.05*R234),IF('Pre-Calculation'!$D$17="Type 4 c",O234,IF('Pre-Calculation'!$D$17="Type 4 d",SA+O234,IF('Pre-Calculation'!$D$17="Type 4 e",MAX(SA,O234),IF('Pre-Calculation'!$D$17="Type 4 f",SA,IF('Pre-Calculation'!$D$17="Type 4 g",1000+O234,IF('Pre-Calculation'!$D$17="Type 4 h",SA+S234,IF('Pre-Calculation'!$D$17="Type 4 i",MAX(O234,R234),IF('Pre-Calculation'!$D$17="Type 4 k",MAX(O234,1.01*R234),IF('Pre-Calculation'!$D$17="Type 4 m",MAX(105%*R234,SA+O234),IF('Pre-Calculation'!$D$17="Type 4 o",MAX(SA,105%*R234)+X234+Z234,IF('Pre-Calculation'!$D$17="Type 5",0))))))))))))</f>
        <v>1165437.733</v>
      </c>
      <c r="R234" s="175">
        <f t="shared" si="5"/>
        <v>1000000</v>
      </c>
      <c r="S234" s="119">
        <f>K234*(1+GROWTH_RATE)*FMC</f>
        <v>1318.835624</v>
      </c>
      <c r="T234" s="178">
        <f>T233*(1+'Pre-Calculation'!$E$27)</f>
        <v>1249625.856</v>
      </c>
      <c r="U234" s="175">
        <f>-E234+IF(A233=INPUT!$C$11*12,O234,0)</f>
        <v>0</v>
      </c>
      <c r="V234" s="112"/>
      <c r="W234" s="112"/>
      <c r="X234" s="179">
        <f t="array" ref="X234">NPV('Pre-Calculation'!$E$20,$E235:E$246)</f>
        <v>0</v>
      </c>
      <c r="Y234" s="171">
        <f>10%*SA</f>
        <v>100000</v>
      </c>
      <c r="Z234" s="179">
        <f t="array" ref="Z234">NPV('Pre-Calculation'!$E$20,Y235:Y244)</f>
        <v>969592.8037</v>
      </c>
    </row>
    <row r="235" ht="15.75" customHeight="1">
      <c r="A235" s="171">
        <f t="shared" si="1"/>
        <v>229</v>
      </c>
      <c r="B235" s="171">
        <f t="shared" si="2"/>
        <v>20</v>
      </c>
      <c r="C235" s="176">
        <f>EDATE(RCD,A234)</f>
        <v>49490</v>
      </c>
      <c r="D235" s="171">
        <f>Age_At_Entry+Cashflows_Backtesting!B235-1</f>
        <v>54</v>
      </c>
      <c r="E235" s="175">
        <f>IF(AND(C235&lt;=Last_Prem,MOD(A234,Mode)=0),Mod_Prem,0)</f>
        <v>0</v>
      </c>
      <c r="F235" s="177">
        <f>E235*VLOOKUP(B235,'Pre-Calculation'!$H$1:$I$31,2,FALSE)</f>
        <v>0</v>
      </c>
      <c r="G235" s="177">
        <f>IF(B235&lt;PT+1,VLOOKUP(B235,'Pre-Calculation'!$H$1:$L$32,3,FALSE)+VLOOKUP(B235,'Pre-Calculation'!$H$1:$L$32,4,FALSE)*'Pre-Calculation'!$D$7,0)</f>
        <v>0</v>
      </c>
      <c r="H235" s="175">
        <f>(E235-(F235+G235)*(1+Tax)+O234)</f>
        <v>1165437.733</v>
      </c>
      <c r="I235" s="175">
        <f>IF(B235&lt;PT+1,VLOOKUP(D235,'Pre-Calculation'!$N$3:$P$79,IF(INPUT!$C$4="M",2,3),FALSE)*(J235/1000)*(1/12),0)</f>
        <v>0</v>
      </c>
      <c r="J235" s="175">
        <f>MAX(0,(SA-H235))</f>
        <v>0</v>
      </c>
      <c r="K235" s="175">
        <f>H235-I235*(1+Tax)</f>
        <v>1165437.733</v>
      </c>
      <c r="L235" s="187">
        <f>VLOOKUP(C235,'NAVs_Till 29 Jun 2021'!$A$3:$J$2236,MATCH('Pre-Calculation'!$C$34,'NAVs_Till 29 Jun 2021'!$A$1:$J$1,0))</f>
        <v>20.7486</v>
      </c>
      <c r="M235" s="187">
        <f>IFERROR(1,VLOOKUP(C235,'NAVs_Till 29 Jun 2021'!$A$3:$J$2236,MATCH(#REF!,'NAVs_Till 29 Jun 2021'!$A$1:$J$1,0)))</f>
        <v>1</v>
      </c>
      <c r="N235" s="175">
        <f>VLOOKUP('Pre-Calculation'!$C$34,INPUT!$B$20:$C$28,2,0)*K235*(L236/L235)+ IFERROR(0,VLOOKUP('Pre-Calculation'!$D$34,INPUT!$B$20:$C$28,2,0))*K235*(M236/M235)</f>
        <v>1165437.733</v>
      </c>
      <c r="O235" s="175">
        <f t="shared" si="3"/>
        <v>1165437.733</v>
      </c>
      <c r="P235" s="175">
        <f t="shared" si="4"/>
        <v>1165437.733</v>
      </c>
      <c r="Q235" s="175">
        <f>IF('Pre-Calculation'!$D$17="Type 4 a",MAX(SA,O235,1.05*R235),IF('Pre-Calculation'!$D$17="Type 4 c",O235,IF('Pre-Calculation'!$D$17="Type 4 d",SA+O235,IF('Pre-Calculation'!$D$17="Type 4 e",MAX(SA,O235),IF('Pre-Calculation'!$D$17="Type 4 f",SA,IF('Pre-Calculation'!$D$17="Type 4 g",1000+O235,IF('Pre-Calculation'!$D$17="Type 4 h",SA+S235,IF('Pre-Calculation'!$D$17="Type 4 i",MAX(O235,R235),IF('Pre-Calculation'!$D$17="Type 4 k",MAX(O235,1.01*R235),IF('Pre-Calculation'!$D$17="Type 4 m",MAX(105%*R235,SA+O235),IF('Pre-Calculation'!$D$17="Type 4 o",MAX(SA,105%*R235)+X235+Z235,IF('Pre-Calculation'!$D$17="Type 5",0))))))))))))</f>
        <v>1165437.733</v>
      </c>
      <c r="R235" s="175">
        <f t="shared" si="5"/>
        <v>1000000</v>
      </c>
      <c r="S235" s="119">
        <f>K235*(1+GROWTH_RATE)*FMC</f>
        <v>1318.835624</v>
      </c>
      <c r="T235" s="178">
        <f>T234*(1+'Pre-Calculation'!$E$27)</f>
        <v>1253213.406</v>
      </c>
      <c r="U235" s="175">
        <f>-E235+IF(A234=INPUT!$C$11*12,O235,0)</f>
        <v>0</v>
      </c>
      <c r="V235" s="112"/>
      <c r="W235" s="112"/>
      <c r="X235" s="179">
        <f t="array" ref="X235">NPV('Pre-Calculation'!$E$20,$E236:E$246)</f>
        <v>0</v>
      </c>
      <c r="Y235" s="171">
        <f>10%*SA</f>
        <v>100000</v>
      </c>
      <c r="Z235" s="179">
        <f t="array" ref="Z235">NPV('Pre-Calculation'!$E$20,Y236:Y245)</f>
        <v>969592.8037</v>
      </c>
    </row>
    <row r="236" ht="15.75" customHeight="1">
      <c r="A236" s="171">
        <f t="shared" si="1"/>
        <v>230</v>
      </c>
      <c r="B236" s="171">
        <f t="shared" si="2"/>
        <v>20</v>
      </c>
      <c r="C236" s="176">
        <f>EDATE(RCD,A235)</f>
        <v>49520</v>
      </c>
      <c r="D236" s="171">
        <f>Age_At_Entry+Cashflows_Backtesting!B236-1</f>
        <v>54</v>
      </c>
      <c r="E236" s="175">
        <f>IF(AND(C236&lt;=Last_Prem,MOD(A235,Mode)=0),Mod_Prem,0)</f>
        <v>0</v>
      </c>
      <c r="F236" s="177">
        <f>E236*VLOOKUP(B236,'Pre-Calculation'!$H$1:$I$31,2,FALSE)</f>
        <v>0</v>
      </c>
      <c r="G236" s="177">
        <f>IF(B236&lt;PT+1,VLOOKUP(B236,'Pre-Calculation'!$H$1:$L$32,3,FALSE)+VLOOKUP(B236,'Pre-Calculation'!$H$1:$L$32,4,FALSE)*'Pre-Calculation'!$D$7,0)</f>
        <v>0</v>
      </c>
      <c r="H236" s="175">
        <f>(E236-(F236+G236)*(1+Tax)+O235)</f>
        <v>1165437.733</v>
      </c>
      <c r="I236" s="175">
        <f>IF(B236&lt;PT+1,VLOOKUP(D236,'Pre-Calculation'!$N$3:$P$79,IF(INPUT!$C$4="M",2,3),FALSE)*(J236/1000)*(1/12),0)</f>
        <v>0</v>
      </c>
      <c r="J236" s="175">
        <f>MAX(0,(SA-H236))</f>
        <v>0</v>
      </c>
      <c r="K236" s="175">
        <f>H236-I236*(1+Tax)</f>
        <v>1165437.733</v>
      </c>
      <c r="L236" s="187">
        <f>VLOOKUP(C236,'NAVs_Till 29 Jun 2021'!$A$3:$J$2236,MATCH('Pre-Calculation'!$C$34,'NAVs_Till 29 Jun 2021'!$A$1:$J$1,0))</f>
        <v>20.7486</v>
      </c>
      <c r="M236" s="187">
        <f>IFERROR(1,VLOOKUP(C236,'NAVs_Till 29 Jun 2021'!$A$3:$J$2236,MATCH(#REF!,'NAVs_Till 29 Jun 2021'!$A$1:$J$1,0)))</f>
        <v>1</v>
      </c>
      <c r="N236" s="175">
        <f>VLOOKUP('Pre-Calculation'!$C$34,INPUT!$B$20:$C$28,2,0)*K236*(L237/L236)+ IFERROR(0,VLOOKUP('Pre-Calculation'!$D$34,INPUT!$B$20:$C$28,2,0))*K236*(M237/M236)</f>
        <v>1165437.733</v>
      </c>
      <c r="O236" s="175">
        <f t="shared" si="3"/>
        <v>1165437.733</v>
      </c>
      <c r="P236" s="175">
        <f t="shared" si="4"/>
        <v>1165437.733</v>
      </c>
      <c r="Q236" s="175">
        <f>IF('Pre-Calculation'!$D$17="Type 4 a",MAX(SA,O236,1.05*R236),IF('Pre-Calculation'!$D$17="Type 4 c",O236,IF('Pre-Calculation'!$D$17="Type 4 d",SA+O236,IF('Pre-Calculation'!$D$17="Type 4 e",MAX(SA,O236),IF('Pre-Calculation'!$D$17="Type 4 f",SA,IF('Pre-Calculation'!$D$17="Type 4 g",1000+O236,IF('Pre-Calculation'!$D$17="Type 4 h",SA+S236,IF('Pre-Calculation'!$D$17="Type 4 i",MAX(O236,R236),IF('Pre-Calculation'!$D$17="Type 4 k",MAX(O236,1.01*R236),IF('Pre-Calculation'!$D$17="Type 4 m",MAX(105%*R236,SA+O236),IF('Pre-Calculation'!$D$17="Type 4 o",MAX(SA,105%*R236)+X236+Z236,IF('Pre-Calculation'!$D$17="Type 5",0))))))))))))</f>
        <v>1165437.733</v>
      </c>
      <c r="R236" s="175">
        <f t="shared" si="5"/>
        <v>1000000</v>
      </c>
      <c r="S236" s="119">
        <f>K236*(1+GROWTH_RATE)*FMC</f>
        <v>1318.835624</v>
      </c>
      <c r="T236" s="178">
        <f>T235*(1+'Pre-Calculation'!$E$27)</f>
        <v>1256811.254</v>
      </c>
      <c r="U236" s="175">
        <f>-E236+IF(A235=INPUT!$C$11*12,O236,0)</f>
        <v>0</v>
      </c>
      <c r="V236" s="112"/>
      <c r="W236" s="112"/>
      <c r="X236" s="179">
        <f t="array" ref="X236">NPV('Pre-Calculation'!$E$20,$E237:E$246)</f>
        <v>0</v>
      </c>
      <c r="Y236" s="171">
        <f>10%*SA</f>
        <v>100000</v>
      </c>
      <c r="Z236" s="179">
        <f t="array" ref="Z236">NPV('Pre-Calculation'!$E$20,Y237:Y246)</f>
        <v>969592.8037</v>
      </c>
    </row>
    <row r="237" ht="15.75" customHeight="1">
      <c r="A237" s="171">
        <f t="shared" si="1"/>
        <v>231</v>
      </c>
      <c r="B237" s="171">
        <f t="shared" si="2"/>
        <v>20</v>
      </c>
      <c r="C237" s="176">
        <f>EDATE(RCD,A236)</f>
        <v>49551</v>
      </c>
      <c r="D237" s="171">
        <f>Age_At_Entry+Cashflows_Backtesting!B237-1</f>
        <v>54</v>
      </c>
      <c r="E237" s="175">
        <f>IF(AND(C237&lt;=Last_Prem,MOD(A236,Mode)=0),Mod_Prem,0)</f>
        <v>0</v>
      </c>
      <c r="F237" s="177">
        <f>E237*VLOOKUP(B237,'Pre-Calculation'!$H$1:$I$31,2,FALSE)</f>
        <v>0</v>
      </c>
      <c r="G237" s="177">
        <f>IF(B237&lt;PT+1,VLOOKUP(B237,'Pre-Calculation'!$H$1:$L$32,3,FALSE)+VLOOKUP(B237,'Pre-Calculation'!$H$1:$L$32,4,FALSE)*'Pre-Calculation'!$D$7,0)</f>
        <v>0</v>
      </c>
      <c r="H237" s="175">
        <f>(E237-(F237+G237)*(1+Tax)+O236)</f>
        <v>1165437.733</v>
      </c>
      <c r="I237" s="175">
        <f>IF(B237&lt;PT+1,VLOOKUP(D237,'Pre-Calculation'!$N$3:$P$79,IF(INPUT!$C$4="M",2,3),FALSE)*(J237/1000)*(1/12),0)</f>
        <v>0</v>
      </c>
      <c r="J237" s="175">
        <f>MAX(0,(SA-H237))</f>
        <v>0</v>
      </c>
      <c r="K237" s="175">
        <f>H237-I237*(1+Tax)</f>
        <v>1165437.733</v>
      </c>
      <c r="L237" s="187">
        <f>VLOOKUP(C237,'NAVs_Till 29 Jun 2021'!$A$3:$J$2236,MATCH('Pre-Calculation'!$C$34,'NAVs_Till 29 Jun 2021'!$A$1:$J$1,0))</f>
        <v>20.7486</v>
      </c>
      <c r="M237" s="187">
        <f>IFERROR(1,VLOOKUP(C237,'NAVs_Till 29 Jun 2021'!$A$3:$J$2236,MATCH(#REF!,'NAVs_Till 29 Jun 2021'!$A$1:$J$1,0)))</f>
        <v>1</v>
      </c>
      <c r="N237" s="175">
        <f>VLOOKUP('Pre-Calculation'!$C$34,INPUT!$B$20:$C$28,2,0)*K237*(L238/L237)+ IFERROR(0,VLOOKUP('Pre-Calculation'!$D$34,INPUT!$B$20:$C$28,2,0))*K237*(M238/M237)</f>
        <v>1165437.733</v>
      </c>
      <c r="O237" s="175">
        <f t="shared" si="3"/>
        <v>1165437.733</v>
      </c>
      <c r="P237" s="175">
        <f t="shared" si="4"/>
        <v>1165437.733</v>
      </c>
      <c r="Q237" s="175">
        <f>IF('Pre-Calculation'!$D$17="Type 4 a",MAX(SA,O237,1.05*R237),IF('Pre-Calculation'!$D$17="Type 4 c",O237,IF('Pre-Calculation'!$D$17="Type 4 d",SA+O237,IF('Pre-Calculation'!$D$17="Type 4 e",MAX(SA,O237),IF('Pre-Calculation'!$D$17="Type 4 f",SA,IF('Pre-Calculation'!$D$17="Type 4 g",1000+O237,IF('Pre-Calculation'!$D$17="Type 4 h",SA+S237,IF('Pre-Calculation'!$D$17="Type 4 i",MAX(O237,R237),IF('Pre-Calculation'!$D$17="Type 4 k",MAX(O237,1.01*R237),IF('Pre-Calculation'!$D$17="Type 4 m",MAX(105%*R237,SA+O237),IF('Pre-Calculation'!$D$17="Type 4 o",MAX(SA,105%*R237)+X237+Z237,IF('Pre-Calculation'!$D$17="Type 5",0))))))))))))</f>
        <v>1165437.733</v>
      </c>
      <c r="R237" s="175">
        <f t="shared" si="5"/>
        <v>1000000</v>
      </c>
      <c r="S237" s="119">
        <f>K237*(1+GROWTH_RATE)*FMC</f>
        <v>1318.835624</v>
      </c>
      <c r="T237" s="178">
        <f>T236*(1+'Pre-Calculation'!$E$27)</f>
        <v>1260419.432</v>
      </c>
      <c r="U237" s="175">
        <f>-E237+IF(A236=INPUT!$C$11*12,O237,0)</f>
        <v>0</v>
      </c>
      <c r="V237" s="112"/>
      <c r="W237" s="112"/>
      <c r="X237" s="179">
        <f t="array" ref="X237">NPV('Pre-Calculation'!$E$20,$E238:E$246)</f>
        <v>0</v>
      </c>
      <c r="Y237" s="171">
        <f>10%*SA</f>
        <v>100000</v>
      </c>
      <c r="Z237" s="179">
        <f t="array" ref="Z237">NPV('Pre-Calculation'!$E$20,Y238:Y247)</f>
        <v>969592.8037</v>
      </c>
    </row>
    <row r="238" ht="15.75" customHeight="1">
      <c r="A238" s="171">
        <f t="shared" si="1"/>
        <v>232</v>
      </c>
      <c r="B238" s="171">
        <f t="shared" si="2"/>
        <v>20</v>
      </c>
      <c r="C238" s="176">
        <f>EDATE(RCD,A237)</f>
        <v>49582</v>
      </c>
      <c r="D238" s="171">
        <f>Age_At_Entry+Cashflows_Backtesting!B238-1</f>
        <v>54</v>
      </c>
      <c r="E238" s="175">
        <f>IF(AND(C238&lt;=Last_Prem,MOD(A237,Mode)=0),Mod_Prem,0)</f>
        <v>0</v>
      </c>
      <c r="F238" s="177">
        <f>E238*VLOOKUP(B238,'Pre-Calculation'!$H$1:$I$31,2,FALSE)</f>
        <v>0</v>
      </c>
      <c r="G238" s="177">
        <f>IF(B238&lt;PT+1,VLOOKUP(B238,'Pre-Calculation'!$H$1:$L$32,3,FALSE)+VLOOKUP(B238,'Pre-Calculation'!$H$1:$L$32,4,FALSE)*'Pre-Calculation'!$D$7,0)</f>
        <v>0</v>
      </c>
      <c r="H238" s="175">
        <f>(E238-(F238+G238)*(1+Tax)+O237)</f>
        <v>1165437.733</v>
      </c>
      <c r="I238" s="175">
        <f>IF(B238&lt;PT+1,VLOOKUP(D238,'Pre-Calculation'!$N$3:$P$79,IF(INPUT!$C$4="M",2,3),FALSE)*(J238/1000)*(1/12),0)</f>
        <v>0</v>
      </c>
      <c r="J238" s="175">
        <f>MAX(0,(SA-H238))</f>
        <v>0</v>
      </c>
      <c r="K238" s="175">
        <f>H238-I238*(1+Tax)</f>
        <v>1165437.733</v>
      </c>
      <c r="L238" s="187">
        <f>VLOOKUP(C238,'NAVs_Till 29 Jun 2021'!$A$3:$J$2236,MATCH('Pre-Calculation'!$C$34,'NAVs_Till 29 Jun 2021'!$A$1:$J$1,0))</f>
        <v>20.7486</v>
      </c>
      <c r="M238" s="187">
        <f>IFERROR(1,VLOOKUP(C238,'NAVs_Till 29 Jun 2021'!$A$3:$J$2236,MATCH(#REF!,'NAVs_Till 29 Jun 2021'!$A$1:$J$1,0)))</f>
        <v>1</v>
      </c>
      <c r="N238" s="175">
        <f>VLOOKUP('Pre-Calculation'!$C$34,INPUT!$B$20:$C$28,2,0)*K238*(L239/L238)+ IFERROR(0,VLOOKUP('Pre-Calculation'!$D$34,INPUT!$B$20:$C$28,2,0))*K238*(M239/M238)</f>
        <v>1165437.733</v>
      </c>
      <c r="O238" s="175">
        <f t="shared" si="3"/>
        <v>1165437.733</v>
      </c>
      <c r="P238" s="175">
        <f t="shared" si="4"/>
        <v>1165437.733</v>
      </c>
      <c r="Q238" s="175">
        <f>IF('Pre-Calculation'!$D$17="Type 4 a",MAX(SA,O238,1.05*R238),IF('Pre-Calculation'!$D$17="Type 4 c",O238,IF('Pre-Calculation'!$D$17="Type 4 d",SA+O238,IF('Pre-Calculation'!$D$17="Type 4 e",MAX(SA,O238),IF('Pre-Calculation'!$D$17="Type 4 f",SA,IF('Pre-Calculation'!$D$17="Type 4 g",1000+O238,IF('Pre-Calculation'!$D$17="Type 4 h",SA+S238,IF('Pre-Calculation'!$D$17="Type 4 i",MAX(O238,R238),IF('Pre-Calculation'!$D$17="Type 4 k",MAX(O238,1.01*R238),IF('Pre-Calculation'!$D$17="Type 4 m",MAX(105%*R238,SA+O238),IF('Pre-Calculation'!$D$17="Type 4 o",MAX(SA,105%*R238)+X238+Z238,IF('Pre-Calculation'!$D$17="Type 5",0))))))))))))</f>
        <v>1165437.733</v>
      </c>
      <c r="R238" s="175">
        <f t="shared" si="5"/>
        <v>1000000</v>
      </c>
      <c r="S238" s="119">
        <f>K238*(1+GROWTH_RATE)*FMC</f>
        <v>1318.835624</v>
      </c>
      <c r="T238" s="178">
        <f>T237*(1+'Pre-Calculation'!$E$27)</f>
        <v>1264037.969</v>
      </c>
      <c r="U238" s="175">
        <f>-E238+IF(A237=INPUT!$C$11*12,O238,0)</f>
        <v>0</v>
      </c>
      <c r="V238" s="112"/>
      <c r="W238" s="112"/>
      <c r="X238" s="179">
        <f t="array" ref="X238">NPV('Pre-Calculation'!$E$20,$E239:E$246)</f>
        <v>0</v>
      </c>
      <c r="Y238" s="171">
        <f>10%*SA</f>
        <v>100000</v>
      </c>
      <c r="Z238" s="179">
        <f t="array" ref="Z238">NPV('Pre-Calculation'!$E$20,Y239:Y248)</f>
        <v>969592.8037</v>
      </c>
    </row>
    <row r="239" ht="15.75" customHeight="1">
      <c r="A239" s="171">
        <f t="shared" si="1"/>
        <v>233</v>
      </c>
      <c r="B239" s="171">
        <f t="shared" si="2"/>
        <v>20</v>
      </c>
      <c r="C239" s="176">
        <f>EDATE(RCD,A238)</f>
        <v>49612</v>
      </c>
      <c r="D239" s="171">
        <f>Age_At_Entry+Cashflows_Backtesting!B239-1</f>
        <v>54</v>
      </c>
      <c r="E239" s="175">
        <f>IF(AND(C239&lt;=Last_Prem,MOD(A238,Mode)=0),Mod_Prem,0)</f>
        <v>0</v>
      </c>
      <c r="F239" s="177">
        <f>E239*VLOOKUP(B239,'Pre-Calculation'!$H$1:$I$31,2,FALSE)</f>
        <v>0</v>
      </c>
      <c r="G239" s="177">
        <f>IF(B239&lt;PT+1,VLOOKUP(B239,'Pre-Calculation'!$H$1:$L$32,3,FALSE)+VLOOKUP(B239,'Pre-Calculation'!$H$1:$L$32,4,FALSE)*'Pre-Calculation'!$D$7,0)</f>
        <v>0</v>
      </c>
      <c r="H239" s="175">
        <f>(E239-(F239+G239)*(1+Tax)+O238)</f>
        <v>1165437.733</v>
      </c>
      <c r="I239" s="175">
        <f>IF(B239&lt;PT+1,VLOOKUP(D239,'Pre-Calculation'!$N$3:$P$79,IF(INPUT!$C$4="M",2,3),FALSE)*(J239/1000)*(1/12),0)</f>
        <v>0</v>
      </c>
      <c r="J239" s="175">
        <f>MAX(0,(SA-H239))</f>
        <v>0</v>
      </c>
      <c r="K239" s="175">
        <f>H239-I239*(1+Tax)</f>
        <v>1165437.733</v>
      </c>
      <c r="L239" s="187">
        <f>VLOOKUP(C239,'NAVs_Till 29 Jun 2021'!$A$3:$J$2236,MATCH('Pre-Calculation'!$C$34,'NAVs_Till 29 Jun 2021'!$A$1:$J$1,0))</f>
        <v>20.7486</v>
      </c>
      <c r="M239" s="187">
        <f>IFERROR(1,VLOOKUP(C239,'NAVs_Till 29 Jun 2021'!$A$3:$J$2236,MATCH(#REF!,'NAVs_Till 29 Jun 2021'!$A$1:$J$1,0)))</f>
        <v>1</v>
      </c>
      <c r="N239" s="175">
        <f>VLOOKUP('Pre-Calculation'!$C$34,INPUT!$B$20:$C$28,2,0)*K239*(L240/L239)+ IFERROR(0,VLOOKUP('Pre-Calculation'!$D$34,INPUT!$B$20:$C$28,2,0))*K239*(M240/M239)</f>
        <v>1165437.733</v>
      </c>
      <c r="O239" s="175">
        <f t="shared" si="3"/>
        <v>1165437.733</v>
      </c>
      <c r="P239" s="175">
        <f t="shared" si="4"/>
        <v>1165437.733</v>
      </c>
      <c r="Q239" s="175">
        <f>IF('Pre-Calculation'!$D$17="Type 4 a",MAX(SA,O239,1.05*R239),IF('Pre-Calculation'!$D$17="Type 4 c",O239,IF('Pre-Calculation'!$D$17="Type 4 d",SA+O239,IF('Pre-Calculation'!$D$17="Type 4 e",MAX(SA,O239),IF('Pre-Calculation'!$D$17="Type 4 f",SA,IF('Pre-Calculation'!$D$17="Type 4 g",1000+O239,IF('Pre-Calculation'!$D$17="Type 4 h",SA+S239,IF('Pre-Calculation'!$D$17="Type 4 i",MAX(O239,R239),IF('Pre-Calculation'!$D$17="Type 4 k",MAX(O239,1.01*R239),IF('Pre-Calculation'!$D$17="Type 4 m",MAX(105%*R239,SA+O239),IF('Pre-Calculation'!$D$17="Type 4 o",MAX(SA,105%*R239)+X239+Z239,IF('Pre-Calculation'!$D$17="Type 5",0))))))))))))</f>
        <v>1165437.733</v>
      </c>
      <c r="R239" s="175">
        <f t="shared" si="5"/>
        <v>1000000</v>
      </c>
      <c r="S239" s="119">
        <f>K239*(1+GROWTH_RATE)*FMC</f>
        <v>1318.835624</v>
      </c>
      <c r="T239" s="178">
        <f>T238*(1+'Pre-Calculation'!$E$27)</f>
        <v>1267666.894</v>
      </c>
      <c r="U239" s="175">
        <f>-E239+IF(A238=INPUT!$C$11*12,O239,0)</f>
        <v>0</v>
      </c>
      <c r="V239" s="112"/>
      <c r="W239" s="112"/>
      <c r="X239" s="179">
        <f t="array" ref="X239">NPV('Pre-Calculation'!$E$20,$E240:E$246)</f>
        <v>0</v>
      </c>
      <c r="Y239" s="171">
        <f>10%*SA</f>
        <v>100000</v>
      </c>
      <c r="Z239" s="179">
        <f t="array" ref="Z239">NPV('Pre-Calculation'!$E$20,Y240:Y249)</f>
        <v>969592.8037</v>
      </c>
    </row>
    <row r="240" ht="15.75" customHeight="1">
      <c r="A240" s="171">
        <f t="shared" si="1"/>
        <v>234</v>
      </c>
      <c r="B240" s="171">
        <f t="shared" si="2"/>
        <v>20</v>
      </c>
      <c r="C240" s="176">
        <f>EDATE(RCD,A239)</f>
        <v>49643</v>
      </c>
      <c r="D240" s="171">
        <f>Age_At_Entry+Cashflows_Backtesting!B240-1</f>
        <v>54</v>
      </c>
      <c r="E240" s="175">
        <f>IF(AND(C240&lt;=Last_Prem,MOD(A239,Mode)=0),Mod_Prem,0)</f>
        <v>0</v>
      </c>
      <c r="F240" s="177">
        <f>E240*VLOOKUP(B240,'Pre-Calculation'!$H$1:$I$31,2,FALSE)</f>
        <v>0</v>
      </c>
      <c r="G240" s="177">
        <f>IF(B240&lt;PT+1,VLOOKUP(B240,'Pre-Calculation'!$H$1:$L$32,3,FALSE)+VLOOKUP(B240,'Pre-Calculation'!$H$1:$L$32,4,FALSE)*'Pre-Calculation'!$D$7,0)</f>
        <v>0</v>
      </c>
      <c r="H240" s="175">
        <f>(E240-(F240+G240)*(1+Tax)+O239)</f>
        <v>1165437.733</v>
      </c>
      <c r="I240" s="175">
        <f>IF(B240&lt;PT+1,VLOOKUP(D240,'Pre-Calculation'!$N$3:$P$79,IF(INPUT!$C$4="M",2,3),FALSE)*(J240/1000)*(1/12),0)</f>
        <v>0</v>
      </c>
      <c r="J240" s="175">
        <f>MAX(0,(SA-H240))</f>
        <v>0</v>
      </c>
      <c r="K240" s="175">
        <f>H240-I240*(1+Tax)</f>
        <v>1165437.733</v>
      </c>
      <c r="L240" s="187">
        <f>VLOOKUP(C240,'NAVs_Till 29 Jun 2021'!$A$3:$J$2236,MATCH('Pre-Calculation'!$C$34,'NAVs_Till 29 Jun 2021'!$A$1:$J$1,0))</f>
        <v>20.7486</v>
      </c>
      <c r="M240" s="187">
        <f>IFERROR(1,VLOOKUP(C240,'NAVs_Till 29 Jun 2021'!$A$3:$J$2236,MATCH(#REF!,'NAVs_Till 29 Jun 2021'!$A$1:$J$1,0)))</f>
        <v>1</v>
      </c>
      <c r="N240" s="175">
        <f>VLOOKUP('Pre-Calculation'!$C$34,INPUT!$B$20:$C$28,2,0)*K240*(L241/L240)+ IFERROR(0,VLOOKUP('Pre-Calculation'!$D$34,INPUT!$B$20:$C$28,2,0))*K240*(M241/M240)</f>
        <v>1165437.733</v>
      </c>
      <c r="O240" s="175">
        <f t="shared" si="3"/>
        <v>1165437.733</v>
      </c>
      <c r="P240" s="175">
        <f t="shared" si="4"/>
        <v>1165437.733</v>
      </c>
      <c r="Q240" s="175">
        <f>IF('Pre-Calculation'!$D$17="Type 4 a",MAX(SA,O240,1.05*R240),IF('Pre-Calculation'!$D$17="Type 4 c",O240,IF('Pre-Calculation'!$D$17="Type 4 d",SA+O240,IF('Pre-Calculation'!$D$17="Type 4 e",MAX(SA,O240),IF('Pre-Calculation'!$D$17="Type 4 f",SA,IF('Pre-Calculation'!$D$17="Type 4 g",1000+O240,IF('Pre-Calculation'!$D$17="Type 4 h",SA+S240,IF('Pre-Calculation'!$D$17="Type 4 i",MAX(O240,R240),IF('Pre-Calculation'!$D$17="Type 4 k",MAX(O240,1.01*R240),IF('Pre-Calculation'!$D$17="Type 4 m",MAX(105%*R240,SA+O240),IF('Pre-Calculation'!$D$17="Type 4 o",MAX(SA,105%*R240)+X240+Z240,IF('Pre-Calculation'!$D$17="Type 5",0))))))))))))</f>
        <v>1165437.733</v>
      </c>
      <c r="R240" s="175">
        <f t="shared" si="5"/>
        <v>1000000</v>
      </c>
      <c r="S240" s="119">
        <f>K240*(1+GROWTH_RATE)*FMC</f>
        <v>1318.835624</v>
      </c>
      <c r="T240" s="178">
        <f>T239*(1+'Pre-Calculation'!$E$27)</f>
        <v>1271306.237</v>
      </c>
      <c r="U240" s="175">
        <f>-E240+IF(A239=INPUT!$C$11*12,O240,0)</f>
        <v>0</v>
      </c>
      <c r="V240" s="112"/>
      <c r="W240" s="112"/>
      <c r="X240" s="179">
        <f t="array" ref="X240">NPV('Pre-Calculation'!$E$20,$E241:E$246)</f>
        <v>0</v>
      </c>
      <c r="Y240" s="171">
        <f>10%*SA</f>
        <v>100000</v>
      </c>
      <c r="Z240" s="179">
        <f t="array" ref="Z240">NPV('Pre-Calculation'!$E$20,Y241:Y250)</f>
        <v>969592.8037</v>
      </c>
    </row>
    <row r="241" ht="15.75" customHeight="1">
      <c r="A241" s="171">
        <f t="shared" si="1"/>
        <v>235</v>
      </c>
      <c r="B241" s="171">
        <f t="shared" si="2"/>
        <v>20</v>
      </c>
      <c r="C241" s="176">
        <f>EDATE(RCD,A240)</f>
        <v>49673</v>
      </c>
      <c r="D241" s="171">
        <f>Age_At_Entry+Cashflows_Backtesting!B241-1</f>
        <v>54</v>
      </c>
      <c r="E241" s="175">
        <f>IF(AND(C241&lt;=Last_Prem,MOD(A240,Mode)=0),Mod_Prem,0)</f>
        <v>0</v>
      </c>
      <c r="F241" s="177">
        <f>E241*VLOOKUP(B241,'Pre-Calculation'!$H$1:$I$31,2,FALSE)</f>
        <v>0</v>
      </c>
      <c r="G241" s="177">
        <f>IF(B241&lt;PT+1,VLOOKUP(B241,'Pre-Calculation'!$H$1:$L$32,3,FALSE)+VLOOKUP(B241,'Pre-Calculation'!$H$1:$L$32,4,FALSE)*'Pre-Calculation'!$D$7,0)</f>
        <v>0</v>
      </c>
      <c r="H241" s="175">
        <f>(E241-(F241+G241)*(1+Tax)+O240)</f>
        <v>1165437.733</v>
      </c>
      <c r="I241" s="175">
        <f>IF(B241&lt;PT+1,VLOOKUP(D241,'Pre-Calculation'!$N$3:$P$79,IF(INPUT!$C$4="M",2,3),FALSE)*(J241/1000)*(1/12),0)</f>
        <v>0</v>
      </c>
      <c r="J241" s="175">
        <f>MAX(0,(SA-H241))</f>
        <v>0</v>
      </c>
      <c r="K241" s="175">
        <f>H241-I241*(1+Tax)</f>
        <v>1165437.733</v>
      </c>
      <c r="L241" s="187">
        <f>VLOOKUP(C241,'NAVs_Till 29 Jun 2021'!$A$3:$J$2236,MATCH('Pre-Calculation'!$C$34,'NAVs_Till 29 Jun 2021'!$A$1:$J$1,0))</f>
        <v>20.7486</v>
      </c>
      <c r="M241" s="187">
        <f>IFERROR(1,VLOOKUP(C241,'NAVs_Till 29 Jun 2021'!$A$3:$J$2236,MATCH(#REF!,'NAVs_Till 29 Jun 2021'!$A$1:$J$1,0)))</f>
        <v>1</v>
      </c>
      <c r="N241" s="175">
        <f>VLOOKUP('Pre-Calculation'!$C$34,INPUT!$B$20:$C$28,2,0)*K241*(L242/L241)+ IFERROR(0,VLOOKUP('Pre-Calculation'!$D$34,INPUT!$B$20:$C$28,2,0))*K241*(M242/M241)</f>
        <v>1165437.733</v>
      </c>
      <c r="O241" s="175">
        <f t="shared" si="3"/>
        <v>1165437.733</v>
      </c>
      <c r="P241" s="175">
        <f t="shared" si="4"/>
        <v>1165437.733</v>
      </c>
      <c r="Q241" s="175">
        <f>IF('Pre-Calculation'!$D$17="Type 4 a",MAX(SA,O241,1.05*R241),IF('Pre-Calculation'!$D$17="Type 4 c",O241,IF('Pre-Calculation'!$D$17="Type 4 d",SA+O241,IF('Pre-Calculation'!$D$17="Type 4 e",MAX(SA,O241),IF('Pre-Calculation'!$D$17="Type 4 f",SA,IF('Pre-Calculation'!$D$17="Type 4 g",1000+O241,IF('Pre-Calculation'!$D$17="Type 4 h",SA+S241,IF('Pre-Calculation'!$D$17="Type 4 i",MAX(O241,R241),IF('Pre-Calculation'!$D$17="Type 4 k",MAX(O241,1.01*R241),IF('Pre-Calculation'!$D$17="Type 4 m",MAX(105%*R241,SA+O241),IF('Pre-Calculation'!$D$17="Type 4 o",MAX(SA,105%*R241)+X241+Z241,IF('Pre-Calculation'!$D$17="Type 5",0))))))))))))</f>
        <v>1165437.733</v>
      </c>
      <c r="R241" s="175">
        <f t="shared" si="5"/>
        <v>1000000</v>
      </c>
      <c r="S241" s="119">
        <f>K241*(1+GROWTH_RATE)*FMC</f>
        <v>1318.835624</v>
      </c>
      <c r="T241" s="178">
        <f>T240*(1+'Pre-Calculation'!$E$27)</f>
        <v>1274956.028</v>
      </c>
      <c r="U241" s="175">
        <f>-E241+IF(A240=INPUT!$C$11*12,O241,0)</f>
        <v>0</v>
      </c>
      <c r="V241" s="112"/>
      <c r="W241" s="112"/>
      <c r="X241" s="179">
        <f t="array" ref="X241">NPV('Pre-Calculation'!$E$20,$E242:E$246)</f>
        <v>0</v>
      </c>
      <c r="Y241" s="171">
        <f>10%*SA</f>
        <v>100000</v>
      </c>
      <c r="Z241" s="179">
        <f t="array" ref="Z241">NPV('Pre-Calculation'!$E$20,Y242:Y251)</f>
        <v>969592.8037</v>
      </c>
    </row>
    <row r="242" ht="15.75" customHeight="1">
      <c r="A242" s="171">
        <f t="shared" si="1"/>
        <v>236</v>
      </c>
      <c r="B242" s="171">
        <f t="shared" si="2"/>
        <v>20</v>
      </c>
      <c r="C242" s="176">
        <f>EDATE(RCD,A241)</f>
        <v>49704</v>
      </c>
      <c r="D242" s="171">
        <f>Age_At_Entry+Cashflows_Backtesting!B242-1</f>
        <v>54</v>
      </c>
      <c r="E242" s="175">
        <f>IF(AND(C242&lt;=Last_Prem,MOD(A241,Mode)=0),Mod_Prem,0)</f>
        <v>0</v>
      </c>
      <c r="F242" s="177">
        <f>E242*VLOOKUP(B242,'Pre-Calculation'!$H$1:$I$31,2,FALSE)</f>
        <v>0</v>
      </c>
      <c r="G242" s="177">
        <f>IF(B242&lt;PT+1,VLOOKUP(B242,'Pre-Calculation'!$H$1:$L$32,3,FALSE)+VLOOKUP(B242,'Pre-Calculation'!$H$1:$L$32,4,FALSE)*'Pre-Calculation'!$D$7,0)</f>
        <v>0</v>
      </c>
      <c r="H242" s="175">
        <f>(E242-(F242+G242)*(1+Tax)+O241)</f>
        <v>1165437.733</v>
      </c>
      <c r="I242" s="175">
        <f>IF(B242&lt;PT+1,VLOOKUP(D242,'Pre-Calculation'!$N$3:$P$79,IF(INPUT!$C$4="M",2,3),FALSE)*(J242/1000)*(1/12),0)</f>
        <v>0</v>
      </c>
      <c r="J242" s="175">
        <f>MAX(0,(SA-H242))</f>
        <v>0</v>
      </c>
      <c r="K242" s="175">
        <f>H242-I242*(1+Tax)</f>
        <v>1165437.733</v>
      </c>
      <c r="L242" s="187">
        <f>VLOOKUP(C242,'NAVs_Till 29 Jun 2021'!$A$3:$J$2236,MATCH('Pre-Calculation'!$C$34,'NAVs_Till 29 Jun 2021'!$A$1:$J$1,0))</f>
        <v>20.7486</v>
      </c>
      <c r="M242" s="187">
        <f>IFERROR(1,VLOOKUP(C242,'NAVs_Till 29 Jun 2021'!$A$3:$J$2236,MATCH(#REF!,'NAVs_Till 29 Jun 2021'!$A$1:$J$1,0)))</f>
        <v>1</v>
      </c>
      <c r="N242" s="175">
        <f>VLOOKUP('Pre-Calculation'!$C$34,INPUT!$B$20:$C$28,2,0)*K242*(L243/L242)+ IFERROR(0,VLOOKUP('Pre-Calculation'!$D$34,INPUT!$B$20:$C$28,2,0))*K242*(M243/M242)</f>
        <v>1165437.733</v>
      </c>
      <c r="O242" s="175">
        <f t="shared" si="3"/>
        <v>1165437.733</v>
      </c>
      <c r="P242" s="175">
        <f t="shared" si="4"/>
        <v>1165437.733</v>
      </c>
      <c r="Q242" s="175">
        <f>IF('Pre-Calculation'!$D$17="Type 4 a",MAX(SA,O242,1.05*R242),IF('Pre-Calculation'!$D$17="Type 4 c",O242,IF('Pre-Calculation'!$D$17="Type 4 d",SA+O242,IF('Pre-Calculation'!$D$17="Type 4 e",MAX(SA,O242),IF('Pre-Calculation'!$D$17="Type 4 f",SA,IF('Pre-Calculation'!$D$17="Type 4 g",1000+O242,IF('Pre-Calculation'!$D$17="Type 4 h",SA+S242,IF('Pre-Calculation'!$D$17="Type 4 i",MAX(O242,R242),IF('Pre-Calculation'!$D$17="Type 4 k",MAX(O242,1.01*R242),IF('Pre-Calculation'!$D$17="Type 4 m",MAX(105%*R242,SA+O242),IF('Pre-Calculation'!$D$17="Type 4 o",MAX(SA,105%*R242)+X242+Z242,IF('Pre-Calculation'!$D$17="Type 5",0))))))))))))</f>
        <v>1165437.733</v>
      </c>
      <c r="R242" s="175">
        <f t="shared" si="5"/>
        <v>1000000</v>
      </c>
      <c r="S242" s="119">
        <f>K242*(1+GROWTH_RATE)*FMC</f>
        <v>1318.835624</v>
      </c>
      <c r="T242" s="178">
        <f>T241*(1+'Pre-Calculation'!$E$27)</f>
        <v>1278616.298</v>
      </c>
      <c r="U242" s="175">
        <f>-E242+IF(A241=INPUT!$C$11*12,O242,0)</f>
        <v>0</v>
      </c>
      <c r="V242" s="112"/>
      <c r="W242" s="112"/>
      <c r="X242" s="179">
        <f t="array" ref="X242">NPV('Pre-Calculation'!$E$20,$E243:E$246)</f>
        <v>0</v>
      </c>
      <c r="Y242" s="171">
        <f>10%*SA</f>
        <v>100000</v>
      </c>
      <c r="Z242" s="179">
        <f t="array" ref="Z242">NPV('Pre-Calculation'!$E$20,Y243:Y252)</f>
        <v>969592.8037</v>
      </c>
    </row>
    <row r="243" ht="15.75" customHeight="1">
      <c r="A243" s="171">
        <f t="shared" si="1"/>
        <v>237</v>
      </c>
      <c r="B243" s="171">
        <f t="shared" si="2"/>
        <v>20</v>
      </c>
      <c r="C243" s="176">
        <f>EDATE(RCD,A242)</f>
        <v>49734</v>
      </c>
      <c r="D243" s="171">
        <f>Age_At_Entry+Cashflows_Backtesting!B243-1</f>
        <v>54</v>
      </c>
      <c r="E243" s="175">
        <f>IF(AND(C243&lt;=Last_Prem,MOD(A242,Mode)=0),Mod_Prem,0)</f>
        <v>0</v>
      </c>
      <c r="F243" s="177">
        <f>E243*VLOOKUP(B243,'Pre-Calculation'!$H$1:$I$31,2,FALSE)</f>
        <v>0</v>
      </c>
      <c r="G243" s="177">
        <f>IF(B243&lt;PT+1,VLOOKUP(B243,'Pre-Calculation'!$H$1:$L$32,3,FALSE)+VLOOKUP(B243,'Pre-Calculation'!$H$1:$L$32,4,FALSE)*'Pre-Calculation'!$D$7,0)</f>
        <v>0</v>
      </c>
      <c r="H243" s="175">
        <f>(E243-(F243+G243)*(1+Tax)+O242)</f>
        <v>1165437.733</v>
      </c>
      <c r="I243" s="175">
        <f>IF(B243&lt;PT+1,VLOOKUP(D243,'Pre-Calculation'!$N$3:$P$79,IF(INPUT!$C$4="M",2,3),FALSE)*(J243/1000)*(1/12),0)</f>
        <v>0</v>
      </c>
      <c r="J243" s="175">
        <f>MAX(0,(SA-H243))</f>
        <v>0</v>
      </c>
      <c r="K243" s="175">
        <f>H243-I243*(1+Tax)</f>
        <v>1165437.733</v>
      </c>
      <c r="L243" s="187">
        <f>VLOOKUP(C243,'NAVs_Till 29 Jun 2021'!$A$3:$J$2236,MATCH('Pre-Calculation'!$C$34,'NAVs_Till 29 Jun 2021'!$A$1:$J$1,0))</f>
        <v>20.7486</v>
      </c>
      <c r="M243" s="187">
        <f>IFERROR(1,VLOOKUP(C243,'NAVs_Till 29 Jun 2021'!$A$3:$J$2236,MATCH(#REF!,'NAVs_Till 29 Jun 2021'!$A$1:$J$1,0)))</f>
        <v>1</v>
      </c>
      <c r="N243" s="175">
        <f>VLOOKUP('Pre-Calculation'!$C$34,INPUT!$B$20:$C$28,2,0)*K243*(L244/L243)+ IFERROR(0,VLOOKUP('Pre-Calculation'!$D$34,INPUT!$B$20:$C$28,2,0))*K243*(M244/M243)</f>
        <v>1165437.733</v>
      </c>
      <c r="O243" s="175">
        <f t="shared" si="3"/>
        <v>1165437.733</v>
      </c>
      <c r="P243" s="175">
        <f t="shared" si="4"/>
        <v>1165437.733</v>
      </c>
      <c r="Q243" s="175">
        <f>IF('Pre-Calculation'!$D$17="Type 4 a",MAX(SA,O243,1.05*R243),IF('Pre-Calculation'!$D$17="Type 4 c",O243,IF('Pre-Calculation'!$D$17="Type 4 d",SA+O243,IF('Pre-Calculation'!$D$17="Type 4 e",MAX(SA,O243),IF('Pre-Calculation'!$D$17="Type 4 f",SA,IF('Pre-Calculation'!$D$17="Type 4 g",1000+O243,IF('Pre-Calculation'!$D$17="Type 4 h",SA+S243,IF('Pre-Calculation'!$D$17="Type 4 i",MAX(O243,R243),IF('Pre-Calculation'!$D$17="Type 4 k",MAX(O243,1.01*R243),IF('Pre-Calculation'!$D$17="Type 4 m",MAX(105%*R243,SA+O243),IF('Pre-Calculation'!$D$17="Type 4 o",MAX(SA,105%*R243)+X243+Z243,IF('Pre-Calculation'!$D$17="Type 5",0))))))))))))</f>
        <v>1165437.733</v>
      </c>
      <c r="R243" s="175">
        <f t="shared" si="5"/>
        <v>1000000</v>
      </c>
      <c r="S243" s="119">
        <f>K243*(1+GROWTH_RATE)*FMC</f>
        <v>1318.835624</v>
      </c>
      <c r="T243" s="178">
        <f>T242*(1+'Pre-Calculation'!$E$27)</f>
        <v>1282287.076</v>
      </c>
      <c r="U243" s="175">
        <f>-E243+IF(A242=INPUT!$C$11*12,O243,0)</f>
        <v>0</v>
      </c>
      <c r="V243" s="112"/>
      <c r="W243" s="112"/>
      <c r="X243" s="179">
        <f t="array" ref="X243">NPV('Pre-Calculation'!$E$20,$E244:E$246)</f>
        <v>0</v>
      </c>
      <c r="Y243" s="171">
        <f>10%*SA</f>
        <v>100000</v>
      </c>
      <c r="Z243" s="179">
        <f t="array" ref="Z243">NPV('Pre-Calculation'!$E$20,Y244:Y253)</f>
        <v>969592.8037</v>
      </c>
    </row>
    <row r="244" ht="15.75" customHeight="1">
      <c r="A244" s="171">
        <f t="shared" si="1"/>
        <v>238</v>
      </c>
      <c r="B244" s="171">
        <f t="shared" si="2"/>
        <v>20</v>
      </c>
      <c r="C244" s="176">
        <f>EDATE(RCD,A243)</f>
        <v>49764</v>
      </c>
      <c r="D244" s="171">
        <f>Age_At_Entry+Cashflows_Backtesting!B244-1</f>
        <v>54</v>
      </c>
      <c r="E244" s="175">
        <f>IF(AND(C244&lt;=Last_Prem,MOD(A243,Mode)=0),Mod_Prem,0)</f>
        <v>0</v>
      </c>
      <c r="F244" s="177">
        <f>E244*VLOOKUP(B244,'Pre-Calculation'!$H$1:$I$31,2,FALSE)</f>
        <v>0</v>
      </c>
      <c r="G244" s="177">
        <f>IF(B244&lt;PT+1,VLOOKUP(B244,'Pre-Calculation'!$H$1:$L$32,3,FALSE)+VLOOKUP(B244,'Pre-Calculation'!$H$1:$L$32,4,FALSE)*'Pre-Calculation'!$D$7,0)</f>
        <v>0</v>
      </c>
      <c r="H244" s="175">
        <f>(E244-(F244+G244)*(1+Tax)+O243)</f>
        <v>1165437.733</v>
      </c>
      <c r="I244" s="175">
        <f>IF(B244&lt;PT+1,VLOOKUP(D244,'Pre-Calculation'!$N$3:$P$79,IF(INPUT!$C$4="M",2,3),FALSE)*(J244/1000)*(1/12),0)</f>
        <v>0</v>
      </c>
      <c r="J244" s="175">
        <f>MAX(0,(SA-H244))</f>
        <v>0</v>
      </c>
      <c r="K244" s="175">
        <f>H244-I244*(1+Tax)</f>
        <v>1165437.733</v>
      </c>
      <c r="L244" s="187">
        <f>VLOOKUP(C244,'NAVs_Till 29 Jun 2021'!$A$3:$J$2236,MATCH('Pre-Calculation'!$C$34,'NAVs_Till 29 Jun 2021'!$A$1:$J$1,0))</f>
        <v>20.7486</v>
      </c>
      <c r="M244" s="187">
        <f>IFERROR(1,VLOOKUP(C244,'NAVs_Till 29 Jun 2021'!$A$3:$J$2236,MATCH(#REF!,'NAVs_Till 29 Jun 2021'!$A$1:$J$1,0)))</f>
        <v>1</v>
      </c>
      <c r="N244" s="175">
        <f>VLOOKUP('Pre-Calculation'!$C$34,INPUT!$B$20:$C$28,2,0)*K244*(L245/L244)+ IFERROR(0,VLOOKUP('Pre-Calculation'!$D$34,INPUT!$B$20:$C$28,2,0))*K244*(M245/M244)</f>
        <v>1165437.733</v>
      </c>
      <c r="O244" s="175">
        <f t="shared" si="3"/>
        <v>1165437.733</v>
      </c>
      <c r="P244" s="175">
        <f t="shared" si="4"/>
        <v>1165437.733</v>
      </c>
      <c r="Q244" s="175">
        <f>IF('Pre-Calculation'!$D$17="Type 4 a",MAX(SA,O244,1.05*R244),IF('Pre-Calculation'!$D$17="Type 4 c",O244,IF('Pre-Calculation'!$D$17="Type 4 d",SA+O244,IF('Pre-Calculation'!$D$17="Type 4 e",MAX(SA,O244),IF('Pre-Calculation'!$D$17="Type 4 f",SA,IF('Pre-Calculation'!$D$17="Type 4 g",1000+O244,IF('Pre-Calculation'!$D$17="Type 4 h",SA+S244,IF('Pre-Calculation'!$D$17="Type 4 i",MAX(O244,R244),IF('Pre-Calculation'!$D$17="Type 4 k",MAX(O244,1.01*R244),IF('Pre-Calculation'!$D$17="Type 4 m",MAX(105%*R244,SA+O244),IF('Pre-Calculation'!$D$17="Type 4 o",MAX(SA,105%*R244)+X244+Z244,IF('Pre-Calculation'!$D$17="Type 5",0))))))))))))</f>
        <v>1165437.733</v>
      </c>
      <c r="R244" s="175">
        <f t="shared" si="5"/>
        <v>1000000</v>
      </c>
      <c r="S244" s="119">
        <f>K244*(1+GROWTH_RATE)*FMC</f>
        <v>1318.835624</v>
      </c>
      <c r="T244" s="178">
        <f>T243*(1+'Pre-Calculation'!$E$27)</f>
        <v>1285968.392</v>
      </c>
      <c r="U244" s="175">
        <f>-E244+IF(A243=INPUT!$C$11*12,O244,0)</f>
        <v>0</v>
      </c>
      <c r="V244" s="112"/>
      <c r="W244" s="112"/>
      <c r="X244" s="179">
        <f t="array" ref="X244">NPV('Pre-Calculation'!$E$20,$E245:E$246)</f>
        <v>0</v>
      </c>
      <c r="Y244" s="171">
        <f>10%*SA</f>
        <v>100000</v>
      </c>
      <c r="Z244" s="179">
        <f t="array" ref="Z244">NPV('Pre-Calculation'!$E$20,Y245:Y254)</f>
        <v>969592.8037</v>
      </c>
    </row>
    <row r="245" ht="15.75" customHeight="1">
      <c r="A245" s="171">
        <f t="shared" si="1"/>
        <v>239</v>
      </c>
      <c r="B245" s="171">
        <f t="shared" si="2"/>
        <v>20</v>
      </c>
      <c r="C245" s="176">
        <f>EDATE(RCD,A244)</f>
        <v>49795</v>
      </c>
      <c r="D245" s="171">
        <f>Age_At_Entry+Cashflows_Backtesting!B245-1</f>
        <v>54</v>
      </c>
      <c r="E245" s="175">
        <f>IF(AND(C245&lt;=Last_Prem,MOD(A244,Mode)=0),Mod_Prem,0)</f>
        <v>0</v>
      </c>
      <c r="F245" s="177">
        <f>E245*VLOOKUP(B245,'Pre-Calculation'!$H$1:$I$31,2,FALSE)</f>
        <v>0</v>
      </c>
      <c r="G245" s="177">
        <f>IF(B245&lt;PT+1,VLOOKUP(B245,'Pre-Calculation'!$H$1:$L$32,3,FALSE)+VLOOKUP(B245,'Pre-Calculation'!$H$1:$L$32,4,FALSE)*'Pre-Calculation'!$D$7,0)</f>
        <v>0</v>
      </c>
      <c r="H245" s="175">
        <f>(E245-(F245+G245)*(1+Tax)+O244)</f>
        <v>1165437.733</v>
      </c>
      <c r="I245" s="175">
        <f>IF(B245&lt;PT+1,VLOOKUP(D245,'Pre-Calculation'!$N$3:$P$79,IF(INPUT!$C$4="M",2,3),FALSE)*(J245/1000)*(1/12),0)</f>
        <v>0</v>
      </c>
      <c r="J245" s="175">
        <f>MAX(0,(SA-H245))</f>
        <v>0</v>
      </c>
      <c r="K245" s="175">
        <f>H245-I245*(1+Tax)</f>
        <v>1165437.733</v>
      </c>
      <c r="L245" s="187">
        <f>VLOOKUP(C245,'NAVs_Till 29 Jun 2021'!$A$3:$J$2236,MATCH('Pre-Calculation'!$C$34,'NAVs_Till 29 Jun 2021'!$A$1:$J$1,0))</f>
        <v>20.7486</v>
      </c>
      <c r="M245" s="187">
        <f>IFERROR(1,VLOOKUP(C245,'NAVs_Till 29 Jun 2021'!$A$3:$J$2236,MATCH(#REF!,'NAVs_Till 29 Jun 2021'!$A$1:$J$1,0)))</f>
        <v>1</v>
      </c>
      <c r="N245" s="175">
        <f>VLOOKUP('Pre-Calculation'!$C$34,INPUT!$B$20:$C$28,2,0)*K245*(L246/L245)+ IFERROR(0,VLOOKUP('Pre-Calculation'!$D$34,INPUT!$B$20:$C$28,2,0))*K245*(M246/M245)</f>
        <v>1165437.733</v>
      </c>
      <c r="O245" s="175">
        <f t="shared" si="3"/>
        <v>1165437.733</v>
      </c>
      <c r="P245" s="175">
        <f t="shared" si="4"/>
        <v>1165437.733</v>
      </c>
      <c r="Q245" s="175">
        <f>IF('Pre-Calculation'!$D$17="Type 4 a",MAX(SA,O245,1.05*R245),IF('Pre-Calculation'!$D$17="Type 4 c",O245,IF('Pre-Calculation'!$D$17="Type 4 d",SA+O245,IF('Pre-Calculation'!$D$17="Type 4 e",MAX(SA,O245),IF('Pre-Calculation'!$D$17="Type 4 f",SA,IF('Pre-Calculation'!$D$17="Type 4 g",1000+O245,IF('Pre-Calculation'!$D$17="Type 4 h",SA+S245,IF('Pre-Calculation'!$D$17="Type 4 i",MAX(O245,R245),IF('Pre-Calculation'!$D$17="Type 4 k",MAX(O245,1.01*R245),IF('Pre-Calculation'!$D$17="Type 4 m",MAX(105%*R245,SA+O245),IF('Pre-Calculation'!$D$17="Type 4 o",MAX(SA,105%*R245)+X245+Z245,IF('Pre-Calculation'!$D$17="Type 5",0))))))))))))</f>
        <v>1165437.733</v>
      </c>
      <c r="R245" s="175">
        <f t="shared" si="5"/>
        <v>1000000</v>
      </c>
      <c r="S245" s="119">
        <f>K245*(1+GROWTH_RATE)*FMC</f>
        <v>1318.835624</v>
      </c>
      <c r="T245" s="178">
        <f>T244*(1+'Pre-Calculation'!$E$27)</f>
        <v>1289660.277</v>
      </c>
      <c r="U245" s="175">
        <f>-E245+IF(A244=INPUT!$C$11*12,O245,0)</f>
        <v>0</v>
      </c>
      <c r="V245" s="112"/>
      <c r="W245" s="112"/>
      <c r="X245" s="179">
        <f t="array" ref="X245">NPV('Pre-Calculation'!$E$20,$E246:E$246)</f>
        <v>0</v>
      </c>
      <c r="Y245" s="171">
        <f>10%*SA</f>
        <v>100000</v>
      </c>
      <c r="Z245" s="179">
        <f t="array" ref="Z245">NPV('Pre-Calculation'!$E$20,Y246:Y255)</f>
        <v>969592.8037</v>
      </c>
    </row>
    <row r="246" ht="15.75" customHeight="1">
      <c r="A246" s="171">
        <f t="shared" si="1"/>
        <v>240</v>
      </c>
      <c r="B246" s="171">
        <f t="shared" si="2"/>
        <v>20</v>
      </c>
      <c r="C246" s="176">
        <f>EDATE(RCD,A245)</f>
        <v>49825</v>
      </c>
      <c r="D246" s="171">
        <f>Age_At_Entry+Cashflows_Backtesting!B246-1</f>
        <v>54</v>
      </c>
      <c r="E246" s="175">
        <f>IF(AND(C246&lt;=Last_Prem,MOD(A245,Mode)=0),Mod_Prem,0)</f>
        <v>0</v>
      </c>
      <c r="F246" s="177">
        <f>E246*VLOOKUP(B246,'Pre-Calculation'!$H$1:$I$31,2,FALSE)</f>
        <v>0</v>
      </c>
      <c r="G246" s="177">
        <f>IF(B246&lt;PT+1,VLOOKUP(B246,'Pre-Calculation'!$H$1:$L$32,3,FALSE)+VLOOKUP(B246,'Pre-Calculation'!$H$1:$L$32,4,FALSE)*'Pre-Calculation'!$D$7,0)</f>
        <v>0</v>
      </c>
      <c r="H246" s="175">
        <f>(E246-(F246+G246)*(1+Tax)+O245)</f>
        <v>1165437.733</v>
      </c>
      <c r="I246" s="175">
        <f>IF(B246&lt;PT+1,VLOOKUP(D246,'Pre-Calculation'!$N$3:$P$79,IF(INPUT!$C$4="M",2,3),FALSE)*(J246/1000)*(1/12),0)</f>
        <v>0</v>
      </c>
      <c r="J246" s="175">
        <f>MAX(0,(SA-H246))</f>
        <v>0</v>
      </c>
      <c r="K246" s="175">
        <f>H246-I246*(1+Tax)</f>
        <v>1165437.733</v>
      </c>
      <c r="L246" s="187">
        <f>VLOOKUP(C246,'NAVs_Till 29 Jun 2021'!$A$3:$J$2236,MATCH('Pre-Calculation'!$C$34,'NAVs_Till 29 Jun 2021'!$A$1:$J$1,0))</f>
        <v>20.7486</v>
      </c>
      <c r="M246" s="187">
        <f>IFERROR(1,VLOOKUP(C246,'NAVs_Till 29 Jun 2021'!$A$3:$J$2236,MATCH(#REF!,'NAVs_Till 29 Jun 2021'!$A$1:$J$1,0)))</f>
        <v>1</v>
      </c>
      <c r="N246" s="175">
        <f>VLOOKUP('Pre-Calculation'!$C$34,INPUT!$B$20:$C$28,2,0)*K246*(L247/L246)+ IFERROR(0,VLOOKUP('Pre-Calculation'!$D$34,INPUT!$B$20:$C$28,2,0))*K246*(M247/M246)</f>
        <v>0</v>
      </c>
      <c r="O246" s="175">
        <f t="shared" si="3"/>
        <v>0</v>
      </c>
      <c r="P246" s="175">
        <f t="shared" si="4"/>
        <v>0</v>
      </c>
      <c r="Q246" s="175">
        <f>IF('Pre-Calculation'!$D$17="Type 4 a",MAX(SA,O246,1.05*R246),IF('Pre-Calculation'!$D$17="Type 4 c",O246,IF('Pre-Calculation'!$D$17="Type 4 d",SA+O246,IF('Pre-Calculation'!$D$17="Type 4 e",MAX(SA,O246),IF('Pre-Calculation'!$D$17="Type 4 f",SA,IF('Pre-Calculation'!$D$17="Type 4 g",1000+O246,IF('Pre-Calculation'!$D$17="Type 4 h",SA+S246,IF('Pre-Calculation'!$D$17="Type 4 i",MAX(O246,R246),IF('Pre-Calculation'!$D$17="Type 4 k",MAX(O246,1.01*R246),IF('Pre-Calculation'!$D$17="Type 4 m",MAX(105%*R246,SA+O246),IF('Pre-Calculation'!$D$17="Type 4 o",MAX(SA,105%*R246)+X246+Z246,IF('Pre-Calculation'!$D$17="Type 5",0))))))))))))</f>
        <v>1050000</v>
      </c>
      <c r="R246" s="175">
        <f t="shared" si="5"/>
        <v>1000000</v>
      </c>
      <c r="S246" s="119">
        <f>K246*(1+GROWTH_RATE)*FMC</f>
        <v>1318.835624</v>
      </c>
      <c r="T246" s="178">
        <f>T245*(1+'Pre-Calculation'!$E$27)</f>
        <v>1293362.761</v>
      </c>
      <c r="U246" s="175">
        <f>-E246+IF(A245=INPUT!$C$11*12,O246,0)</f>
        <v>0</v>
      </c>
      <c r="V246" s="112"/>
      <c r="W246" s="112"/>
      <c r="X246" s="179">
        <f t="array" ref="X246">NPV('Pre-Calculation'!$E$20,$E$246:E247)</f>
        <v>0</v>
      </c>
      <c r="Y246" s="171">
        <f>10%*SA</f>
        <v>100000</v>
      </c>
      <c r="Z246" s="179">
        <f t="array" ref="Z246">NPV('Pre-Calculation'!$E$20,Y247:Y256)</f>
        <v>969592.8037</v>
      </c>
    </row>
    <row r="247" ht="15.75" customHeight="1">
      <c r="A247" s="12"/>
      <c r="B247" s="171"/>
      <c r="C247" s="12"/>
      <c r="D247" s="12"/>
      <c r="E247" s="171"/>
      <c r="F247" s="12"/>
      <c r="G247" s="12"/>
      <c r="H247" s="12"/>
      <c r="I247" s="12"/>
      <c r="J247" s="12"/>
      <c r="K247" s="12"/>
      <c r="L247" s="12"/>
      <c r="M247" s="12"/>
      <c r="N247" s="12"/>
      <c r="O247" s="12"/>
      <c r="P247" s="12"/>
      <c r="Q247" s="12"/>
      <c r="R247" s="12"/>
      <c r="S247" s="12"/>
      <c r="T247" s="12"/>
      <c r="U247" s="12"/>
      <c r="V247" s="12"/>
      <c r="W247" s="12"/>
      <c r="X247" s="12"/>
      <c r="Y247" s="36">
        <f>10%*SA</f>
        <v>100000</v>
      </c>
      <c r="Z247" s="12"/>
    </row>
    <row r="248" ht="15.75" customHeight="1">
      <c r="A248" s="12"/>
      <c r="B248" s="12"/>
      <c r="C248" s="12"/>
      <c r="D248" s="12"/>
      <c r="E248" s="171"/>
      <c r="F248" s="12"/>
      <c r="G248" s="12"/>
      <c r="H248" s="12"/>
      <c r="I248" s="12"/>
      <c r="J248" s="12"/>
      <c r="K248" s="12"/>
      <c r="L248" s="12"/>
      <c r="M248" s="12"/>
      <c r="N248" s="12"/>
      <c r="O248" s="12"/>
      <c r="P248" s="12"/>
      <c r="Q248" s="12"/>
      <c r="R248" s="12"/>
      <c r="S248" s="12"/>
      <c r="T248" s="12"/>
      <c r="U248" s="12"/>
      <c r="V248" s="12"/>
      <c r="W248" s="12"/>
      <c r="X248" s="12"/>
      <c r="Y248" s="36">
        <f>10%*SA</f>
        <v>100000</v>
      </c>
      <c r="Z248" s="12"/>
    </row>
    <row r="249" ht="15.75" customHeight="1">
      <c r="A249" s="12"/>
      <c r="B249" s="12"/>
      <c r="C249" s="12"/>
      <c r="D249" s="12"/>
      <c r="E249" s="171"/>
      <c r="F249" s="12"/>
      <c r="G249" s="12"/>
      <c r="H249" s="12"/>
      <c r="I249" s="12"/>
      <c r="J249" s="12"/>
      <c r="K249" s="12"/>
      <c r="L249" s="12"/>
      <c r="M249" s="12"/>
      <c r="N249" s="12"/>
      <c r="O249" s="12"/>
      <c r="P249" s="12"/>
      <c r="Q249" s="12"/>
      <c r="R249" s="12"/>
      <c r="S249" s="12"/>
      <c r="T249" s="12"/>
      <c r="U249" s="12"/>
      <c r="V249" s="12"/>
      <c r="W249" s="12"/>
      <c r="X249" s="12"/>
      <c r="Y249" s="36">
        <f>10%*SA</f>
        <v>100000</v>
      </c>
      <c r="Z249" s="12"/>
    </row>
    <row r="250" ht="15.75" customHeight="1">
      <c r="A250" s="12"/>
      <c r="B250" s="12"/>
      <c r="C250" s="12"/>
      <c r="D250" s="12"/>
      <c r="E250" s="171"/>
      <c r="F250" s="12"/>
      <c r="G250" s="12"/>
      <c r="H250" s="12"/>
      <c r="I250" s="12"/>
      <c r="J250" s="12"/>
      <c r="K250" s="12"/>
      <c r="L250" s="12"/>
      <c r="M250" s="12"/>
      <c r="N250" s="12"/>
      <c r="O250" s="12"/>
      <c r="P250" s="12"/>
      <c r="Q250" s="12"/>
      <c r="R250" s="12"/>
      <c r="S250" s="12"/>
      <c r="T250" s="12"/>
      <c r="U250" s="12"/>
      <c r="V250" s="12"/>
      <c r="W250" s="12"/>
      <c r="X250" s="12"/>
      <c r="Y250" s="36">
        <f>10%*SA</f>
        <v>100000</v>
      </c>
      <c r="Z250" s="12"/>
    </row>
    <row r="251" ht="15.75" customHeight="1">
      <c r="A251" s="12"/>
      <c r="B251" s="12"/>
      <c r="C251" s="12"/>
      <c r="D251" s="12"/>
      <c r="E251" s="171"/>
      <c r="F251" s="12"/>
      <c r="G251" s="12"/>
      <c r="H251" s="12"/>
      <c r="I251" s="12"/>
      <c r="J251" s="12"/>
      <c r="K251" s="12"/>
      <c r="L251" s="12"/>
      <c r="M251" s="12"/>
      <c r="N251" s="12"/>
      <c r="O251" s="12"/>
      <c r="P251" s="12"/>
      <c r="Q251" s="12"/>
      <c r="R251" s="12"/>
      <c r="S251" s="12"/>
      <c r="T251" s="12"/>
      <c r="U251" s="12"/>
      <c r="V251" s="12"/>
      <c r="W251" s="12"/>
      <c r="X251" s="12"/>
      <c r="Y251" s="36">
        <f>10%*SA</f>
        <v>100000</v>
      </c>
      <c r="Z251" s="12"/>
    </row>
    <row r="252" ht="15.75" customHeight="1">
      <c r="A252" s="12"/>
      <c r="B252" s="12"/>
      <c r="C252" s="12"/>
      <c r="D252" s="12"/>
      <c r="E252" s="171"/>
      <c r="F252" s="12"/>
      <c r="G252" s="12"/>
      <c r="H252" s="12"/>
      <c r="I252" s="12"/>
      <c r="J252" s="12"/>
      <c r="K252" s="12"/>
      <c r="L252" s="12"/>
      <c r="M252" s="12"/>
      <c r="N252" s="12"/>
      <c r="O252" s="12"/>
      <c r="P252" s="12"/>
      <c r="Q252" s="12"/>
      <c r="R252" s="12"/>
      <c r="S252" s="12"/>
      <c r="T252" s="12"/>
      <c r="U252" s="12"/>
      <c r="V252" s="12"/>
      <c r="W252" s="12"/>
      <c r="X252" s="12"/>
      <c r="Y252" s="36">
        <f>10%*SA</f>
        <v>100000</v>
      </c>
      <c r="Z252" s="12"/>
    </row>
    <row r="253" ht="15.75" customHeight="1">
      <c r="A253" s="12"/>
      <c r="B253" s="12"/>
      <c r="C253" s="12"/>
      <c r="D253" s="12"/>
      <c r="E253" s="171"/>
      <c r="F253" s="12"/>
      <c r="G253" s="12"/>
      <c r="H253" s="12"/>
      <c r="I253" s="12"/>
      <c r="J253" s="12"/>
      <c r="K253" s="12"/>
      <c r="L253" s="12"/>
      <c r="M253" s="12"/>
      <c r="N253" s="12"/>
      <c r="O253" s="12"/>
      <c r="P253" s="12"/>
      <c r="Q253" s="12"/>
      <c r="R253" s="12"/>
      <c r="S253" s="12"/>
      <c r="T253" s="12"/>
      <c r="U253" s="12"/>
      <c r="V253" s="12"/>
      <c r="W253" s="12"/>
      <c r="X253" s="12"/>
      <c r="Y253" s="36">
        <f>10%*SA</f>
        <v>100000</v>
      </c>
      <c r="Z253" s="12"/>
    </row>
    <row r="254" ht="15.75" customHeight="1">
      <c r="A254" s="12"/>
      <c r="B254" s="12"/>
      <c r="C254" s="12"/>
      <c r="D254" s="12"/>
      <c r="E254" s="171"/>
      <c r="F254" s="12"/>
      <c r="G254" s="12"/>
      <c r="H254" s="12"/>
      <c r="I254" s="12"/>
      <c r="J254" s="12"/>
      <c r="K254" s="12"/>
      <c r="L254" s="12"/>
      <c r="M254" s="12"/>
      <c r="N254" s="12"/>
      <c r="O254" s="12"/>
      <c r="P254" s="12"/>
      <c r="Q254" s="12"/>
      <c r="R254" s="12"/>
      <c r="S254" s="12"/>
      <c r="T254" s="12"/>
      <c r="U254" s="12"/>
      <c r="V254" s="12"/>
      <c r="W254" s="12"/>
      <c r="X254" s="12"/>
      <c r="Y254" s="36">
        <f>10%*SA</f>
        <v>100000</v>
      </c>
      <c r="Z254" s="12"/>
    </row>
    <row r="255" ht="15.75" customHeight="1">
      <c r="A255" s="12"/>
      <c r="B255" s="12"/>
      <c r="C255" s="12"/>
      <c r="D255" s="12"/>
      <c r="E255" s="171"/>
      <c r="F255" s="12"/>
      <c r="G255" s="12"/>
      <c r="H255" s="12"/>
      <c r="I255" s="12"/>
      <c r="J255" s="12"/>
      <c r="K255" s="12"/>
      <c r="L255" s="12"/>
      <c r="M255" s="12"/>
      <c r="N255" s="12"/>
      <c r="O255" s="12"/>
      <c r="P255" s="12"/>
      <c r="Q255" s="12"/>
      <c r="R255" s="12"/>
      <c r="S255" s="12"/>
      <c r="T255" s="12"/>
      <c r="U255" s="12"/>
      <c r="V255" s="12"/>
      <c r="W255" s="12"/>
      <c r="X255" s="12"/>
      <c r="Y255" s="36">
        <f>10%*SA</f>
        <v>100000</v>
      </c>
      <c r="Z255" s="12"/>
    </row>
    <row r="256" ht="15.75" customHeight="1">
      <c r="A256" s="12"/>
      <c r="B256" s="12"/>
      <c r="C256" s="12"/>
      <c r="D256" s="12"/>
      <c r="E256" s="171"/>
      <c r="F256" s="12"/>
      <c r="G256" s="12"/>
      <c r="H256" s="12"/>
      <c r="I256" s="12"/>
      <c r="J256" s="12"/>
      <c r="K256" s="12"/>
      <c r="L256" s="12"/>
      <c r="M256" s="12"/>
      <c r="N256" s="12"/>
      <c r="O256" s="12"/>
      <c r="P256" s="12"/>
      <c r="Q256" s="12"/>
      <c r="R256" s="12"/>
      <c r="S256" s="12"/>
      <c r="T256" s="12"/>
      <c r="U256" s="12"/>
      <c r="V256" s="12"/>
      <c r="W256" s="12"/>
      <c r="X256" s="12"/>
      <c r="Y256" s="36">
        <f>10%*SA</f>
        <v>100000</v>
      </c>
      <c r="Z256" s="12"/>
    </row>
    <row r="257" ht="15.75" customHeight="1">
      <c r="A257" s="12"/>
      <c r="B257" s="12"/>
      <c r="C257" s="12"/>
      <c r="D257" s="12"/>
      <c r="E257" s="171"/>
      <c r="F257" s="12"/>
      <c r="G257" s="12"/>
      <c r="H257" s="12"/>
      <c r="I257" s="12"/>
      <c r="J257" s="12"/>
      <c r="K257" s="12"/>
      <c r="L257" s="12"/>
      <c r="M257" s="12"/>
      <c r="N257" s="12"/>
      <c r="O257" s="12"/>
      <c r="P257" s="12"/>
      <c r="Q257" s="12"/>
      <c r="R257" s="12"/>
      <c r="S257" s="12"/>
      <c r="T257" s="12"/>
      <c r="U257" s="12"/>
      <c r="V257" s="12"/>
      <c r="W257" s="12"/>
      <c r="X257" s="12"/>
      <c r="Y257" s="12"/>
      <c r="Z257" s="12"/>
    </row>
    <row r="258" ht="15.75" customHeight="1">
      <c r="A258" s="12"/>
      <c r="B258" s="12"/>
      <c r="C258" s="12"/>
      <c r="D258" s="12"/>
      <c r="E258" s="171"/>
      <c r="F258" s="12"/>
      <c r="G258" s="12"/>
      <c r="H258" s="12"/>
      <c r="I258" s="12"/>
      <c r="J258" s="12"/>
      <c r="K258" s="12"/>
      <c r="L258" s="12"/>
      <c r="M258" s="12"/>
      <c r="N258" s="12"/>
      <c r="O258" s="12"/>
      <c r="P258" s="12"/>
      <c r="Q258" s="12"/>
      <c r="R258" s="12"/>
      <c r="S258" s="12"/>
      <c r="T258" s="12"/>
      <c r="U258" s="12"/>
      <c r="V258" s="12"/>
      <c r="W258" s="12"/>
      <c r="X258" s="12"/>
      <c r="Y258" s="12"/>
      <c r="Z258" s="12"/>
    </row>
    <row r="259" ht="15.75" customHeight="1">
      <c r="A259" s="12"/>
      <c r="B259" s="12"/>
      <c r="C259" s="12"/>
      <c r="D259" s="12"/>
      <c r="E259" s="171"/>
      <c r="F259" s="12"/>
      <c r="G259" s="12"/>
      <c r="H259" s="12"/>
      <c r="I259" s="12"/>
      <c r="J259" s="12"/>
      <c r="K259" s="12"/>
      <c r="L259" s="12"/>
      <c r="M259" s="12"/>
      <c r="N259" s="12"/>
      <c r="O259" s="12"/>
      <c r="P259" s="12"/>
      <c r="Q259" s="12"/>
      <c r="R259" s="12"/>
      <c r="S259" s="12"/>
      <c r="T259" s="12"/>
      <c r="U259" s="12"/>
      <c r="V259" s="12"/>
      <c r="W259" s="12"/>
      <c r="X259" s="12"/>
      <c r="Y259" s="12"/>
      <c r="Z259" s="12"/>
    </row>
    <row r="260" ht="15.75" customHeight="1">
      <c r="A260" s="12"/>
      <c r="B260" s="12"/>
      <c r="C260" s="12"/>
      <c r="D260" s="12"/>
      <c r="E260" s="171"/>
      <c r="F260" s="12"/>
      <c r="G260" s="12"/>
      <c r="H260" s="12"/>
      <c r="I260" s="12"/>
      <c r="J260" s="12"/>
      <c r="K260" s="12"/>
      <c r="L260" s="12"/>
      <c r="M260" s="12"/>
      <c r="N260" s="12"/>
      <c r="O260" s="12"/>
      <c r="P260" s="12"/>
      <c r="Q260" s="12"/>
      <c r="R260" s="12"/>
      <c r="S260" s="12"/>
      <c r="T260" s="12"/>
      <c r="U260" s="12"/>
      <c r="V260" s="12"/>
      <c r="W260" s="12"/>
      <c r="X260" s="12"/>
      <c r="Y260" s="12"/>
      <c r="Z260" s="12"/>
    </row>
    <row r="261" ht="15.75" customHeight="1">
      <c r="A261" s="12"/>
      <c r="B261" s="12"/>
      <c r="C261" s="12"/>
      <c r="D261" s="12"/>
      <c r="E261" s="171"/>
      <c r="F261" s="12"/>
      <c r="G261" s="12"/>
      <c r="H261" s="12"/>
      <c r="I261" s="12"/>
      <c r="J261" s="12"/>
      <c r="K261" s="12"/>
      <c r="L261" s="12"/>
      <c r="M261" s="12"/>
      <c r="N261" s="12"/>
      <c r="O261" s="12"/>
      <c r="P261" s="12"/>
      <c r="Q261" s="12"/>
      <c r="R261" s="12"/>
      <c r="S261" s="12"/>
      <c r="T261" s="12"/>
      <c r="U261" s="12"/>
      <c r="V261" s="12"/>
      <c r="W261" s="12"/>
      <c r="X261" s="12"/>
      <c r="Y261" s="12"/>
      <c r="Z261" s="12"/>
    </row>
    <row r="262" ht="15.75" customHeight="1">
      <c r="A262" s="12"/>
      <c r="B262" s="12"/>
      <c r="C262" s="12"/>
      <c r="D262" s="12"/>
      <c r="E262" s="171"/>
      <c r="F262" s="12"/>
      <c r="G262" s="12"/>
      <c r="H262" s="12"/>
      <c r="I262" s="12"/>
      <c r="J262" s="12"/>
      <c r="K262" s="12"/>
      <c r="L262" s="12"/>
      <c r="M262" s="12"/>
      <c r="N262" s="12"/>
      <c r="O262" s="12"/>
      <c r="P262" s="12"/>
      <c r="Q262" s="12"/>
      <c r="R262" s="12"/>
      <c r="S262" s="12"/>
      <c r="T262" s="12"/>
      <c r="U262" s="12"/>
      <c r="V262" s="12"/>
      <c r="W262" s="12"/>
      <c r="X262" s="12"/>
      <c r="Y262" s="12"/>
      <c r="Z262" s="12"/>
    </row>
    <row r="263" ht="15.75" customHeight="1">
      <c r="A263" s="12"/>
      <c r="B263" s="12"/>
      <c r="C263" s="12"/>
      <c r="D263" s="12"/>
      <c r="E263" s="171"/>
      <c r="F263" s="12"/>
      <c r="G263" s="12"/>
      <c r="H263" s="12"/>
      <c r="I263" s="12"/>
      <c r="J263" s="12"/>
      <c r="K263" s="12"/>
      <c r="L263" s="12"/>
      <c r="M263" s="12"/>
      <c r="N263" s="12"/>
      <c r="O263" s="12"/>
      <c r="P263" s="12"/>
      <c r="Q263" s="12"/>
      <c r="R263" s="12"/>
      <c r="S263" s="12"/>
      <c r="T263" s="12"/>
      <c r="U263" s="12"/>
      <c r="V263" s="12"/>
      <c r="W263" s="12"/>
      <c r="X263" s="12"/>
      <c r="Y263" s="12"/>
      <c r="Z263" s="12"/>
    </row>
    <row r="264" ht="15.75" customHeight="1">
      <c r="A264" s="12"/>
      <c r="B264" s="12"/>
      <c r="C264" s="12"/>
      <c r="D264" s="12"/>
      <c r="E264" s="171"/>
      <c r="F264" s="12"/>
      <c r="G264" s="12"/>
      <c r="H264" s="12"/>
      <c r="I264" s="12"/>
      <c r="J264" s="12"/>
      <c r="K264" s="12"/>
      <c r="L264" s="12"/>
      <c r="M264" s="12"/>
      <c r="N264" s="12"/>
      <c r="O264" s="12"/>
      <c r="P264" s="12"/>
      <c r="Q264" s="12"/>
      <c r="R264" s="12"/>
      <c r="S264" s="12"/>
      <c r="T264" s="12"/>
      <c r="U264" s="12"/>
      <c r="V264" s="12"/>
      <c r="W264" s="12"/>
      <c r="X264" s="12"/>
      <c r="Y264" s="12"/>
      <c r="Z264" s="12"/>
    </row>
    <row r="265" ht="15.75" customHeight="1">
      <c r="A265" s="12"/>
      <c r="B265" s="12"/>
      <c r="C265" s="12"/>
      <c r="D265" s="12"/>
      <c r="E265" s="171"/>
      <c r="F265" s="12"/>
      <c r="G265" s="12"/>
      <c r="H265" s="12"/>
      <c r="I265" s="12"/>
      <c r="J265" s="12"/>
      <c r="K265" s="12"/>
      <c r="L265" s="12"/>
      <c r="M265" s="12"/>
      <c r="N265" s="12"/>
      <c r="O265" s="12"/>
      <c r="P265" s="12"/>
      <c r="Q265" s="12"/>
      <c r="R265" s="12"/>
      <c r="S265" s="12"/>
      <c r="T265" s="12"/>
      <c r="U265" s="12"/>
      <c r="V265" s="12"/>
      <c r="W265" s="12"/>
      <c r="X265" s="12"/>
      <c r="Y265" s="12"/>
      <c r="Z265" s="12"/>
    </row>
    <row r="266" ht="15.75" customHeight="1">
      <c r="A266" s="12"/>
      <c r="B266" s="12"/>
      <c r="C266" s="12"/>
      <c r="D266" s="12"/>
      <c r="E266" s="171"/>
      <c r="F266" s="12"/>
      <c r="G266" s="12"/>
      <c r="H266" s="12"/>
      <c r="I266" s="12"/>
      <c r="J266" s="12"/>
      <c r="K266" s="12"/>
      <c r="L266" s="12"/>
      <c r="M266" s="12"/>
      <c r="N266" s="12"/>
      <c r="O266" s="12"/>
      <c r="P266" s="12"/>
      <c r="Q266" s="12"/>
      <c r="R266" s="12"/>
      <c r="S266" s="12"/>
      <c r="T266" s="12"/>
      <c r="U266" s="12"/>
      <c r="V266" s="12"/>
      <c r="W266" s="12"/>
      <c r="X266" s="12"/>
      <c r="Y266" s="12"/>
      <c r="Z266" s="12"/>
    </row>
    <row r="267" ht="15.75" customHeight="1">
      <c r="A267" s="12"/>
      <c r="B267" s="12"/>
      <c r="C267" s="12"/>
      <c r="D267" s="12"/>
      <c r="E267" s="171"/>
      <c r="F267" s="12"/>
      <c r="G267" s="12"/>
      <c r="H267" s="12"/>
      <c r="I267" s="12"/>
      <c r="J267" s="12"/>
      <c r="K267" s="12"/>
      <c r="L267" s="12"/>
      <c r="M267" s="12"/>
      <c r="N267" s="12"/>
      <c r="O267" s="12"/>
      <c r="P267" s="12"/>
      <c r="Q267" s="12"/>
      <c r="R267" s="12"/>
      <c r="S267" s="12"/>
      <c r="T267" s="12"/>
      <c r="U267" s="12"/>
      <c r="V267" s="12"/>
      <c r="W267" s="12"/>
      <c r="X267" s="12"/>
      <c r="Y267" s="12"/>
      <c r="Z267" s="12"/>
    </row>
    <row r="268" ht="15.75" customHeight="1">
      <c r="A268" s="12"/>
      <c r="B268" s="12"/>
      <c r="C268" s="12"/>
      <c r="D268" s="12"/>
      <c r="E268" s="171"/>
      <c r="F268" s="12"/>
      <c r="G268" s="12"/>
      <c r="H268" s="12"/>
      <c r="I268" s="12"/>
      <c r="J268" s="12"/>
      <c r="K268" s="12"/>
      <c r="L268" s="12"/>
      <c r="M268" s="12"/>
      <c r="N268" s="12"/>
      <c r="O268" s="12"/>
      <c r="P268" s="12"/>
      <c r="Q268" s="12"/>
      <c r="R268" s="12"/>
      <c r="S268" s="12"/>
      <c r="T268" s="12"/>
      <c r="U268" s="12"/>
      <c r="V268" s="12"/>
      <c r="W268" s="12"/>
      <c r="X268" s="12"/>
      <c r="Y268" s="12"/>
      <c r="Z268" s="12"/>
    </row>
    <row r="269" ht="15.75" customHeight="1">
      <c r="A269" s="12"/>
      <c r="B269" s="12"/>
      <c r="C269" s="12"/>
      <c r="D269" s="12"/>
      <c r="E269" s="171"/>
      <c r="F269" s="12"/>
      <c r="G269" s="12"/>
      <c r="H269" s="12"/>
      <c r="I269" s="12"/>
      <c r="J269" s="12"/>
      <c r="K269" s="12"/>
      <c r="L269" s="12"/>
      <c r="M269" s="12"/>
      <c r="N269" s="12"/>
      <c r="O269" s="12"/>
      <c r="P269" s="12"/>
      <c r="Q269" s="12"/>
      <c r="R269" s="12"/>
      <c r="S269" s="12"/>
      <c r="T269" s="12"/>
      <c r="U269" s="12"/>
      <c r="V269" s="12"/>
      <c r="W269" s="12"/>
      <c r="X269" s="12"/>
      <c r="Y269" s="12"/>
      <c r="Z269" s="12"/>
    </row>
    <row r="270" ht="15.75" customHeight="1">
      <c r="A270" s="12"/>
      <c r="B270" s="12"/>
      <c r="C270" s="12"/>
      <c r="D270" s="12"/>
      <c r="E270" s="171"/>
      <c r="F270" s="12"/>
      <c r="G270" s="12"/>
      <c r="H270" s="12"/>
      <c r="I270" s="12"/>
      <c r="J270" s="12"/>
      <c r="K270" s="12"/>
      <c r="L270" s="12"/>
      <c r="M270" s="12"/>
      <c r="N270" s="12"/>
      <c r="O270" s="12"/>
      <c r="P270" s="12"/>
      <c r="Q270" s="12"/>
      <c r="R270" s="12"/>
      <c r="S270" s="12"/>
      <c r="T270" s="12"/>
      <c r="U270" s="12"/>
      <c r="V270" s="12"/>
      <c r="W270" s="12"/>
      <c r="X270" s="12"/>
      <c r="Y270" s="12"/>
      <c r="Z270" s="12"/>
    </row>
    <row r="271" ht="15.75" customHeight="1">
      <c r="A271" s="12"/>
      <c r="B271" s="12"/>
      <c r="C271" s="12"/>
      <c r="D271" s="12"/>
      <c r="E271" s="171"/>
      <c r="F271" s="12"/>
      <c r="G271" s="12"/>
      <c r="H271" s="12"/>
      <c r="I271" s="12"/>
      <c r="J271" s="12"/>
      <c r="K271" s="12"/>
      <c r="L271" s="12"/>
      <c r="M271" s="12"/>
      <c r="N271" s="12"/>
      <c r="O271" s="12"/>
      <c r="P271" s="12"/>
      <c r="Q271" s="12"/>
      <c r="R271" s="12"/>
      <c r="S271" s="12"/>
      <c r="T271" s="12"/>
      <c r="U271" s="12"/>
      <c r="V271" s="12"/>
      <c r="W271" s="12"/>
      <c r="X271" s="12"/>
      <c r="Y271" s="12"/>
      <c r="Z271" s="12"/>
    </row>
    <row r="272" ht="15.75" customHeight="1">
      <c r="A272" s="12"/>
      <c r="B272" s="12"/>
      <c r="C272" s="12"/>
      <c r="D272" s="12"/>
      <c r="E272" s="171"/>
      <c r="F272" s="12"/>
      <c r="G272" s="12"/>
      <c r="H272" s="12"/>
      <c r="I272" s="12"/>
      <c r="J272" s="12"/>
      <c r="K272" s="12"/>
      <c r="L272" s="12"/>
      <c r="M272" s="12"/>
      <c r="N272" s="12"/>
      <c r="O272" s="12"/>
      <c r="P272" s="12"/>
      <c r="Q272" s="12"/>
      <c r="R272" s="12"/>
      <c r="S272" s="12"/>
      <c r="T272" s="12"/>
      <c r="U272" s="12"/>
      <c r="V272" s="12"/>
      <c r="W272" s="12"/>
      <c r="X272" s="12"/>
      <c r="Y272" s="12"/>
      <c r="Z272" s="12"/>
    </row>
    <row r="273" ht="15.75" customHeight="1">
      <c r="A273" s="12"/>
      <c r="B273" s="12"/>
      <c r="C273" s="12"/>
      <c r="D273" s="12"/>
      <c r="E273" s="171"/>
      <c r="F273" s="12"/>
      <c r="G273" s="12"/>
      <c r="H273" s="12"/>
      <c r="I273" s="12"/>
      <c r="J273" s="12"/>
      <c r="K273" s="12"/>
      <c r="L273" s="12"/>
      <c r="M273" s="12"/>
      <c r="N273" s="12"/>
      <c r="O273" s="12"/>
      <c r="P273" s="12"/>
      <c r="Q273" s="12"/>
      <c r="R273" s="12"/>
      <c r="S273" s="12"/>
      <c r="T273" s="12"/>
      <c r="U273" s="12"/>
      <c r="V273" s="12"/>
      <c r="W273" s="12"/>
      <c r="X273" s="12"/>
      <c r="Y273" s="12"/>
      <c r="Z273" s="12"/>
    </row>
    <row r="274" ht="15.75" customHeight="1">
      <c r="A274" s="12"/>
      <c r="B274" s="12"/>
      <c r="C274" s="12"/>
      <c r="D274" s="12"/>
      <c r="E274" s="171"/>
      <c r="F274" s="12"/>
      <c r="G274" s="12"/>
      <c r="H274" s="12"/>
      <c r="I274" s="12"/>
      <c r="J274" s="12"/>
      <c r="K274" s="12"/>
      <c r="L274" s="12"/>
      <c r="M274" s="12"/>
      <c r="N274" s="12"/>
      <c r="O274" s="12"/>
      <c r="P274" s="12"/>
      <c r="Q274" s="12"/>
      <c r="R274" s="12"/>
      <c r="S274" s="12"/>
      <c r="T274" s="12"/>
      <c r="U274" s="12"/>
      <c r="V274" s="12"/>
      <c r="W274" s="12"/>
      <c r="X274" s="12"/>
      <c r="Y274" s="12"/>
      <c r="Z274" s="12"/>
    </row>
    <row r="275" ht="15.75" customHeight="1">
      <c r="A275" s="12"/>
      <c r="B275" s="12"/>
      <c r="C275" s="12"/>
      <c r="D275" s="12"/>
      <c r="E275" s="171"/>
      <c r="F275" s="12"/>
      <c r="G275" s="12"/>
      <c r="H275" s="12"/>
      <c r="I275" s="12"/>
      <c r="J275" s="12"/>
      <c r="K275" s="12"/>
      <c r="L275" s="12"/>
      <c r="M275" s="12"/>
      <c r="N275" s="12"/>
      <c r="O275" s="12"/>
      <c r="P275" s="12"/>
      <c r="Q275" s="12"/>
      <c r="R275" s="12"/>
      <c r="S275" s="12"/>
      <c r="T275" s="12"/>
      <c r="U275" s="12"/>
      <c r="V275" s="12"/>
      <c r="W275" s="12"/>
      <c r="X275" s="12"/>
      <c r="Y275" s="12"/>
      <c r="Z275" s="12"/>
    </row>
    <row r="276" ht="15.75" customHeight="1">
      <c r="A276" s="12"/>
      <c r="B276" s="12"/>
      <c r="C276" s="12"/>
      <c r="D276" s="12"/>
      <c r="E276" s="171"/>
      <c r="F276" s="12"/>
      <c r="G276" s="12"/>
      <c r="H276" s="12"/>
      <c r="I276" s="12"/>
      <c r="J276" s="12"/>
      <c r="K276" s="12"/>
      <c r="L276" s="12"/>
      <c r="M276" s="12"/>
      <c r="N276" s="12"/>
      <c r="O276" s="12"/>
      <c r="P276" s="12"/>
      <c r="Q276" s="12"/>
      <c r="R276" s="12"/>
      <c r="S276" s="12"/>
      <c r="T276" s="12"/>
      <c r="U276" s="12"/>
      <c r="V276" s="12"/>
      <c r="W276" s="12"/>
      <c r="X276" s="12"/>
      <c r="Y276" s="12"/>
      <c r="Z276" s="12"/>
    </row>
    <row r="277" ht="15.75" customHeight="1">
      <c r="A277" s="12"/>
      <c r="B277" s="12"/>
      <c r="C277" s="12"/>
      <c r="D277" s="12"/>
      <c r="E277" s="171"/>
      <c r="F277" s="12"/>
      <c r="G277" s="12"/>
      <c r="H277" s="12"/>
      <c r="I277" s="12"/>
      <c r="J277" s="12"/>
      <c r="K277" s="12"/>
      <c r="L277" s="12"/>
      <c r="M277" s="12"/>
      <c r="N277" s="12"/>
      <c r="O277" s="12"/>
      <c r="P277" s="12"/>
      <c r="Q277" s="12"/>
      <c r="R277" s="12"/>
      <c r="S277" s="12"/>
      <c r="T277" s="12"/>
      <c r="U277" s="12"/>
      <c r="V277" s="12"/>
      <c r="W277" s="12"/>
      <c r="X277" s="12"/>
      <c r="Y277" s="12"/>
      <c r="Z277" s="12"/>
    </row>
    <row r="278" ht="15.75" customHeight="1">
      <c r="A278" s="12"/>
      <c r="B278" s="12"/>
      <c r="C278" s="12"/>
      <c r="D278" s="12"/>
      <c r="E278" s="171"/>
      <c r="F278" s="12"/>
      <c r="G278" s="12"/>
      <c r="H278" s="12"/>
      <c r="I278" s="12"/>
      <c r="J278" s="12"/>
      <c r="K278" s="12"/>
      <c r="L278" s="12"/>
      <c r="M278" s="12"/>
      <c r="N278" s="12"/>
      <c r="O278" s="12"/>
      <c r="P278" s="12"/>
      <c r="Q278" s="12"/>
      <c r="R278" s="12"/>
      <c r="S278" s="12"/>
      <c r="T278" s="12"/>
      <c r="U278" s="12"/>
      <c r="V278" s="12"/>
      <c r="W278" s="12"/>
      <c r="X278" s="12"/>
      <c r="Y278" s="12"/>
      <c r="Z278" s="12"/>
    </row>
    <row r="279" ht="15.75" customHeight="1">
      <c r="A279" s="12"/>
      <c r="B279" s="12"/>
      <c r="C279" s="12"/>
      <c r="D279" s="12"/>
      <c r="E279" s="171"/>
      <c r="F279" s="12"/>
      <c r="G279" s="12"/>
      <c r="H279" s="12"/>
      <c r="I279" s="12"/>
      <c r="J279" s="12"/>
      <c r="K279" s="12"/>
      <c r="L279" s="12"/>
      <c r="M279" s="12"/>
      <c r="N279" s="12"/>
      <c r="O279" s="12"/>
      <c r="P279" s="12"/>
      <c r="Q279" s="12"/>
      <c r="R279" s="12"/>
      <c r="S279" s="12"/>
      <c r="T279" s="12"/>
      <c r="U279" s="12"/>
      <c r="V279" s="12"/>
      <c r="W279" s="12"/>
      <c r="X279" s="12"/>
      <c r="Y279" s="12"/>
      <c r="Z279" s="12"/>
    </row>
    <row r="280" ht="15.75" customHeight="1">
      <c r="A280" s="12"/>
      <c r="B280" s="12"/>
      <c r="C280" s="12"/>
      <c r="D280" s="12"/>
      <c r="E280" s="171"/>
      <c r="F280" s="12"/>
      <c r="G280" s="12"/>
      <c r="H280" s="12"/>
      <c r="I280" s="12"/>
      <c r="J280" s="12"/>
      <c r="K280" s="12"/>
      <c r="L280" s="12"/>
      <c r="M280" s="12"/>
      <c r="N280" s="12"/>
      <c r="O280" s="12"/>
      <c r="P280" s="12"/>
      <c r="Q280" s="12"/>
      <c r="R280" s="12"/>
      <c r="S280" s="12"/>
      <c r="T280" s="12"/>
      <c r="U280" s="12"/>
      <c r="V280" s="12"/>
      <c r="W280" s="12"/>
      <c r="X280" s="12"/>
      <c r="Y280" s="12"/>
      <c r="Z280" s="12"/>
    </row>
    <row r="281" ht="15.75" customHeight="1">
      <c r="A281" s="12"/>
      <c r="B281" s="12"/>
      <c r="C281" s="12"/>
      <c r="D281" s="12"/>
      <c r="E281" s="171"/>
      <c r="F281" s="12"/>
      <c r="G281" s="12"/>
      <c r="H281" s="12"/>
      <c r="I281" s="12"/>
      <c r="J281" s="12"/>
      <c r="K281" s="12"/>
      <c r="L281" s="12"/>
      <c r="M281" s="12"/>
      <c r="N281" s="12"/>
      <c r="O281" s="12"/>
      <c r="P281" s="12"/>
      <c r="Q281" s="12"/>
      <c r="R281" s="12"/>
      <c r="S281" s="12"/>
      <c r="T281" s="12"/>
      <c r="U281" s="12"/>
      <c r="V281" s="12"/>
      <c r="W281" s="12"/>
      <c r="X281" s="12"/>
      <c r="Y281" s="12"/>
      <c r="Z281" s="12"/>
    </row>
    <row r="282" ht="15.75" customHeight="1">
      <c r="A282" s="12"/>
      <c r="B282" s="12"/>
      <c r="C282" s="12"/>
      <c r="D282" s="12"/>
      <c r="E282" s="171"/>
      <c r="F282" s="12"/>
      <c r="G282" s="12"/>
      <c r="H282" s="12"/>
      <c r="I282" s="12"/>
      <c r="J282" s="12"/>
      <c r="K282" s="12"/>
      <c r="L282" s="12"/>
      <c r="M282" s="12"/>
      <c r="N282" s="12"/>
      <c r="O282" s="12"/>
      <c r="P282" s="12"/>
      <c r="Q282" s="12"/>
      <c r="R282" s="12"/>
      <c r="S282" s="12"/>
      <c r="T282" s="12"/>
      <c r="U282" s="12"/>
      <c r="V282" s="12"/>
      <c r="W282" s="12"/>
      <c r="X282" s="12"/>
      <c r="Y282" s="12"/>
      <c r="Z282" s="12"/>
    </row>
    <row r="283" ht="15.75" customHeight="1">
      <c r="A283" s="12"/>
      <c r="B283" s="12"/>
      <c r="C283" s="12"/>
      <c r="D283" s="12"/>
      <c r="E283" s="171"/>
      <c r="F283" s="12"/>
      <c r="G283" s="12"/>
      <c r="H283" s="12"/>
      <c r="I283" s="12"/>
      <c r="J283" s="12"/>
      <c r="K283" s="12"/>
      <c r="L283" s="12"/>
      <c r="M283" s="12"/>
      <c r="N283" s="12"/>
      <c r="O283" s="12"/>
      <c r="P283" s="12"/>
      <c r="Q283" s="12"/>
      <c r="R283" s="12"/>
      <c r="S283" s="12"/>
      <c r="T283" s="12"/>
      <c r="U283" s="12"/>
      <c r="V283" s="12"/>
      <c r="W283" s="12"/>
      <c r="X283" s="12"/>
      <c r="Y283" s="12"/>
      <c r="Z283" s="12"/>
    </row>
    <row r="284" ht="15.75" customHeight="1">
      <c r="A284" s="12"/>
      <c r="B284" s="12"/>
      <c r="C284" s="12"/>
      <c r="D284" s="12"/>
      <c r="E284" s="171"/>
      <c r="F284" s="12"/>
      <c r="G284" s="12"/>
      <c r="H284" s="12"/>
      <c r="I284" s="12"/>
      <c r="J284" s="12"/>
      <c r="K284" s="12"/>
      <c r="L284" s="12"/>
      <c r="M284" s="12"/>
      <c r="N284" s="12"/>
      <c r="O284" s="12"/>
      <c r="P284" s="12"/>
      <c r="Q284" s="12"/>
      <c r="R284" s="12"/>
      <c r="S284" s="12"/>
      <c r="T284" s="12"/>
      <c r="U284" s="12"/>
      <c r="V284" s="12"/>
      <c r="W284" s="12"/>
      <c r="X284" s="12"/>
      <c r="Y284" s="12"/>
      <c r="Z284" s="12"/>
    </row>
    <row r="285" ht="15.75" customHeight="1">
      <c r="A285" s="12"/>
      <c r="B285" s="12"/>
      <c r="C285" s="12"/>
      <c r="D285" s="12"/>
      <c r="E285" s="171"/>
      <c r="F285" s="12"/>
      <c r="G285" s="12"/>
      <c r="H285" s="12"/>
      <c r="I285" s="12"/>
      <c r="J285" s="12"/>
      <c r="K285" s="12"/>
      <c r="L285" s="12"/>
      <c r="M285" s="12"/>
      <c r="N285" s="12"/>
      <c r="O285" s="12"/>
      <c r="P285" s="12"/>
      <c r="Q285" s="12"/>
      <c r="R285" s="12"/>
      <c r="S285" s="12"/>
      <c r="T285" s="12"/>
      <c r="U285" s="12"/>
      <c r="V285" s="12"/>
      <c r="W285" s="12"/>
      <c r="X285" s="12"/>
      <c r="Y285" s="12"/>
      <c r="Z285" s="12"/>
    </row>
    <row r="286" ht="15.75" customHeight="1">
      <c r="A286" s="12"/>
      <c r="B286" s="12"/>
      <c r="C286" s="12"/>
      <c r="D286" s="12"/>
      <c r="E286" s="171"/>
      <c r="F286" s="12"/>
      <c r="G286" s="12"/>
      <c r="H286" s="12"/>
      <c r="I286" s="12"/>
      <c r="J286" s="12"/>
      <c r="K286" s="12"/>
      <c r="L286" s="12"/>
      <c r="M286" s="12"/>
      <c r="N286" s="12"/>
      <c r="O286" s="12"/>
      <c r="P286" s="12"/>
      <c r="Q286" s="12"/>
      <c r="R286" s="12"/>
      <c r="S286" s="12"/>
      <c r="T286" s="12"/>
      <c r="U286" s="12"/>
      <c r="V286" s="12"/>
      <c r="W286" s="12"/>
      <c r="X286" s="12"/>
      <c r="Y286" s="12"/>
      <c r="Z286" s="12"/>
    </row>
    <row r="287" ht="15.75" customHeight="1">
      <c r="A287" s="12"/>
      <c r="B287" s="12"/>
      <c r="C287" s="12"/>
      <c r="D287" s="12"/>
      <c r="E287" s="171"/>
      <c r="F287" s="12"/>
      <c r="G287" s="12"/>
      <c r="H287" s="12"/>
      <c r="I287" s="12"/>
      <c r="J287" s="12"/>
      <c r="K287" s="12"/>
      <c r="L287" s="12"/>
      <c r="M287" s="12"/>
      <c r="N287" s="12"/>
      <c r="O287" s="12"/>
      <c r="P287" s="12"/>
      <c r="Q287" s="12"/>
      <c r="R287" s="12"/>
      <c r="S287" s="12"/>
      <c r="T287" s="12"/>
      <c r="U287" s="12"/>
      <c r="V287" s="12"/>
      <c r="W287" s="12"/>
      <c r="X287" s="12"/>
      <c r="Y287" s="12"/>
      <c r="Z287" s="12"/>
    </row>
    <row r="288" ht="15.75" customHeight="1">
      <c r="A288" s="12"/>
      <c r="B288" s="12"/>
      <c r="C288" s="12"/>
      <c r="D288" s="12"/>
      <c r="E288" s="171"/>
      <c r="F288" s="12"/>
      <c r="G288" s="12"/>
      <c r="H288" s="12"/>
      <c r="I288" s="12"/>
      <c r="J288" s="12"/>
      <c r="K288" s="12"/>
      <c r="L288" s="12"/>
      <c r="M288" s="12"/>
      <c r="N288" s="12"/>
      <c r="O288" s="12"/>
      <c r="P288" s="12"/>
      <c r="Q288" s="12"/>
      <c r="R288" s="12"/>
      <c r="S288" s="12"/>
      <c r="T288" s="12"/>
      <c r="U288" s="12"/>
      <c r="V288" s="12"/>
      <c r="W288" s="12"/>
      <c r="X288" s="12"/>
      <c r="Y288" s="12"/>
      <c r="Z288" s="12"/>
    </row>
    <row r="289" ht="15.75" customHeight="1">
      <c r="A289" s="12"/>
      <c r="B289" s="12"/>
      <c r="C289" s="12"/>
      <c r="D289" s="12"/>
      <c r="E289" s="171"/>
      <c r="F289" s="12"/>
      <c r="G289" s="12"/>
      <c r="H289" s="12"/>
      <c r="I289" s="12"/>
      <c r="J289" s="12"/>
      <c r="K289" s="12"/>
      <c r="L289" s="12"/>
      <c r="M289" s="12"/>
      <c r="N289" s="12"/>
      <c r="O289" s="12"/>
      <c r="P289" s="12"/>
      <c r="Q289" s="12"/>
      <c r="R289" s="12"/>
      <c r="S289" s="12"/>
      <c r="T289" s="12"/>
      <c r="U289" s="12"/>
      <c r="V289" s="12"/>
      <c r="W289" s="12"/>
      <c r="X289" s="12"/>
      <c r="Y289" s="12"/>
      <c r="Z289" s="12"/>
    </row>
    <row r="290" ht="15.75" customHeight="1">
      <c r="A290" s="12"/>
      <c r="B290" s="12"/>
      <c r="C290" s="12"/>
      <c r="D290" s="12"/>
      <c r="E290" s="171"/>
      <c r="F290" s="12"/>
      <c r="G290" s="12"/>
      <c r="H290" s="12"/>
      <c r="I290" s="12"/>
      <c r="J290" s="12"/>
      <c r="K290" s="12"/>
      <c r="L290" s="12"/>
      <c r="M290" s="12"/>
      <c r="N290" s="12"/>
      <c r="O290" s="12"/>
      <c r="P290" s="12"/>
      <c r="Q290" s="12"/>
      <c r="R290" s="12"/>
      <c r="S290" s="12"/>
      <c r="T290" s="12"/>
      <c r="U290" s="12"/>
      <c r="V290" s="12"/>
      <c r="W290" s="12"/>
      <c r="X290" s="12"/>
      <c r="Y290" s="12"/>
      <c r="Z290" s="12"/>
    </row>
    <row r="291" ht="15.75" customHeight="1">
      <c r="A291" s="12"/>
      <c r="B291" s="12"/>
      <c r="C291" s="12"/>
      <c r="D291" s="12"/>
      <c r="E291" s="171"/>
      <c r="F291" s="12"/>
      <c r="G291" s="12"/>
      <c r="H291" s="12"/>
      <c r="I291" s="12"/>
      <c r="J291" s="12"/>
      <c r="K291" s="12"/>
      <c r="L291" s="12"/>
      <c r="M291" s="12"/>
      <c r="N291" s="12"/>
      <c r="O291" s="12"/>
      <c r="P291" s="12"/>
      <c r="Q291" s="12"/>
      <c r="R291" s="12"/>
      <c r="S291" s="12"/>
      <c r="T291" s="12"/>
      <c r="U291" s="12"/>
      <c r="V291" s="12"/>
      <c r="W291" s="12"/>
      <c r="X291" s="12"/>
      <c r="Y291" s="12"/>
      <c r="Z291" s="12"/>
    </row>
    <row r="292" ht="15.75" customHeight="1">
      <c r="A292" s="12"/>
      <c r="B292" s="12"/>
      <c r="C292" s="12"/>
      <c r="D292" s="12"/>
      <c r="E292" s="171"/>
      <c r="F292" s="12"/>
      <c r="G292" s="12"/>
      <c r="H292" s="12"/>
      <c r="I292" s="12"/>
      <c r="J292" s="12"/>
      <c r="K292" s="12"/>
      <c r="L292" s="12"/>
      <c r="M292" s="12"/>
      <c r="N292" s="12"/>
      <c r="O292" s="12"/>
      <c r="P292" s="12"/>
      <c r="Q292" s="12"/>
      <c r="R292" s="12"/>
      <c r="S292" s="12"/>
      <c r="T292" s="12"/>
      <c r="U292" s="12"/>
      <c r="V292" s="12"/>
      <c r="W292" s="12"/>
      <c r="X292" s="12"/>
      <c r="Y292" s="12"/>
      <c r="Z292" s="12"/>
    </row>
    <row r="293" ht="15.75" customHeight="1">
      <c r="A293" s="12"/>
      <c r="B293" s="12"/>
      <c r="C293" s="12"/>
      <c r="D293" s="12"/>
      <c r="E293" s="171"/>
      <c r="F293" s="12"/>
      <c r="G293" s="12"/>
      <c r="H293" s="12"/>
      <c r="I293" s="12"/>
      <c r="J293" s="12"/>
      <c r="K293" s="12"/>
      <c r="L293" s="12"/>
      <c r="M293" s="12"/>
      <c r="N293" s="12"/>
      <c r="O293" s="12"/>
      <c r="P293" s="12"/>
      <c r="Q293" s="12"/>
      <c r="R293" s="12"/>
      <c r="S293" s="12"/>
      <c r="T293" s="12"/>
      <c r="U293" s="12"/>
      <c r="V293" s="12"/>
      <c r="W293" s="12"/>
      <c r="X293" s="12"/>
      <c r="Y293" s="12"/>
      <c r="Z293" s="12"/>
    </row>
    <row r="294" ht="15.75" customHeight="1">
      <c r="A294" s="12"/>
      <c r="B294" s="12"/>
      <c r="C294" s="12"/>
      <c r="D294" s="12"/>
      <c r="E294" s="171"/>
      <c r="F294" s="12"/>
      <c r="G294" s="12"/>
      <c r="H294" s="12"/>
      <c r="I294" s="12"/>
      <c r="J294" s="12"/>
      <c r="K294" s="12"/>
      <c r="L294" s="12"/>
      <c r="M294" s="12"/>
      <c r="N294" s="12"/>
      <c r="O294" s="12"/>
      <c r="P294" s="12"/>
      <c r="Q294" s="12"/>
      <c r="R294" s="12"/>
      <c r="S294" s="12"/>
      <c r="T294" s="12"/>
      <c r="U294" s="12"/>
      <c r="V294" s="12"/>
      <c r="W294" s="12"/>
      <c r="X294" s="12"/>
      <c r="Y294" s="12"/>
      <c r="Z294" s="12"/>
    </row>
    <row r="295" ht="15.75" customHeight="1">
      <c r="A295" s="12"/>
      <c r="B295" s="12"/>
      <c r="C295" s="12"/>
      <c r="D295" s="12"/>
      <c r="E295" s="171"/>
      <c r="F295" s="12"/>
      <c r="G295" s="12"/>
      <c r="H295" s="12"/>
      <c r="I295" s="12"/>
      <c r="J295" s="12"/>
      <c r="K295" s="12"/>
      <c r="L295" s="12"/>
      <c r="M295" s="12"/>
      <c r="N295" s="12"/>
      <c r="O295" s="12"/>
      <c r="P295" s="12"/>
      <c r="Q295" s="12"/>
      <c r="R295" s="12"/>
      <c r="S295" s="12"/>
      <c r="T295" s="12"/>
      <c r="U295" s="12"/>
      <c r="V295" s="12"/>
      <c r="W295" s="12"/>
      <c r="X295" s="12"/>
      <c r="Y295" s="12"/>
      <c r="Z295" s="12"/>
    </row>
    <row r="296" ht="15.75" customHeight="1">
      <c r="A296" s="12"/>
      <c r="B296" s="12"/>
      <c r="C296" s="12"/>
      <c r="D296" s="12"/>
      <c r="E296" s="171"/>
      <c r="F296" s="12"/>
      <c r="G296" s="12"/>
      <c r="H296" s="12"/>
      <c r="I296" s="12"/>
      <c r="J296" s="12"/>
      <c r="K296" s="12"/>
      <c r="L296" s="12"/>
      <c r="M296" s="12"/>
      <c r="N296" s="12"/>
      <c r="O296" s="12"/>
      <c r="P296" s="12"/>
      <c r="Q296" s="12"/>
      <c r="R296" s="12"/>
      <c r="S296" s="12"/>
      <c r="T296" s="12"/>
      <c r="U296" s="12"/>
      <c r="V296" s="12"/>
      <c r="W296" s="12"/>
      <c r="X296" s="12"/>
      <c r="Y296" s="12"/>
      <c r="Z296" s="12"/>
    </row>
    <row r="297" ht="15.75" customHeight="1">
      <c r="A297" s="12"/>
      <c r="B297" s="12"/>
      <c r="C297" s="12"/>
      <c r="D297" s="12"/>
      <c r="E297" s="171"/>
      <c r="F297" s="12"/>
      <c r="G297" s="12"/>
      <c r="H297" s="12"/>
      <c r="I297" s="12"/>
      <c r="J297" s="12"/>
      <c r="K297" s="12"/>
      <c r="L297" s="12"/>
      <c r="M297" s="12"/>
      <c r="N297" s="12"/>
      <c r="O297" s="12"/>
      <c r="P297" s="12"/>
      <c r="Q297" s="12"/>
      <c r="R297" s="12"/>
      <c r="S297" s="12"/>
      <c r="T297" s="12"/>
      <c r="U297" s="12"/>
      <c r="V297" s="12"/>
      <c r="W297" s="12"/>
      <c r="X297" s="12"/>
      <c r="Y297" s="12"/>
      <c r="Z297" s="12"/>
    </row>
    <row r="298" ht="15.75" customHeight="1">
      <c r="A298" s="12"/>
      <c r="B298" s="12"/>
      <c r="C298" s="12"/>
      <c r="D298" s="12"/>
      <c r="E298" s="171"/>
      <c r="F298" s="12"/>
      <c r="G298" s="12"/>
      <c r="H298" s="12"/>
      <c r="I298" s="12"/>
      <c r="J298" s="12"/>
      <c r="K298" s="12"/>
      <c r="L298" s="12"/>
      <c r="M298" s="12"/>
      <c r="N298" s="12"/>
      <c r="O298" s="12"/>
      <c r="P298" s="12"/>
      <c r="Q298" s="12"/>
      <c r="R298" s="12"/>
      <c r="S298" s="12"/>
      <c r="T298" s="12"/>
      <c r="U298" s="12"/>
      <c r="V298" s="12"/>
      <c r="W298" s="12"/>
      <c r="X298" s="12"/>
      <c r="Y298" s="12"/>
      <c r="Z298" s="12"/>
    </row>
    <row r="299" ht="15.75" customHeight="1">
      <c r="A299" s="12"/>
      <c r="B299" s="12"/>
      <c r="C299" s="12"/>
      <c r="D299" s="12"/>
      <c r="E299" s="171"/>
      <c r="F299" s="12"/>
      <c r="G299" s="12"/>
      <c r="H299" s="12"/>
      <c r="I299" s="12"/>
      <c r="J299" s="12"/>
      <c r="K299" s="12"/>
      <c r="L299" s="12"/>
      <c r="M299" s="12"/>
      <c r="N299" s="12"/>
      <c r="O299" s="12"/>
      <c r="P299" s="12"/>
      <c r="Q299" s="12"/>
      <c r="R299" s="12"/>
      <c r="S299" s="12"/>
      <c r="T299" s="12"/>
      <c r="U299" s="12"/>
      <c r="V299" s="12"/>
      <c r="W299" s="12"/>
      <c r="X299" s="12"/>
      <c r="Y299" s="12"/>
      <c r="Z299" s="12"/>
    </row>
    <row r="300" ht="15.75" customHeight="1">
      <c r="A300" s="12"/>
      <c r="B300" s="12"/>
      <c r="C300" s="12"/>
      <c r="D300" s="12"/>
      <c r="E300" s="171"/>
      <c r="F300" s="12"/>
      <c r="G300" s="12"/>
      <c r="H300" s="12"/>
      <c r="I300" s="12"/>
      <c r="J300" s="12"/>
      <c r="K300" s="12"/>
      <c r="L300" s="12"/>
      <c r="M300" s="12"/>
      <c r="N300" s="12"/>
      <c r="O300" s="12"/>
      <c r="P300" s="12"/>
      <c r="Q300" s="12"/>
      <c r="R300" s="12"/>
      <c r="S300" s="12"/>
      <c r="T300" s="12"/>
      <c r="U300" s="12"/>
      <c r="V300" s="12"/>
      <c r="W300" s="12"/>
      <c r="X300" s="12"/>
      <c r="Y300" s="12"/>
      <c r="Z300" s="12"/>
    </row>
    <row r="301" ht="15.75" customHeight="1">
      <c r="A301" s="12"/>
      <c r="B301" s="12"/>
      <c r="C301" s="12"/>
      <c r="D301" s="12"/>
      <c r="E301" s="171"/>
      <c r="F301" s="12"/>
      <c r="G301" s="12"/>
      <c r="H301" s="12"/>
      <c r="I301" s="12"/>
      <c r="J301" s="12"/>
      <c r="K301" s="12"/>
      <c r="L301" s="12"/>
      <c r="M301" s="12"/>
      <c r="N301" s="12"/>
      <c r="O301" s="12"/>
      <c r="P301" s="12"/>
      <c r="Q301" s="12"/>
      <c r="R301" s="12"/>
      <c r="S301" s="12"/>
      <c r="T301" s="12"/>
      <c r="U301" s="12"/>
      <c r="V301" s="12"/>
      <c r="W301" s="12"/>
      <c r="X301" s="12"/>
      <c r="Y301" s="12"/>
      <c r="Z301" s="12"/>
    </row>
    <row r="302" ht="15.75" customHeight="1">
      <c r="A302" s="12"/>
      <c r="B302" s="12"/>
      <c r="C302" s="12"/>
      <c r="D302" s="12"/>
      <c r="E302" s="171"/>
      <c r="F302" s="12"/>
      <c r="G302" s="12"/>
      <c r="H302" s="12"/>
      <c r="I302" s="12"/>
      <c r="J302" s="12"/>
      <c r="K302" s="12"/>
      <c r="L302" s="12"/>
      <c r="M302" s="12"/>
      <c r="N302" s="12"/>
      <c r="O302" s="12"/>
      <c r="P302" s="12"/>
      <c r="Q302" s="12"/>
      <c r="R302" s="12"/>
      <c r="S302" s="12"/>
      <c r="T302" s="12"/>
      <c r="U302" s="12"/>
      <c r="V302" s="12"/>
      <c r="W302" s="12"/>
      <c r="X302" s="12"/>
      <c r="Y302" s="12"/>
      <c r="Z302" s="12"/>
    </row>
    <row r="303" ht="15.75" customHeight="1">
      <c r="A303" s="12"/>
      <c r="B303" s="12"/>
      <c r="C303" s="12"/>
      <c r="D303" s="12"/>
      <c r="E303" s="171"/>
      <c r="F303" s="12"/>
      <c r="G303" s="12"/>
      <c r="H303" s="12"/>
      <c r="I303" s="12"/>
      <c r="J303" s="12"/>
      <c r="K303" s="12"/>
      <c r="L303" s="12"/>
      <c r="M303" s="12"/>
      <c r="N303" s="12"/>
      <c r="O303" s="12"/>
      <c r="P303" s="12"/>
      <c r="Q303" s="12"/>
      <c r="R303" s="12"/>
      <c r="S303" s="12"/>
      <c r="T303" s="12"/>
      <c r="U303" s="12"/>
      <c r="V303" s="12"/>
      <c r="W303" s="12"/>
      <c r="X303" s="12"/>
      <c r="Y303" s="12"/>
      <c r="Z303" s="12"/>
    </row>
    <row r="304" ht="15.75" customHeight="1">
      <c r="A304" s="12"/>
      <c r="B304" s="12"/>
      <c r="C304" s="12"/>
      <c r="D304" s="12"/>
      <c r="E304" s="171"/>
      <c r="F304" s="12"/>
      <c r="G304" s="12"/>
      <c r="H304" s="12"/>
      <c r="I304" s="12"/>
      <c r="J304" s="12"/>
      <c r="K304" s="12"/>
      <c r="L304" s="12"/>
      <c r="M304" s="12"/>
      <c r="N304" s="12"/>
      <c r="O304" s="12"/>
      <c r="P304" s="12"/>
      <c r="Q304" s="12"/>
      <c r="R304" s="12"/>
      <c r="S304" s="12"/>
      <c r="T304" s="12"/>
      <c r="U304" s="12"/>
      <c r="V304" s="12"/>
      <c r="W304" s="12"/>
      <c r="X304" s="12"/>
      <c r="Y304" s="12"/>
      <c r="Z304" s="12"/>
    </row>
    <row r="305" ht="15.75" customHeight="1">
      <c r="A305" s="12"/>
      <c r="B305" s="12"/>
      <c r="C305" s="12"/>
      <c r="D305" s="12"/>
      <c r="E305" s="171"/>
      <c r="F305" s="12"/>
      <c r="G305" s="12"/>
      <c r="H305" s="12"/>
      <c r="I305" s="12"/>
      <c r="J305" s="12"/>
      <c r="K305" s="12"/>
      <c r="L305" s="12"/>
      <c r="M305" s="12"/>
      <c r="N305" s="12"/>
      <c r="O305" s="12"/>
      <c r="P305" s="12"/>
      <c r="Q305" s="12"/>
      <c r="R305" s="12"/>
      <c r="S305" s="12"/>
      <c r="T305" s="12"/>
      <c r="U305" s="12"/>
      <c r="V305" s="12"/>
      <c r="W305" s="12"/>
      <c r="X305" s="12"/>
      <c r="Y305" s="12"/>
      <c r="Z305" s="12"/>
    </row>
    <row r="306" ht="15.75" customHeight="1">
      <c r="A306" s="12"/>
      <c r="B306" s="12"/>
      <c r="C306" s="12"/>
      <c r="D306" s="12"/>
      <c r="E306" s="171"/>
      <c r="F306" s="12"/>
      <c r="G306" s="12"/>
      <c r="H306" s="12"/>
      <c r="I306" s="12"/>
      <c r="J306" s="12"/>
      <c r="K306" s="12"/>
      <c r="L306" s="12"/>
      <c r="M306" s="12"/>
      <c r="N306" s="12"/>
      <c r="O306" s="12"/>
      <c r="P306" s="12"/>
      <c r="Q306" s="12"/>
      <c r="R306" s="12"/>
      <c r="S306" s="12"/>
      <c r="T306" s="12"/>
      <c r="U306" s="12"/>
      <c r="V306" s="12"/>
      <c r="W306" s="12"/>
      <c r="X306" s="12"/>
      <c r="Y306" s="12"/>
      <c r="Z306" s="12"/>
    </row>
    <row r="307" ht="15.75" customHeight="1">
      <c r="A307" s="12"/>
      <c r="B307" s="12"/>
      <c r="C307" s="12"/>
      <c r="D307" s="12"/>
      <c r="E307" s="171"/>
      <c r="F307" s="12"/>
      <c r="G307" s="12"/>
      <c r="H307" s="12"/>
      <c r="I307" s="12"/>
      <c r="J307" s="12"/>
      <c r="K307" s="12"/>
      <c r="L307" s="12"/>
      <c r="M307" s="12"/>
      <c r="N307" s="12"/>
      <c r="O307" s="12"/>
      <c r="P307" s="12"/>
      <c r="Q307" s="12"/>
      <c r="R307" s="12"/>
      <c r="S307" s="12"/>
      <c r="T307" s="12"/>
      <c r="U307" s="12"/>
      <c r="V307" s="12"/>
      <c r="W307" s="12"/>
      <c r="X307" s="12"/>
      <c r="Y307" s="12"/>
      <c r="Z307" s="12"/>
    </row>
    <row r="308" ht="15.75" customHeight="1">
      <c r="A308" s="12"/>
      <c r="B308" s="12"/>
      <c r="C308" s="12"/>
      <c r="D308" s="12"/>
      <c r="E308" s="171"/>
      <c r="F308" s="12"/>
      <c r="G308" s="12"/>
      <c r="H308" s="12"/>
      <c r="I308" s="12"/>
      <c r="J308" s="12"/>
      <c r="K308" s="12"/>
      <c r="L308" s="12"/>
      <c r="M308" s="12"/>
      <c r="N308" s="12"/>
      <c r="O308" s="12"/>
      <c r="P308" s="12"/>
      <c r="Q308" s="12"/>
      <c r="R308" s="12"/>
      <c r="S308" s="12"/>
      <c r="T308" s="12"/>
      <c r="U308" s="12"/>
      <c r="V308" s="12"/>
      <c r="W308" s="12"/>
      <c r="X308" s="12"/>
      <c r="Y308" s="12"/>
      <c r="Z308" s="12"/>
    </row>
    <row r="309" ht="15.75" customHeight="1">
      <c r="A309" s="12"/>
      <c r="B309" s="12"/>
      <c r="C309" s="12"/>
      <c r="D309" s="12"/>
      <c r="E309" s="171"/>
      <c r="F309" s="12"/>
      <c r="G309" s="12"/>
      <c r="H309" s="12"/>
      <c r="I309" s="12"/>
      <c r="J309" s="12"/>
      <c r="K309" s="12"/>
      <c r="L309" s="12"/>
      <c r="M309" s="12"/>
      <c r="N309" s="12"/>
      <c r="O309" s="12"/>
      <c r="P309" s="12"/>
      <c r="Q309" s="12"/>
      <c r="R309" s="12"/>
      <c r="S309" s="12"/>
      <c r="T309" s="12"/>
      <c r="U309" s="12"/>
      <c r="V309" s="12"/>
      <c r="W309" s="12"/>
      <c r="X309" s="12"/>
      <c r="Y309" s="12"/>
      <c r="Z309" s="12"/>
    </row>
    <row r="310" ht="15.75" customHeight="1">
      <c r="A310" s="12"/>
      <c r="B310" s="12"/>
      <c r="C310" s="12"/>
      <c r="D310" s="12"/>
      <c r="E310" s="171"/>
      <c r="F310" s="12"/>
      <c r="G310" s="12"/>
      <c r="H310" s="12"/>
      <c r="I310" s="12"/>
      <c r="J310" s="12"/>
      <c r="K310" s="12"/>
      <c r="L310" s="12"/>
      <c r="M310" s="12"/>
      <c r="N310" s="12"/>
      <c r="O310" s="12"/>
      <c r="P310" s="12"/>
      <c r="Q310" s="12"/>
      <c r="R310" s="12"/>
      <c r="S310" s="12"/>
      <c r="T310" s="12"/>
      <c r="U310" s="12"/>
      <c r="V310" s="12"/>
      <c r="W310" s="12"/>
      <c r="X310" s="12"/>
      <c r="Y310" s="12"/>
      <c r="Z310" s="12"/>
    </row>
    <row r="311" ht="15.75" customHeight="1">
      <c r="A311" s="12"/>
      <c r="B311" s="12"/>
      <c r="C311" s="12"/>
      <c r="D311" s="12"/>
      <c r="E311" s="171"/>
      <c r="F311" s="12"/>
      <c r="G311" s="12"/>
      <c r="H311" s="12"/>
      <c r="I311" s="12"/>
      <c r="J311" s="12"/>
      <c r="K311" s="12"/>
      <c r="L311" s="12"/>
      <c r="M311" s="12"/>
      <c r="N311" s="12"/>
      <c r="O311" s="12"/>
      <c r="P311" s="12"/>
      <c r="Q311" s="12"/>
      <c r="R311" s="12"/>
      <c r="S311" s="12"/>
      <c r="T311" s="12"/>
      <c r="U311" s="12"/>
      <c r="V311" s="12"/>
      <c r="W311" s="12"/>
      <c r="X311" s="12"/>
      <c r="Y311" s="12"/>
      <c r="Z311" s="12"/>
    </row>
    <row r="312" ht="15.75" customHeight="1">
      <c r="A312" s="12"/>
      <c r="B312" s="12"/>
      <c r="C312" s="12"/>
      <c r="D312" s="12"/>
      <c r="E312" s="171"/>
      <c r="F312" s="12"/>
      <c r="G312" s="12"/>
      <c r="H312" s="12"/>
      <c r="I312" s="12"/>
      <c r="J312" s="12"/>
      <c r="K312" s="12"/>
      <c r="L312" s="12"/>
      <c r="M312" s="12"/>
      <c r="N312" s="12"/>
      <c r="O312" s="12"/>
      <c r="P312" s="12"/>
      <c r="Q312" s="12"/>
      <c r="R312" s="12"/>
      <c r="S312" s="12"/>
      <c r="T312" s="12"/>
      <c r="U312" s="12"/>
      <c r="V312" s="12"/>
      <c r="W312" s="12"/>
      <c r="X312" s="12"/>
      <c r="Y312" s="12"/>
      <c r="Z312" s="12"/>
    </row>
    <row r="313" ht="15.75" customHeight="1">
      <c r="A313" s="12"/>
      <c r="B313" s="12"/>
      <c r="C313" s="12"/>
      <c r="D313" s="12"/>
      <c r="E313" s="171"/>
      <c r="F313" s="12"/>
      <c r="G313" s="12"/>
      <c r="H313" s="12"/>
      <c r="I313" s="12"/>
      <c r="J313" s="12"/>
      <c r="K313" s="12"/>
      <c r="L313" s="12"/>
      <c r="M313" s="12"/>
      <c r="N313" s="12"/>
      <c r="O313" s="12"/>
      <c r="P313" s="12"/>
      <c r="Q313" s="12"/>
      <c r="R313" s="12"/>
      <c r="S313" s="12"/>
      <c r="T313" s="12"/>
      <c r="U313" s="12"/>
      <c r="V313" s="12"/>
      <c r="W313" s="12"/>
      <c r="X313" s="12"/>
      <c r="Y313" s="12"/>
      <c r="Z313" s="12"/>
    </row>
    <row r="314" ht="15.75" customHeight="1">
      <c r="A314" s="12"/>
      <c r="B314" s="12"/>
      <c r="C314" s="12"/>
      <c r="D314" s="12"/>
      <c r="E314" s="171"/>
      <c r="F314" s="12"/>
      <c r="G314" s="12"/>
      <c r="H314" s="12"/>
      <c r="I314" s="12"/>
      <c r="J314" s="12"/>
      <c r="K314" s="12"/>
      <c r="L314" s="12"/>
      <c r="M314" s="12"/>
      <c r="N314" s="12"/>
      <c r="O314" s="12"/>
      <c r="P314" s="12"/>
      <c r="Q314" s="12"/>
      <c r="R314" s="12"/>
      <c r="S314" s="12"/>
      <c r="T314" s="12"/>
      <c r="U314" s="12"/>
      <c r="V314" s="12"/>
      <c r="W314" s="12"/>
      <c r="X314" s="12"/>
      <c r="Y314" s="12"/>
      <c r="Z314" s="12"/>
    </row>
    <row r="315" ht="15.75" customHeight="1">
      <c r="A315" s="12"/>
      <c r="B315" s="12"/>
      <c r="C315" s="12"/>
      <c r="D315" s="12"/>
      <c r="E315" s="171"/>
      <c r="F315" s="12"/>
      <c r="G315" s="12"/>
      <c r="H315" s="12"/>
      <c r="I315" s="12"/>
      <c r="J315" s="12"/>
      <c r="K315" s="12"/>
      <c r="L315" s="12"/>
      <c r="M315" s="12"/>
      <c r="N315" s="12"/>
      <c r="O315" s="12"/>
      <c r="P315" s="12"/>
      <c r="Q315" s="12"/>
      <c r="R315" s="12"/>
      <c r="S315" s="12"/>
      <c r="T315" s="12"/>
      <c r="U315" s="12"/>
      <c r="V315" s="12"/>
      <c r="W315" s="12"/>
      <c r="X315" s="12"/>
      <c r="Y315" s="12"/>
      <c r="Z315" s="12"/>
    </row>
    <row r="316" ht="15.75" customHeight="1">
      <c r="A316" s="12"/>
      <c r="B316" s="12"/>
      <c r="C316" s="12"/>
      <c r="D316" s="12"/>
      <c r="E316" s="171"/>
      <c r="F316" s="12"/>
      <c r="G316" s="12"/>
      <c r="H316" s="12"/>
      <c r="I316" s="12"/>
      <c r="J316" s="12"/>
      <c r="K316" s="12"/>
      <c r="L316" s="12"/>
      <c r="M316" s="12"/>
      <c r="N316" s="12"/>
      <c r="O316" s="12"/>
      <c r="P316" s="12"/>
      <c r="Q316" s="12"/>
      <c r="R316" s="12"/>
      <c r="S316" s="12"/>
      <c r="T316" s="12"/>
      <c r="U316" s="12"/>
      <c r="V316" s="12"/>
      <c r="W316" s="12"/>
      <c r="X316" s="12"/>
      <c r="Y316" s="12"/>
      <c r="Z316" s="12"/>
    </row>
    <row r="317" ht="15.75" customHeight="1">
      <c r="A317" s="12"/>
      <c r="B317" s="12"/>
      <c r="C317" s="12"/>
      <c r="D317" s="12"/>
      <c r="E317" s="171"/>
      <c r="F317" s="12"/>
      <c r="G317" s="12"/>
      <c r="H317" s="12"/>
      <c r="I317" s="12"/>
      <c r="J317" s="12"/>
      <c r="K317" s="12"/>
      <c r="L317" s="12"/>
      <c r="M317" s="12"/>
      <c r="N317" s="12"/>
      <c r="O317" s="12"/>
      <c r="P317" s="12"/>
      <c r="Q317" s="12"/>
      <c r="R317" s="12"/>
      <c r="S317" s="12"/>
      <c r="T317" s="12"/>
      <c r="U317" s="12"/>
      <c r="V317" s="12"/>
      <c r="W317" s="12"/>
      <c r="X317" s="12"/>
      <c r="Y317" s="12"/>
      <c r="Z317" s="12"/>
    </row>
    <row r="318" ht="15.75" customHeight="1">
      <c r="A318" s="12"/>
      <c r="B318" s="12"/>
      <c r="C318" s="12"/>
      <c r="D318" s="12"/>
      <c r="E318" s="171"/>
      <c r="F318" s="12"/>
      <c r="G318" s="12"/>
      <c r="H318" s="12"/>
      <c r="I318" s="12"/>
      <c r="J318" s="12"/>
      <c r="K318" s="12"/>
      <c r="L318" s="12"/>
      <c r="M318" s="12"/>
      <c r="N318" s="12"/>
      <c r="O318" s="12"/>
      <c r="P318" s="12"/>
      <c r="Q318" s="12"/>
      <c r="R318" s="12"/>
      <c r="S318" s="12"/>
      <c r="T318" s="12"/>
      <c r="U318" s="12"/>
      <c r="V318" s="12"/>
      <c r="W318" s="12"/>
      <c r="X318" s="12"/>
      <c r="Y318" s="12"/>
      <c r="Z318" s="12"/>
    </row>
    <row r="319" ht="15.75" customHeight="1">
      <c r="A319" s="12"/>
      <c r="B319" s="12"/>
      <c r="C319" s="12"/>
      <c r="D319" s="12"/>
      <c r="E319" s="171"/>
      <c r="F319" s="12"/>
      <c r="G319" s="12"/>
      <c r="H319" s="12"/>
      <c r="I319" s="12"/>
      <c r="J319" s="12"/>
      <c r="K319" s="12"/>
      <c r="L319" s="12"/>
      <c r="M319" s="12"/>
      <c r="N319" s="12"/>
      <c r="O319" s="12"/>
      <c r="P319" s="12"/>
      <c r="Q319" s="12"/>
      <c r="R319" s="12"/>
      <c r="S319" s="12"/>
      <c r="T319" s="12"/>
      <c r="U319" s="12"/>
      <c r="V319" s="12"/>
      <c r="W319" s="12"/>
      <c r="X319" s="12"/>
      <c r="Y319" s="12"/>
      <c r="Z319" s="12"/>
    </row>
    <row r="320" ht="15.75" customHeight="1">
      <c r="A320" s="12"/>
      <c r="B320" s="12"/>
      <c r="C320" s="12"/>
      <c r="D320" s="12"/>
      <c r="E320" s="171"/>
      <c r="F320" s="12"/>
      <c r="G320" s="12"/>
      <c r="H320" s="12"/>
      <c r="I320" s="12"/>
      <c r="J320" s="12"/>
      <c r="K320" s="12"/>
      <c r="L320" s="12"/>
      <c r="M320" s="12"/>
      <c r="N320" s="12"/>
      <c r="O320" s="12"/>
      <c r="P320" s="12"/>
      <c r="Q320" s="12"/>
      <c r="R320" s="12"/>
      <c r="S320" s="12"/>
      <c r="T320" s="12"/>
      <c r="U320" s="12"/>
      <c r="V320" s="12"/>
      <c r="W320" s="12"/>
      <c r="X320" s="12"/>
      <c r="Y320" s="12"/>
      <c r="Z320" s="12"/>
    </row>
    <row r="321" ht="15.75" customHeight="1">
      <c r="A321" s="12"/>
      <c r="B321" s="12"/>
      <c r="C321" s="12"/>
      <c r="D321" s="12"/>
      <c r="E321" s="171"/>
      <c r="F321" s="12"/>
      <c r="G321" s="12"/>
      <c r="H321" s="12"/>
      <c r="I321" s="12"/>
      <c r="J321" s="12"/>
      <c r="K321" s="12"/>
      <c r="L321" s="12"/>
      <c r="M321" s="12"/>
      <c r="N321" s="12"/>
      <c r="O321" s="12"/>
      <c r="P321" s="12"/>
      <c r="Q321" s="12"/>
      <c r="R321" s="12"/>
      <c r="S321" s="12"/>
      <c r="T321" s="12"/>
      <c r="U321" s="12"/>
      <c r="V321" s="12"/>
      <c r="W321" s="12"/>
      <c r="X321" s="12"/>
      <c r="Y321" s="12"/>
      <c r="Z321" s="12"/>
    </row>
    <row r="322" ht="15.75" customHeight="1">
      <c r="A322" s="12"/>
      <c r="B322" s="12"/>
      <c r="C322" s="12"/>
      <c r="D322" s="12"/>
      <c r="E322" s="171"/>
      <c r="F322" s="12"/>
      <c r="G322" s="12"/>
      <c r="H322" s="12"/>
      <c r="I322" s="12"/>
      <c r="J322" s="12"/>
      <c r="K322" s="12"/>
      <c r="L322" s="12"/>
      <c r="M322" s="12"/>
      <c r="N322" s="12"/>
      <c r="O322" s="12"/>
      <c r="P322" s="12"/>
      <c r="Q322" s="12"/>
      <c r="R322" s="12"/>
      <c r="S322" s="12"/>
      <c r="T322" s="12"/>
      <c r="U322" s="12"/>
      <c r="V322" s="12"/>
      <c r="W322" s="12"/>
      <c r="X322" s="12"/>
      <c r="Y322" s="12"/>
      <c r="Z322" s="12"/>
    </row>
    <row r="323" ht="15.75" customHeight="1">
      <c r="A323" s="12"/>
      <c r="B323" s="12"/>
      <c r="C323" s="12"/>
      <c r="D323" s="12"/>
      <c r="E323" s="171"/>
      <c r="F323" s="12"/>
      <c r="G323" s="12"/>
      <c r="H323" s="12"/>
      <c r="I323" s="12"/>
      <c r="J323" s="12"/>
      <c r="K323" s="12"/>
      <c r="L323" s="12"/>
      <c r="M323" s="12"/>
      <c r="N323" s="12"/>
      <c r="O323" s="12"/>
      <c r="P323" s="12"/>
      <c r="Q323" s="12"/>
      <c r="R323" s="12"/>
      <c r="S323" s="12"/>
      <c r="T323" s="12"/>
      <c r="U323" s="12"/>
      <c r="V323" s="12"/>
      <c r="W323" s="12"/>
      <c r="X323" s="12"/>
      <c r="Y323" s="12"/>
      <c r="Z323" s="12"/>
    </row>
    <row r="324" ht="15.75" customHeight="1">
      <c r="A324" s="12"/>
      <c r="B324" s="12"/>
      <c r="C324" s="12"/>
      <c r="D324" s="12"/>
      <c r="E324" s="171"/>
      <c r="F324" s="12"/>
      <c r="G324" s="12"/>
      <c r="H324" s="12"/>
      <c r="I324" s="12"/>
      <c r="J324" s="12"/>
      <c r="K324" s="12"/>
      <c r="L324" s="12"/>
      <c r="M324" s="12"/>
      <c r="N324" s="12"/>
      <c r="O324" s="12"/>
      <c r="P324" s="12"/>
      <c r="Q324" s="12"/>
      <c r="R324" s="12"/>
      <c r="S324" s="12"/>
      <c r="T324" s="12"/>
      <c r="U324" s="12"/>
      <c r="V324" s="12"/>
      <c r="W324" s="12"/>
      <c r="X324" s="12"/>
      <c r="Y324" s="12"/>
      <c r="Z324" s="12"/>
    </row>
    <row r="325" ht="15.75" customHeight="1">
      <c r="A325" s="12"/>
      <c r="B325" s="12"/>
      <c r="C325" s="12"/>
      <c r="D325" s="12"/>
      <c r="E325" s="171"/>
      <c r="F325" s="12"/>
      <c r="G325" s="12"/>
      <c r="H325" s="12"/>
      <c r="I325" s="12"/>
      <c r="J325" s="12"/>
      <c r="K325" s="12"/>
      <c r="L325" s="12"/>
      <c r="M325" s="12"/>
      <c r="N325" s="12"/>
      <c r="O325" s="12"/>
      <c r="P325" s="12"/>
      <c r="Q325" s="12"/>
      <c r="R325" s="12"/>
      <c r="S325" s="12"/>
      <c r="T325" s="12"/>
      <c r="U325" s="12"/>
      <c r="V325" s="12"/>
      <c r="W325" s="12"/>
      <c r="X325" s="12"/>
      <c r="Y325" s="12"/>
      <c r="Z325" s="12"/>
    </row>
    <row r="326" ht="15.75" customHeight="1">
      <c r="A326" s="12"/>
      <c r="B326" s="12"/>
      <c r="C326" s="12"/>
      <c r="D326" s="12"/>
      <c r="E326" s="171"/>
      <c r="F326" s="12"/>
      <c r="G326" s="12"/>
      <c r="H326" s="12"/>
      <c r="I326" s="12"/>
      <c r="J326" s="12"/>
      <c r="K326" s="12"/>
      <c r="L326" s="12"/>
      <c r="M326" s="12"/>
      <c r="N326" s="12"/>
      <c r="O326" s="12"/>
      <c r="P326" s="12"/>
      <c r="Q326" s="12"/>
      <c r="R326" s="12"/>
      <c r="S326" s="12"/>
      <c r="T326" s="12"/>
      <c r="U326" s="12"/>
      <c r="V326" s="12"/>
      <c r="W326" s="12"/>
      <c r="X326" s="12"/>
      <c r="Y326" s="12"/>
      <c r="Z326" s="12"/>
    </row>
    <row r="327" ht="15.75" customHeight="1">
      <c r="A327" s="12"/>
      <c r="B327" s="12"/>
      <c r="C327" s="12"/>
      <c r="D327" s="12"/>
      <c r="E327" s="171"/>
      <c r="F327" s="12"/>
      <c r="G327" s="12"/>
      <c r="H327" s="12"/>
      <c r="I327" s="12"/>
      <c r="J327" s="12"/>
      <c r="K327" s="12"/>
      <c r="L327" s="12"/>
      <c r="M327" s="12"/>
      <c r="N327" s="12"/>
      <c r="O327" s="12"/>
      <c r="P327" s="12"/>
      <c r="Q327" s="12"/>
      <c r="R327" s="12"/>
      <c r="S327" s="12"/>
      <c r="T327" s="12"/>
      <c r="U327" s="12"/>
      <c r="V327" s="12"/>
      <c r="W327" s="12"/>
      <c r="X327" s="12"/>
      <c r="Y327" s="12"/>
      <c r="Z327" s="12"/>
    </row>
    <row r="328" ht="15.75" customHeight="1">
      <c r="A328" s="12"/>
      <c r="B328" s="12"/>
      <c r="C328" s="12"/>
      <c r="D328" s="12"/>
      <c r="E328" s="171"/>
      <c r="F328" s="12"/>
      <c r="G328" s="12"/>
      <c r="H328" s="12"/>
      <c r="I328" s="12"/>
      <c r="J328" s="12"/>
      <c r="K328" s="12"/>
      <c r="L328" s="12"/>
      <c r="M328" s="12"/>
      <c r="N328" s="12"/>
      <c r="O328" s="12"/>
      <c r="P328" s="12"/>
      <c r="Q328" s="12"/>
      <c r="R328" s="12"/>
      <c r="S328" s="12"/>
      <c r="T328" s="12"/>
      <c r="U328" s="12"/>
      <c r="V328" s="12"/>
      <c r="W328" s="12"/>
      <c r="X328" s="12"/>
      <c r="Y328" s="12"/>
      <c r="Z328" s="12"/>
    </row>
    <row r="329" ht="15.75" customHeight="1">
      <c r="A329" s="12"/>
      <c r="B329" s="12"/>
      <c r="C329" s="12"/>
      <c r="D329" s="12"/>
      <c r="E329" s="171"/>
      <c r="F329" s="12"/>
      <c r="G329" s="12"/>
      <c r="H329" s="12"/>
      <c r="I329" s="12"/>
      <c r="J329" s="12"/>
      <c r="K329" s="12"/>
      <c r="L329" s="12"/>
      <c r="M329" s="12"/>
      <c r="N329" s="12"/>
      <c r="O329" s="12"/>
      <c r="P329" s="12"/>
      <c r="Q329" s="12"/>
      <c r="R329" s="12"/>
      <c r="S329" s="12"/>
      <c r="T329" s="12"/>
      <c r="U329" s="12"/>
      <c r="V329" s="12"/>
      <c r="W329" s="12"/>
      <c r="X329" s="12"/>
      <c r="Y329" s="12"/>
      <c r="Z329" s="12"/>
    </row>
    <row r="330" ht="15.75" customHeight="1">
      <c r="A330" s="12"/>
      <c r="B330" s="12"/>
      <c r="C330" s="12"/>
      <c r="D330" s="12"/>
      <c r="E330" s="171"/>
      <c r="F330" s="12"/>
      <c r="G330" s="12"/>
      <c r="H330" s="12"/>
      <c r="I330" s="12"/>
      <c r="J330" s="12"/>
      <c r="K330" s="12"/>
      <c r="L330" s="12"/>
      <c r="M330" s="12"/>
      <c r="N330" s="12"/>
      <c r="O330" s="12"/>
      <c r="P330" s="12"/>
      <c r="Q330" s="12"/>
      <c r="R330" s="12"/>
      <c r="S330" s="12"/>
      <c r="T330" s="12"/>
      <c r="U330" s="12"/>
      <c r="V330" s="12"/>
      <c r="W330" s="12"/>
      <c r="X330" s="12"/>
      <c r="Y330" s="12"/>
      <c r="Z330" s="12"/>
    </row>
    <row r="331" ht="15.75" customHeight="1">
      <c r="A331" s="12"/>
      <c r="B331" s="12"/>
      <c r="C331" s="12"/>
      <c r="D331" s="12"/>
      <c r="E331" s="171"/>
      <c r="F331" s="12"/>
      <c r="G331" s="12"/>
      <c r="H331" s="12"/>
      <c r="I331" s="12"/>
      <c r="J331" s="12"/>
      <c r="K331" s="12"/>
      <c r="L331" s="12"/>
      <c r="M331" s="12"/>
      <c r="N331" s="12"/>
      <c r="O331" s="12"/>
      <c r="P331" s="12"/>
      <c r="Q331" s="12"/>
      <c r="R331" s="12"/>
      <c r="S331" s="12"/>
      <c r="T331" s="12"/>
      <c r="U331" s="12"/>
      <c r="V331" s="12"/>
      <c r="W331" s="12"/>
      <c r="X331" s="12"/>
      <c r="Y331" s="12"/>
      <c r="Z331" s="12"/>
    </row>
    <row r="332" ht="15.75" customHeight="1">
      <c r="A332" s="12"/>
      <c r="B332" s="12"/>
      <c r="C332" s="12"/>
      <c r="D332" s="12"/>
      <c r="E332" s="171"/>
      <c r="F332" s="12"/>
      <c r="G332" s="12"/>
      <c r="H332" s="12"/>
      <c r="I332" s="12"/>
      <c r="J332" s="12"/>
      <c r="K332" s="12"/>
      <c r="L332" s="12"/>
      <c r="M332" s="12"/>
      <c r="N332" s="12"/>
      <c r="O332" s="12"/>
      <c r="P332" s="12"/>
      <c r="Q332" s="12"/>
      <c r="R332" s="12"/>
      <c r="S332" s="12"/>
      <c r="T332" s="12"/>
      <c r="U332" s="12"/>
      <c r="V332" s="12"/>
      <c r="W332" s="12"/>
      <c r="X332" s="12"/>
      <c r="Y332" s="12"/>
      <c r="Z332" s="12"/>
    </row>
    <row r="333" ht="15.75" customHeight="1">
      <c r="A333" s="12"/>
      <c r="B333" s="12"/>
      <c r="C333" s="12"/>
      <c r="D333" s="12"/>
      <c r="E333" s="171"/>
      <c r="F333" s="12"/>
      <c r="G333" s="12"/>
      <c r="H333" s="12"/>
      <c r="I333" s="12"/>
      <c r="J333" s="12"/>
      <c r="K333" s="12"/>
      <c r="L333" s="12"/>
      <c r="M333" s="12"/>
      <c r="N333" s="12"/>
      <c r="O333" s="12"/>
      <c r="P333" s="12"/>
      <c r="Q333" s="12"/>
      <c r="R333" s="12"/>
      <c r="S333" s="12"/>
      <c r="T333" s="12"/>
      <c r="U333" s="12"/>
      <c r="V333" s="12"/>
      <c r="W333" s="12"/>
      <c r="X333" s="12"/>
      <c r="Y333" s="12"/>
      <c r="Z333" s="12"/>
    </row>
    <row r="334" ht="15.75" customHeight="1">
      <c r="A334" s="12"/>
      <c r="B334" s="12"/>
      <c r="C334" s="12"/>
      <c r="D334" s="12"/>
      <c r="E334" s="171"/>
      <c r="F334" s="12"/>
      <c r="G334" s="12"/>
      <c r="H334" s="12"/>
      <c r="I334" s="12"/>
      <c r="J334" s="12"/>
      <c r="K334" s="12"/>
      <c r="L334" s="12"/>
      <c r="M334" s="12"/>
      <c r="N334" s="12"/>
      <c r="O334" s="12"/>
      <c r="P334" s="12"/>
      <c r="Q334" s="12"/>
      <c r="R334" s="12"/>
      <c r="S334" s="12"/>
      <c r="T334" s="12"/>
      <c r="U334" s="12"/>
      <c r="V334" s="12"/>
      <c r="W334" s="12"/>
      <c r="X334" s="12"/>
      <c r="Y334" s="12"/>
      <c r="Z334" s="12"/>
    </row>
    <row r="335" ht="15.75" customHeight="1">
      <c r="A335" s="12"/>
      <c r="B335" s="12"/>
      <c r="C335" s="12"/>
      <c r="D335" s="12"/>
      <c r="E335" s="171"/>
      <c r="F335" s="12"/>
      <c r="G335" s="12"/>
      <c r="H335" s="12"/>
      <c r="I335" s="12"/>
      <c r="J335" s="12"/>
      <c r="K335" s="12"/>
      <c r="L335" s="12"/>
      <c r="M335" s="12"/>
      <c r="N335" s="12"/>
      <c r="O335" s="12"/>
      <c r="P335" s="12"/>
      <c r="Q335" s="12"/>
      <c r="R335" s="12"/>
      <c r="S335" s="12"/>
      <c r="T335" s="12"/>
      <c r="U335" s="12"/>
      <c r="V335" s="12"/>
      <c r="W335" s="12"/>
      <c r="X335" s="12"/>
      <c r="Y335" s="12"/>
      <c r="Z335" s="12"/>
    </row>
    <row r="336" ht="15.75" customHeight="1">
      <c r="A336" s="12"/>
      <c r="B336" s="12"/>
      <c r="C336" s="12"/>
      <c r="D336" s="12"/>
      <c r="E336" s="171"/>
      <c r="F336" s="12"/>
      <c r="G336" s="12"/>
      <c r="H336" s="12"/>
      <c r="I336" s="12"/>
      <c r="J336" s="12"/>
      <c r="K336" s="12"/>
      <c r="L336" s="12"/>
      <c r="M336" s="12"/>
      <c r="N336" s="12"/>
      <c r="O336" s="12"/>
      <c r="P336" s="12"/>
      <c r="Q336" s="12"/>
      <c r="R336" s="12"/>
      <c r="S336" s="12"/>
      <c r="T336" s="12"/>
      <c r="U336" s="12"/>
      <c r="V336" s="12"/>
      <c r="W336" s="12"/>
      <c r="X336" s="12"/>
      <c r="Y336" s="12"/>
      <c r="Z336" s="12"/>
    </row>
    <row r="337" ht="15.75" customHeight="1">
      <c r="A337" s="12"/>
      <c r="B337" s="12"/>
      <c r="C337" s="12"/>
      <c r="D337" s="12"/>
      <c r="E337" s="171"/>
      <c r="F337" s="12"/>
      <c r="G337" s="12"/>
      <c r="H337" s="12"/>
      <c r="I337" s="12"/>
      <c r="J337" s="12"/>
      <c r="K337" s="12"/>
      <c r="L337" s="12"/>
      <c r="M337" s="12"/>
      <c r="N337" s="12"/>
      <c r="O337" s="12"/>
      <c r="P337" s="12"/>
      <c r="Q337" s="12"/>
      <c r="R337" s="12"/>
      <c r="S337" s="12"/>
      <c r="T337" s="12"/>
      <c r="U337" s="12"/>
      <c r="V337" s="12"/>
      <c r="W337" s="12"/>
      <c r="X337" s="12"/>
      <c r="Y337" s="12"/>
      <c r="Z337" s="12"/>
    </row>
    <row r="338" ht="15.75" customHeight="1">
      <c r="A338" s="12"/>
      <c r="B338" s="12"/>
      <c r="C338" s="12"/>
      <c r="D338" s="12"/>
      <c r="E338" s="171"/>
      <c r="F338" s="12"/>
      <c r="G338" s="12"/>
      <c r="H338" s="12"/>
      <c r="I338" s="12"/>
      <c r="J338" s="12"/>
      <c r="K338" s="12"/>
      <c r="L338" s="12"/>
      <c r="M338" s="12"/>
      <c r="N338" s="12"/>
      <c r="O338" s="12"/>
      <c r="P338" s="12"/>
      <c r="Q338" s="12"/>
      <c r="R338" s="12"/>
      <c r="S338" s="12"/>
      <c r="T338" s="12"/>
      <c r="U338" s="12"/>
      <c r="V338" s="12"/>
      <c r="W338" s="12"/>
      <c r="X338" s="12"/>
      <c r="Y338" s="12"/>
      <c r="Z338" s="12"/>
    </row>
    <row r="339" ht="15.75" customHeight="1">
      <c r="A339" s="12"/>
      <c r="B339" s="12"/>
      <c r="C339" s="12"/>
      <c r="D339" s="12"/>
      <c r="E339" s="171"/>
      <c r="F339" s="12"/>
      <c r="G339" s="12"/>
      <c r="H339" s="12"/>
      <c r="I339" s="12"/>
      <c r="J339" s="12"/>
      <c r="K339" s="12"/>
      <c r="L339" s="12"/>
      <c r="M339" s="12"/>
      <c r="N339" s="12"/>
      <c r="O339" s="12"/>
      <c r="P339" s="12"/>
      <c r="Q339" s="12"/>
      <c r="R339" s="12"/>
      <c r="S339" s="12"/>
      <c r="T339" s="12"/>
      <c r="U339" s="12"/>
      <c r="V339" s="12"/>
      <c r="W339" s="12"/>
      <c r="X339" s="12"/>
      <c r="Y339" s="12"/>
      <c r="Z339" s="12"/>
    </row>
    <row r="340" ht="15.75" customHeight="1">
      <c r="A340" s="12"/>
      <c r="B340" s="12"/>
      <c r="C340" s="12"/>
      <c r="D340" s="12"/>
      <c r="E340" s="171"/>
      <c r="F340" s="12"/>
      <c r="G340" s="12"/>
      <c r="H340" s="12"/>
      <c r="I340" s="12"/>
      <c r="J340" s="12"/>
      <c r="K340" s="12"/>
      <c r="L340" s="12"/>
      <c r="M340" s="12"/>
      <c r="N340" s="12"/>
      <c r="O340" s="12"/>
      <c r="P340" s="12"/>
      <c r="Q340" s="12"/>
      <c r="R340" s="12"/>
      <c r="S340" s="12"/>
      <c r="T340" s="12"/>
      <c r="U340" s="12"/>
      <c r="V340" s="12"/>
      <c r="W340" s="12"/>
      <c r="X340" s="12"/>
      <c r="Y340" s="12"/>
      <c r="Z340" s="12"/>
    </row>
    <row r="341" ht="15.75" customHeight="1">
      <c r="A341" s="12"/>
      <c r="B341" s="12"/>
      <c r="C341" s="12"/>
      <c r="D341" s="12"/>
      <c r="E341" s="171"/>
      <c r="F341" s="12"/>
      <c r="G341" s="12"/>
      <c r="H341" s="12"/>
      <c r="I341" s="12"/>
      <c r="J341" s="12"/>
      <c r="K341" s="12"/>
      <c r="L341" s="12"/>
      <c r="M341" s="12"/>
      <c r="N341" s="12"/>
      <c r="O341" s="12"/>
      <c r="P341" s="12"/>
      <c r="Q341" s="12"/>
      <c r="R341" s="12"/>
      <c r="S341" s="12"/>
      <c r="T341" s="12"/>
      <c r="U341" s="12"/>
      <c r="V341" s="12"/>
      <c r="W341" s="12"/>
      <c r="X341" s="12"/>
      <c r="Y341" s="12"/>
      <c r="Z341" s="12"/>
    </row>
    <row r="342" ht="15.75" customHeight="1">
      <c r="A342" s="12"/>
      <c r="B342" s="12"/>
      <c r="C342" s="12"/>
      <c r="D342" s="12"/>
      <c r="E342" s="171"/>
      <c r="F342" s="12"/>
      <c r="G342" s="12"/>
      <c r="H342" s="12"/>
      <c r="I342" s="12"/>
      <c r="J342" s="12"/>
      <c r="K342" s="12"/>
      <c r="L342" s="12"/>
      <c r="M342" s="12"/>
      <c r="N342" s="12"/>
      <c r="O342" s="12"/>
      <c r="P342" s="12"/>
      <c r="Q342" s="12"/>
      <c r="R342" s="12"/>
      <c r="S342" s="12"/>
      <c r="T342" s="12"/>
      <c r="U342" s="12"/>
      <c r="V342" s="12"/>
      <c r="W342" s="12"/>
      <c r="X342" s="12"/>
      <c r="Y342" s="12"/>
      <c r="Z342" s="12"/>
    </row>
    <row r="343" ht="15.75" customHeight="1">
      <c r="A343" s="12"/>
      <c r="B343" s="12"/>
      <c r="C343" s="12"/>
      <c r="D343" s="12"/>
      <c r="E343" s="171"/>
      <c r="F343" s="12"/>
      <c r="G343" s="12"/>
      <c r="H343" s="12"/>
      <c r="I343" s="12"/>
      <c r="J343" s="12"/>
      <c r="K343" s="12"/>
      <c r="L343" s="12"/>
      <c r="M343" s="12"/>
      <c r="N343" s="12"/>
      <c r="O343" s="12"/>
      <c r="P343" s="12"/>
      <c r="Q343" s="12"/>
      <c r="R343" s="12"/>
      <c r="S343" s="12"/>
      <c r="T343" s="12"/>
      <c r="U343" s="12"/>
      <c r="V343" s="12"/>
      <c r="W343" s="12"/>
      <c r="X343" s="12"/>
      <c r="Y343" s="12"/>
      <c r="Z343" s="12"/>
    </row>
    <row r="344" ht="15.75" customHeight="1">
      <c r="A344" s="12"/>
      <c r="B344" s="12"/>
      <c r="C344" s="12"/>
      <c r="D344" s="12"/>
      <c r="E344" s="171"/>
      <c r="F344" s="12"/>
      <c r="G344" s="12"/>
      <c r="H344" s="12"/>
      <c r="I344" s="12"/>
      <c r="J344" s="12"/>
      <c r="K344" s="12"/>
      <c r="L344" s="12"/>
      <c r="M344" s="12"/>
      <c r="N344" s="12"/>
      <c r="O344" s="12"/>
      <c r="P344" s="12"/>
      <c r="Q344" s="12"/>
      <c r="R344" s="12"/>
      <c r="S344" s="12"/>
      <c r="T344" s="12"/>
      <c r="U344" s="12"/>
      <c r="V344" s="12"/>
      <c r="W344" s="12"/>
      <c r="X344" s="12"/>
      <c r="Y344" s="12"/>
      <c r="Z344" s="12"/>
    </row>
    <row r="345" ht="15.75" customHeight="1">
      <c r="A345" s="12"/>
      <c r="B345" s="12"/>
      <c r="C345" s="12"/>
      <c r="D345" s="12"/>
      <c r="E345" s="171"/>
      <c r="F345" s="12"/>
      <c r="G345" s="12"/>
      <c r="H345" s="12"/>
      <c r="I345" s="12"/>
      <c r="J345" s="12"/>
      <c r="K345" s="12"/>
      <c r="L345" s="12"/>
      <c r="M345" s="12"/>
      <c r="N345" s="12"/>
      <c r="O345" s="12"/>
      <c r="P345" s="12"/>
      <c r="Q345" s="12"/>
      <c r="R345" s="12"/>
      <c r="S345" s="12"/>
      <c r="T345" s="12"/>
      <c r="U345" s="12"/>
      <c r="V345" s="12"/>
      <c r="W345" s="12"/>
      <c r="X345" s="12"/>
      <c r="Y345" s="12"/>
      <c r="Z345" s="12"/>
    </row>
    <row r="346" ht="15.75" customHeight="1">
      <c r="A346" s="12"/>
      <c r="B346" s="12"/>
      <c r="C346" s="12"/>
      <c r="D346" s="12"/>
      <c r="E346" s="171"/>
      <c r="F346" s="12"/>
      <c r="G346" s="12"/>
      <c r="H346" s="12"/>
      <c r="I346" s="12"/>
      <c r="J346" s="12"/>
      <c r="K346" s="12"/>
      <c r="L346" s="12"/>
      <c r="M346" s="12"/>
      <c r="N346" s="12"/>
      <c r="O346" s="12"/>
      <c r="P346" s="12"/>
      <c r="Q346" s="12"/>
      <c r="R346" s="12"/>
      <c r="S346" s="12"/>
      <c r="T346" s="12"/>
      <c r="U346" s="12"/>
      <c r="V346" s="12"/>
      <c r="W346" s="12"/>
      <c r="X346" s="12"/>
      <c r="Y346" s="12"/>
      <c r="Z346" s="12"/>
    </row>
    <row r="347" ht="15.75" customHeight="1">
      <c r="A347" s="12"/>
      <c r="B347" s="12"/>
      <c r="C347" s="12"/>
      <c r="D347" s="12"/>
      <c r="E347" s="171"/>
      <c r="F347" s="12"/>
      <c r="G347" s="12"/>
      <c r="H347" s="12"/>
      <c r="I347" s="12"/>
      <c r="J347" s="12"/>
      <c r="K347" s="12"/>
      <c r="L347" s="12"/>
      <c r="M347" s="12"/>
      <c r="N347" s="12"/>
      <c r="O347" s="12"/>
      <c r="P347" s="12"/>
      <c r="Q347" s="12"/>
      <c r="R347" s="12"/>
      <c r="S347" s="12"/>
      <c r="T347" s="12"/>
      <c r="U347" s="12"/>
      <c r="V347" s="12"/>
      <c r="W347" s="12"/>
      <c r="X347" s="12"/>
      <c r="Y347" s="12"/>
      <c r="Z347" s="12"/>
    </row>
    <row r="348" ht="15.75" customHeight="1">
      <c r="A348" s="12"/>
      <c r="B348" s="12"/>
      <c r="C348" s="12"/>
      <c r="D348" s="12"/>
      <c r="E348" s="171"/>
      <c r="F348" s="12"/>
      <c r="G348" s="12"/>
      <c r="H348" s="12"/>
      <c r="I348" s="12"/>
      <c r="J348" s="12"/>
      <c r="K348" s="12"/>
      <c r="L348" s="12"/>
      <c r="M348" s="12"/>
      <c r="N348" s="12"/>
      <c r="O348" s="12"/>
      <c r="P348" s="12"/>
      <c r="Q348" s="12"/>
      <c r="R348" s="12"/>
      <c r="S348" s="12"/>
      <c r="T348" s="12"/>
      <c r="U348" s="12"/>
      <c r="V348" s="12"/>
      <c r="W348" s="12"/>
      <c r="X348" s="12"/>
      <c r="Y348" s="12"/>
      <c r="Z348" s="12"/>
    </row>
    <row r="349" ht="15.75" customHeight="1">
      <c r="A349" s="12"/>
      <c r="B349" s="12"/>
      <c r="C349" s="12"/>
      <c r="D349" s="12"/>
      <c r="E349" s="171"/>
      <c r="F349" s="12"/>
      <c r="G349" s="12"/>
      <c r="H349" s="12"/>
      <c r="I349" s="12"/>
      <c r="J349" s="12"/>
      <c r="K349" s="12"/>
      <c r="L349" s="12"/>
      <c r="M349" s="12"/>
      <c r="N349" s="12"/>
      <c r="O349" s="12"/>
      <c r="P349" s="12"/>
      <c r="Q349" s="12"/>
      <c r="R349" s="12"/>
      <c r="S349" s="12"/>
      <c r="T349" s="12"/>
      <c r="U349" s="12"/>
      <c r="V349" s="12"/>
      <c r="W349" s="12"/>
      <c r="X349" s="12"/>
      <c r="Y349" s="12"/>
      <c r="Z349" s="12"/>
    </row>
    <row r="350" ht="15.75" customHeight="1">
      <c r="A350" s="12"/>
      <c r="B350" s="12"/>
      <c r="C350" s="12"/>
      <c r="D350" s="12"/>
      <c r="E350" s="171"/>
      <c r="F350" s="12"/>
      <c r="G350" s="12"/>
      <c r="H350" s="12"/>
      <c r="I350" s="12"/>
      <c r="J350" s="12"/>
      <c r="K350" s="12"/>
      <c r="L350" s="12"/>
      <c r="M350" s="12"/>
      <c r="N350" s="12"/>
      <c r="O350" s="12"/>
      <c r="P350" s="12"/>
      <c r="Q350" s="12"/>
      <c r="R350" s="12"/>
      <c r="S350" s="12"/>
      <c r="T350" s="12"/>
      <c r="U350" s="12"/>
      <c r="V350" s="12"/>
      <c r="W350" s="12"/>
      <c r="X350" s="12"/>
      <c r="Y350" s="12"/>
      <c r="Z350" s="12"/>
    </row>
    <row r="351" ht="15.75" customHeight="1">
      <c r="A351" s="12"/>
      <c r="B351" s="12"/>
      <c r="C351" s="12"/>
      <c r="D351" s="12"/>
      <c r="E351" s="171"/>
      <c r="F351" s="12"/>
      <c r="G351" s="12"/>
      <c r="H351" s="12"/>
      <c r="I351" s="12"/>
      <c r="J351" s="12"/>
      <c r="K351" s="12"/>
      <c r="L351" s="12"/>
      <c r="M351" s="12"/>
      <c r="N351" s="12"/>
      <c r="O351" s="12"/>
      <c r="P351" s="12"/>
      <c r="Q351" s="12"/>
      <c r="R351" s="12"/>
      <c r="S351" s="12"/>
      <c r="T351" s="12"/>
      <c r="U351" s="12"/>
      <c r="V351" s="12"/>
      <c r="W351" s="12"/>
      <c r="X351" s="12"/>
      <c r="Y351" s="12"/>
      <c r="Z351" s="12"/>
    </row>
    <row r="352" ht="15.75" customHeight="1">
      <c r="A352" s="12"/>
      <c r="B352" s="12"/>
      <c r="C352" s="12"/>
      <c r="D352" s="12"/>
      <c r="E352" s="171"/>
      <c r="F352" s="12"/>
      <c r="G352" s="12"/>
      <c r="H352" s="12"/>
      <c r="I352" s="12"/>
      <c r="J352" s="12"/>
      <c r="K352" s="12"/>
      <c r="L352" s="12"/>
      <c r="M352" s="12"/>
      <c r="N352" s="12"/>
      <c r="O352" s="12"/>
      <c r="P352" s="12"/>
      <c r="Q352" s="12"/>
      <c r="R352" s="12"/>
      <c r="S352" s="12"/>
      <c r="T352" s="12"/>
      <c r="U352" s="12"/>
      <c r="V352" s="12"/>
      <c r="W352" s="12"/>
      <c r="X352" s="12"/>
      <c r="Y352" s="12"/>
      <c r="Z352" s="12"/>
    </row>
    <row r="353" ht="15.75" customHeight="1">
      <c r="A353" s="12"/>
      <c r="B353" s="12"/>
      <c r="C353" s="12"/>
      <c r="D353" s="12"/>
      <c r="E353" s="171"/>
      <c r="F353" s="12"/>
      <c r="G353" s="12"/>
      <c r="H353" s="12"/>
      <c r="I353" s="12"/>
      <c r="J353" s="12"/>
      <c r="K353" s="12"/>
      <c r="L353" s="12"/>
      <c r="M353" s="12"/>
      <c r="N353" s="12"/>
      <c r="O353" s="12"/>
      <c r="P353" s="12"/>
      <c r="Q353" s="12"/>
      <c r="R353" s="12"/>
      <c r="S353" s="12"/>
      <c r="T353" s="12"/>
      <c r="U353" s="12"/>
      <c r="V353" s="12"/>
      <c r="W353" s="12"/>
      <c r="X353" s="12"/>
      <c r="Y353" s="12"/>
      <c r="Z353" s="12"/>
    </row>
    <row r="354" ht="15.75" customHeight="1">
      <c r="A354" s="12"/>
      <c r="B354" s="12"/>
      <c r="C354" s="12"/>
      <c r="D354" s="12"/>
      <c r="E354" s="171"/>
      <c r="F354" s="12"/>
      <c r="G354" s="12"/>
      <c r="H354" s="12"/>
      <c r="I354" s="12"/>
      <c r="J354" s="12"/>
      <c r="K354" s="12"/>
      <c r="L354" s="12"/>
      <c r="M354" s="12"/>
      <c r="N354" s="12"/>
      <c r="O354" s="12"/>
      <c r="P354" s="12"/>
      <c r="Q354" s="12"/>
      <c r="R354" s="12"/>
      <c r="S354" s="12"/>
      <c r="T354" s="12"/>
      <c r="U354" s="12"/>
      <c r="V354" s="12"/>
      <c r="W354" s="12"/>
      <c r="X354" s="12"/>
      <c r="Y354" s="12"/>
      <c r="Z354" s="12"/>
    </row>
    <row r="355" ht="15.75" customHeight="1">
      <c r="A355" s="12"/>
      <c r="B355" s="12"/>
      <c r="C355" s="12"/>
      <c r="D355" s="12"/>
      <c r="E355" s="171"/>
      <c r="F355" s="12"/>
      <c r="G355" s="12"/>
      <c r="H355" s="12"/>
      <c r="I355" s="12"/>
      <c r="J355" s="12"/>
      <c r="K355" s="12"/>
      <c r="L355" s="12"/>
      <c r="M355" s="12"/>
      <c r="N355" s="12"/>
      <c r="O355" s="12"/>
      <c r="P355" s="12"/>
      <c r="Q355" s="12"/>
      <c r="R355" s="12"/>
      <c r="S355" s="12"/>
      <c r="T355" s="12"/>
      <c r="U355" s="12"/>
      <c r="V355" s="12"/>
      <c r="W355" s="12"/>
      <c r="X355" s="12"/>
      <c r="Y355" s="12"/>
      <c r="Z355" s="12"/>
    </row>
    <row r="356" ht="15.75" customHeight="1">
      <c r="A356" s="12"/>
      <c r="B356" s="12"/>
      <c r="C356" s="12"/>
      <c r="D356" s="12"/>
      <c r="E356" s="171"/>
      <c r="F356" s="12"/>
      <c r="G356" s="12"/>
      <c r="H356" s="12"/>
      <c r="I356" s="12"/>
      <c r="J356" s="12"/>
      <c r="K356" s="12"/>
      <c r="L356" s="12"/>
      <c r="M356" s="12"/>
      <c r="N356" s="12"/>
      <c r="O356" s="12"/>
      <c r="P356" s="12"/>
      <c r="Q356" s="12"/>
      <c r="R356" s="12"/>
      <c r="S356" s="12"/>
      <c r="T356" s="12"/>
      <c r="U356" s="12"/>
      <c r="V356" s="12"/>
      <c r="W356" s="12"/>
      <c r="X356" s="12"/>
      <c r="Y356" s="12"/>
      <c r="Z356" s="12"/>
    </row>
    <row r="357" ht="15.75" customHeight="1">
      <c r="A357" s="12"/>
      <c r="B357" s="12"/>
      <c r="C357" s="12"/>
      <c r="D357" s="12"/>
      <c r="E357" s="171"/>
      <c r="F357" s="12"/>
      <c r="G357" s="12"/>
      <c r="H357" s="12"/>
      <c r="I357" s="12"/>
      <c r="J357" s="12"/>
      <c r="K357" s="12"/>
      <c r="L357" s="12"/>
      <c r="M357" s="12"/>
      <c r="N357" s="12"/>
      <c r="O357" s="12"/>
      <c r="P357" s="12"/>
      <c r="Q357" s="12"/>
      <c r="R357" s="12"/>
      <c r="S357" s="12"/>
      <c r="T357" s="12"/>
      <c r="U357" s="12"/>
      <c r="V357" s="12"/>
      <c r="W357" s="12"/>
      <c r="X357" s="12"/>
      <c r="Y357" s="12"/>
      <c r="Z357" s="12"/>
    </row>
    <row r="358" ht="15.75" customHeight="1">
      <c r="A358" s="12"/>
      <c r="B358" s="12"/>
      <c r="C358" s="12"/>
      <c r="D358" s="12"/>
      <c r="E358" s="171"/>
      <c r="F358" s="12"/>
      <c r="G358" s="12"/>
      <c r="H358" s="12"/>
      <c r="I358" s="12"/>
      <c r="J358" s="12"/>
      <c r="K358" s="12"/>
      <c r="L358" s="12"/>
      <c r="M358" s="12"/>
      <c r="N358" s="12"/>
      <c r="O358" s="12"/>
      <c r="P358" s="12"/>
      <c r="Q358" s="12"/>
      <c r="R358" s="12"/>
      <c r="S358" s="12"/>
      <c r="T358" s="12"/>
      <c r="U358" s="12"/>
      <c r="V358" s="12"/>
      <c r="W358" s="12"/>
      <c r="X358" s="12"/>
      <c r="Y358" s="12"/>
      <c r="Z358" s="12"/>
    </row>
    <row r="359" ht="15.75" customHeight="1">
      <c r="A359" s="12"/>
      <c r="B359" s="12"/>
      <c r="C359" s="12"/>
      <c r="D359" s="12"/>
      <c r="E359" s="171"/>
      <c r="F359" s="12"/>
      <c r="G359" s="12"/>
      <c r="H359" s="12"/>
      <c r="I359" s="12"/>
      <c r="J359" s="12"/>
      <c r="K359" s="12"/>
      <c r="L359" s="12"/>
      <c r="M359" s="12"/>
      <c r="N359" s="12"/>
      <c r="O359" s="12"/>
      <c r="P359" s="12"/>
      <c r="Q359" s="12"/>
      <c r="R359" s="12"/>
      <c r="S359" s="12"/>
      <c r="T359" s="12"/>
      <c r="U359" s="12"/>
      <c r="V359" s="12"/>
      <c r="W359" s="12"/>
      <c r="X359" s="12"/>
      <c r="Y359" s="12"/>
      <c r="Z359" s="12"/>
    </row>
    <row r="360" ht="15.75" customHeight="1">
      <c r="A360" s="12"/>
      <c r="B360" s="12"/>
      <c r="C360" s="12"/>
      <c r="D360" s="12"/>
      <c r="E360" s="171"/>
      <c r="F360" s="12"/>
      <c r="G360" s="12"/>
      <c r="H360" s="12"/>
      <c r="I360" s="12"/>
      <c r="J360" s="12"/>
      <c r="K360" s="12"/>
      <c r="L360" s="12"/>
      <c r="M360" s="12"/>
      <c r="N360" s="12"/>
      <c r="O360" s="12"/>
      <c r="P360" s="12"/>
      <c r="Q360" s="12"/>
      <c r="R360" s="12"/>
      <c r="S360" s="12"/>
      <c r="T360" s="12"/>
      <c r="U360" s="12"/>
      <c r="V360" s="12"/>
      <c r="W360" s="12"/>
      <c r="X360" s="12"/>
      <c r="Y360" s="12"/>
      <c r="Z360" s="12"/>
    </row>
    <row r="361" ht="15.75" customHeight="1">
      <c r="A361" s="12"/>
      <c r="B361" s="12"/>
      <c r="C361" s="12"/>
      <c r="D361" s="12"/>
      <c r="E361" s="171"/>
      <c r="F361" s="12"/>
      <c r="G361" s="12"/>
      <c r="H361" s="12"/>
      <c r="I361" s="12"/>
      <c r="J361" s="12"/>
      <c r="K361" s="12"/>
      <c r="L361" s="12"/>
      <c r="M361" s="12"/>
      <c r="N361" s="12"/>
      <c r="O361" s="12"/>
      <c r="P361" s="12"/>
      <c r="Q361" s="12"/>
      <c r="R361" s="12"/>
      <c r="S361" s="12"/>
      <c r="T361" s="12"/>
      <c r="U361" s="12"/>
      <c r="V361" s="12"/>
      <c r="W361" s="12"/>
      <c r="X361" s="12"/>
      <c r="Y361" s="12"/>
      <c r="Z361" s="12"/>
    </row>
    <row r="362" ht="15.75" customHeight="1">
      <c r="A362" s="12"/>
      <c r="B362" s="12"/>
      <c r="C362" s="12"/>
      <c r="D362" s="12"/>
      <c r="E362" s="171"/>
      <c r="F362" s="12"/>
      <c r="G362" s="12"/>
      <c r="H362" s="12"/>
      <c r="I362" s="12"/>
      <c r="J362" s="12"/>
      <c r="K362" s="12"/>
      <c r="L362" s="12"/>
      <c r="M362" s="12"/>
      <c r="N362" s="12"/>
      <c r="O362" s="12"/>
      <c r="P362" s="12"/>
      <c r="Q362" s="12"/>
      <c r="R362" s="12"/>
      <c r="S362" s="12"/>
      <c r="T362" s="12"/>
      <c r="U362" s="12"/>
      <c r="V362" s="12"/>
      <c r="W362" s="12"/>
      <c r="X362" s="12"/>
      <c r="Y362" s="12"/>
      <c r="Z362" s="12"/>
    </row>
    <row r="363" ht="15.75" customHeight="1">
      <c r="A363" s="12"/>
      <c r="B363" s="12"/>
      <c r="C363" s="12"/>
      <c r="D363" s="12"/>
      <c r="E363" s="171"/>
      <c r="F363" s="12"/>
      <c r="G363" s="12"/>
      <c r="H363" s="12"/>
      <c r="I363" s="12"/>
      <c r="J363" s="12"/>
      <c r="K363" s="12"/>
      <c r="L363" s="12"/>
      <c r="M363" s="12"/>
      <c r="N363" s="12"/>
      <c r="O363" s="12"/>
      <c r="P363" s="12"/>
      <c r="Q363" s="12"/>
      <c r="R363" s="12"/>
      <c r="S363" s="12"/>
      <c r="T363" s="12"/>
      <c r="U363" s="12"/>
      <c r="V363" s="12"/>
      <c r="W363" s="12"/>
      <c r="X363" s="12"/>
      <c r="Y363" s="12"/>
      <c r="Z363" s="12"/>
    </row>
    <row r="364" ht="15.75" customHeight="1">
      <c r="A364" s="12"/>
      <c r="B364" s="12"/>
      <c r="C364" s="12"/>
      <c r="D364" s="12"/>
      <c r="E364" s="171"/>
      <c r="F364" s="12"/>
      <c r="G364" s="12"/>
      <c r="H364" s="12"/>
      <c r="I364" s="12"/>
      <c r="J364" s="12"/>
      <c r="K364" s="12"/>
      <c r="L364" s="12"/>
      <c r="M364" s="12"/>
      <c r="N364" s="12"/>
      <c r="O364" s="12"/>
      <c r="P364" s="12"/>
      <c r="Q364" s="12"/>
      <c r="R364" s="12"/>
      <c r="S364" s="12"/>
      <c r="T364" s="12"/>
      <c r="U364" s="12"/>
      <c r="V364" s="12"/>
      <c r="W364" s="12"/>
      <c r="X364" s="12"/>
      <c r="Y364" s="12"/>
      <c r="Z364" s="12"/>
    </row>
    <row r="365" ht="15.75" customHeight="1">
      <c r="A365" s="12"/>
      <c r="B365" s="12"/>
      <c r="C365" s="12"/>
      <c r="D365" s="12"/>
      <c r="E365" s="171"/>
      <c r="F365" s="12"/>
      <c r="G365" s="12"/>
      <c r="H365" s="12"/>
      <c r="I365" s="12"/>
      <c r="J365" s="12"/>
      <c r="K365" s="12"/>
      <c r="L365" s="12"/>
      <c r="M365" s="12"/>
      <c r="N365" s="12"/>
      <c r="O365" s="12"/>
      <c r="P365" s="12"/>
      <c r="Q365" s="12"/>
      <c r="R365" s="12"/>
      <c r="S365" s="12"/>
      <c r="T365" s="12"/>
      <c r="U365" s="12"/>
      <c r="V365" s="12"/>
      <c r="W365" s="12"/>
      <c r="X365" s="12"/>
      <c r="Y365" s="12"/>
      <c r="Z365" s="12"/>
    </row>
    <row r="366" ht="15.75" customHeight="1">
      <c r="A366" s="12"/>
      <c r="B366" s="12"/>
      <c r="C366" s="12"/>
      <c r="D366" s="12"/>
      <c r="E366" s="171"/>
      <c r="F366" s="12"/>
      <c r="G366" s="12"/>
      <c r="H366" s="12"/>
      <c r="I366" s="12"/>
      <c r="J366" s="12"/>
      <c r="K366" s="12"/>
      <c r="L366" s="12"/>
      <c r="M366" s="12"/>
      <c r="N366" s="12"/>
      <c r="O366" s="12"/>
      <c r="P366" s="12"/>
      <c r="Q366" s="12"/>
      <c r="R366" s="12"/>
      <c r="S366" s="12"/>
      <c r="T366" s="12"/>
      <c r="U366" s="12"/>
      <c r="V366" s="12"/>
      <c r="W366" s="12"/>
      <c r="X366" s="12"/>
      <c r="Y366" s="12"/>
      <c r="Z366" s="12"/>
    </row>
    <row r="367" ht="15.75" customHeight="1">
      <c r="A367" s="12"/>
      <c r="B367" s="12"/>
      <c r="C367" s="12"/>
      <c r="D367" s="12"/>
      <c r="E367" s="171"/>
      <c r="F367" s="12"/>
      <c r="G367" s="12"/>
      <c r="H367" s="12"/>
      <c r="I367" s="12"/>
      <c r="J367" s="12"/>
      <c r="K367" s="12"/>
      <c r="L367" s="12"/>
      <c r="M367" s="12"/>
      <c r="N367" s="12"/>
      <c r="O367" s="12"/>
      <c r="P367" s="12"/>
      <c r="Q367" s="12"/>
      <c r="R367" s="12"/>
      <c r="S367" s="12"/>
      <c r="T367" s="12"/>
      <c r="U367" s="12"/>
      <c r="V367" s="12"/>
      <c r="W367" s="12"/>
      <c r="X367" s="12"/>
      <c r="Y367" s="12"/>
      <c r="Z367" s="12"/>
    </row>
    <row r="368" ht="15.75" customHeight="1">
      <c r="A368" s="12"/>
      <c r="B368" s="12"/>
      <c r="C368" s="12"/>
      <c r="D368" s="12"/>
      <c r="E368" s="171"/>
      <c r="F368" s="12"/>
      <c r="G368" s="12"/>
      <c r="H368" s="12"/>
      <c r="I368" s="12"/>
      <c r="J368" s="12"/>
      <c r="K368" s="12"/>
      <c r="L368" s="12"/>
      <c r="M368" s="12"/>
      <c r="N368" s="12"/>
      <c r="O368" s="12"/>
      <c r="P368" s="12"/>
      <c r="Q368" s="12"/>
      <c r="R368" s="12"/>
      <c r="S368" s="12"/>
      <c r="T368" s="12"/>
      <c r="U368" s="12"/>
      <c r="V368" s="12"/>
      <c r="W368" s="12"/>
      <c r="X368" s="12"/>
      <c r="Y368" s="12"/>
      <c r="Z368" s="12"/>
    </row>
    <row r="369" ht="15.75" customHeight="1">
      <c r="A369" s="12"/>
      <c r="B369" s="12"/>
      <c r="C369" s="12"/>
      <c r="D369" s="12"/>
      <c r="E369" s="171"/>
      <c r="F369" s="12"/>
      <c r="G369" s="12"/>
      <c r="H369" s="12"/>
      <c r="I369" s="12"/>
      <c r="J369" s="12"/>
      <c r="K369" s="12"/>
      <c r="L369" s="12"/>
      <c r="M369" s="12"/>
      <c r="N369" s="12"/>
      <c r="O369" s="12"/>
      <c r="P369" s="12"/>
      <c r="Q369" s="12"/>
      <c r="R369" s="12"/>
      <c r="S369" s="12"/>
      <c r="T369" s="12"/>
      <c r="U369" s="12"/>
      <c r="V369" s="12"/>
      <c r="W369" s="12"/>
      <c r="X369" s="12"/>
      <c r="Y369" s="12"/>
      <c r="Z369" s="12"/>
    </row>
    <row r="370" ht="15.75" customHeight="1">
      <c r="A370" s="12"/>
      <c r="B370" s="12"/>
      <c r="C370" s="12"/>
      <c r="D370" s="12"/>
      <c r="E370" s="171"/>
      <c r="F370" s="12"/>
      <c r="G370" s="12"/>
      <c r="H370" s="12"/>
      <c r="I370" s="12"/>
      <c r="J370" s="12"/>
      <c r="K370" s="12"/>
      <c r="L370" s="12"/>
      <c r="M370" s="12"/>
      <c r="N370" s="12"/>
      <c r="O370" s="12"/>
      <c r="P370" s="12"/>
      <c r="Q370" s="12"/>
      <c r="R370" s="12"/>
      <c r="S370" s="12"/>
      <c r="T370" s="12"/>
      <c r="U370" s="12"/>
      <c r="V370" s="12"/>
      <c r="W370" s="12"/>
      <c r="X370" s="12"/>
      <c r="Y370" s="12"/>
      <c r="Z370" s="12"/>
    </row>
    <row r="371" ht="15.75" customHeight="1">
      <c r="A371" s="12"/>
      <c r="B371" s="12"/>
      <c r="C371" s="12"/>
      <c r="D371" s="12"/>
      <c r="E371" s="171"/>
      <c r="F371" s="12"/>
      <c r="G371" s="12"/>
      <c r="H371" s="12"/>
      <c r="I371" s="12"/>
      <c r="J371" s="12"/>
      <c r="K371" s="12"/>
      <c r="L371" s="12"/>
      <c r="M371" s="12"/>
      <c r="N371" s="12"/>
      <c r="O371" s="12"/>
      <c r="P371" s="12"/>
      <c r="Q371" s="12"/>
      <c r="R371" s="12"/>
      <c r="S371" s="12"/>
      <c r="T371" s="12"/>
      <c r="U371" s="12"/>
      <c r="V371" s="12"/>
      <c r="W371" s="12"/>
      <c r="X371" s="12"/>
      <c r="Y371" s="12"/>
      <c r="Z371" s="12"/>
    </row>
    <row r="372" ht="15.75" customHeight="1">
      <c r="A372" s="12"/>
      <c r="B372" s="12"/>
      <c r="C372" s="12"/>
      <c r="D372" s="12"/>
      <c r="E372" s="171"/>
      <c r="F372" s="12"/>
      <c r="G372" s="12"/>
      <c r="H372" s="12"/>
      <c r="I372" s="12"/>
      <c r="J372" s="12"/>
      <c r="K372" s="12"/>
      <c r="L372" s="12"/>
      <c r="M372" s="12"/>
      <c r="N372" s="12"/>
      <c r="O372" s="12"/>
      <c r="P372" s="12"/>
      <c r="Q372" s="12"/>
      <c r="R372" s="12"/>
      <c r="S372" s="12"/>
      <c r="T372" s="12"/>
      <c r="U372" s="12"/>
      <c r="V372" s="12"/>
      <c r="W372" s="12"/>
      <c r="X372" s="12"/>
      <c r="Y372" s="12"/>
      <c r="Z372" s="12"/>
    </row>
    <row r="373" ht="15.75" customHeight="1">
      <c r="A373" s="12"/>
      <c r="B373" s="12"/>
      <c r="C373" s="12"/>
      <c r="D373" s="12"/>
      <c r="E373" s="171"/>
      <c r="F373" s="12"/>
      <c r="G373" s="12"/>
      <c r="H373" s="12"/>
      <c r="I373" s="12"/>
      <c r="J373" s="12"/>
      <c r="K373" s="12"/>
      <c r="L373" s="12"/>
      <c r="M373" s="12"/>
      <c r="N373" s="12"/>
      <c r="O373" s="12"/>
      <c r="P373" s="12"/>
      <c r="Q373" s="12"/>
      <c r="R373" s="12"/>
      <c r="S373" s="12"/>
      <c r="T373" s="12"/>
      <c r="U373" s="12"/>
      <c r="V373" s="12"/>
      <c r="W373" s="12"/>
      <c r="X373" s="12"/>
      <c r="Y373" s="12"/>
      <c r="Z373" s="12"/>
    </row>
    <row r="374" ht="15.75" customHeight="1">
      <c r="A374" s="12"/>
      <c r="B374" s="12"/>
      <c r="C374" s="12"/>
      <c r="D374" s="12"/>
      <c r="E374" s="171"/>
      <c r="F374" s="12"/>
      <c r="G374" s="12"/>
      <c r="H374" s="12"/>
      <c r="I374" s="12"/>
      <c r="J374" s="12"/>
      <c r="K374" s="12"/>
      <c r="L374" s="12"/>
      <c r="M374" s="12"/>
      <c r="N374" s="12"/>
      <c r="O374" s="12"/>
      <c r="P374" s="12"/>
      <c r="Q374" s="12"/>
      <c r="R374" s="12"/>
      <c r="S374" s="12"/>
      <c r="T374" s="12"/>
      <c r="U374" s="12"/>
      <c r="V374" s="12"/>
      <c r="W374" s="12"/>
      <c r="X374" s="12"/>
      <c r="Y374" s="12"/>
      <c r="Z374" s="12"/>
    </row>
    <row r="375" ht="15.75" customHeight="1">
      <c r="A375" s="12"/>
      <c r="B375" s="12"/>
      <c r="C375" s="12"/>
      <c r="D375" s="12"/>
      <c r="E375" s="171"/>
      <c r="F375" s="12"/>
      <c r="G375" s="12"/>
      <c r="H375" s="12"/>
      <c r="I375" s="12"/>
      <c r="J375" s="12"/>
      <c r="K375" s="12"/>
      <c r="L375" s="12"/>
      <c r="M375" s="12"/>
      <c r="N375" s="12"/>
      <c r="O375" s="12"/>
      <c r="P375" s="12"/>
      <c r="Q375" s="12"/>
      <c r="R375" s="12"/>
      <c r="S375" s="12"/>
      <c r="T375" s="12"/>
      <c r="U375" s="12"/>
      <c r="V375" s="12"/>
      <c r="W375" s="12"/>
      <c r="X375" s="12"/>
      <c r="Y375" s="12"/>
      <c r="Z375" s="12"/>
    </row>
    <row r="376" ht="15.75" customHeight="1">
      <c r="A376" s="12"/>
      <c r="B376" s="12"/>
      <c r="C376" s="12"/>
      <c r="D376" s="12"/>
      <c r="E376" s="171"/>
      <c r="F376" s="12"/>
      <c r="G376" s="12"/>
      <c r="H376" s="12"/>
      <c r="I376" s="12"/>
      <c r="J376" s="12"/>
      <c r="K376" s="12"/>
      <c r="L376" s="12"/>
      <c r="M376" s="12"/>
      <c r="N376" s="12"/>
      <c r="O376" s="12"/>
      <c r="P376" s="12"/>
      <c r="Q376" s="12"/>
      <c r="R376" s="12"/>
      <c r="S376" s="12"/>
      <c r="T376" s="12"/>
      <c r="U376" s="12"/>
      <c r="V376" s="12"/>
      <c r="W376" s="12"/>
      <c r="X376" s="12"/>
      <c r="Y376" s="12"/>
      <c r="Z376" s="12"/>
    </row>
    <row r="377" ht="15.75" customHeight="1">
      <c r="A377" s="12"/>
      <c r="B377" s="12"/>
      <c r="C377" s="12"/>
      <c r="D377" s="12"/>
      <c r="E377" s="171"/>
      <c r="F377" s="12"/>
      <c r="G377" s="12"/>
      <c r="H377" s="12"/>
      <c r="I377" s="12"/>
      <c r="J377" s="12"/>
      <c r="K377" s="12"/>
      <c r="L377" s="12"/>
      <c r="M377" s="12"/>
      <c r="N377" s="12"/>
      <c r="O377" s="12"/>
      <c r="P377" s="12"/>
      <c r="Q377" s="12"/>
      <c r="R377" s="12"/>
      <c r="S377" s="12"/>
      <c r="T377" s="12"/>
      <c r="U377" s="12"/>
      <c r="V377" s="12"/>
      <c r="W377" s="12"/>
      <c r="X377" s="12"/>
      <c r="Y377" s="12"/>
      <c r="Z377" s="12"/>
    </row>
    <row r="378" ht="15.75" customHeight="1">
      <c r="A378" s="12"/>
      <c r="B378" s="12"/>
      <c r="C378" s="12"/>
      <c r="D378" s="12"/>
      <c r="E378" s="171"/>
      <c r="F378" s="12"/>
      <c r="G378" s="12"/>
      <c r="H378" s="12"/>
      <c r="I378" s="12"/>
      <c r="J378" s="12"/>
      <c r="K378" s="12"/>
      <c r="L378" s="12"/>
      <c r="M378" s="12"/>
      <c r="N378" s="12"/>
      <c r="O378" s="12"/>
      <c r="P378" s="12"/>
      <c r="Q378" s="12"/>
      <c r="R378" s="12"/>
      <c r="S378" s="12"/>
      <c r="T378" s="12"/>
      <c r="U378" s="12"/>
      <c r="V378" s="12"/>
      <c r="W378" s="12"/>
      <c r="X378" s="12"/>
      <c r="Y378" s="12"/>
      <c r="Z378" s="12"/>
    </row>
    <row r="379" ht="15.75" customHeight="1">
      <c r="A379" s="12"/>
      <c r="B379" s="12"/>
      <c r="C379" s="12"/>
      <c r="D379" s="12"/>
      <c r="E379" s="171"/>
      <c r="F379" s="12"/>
      <c r="G379" s="12"/>
      <c r="H379" s="12"/>
      <c r="I379" s="12"/>
      <c r="J379" s="12"/>
      <c r="K379" s="12"/>
      <c r="L379" s="12"/>
      <c r="M379" s="12"/>
      <c r="N379" s="12"/>
      <c r="O379" s="12"/>
      <c r="P379" s="12"/>
      <c r="Q379" s="12"/>
      <c r="R379" s="12"/>
      <c r="S379" s="12"/>
      <c r="T379" s="12"/>
      <c r="U379" s="12"/>
      <c r="V379" s="12"/>
      <c r="W379" s="12"/>
      <c r="X379" s="12"/>
      <c r="Y379" s="12"/>
      <c r="Z379" s="12"/>
    </row>
    <row r="380" ht="15.75" customHeight="1">
      <c r="A380" s="12"/>
      <c r="B380" s="12"/>
      <c r="C380" s="12"/>
      <c r="D380" s="12"/>
      <c r="E380" s="171"/>
      <c r="F380" s="12"/>
      <c r="G380" s="12"/>
      <c r="H380" s="12"/>
      <c r="I380" s="12"/>
      <c r="J380" s="12"/>
      <c r="K380" s="12"/>
      <c r="L380" s="12"/>
      <c r="M380" s="12"/>
      <c r="N380" s="12"/>
      <c r="O380" s="12"/>
      <c r="P380" s="12"/>
      <c r="Q380" s="12"/>
      <c r="R380" s="12"/>
      <c r="S380" s="12"/>
      <c r="T380" s="12"/>
      <c r="U380" s="12"/>
      <c r="V380" s="12"/>
      <c r="W380" s="12"/>
      <c r="X380" s="12"/>
      <c r="Y380" s="12"/>
      <c r="Z380" s="12"/>
    </row>
    <row r="381" ht="15.75" customHeight="1">
      <c r="A381" s="12"/>
      <c r="B381" s="12"/>
      <c r="C381" s="12"/>
      <c r="D381" s="12"/>
      <c r="E381" s="171"/>
      <c r="F381" s="12"/>
      <c r="G381" s="12"/>
      <c r="H381" s="12"/>
      <c r="I381" s="12"/>
      <c r="J381" s="12"/>
      <c r="K381" s="12"/>
      <c r="L381" s="12"/>
      <c r="M381" s="12"/>
      <c r="N381" s="12"/>
      <c r="O381" s="12"/>
      <c r="P381" s="12"/>
      <c r="Q381" s="12"/>
      <c r="R381" s="12"/>
      <c r="S381" s="12"/>
      <c r="T381" s="12"/>
      <c r="U381" s="12"/>
      <c r="V381" s="12"/>
      <c r="W381" s="12"/>
      <c r="X381" s="12"/>
      <c r="Y381" s="12"/>
      <c r="Z381" s="12"/>
    </row>
    <row r="382" ht="15.75" customHeight="1">
      <c r="A382" s="12"/>
      <c r="B382" s="12"/>
      <c r="C382" s="12"/>
      <c r="D382" s="12"/>
      <c r="E382" s="171"/>
      <c r="F382" s="12"/>
      <c r="G382" s="12"/>
      <c r="H382" s="12"/>
      <c r="I382" s="12"/>
      <c r="J382" s="12"/>
      <c r="K382" s="12"/>
      <c r="L382" s="12"/>
      <c r="M382" s="12"/>
      <c r="N382" s="12"/>
      <c r="O382" s="12"/>
      <c r="P382" s="12"/>
      <c r="Q382" s="12"/>
      <c r="R382" s="12"/>
      <c r="S382" s="12"/>
      <c r="T382" s="12"/>
      <c r="U382" s="12"/>
      <c r="V382" s="12"/>
      <c r="W382" s="12"/>
      <c r="X382" s="12"/>
      <c r="Y382" s="12"/>
      <c r="Z382" s="12"/>
    </row>
    <row r="383" ht="15.75" customHeight="1">
      <c r="A383" s="12"/>
      <c r="B383" s="12"/>
      <c r="C383" s="12"/>
      <c r="D383" s="12"/>
      <c r="E383" s="171"/>
      <c r="F383" s="12"/>
      <c r="G383" s="12"/>
      <c r="H383" s="12"/>
      <c r="I383" s="12"/>
      <c r="J383" s="12"/>
      <c r="K383" s="12"/>
      <c r="L383" s="12"/>
      <c r="M383" s="12"/>
      <c r="N383" s="12"/>
      <c r="O383" s="12"/>
      <c r="P383" s="12"/>
      <c r="Q383" s="12"/>
      <c r="R383" s="12"/>
      <c r="S383" s="12"/>
      <c r="T383" s="12"/>
      <c r="U383" s="12"/>
      <c r="V383" s="12"/>
      <c r="W383" s="12"/>
      <c r="X383" s="12"/>
      <c r="Y383" s="12"/>
      <c r="Z383" s="12"/>
    </row>
    <row r="384" ht="15.75" customHeight="1">
      <c r="A384" s="12"/>
      <c r="B384" s="12"/>
      <c r="C384" s="12"/>
      <c r="D384" s="12"/>
      <c r="E384" s="171"/>
      <c r="F384" s="12"/>
      <c r="G384" s="12"/>
      <c r="H384" s="12"/>
      <c r="I384" s="12"/>
      <c r="J384" s="12"/>
      <c r="K384" s="12"/>
      <c r="L384" s="12"/>
      <c r="M384" s="12"/>
      <c r="N384" s="12"/>
      <c r="O384" s="12"/>
      <c r="P384" s="12"/>
      <c r="Q384" s="12"/>
      <c r="R384" s="12"/>
      <c r="S384" s="12"/>
      <c r="T384" s="12"/>
      <c r="U384" s="12"/>
      <c r="V384" s="12"/>
      <c r="W384" s="12"/>
      <c r="X384" s="12"/>
      <c r="Y384" s="12"/>
      <c r="Z384" s="12"/>
    </row>
    <row r="385" ht="15.75" customHeight="1">
      <c r="A385" s="12"/>
      <c r="B385" s="12"/>
      <c r="C385" s="12"/>
      <c r="D385" s="12"/>
      <c r="E385" s="171"/>
      <c r="F385" s="12"/>
      <c r="G385" s="12"/>
      <c r="H385" s="12"/>
      <c r="I385" s="12"/>
      <c r="J385" s="12"/>
      <c r="K385" s="12"/>
      <c r="L385" s="12"/>
      <c r="M385" s="12"/>
      <c r="N385" s="12"/>
      <c r="O385" s="12"/>
      <c r="P385" s="12"/>
      <c r="Q385" s="12"/>
      <c r="R385" s="12"/>
      <c r="S385" s="12"/>
      <c r="T385" s="12"/>
      <c r="U385" s="12"/>
      <c r="V385" s="12"/>
      <c r="W385" s="12"/>
      <c r="X385" s="12"/>
      <c r="Y385" s="12"/>
      <c r="Z385" s="12"/>
    </row>
    <row r="386" ht="15.75" customHeight="1">
      <c r="A386" s="12"/>
      <c r="B386" s="12"/>
      <c r="C386" s="12"/>
      <c r="D386" s="12"/>
      <c r="E386" s="171"/>
      <c r="F386" s="12"/>
      <c r="G386" s="12"/>
      <c r="H386" s="12"/>
      <c r="I386" s="12"/>
      <c r="J386" s="12"/>
      <c r="K386" s="12"/>
      <c r="L386" s="12"/>
      <c r="M386" s="12"/>
      <c r="N386" s="12"/>
      <c r="O386" s="12"/>
      <c r="P386" s="12"/>
      <c r="Q386" s="12"/>
      <c r="R386" s="12"/>
      <c r="S386" s="12"/>
      <c r="T386" s="12"/>
      <c r="U386" s="12"/>
      <c r="V386" s="12"/>
      <c r="W386" s="12"/>
      <c r="X386" s="12"/>
      <c r="Y386" s="12"/>
      <c r="Z386" s="12"/>
    </row>
    <row r="387" ht="15.75" customHeight="1">
      <c r="A387" s="12"/>
      <c r="B387" s="12"/>
      <c r="C387" s="12"/>
      <c r="D387" s="12"/>
      <c r="E387" s="171"/>
      <c r="F387" s="12"/>
      <c r="G387" s="12"/>
      <c r="H387" s="12"/>
      <c r="I387" s="12"/>
      <c r="J387" s="12"/>
      <c r="K387" s="12"/>
      <c r="L387" s="12"/>
      <c r="M387" s="12"/>
      <c r="N387" s="12"/>
      <c r="O387" s="12"/>
      <c r="P387" s="12"/>
      <c r="Q387" s="12"/>
      <c r="R387" s="12"/>
      <c r="S387" s="12"/>
      <c r="T387" s="12"/>
      <c r="U387" s="12"/>
      <c r="V387" s="12"/>
      <c r="W387" s="12"/>
      <c r="X387" s="12"/>
      <c r="Y387" s="12"/>
      <c r="Z387" s="12"/>
    </row>
    <row r="388" ht="15.75" customHeight="1">
      <c r="A388" s="12"/>
      <c r="B388" s="12"/>
      <c r="C388" s="12"/>
      <c r="D388" s="12"/>
      <c r="E388" s="171"/>
      <c r="F388" s="12"/>
      <c r="G388" s="12"/>
      <c r="H388" s="12"/>
      <c r="I388" s="12"/>
      <c r="J388" s="12"/>
      <c r="K388" s="12"/>
      <c r="L388" s="12"/>
      <c r="M388" s="12"/>
      <c r="N388" s="12"/>
      <c r="O388" s="12"/>
      <c r="P388" s="12"/>
      <c r="Q388" s="12"/>
      <c r="R388" s="12"/>
      <c r="S388" s="12"/>
      <c r="T388" s="12"/>
      <c r="U388" s="12"/>
      <c r="V388" s="12"/>
      <c r="W388" s="12"/>
      <c r="X388" s="12"/>
      <c r="Y388" s="12"/>
      <c r="Z388" s="12"/>
    </row>
    <row r="389" ht="15.75" customHeight="1">
      <c r="A389" s="12"/>
      <c r="B389" s="12"/>
      <c r="C389" s="12"/>
      <c r="D389" s="12"/>
      <c r="E389" s="171"/>
      <c r="F389" s="12"/>
      <c r="G389" s="12"/>
      <c r="H389" s="12"/>
      <c r="I389" s="12"/>
      <c r="J389" s="12"/>
      <c r="K389" s="12"/>
      <c r="L389" s="12"/>
      <c r="M389" s="12"/>
      <c r="N389" s="12"/>
      <c r="O389" s="12"/>
      <c r="P389" s="12"/>
      <c r="Q389" s="12"/>
      <c r="R389" s="12"/>
      <c r="S389" s="12"/>
      <c r="T389" s="12"/>
      <c r="U389" s="12"/>
      <c r="V389" s="12"/>
      <c r="W389" s="12"/>
      <c r="X389" s="12"/>
      <c r="Y389" s="12"/>
      <c r="Z389" s="12"/>
    </row>
    <row r="390" ht="15.75" customHeight="1">
      <c r="A390" s="12"/>
      <c r="B390" s="12"/>
      <c r="C390" s="12"/>
      <c r="D390" s="12"/>
      <c r="E390" s="171"/>
      <c r="F390" s="12"/>
      <c r="G390" s="12"/>
      <c r="H390" s="12"/>
      <c r="I390" s="12"/>
      <c r="J390" s="12"/>
      <c r="K390" s="12"/>
      <c r="L390" s="12"/>
      <c r="M390" s="12"/>
      <c r="N390" s="12"/>
      <c r="O390" s="12"/>
      <c r="P390" s="12"/>
      <c r="Q390" s="12"/>
      <c r="R390" s="12"/>
      <c r="S390" s="12"/>
      <c r="T390" s="12"/>
      <c r="U390" s="12"/>
      <c r="V390" s="12"/>
      <c r="W390" s="12"/>
      <c r="X390" s="12"/>
      <c r="Y390" s="12"/>
      <c r="Z390" s="12"/>
    </row>
    <row r="391" ht="15.75" customHeight="1">
      <c r="A391" s="12"/>
      <c r="B391" s="12"/>
      <c r="C391" s="12"/>
      <c r="D391" s="12"/>
      <c r="E391" s="171"/>
      <c r="F391" s="12"/>
      <c r="G391" s="12"/>
      <c r="H391" s="12"/>
      <c r="I391" s="12"/>
      <c r="J391" s="12"/>
      <c r="K391" s="12"/>
      <c r="L391" s="12"/>
      <c r="M391" s="12"/>
      <c r="N391" s="12"/>
      <c r="O391" s="12"/>
      <c r="P391" s="12"/>
      <c r="Q391" s="12"/>
      <c r="R391" s="12"/>
      <c r="S391" s="12"/>
      <c r="T391" s="12"/>
      <c r="U391" s="12"/>
      <c r="V391" s="12"/>
      <c r="W391" s="12"/>
      <c r="X391" s="12"/>
      <c r="Y391" s="12"/>
      <c r="Z391" s="12"/>
    </row>
    <row r="392" ht="15.75" customHeight="1">
      <c r="A392" s="12"/>
      <c r="B392" s="12"/>
      <c r="C392" s="12"/>
      <c r="D392" s="12"/>
      <c r="E392" s="171"/>
      <c r="F392" s="12"/>
      <c r="G392" s="12"/>
      <c r="H392" s="12"/>
      <c r="I392" s="12"/>
      <c r="J392" s="12"/>
      <c r="K392" s="12"/>
      <c r="L392" s="12"/>
      <c r="M392" s="12"/>
      <c r="N392" s="12"/>
      <c r="O392" s="12"/>
      <c r="P392" s="12"/>
      <c r="Q392" s="12"/>
      <c r="R392" s="12"/>
      <c r="S392" s="12"/>
      <c r="T392" s="12"/>
      <c r="U392" s="12"/>
      <c r="V392" s="12"/>
      <c r="W392" s="12"/>
      <c r="X392" s="12"/>
      <c r="Y392" s="12"/>
      <c r="Z392" s="12"/>
    </row>
    <row r="393" ht="15.75" customHeight="1">
      <c r="A393" s="12"/>
      <c r="B393" s="12"/>
      <c r="C393" s="12"/>
      <c r="D393" s="12"/>
      <c r="E393" s="171"/>
      <c r="F393" s="12"/>
      <c r="G393" s="12"/>
      <c r="H393" s="12"/>
      <c r="I393" s="12"/>
      <c r="J393" s="12"/>
      <c r="K393" s="12"/>
      <c r="L393" s="12"/>
      <c r="M393" s="12"/>
      <c r="N393" s="12"/>
      <c r="O393" s="12"/>
      <c r="P393" s="12"/>
      <c r="Q393" s="12"/>
      <c r="R393" s="12"/>
      <c r="S393" s="12"/>
      <c r="T393" s="12"/>
      <c r="U393" s="12"/>
      <c r="V393" s="12"/>
      <c r="W393" s="12"/>
      <c r="X393" s="12"/>
      <c r="Y393" s="12"/>
      <c r="Z393" s="12"/>
    </row>
    <row r="394" ht="15.75" customHeight="1">
      <c r="A394" s="12"/>
      <c r="B394" s="12"/>
      <c r="C394" s="12"/>
      <c r="D394" s="12"/>
      <c r="E394" s="171"/>
      <c r="F394" s="12"/>
      <c r="G394" s="12"/>
      <c r="H394" s="12"/>
      <c r="I394" s="12"/>
      <c r="J394" s="12"/>
      <c r="K394" s="12"/>
      <c r="L394" s="12"/>
      <c r="M394" s="12"/>
      <c r="N394" s="12"/>
      <c r="O394" s="12"/>
      <c r="P394" s="12"/>
      <c r="Q394" s="12"/>
      <c r="R394" s="12"/>
      <c r="S394" s="12"/>
      <c r="T394" s="12"/>
      <c r="U394" s="12"/>
      <c r="V394" s="12"/>
      <c r="W394" s="12"/>
      <c r="X394" s="12"/>
      <c r="Y394" s="12"/>
      <c r="Z394" s="12"/>
    </row>
    <row r="395" ht="15.75" customHeight="1">
      <c r="A395" s="12"/>
      <c r="B395" s="12"/>
      <c r="C395" s="12"/>
      <c r="D395" s="12"/>
      <c r="E395" s="171"/>
      <c r="F395" s="12"/>
      <c r="G395" s="12"/>
      <c r="H395" s="12"/>
      <c r="I395" s="12"/>
      <c r="J395" s="12"/>
      <c r="K395" s="12"/>
      <c r="L395" s="12"/>
      <c r="M395" s="12"/>
      <c r="N395" s="12"/>
      <c r="O395" s="12"/>
      <c r="P395" s="12"/>
      <c r="Q395" s="12"/>
      <c r="R395" s="12"/>
      <c r="S395" s="12"/>
      <c r="T395" s="12"/>
      <c r="U395" s="12"/>
      <c r="V395" s="12"/>
      <c r="W395" s="12"/>
      <c r="X395" s="12"/>
      <c r="Y395" s="12"/>
      <c r="Z395" s="12"/>
    </row>
    <row r="396" ht="15.75" customHeight="1">
      <c r="A396" s="12"/>
      <c r="B396" s="12"/>
      <c r="C396" s="12"/>
      <c r="D396" s="12"/>
      <c r="E396" s="171"/>
      <c r="F396" s="12"/>
      <c r="G396" s="12"/>
      <c r="H396" s="12"/>
      <c r="I396" s="12"/>
      <c r="J396" s="12"/>
      <c r="K396" s="12"/>
      <c r="L396" s="12"/>
      <c r="M396" s="12"/>
      <c r="N396" s="12"/>
      <c r="O396" s="12"/>
      <c r="P396" s="12"/>
      <c r="Q396" s="12"/>
      <c r="R396" s="12"/>
      <c r="S396" s="12"/>
      <c r="T396" s="12"/>
      <c r="U396" s="12"/>
      <c r="V396" s="12"/>
      <c r="W396" s="12"/>
      <c r="X396" s="12"/>
      <c r="Y396" s="12"/>
      <c r="Z396" s="12"/>
    </row>
    <row r="397" ht="15.75" customHeight="1">
      <c r="A397" s="12"/>
      <c r="B397" s="12"/>
      <c r="C397" s="12"/>
      <c r="D397" s="12"/>
      <c r="E397" s="171"/>
      <c r="F397" s="12"/>
      <c r="G397" s="12"/>
      <c r="H397" s="12"/>
      <c r="I397" s="12"/>
      <c r="J397" s="12"/>
      <c r="K397" s="12"/>
      <c r="L397" s="12"/>
      <c r="M397" s="12"/>
      <c r="N397" s="12"/>
      <c r="O397" s="12"/>
      <c r="P397" s="12"/>
      <c r="Q397" s="12"/>
      <c r="R397" s="12"/>
      <c r="S397" s="12"/>
      <c r="T397" s="12"/>
      <c r="U397" s="12"/>
      <c r="V397" s="12"/>
      <c r="W397" s="12"/>
      <c r="X397" s="12"/>
      <c r="Y397" s="12"/>
      <c r="Z397" s="12"/>
    </row>
    <row r="398" ht="15.75" customHeight="1">
      <c r="A398" s="12"/>
      <c r="B398" s="12"/>
      <c r="C398" s="12"/>
      <c r="D398" s="12"/>
      <c r="E398" s="171"/>
      <c r="F398" s="12"/>
      <c r="G398" s="12"/>
      <c r="H398" s="12"/>
      <c r="I398" s="12"/>
      <c r="J398" s="12"/>
      <c r="K398" s="12"/>
      <c r="L398" s="12"/>
      <c r="M398" s="12"/>
      <c r="N398" s="12"/>
      <c r="O398" s="12"/>
      <c r="P398" s="12"/>
      <c r="Q398" s="12"/>
      <c r="R398" s="12"/>
      <c r="S398" s="12"/>
      <c r="T398" s="12"/>
      <c r="U398" s="12"/>
      <c r="V398" s="12"/>
      <c r="W398" s="12"/>
      <c r="X398" s="12"/>
      <c r="Y398" s="12"/>
      <c r="Z398" s="12"/>
    </row>
    <row r="399" ht="15.75" customHeight="1">
      <c r="A399" s="12"/>
      <c r="B399" s="12"/>
      <c r="C399" s="12"/>
      <c r="D399" s="12"/>
      <c r="E399" s="171"/>
      <c r="F399" s="12"/>
      <c r="G399" s="12"/>
      <c r="H399" s="12"/>
      <c r="I399" s="12"/>
      <c r="J399" s="12"/>
      <c r="K399" s="12"/>
      <c r="L399" s="12"/>
      <c r="M399" s="12"/>
      <c r="N399" s="12"/>
      <c r="O399" s="12"/>
      <c r="P399" s="12"/>
      <c r="Q399" s="12"/>
      <c r="R399" s="12"/>
      <c r="S399" s="12"/>
      <c r="T399" s="12"/>
      <c r="U399" s="12"/>
      <c r="V399" s="12"/>
      <c r="W399" s="12"/>
      <c r="X399" s="12"/>
      <c r="Y399" s="12"/>
      <c r="Z399" s="12"/>
    </row>
    <row r="400" ht="15.75" customHeight="1">
      <c r="A400" s="12"/>
      <c r="B400" s="12"/>
      <c r="C400" s="12"/>
      <c r="D400" s="12"/>
      <c r="E400" s="171"/>
      <c r="F400" s="12"/>
      <c r="G400" s="12"/>
      <c r="H400" s="12"/>
      <c r="I400" s="12"/>
      <c r="J400" s="12"/>
      <c r="K400" s="12"/>
      <c r="L400" s="12"/>
      <c r="M400" s="12"/>
      <c r="N400" s="12"/>
      <c r="O400" s="12"/>
      <c r="P400" s="12"/>
      <c r="Q400" s="12"/>
      <c r="R400" s="12"/>
      <c r="S400" s="12"/>
      <c r="T400" s="12"/>
      <c r="U400" s="12"/>
      <c r="V400" s="12"/>
      <c r="W400" s="12"/>
      <c r="X400" s="12"/>
      <c r="Y400" s="12"/>
      <c r="Z400" s="12"/>
    </row>
    <row r="401" ht="15.75" customHeight="1">
      <c r="A401" s="12"/>
      <c r="B401" s="12"/>
      <c r="C401" s="12"/>
      <c r="D401" s="12"/>
      <c r="E401" s="171"/>
      <c r="F401" s="12"/>
      <c r="G401" s="12"/>
      <c r="H401" s="12"/>
      <c r="I401" s="12"/>
      <c r="J401" s="12"/>
      <c r="K401" s="12"/>
      <c r="L401" s="12"/>
      <c r="M401" s="12"/>
      <c r="N401" s="12"/>
      <c r="O401" s="12"/>
      <c r="P401" s="12"/>
      <c r="Q401" s="12"/>
      <c r="R401" s="12"/>
      <c r="S401" s="12"/>
      <c r="T401" s="12"/>
      <c r="U401" s="12"/>
      <c r="V401" s="12"/>
      <c r="W401" s="12"/>
      <c r="X401" s="12"/>
      <c r="Y401" s="12"/>
      <c r="Z401" s="12"/>
    </row>
    <row r="402" ht="15.75" customHeight="1">
      <c r="A402" s="12"/>
      <c r="B402" s="12"/>
      <c r="C402" s="12"/>
      <c r="D402" s="12"/>
      <c r="E402" s="171"/>
      <c r="F402" s="12"/>
      <c r="G402" s="12"/>
      <c r="H402" s="12"/>
      <c r="I402" s="12"/>
      <c r="J402" s="12"/>
      <c r="K402" s="12"/>
      <c r="L402" s="12"/>
      <c r="M402" s="12"/>
      <c r="N402" s="12"/>
      <c r="O402" s="12"/>
      <c r="P402" s="12"/>
      <c r="Q402" s="12"/>
      <c r="R402" s="12"/>
      <c r="S402" s="12"/>
      <c r="T402" s="12"/>
      <c r="U402" s="12"/>
      <c r="V402" s="12"/>
      <c r="W402" s="12"/>
      <c r="X402" s="12"/>
      <c r="Y402" s="12"/>
      <c r="Z402" s="12"/>
    </row>
    <row r="403" ht="15.75" customHeight="1">
      <c r="A403" s="12"/>
      <c r="B403" s="12"/>
      <c r="C403" s="12"/>
      <c r="D403" s="12"/>
      <c r="E403" s="171"/>
      <c r="F403" s="12"/>
      <c r="G403" s="12"/>
      <c r="H403" s="12"/>
      <c r="I403" s="12"/>
      <c r="J403" s="12"/>
      <c r="K403" s="12"/>
      <c r="L403" s="12"/>
      <c r="M403" s="12"/>
      <c r="N403" s="12"/>
      <c r="O403" s="12"/>
      <c r="P403" s="12"/>
      <c r="Q403" s="12"/>
      <c r="R403" s="12"/>
      <c r="S403" s="12"/>
      <c r="T403" s="12"/>
      <c r="U403" s="12"/>
      <c r="V403" s="12"/>
      <c r="W403" s="12"/>
      <c r="X403" s="12"/>
      <c r="Y403" s="12"/>
      <c r="Z403" s="12"/>
    </row>
    <row r="404" ht="15.75" customHeight="1">
      <c r="A404" s="12"/>
      <c r="B404" s="12"/>
      <c r="C404" s="12"/>
      <c r="D404" s="12"/>
      <c r="E404" s="171"/>
      <c r="F404" s="12"/>
      <c r="G404" s="12"/>
      <c r="H404" s="12"/>
      <c r="I404" s="12"/>
      <c r="J404" s="12"/>
      <c r="K404" s="12"/>
      <c r="L404" s="12"/>
      <c r="M404" s="12"/>
      <c r="N404" s="12"/>
      <c r="O404" s="12"/>
      <c r="P404" s="12"/>
      <c r="Q404" s="12"/>
      <c r="R404" s="12"/>
      <c r="S404" s="12"/>
      <c r="T404" s="12"/>
      <c r="U404" s="12"/>
      <c r="V404" s="12"/>
      <c r="W404" s="12"/>
      <c r="X404" s="12"/>
      <c r="Y404" s="12"/>
      <c r="Z404" s="12"/>
    </row>
    <row r="405" ht="15.75" customHeight="1">
      <c r="A405" s="12"/>
      <c r="B405" s="12"/>
      <c r="C405" s="12"/>
      <c r="D405" s="12"/>
      <c r="E405" s="171"/>
      <c r="F405" s="12"/>
      <c r="G405" s="12"/>
      <c r="H405" s="12"/>
      <c r="I405" s="12"/>
      <c r="J405" s="12"/>
      <c r="K405" s="12"/>
      <c r="L405" s="12"/>
      <c r="M405" s="12"/>
      <c r="N405" s="12"/>
      <c r="O405" s="12"/>
      <c r="P405" s="12"/>
      <c r="Q405" s="12"/>
      <c r="R405" s="12"/>
      <c r="S405" s="12"/>
      <c r="T405" s="12"/>
      <c r="U405" s="12"/>
      <c r="V405" s="12"/>
      <c r="W405" s="12"/>
      <c r="X405" s="12"/>
      <c r="Y405" s="12"/>
      <c r="Z405" s="12"/>
    </row>
    <row r="406" ht="15.75" customHeight="1">
      <c r="A406" s="12"/>
      <c r="B406" s="12"/>
      <c r="C406" s="12"/>
      <c r="D406" s="12"/>
      <c r="E406" s="171"/>
      <c r="F406" s="12"/>
      <c r="G406" s="12"/>
      <c r="H406" s="12"/>
      <c r="I406" s="12"/>
      <c r="J406" s="12"/>
      <c r="K406" s="12"/>
      <c r="L406" s="12"/>
      <c r="M406" s="12"/>
      <c r="N406" s="12"/>
      <c r="O406" s="12"/>
      <c r="P406" s="12"/>
      <c r="Q406" s="12"/>
      <c r="R406" s="12"/>
      <c r="S406" s="12"/>
      <c r="T406" s="12"/>
      <c r="U406" s="12"/>
      <c r="V406" s="12"/>
      <c r="W406" s="12"/>
      <c r="X406" s="12"/>
      <c r="Y406" s="12"/>
      <c r="Z406" s="12"/>
    </row>
    <row r="407" ht="15.75" customHeight="1">
      <c r="A407" s="12"/>
      <c r="B407" s="12"/>
      <c r="C407" s="12"/>
      <c r="D407" s="12"/>
      <c r="E407" s="171"/>
      <c r="F407" s="12"/>
      <c r="G407" s="12"/>
      <c r="H407" s="12"/>
      <c r="I407" s="12"/>
      <c r="J407" s="12"/>
      <c r="K407" s="12"/>
      <c r="L407" s="12"/>
      <c r="M407" s="12"/>
      <c r="N407" s="12"/>
      <c r="O407" s="12"/>
      <c r="P407" s="12"/>
      <c r="Q407" s="12"/>
      <c r="R407" s="12"/>
      <c r="S407" s="12"/>
      <c r="T407" s="12"/>
      <c r="U407" s="12"/>
      <c r="V407" s="12"/>
      <c r="W407" s="12"/>
      <c r="X407" s="12"/>
      <c r="Y407" s="12"/>
      <c r="Z407" s="12"/>
    </row>
    <row r="408" ht="15.75" customHeight="1">
      <c r="A408" s="12"/>
      <c r="B408" s="12"/>
      <c r="C408" s="12"/>
      <c r="D408" s="12"/>
      <c r="E408" s="171"/>
      <c r="F408" s="12"/>
      <c r="G408" s="12"/>
      <c r="H408" s="12"/>
      <c r="I408" s="12"/>
      <c r="J408" s="12"/>
      <c r="K408" s="12"/>
      <c r="L408" s="12"/>
      <c r="M408" s="12"/>
      <c r="N408" s="12"/>
      <c r="O408" s="12"/>
      <c r="P408" s="12"/>
      <c r="Q408" s="12"/>
      <c r="R408" s="12"/>
      <c r="S408" s="12"/>
      <c r="T408" s="12"/>
      <c r="U408" s="12"/>
      <c r="V408" s="12"/>
      <c r="W408" s="12"/>
      <c r="X408" s="12"/>
      <c r="Y408" s="12"/>
      <c r="Z408" s="12"/>
    </row>
    <row r="409" ht="15.75" customHeight="1">
      <c r="A409" s="12"/>
      <c r="B409" s="12"/>
      <c r="C409" s="12"/>
      <c r="D409" s="12"/>
      <c r="E409" s="171"/>
      <c r="F409" s="12"/>
      <c r="G409" s="12"/>
      <c r="H409" s="12"/>
      <c r="I409" s="12"/>
      <c r="J409" s="12"/>
      <c r="K409" s="12"/>
      <c r="L409" s="12"/>
      <c r="M409" s="12"/>
      <c r="N409" s="12"/>
      <c r="O409" s="12"/>
      <c r="P409" s="12"/>
      <c r="Q409" s="12"/>
      <c r="R409" s="12"/>
      <c r="S409" s="12"/>
      <c r="T409" s="12"/>
      <c r="U409" s="12"/>
      <c r="V409" s="12"/>
      <c r="W409" s="12"/>
      <c r="X409" s="12"/>
      <c r="Y409" s="12"/>
      <c r="Z409" s="12"/>
    </row>
    <row r="410" ht="15.75" customHeight="1">
      <c r="A410" s="12"/>
      <c r="B410" s="12"/>
      <c r="C410" s="12"/>
      <c r="D410" s="12"/>
      <c r="E410" s="171"/>
      <c r="F410" s="12"/>
      <c r="G410" s="12"/>
      <c r="H410" s="12"/>
      <c r="I410" s="12"/>
      <c r="J410" s="12"/>
      <c r="K410" s="12"/>
      <c r="L410" s="12"/>
      <c r="M410" s="12"/>
      <c r="N410" s="12"/>
      <c r="O410" s="12"/>
      <c r="P410" s="12"/>
      <c r="Q410" s="12"/>
      <c r="R410" s="12"/>
      <c r="S410" s="12"/>
      <c r="T410" s="12"/>
      <c r="U410" s="12"/>
      <c r="V410" s="12"/>
      <c r="W410" s="12"/>
      <c r="X410" s="12"/>
      <c r="Y410" s="12"/>
      <c r="Z410" s="12"/>
    </row>
    <row r="411" ht="15.75" customHeight="1">
      <c r="A411" s="12"/>
      <c r="B411" s="12"/>
      <c r="C411" s="12"/>
      <c r="D411" s="12"/>
      <c r="E411" s="171"/>
      <c r="F411" s="12"/>
      <c r="G411" s="12"/>
      <c r="H411" s="12"/>
      <c r="I411" s="12"/>
      <c r="J411" s="12"/>
      <c r="K411" s="12"/>
      <c r="L411" s="12"/>
      <c r="M411" s="12"/>
      <c r="N411" s="12"/>
      <c r="O411" s="12"/>
      <c r="P411" s="12"/>
      <c r="Q411" s="12"/>
      <c r="R411" s="12"/>
      <c r="S411" s="12"/>
      <c r="T411" s="12"/>
      <c r="U411" s="12"/>
      <c r="V411" s="12"/>
      <c r="W411" s="12"/>
      <c r="X411" s="12"/>
      <c r="Y411" s="12"/>
      <c r="Z411" s="12"/>
    </row>
    <row r="412" ht="15.75" customHeight="1">
      <c r="A412" s="12"/>
      <c r="B412" s="12"/>
      <c r="C412" s="12"/>
      <c r="D412" s="12"/>
      <c r="E412" s="171"/>
      <c r="F412" s="12"/>
      <c r="G412" s="12"/>
      <c r="H412" s="12"/>
      <c r="I412" s="12"/>
      <c r="J412" s="12"/>
      <c r="K412" s="12"/>
      <c r="L412" s="12"/>
      <c r="M412" s="12"/>
      <c r="N412" s="12"/>
      <c r="O412" s="12"/>
      <c r="P412" s="12"/>
      <c r="Q412" s="12"/>
      <c r="R412" s="12"/>
      <c r="S412" s="12"/>
      <c r="T412" s="12"/>
      <c r="U412" s="12"/>
      <c r="V412" s="12"/>
      <c r="W412" s="12"/>
      <c r="X412" s="12"/>
      <c r="Y412" s="12"/>
      <c r="Z412" s="12"/>
    </row>
    <row r="413" ht="15.75" customHeight="1">
      <c r="A413" s="12"/>
      <c r="B413" s="12"/>
      <c r="C413" s="12"/>
      <c r="D413" s="12"/>
      <c r="E413" s="171"/>
      <c r="F413" s="12"/>
      <c r="G413" s="12"/>
      <c r="H413" s="12"/>
      <c r="I413" s="12"/>
      <c r="J413" s="12"/>
      <c r="K413" s="12"/>
      <c r="L413" s="12"/>
      <c r="M413" s="12"/>
      <c r="N413" s="12"/>
      <c r="O413" s="12"/>
      <c r="P413" s="12"/>
      <c r="Q413" s="12"/>
      <c r="R413" s="12"/>
      <c r="S413" s="12"/>
      <c r="T413" s="12"/>
      <c r="U413" s="12"/>
      <c r="V413" s="12"/>
      <c r="W413" s="12"/>
      <c r="X413" s="12"/>
      <c r="Y413" s="12"/>
      <c r="Z413" s="12"/>
    </row>
    <row r="414" ht="15.75" customHeight="1">
      <c r="A414" s="12"/>
      <c r="B414" s="12"/>
      <c r="C414" s="12"/>
      <c r="D414" s="12"/>
      <c r="E414" s="171"/>
      <c r="F414" s="12"/>
      <c r="G414" s="12"/>
      <c r="H414" s="12"/>
      <c r="I414" s="12"/>
      <c r="J414" s="12"/>
      <c r="K414" s="12"/>
      <c r="L414" s="12"/>
      <c r="M414" s="12"/>
      <c r="N414" s="12"/>
      <c r="O414" s="12"/>
      <c r="P414" s="12"/>
      <c r="Q414" s="12"/>
      <c r="R414" s="12"/>
      <c r="S414" s="12"/>
      <c r="T414" s="12"/>
      <c r="U414" s="12"/>
      <c r="V414" s="12"/>
      <c r="W414" s="12"/>
      <c r="X414" s="12"/>
      <c r="Y414" s="12"/>
      <c r="Z414" s="12"/>
    </row>
    <row r="415" ht="15.75" customHeight="1">
      <c r="A415" s="12"/>
      <c r="B415" s="12"/>
      <c r="C415" s="12"/>
      <c r="D415" s="12"/>
      <c r="E415" s="171"/>
      <c r="F415" s="12"/>
      <c r="G415" s="12"/>
      <c r="H415" s="12"/>
      <c r="I415" s="12"/>
      <c r="J415" s="12"/>
      <c r="K415" s="12"/>
      <c r="L415" s="12"/>
      <c r="M415" s="12"/>
      <c r="N415" s="12"/>
      <c r="O415" s="12"/>
      <c r="P415" s="12"/>
      <c r="Q415" s="12"/>
      <c r="R415" s="12"/>
      <c r="S415" s="12"/>
      <c r="T415" s="12"/>
      <c r="U415" s="12"/>
      <c r="V415" s="12"/>
      <c r="W415" s="12"/>
      <c r="X415" s="12"/>
      <c r="Y415" s="12"/>
      <c r="Z415" s="12"/>
    </row>
    <row r="416" ht="15.75" customHeight="1">
      <c r="A416" s="12"/>
      <c r="B416" s="12"/>
      <c r="C416" s="12"/>
      <c r="D416" s="12"/>
      <c r="E416" s="171"/>
      <c r="F416" s="12"/>
      <c r="G416" s="12"/>
      <c r="H416" s="12"/>
      <c r="I416" s="12"/>
      <c r="J416" s="12"/>
      <c r="K416" s="12"/>
      <c r="L416" s="12"/>
      <c r="M416" s="12"/>
      <c r="N416" s="12"/>
      <c r="O416" s="12"/>
      <c r="P416" s="12"/>
      <c r="Q416" s="12"/>
      <c r="R416" s="12"/>
      <c r="S416" s="12"/>
      <c r="T416" s="12"/>
      <c r="U416" s="12"/>
      <c r="V416" s="12"/>
      <c r="W416" s="12"/>
      <c r="X416" s="12"/>
      <c r="Y416" s="12"/>
      <c r="Z416" s="12"/>
    </row>
    <row r="417" ht="15.75" customHeight="1">
      <c r="A417" s="12"/>
      <c r="B417" s="12"/>
      <c r="C417" s="12"/>
      <c r="D417" s="12"/>
      <c r="E417" s="171"/>
      <c r="F417" s="12"/>
      <c r="G417" s="12"/>
      <c r="H417" s="12"/>
      <c r="I417" s="12"/>
      <c r="J417" s="12"/>
      <c r="K417" s="12"/>
      <c r="L417" s="12"/>
      <c r="M417" s="12"/>
      <c r="N417" s="12"/>
      <c r="O417" s="12"/>
      <c r="P417" s="12"/>
      <c r="Q417" s="12"/>
      <c r="R417" s="12"/>
      <c r="S417" s="12"/>
      <c r="T417" s="12"/>
      <c r="U417" s="12"/>
      <c r="V417" s="12"/>
      <c r="W417" s="12"/>
      <c r="X417" s="12"/>
      <c r="Y417" s="12"/>
      <c r="Z417" s="12"/>
    </row>
    <row r="418" ht="15.75" customHeight="1">
      <c r="A418" s="12"/>
      <c r="B418" s="12"/>
      <c r="C418" s="12"/>
      <c r="D418" s="12"/>
      <c r="E418" s="171"/>
      <c r="F418" s="12"/>
      <c r="G418" s="12"/>
      <c r="H418" s="12"/>
      <c r="I418" s="12"/>
      <c r="J418" s="12"/>
      <c r="K418" s="12"/>
      <c r="L418" s="12"/>
      <c r="M418" s="12"/>
      <c r="N418" s="12"/>
      <c r="O418" s="12"/>
      <c r="P418" s="12"/>
      <c r="Q418" s="12"/>
      <c r="R418" s="12"/>
      <c r="S418" s="12"/>
      <c r="T418" s="12"/>
      <c r="U418" s="12"/>
      <c r="V418" s="12"/>
      <c r="W418" s="12"/>
      <c r="X418" s="12"/>
      <c r="Y418" s="12"/>
      <c r="Z418" s="12"/>
    </row>
    <row r="419" ht="15.75" customHeight="1">
      <c r="A419" s="12"/>
      <c r="B419" s="12"/>
      <c r="C419" s="12"/>
      <c r="D419" s="12"/>
      <c r="E419" s="171"/>
      <c r="F419" s="12"/>
      <c r="G419" s="12"/>
      <c r="H419" s="12"/>
      <c r="I419" s="12"/>
      <c r="J419" s="12"/>
      <c r="K419" s="12"/>
      <c r="L419" s="12"/>
      <c r="M419" s="12"/>
      <c r="N419" s="12"/>
      <c r="O419" s="12"/>
      <c r="P419" s="12"/>
      <c r="Q419" s="12"/>
      <c r="R419" s="12"/>
      <c r="S419" s="12"/>
      <c r="T419" s="12"/>
      <c r="U419" s="12"/>
      <c r="V419" s="12"/>
      <c r="W419" s="12"/>
      <c r="X419" s="12"/>
      <c r="Y419" s="12"/>
      <c r="Z419" s="12"/>
    </row>
    <row r="420" ht="15.75" customHeight="1">
      <c r="A420" s="12"/>
      <c r="B420" s="12"/>
      <c r="C420" s="12"/>
      <c r="D420" s="12"/>
      <c r="E420" s="171"/>
      <c r="F420" s="12"/>
      <c r="G420" s="12"/>
      <c r="H420" s="12"/>
      <c r="I420" s="12"/>
      <c r="J420" s="12"/>
      <c r="K420" s="12"/>
      <c r="L420" s="12"/>
      <c r="M420" s="12"/>
      <c r="N420" s="12"/>
      <c r="O420" s="12"/>
      <c r="P420" s="12"/>
      <c r="Q420" s="12"/>
      <c r="R420" s="12"/>
      <c r="S420" s="12"/>
      <c r="T420" s="12"/>
      <c r="U420" s="12"/>
      <c r="V420" s="12"/>
      <c r="W420" s="12"/>
      <c r="X420" s="12"/>
      <c r="Y420" s="12"/>
      <c r="Z420" s="12"/>
    </row>
    <row r="421" ht="15.75" customHeight="1">
      <c r="A421" s="12"/>
      <c r="B421" s="12"/>
      <c r="C421" s="12"/>
      <c r="D421" s="12"/>
      <c r="E421" s="171"/>
      <c r="F421" s="12"/>
      <c r="G421" s="12"/>
      <c r="H421" s="12"/>
      <c r="I421" s="12"/>
      <c r="J421" s="12"/>
      <c r="K421" s="12"/>
      <c r="L421" s="12"/>
      <c r="M421" s="12"/>
      <c r="N421" s="12"/>
      <c r="O421" s="12"/>
      <c r="P421" s="12"/>
      <c r="Q421" s="12"/>
      <c r="R421" s="12"/>
      <c r="S421" s="12"/>
      <c r="T421" s="12"/>
      <c r="U421" s="12"/>
      <c r="V421" s="12"/>
      <c r="W421" s="12"/>
      <c r="X421" s="12"/>
      <c r="Y421" s="12"/>
      <c r="Z421" s="12"/>
    </row>
    <row r="422" ht="15.75" customHeight="1">
      <c r="A422" s="12"/>
      <c r="B422" s="12"/>
      <c r="C422" s="12"/>
      <c r="D422" s="12"/>
      <c r="E422" s="171"/>
      <c r="F422" s="12"/>
      <c r="G422" s="12"/>
      <c r="H422" s="12"/>
      <c r="I422" s="12"/>
      <c r="J422" s="12"/>
      <c r="K422" s="12"/>
      <c r="L422" s="12"/>
      <c r="M422" s="12"/>
      <c r="N422" s="12"/>
      <c r="O422" s="12"/>
      <c r="P422" s="12"/>
      <c r="Q422" s="12"/>
      <c r="R422" s="12"/>
      <c r="S422" s="12"/>
      <c r="T422" s="12"/>
      <c r="U422" s="12"/>
      <c r="V422" s="12"/>
      <c r="W422" s="12"/>
      <c r="X422" s="12"/>
      <c r="Y422" s="12"/>
      <c r="Z422" s="12"/>
    </row>
    <row r="423" ht="15.75" customHeight="1">
      <c r="A423" s="12"/>
      <c r="B423" s="12"/>
      <c r="C423" s="12"/>
      <c r="D423" s="12"/>
      <c r="E423" s="171"/>
      <c r="F423" s="12"/>
      <c r="G423" s="12"/>
      <c r="H423" s="12"/>
      <c r="I423" s="12"/>
      <c r="J423" s="12"/>
      <c r="K423" s="12"/>
      <c r="L423" s="12"/>
      <c r="M423" s="12"/>
      <c r="N423" s="12"/>
      <c r="O423" s="12"/>
      <c r="P423" s="12"/>
      <c r="Q423" s="12"/>
      <c r="R423" s="12"/>
      <c r="S423" s="12"/>
      <c r="T423" s="12"/>
      <c r="U423" s="12"/>
      <c r="V423" s="12"/>
      <c r="W423" s="12"/>
      <c r="X423" s="12"/>
      <c r="Y423" s="12"/>
      <c r="Z423" s="12"/>
    </row>
    <row r="424" ht="15.75" customHeight="1">
      <c r="A424" s="12"/>
      <c r="B424" s="12"/>
      <c r="C424" s="12"/>
      <c r="D424" s="12"/>
      <c r="E424" s="171"/>
      <c r="F424" s="12"/>
      <c r="G424" s="12"/>
      <c r="H424" s="12"/>
      <c r="I424" s="12"/>
      <c r="J424" s="12"/>
      <c r="K424" s="12"/>
      <c r="L424" s="12"/>
      <c r="M424" s="12"/>
      <c r="N424" s="12"/>
      <c r="O424" s="12"/>
      <c r="P424" s="12"/>
      <c r="Q424" s="12"/>
      <c r="R424" s="12"/>
      <c r="S424" s="12"/>
      <c r="T424" s="12"/>
      <c r="U424" s="12"/>
      <c r="V424" s="12"/>
      <c r="W424" s="12"/>
      <c r="X424" s="12"/>
      <c r="Y424" s="12"/>
      <c r="Z424" s="12"/>
    </row>
    <row r="425" ht="15.75" customHeight="1">
      <c r="A425" s="12"/>
      <c r="B425" s="12"/>
      <c r="C425" s="12"/>
      <c r="D425" s="12"/>
      <c r="E425" s="171"/>
      <c r="F425" s="12"/>
      <c r="G425" s="12"/>
      <c r="H425" s="12"/>
      <c r="I425" s="12"/>
      <c r="J425" s="12"/>
      <c r="K425" s="12"/>
      <c r="L425" s="12"/>
      <c r="M425" s="12"/>
      <c r="N425" s="12"/>
      <c r="O425" s="12"/>
      <c r="P425" s="12"/>
      <c r="Q425" s="12"/>
      <c r="R425" s="12"/>
      <c r="S425" s="12"/>
      <c r="T425" s="12"/>
      <c r="U425" s="12"/>
      <c r="V425" s="12"/>
      <c r="W425" s="12"/>
      <c r="X425" s="12"/>
      <c r="Y425" s="12"/>
      <c r="Z425" s="12"/>
    </row>
    <row r="426" ht="15.75" customHeight="1">
      <c r="A426" s="12"/>
      <c r="B426" s="12"/>
      <c r="C426" s="12"/>
      <c r="D426" s="12"/>
      <c r="E426" s="171"/>
      <c r="F426" s="12"/>
      <c r="G426" s="12"/>
      <c r="H426" s="12"/>
      <c r="I426" s="12"/>
      <c r="J426" s="12"/>
      <c r="K426" s="12"/>
      <c r="L426" s="12"/>
      <c r="M426" s="12"/>
      <c r="N426" s="12"/>
      <c r="O426" s="12"/>
      <c r="P426" s="12"/>
      <c r="Q426" s="12"/>
      <c r="R426" s="12"/>
      <c r="S426" s="12"/>
      <c r="T426" s="12"/>
      <c r="U426" s="12"/>
      <c r="V426" s="12"/>
      <c r="W426" s="12"/>
      <c r="X426" s="12"/>
      <c r="Y426" s="12"/>
      <c r="Z426" s="12"/>
    </row>
    <row r="427" ht="15.75" customHeight="1">
      <c r="A427" s="12"/>
      <c r="B427" s="12"/>
      <c r="C427" s="12"/>
      <c r="D427" s="12"/>
      <c r="E427" s="171"/>
      <c r="F427" s="12"/>
      <c r="G427" s="12"/>
      <c r="H427" s="12"/>
      <c r="I427" s="12"/>
      <c r="J427" s="12"/>
      <c r="K427" s="12"/>
      <c r="L427" s="12"/>
      <c r="M427" s="12"/>
      <c r="N427" s="12"/>
      <c r="O427" s="12"/>
      <c r="P427" s="12"/>
      <c r="Q427" s="12"/>
      <c r="R427" s="12"/>
      <c r="S427" s="12"/>
      <c r="T427" s="12"/>
      <c r="U427" s="12"/>
      <c r="V427" s="12"/>
      <c r="W427" s="12"/>
      <c r="X427" s="12"/>
      <c r="Y427" s="12"/>
      <c r="Z427" s="12"/>
    </row>
    <row r="428" ht="15.75" customHeight="1">
      <c r="A428" s="12"/>
      <c r="B428" s="12"/>
      <c r="C428" s="12"/>
      <c r="D428" s="12"/>
      <c r="E428" s="171"/>
      <c r="F428" s="12"/>
      <c r="G428" s="12"/>
      <c r="H428" s="12"/>
      <c r="I428" s="12"/>
      <c r="J428" s="12"/>
      <c r="K428" s="12"/>
      <c r="L428" s="12"/>
      <c r="M428" s="12"/>
      <c r="N428" s="12"/>
      <c r="O428" s="12"/>
      <c r="P428" s="12"/>
      <c r="Q428" s="12"/>
      <c r="R428" s="12"/>
      <c r="S428" s="12"/>
      <c r="T428" s="12"/>
      <c r="U428" s="12"/>
      <c r="V428" s="12"/>
      <c r="W428" s="12"/>
      <c r="X428" s="12"/>
      <c r="Y428" s="12"/>
      <c r="Z428" s="12"/>
    </row>
    <row r="429" ht="15.75" customHeight="1">
      <c r="A429" s="12"/>
      <c r="B429" s="12"/>
      <c r="C429" s="12"/>
      <c r="D429" s="12"/>
      <c r="E429" s="171"/>
      <c r="F429" s="12"/>
      <c r="G429" s="12"/>
      <c r="H429" s="12"/>
      <c r="I429" s="12"/>
      <c r="J429" s="12"/>
      <c r="K429" s="12"/>
      <c r="L429" s="12"/>
      <c r="M429" s="12"/>
      <c r="N429" s="12"/>
      <c r="O429" s="12"/>
      <c r="P429" s="12"/>
      <c r="Q429" s="12"/>
      <c r="R429" s="12"/>
      <c r="S429" s="12"/>
      <c r="T429" s="12"/>
      <c r="U429" s="12"/>
      <c r="V429" s="12"/>
      <c r="W429" s="12"/>
      <c r="X429" s="12"/>
      <c r="Y429" s="12"/>
      <c r="Z429" s="12"/>
    </row>
    <row r="430" ht="15.75" customHeight="1">
      <c r="A430" s="12"/>
      <c r="B430" s="12"/>
      <c r="C430" s="12"/>
      <c r="D430" s="12"/>
      <c r="E430" s="171"/>
      <c r="F430" s="12"/>
      <c r="G430" s="12"/>
      <c r="H430" s="12"/>
      <c r="I430" s="12"/>
      <c r="J430" s="12"/>
      <c r="K430" s="12"/>
      <c r="L430" s="12"/>
      <c r="M430" s="12"/>
      <c r="N430" s="12"/>
      <c r="O430" s="12"/>
      <c r="P430" s="12"/>
      <c r="Q430" s="12"/>
      <c r="R430" s="12"/>
      <c r="S430" s="12"/>
      <c r="T430" s="12"/>
      <c r="U430" s="12"/>
      <c r="V430" s="12"/>
      <c r="W430" s="12"/>
      <c r="X430" s="12"/>
      <c r="Y430" s="12"/>
      <c r="Z430" s="12"/>
    </row>
    <row r="431" ht="15.75" customHeight="1">
      <c r="A431" s="12"/>
      <c r="B431" s="12"/>
      <c r="C431" s="12"/>
      <c r="D431" s="12"/>
      <c r="E431" s="171"/>
      <c r="F431" s="12"/>
      <c r="G431" s="12"/>
      <c r="H431" s="12"/>
      <c r="I431" s="12"/>
      <c r="J431" s="12"/>
      <c r="K431" s="12"/>
      <c r="L431" s="12"/>
      <c r="M431" s="12"/>
      <c r="N431" s="12"/>
      <c r="O431" s="12"/>
      <c r="P431" s="12"/>
      <c r="Q431" s="12"/>
      <c r="R431" s="12"/>
      <c r="S431" s="12"/>
      <c r="T431" s="12"/>
      <c r="U431" s="12"/>
      <c r="V431" s="12"/>
      <c r="W431" s="12"/>
      <c r="X431" s="12"/>
      <c r="Y431" s="12"/>
      <c r="Z431" s="12"/>
    </row>
    <row r="432" ht="15.75" customHeight="1">
      <c r="A432" s="12"/>
      <c r="B432" s="12"/>
      <c r="C432" s="12"/>
      <c r="D432" s="12"/>
      <c r="E432" s="171"/>
      <c r="F432" s="12"/>
      <c r="G432" s="12"/>
      <c r="H432" s="12"/>
      <c r="I432" s="12"/>
      <c r="J432" s="12"/>
      <c r="K432" s="12"/>
      <c r="L432" s="12"/>
      <c r="M432" s="12"/>
      <c r="N432" s="12"/>
      <c r="O432" s="12"/>
      <c r="P432" s="12"/>
      <c r="Q432" s="12"/>
      <c r="R432" s="12"/>
      <c r="S432" s="12"/>
      <c r="T432" s="12"/>
      <c r="U432" s="12"/>
      <c r="V432" s="12"/>
      <c r="W432" s="12"/>
      <c r="X432" s="12"/>
      <c r="Y432" s="12"/>
      <c r="Z432" s="12"/>
    </row>
    <row r="433" ht="15.75" customHeight="1">
      <c r="A433" s="12"/>
      <c r="B433" s="12"/>
      <c r="C433" s="12"/>
      <c r="D433" s="12"/>
      <c r="E433" s="171"/>
      <c r="F433" s="12"/>
      <c r="G433" s="12"/>
      <c r="H433" s="12"/>
      <c r="I433" s="12"/>
      <c r="J433" s="12"/>
      <c r="K433" s="12"/>
      <c r="L433" s="12"/>
      <c r="M433" s="12"/>
      <c r="N433" s="12"/>
      <c r="O433" s="12"/>
      <c r="P433" s="12"/>
      <c r="Q433" s="12"/>
      <c r="R433" s="12"/>
      <c r="S433" s="12"/>
      <c r="T433" s="12"/>
      <c r="U433" s="12"/>
      <c r="V433" s="12"/>
      <c r="W433" s="12"/>
      <c r="X433" s="12"/>
      <c r="Y433" s="12"/>
      <c r="Z433" s="12"/>
    </row>
    <row r="434" ht="15.75" customHeight="1">
      <c r="A434" s="12"/>
      <c r="B434" s="12"/>
      <c r="C434" s="12"/>
      <c r="D434" s="12"/>
      <c r="E434" s="171"/>
      <c r="F434" s="12"/>
      <c r="G434" s="12"/>
      <c r="H434" s="12"/>
      <c r="I434" s="12"/>
      <c r="J434" s="12"/>
      <c r="K434" s="12"/>
      <c r="L434" s="12"/>
      <c r="M434" s="12"/>
      <c r="N434" s="12"/>
      <c r="O434" s="12"/>
      <c r="P434" s="12"/>
      <c r="Q434" s="12"/>
      <c r="R434" s="12"/>
      <c r="S434" s="12"/>
      <c r="T434" s="12"/>
      <c r="U434" s="12"/>
      <c r="V434" s="12"/>
      <c r="W434" s="12"/>
      <c r="X434" s="12"/>
      <c r="Y434" s="12"/>
      <c r="Z434" s="12"/>
    </row>
    <row r="435" ht="15.75" customHeight="1">
      <c r="A435" s="12"/>
      <c r="B435" s="12"/>
      <c r="C435" s="12"/>
      <c r="D435" s="12"/>
      <c r="E435" s="171"/>
      <c r="F435" s="12"/>
      <c r="G435" s="12"/>
      <c r="H435" s="12"/>
      <c r="I435" s="12"/>
      <c r="J435" s="12"/>
      <c r="K435" s="12"/>
      <c r="L435" s="12"/>
      <c r="M435" s="12"/>
      <c r="N435" s="12"/>
      <c r="O435" s="12"/>
      <c r="P435" s="12"/>
      <c r="Q435" s="12"/>
      <c r="R435" s="12"/>
      <c r="S435" s="12"/>
      <c r="T435" s="12"/>
      <c r="U435" s="12"/>
      <c r="V435" s="12"/>
      <c r="W435" s="12"/>
      <c r="X435" s="12"/>
      <c r="Y435" s="12"/>
      <c r="Z435" s="12"/>
    </row>
    <row r="436" ht="15.75" customHeight="1">
      <c r="A436" s="12"/>
      <c r="B436" s="12"/>
      <c r="C436" s="12"/>
      <c r="D436" s="12"/>
      <c r="E436" s="171"/>
      <c r="F436" s="12"/>
      <c r="G436" s="12"/>
      <c r="H436" s="12"/>
      <c r="I436" s="12"/>
      <c r="J436" s="12"/>
      <c r="K436" s="12"/>
      <c r="L436" s="12"/>
      <c r="M436" s="12"/>
      <c r="N436" s="12"/>
      <c r="O436" s="12"/>
      <c r="P436" s="12"/>
      <c r="Q436" s="12"/>
      <c r="R436" s="12"/>
      <c r="S436" s="12"/>
      <c r="T436" s="12"/>
      <c r="U436" s="12"/>
      <c r="V436" s="12"/>
      <c r="W436" s="12"/>
      <c r="X436" s="12"/>
      <c r="Y436" s="12"/>
      <c r="Z436" s="12"/>
    </row>
    <row r="437" ht="15.75" customHeight="1">
      <c r="A437" s="12"/>
      <c r="B437" s="12"/>
      <c r="C437" s="12"/>
      <c r="D437" s="12"/>
      <c r="E437" s="171"/>
      <c r="F437" s="12"/>
      <c r="G437" s="12"/>
      <c r="H437" s="12"/>
      <c r="I437" s="12"/>
      <c r="J437" s="12"/>
      <c r="K437" s="12"/>
      <c r="L437" s="12"/>
      <c r="M437" s="12"/>
      <c r="N437" s="12"/>
      <c r="O437" s="12"/>
      <c r="P437" s="12"/>
      <c r="Q437" s="12"/>
      <c r="R437" s="12"/>
      <c r="S437" s="12"/>
      <c r="T437" s="12"/>
      <c r="U437" s="12"/>
      <c r="V437" s="12"/>
      <c r="W437" s="12"/>
      <c r="X437" s="12"/>
      <c r="Y437" s="12"/>
      <c r="Z437" s="12"/>
    </row>
    <row r="438" ht="15.75" customHeight="1">
      <c r="A438" s="12"/>
      <c r="B438" s="12"/>
      <c r="C438" s="12"/>
      <c r="D438" s="12"/>
      <c r="E438" s="171"/>
      <c r="F438" s="12"/>
      <c r="G438" s="12"/>
      <c r="H438" s="12"/>
      <c r="I438" s="12"/>
      <c r="J438" s="12"/>
      <c r="K438" s="12"/>
      <c r="L438" s="12"/>
      <c r="M438" s="12"/>
      <c r="N438" s="12"/>
      <c r="O438" s="12"/>
      <c r="P438" s="12"/>
      <c r="Q438" s="12"/>
      <c r="R438" s="12"/>
      <c r="S438" s="12"/>
      <c r="T438" s="12"/>
      <c r="U438" s="12"/>
      <c r="V438" s="12"/>
      <c r="W438" s="12"/>
      <c r="X438" s="12"/>
      <c r="Y438" s="12"/>
      <c r="Z438" s="12"/>
    </row>
    <row r="439" ht="15.75" customHeight="1">
      <c r="A439" s="12"/>
      <c r="B439" s="12"/>
      <c r="C439" s="12"/>
      <c r="D439" s="12"/>
      <c r="E439" s="171"/>
      <c r="F439" s="12"/>
      <c r="G439" s="12"/>
      <c r="H439" s="12"/>
      <c r="I439" s="12"/>
      <c r="J439" s="12"/>
      <c r="K439" s="12"/>
      <c r="L439" s="12"/>
      <c r="M439" s="12"/>
      <c r="N439" s="12"/>
      <c r="O439" s="12"/>
      <c r="P439" s="12"/>
      <c r="Q439" s="12"/>
      <c r="R439" s="12"/>
      <c r="S439" s="12"/>
      <c r="T439" s="12"/>
      <c r="U439" s="12"/>
      <c r="V439" s="12"/>
      <c r="W439" s="12"/>
      <c r="X439" s="12"/>
      <c r="Y439" s="12"/>
      <c r="Z439" s="12"/>
    </row>
    <row r="440" ht="15.75" customHeight="1">
      <c r="A440" s="12"/>
      <c r="B440" s="12"/>
      <c r="C440" s="12"/>
      <c r="D440" s="12"/>
      <c r="E440" s="171"/>
      <c r="F440" s="12"/>
      <c r="G440" s="12"/>
      <c r="H440" s="12"/>
      <c r="I440" s="12"/>
      <c r="J440" s="12"/>
      <c r="K440" s="12"/>
      <c r="L440" s="12"/>
      <c r="M440" s="12"/>
      <c r="N440" s="12"/>
      <c r="O440" s="12"/>
      <c r="P440" s="12"/>
      <c r="Q440" s="12"/>
      <c r="R440" s="12"/>
      <c r="S440" s="12"/>
      <c r="T440" s="12"/>
      <c r="U440" s="12"/>
      <c r="V440" s="12"/>
      <c r="W440" s="12"/>
      <c r="X440" s="12"/>
      <c r="Y440" s="12"/>
      <c r="Z440" s="12"/>
    </row>
    <row r="441" ht="15.75" customHeight="1">
      <c r="A441" s="12"/>
      <c r="B441" s="12"/>
      <c r="C441" s="12"/>
      <c r="D441" s="12"/>
      <c r="E441" s="171"/>
      <c r="F441" s="12"/>
      <c r="G441" s="12"/>
      <c r="H441" s="12"/>
      <c r="I441" s="12"/>
      <c r="J441" s="12"/>
      <c r="K441" s="12"/>
      <c r="L441" s="12"/>
      <c r="M441" s="12"/>
      <c r="N441" s="12"/>
      <c r="O441" s="12"/>
      <c r="P441" s="12"/>
      <c r="Q441" s="12"/>
      <c r="R441" s="12"/>
      <c r="S441" s="12"/>
      <c r="T441" s="12"/>
      <c r="U441" s="12"/>
      <c r="V441" s="12"/>
      <c r="W441" s="12"/>
      <c r="X441" s="12"/>
      <c r="Y441" s="12"/>
      <c r="Z441" s="12"/>
    </row>
    <row r="442" ht="15.75" customHeight="1">
      <c r="A442" s="12"/>
      <c r="B442" s="12"/>
      <c r="C442" s="12"/>
      <c r="D442" s="12"/>
      <c r="E442" s="171"/>
      <c r="F442" s="12"/>
      <c r="G442" s="12"/>
      <c r="H442" s="12"/>
      <c r="I442" s="12"/>
      <c r="J442" s="12"/>
      <c r="K442" s="12"/>
      <c r="L442" s="12"/>
      <c r="M442" s="12"/>
      <c r="N442" s="12"/>
      <c r="O442" s="12"/>
      <c r="P442" s="12"/>
      <c r="Q442" s="12"/>
      <c r="R442" s="12"/>
      <c r="S442" s="12"/>
      <c r="T442" s="12"/>
      <c r="U442" s="12"/>
      <c r="V442" s="12"/>
      <c r="W442" s="12"/>
      <c r="X442" s="12"/>
      <c r="Y442" s="12"/>
      <c r="Z442" s="12"/>
    </row>
    <row r="443" ht="15.75" customHeight="1">
      <c r="A443" s="12"/>
      <c r="B443" s="12"/>
      <c r="C443" s="12"/>
      <c r="D443" s="12"/>
      <c r="E443" s="171"/>
      <c r="F443" s="12"/>
      <c r="G443" s="12"/>
      <c r="H443" s="12"/>
      <c r="I443" s="12"/>
      <c r="J443" s="12"/>
      <c r="K443" s="12"/>
      <c r="L443" s="12"/>
      <c r="M443" s="12"/>
      <c r="N443" s="12"/>
      <c r="O443" s="12"/>
      <c r="P443" s="12"/>
      <c r="Q443" s="12"/>
      <c r="R443" s="12"/>
      <c r="S443" s="12"/>
      <c r="T443" s="12"/>
      <c r="U443" s="12"/>
      <c r="V443" s="12"/>
      <c r="W443" s="12"/>
      <c r="X443" s="12"/>
      <c r="Y443" s="12"/>
      <c r="Z443" s="12"/>
    </row>
    <row r="444" ht="15.75" customHeight="1">
      <c r="A444" s="12"/>
      <c r="B444" s="12"/>
      <c r="C444" s="12"/>
      <c r="D444" s="12"/>
      <c r="E444" s="171"/>
      <c r="F444" s="12"/>
      <c r="G444" s="12"/>
      <c r="H444" s="12"/>
      <c r="I444" s="12"/>
      <c r="J444" s="12"/>
      <c r="K444" s="12"/>
      <c r="L444" s="12"/>
      <c r="M444" s="12"/>
      <c r="N444" s="12"/>
      <c r="O444" s="12"/>
      <c r="P444" s="12"/>
      <c r="Q444" s="12"/>
      <c r="R444" s="12"/>
      <c r="S444" s="12"/>
      <c r="T444" s="12"/>
      <c r="U444" s="12"/>
      <c r="V444" s="12"/>
      <c r="W444" s="12"/>
      <c r="X444" s="12"/>
      <c r="Y444" s="12"/>
      <c r="Z444" s="12"/>
    </row>
    <row r="445" ht="15.75" customHeight="1">
      <c r="A445" s="12"/>
      <c r="B445" s="12"/>
      <c r="C445" s="12"/>
      <c r="D445" s="12"/>
      <c r="E445" s="171"/>
      <c r="F445" s="12"/>
      <c r="G445" s="12"/>
      <c r="H445" s="12"/>
      <c r="I445" s="12"/>
      <c r="J445" s="12"/>
      <c r="K445" s="12"/>
      <c r="L445" s="12"/>
      <c r="M445" s="12"/>
      <c r="N445" s="12"/>
      <c r="O445" s="12"/>
      <c r="P445" s="12"/>
      <c r="Q445" s="12"/>
      <c r="R445" s="12"/>
      <c r="S445" s="12"/>
      <c r="T445" s="12"/>
      <c r="U445" s="12"/>
      <c r="V445" s="12"/>
      <c r="W445" s="12"/>
      <c r="X445" s="12"/>
      <c r="Y445" s="12"/>
      <c r="Z445" s="12"/>
    </row>
    <row r="446" ht="15.75" customHeight="1">
      <c r="A446" s="12"/>
      <c r="B446" s="12"/>
      <c r="C446" s="12"/>
      <c r="D446" s="12"/>
      <c r="E446" s="171"/>
      <c r="F446" s="12"/>
      <c r="G446" s="12"/>
      <c r="H446" s="12"/>
      <c r="I446" s="12"/>
      <c r="J446" s="12"/>
      <c r="K446" s="12"/>
      <c r="L446" s="12"/>
      <c r="M446" s="12"/>
      <c r="N446" s="12"/>
      <c r="O446" s="12"/>
      <c r="P446" s="12"/>
      <c r="Q446" s="12"/>
      <c r="R446" s="12"/>
      <c r="S446" s="12"/>
      <c r="T446" s="12"/>
      <c r="U446" s="12"/>
      <c r="V446" s="12"/>
      <c r="W446" s="12"/>
      <c r="X446" s="12"/>
      <c r="Y446" s="12"/>
      <c r="Z446" s="12"/>
    </row>
    <row r="447" ht="15.7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5.7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5.7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5.7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5.7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5.7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5.7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5.7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5.7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5.7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13"/>
    <col customWidth="1" min="2" max="2" width="10.0"/>
    <col customWidth="1" min="3" max="3" width="9.88"/>
    <col customWidth="1" min="4" max="4" width="27.13"/>
    <col customWidth="1" min="5" max="5" width="16.63"/>
    <col customWidth="1" min="6" max="26" width="8.88"/>
  </cols>
  <sheetData>
    <row r="1">
      <c r="A1" s="36"/>
      <c r="B1" s="36"/>
      <c r="C1" s="36"/>
      <c r="D1" s="36" t="s">
        <v>272</v>
      </c>
      <c r="E1" s="189">
        <f>VLOOKUP(60,$A$4:$E$49,5,0)</f>
        <v>650000</v>
      </c>
      <c r="F1" s="36"/>
      <c r="G1" s="36"/>
      <c r="H1" s="36"/>
      <c r="I1" s="171" t="s">
        <v>273</v>
      </c>
      <c r="J1" s="175">
        <f>SV</f>
        <v>650000</v>
      </c>
      <c r="K1" s="36"/>
      <c r="L1" s="36"/>
      <c r="M1" s="36"/>
      <c r="N1" s="36"/>
      <c r="O1" s="36"/>
      <c r="P1" s="36"/>
      <c r="Q1" s="36"/>
      <c r="R1" s="36"/>
      <c r="S1" s="36"/>
      <c r="T1" s="36"/>
      <c r="U1" s="36"/>
      <c r="V1" s="36"/>
      <c r="W1" s="36"/>
      <c r="X1" s="36"/>
      <c r="Y1" s="36"/>
      <c r="Z1" s="36"/>
    </row>
    <row r="2">
      <c r="A2" s="36"/>
      <c r="B2" s="36"/>
      <c r="C2" s="36"/>
      <c r="D2" s="36"/>
      <c r="E2" s="36"/>
      <c r="F2" s="36"/>
      <c r="G2" s="36"/>
      <c r="H2" s="36"/>
      <c r="I2" s="36"/>
      <c r="J2" s="36"/>
      <c r="K2" s="36"/>
      <c r="L2" s="36"/>
      <c r="M2" s="36"/>
      <c r="N2" s="36"/>
      <c r="O2" s="36"/>
      <c r="P2" s="36"/>
      <c r="Q2" s="36"/>
      <c r="R2" s="36"/>
      <c r="S2" s="36"/>
      <c r="T2" s="36"/>
      <c r="U2" s="36"/>
      <c r="V2" s="36"/>
      <c r="W2" s="36"/>
      <c r="X2" s="36"/>
      <c r="Y2" s="36"/>
      <c r="Z2" s="36"/>
    </row>
    <row r="3">
      <c r="A3" s="36" t="s">
        <v>251</v>
      </c>
      <c r="B3" s="36" t="s">
        <v>215</v>
      </c>
      <c r="C3" s="36" t="s">
        <v>252</v>
      </c>
      <c r="D3" s="36" t="s">
        <v>225</v>
      </c>
      <c r="E3" s="36" t="s">
        <v>105</v>
      </c>
      <c r="F3" s="36"/>
      <c r="G3" s="36"/>
      <c r="H3" s="36"/>
      <c r="I3" s="190" t="s">
        <v>274</v>
      </c>
      <c r="J3" s="191"/>
      <c r="K3" s="36"/>
      <c r="L3" s="36"/>
      <c r="M3" s="36"/>
      <c r="N3" s="36"/>
      <c r="O3" s="36"/>
      <c r="P3" s="36"/>
      <c r="Q3" s="36"/>
      <c r="R3" s="36"/>
      <c r="S3" s="36"/>
      <c r="T3" s="36"/>
      <c r="U3" s="36"/>
      <c r="V3" s="36"/>
      <c r="W3" s="36"/>
      <c r="X3" s="36"/>
      <c r="Y3" s="36"/>
      <c r="Z3" s="36"/>
    </row>
    <row r="4">
      <c r="A4" s="36">
        <f>'Pre-Calculation'!D12</f>
        <v>60</v>
      </c>
      <c r="B4" s="36"/>
      <c r="C4" s="36"/>
      <c r="D4" s="36"/>
      <c r="E4" s="182">
        <f>J1-VLOOKUP(B5,I5:J9,2)</f>
        <v>650000</v>
      </c>
      <c r="F4" s="36"/>
      <c r="G4" s="36"/>
      <c r="H4" s="36"/>
      <c r="I4" s="171" t="s">
        <v>215</v>
      </c>
      <c r="J4" s="171" t="s">
        <v>275</v>
      </c>
      <c r="K4" s="36"/>
      <c r="L4" s="36"/>
      <c r="M4" s="36"/>
      <c r="N4" s="36"/>
      <c r="O4" s="36"/>
      <c r="P4" s="36"/>
      <c r="Q4" s="36"/>
      <c r="R4" s="36"/>
      <c r="S4" s="36"/>
      <c r="T4" s="36"/>
      <c r="U4" s="36"/>
      <c r="V4" s="36"/>
      <c r="W4" s="36"/>
      <c r="X4" s="36"/>
      <c r="Y4" s="36"/>
      <c r="Z4" s="36"/>
    </row>
    <row r="5">
      <c r="A5" s="36">
        <f t="shared" ref="A5:A49" si="1">A4+1</f>
        <v>61</v>
      </c>
      <c r="B5" s="36">
        <f t="shared" ref="B5:B49" si="2">_xlfn.CEILING.MATH(A5/12)</f>
        <v>6</v>
      </c>
      <c r="C5" s="192">
        <f>INPUT!C13</f>
        <v>44385</v>
      </c>
      <c r="D5" s="36">
        <f>Age_At_Entry+B5-1</f>
        <v>40</v>
      </c>
      <c r="E5" s="182">
        <f>E4*(1+DR)</f>
        <v>652127.9309</v>
      </c>
      <c r="F5" s="36"/>
      <c r="G5" s="36"/>
      <c r="H5" s="36"/>
      <c r="I5" s="171">
        <v>1.0</v>
      </c>
      <c r="J5" s="171">
        <f>IFERROR(MIN(3000,0.2*MIN('Pre-Calculation'!$D$7,J1)),0)</f>
        <v>3000</v>
      </c>
      <c r="K5" s="36"/>
      <c r="L5" s="36"/>
      <c r="M5" s="36"/>
      <c r="N5" s="36"/>
      <c r="O5" s="36"/>
      <c r="P5" s="36"/>
      <c r="Q5" s="36"/>
      <c r="R5" s="36"/>
      <c r="S5" s="36"/>
      <c r="T5" s="36"/>
      <c r="U5" s="36"/>
      <c r="V5" s="36"/>
      <c r="W5" s="36"/>
      <c r="X5" s="36"/>
      <c r="Y5" s="36"/>
      <c r="Z5" s="36"/>
    </row>
    <row r="6">
      <c r="A6" s="36">
        <f t="shared" si="1"/>
        <v>62</v>
      </c>
      <c r="B6" s="36">
        <f t="shared" si="2"/>
        <v>6</v>
      </c>
      <c r="C6" s="192">
        <f t="shared" ref="C6:C49" si="3">EDATE(C5,1)</f>
        <v>44416</v>
      </c>
      <c r="D6" s="36">
        <f>Age_At_Entry+B6-1</f>
        <v>40</v>
      </c>
      <c r="E6" s="182">
        <f>E5*(1+DR)</f>
        <v>654262.828</v>
      </c>
      <c r="F6" s="36"/>
      <c r="G6" s="36"/>
      <c r="H6" s="36"/>
      <c r="I6" s="171">
        <v>2.0</v>
      </c>
      <c r="J6" s="171">
        <f>IFERROR(MIN(2000,0.15*MIN('Pre-Calculation'!$D$7,$J$1)),0)</f>
        <v>2000</v>
      </c>
      <c r="K6" s="36"/>
      <c r="L6" s="36"/>
      <c r="M6" s="36"/>
      <c r="N6" s="36"/>
      <c r="O6" s="36"/>
      <c r="P6" s="36"/>
      <c r="Q6" s="36"/>
      <c r="R6" s="36"/>
      <c r="S6" s="36"/>
      <c r="T6" s="36"/>
      <c r="U6" s="36"/>
      <c r="V6" s="36"/>
      <c r="W6" s="36"/>
      <c r="X6" s="36"/>
      <c r="Y6" s="36"/>
      <c r="Z6" s="36"/>
    </row>
    <row r="7">
      <c r="A7" s="36">
        <f t="shared" si="1"/>
        <v>63</v>
      </c>
      <c r="B7" s="36">
        <f t="shared" si="2"/>
        <v>6</v>
      </c>
      <c r="C7" s="192">
        <f t="shared" si="3"/>
        <v>44447</v>
      </c>
      <c r="D7" s="36">
        <f>Age_At_Entry+B7-1</f>
        <v>40</v>
      </c>
      <c r="E7" s="182">
        <f>E6*(1+DR)</f>
        <v>656404.7143</v>
      </c>
      <c r="F7" s="36"/>
      <c r="G7" s="36"/>
      <c r="H7" s="36"/>
      <c r="I7" s="171">
        <v>3.0</v>
      </c>
      <c r="J7" s="171">
        <f>IFERROR(MIN(1500,0.1*MIN('Pre-Calculation'!$D$7,$J$1)),0)</f>
        <v>1500</v>
      </c>
      <c r="K7" s="36"/>
      <c r="L7" s="36"/>
      <c r="M7" s="36"/>
      <c r="N7" s="36"/>
      <c r="O7" s="36"/>
      <c r="P7" s="36"/>
      <c r="Q7" s="36"/>
      <c r="R7" s="36"/>
      <c r="S7" s="36"/>
      <c r="T7" s="36"/>
      <c r="U7" s="36"/>
      <c r="V7" s="36"/>
      <c r="W7" s="36"/>
      <c r="X7" s="36"/>
      <c r="Y7" s="36"/>
      <c r="Z7" s="36"/>
    </row>
    <row r="8">
      <c r="A8" s="36">
        <f t="shared" si="1"/>
        <v>64</v>
      </c>
      <c r="B8" s="36">
        <f t="shared" si="2"/>
        <v>6</v>
      </c>
      <c r="C8" s="192">
        <f t="shared" si="3"/>
        <v>44477</v>
      </c>
      <c r="D8" s="36">
        <f>Age_At_Entry+B8-1</f>
        <v>40</v>
      </c>
      <c r="E8" s="182">
        <f>E7*(1+DR)</f>
        <v>658553.6125</v>
      </c>
      <c r="F8" s="36"/>
      <c r="G8" s="36"/>
      <c r="H8" s="36"/>
      <c r="I8" s="171">
        <v>4.0</v>
      </c>
      <c r="J8" s="171">
        <f>IFERROR(MIN(1000,0.05*MIN('Pre-Calculation'!$D$7,$J$1)),0)</f>
        <v>1000</v>
      </c>
      <c r="K8" s="36"/>
      <c r="L8" s="36"/>
      <c r="M8" s="36"/>
      <c r="N8" s="36"/>
      <c r="O8" s="36"/>
      <c r="P8" s="36"/>
      <c r="Q8" s="36"/>
      <c r="R8" s="36"/>
      <c r="S8" s="36"/>
      <c r="T8" s="36"/>
      <c r="U8" s="36"/>
      <c r="V8" s="36"/>
      <c r="W8" s="36"/>
      <c r="X8" s="36"/>
      <c r="Y8" s="36"/>
      <c r="Z8" s="36"/>
    </row>
    <row r="9">
      <c r="A9" s="36">
        <f t="shared" si="1"/>
        <v>65</v>
      </c>
      <c r="B9" s="36">
        <f t="shared" si="2"/>
        <v>6</v>
      </c>
      <c r="C9" s="192">
        <f t="shared" si="3"/>
        <v>44508</v>
      </c>
      <c r="D9" s="36">
        <f>Age_At_Entry+B9-1</f>
        <v>40</v>
      </c>
      <c r="E9" s="182">
        <f>E8*(1+DR)</f>
        <v>660709.5456</v>
      </c>
      <c r="F9" s="36"/>
      <c r="G9" s="36"/>
      <c r="H9" s="36"/>
      <c r="I9" s="171">
        <v>5.0</v>
      </c>
      <c r="J9" s="171">
        <v>0.0</v>
      </c>
      <c r="K9" s="36"/>
      <c r="L9" s="36"/>
      <c r="M9" s="36"/>
      <c r="N9" s="36"/>
      <c r="O9" s="36"/>
      <c r="P9" s="36"/>
      <c r="Q9" s="36"/>
      <c r="R9" s="36"/>
      <c r="S9" s="36"/>
      <c r="T9" s="36"/>
      <c r="U9" s="36"/>
      <c r="V9" s="36"/>
      <c r="W9" s="36"/>
      <c r="X9" s="36"/>
      <c r="Y9" s="36"/>
      <c r="Z9" s="36"/>
    </row>
    <row r="10">
      <c r="A10" s="36">
        <f t="shared" si="1"/>
        <v>66</v>
      </c>
      <c r="B10" s="36">
        <f t="shared" si="2"/>
        <v>6</v>
      </c>
      <c r="C10" s="192">
        <f t="shared" si="3"/>
        <v>44538</v>
      </c>
      <c r="D10" s="36">
        <f>Age_At_Entry+B10-1</f>
        <v>40</v>
      </c>
      <c r="E10" s="182">
        <f>E9*(1+DR)</f>
        <v>662872.5368</v>
      </c>
      <c r="F10" s="36"/>
      <c r="G10" s="36"/>
      <c r="H10" s="36"/>
      <c r="I10" s="36"/>
      <c r="J10" s="36"/>
      <c r="K10" s="36"/>
      <c r="L10" s="36"/>
      <c r="M10" s="36"/>
      <c r="N10" s="36"/>
      <c r="O10" s="36"/>
      <c r="P10" s="36"/>
      <c r="Q10" s="36"/>
      <c r="R10" s="36"/>
      <c r="S10" s="36"/>
      <c r="T10" s="36"/>
      <c r="U10" s="36"/>
      <c r="V10" s="36"/>
      <c r="W10" s="36"/>
      <c r="X10" s="36"/>
      <c r="Y10" s="36"/>
      <c r="Z10" s="36"/>
    </row>
    <row r="11">
      <c r="A11" s="36">
        <f t="shared" si="1"/>
        <v>67</v>
      </c>
      <c r="B11" s="36">
        <f t="shared" si="2"/>
        <v>6</v>
      </c>
      <c r="C11" s="192">
        <f t="shared" si="3"/>
        <v>44569</v>
      </c>
      <c r="D11" s="36">
        <f>Age_At_Entry+B11-1</f>
        <v>40</v>
      </c>
      <c r="E11" s="182">
        <f>E10*(1+DR)</f>
        <v>665042.609</v>
      </c>
      <c r="F11" s="36"/>
      <c r="G11" s="36"/>
      <c r="H11" s="36"/>
      <c r="I11" s="36"/>
      <c r="J11" s="36"/>
      <c r="K11" s="36"/>
      <c r="L11" s="36"/>
      <c r="M11" s="36"/>
      <c r="N11" s="36"/>
      <c r="O11" s="36"/>
      <c r="P11" s="36"/>
      <c r="Q11" s="36"/>
      <c r="R11" s="36"/>
      <c r="S11" s="36"/>
      <c r="T11" s="36"/>
      <c r="U11" s="36"/>
      <c r="V11" s="36"/>
      <c r="W11" s="36"/>
      <c r="X11" s="36"/>
      <c r="Y11" s="36"/>
      <c r="Z11" s="36"/>
    </row>
    <row r="12">
      <c r="A12" s="36">
        <f t="shared" si="1"/>
        <v>68</v>
      </c>
      <c r="B12" s="36">
        <f t="shared" si="2"/>
        <v>6</v>
      </c>
      <c r="C12" s="192">
        <f t="shared" si="3"/>
        <v>44600</v>
      </c>
      <c r="D12" s="36">
        <f>Age_At_Entry+B12-1</f>
        <v>40</v>
      </c>
      <c r="E12" s="182">
        <f>E11*(1+DR)</f>
        <v>667219.7854</v>
      </c>
      <c r="F12" s="36"/>
      <c r="G12" s="36"/>
      <c r="H12" s="36"/>
      <c r="I12" s="36"/>
      <c r="J12" s="36"/>
      <c r="K12" s="36"/>
      <c r="L12" s="36"/>
      <c r="M12" s="36"/>
      <c r="N12" s="36"/>
      <c r="O12" s="36"/>
      <c r="P12" s="36"/>
      <c r="Q12" s="36"/>
      <c r="R12" s="36"/>
      <c r="S12" s="36"/>
      <c r="T12" s="36"/>
      <c r="U12" s="36"/>
      <c r="V12" s="36"/>
      <c r="W12" s="36"/>
      <c r="X12" s="36"/>
      <c r="Y12" s="36"/>
      <c r="Z12" s="36"/>
    </row>
    <row r="13">
      <c r="A13" s="36">
        <f t="shared" si="1"/>
        <v>69</v>
      </c>
      <c r="B13" s="36">
        <f t="shared" si="2"/>
        <v>6</v>
      </c>
      <c r="C13" s="192">
        <f t="shared" si="3"/>
        <v>44628</v>
      </c>
      <c r="D13" s="36">
        <f>Age_At_Entry+B13-1</f>
        <v>40</v>
      </c>
      <c r="E13" s="182">
        <f>E12*(1+DR)</f>
        <v>669404.0894</v>
      </c>
      <c r="F13" s="36"/>
      <c r="G13" s="36"/>
      <c r="H13" s="36"/>
      <c r="I13" s="36"/>
      <c r="J13" s="36"/>
      <c r="K13" s="36"/>
      <c r="L13" s="36"/>
      <c r="M13" s="36"/>
      <c r="N13" s="36"/>
      <c r="O13" s="36"/>
      <c r="P13" s="36"/>
      <c r="Q13" s="36"/>
      <c r="R13" s="36"/>
      <c r="S13" s="36"/>
      <c r="T13" s="36"/>
      <c r="U13" s="36"/>
      <c r="V13" s="36"/>
      <c r="W13" s="36"/>
      <c r="X13" s="36"/>
      <c r="Y13" s="36"/>
      <c r="Z13" s="36"/>
    </row>
    <row r="14">
      <c r="A14" s="36">
        <f t="shared" si="1"/>
        <v>70</v>
      </c>
      <c r="B14" s="36">
        <f t="shared" si="2"/>
        <v>6</v>
      </c>
      <c r="C14" s="192">
        <f t="shared" si="3"/>
        <v>44659</v>
      </c>
      <c r="D14" s="36">
        <f>Age_At_Entry+B14-1</f>
        <v>40</v>
      </c>
      <c r="E14" s="182">
        <f>E13*(1+DR)</f>
        <v>671595.5442</v>
      </c>
      <c r="F14" s="36"/>
      <c r="G14" s="36"/>
      <c r="H14" s="36"/>
      <c r="I14" s="36"/>
      <c r="J14" s="36"/>
      <c r="K14" s="36"/>
      <c r="L14" s="36"/>
      <c r="M14" s="36"/>
      <c r="N14" s="36"/>
      <c r="O14" s="36"/>
      <c r="P14" s="36"/>
      <c r="Q14" s="36"/>
      <c r="R14" s="36"/>
      <c r="S14" s="36"/>
      <c r="T14" s="36"/>
      <c r="U14" s="36"/>
      <c r="V14" s="36"/>
      <c r="W14" s="36"/>
      <c r="X14" s="36"/>
      <c r="Y14" s="36"/>
      <c r="Z14" s="36"/>
    </row>
    <row r="15">
      <c r="A15" s="36">
        <f t="shared" si="1"/>
        <v>71</v>
      </c>
      <c r="B15" s="36">
        <f t="shared" si="2"/>
        <v>6</v>
      </c>
      <c r="C15" s="192">
        <f t="shared" si="3"/>
        <v>44689</v>
      </c>
      <c r="D15" s="36">
        <f>Age_At_Entry+B15-1</f>
        <v>40</v>
      </c>
      <c r="E15" s="182">
        <f>E14*(1+DR)</f>
        <v>673794.1732</v>
      </c>
      <c r="F15" s="36"/>
      <c r="G15" s="36"/>
      <c r="H15" s="36"/>
      <c r="I15" s="36"/>
      <c r="J15" s="36"/>
      <c r="K15" s="36"/>
      <c r="L15" s="36"/>
      <c r="M15" s="36"/>
      <c r="N15" s="36"/>
      <c r="O15" s="36"/>
      <c r="P15" s="36"/>
      <c r="Q15" s="36"/>
      <c r="R15" s="36"/>
      <c r="S15" s="36"/>
      <c r="T15" s="36"/>
      <c r="U15" s="36"/>
      <c r="V15" s="36"/>
      <c r="W15" s="36"/>
      <c r="X15" s="36"/>
      <c r="Y15" s="36"/>
      <c r="Z15" s="36"/>
    </row>
    <row r="16">
      <c r="A16" s="36">
        <f t="shared" si="1"/>
        <v>72</v>
      </c>
      <c r="B16" s="36">
        <f t="shared" si="2"/>
        <v>6</v>
      </c>
      <c r="C16" s="192">
        <f t="shared" si="3"/>
        <v>44720</v>
      </c>
      <c r="D16" s="36">
        <f>Age_At_Entry+B16-1</f>
        <v>40</v>
      </c>
      <c r="E16" s="182">
        <f>E15*(1+DR)</f>
        <v>676000</v>
      </c>
      <c r="F16" s="36"/>
      <c r="G16" s="36"/>
      <c r="H16" s="36"/>
      <c r="I16" s="36"/>
      <c r="J16" s="36"/>
      <c r="K16" s="36"/>
      <c r="L16" s="36"/>
      <c r="M16" s="36"/>
      <c r="N16" s="36"/>
      <c r="O16" s="36"/>
      <c r="P16" s="36"/>
      <c r="Q16" s="36"/>
      <c r="R16" s="36"/>
      <c r="S16" s="36"/>
      <c r="T16" s="36"/>
      <c r="U16" s="36"/>
      <c r="V16" s="36"/>
      <c r="W16" s="36"/>
      <c r="X16" s="36"/>
      <c r="Y16" s="36"/>
      <c r="Z16" s="36"/>
    </row>
    <row r="17">
      <c r="A17" s="36">
        <f t="shared" si="1"/>
        <v>73</v>
      </c>
      <c r="B17" s="36">
        <f t="shared" si="2"/>
        <v>7</v>
      </c>
      <c r="C17" s="192">
        <f t="shared" si="3"/>
        <v>44750</v>
      </c>
      <c r="D17" s="36">
        <f>Age_At_Entry+B17-1</f>
        <v>41</v>
      </c>
      <c r="E17" s="182">
        <f>E16*(1+DR)</f>
        <v>678213.0481</v>
      </c>
      <c r="F17" s="36"/>
      <c r="G17" s="36"/>
      <c r="H17" s="36"/>
      <c r="I17" s="36"/>
      <c r="J17" s="36"/>
      <c r="K17" s="36"/>
      <c r="L17" s="36"/>
      <c r="M17" s="36"/>
      <c r="N17" s="36"/>
      <c r="O17" s="36"/>
      <c r="P17" s="36"/>
      <c r="Q17" s="36"/>
      <c r="R17" s="36"/>
      <c r="S17" s="36"/>
      <c r="T17" s="36"/>
      <c r="U17" s="36"/>
      <c r="V17" s="36"/>
      <c r="W17" s="36"/>
      <c r="X17" s="36"/>
      <c r="Y17" s="36"/>
      <c r="Z17" s="36"/>
    </row>
    <row r="18">
      <c r="A18" s="36">
        <f t="shared" si="1"/>
        <v>74</v>
      </c>
      <c r="B18" s="36">
        <f t="shared" si="2"/>
        <v>7</v>
      </c>
      <c r="C18" s="192">
        <f t="shared" si="3"/>
        <v>44781</v>
      </c>
      <c r="D18" s="36">
        <f>Age_At_Entry+B18-1</f>
        <v>41</v>
      </c>
      <c r="E18" s="182">
        <f>E17*(1+DR)</f>
        <v>680433.3411</v>
      </c>
      <c r="F18" s="36"/>
      <c r="G18" s="36"/>
      <c r="H18" s="36"/>
      <c r="I18" s="36"/>
      <c r="J18" s="36"/>
      <c r="K18" s="36"/>
      <c r="L18" s="36"/>
      <c r="M18" s="36"/>
      <c r="N18" s="36"/>
      <c r="O18" s="36"/>
      <c r="P18" s="36"/>
      <c r="Q18" s="36"/>
      <c r="R18" s="36"/>
      <c r="S18" s="36"/>
      <c r="T18" s="36"/>
      <c r="U18" s="36"/>
      <c r="V18" s="36"/>
      <c r="W18" s="36"/>
      <c r="X18" s="36"/>
      <c r="Y18" s="36"/>
      <c r="Z18" s="36"/>
    </row>
    <row r="19">
      <c r="A19" s="36">
        <f t="shared" si="1"/>
        <v>75</v>
      </c>
      <c r="B19" s="36">
        <f t="shared" si="2"/>
        <v>7</v>
      </c>
      <c r="C19" s="192">
        <f t="shared" si="3"/>
        <v>44812</v>
      </c>
      <c r="D19" s="36">
        <f>Age_At_Entry+B19-1</f>
        <v>41</v>
      </c>
      <c r="E19" s="182">
        <f>E18*(1+DR)</f>
        <v>682660.9028</v>
      </c>
      <c r="F19" s="36"/>
      <c r="G19" s="36"/>
      <c r="H19" s="36"/>
      <c r="I19" s="36"/>
      <c r="J19" s="36"/>
      <c r="K19" s="36"/>
      <c r="L19" s="36"/>
      <c r="M19" s="36"/>
      <c r="N19" s="36"/>
      <c r="O19" s="36"/>
      <c r="P19" s="36"/>
      <c r="Q19" s="36"/>
      <c r="R19" s="36"/>
      <c r="S19" s="36"/>
      <c r="T19" s="36"/>
      <c r="U19" s="36"/>
      <c r="V19" s="36"/>
      <c r="W19" s="36"/>
      <c r="X19" s="36"/>
      <c r="Y19" s="36"/>
      <c r="Z19" s="36"/>
    </row>
    <row r="20">
      <c r="A20" s="36">
        <f t="shared" si="1"/>
        <v>76</v>
      </c>
      <c r="B20" s="36">
        <f t="shared" si="2"/>
        <v>7</v>
      </c>
      <c r="C20" s="192">
        <f t="shared" si="3"/>
        <v>44842</v>
      </c>
      <c r="D20" s="36">
        <f>Age_At_Entry+B20-1</f>
        <v>41</v>
      </c>
      <c r="E20" s="182">
        <f>E19*(1+DR)</f>
        <v>684895.757</v>
      </c>
      <c r="F20" s="36"/>
      <c r="G20" s="36"/>
      <c r="H20" s="36"/>
      <c r="I20" s="36"/>
      <c r="J20" s="36"/>
      <c r="K20" s="36"/>
      <c r="L20" s="36"/>
      <c r="M20" s="36"/>
      <c r="N20" s="36"/>
      <c r="O20" s="36"/>
      <c r="P20" s="36"/>
      <c r="Q20" s="36"/>
      <c r="R20" s="36"/>
      <c r="S20" s="36"/>
      <c r="T20" s="36"/>
      <c r="U20" s="36"/>
      <c r="V20" s="36"/>
      <c r="W20" s="36"/>
      <c r="X20" s="36"/>
      <c r="Y20" s="36"/>
      <c r="Z20" s="36"/>
    </row>
    <row r="21" ht="15.75" customHeight="1">
      <c r="A21" s="36">
        <f t="shared" si="1"/>
        <v>77</v>
      </c>
      <c r="B21" s="36">
        <f t="shared" si="2"/>
        <v>7</v>
      </c>
      <c r="C21" s="192">
        <f t="shared" si="3"/>
        <v>44873</v>
      </c>
      <c r="D21" s="36">
        <f>Age_At_Entry+B21-1</f>
        <v>41</v>
      </c>
      <c r="E21" s="182">
        <f>E20*(1+DR)</f>
        <v>687137.9275</v>
      </c>
      <c r="F21" s="36"/>
      <c r="G21" s="36"/>
      <c r="H21" s="36"/>
      <c r="I21" s="36"/>
      <c r="J21" s="36"/>
      <c r="K21" s="36"/>
      <c r="L21" s="36"/>
      <c r="M21" s="36"/>
      <c r="N21" s="36"/>
      <c r="O21" s="36"/>
      <c r="P21" s="36"/>
      <c r="Q21" s="36"/>
      <c r="R21" s="36"/>
      <c r="S21" s="36"/>
      <c r="T21" s="36"/>
      <c r="U21" s="36"/>
      <c r="V21" s="36"/>
      <c r="W21" s="36"/>
      <c r="X21" s="36"/>
      <c r="Y21" s="36"/>
      <c r="Z21" s="36"/>
    </row>
    <row r="22" ht="15.75" customHeight="1">
      <c r="A22" s="36">
        <f t="shared" si="1"/>
        <v>78</v>
      </c>
      <c r="B22" s="36">
        <f t="shared" si="2"/>
        <v>7</v>
      </c>
      <c r="C22" s="192">
        <f t="shared" si="3"/>
        <v>44903</v>
      </c>
      <c r="D22" s="36">
        <f>Age_At_Entry+B22-1</f>
        <v>41</v>
      </c>
      <c r="E22" s="182">
        <f>E21*(1+DR)</f>
        <v>689387.4382</v>
      </c>
      <c r="F22" s="36"/>
      <c r="G22" s="36"/>
      <c r="H22" s="36"/>
      <c r="I22" s="36"/>
      <c r="J22" s="36"/>
      <c r="K22" s="36"/>
      <c r="L22" s="36"/>
      <c r="M22" s="36"/>
      <c r="N22" s="36"/>
      <c r="O22" s="36"/>
      <c r="P22" s="36"/>
      <c r="Q22" s="36"/>
      <c r="R22" s="36"/>
      <c r="S22" s="36"/>
      <c r="T22" s="36"/>
      <c r="U22" s="36"/>
      <c r="V22" s="36"/>
      <c r="W22" s="36"/>
      <c r="X22" s="36"/>
      <c r="Y22" s="36"/>
      <c r="Z22" s="36"/>
    </row>
    <row r="23" ht="15.75" customHeight="1">
      <c r="A23" s="36">
        <f t="shared" si="1"/>
        <v>79</v>
      </c>
      <c r="B23" s="36">
        <f t="shared" si="2"/>
        <v>7</v>
      </c>
      <c r="C23" s="192">
        <f t="shared" si="3"/>
        <v>44934</v>
      </c>
      <c r="D23" s="36">
        <f>Age_At_Entry+B23-1</f>
        <v>41</v>
      </c>
      <c r="E23" s="182">
        <f>E22*(1+DR)</f>
        <v>691644.3133</v>
      </c>
      <c r="F23" s="36"/>
      <c r="G23" s="36"/>
      <c r="H23" s="36"/>
      <c r="I23" s="36"/>
      <c r="J23" s="36"/>
      <c r="K23" s="36"/>
      <c r="L23" s="36"/>
      <c r="M23" s="36"/>
      <c r="N23" s="36"/>
      <c r="O23" s="36"/>
      <c r="P23" s="36"/>
      <c r="Q23" s="36"/>
      <c r="R23" s="36"/>
      <c r="S23" s="36"/>
      <c r="T23" s="36"/>
      <c r="U23" s="36"/>
      <c r="V23" s="36"/>
      <c r="W23" s="36"/>
      <c r="X23" s="36"/>
      <c r="Y23" s="36"/>
      <c r="Z23" s="36"/>
    </row>
    <row r="24" ht="15.75" customHeight="1">
      <c r="A24" s="36">
        <f t="shared" si="1"/>
        <v>80</v>
      </c>
      <c r="B24" s="36">
        <f t="shared" si="2"/>
        <v>7</v>
      </c>
      <c r="C24" s="192">
        <f t="shared" si="3"/>
        <v>44965</v>
      </c>
      <c r="D24" s="36">
        <f>Age_At_Entry+B24-1</f>
        <v>41</v>
      </c>
      <c r="E24" s="182">
        <f>E23*(1+DR)</f>
        <v>693908.5768</v>
      </c>
      <c r="F24" s="36"/>
      <c r="G24" s="36"/>
      <c r="H24" s="36"/>
      <c r="I24" s="36"/>
      <c r="J24" s="36"/>
      <c r="K24" s="36"/>
      <c r="L24" s="36"/>
      <c r="M24" s="36"/>
      <c r="N24" s="36"/>
      <c r="O24" s="36"/>
      <c r="P24" s="36"/>
      <c r="Q24" s="36"/>
      <c r="R24" s="36"/>
      <c r="S24" s="36"/>
      <c r="T24" s="36"/>
      <c r="U24" s="36"/>
      <c r="V24" s="36"/>
      <c r="W24" s="36"/>
      <c r="X24" s="36"/>
      <c r="Y24" s="36"/>
      <c r="Z24" s="36"/>
    </row>
    <row r="25" ht="15.75" customHeight="1">
      <c r="A25" s="36">
        <f t="shared" si="1"/>
        <v>81</v>
      </c>
      <c r="B25" s="36">
        <f t="shared" si="2"/>
        <v>7</v>
      </c>
      <c r="C25" s="192">
        <f t="shared" si="3"/>
        <v>44993</v>
      </c>
      <c r="D25" s="36">
        <f>Age_At_Entry+B25-1</f>
        <v>41</v>
      </c>
      <c r="E25" s="182">
        <f>E24*(1+DR)</f>
        <v>696180.2529</v>
      </c>
      <c r="F25" s="36"/>
      <c r="G25" s="36"/>
      <c r="H25" s="36"/>
      <c r="I25" s="36"/>
      <c r="J25" s="36"/>
      <c r="K25" s="36"/>
      <c r="L25" s="36"/>
      <c r="M25" s="36"/>
      <c r="N25" s="36"/>
      <c r="O25" s="36"/>
      <c r="P25" s="36"/>
      <c r="Q25" s="36"/>
      <c r="R25" s="36"/>
      <c r="S25" s="36"/>
      <c r="T25" s="36"/>
      <c r="U25" s="36"/>
      <c r="V25" s="36"/>
      <c r="W25" s="36"/>
      <c r="X25" s="36"/>
      <c r="Y25" s="36"/>
      <c r="Z25" s="36"/>
    </row>
    <row r="26" ht="15.75" customHeight="1">
      <c r="A26" s="36">
        <f t="shared" si="1"/>
        <v>82</v>
      </c>
      <c r="B26" s="36">
        <f t="shared" si="2"/>
        <v>7</v>
      </c>
      <c r="C26" s="192">
        <f t="shared" si="3"/>
        <v>45024</v>
      </c>
      <c r="D26" s="36">
        <f>Age_At_Entry+B26-1</f>
        <v>41</v>
      </c>
      <c r="E26" s="182">
        <f>E25*(1+DR)</f>
        <v>698459.3659</v>
      </c>
      <c r="F26" s="36"/>
      <c r="G26" s="36"/>
      <c r="H26" s="36"/>
      <c r="I26" s="36"/>
      <c r="J26" s="36"/>
      <c r="K26" s="36"/>
      <c r="L26" s="36"/>
      <c r="M26" s="36"/>
      <c r="N26" s="36"/>
      <c r="O26" s="36"/>
      <c r="P26" s="36"/>
      <c r="Q26" s="36"/>
      <c r="R26" s="36"/>
      <c r="S26" s="36"/>
      <c r="T26" s="36"/>
      <c r="U26" s="36"/>
      <c r="V26" s="36"/>
      <c r="W26" s="36"/>
      <c r="X26" s="36"/>
      <c r="Y26" s="36"/>
      <c r="Z26" s="36"/>
    </row>
    <row r="27" ht="15.75" customHeight="1">
      <c r="A27" s="36">
        <f t="shared" si="1"/>
        <v>83</v>
      </c>
      <c r="B27" s="36">
        <f t="shared" si="2"/>
        <v>7</v>
      </c>
      <c r="C27" s="192">
        <f t="shared" si="3"/>
        <v>45054</v>
      </c>
      <c r="D27" s="36">
        <f>Age_At_Entry+B27-1</f>
        <v>41</v>
      </c>
      <c r="E27" s="182">
        <f>E26*(1+DR)</f>
        <v>700745.9401</v>
      </c>
      <c r="F27" s="36"/>
      <c r="G27" s="36"/>
      <c r="H27" s="36"/>
      <c r="I27" s="36"/>
      <c r="J27" s="36"/>
      <c r="K27" s="36"/>
      <c r="L27" s="36"/>
      <c r="M27" s="36"/>
      <c r="N27" s="36"/>
      <c r="O27" s="36"/>
      <c r="P27" s="36"/>
      <c r="Q27" s="36"/>
      <c r="R27" s="36"/>
      <c r="S27" s="36"/>
      <c r="T27" s="36"/>
      <c r="U27" s="36"/>
      <c r="V27" s="36"/>
      <c r="W27" s="36"/>
      <c r="X27" s="36"/>
      <c r="Y27" s="36"/>
      <c r="Z27" s="36"/>
    </row>
    <row r="28" ht="15.75" customHeight="1">
      <c r="A28" s="36">
        <f t="shared" si="1"/>
        <v>84</v>
      </c>
      <c r="B28" s="36">
        <f t="shared" si="2"/>
        <v>7</v>
      </c>
      <c r="C28" s="192">
        <f t="shared" si="3"/>
        <v>45085</v>
      </c>
      <c r="D28" s="36">
        <f>Age_At_Entry+B28-1</f>
        <v>41</v>
      </c>
      <c r="E28" s="182">
        <f>E27*(1+DR)</f>
        <v>703040</v>
      </c>
      <c r="F28" s="36"/>
      <c r="G28" s="36"/>
      <c r="H28" s="36"/>
      <c r="I28" s="36"/>
      <c r="J28" s="36"/>
      <c r="K28" s="36"/>
      <c r="L28" s="36"/>
      <c r="M28" s="36"/>
      <c r="N28" s="36"/>
      <c r="O28" s="36"/>
      <c r="P28" s="36"/>
      <c r="Q28" s="36"/>
      <c r="R28" s="36"/>
      <c r="S28" s="36"/>
      <c r="T28" s="36"/>
      <c r="U28" s="36"/>
      <c r="V28" s="36"/>
      <c r="W28" s="36"/>
      <c r="X28" s="36"/>
      <c r="Y28" s="36"/>
      <c r="Z28" s="36"/>
    </row>
    <row r="29" ht="15.75" customHeight="1">
      <c r="A29" s="36">
        <f t="shared" si="1"/>
        <v>85</v>
      </c>
      <c r="B29" s="36">
        <f t="shared" si="2"/>
        <v>8</v>
      </c>
      <c r="C29" s="192">
        <f t="shared" si="3"/>
        <v>45115</v>
      </c>
      <c r="D29" s="36">
        <f>Age_At_Entry+B29-1</f>
        <v>42</v>
      </c>
      <c r="E29" s="182">
        <f>E28*(1+DR)</f>
        <v>705341.57</v>
      </c>
      <c r="F29" s="36"/>
      <c r="G29" s="36"/>
      <c r="H29" s="36"/>
      <c r="I29" s="36"/>
      <c r="J29" s="36"/>
      <c r="K29" s="36"/>
      <c r="L29" s="36"/>
      <c r="M29" s="36"/>
      <c r="N29" s="36"/>
      <c r="O29" s="36"/>
      <c r="P29" s="36"/>
      <c r="Q29" s="36"/>
      <c r="R29" s="36"/>
      <c r="S29" s="36"/>
      <c r="T29" s="36"/>
      <c r="U29" s="36"/>
      <c r="V29" s="36"/>
      <c r="W29" s="36"/>
      <c r="X29" s="36"/>
      <c r="Y29" s="36"/>
      <c r="Z29" s="36"/>
    </row>
    <row r="30" ht="15.75" customHeight="1">
      <c r="A30" s="36">
        <f t="shared" si="1"/>
        <v>86</v>
      </c>
      <c r="B30" s="36">
        <f t="shared" si="2"/>
        <v>8</v>
      </c>
      <c r="C30" s="192">
        <f t="shared" si="3"/>
        <v>45146</v>
      </c>
      <c r="D30" s="36">
        <f>Age_At_Entry+B30-1</f>
        <v>42</v>
      </c>
      <c r="E30" s="182">
        <f>E29*(1+DR)</f>
        <v>707650.6748</v>
      </c>
      <c r="F30" s="36"/>
      <c r="G30" s="36"/>
      <c r="H30" s="36"/>
      <c r="I30" s="36"/>
      <c r="J30" s="36"/>
      <c r="K30" s="36"/>
      <c r="L30" s="36"/>
      <c r="M30" s="36"/>
      <c r="N30" s="36"/>
      <c r="O30" s="36"/>
      <c r="P30" s="36"/>
      <c r="Q30" s="36"/>
      <c r="R30" s="36"/>
      <c r="S30" s="36"/>
      <c r="T30" s="36"/>
      <c r="U30" s="36"/>
      <c r="V30" s="36"/>
      <c r="W30" s="36"/>
      <c r="X30" s="36"/>
      <c r="Y30" s="36"/>
      <c r="Z30" s="36"/>
    </row>
    <row r="31" ht="15.75" customHeight="1">
      <c r="A31" s="36">
        <f t="shared" si="1"/>
        <v>87</v>
      </c>
      <c r="B31" s="36">
        <f t="shared" si="2"/>
        <v>8</v>
      </c>
      <c r="C31" s="192">
        <f t="shared" si="3"/>
        <v>45177</v>
      </c>
      <c r="D31" s="36">
        <f>Age_At_Entry+B31-1</f>
        <v>42</v>
      </c>
      <c r="E31" s="182">
        <f>E30*(1+DR)</f>
        <v>709967.3389</v>
      </c>
      <c r="F31" s="36"/>
      <c r="G31" s="36"/>
      <c r="H31" s="36"/>
      <c r="I31" s="36"/>
      <c r="J31" s="36"/>
      <c r="K31" s="36"/>
      <c r="L31" s="36"/>
      <c r="M31" s="36"/>
      <c r="N31" s="36"/>
      <c r="O31" s="36"/>
      <c r="P31" s="36"/>
      <c r="Q31" s="36"/>
      <c r="R31" s="36"/>
      <c r="S31" s="36"/>
      <c r="T31" s="36"/>
      <c r="U31" s="36"/>
      <c r="V31" s="36"/>
      <c r="W31" s="36"/>
      <c r="X31" s="36"/>
      <c r="Y31" s="36"/>
      <c r="Z31" s="36"/>
    </row>
    <row r="32" ht="15.75" customHeight="1">
      <c r="A32" s="36">
        <f t="shared" si="1"/>
        <v>88</v>
      </c>
      <c r="B32" s="36">
        <f t="shared" si="2"/>
        <v>8</v>
      </c>
      <c r="C32" s="192">
        <f t="shared" si="3"/>
        <v>45207</v>
      </c>
      <c r="D32" s="36">
        <f>Age_At_Entry+B32-1</f>
        <v>42</v>
      </c>
      <c r="E32" s="182">
        <f>E31*(1+DR)</f>
        <v>712291.5873</v>
      </c>
      <c r="F32" s="36"/>
      <c r="G32" s="36"/>
      <c r="H32" s="36"/>
      <c r="I32" s="36"/>
      <c r="J32" s="36"/>
      <c r="K32" s="36"/>
      <c r="L32" s="36"/>
      <c r="M32" s="36"/>
      <c r="N32" s="36"/>
      <c r="O32" s="36"/>
      <c r="P32" s="36"/>
      <c r="Q32" s="36"/>
      <c r="R32" s="36"/>
      <c r="S32" s="36"/>
      <c r="T32" s="36"/>
      <c r="U32" s="36"/>
      <c r="V32" s="36"/>
      <c r="W32" s="36"/>
      <c r="X32" s="36"/>
      <c r="Y32" s="36"/>
      <c r="Z32" s="36"/>
    </row>
    <row r="33" ht="15.75" customHeight="1">
      <c r="A33" s="36">
        <f t="shared" si="1"/>
        <v>89</v>
      </c>
      <c r="B33" s="36">
        <f t="shared" si="2"/>
        <v>8</v>
      </c>
      <c r="C33" s="192">
        <f t="shared" si="3"/>
        <v>45238</v>
      </c>
      <c r="D33" s="36">
        <f>Age_At_Entry+B33-1</f>
        <v>42</v>
      </c>
      <c r="E33" s="182">
        <f>E32*(1+DR)</f>
        <v>714623.4446</v>
      </c>
      <c r="F33" s="36"/>
      <c r="G33" s="36"/>
      <c r="H33" s="36"/>
      <c r="I33" s="36"/>
      <c r="J33" s="36"/>
      <c r="K33" s="36"/>
      <c r="L33" s="36"/>
      <c r="M33" s="36"/>
      <c r="N33" s="36"/>
      <c r="O33" s="36"/>
      <c r="P33" s="36"/>
      <c r="Q33" s="36"/>
      <c r="R33" s="36"/>
      <c r="S33" s="36"/>
      <c r="T33" s="36"/>
      <c r="U33" s="36"/>
      <c r="V33" s="36"/>
      <c r="W33" s="36"/>
      <c r="X33" s="36"/>
      <c r="Y33" s="36"/>
      <c r="Z33" s="36"/>
    </row>
    <row r="34" ht="15.75" customHeight="1">
      <c r="A34" s="36">
        <f t="shared" si="1"/>
        <v>90</v>
      </c>
      <c r="B34" s="36">
        <f t="shared" si="2"/>
        <v>8</v>
      </c>
      <c r="C34" s="192">
        <f t="shared" si="3"/>
        <v>45268</v>
      </c>
      <c r="D34" s="36">
        <f>Age_At_Entry+B34-1</f>
        <v>42</v>
      </c>
      <c r="E34" s="182">
        <f>E33*(1+DR)</f>
        <v>716962.9358</v>
      </c>
      <c r="F34" s="36"/>
      <c r="G34" s="36"/>
      <c r="H34" s="36"/>
      <c r="I34" s="36"/>
      <c r="J34" s="36"/>
      <c r="K34" s="36"/>
      <c r="L34" s="36"/>
      <c r="M34" s="36"/>
      <c r="N34" s="36"/>
      <c r="O34" s="36"/>
      <c r="P34" s="36"/>
      <c r="Q34" s="36"/>
      <c r="R34" s="36"/>
      <c r="S34" s="36"/>
      <c r="T34" s="36"/>
      <c r="U34" s="36"/>
      <c r="V34" s="36"/>
      <c r="W34" s="36"/>
      <c r="X34" s="36"/>
      <c r="Y34" s="36"/>
      <c r="Z34" s="36"/>
    </row>
    <row r="35" ht="15.75" customHeight="1">
      <c r="A35" s="36">
        <f t="shared" si="1"/>
        <v>91</v>
      </c>
      <c r="B35" s="36">
        <f t="shared" si="2"/>
        <v>8</v>
      </c>
      <c r="C35" s="192">
        <f t="shared" si="3"/>
        <v>45299</v>
      </c>
      <c r="D35" s="36">
        <f>Age_At_Entry+B35-1</f>
        <v>42</v>
      </c>
      <c r="E35" s="182">
        <f>E34*(1+DR)</f>
        <v>719310.0859</v>
      </c>
      <c r="F35" s="36"/>
      <c r="G35" s="36"/>
      <c r="H35" s="36"/>
      <c r="I35" s="36"/>
      <c r="J35" s="36"/>
      <c r="K35" s="36"/>
      <c r="L35" s="36"/>
      <c r="M35" s="36"/>
      <c r="N35" s="36"/>
      <c r="O35" s="36"/>
      <c r="P35" s="36"/>
      <c r="Q35" s="36"/>
      <c r="R35" s="36"/>
      <c r="S35" s="36"/>
      <c r="T35" s="36"/>
      <c r="U35" s="36"/>
      <c r="V35" s="36"/>
      <c r="W35" s="36"/>
      <c r="X35" s="36"/>
      <c r="Y35" s="36"/>
      <c r="Z35" s="36"/>
    </row>
    <row r="36" ht="15.75" customHeight="1">
      <c r="A36" s="36">
        <f t="shared" si="1"/>
        <v>92</v>
      </c>
      <c r="B36" s="36">
        <f t="shared" si="2"/>
        <v>8</v>
      </c>
      <c r="C36" s="192">
        <f t="shared" si="3"/>
        <v>45330</v>
      </c>
      <c r="D36" s="36">
        <f>Age_At_Entry+B36-1</f>
        <v>42</v>
      </c>
      <c r="E36" s="182">
        <f>E35*(1+DR)</f>
        <v>721664.9199</v>
      </c>
      <c r="F36" s="36"/>
      <c r="G36" s="36"/>
      <c r="H36" s="36"/>
      <c r="I36" s="36"/>
      <c r="J36" s="36"/>
      <c r="K36" s="36"/>
      <c r="L36" s="36"/>
      <c r="M36" s="36"/>
      <c r="N36" s="36"/>
      <c r="O36" s="36"/>
      <c r="P36" s="36"/>
      <c r="Q36" s="36"/>
      <c r="R36" s="36"/>
      <c r="S36" s="36"/>
      <c r="T36" s="36"/>
      <c r="U36" s="36"/>
      <c r="V36" s="36"/>
      <c r="W36" s="36"/>
      <c r="X36" s="36"/>
      <c r="Y36" s="36"/>
      <c r="Z36" s="36"/>
    </row>
    <row r="37" ht="15.75" customHeight="1">
      <c r="A37" s="36">
        <f t="shared" si="1"/>
        <v>93</v>
      </c>
      <c r="B37" s="36">
        <f t="shared" si="2"/>
        <v>8</v>
      </c>
      <c r="C37" s="192">
        <f t="shared" si="3"/>
        <v>45359</v>
      </c>
      <c r="D37" s="36">
        <f>Age_At_Entry+B37-1</f>
        <v>42</v>
      </c>
      <c r="E37" s="182">
        <f>E36*(1+DR)</f>
        <v>724027.4631</v>
      </c>
      <c r="F37" s="36"/>
      <c r="G37" s="36"/>
      <c r="H37" s="36"/>
      <c r="I37" s="36"/>
      <c r="J37" s="36"/>
      <c r="K37" s="36"/>
      <c r="L37" s="36"/>
      <c r="M37" s="36"/>
      <c r="N37" s="36"/>
      <c r="O37" s="36"/>
      <c r="P37" s="36"/>
      <c r="Q37" s="36"/>
      <c r="R37" s="36"/>
      <c r="S37" s="36"/>
      <c r="T37" s="36"/>
      <c r="U37" s="36"/>
      <c r="V37" s="36"/>
      <c r="W37" s="36"/>
      <c r="X37" s="36"/>
      <c r="Y37" s="36"/>
      <c r="Z37" s="36"/>
    </row>
    <row r="38" ht="15.75" customHeight="1">
      <c r="A38" s="36">
        <f t="shared" si="1"/>
        <v>94</v>
      </c>
      <c r="B38" s="36">
        <f t="shared" si="2"/>
        <v>8</v>
      </c>
      <c r="C38" s="192">
        <f t="shared" si="3"/>
        <v>45390</v>
      </c>
      <c r="D38" s="36">
        <f>Age_At_Entry+B38-1</f>
        <v>42</v>
      </c>
      <c r="E38" s="182">
        <f>E37*(1+DR)</f>
        <v>726397.7406</v>
      </c>
      <c r="F38" s="36"/>
      <c r="G38" s="36"/>
      <c r="H38" s="36"/>
      <c r="I38" s="36"/>
      <c r="J38" s="36"/>
      <c r="K38" s="36"/>
      <c r="L38" s="36"/>
      <c r="M38" s="36"/>
      <c r="N38" s="36"/>
      <c r="O38" s="36"/>
      <c r="P38" s="36"/>
      <c r="Q38" s="36"/>
      <c r="R38" s="36"/>
      <c r="S38" s="36"/>
      <c r="T38" s="36"/>
      <c r="U38" s="36"/>
      <c r="V38" s="36"/>
      <c r="W38" s="36"/>
      <c r="X38" s="36"/>
      <c r="Y38" s="36"/>
      <c r="Z38" s="36"/>
    </row>
    <row r="39" ht="15.75" customHeight="1">
      <c r="A39" s="36">
        <f t="shared" si="1"/>
        <v>95</v>
      </c>
      <c r="B39" s="36">
        <f t="shared" si="2"/>
        <v>8</v>
      </c>
      <c r="C39" s="192">
        <f t="shared" si="3"/>
        <v>45420</v>
      </c>
      <c r="D39" s="36">
        <f>Age_At_Entry+B39-1</f>
        <v>42</v>
      </c>
      <c r="E39" s="182">
        <f>E38*(1+DR)</f>
        <v>728775.7777</v>
      </c>
      <c r="F39" s="36"/>
      <c r="G39" s="36"/>
      <c r="H39" s="36"/>
      <c r="I39" s="36"/>
      <c r="J39" s="36"/>
      <c r="K39" s="36"/>
      <c r="L39" s="36"/>
      <c r="M39" s="36"/>
      <c r="N39" s="36"/>
      <c r="O39" s="36"/>
      <c r="P39" s="36"/>
      <c r="Q39" s="36"/>
      <c r="R39" s="36"/>
      <c r="S39" s="36"/>
      <c r="T39" s="36"/>
      <c r="U39" s="36"/>
      <c r="V39" s="36"/>
      <c r="W39" s="36"/>
      <c r="X39" s="36"/>
      <c r="Y39" s="36"/>
      <c r="Z39" s="36"/>
    </row>
    <row r="40" ht="15.75" customHeight="1">
      <c r="A40" s="36">
        <f t="shared" si="1"/>
        <v>96</v>
      </c>
      <c r="B40" s="36">
        <f t="shared" si="2"/>
        <v>8</v>
      </c>
      <c r="C40" s="192">
        <f t="shared" si="3"/>
        <v>45451</v>
      </c>
      <c r="D40" s="36">
        <f>Age_At_Entry+B40-1</f>
        <v>42</v>
      </c>
      <c r="E40" s="182">
        <f>E39*(1+DR)</f>
        <v>731161.6</v>
      </c>
      <c r="F40" s="36"/>
      <c r="G40" s="36"/>
      <c r="H40" s="36"/>
      <c r="I40" s="36"/>
      <c r="J40" s="36"/>
      <c r="K40" s="36"/>
      <c r="L40" s="36"/>
      <c r="M40" s="36"/>
      <c r="N40" s="36"/>
      <c r="O40" s="36"/>
      <c r="P40" s="36"/>
      <c r="Q40" s="36"/>
      <c r="R40" s="36"/>
      <c r="S40" s="36"/>
      <c r="T40" s="36"/>
      <c r="U40" s="36"/>
      <c r="V40" s="36"/>
      <c r="W40" s="36"/>
      <c r="X40" s="36"/>
      <c r="Y40" s="36"/>
      <c r="Z40" s="36"/>
    </row>
    <row r="41" ht="15.75" customHeight="1">
      <c r="A41" s="36">
        <f t="shared" si="1"/>
        <v>97</v>
      </c>
      <c r="B41" s="36">
        <f t="shared" si="2"/>
        <v>9</v>
      </c>
      <c r="C41" s="192">
        <f t="shared" si="3"/>
        <v>45481</v>
      </c>
      <c r="D41" s="36">
        <f>Age_At_Entry+B41-1</f>
        <v>43</v>
      </c>
      <c r="E41" s="182">
        <f>E40*(1+DR)</f>
        <v>733555.2328</v>
      </c>
      <c r="F41" s="36"/>
      <c r="G41" s="36"/>
      <c r="H41" s="36"/>
      <c r="I41" s="36"/>
      <c r="J41" s="36"/>
      <c r="K41" s="36"/>
      <c r="L41" s="36"/>
      <c r="M41" s="36"/>
      <c r="N41" s="36"/>
      <c r="O41" s="36"/>
      <c r="P41" s="36"/>
      <c r="Q41" s="36"/>
      <c r="R41" s="36"/>
      <c r="S41" s="36"/>
      <c r="T41" s="36"/>
      <c r="U41" s="36"/>
      <c r="V41" s="36"/>
      <c r="W41" s="36"/>
      <c r="X41" s="36"/>
      <c r="Y41" s="36"/>
      <c r="Z41" s="36"/>
    </row>
    <row r="42" ht="15.75" customHeight="1">
      <c r="A42" s="36">
        <f t="shared" si="1"/>
        <v>98</v>
      </c>
      <c r="B42" s="36">
        <f t="shared" si="2"/>
        <v>9</v>
      </c>
      <c r="C42" s="192">
        <f t="shared" si="3"/>
        <v>45512</v>
      </c>
      <c r="D42" s="36">
        <f>Age_At_Entry+B42-1</f>
        <v>43</v>
      </c>
      <c r="E42" s="182">
        <f>E41*(1+DR)</f>
        <v>735956.7018</v>
      </c>
      <c r="F42" s="36"/>
      <c r="G42" s="36"/>
      <c r="H42" s="36"/>
      <c r="I42" s="36"/>
      <c r="J42" s="36"/>
      <c r="K42" s="36"/>
      <c r="L42" s="36"/>
      <c r="M42" s="36"/>
      <c r="N42" s="36"/>
      <c r="O42" s="36"/>
      <c r="P42" s="36"/>
      <c r="Q42" s="36"/>
      <c r="R42" s="36"/>
      <c r="S42" s="36"/>
      <c r="T42" s="36"/>
      <c r="U42" s="36"/>
      <c r="V42" s="36"/>
      <c r="W42" s="36"/>
      <c r="X42" s="36"/>
      <c r="Y42" s="36"/>
      <c r="Z42" s="36"/>
    </row>
    <row r="43" ht="15.75" customHeight="1">
      <c r="A43" s="36">
        <f t="shared" si="1"/>
        <v>99</v>
      </c>
      <c r="B43" s="36">
        <f t="shared" si="2"/>
        <v>9</v>
      </c>
      <c r="C43" s="192">
        <f t="shared" si="3"/>
        <v>45543</v>
      </c>
      <c r="D43" s="36">
        <f>Age_At_Entry+B43-1</f>
        <v>43</v>
      </c>
      <c r="E43" s="182">
        <f>E42*(1+DR)</f>
        <v>738366.0325</v>
      </c>
      <c r="F43" s="36"/>
      <c r="G43" s="36"/>
      <c r="H43" s="36"/>
      <c r="I43" s="36"/>
      <c r="J43" s="36"/>
      <c r="K43" s="36"/>
      <c r="L43" s="36"/>
      <c r="M43" s="36"/>
      <c r="N43" s="36"/>
      <c r="O43" s="36"/>
      <c r="P43" s="36"/>
      <c r="Q43" s="36"/>
      <c r="R43" s="36"/>
      <c r="S43" s="36"/>
      <c r="T43" s="36"/>
      <c r="U43" s="36"/>
      <c r="V43" s="36"/>
      <c r="W43" s="36"/>
      <c r="X43" s="36"/>
      <c r="Y43" s="36"/>
      <c r="Z43" s="36"/>
    </row>
    <row r="44" ht="15.75" customHeight="1">
      <c r="A44" s="36">
        <f t="shared" si="1"/>
        <v>100</v>
      </c>
      <c r="B44" s="36">
        <f t="shared" si="2"/>
        <v>9</v>
      </c>
      <c r="C44" s="192">
        <f t="shared" si="3"/>
        <v>45573</v>
      </c>
      <c r="D44" s="36">
        <f>Age_At_Entry+B44-1</f>
        <v>43</v>
      </c>
      <c r="E44" s="182">
        <f>E43*(1+DR)</f>
        <v>740783.2508</v>
      </c>
      <c r="F44" s="36"/>
      <c r="G44" s="36"/>
      <c r="H44" s="36"/>
      <c r="I44" s="36"/>
      <c r="J44" s="36"/>
      <c r="K44" s="36"/>
      <c r="L44" s="36"/>
      <c r="M44" s="36"/>
      <c r="N44" s="36"/>
      <c r="O44" s="36"/>
      <c r="P44" s="36"/>
      <c r="Q44" s="36"/>
      <c r="R44" s="36"/>
      <c r="S44" s="36"/>
      <c r="T44" s="36"/>
      <c r="U44" s="36"/>
      <c r="V44" s="36"/>
      <c r="W44" s="36"/>
      <c r="X44" s="36"/>
      <c r="Y44" s="36"/>
      <c r="Z44" s="36"/>
    </row>
    <row r="45" ht="15.75" customHeight="1">
      <c r="A45" s="36">
        <f t="shared" si="1"/>
        <v>101</v>
      </c>
      <c r="B45" s="36">
        <f t="shared" si="2"/>
        <v>9</v>
      </c>
      <c r="C45" s="192">
        <f t="shared" si="3"/>
        <v>45604</v>
      </c>
      <c r="D45" s="36">
        <f>Age_At_Entry+B45-1</f>
        <v>43</v>
      </c>
      <c r="E45" s="182">
        <f>E44*(1+DR)</f>
        <v>743208.3824</v>
      </c>
      <c r="F45" s="36"/>
      <c r="G45" s="36"/>
      <c r="H45" s="36"/>
      <c r="I45" s="36"/>
      <c r="J45" s="36"/>
      <c r="K45" s="36"/>
      <c r="L45" s="36"/>
      <c r="M45" s="36"/>
      <c r="N45" s="36"/>
      <c r="O45" s="36"/>
      <c r="P45" s="36"/>
      <c r="Q45" s="36"/>
      <c r="R45" s="36"/>
      <c r="S45" s="36"/>
      <c r="T45" s="36"/>
      <c r="U45" s="36"/>
      <c r="V45" s="36"/>
      <c r="W45" s="36"/>
      <c r="X45" s="36"/>
      <c r="Y45" s="36"/>
      <c r="Z45" s="36"/>
    </row>
    <row r="46" ht="15.75" customHeight="1">
      <c r="A46" s="36">
        <f t="shared" si="1"/>
        <v>102</v>
      </c>
      <c r="B46" s="36">
        <f t="shared" si="2"/>
        <v>9</v>
      </c>
      <c r="C46" s="192">
        <f t="shared" si="3"/>
        <v>45634</v>
      </c>
      <c r="D46" s="36">
        <f>Age_At_Entry+B46-1</f>
        <v>43</v>
      </c>
      <c r="E46" s="182">
        <f>E45*(1+DR)</f>
        <v>745641.4532</v>
      </c>
      <c r="F46" s="36"/>
      <c r="G46" s="36"/>
      <c r="H46" s="36"/>
      <c r="I46" s="36"/>
      <c r="J46" s="36"/>
      <c r="K46" s="36"/>
      <c r="L46" s="36"/>
      <c r="M46" s="36"/>
      <c r="N46" s="36"/>
      <c r="O46" s="36"/>
      <c r="P46" s="36"/>
      <c r="Q46" s="36"/>
      <c r="R46" s="36"/>
      <c r="S46" s="36"/>
      <c r="T46" s="36"/>
      <c r="U46" s="36"/>
      <c r="V46" s="36"/>
      <c r="W46" s="36"/>
      <c r="X46" s="36"/>
      <c r="Y46" s="36"/>
      <c r="Z46" s="36"/>
    </row>
    <row r="47" ht="15.75" customHeight="1">
      <c r="A47" s="36">
        <f t="shared" si="1"/>
        <v>103</v>
      </c>
      <c r="B47" s="36">
        <f t="shared" si="2"/>
        <v>9</v>
      </c>
      <c r="C47" s="192">
        <f t="shared" si="3"/>
        <v>45665</v>
      </c>
      <c r="D47" s="36">
        <f>Age_At_Entry+B47-1</f>
        <v>43</v>
      </c>
      <c r="E47" s="182">
        <f>E46*(1+DR)</f>
        <v>748082.4893</v>
      </c>
      <c r="F47" s="36"/>
      <c r="G47" s="36"/>
      <c r="H47" s="36"/>
      <c r="I47" s="36"/>
      <c r="J47" s="36"/>
      <c r="K47" s="36"/>
      <c r="L47" s="36"/>
      <c r="M47" s="36"/>
      <c r="N47" s="36"/>
      <c r="O47" s="36"/>
      <c r="P47" s="36"/>
      <c r="Q47" s="36"/>
      <c r="R47" s="36"/>
      <c r="S47" s="36"/>
      <c r="T47" s="36"/>
      <c r="U47" s="36"/>
      <c r="V47" s="36"/>
      <c r="W47" s="36"/>
      <c r="X47" s="36"/>
      <c r="Y47" s="36"/>
      <c r="Z47" s="36"/>
    </row>
    <row r="48" ht="15.75" customHeight="1">
      <c r="A48" s="36">
        <f t="shared" si="1"/>
        <v>104</v>
      </c>
      <c r="B48" s="36">
        <f t="shared" si="2"/>
        <v>9</v>
      </c>
      <c r="C48" s="192">
        <f t="shared" si="3"/>
        <v>45696</v>
      </c>
      <c r="D48" s="36">
        <f>Age_At_Entry+B48-1</f>
        <v>43</v>
      </c>
      <c r="E48" s="182">
        <f>E47*(1+DR)</f>
        <v>750531.5167</v>
      </c>
      <c r="F48" s="36"/>
      <c r="G48" s="36"/>
      <c r="H48" s="36"/>
      <c r="I48" s="36"/>
      <c r="J48" s="36"/>
      <c r="K48" s="36"/>
      <c r="L48" s="36"/>
      <c r="M48" s="36"/>
      <c r="N48" s="36"/>
      <c r="O48" s="36"/>
      <c r="P48" s="36"/>
      <c r="Q48" s="36"/>
      <c r="R48" s="36"/>
      <c r="S48" s="36"/>
      <c r="T48" s="36"/>
      <c r="U48" s="36"/>
      <c r="V48" s="36"/>
      <c r="W48" s="36"/>
      <c r="X48" s="36"/>
      <c r="Y48" s="36"/>
      <c r="Z48" s="36"/>
    </row>
    <row r="49" ht="15.75" customHeight="1">
      <c r="A49" s="36">
        <f t="shared" si="1"/>
        <v>105</v>
      </c>
      <c r="B49" s="36">
        <f t="shared" si="2"/>
        <v>9</v>
      </c>
      <c r="C49" s="192">
        <f t="shared" si="3"/>
        <v>45724</v>
      </c>
      <c r="D49" s="36">
        <f>Age_At_Entry+B49-1</f>
        <v>43</v>
      </c>
      <c r="E49" s="182">
        <f>E48*(1+DR)</f>
        <v>752988.5616</v>
      </c>
      <c r="F49" s="36"/>
      <c r="G49" s="36"/>
      <c r="H49" s="36"/>
      <c r="I49" s="36"/>
      <c r="J49" s="36"/>
      <c r="K49" s="36"/>
      <c r="L49" s="36"/>
      <c r="M49" s="36"/>
      <c r="N49" s="36"/>
      <c r="O49" s="36"/>
      <c r="P49" s="36"/>
      <c r="Q49" s="36"/>
      <c r="R49" s="36"/>
      <c r="S49" s="36"/>
      <c r="T49" s="36"/>
      <c r="U49" s="36"/>
      <c r="V49" s="36"/>
      <c r="W49" s="36"/>
      <c r="X49" s="36"/>
      <c r="Y49" s="36"/>
      <c r="Z49" s="36"/>
    </row>
    <row r="50" ht="15.7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ht="15.7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ht="15.7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ht="15.7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ht="15.7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ht="15.7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ht="15.7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ht="15.7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ht="15.7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ht="15.7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ht="15.7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ht="15.7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ht="15.7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ht="15.7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ht="15.7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ht="15.7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ht="15.7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ht="15.7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ht="15.7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ht="15.7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ht="15.7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ht="15.7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ht="15.7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ht="15.7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ht="15.7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ht="15.7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ht="15.7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ht="15.7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ht="15.7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ht="15.7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ht="15.7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ht="15.7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ht="15.7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I3:J3"/>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6.88"/>
    <col customWidth="1" min="2" max="2" width="10.63"/>
    <col customWidth="1" min="3" max="3" width="11.38"/>
    <col customWidth="1" min="4" max="4" width="20.13"/>
    <col customWidth="1" min="5" max="5" width="8.88"/>
    <col customWidth="1" min="6" max="6" width="30.13"/>
    <col customWidth="1" min="7" max="26" width="8.88"/>
  </cols>
  <sheetData>
    <row r="1">
      <c r="A1" s="36"/>
      <c r="B1" s="36"/>
      <c r="C1" s="36"/>
      <c r="D1" s="36"/>
      <c r="E1" s="36"/>
      <c r="F1" s="36"/>
      <c r="G1" s="36"/>
      <c r="H1" s="36"/>
      <c r="I1" s="36"/>
      <c r="J1" s="36"/>
      <c r="K1" s="36"/>
      <c r="L1" s="36"/>
      <c r="M1" s="36"/>
      <c r="N1" s="36"/>
      <c r="O1" s="36"/>
      <c r="P1" s="36"/>
      <c r="Q1" s="36"/>
      <c r="R1" s="36"/>
      <c r="S1" s="36"/>
      <c r="T1" s="36"/>
      <c r="U1" s="36"/>
      <c r="V1" s="36"/>
      <c r="W1" s="36"/>
      <c r="X1" s="36"/>
      <c r="Y1" s="36"/>
      <c r="Z1" s="36"/>
    </row>
    <row r="2">
      <c r="A2" s="36" t="s">
        <v>276</v>
      </c>
      <c r="B2" s="192"/>
      <c r="C2" s="192">
        <f>INPUT!C16</f>
        <v>44012</v>
      </c>
      <c r="D2" s="36"/>
      <c r="E2" s="36"/>
      <c r="F2" s="36"/>
      <c r="G2" s="36"/>
      <c r="H2" s="36"/>
      <c r="I2" s="36"/>
      <c r="J2" s="36"/>
      <c r="K2" s="36"/>
      <c r="L2" s="36"/>
      <c r="M2" s="36"/>
      <c r="N2" s="36"/>
      <c r="O2" s="36"/>
      <c r="P2" s="36"/>
      <c r="Q2" s="36"/>
      <c r="R2" s="36"/>
      <c r="S2" s="36"/>
      <c r="T2" s="36"/>
      <c r="U2" s="36"/>
      <c r="V2" s="36"/>
      <c r="W2" s="36"/>
      <c r="X2" s="36"/>
      <c r="Y2" s="36"/>
      <c r="Z2" s="36"/>
    </row>
    <row r="3">
      <c r="A3" s="36" t="s">
        <v>277</v>
      </c>
      <c r="B3" s="192"/>
      <c r="C3" s="192">
        <f>EDATE(C2,Mode)</f>
        <v>44377</v>
      </c>
      <c r="D3" s="36"/>
      <c r="E3" s="36"/>
      <c r="F3" s="36"/>
      <c r="G3" s="36"/>
      <c r="H3" s="36"/>
      <c r="I3" s="36"/>
      <c r="J3" s="36"/>
      <c r="K3" s="36"/>
      <c r="L3" s="36"/>
      <c r="M3" s="36"/>
      <c r="N3" s="36"/>
      <c r="O3" s="36"/>
      <c r="P3" s="36"/>
      <c r="Q3" s="36"/>
      <c r="R3" s="36"/>
      <c r="S3" s="36"/>
      <c r="T3" s="36"/>
      <c r="U3" s="36"/>
      <c r="V3" s="36"/>
      <c r="W3" s="36"/>
      <c r="X3" s="36"/>
      <c r="Y3" s="36"/>
      <c r="Z3" s="36"/>
    </row>
    <row r="4">
      <c r="A4" s="36" t="s">
        <v>278</v>
      </c>
      <c r="B4" s="36"/>
      <c r="C4" s="36">
        <f>PPT*12</f>
        <v>120</v>
      </c>
      <c r="D4" s="36"/>
      <c r="E4" s="36"/>
      <c r="F4" s="36"/>
      <c r="G4" s="36"/>
      <c r="H4" s="36"/>
      <c r="I4" s="36"/>
      <c r="J4" s="36"/>
      <c r="K4" s="36"/>
      <c r="L4" s="36"/>
      <c r="M4" s="36"/>
      <c r="N4" s="36"/>
      <c r="O4" s="36"/>
      <c r="P4" s="36"/>
      <c r="Q4" s="36"/>
      <c r="R4" s="36"/>
      <c r="S4" s="36"/>
      <c r="T4" s="36"/>
      <c r="U4" s="36"/>
      <c r="V4" s="36"/>
      <c r="W4" s="36"/>
      <c r="X4" s="36"/>
      <c r="Y4" s="36"/>
      <c r="Z4" s="36"/>
    </row>
    <row r="5">
      <c r="A5" s="36" t="s">
        <v>279</v>
      </c>
      <c r="B5" s="36"/>
      <c r="C5" s="36">
        <f>DATEDIF(RCD,INPUT!C13,"M")+1</f>
        <v>61</v>
      </c>
      <c r="D5" s="36"/>
      <c r="E5" s="36"/>
      <c r="F5" s="36" t="s">
        <v>280</v>
      </c>
      <c r="G5" s="36"/>
      <c r="H5" s="36"/>
      <c r="I5" s="36"/>
      <c r="J5" s="36"/>
      <c r="K5" s="36"/>
      <c r="L5" s="36"/>
      <c r="M5" s="36"/>
      <c r="N5" s="36"/>
      <c r="O5" s="36"/>
      <c r="P5" s="36"/>
      <c r="Q5" s="36"/>
      <c r="R5" s="36"/>
      <c r="S5" s="36"/>
      <c r="T5" s="36"/>
      <c r="U5" s="36"/>
      <c r="V5" s="36"/>
      <c r="W5" s="36"/>
      <c r="X5" s="36"/>
      <c r="Y5" s="36"/>
      <c r="Z5" s="36"/>
    </row>
    <row r="6">
      <c r="A6" s="36" t="s">
        <v>281</v>
      </c>
      <c r="B6" s="36"/>
      <c r="C6" s="36">
        <f>DATEDIF(RCD,C3,"M")</f>
        <v>60</v>
      </c>
      <c r="D6" s="36"/>
      <c r="E6" s="36"/>
      <c r="F6" s="36"/>
      <c r="G6" s="36"/>
      <c r="H6" s="36"/>
      <c r="I6" s="36"/>
      <c r="J6" s="36"/>
      <c r="K6" s="36"/>
      <c r="L6" s="36"/>
      <c r="M6" s="36"/>
      <c r="N6" s="36"/>
      <c r="O6" s="36"/>
      <c r="P6" s="36"/>
      <c r="Q6" s="36"/>
      <c r="R6" s="36"/>
      <c r="S6" s="36"/>
      <c r="T6" s="36"/>
      <c r="U6" s="36"/>
      <c r="V6" s="36"/>
      <c r="W6" s="36"/>
      <c r="X6" s="36"/>
      <c r="Y6" s="36"/>
      <c r="Z6" s="36"/>
    </row>
    <row r="7">
      <c r="A7" s="36" t="s">
        <v>282</v>
      </c>
      <c r="B7" s="36"/>
      <c r="C7" s="36">
        <f>C5-C6</f>
        <v>1</v>
      </c>
      <c r="D7" s="36"/>
      <c r="E7" s="36"/>
      <c r="F7" s="36" t="s">
        <v>283</v>
      </c>
      <c r="G7" s="36"/>
      <c r="H7" s="36"/>
      <c r="I7" s="36"/>
      <c r="J7" s="36"/>
      <c r="K7" s="36"/>
      <c r="L7" s="36"/>
      <c r="M7" s="36"/>
      <c r="N7" s="36"/>
      <c r="O7" s="36"/>
      <c r="P7" s="36"/>
      <c r="Q7" s="36"/>
      <c r="R7" s="36"/>
      <c r="S7" s="36"/>
      <c r="T7" s="36"/>
      <c r="U7" s="36"/>
      <c r="V7" s="36"/>
      <c r="W7" s="36"/>
      <c r="X7" s="36"/>
      <c r="Y7" s="36"/>
      <c r="Z7" s="36"/>
    </row>
    <row r="8">
      <c r="A8" s="36" t="s">
        <v>63</v>
      </c>
      <c r="B8" s="36"/>
      <c r="C8" s="182">
        <f>C6*Mod_Prem/Mode</f>
        <v>500000</v>
      </c>
      <c r="D8" s="36"/>
      <c r="E8" s="36"/>
      <c r="F8" s="36">
        <f>IF(C6&gt;=60,1,0)</f>
        <v>1</v>
      </c>
      <c r="G8" s="36"/>
      <c r="H8" s="36"/>
      <c r="I8" s="36"/>
      <c r="J8" s="36"/>
      <c r="K8" s="36"/>
      <c r="L8" s="36"/>
      <c r="M8" s="36"/>
      <c r="N8" s="36"/>
      <c r="O8" s="36"/>
      <c r="P8" s="36"/>
      <c r="Q8" s="36"/>
      <c r="R8" s="36"/>
      <c r="S8" s="36"/>
      <c r="T8" s="36"/>
      <c r="U8" s="36"/>
      <c r="V8" s="36"/>
      <c r="W8" s="36"/>
      <c r="X8" s="36"/>
      <c r="Y8" s="36"/>
      <c r="Z8" s="36"/>
    </row>
    <row r="9">
      <c r="A9" s="36" t="s">
        <v>284</v>
      </c>
      <c r="B9" s="36"/>
      <c r="C9" s="192">
        <f>INPUT!C13</f>
        <v>44385</v>
      </c>
      <c r="D9" s="36"/>
      <c r="E9" s="36"/>
      <c r="F9" s="36" t="s">
        <v>285</v>
      </c>
      <c r="G9" s="36"/>
      <c r="H9" s="36"/>
      <c r="I9" s="36"/>
      <c r="J9" s="36"/>
      <c r="K9" s="36"/>
      <c r="L9" s="36"/>
      <c r="M9" s="36"/>
      <c r="N9" s="36"/>
      <c r="O9" s="36"/>
      <c r="P9" s="36"/>
      <c r="Q9" s="36"/>
      <c r="R9" s="36"/>
      <c r="S9" s="36"/>
      <c r="T9" s="36"/>
      <c r="U9" s="36"/>
      <c r="V9" s="36"/>
      <c r="W9" s="36"/>
      <c r="X9" s="36"/>
      <c r="Y9" s="36"/>
      <c r="Z9" s="36"/>
    </row>
    <row r="10">
      <c r="A10" s="36" t="s">
        <v>286</v>
      </c>
      <c r="B10" s="36"/>
      <c r="C10" s="36">
        <f>MIN(INPUT!D11*12,PPT*12-C6)</f>
        <v>60</v>
      </c>
      <c r="D10" s="36"/>
      <c r="E10" s="36"/>
      <c r="F10" s="36">
        <f>IF(F8=1,C11/C4,1)</f>
        <v>1</v>
      </c>
      <c r="G10" s="36"/>
      <c r="H10" s="36"/>
      <c r="I10" s="36"/>
      <c r="J10" s="36"/>
      <c r="K10" s="36"/>
      <c r="L10" s="36"/>
      <c r="M10" s="36"/>
      <c r="N10" s="36"/>
      <c r="O10" s="36"/>
      <c r="P10" s="36"/>
      <c r="Q10" s="36"/>
      <c r="R10" s="36"/>
      <c r="S10" s="36"/>
      <c r="T10" s="36"/>
      <c r="U10" s="36"/>
      <c r="V10" s="36"/>
      <c r="W10" s="36"/>
      <c r="X10" s="36"/>
      <c r="Y10" s="36"/>
      <c r="Z10" s="36"/>
    </row>
    <row r="11">
      <c r="A11" s="36" t="s">
        <v>287</v>
      </c>
      <c r="B11" s="36"/>
      <c r="C11" s="36">
        <f>C6+C10</f>
        <v>120</v>
      </c>
      <c r="D11" s="36"/>
      <c r="E11" s="36"/>
      <c r="F11" s="36"/>
      <c r="G11" s="36"/>
      <c r="H11" s="36"/>
      <c r="I11" s="36"/>
      <c r="J11" s="36"/>
      <c r="K11" s="36"/>
      <c r="L11" s="36"/>
      <c r="M11" s="36"/>
      <c r="N11" s="36"/>
      <c r="O11" s="36"/>
      <c r="P11" s="36"/>
      <c r="Q11" s="36"/>
      <c r="R11" s="36"/>
      <c r="S11" s="36"/>
      <c r="T11" s="36"/>
      <c r="U11" s="36"/>
      <c r="V11" s="36"/>
      <c r="W11" s="36"/>
      <c r="X11" s="36"/>
      <c r="Y11" s="36"/>
      <c r="Z11" s="36"/>
    </row>
    <row r="12">
      <c r="A12" s="36" t="s">
        <v>288</v>
      </c>
      <c r="B12" s="36"/>
      <c r="C12" s="192">
        <f>EDATE(RCD,C11-Mode)</f>
        <v>45838</v>
      </c>
      <c r="D12" s="192">
        <f>IF(Mode=12,EDATE(C12,1),EDATE(C12,0.5))</f>
        <v>45868</v>
      </c>
      <c r="E12" s="36"/>
      <c r="F12" s="36"/>
      <c r="G12" s="36"/>
      <c r="H12" s="36"/>
      <c r="I12" s="36"/>
      <c r="J12" s="36"/>
      <c r="K12" s="36"/>
      <c r="L12" s="36"/>
      <c r="M12" s="36"/>
      <c r="N12" s="36"/>
      <c r="O12" s="36"/>
      <c r="P12" s="36"/>
      <c r="Q12" s="36"/>
      <c r="R12" s="36"/>
      <c r="S12" s="36"/>
      <c r="T12" s="36"/>
      <c r="U12" s="36"/>
      <c r="V12" s="36"/>
      <c r="W12" s="36"/>
      <c r="X12" s="36"/>
      <c r="Y12" s="36"/>
      <c r="Z12" s="36"/>
    </row>
    <row r="13">
      <c r="A13" s="36"/>
      <c r="B13" s="36"/>
      <c r="C13" s="36" t="s">
        <v>289</v>
      </c>
      <c r="D13" s="36" t="s">
        <v>290</v>
      </c>
      <c r="E13" s="36" t="s">
        <v>291</v>
      </c>
      <c r="F13" s="36"/>
      <c r="G13" s="36"/>
      <c r="H13" s="36"/>
      <c r="I13" s="36"/>
      <c r="J13" s="36"/>
      <c r="K13" s="36"/>
      <c r="L13" s="36"/>
      <c r="M13" s="36"/>
      <c r="N13" s="36"/>
      <c r="O13" s="36"/>
      <c r="P13" s="36"/>
      <c r="Q13" s="36"/>
      <c r="R13" s="36"/>
      <c r="S13" s="36"/>
      <c r="T13" s="36"/>
      <c r="U13" s="36"/>
      <c r="V13" s="36"/>
      <c r="W13" s="36"/>
      <c r="X13" s="36"/>
      <c r="Y13" s="36"/>
      <c r="Z13" s="36"/>
    </row>
    <row r="14">
      <c r="A14" s="36"/>
      <c r="B14" s="36"/>
      <c r="C14" s="182">
        <f>IF(AND(F8=1,INPUT!D11=0),0,SUM(C19:C90))</f>
        <v>100000</v>
      </c>
      <c r="D14" s="182">
        <f>IF(AND(F8=1,INPUT!D11=0),0,SUM(D19:D90))</f>
        <v>0</v>
      </c>
      <c r="E14" s="182">
        <f>IF(AND(F8=1,INPUT!D11=0),0,SUM(E19:E90))</f>
        <v>0</v>
      </c>
      <c r="F14" s="36"/>
      <c r="G14" s="36"/>
      <c r="H14" s="36"/>
      <c r="I14" s="36"/>
      <c r="J14" s="36"/>
      <c r="K14" s="36"/>
      <c r="L14" s="36"/>
      <c r="M14" s="36"/>
      <c r="N14" s="36"/>
      <c r="O14" s="36"/>
      <c r="P14" s="36"/>
      <c r="Q14" s="36"/>
      <c r="R14" s="36"/>
      <c r="S14" s="36"/>
      <c r="T14" s="36"/>
      <c r="U14" s="36"/>
      <c r="V14" s="36"/>
      <c r="W14" s="36"/>
      <c r="X14" s="36"/>
      <c r="Y14" s="36"/>
      <c r="Z14" s="36"/>
    </row>
    <row r="15">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c r="A17" s="193" t="s">
        <v>252</v>
      </c>
      <c r="B17" s="36" t="s">
        <v>251</v>
      </c>
      <c r="C17" s="36" t="s">
        <v>253</v>
      </c>
      <c r="D17" s="36" t="s">
        <v>292</v>
      </c>
      <c r="E17" s="36" t="s">
        <v>254</v>
      </c>
      <c r="F17" s="36"/>
      <c r="G17" s="36"/>
      <c r="H17" s="36"/>
      <c r="I17" s="36"/>
      <c r="J17" s="36"/>
      <c r="K17" s="36"/>
      <c r="L17" s="36"/>
      <c r="M17" s="36"/>
      <c r="N17" s="36"/>
      <c r="O17" s="36"/>
      <c r="P17" s="36"/>
      <c r="Q17" s="36"/>
      <c r="R17" s="36"/>
      <c r="S17" s="36"/>
      <c r="T17" s="36"/>
      <c r="U17" s="36"/>
      <c r="V17" s="36"/>
      <c r="W17" s="36"/>
      <c r="X17" s="36"/>
      <c r="Y17" s="36"/>
      <c r="Z17" s="36"/>
    </row>
    <row r="18">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c r="A19" s="192">
        <f>EDATE(C3,1)</f>
        <v>44407</v>
      </c>
      <c r="B19" s="36">
        <f>C6+1</f>
        <v>61</v>
      </c>
      <c r="C19" s="182">
        <f>IF(AND(B19&lt;=$C$5,MOD(B18,Mode)=0),Mod_Prem,0)</f>
        <v>100000</v>
      </c>
      <c r="D19" s="182">
        <f>C19*VLOOKUP(_xlfn.CEILING.MATH(B19/12),'Pre-Calculation'!$H$1:$I$31,2,FALSE)</f>
        <v>0</v>
      </c>
      <c r="E19" s="182">
        <f>IF(B19&lt;=$C$5,VLOOKUP(_xlfn.CEILING.MATH(B19/12),'Pre-Calculation'!$H$1:$L$32,3,FALSE),0)</f>
        <v>0</v>
      </c>
      <c r="F19" s="36"/>
      <c r="G19" s="36"/>
      <c r="H19" s="36"/>
      <c r="I19" s="36"/>
      <c r="J19" s="36"/>
      <c r="K19" s="36"/>
      <c r="L19" s="36"/>
      <c r="M19" s="36"/>
      <c r="N19" s="36"/>
      <c r="O19" s="36"/>
      <c r="P19" s="36"/>
      <c r="Q19" s="36"/>
      <c r="R19" s="36"/>
      <c r="S19" s="36"/>
      <c r="T19" s="36"/>
      <c r="U19" s="36"/>
      <c r="V19" s="36"/>
      <c r="W19" s="36"/>
      <c r="X19" s="36"/>
      <c r="Y19" s="36"/>
      <c r="Z19" s="36"/>
    </row>
    <row r="20">
      <c r="A20" s="192">
        <f t="shared" ref="A20:A89" si="1">EDATE(A19,1)</f>
        <v>44438</v>
      </c>
      <c r="B20" s="36">
        <f t="shared" ref="B20:B90" si="2">B19+1</f>
        <v>62</v>
      </c>
      <c r="C20" s="182">
        <f>IF(AND(B20&lt;=$C$5,MOD(B19,Mode)=0),Mod_Prem,0)</f>
        <v>0</v>
      </c>
      <c r="D20" s="182">
        <f>C20*VLOOKUP(_xlfn.CEILING.MATH(B20/12),'Pre-Calculation'!$H$1:$I$31,2,FALSE)</f>
        <v>0</v>
      </c>
      <c r="E20" s="182">
        <f>IF(B20&lt;=$C$5,VLOOKUP(_xlfn.CEILING.MATH(B20/12),'Pre-Calculation'!$H$1:$L$32,3,FALSE),0)</f>
        <v>0</v>
      </c>
      <c r="F20" s="36"/>
      <c r="G20" s="36"/>
      <c r="H20" s="36"/>
      <c r="I20" s="36"/>
      <c r="J20" s="36"/>
      <c r="K20" s="36"/>
      <c r="L20" s="36"/>
      <c r="M20" s="36"/>
      <c r="N20" s="36"/>
      <c r="O20" s="36"/>
      <c r="P20" s="36"/>
      <c r="Q20" s="36"/>
      <c r="R20" s="36"/>
      <c r="S20" s="36"/>
      <c r="T20" s="36"/>
      <c r="U20" s="36"/>
      <c r="V20" s="36"/>
      <c r="W20" s="36"/>
      <c r="X20" s="36"/>
      <c r="Y20" s="36"/>
      <c r="Z20" s="36"/>
    </row>
    <row r="21" ht="15.75" customHeight="1">
      <c r="A21" s="192">
        <f t="shared" si="1"/>
        <v>44469</v>
      </c>
      <c r="B21" s="36">
        <f t="shared" si="2"/>
        <v>63</v>
      </c>
      <c r="C21" s="182">
        <f>IF(AND(B21&lt;=$C$5,MOD(B20,Mode)=0),Mod_Prem,0)</f>
        <v>0</v>
      </c>
      <c r="D21" s="182">
        <f>C21*VLOOKUP(_xlfn.CEILING.MATH(B21/12),'Pre-Calculation'!$H$1:$I$31,2,FALSE)</f>
        <v>0</v>
      </c>
      <c r="E21" s="182">
        <f>IF(B21&lt;=$C$5,VLOOKUP(_xlfn.CEILING.MATH(B21/12),'Pre-Calculation'!$H$1:$L$32,3,FALSE),0)</f>
        <v>0</v>
      </c>
      <c r="F21" s="36"/>
      <c r="G21" s="36"/>
      <c r="H21" s="36"/>
      <c r="I21" s="36"/>
      <c r="J21" s="36"/>
      <c r="K21" s="36"/>
      <c r="L21" s="36"/>
      <c r="M21" s="36"/>
      <c r="N21" s="36"/>
      <c r="O21" s="36"/>
      <c r="P21" s="36"/>
      <c r="Q21" s="36"/>
      <c r="R21" s="36"/>
      <c r="S21" s="36"/>
      <c r="T21" s="36"/>
      <c r="U21" s="36"/>
      <c r="V21" s="36"/>
      <c r="W21" s="36"/>
      <c r="X21" s="36"/>
      <c r="Y21" s="36"/>
      <c r="Z21" s="36"/>
    </row>
    <row r="22" ht="15.75" customHeight="1">
      <c r="A22" s="192">
        <f t="shared" si="1"/>
        <v>44499</v>
      </c>
      <c r="B22" s="36">
        <f t="shared" si="2"/>
        <v>64</v>
      </c>
      <c r="C22" s="182">
        <f>IF(AND(B22&lt;=$C$5,MOD(B21,Mode)=0),Mod_Prem,0)</f>
        <v>0</v>
      </c>
      <c r="D22" s="182">
        <f>C22*VLOOKUP(_xlfn.CEILING.MATH(B22/12),'Pre-Calculation'!$H$1:$I$31,2,FALSE)</f>
        <v>0</v>
      </c>
      <c r="E22" s="182">
        <f>IF(B22&lt;=$C$5,VLOOKUP(_xlfn.CEILING.MATH(B22/12),'Pre-Calculation'!$H$1:$L$32,3,FALSE),0)</f>
        <v>0</v>
      </c>
      <c r="F22" s="36"/>
      <c r="G22" s="36"/>
      <c r="H22" s="36"/>
      <c r="I22" s="36"/>
      <c r="J22" s="36"/>
      <c r="K22" s="36"/>
      <c r="L22" s="36"/>
      <c r="M22" s="36"/>
      <c r="N22" s="36"/>
      <c r="O22" s="36"/>
      <c r="P22" s="36"/>
      <c r="Q22" s="36"/>
      <c r="R22" s="36"/>
      <c r="S22" s="36"/>
      <c r="T22" s="36"/>
      <c r="U22" s="36"/>
      <c r="V22" s="36"/>
      <c r="W22" s="36"/>
      <c r="X22" s="36"/>
      <c r="Y22" s="36"/>
      <c r="Z22" s="36"/>
    </row>
    <row r="23" ht="15.75" customHeight="1">
      <c r="A23" s="192">
        <f t="shared" si="1"/>
        <v>44530</v>
      </c>
      <c r="B23" s="36">
        <f t="shared" si="2"/>
        <v>65</v>
      </c>
      <c r="C23" s="182">
        <f>IF(AND(B23&lt;=$C$5,MOD(B22,Mode)=0),Mod_Prem,0)</f>
        <v>0</v>
      </c>
      <c r="D23" s="182">
        <f>C23*VLOOKUP(_xlfn.CEILING.MATH(B23/12),'Pre-Calculation'!$H$1:$I$31,2,FALSE)</f>
        <v>0</v>
      </c>
      <c r="E23" s="182">
        <f>IF(B23&lt;=$C$5,VLOOKUP(_xlfn.CEILING.MATH(B23/12),'Pre-Calculation'!$H$1:$L$32,3,FALSE),0)</f>
        <v>0</v>
      </c>
      <c r="F23" s="36"/>
      <c r="G23" s="36"/>
      <c r="H23" s="36"/>
      <c r="I23" s="36"/>
      <c r="J23" s="36"/>
      <c r="K23" s="36"/>
      <c r="L23" s="36"/>
      <c r="M23" s="36"/>
      <c r="N23" s="36"/>
      <c r="O23" s="36"/>
      <c r="P23" s="36"/>
      <c r="Q23" s="36"/>
      <c r="R23" s="36"/>
      <c r="S23" s="36"/>
      <c r="T23" s="36"/>
      <c r="U23" s="36"/>
      <c r="V23" s="36"/>
      <c r="W23" s="36"/>
      <c r="X23" s="36"/>
      <c r="Y23" s="36"/>
      <c r="Z23" s="36"/>
    </row>
    <row r="24" ht="15.75" customHeight="1">
      <c r="A24" s="192">
        <f t="shared" si="1"/>
        <v>44560</v>
      </c>
      <c r="B24" s="36">
        <f t="shared" si="2"/>
        <v>66</v>
      </c>
      <c r="C24" s="182">
        <f>IF(AND(B24&lt;=$C$5,MOD(B23,Mode)=0),Mod_Prem,0)</f>
        <v>0</v>
      </c>
      <c r="D24" s="182">
        <f>C24*VLOOKUP(_xlfn.CEILING.MATH(B24/12),'Pre-Calculation'!$H$1:$I$31,2,FALSE)</f>
        <v>0</v>
      </c>
      <c r="E24" s="182">
        <f>IF(B24&lt;=$C$5,VLOOKUP(_xlfn.CEILING.MATH(B24/12),'Pre-Calculation'!$H$1:$L$32,3,FALSE),0)</f>
        <v>0</v>
      </c>
      <c r="F24" s="36"/>
      <c r="G24" s="36"/>
      <c r="H24" s="36"/>
      <c r="I24" s="36"/>
      <c r="J24" s="36"/>
      <c r="K24" s="36"/>
      <c r="L24" s="36"/>
      <c r="M24" s="36"/>
      <c r="N24" s="36"/>
      <c r="O24" s="36"/>
      <c r="P24" s="36"/>
      <c r="Q24" s="36"/>
      <c r="R24" s="36"/>
      <c r="S24" s="36"/>
      <c r="T24" s="36"/>
      <c r="U24" s="36"/>
      <c r="V24" s="36"/>
      <c r="W24" s="36"/>
      <c r="X24" s="36"/>
      <c r="Y24" s="36"/>
      <c r="Z24" s="36"/>
    </row>
    <row r="25" ht="15.75" customHeight="1">
      <c r="A25" s="192">
        <f t="shared" si="1"/>
        <v>44591</v>
      </c>
      <c r="B25" s="36">
        <f t="shared" si="2"/>
        <v>67</v>
      </c>
      <c r="C25" s="182">
        <f>IF(AND(B25&lt;=$C$5,MOD(B24,Mode)=0),Mod_Prem,0)</f>
        <v>0</v>
      </c>
      <c r="D25" s="182">
        <f>C25*VLOOKUP(_xlfn.CEILING.MATH(B25/12),'Pre-Calculation'!$H$1:$I$31,2,FALSE)</f>
        <v>0</v>
      </c>
      <c r="E25" s="182">
        <f>IF(B25&lt;=$C$5,VLOOKUP(_xlfn.CEILING.MATH(B25/12),'Pre-Calculation'!$H$1:$L$32,3,FALSE),0)</f>
        <v>0</v>
      </c>
      <c r="F25" s="36"/>
      <c r="G25" s="36"/>
      <c r="H25" s="36"/>
      <c r="I25" s="36"/>
      <c r="J25" s="36"/>
      <c r="K25" s="36"/>
      <c r="L25" s="36"/>
      <c r="M25" s="36"/>
      <c r="N25" s="36"/>
      <c r="O25" s="36"/>
      <c r="P25" s="36"/>
      <c r="Q25" s="36"/>
      <c r="R25" s="36"/>
      <c r="S25" s="36"/>
      <c r="T25" s="36"/>
      <c r="U25" s="36"/>
      <c r="V25" s="36"/>
      <c r="W25" s="36"/>
      <c r="X25" s="36"/>
      <c r="Y25" s="36"/>
      <c r="Z25" s="36"/>
    </row>
    <row r="26" ht="15.75" customHeight="1">
      <c r="A26" s="192">
        <f t="shared" si="1"/>
        <v>44620</v>
      </c>
      <c r="B26" s="36">
        <f t="shared" si="2"/>
        <v>68</v>
      </c>
      <c r="C26" s="182">
        <f>IF(AND(B26&lt;=$C$5,MOD(B25,Mode)=0),Mod_Prem,0)</f>
        <v>0</v>
      </c>
      <c r="D26" s="182">
        <f>C26*VLOOKUP(_xlfn.CEILING.MATH(B26/12),'Pre-Calculation'!$H$1:$I$31,2,FALSE)</f>
        <v>0</v>
      </c>
      <c r="E26" s="182">
        <f>IF(B26&lt;=$C$5,VLOOKUP(_xlfn.CEILING.MATH(B26/12),'Pre-Calculation'!$H$1:$L$32,3,FALSE),0)</f>
        <v>0</v>
      </c>
      <c r="F26" s="36"/>
      <c r="G26" s="36"/>
      <c r="H26" s="36"/>
      <c r="I26" s="36"/>
      <c r="J26" s="36"/>
      <c r="K26" s="36"/>
      <c r="L26" s="36"/>
      <c r="M26" s="36"/>
      <c r="N26" s="36"/>
      <c r="O26" s="36"/>
      <c r="P26" s="36"/>
      <c r="Q26" s="36"/>
      <c r="R26" s="36"/>
      <c r="S26" s="36"/>
      <c r="T26" s="36"/>
      <c r="U26" s="36"/>
      <c r="V26" s="36"/>
      <c r="W26" s="36"/>
      <c r="X26" s="36"/>
      <c r="Y26" s="36"/>
      <c r="Z26" s="36"/>
    </row>
    <row r="27" ht="15.75" customHeight="1">
      <c r="A27" s="192">
        <f t="shared" si="1"/>
        <v>44648</v>
      </c>
      <c r="B27" s="36">
        <f t="shared" si="2"/>
        <v>69</v>
      </c>
      <c r="C27" s="182">
        <f>IF(AND(B27&lt;=$C$5,MOD(B26,Mode)=0),Mod_Prem,0)</f>
        <v>0</v>
      </c>
      <c r="D27" s="182">
        <f>C27*VLOOKUP(_xlfn.CEILING.MATH(B27/12),'Pre-Calculation'!$H$1:$I$31,2,FALSE)</f>
        <v>0</v>
      </c>
      <c r="E27" s="182">
        <f>IF(B27&lt;=$C$5,VLOOKUP(_xlfn.CEILING.MATH(B27/12),'Pre-Calculation'!$H$1:$L$32,3,FALSE),0)</f>
        <v>0</v>
      </c>
      <c r="F27" s="36"/>
      <c r="G27" s="36"/>
      <c r="H27" s="36"/>
      <c r="I27" s="36"/>
      <c r="J27" s="36"/>
      <c r="K27" s="36"/>
      <c r="L27" s="36"/>
      <c r="M27" s="36"/>
      <c r="N27" s="36"/>
      <c r="O27" s="36"/>
      <c r="P27" s="36"/>
      <c r="Q27" s="36"/>
      <c r="R27" s="36"/>
      <c r="S27" s="36"/>
      <c r="T27" s="36"/>
      <c r="U27" s="36"/>
      <c r="V27" s="36"/>
      <c r="W27" s="36"/>
      <c r="X27" s="36"/>
      <c r="Y27" s="36"/>
      <c r="Z27" s="36"/>
    </row>
    <row r="28" ht="15.75" customHeight="1">
      <c r="A28" s="192">
        <f t="shared" si="1"/>
        <v>44679</v>
      </c>
      <c r="B28" s="36">
        <f t="shared" si="2"/>
        <v>70</v>
      </c>
      <c r="C28" s="182">
        <f>IF(AND(B28&lt;=$C$5,MOD(B27,Mode)=0),Mod_Prem,0)</f>
        <v>0</v>
      </c>
      <c r="D28" s="182">
        <f>C28*VLOOKUP(_xlfn.CEILING.MATH(B28/12),'Pre-Calculation'!$H$1:$I$31,2,FALSE)</f>
        <v>0</v>
      </c>
      <c r="E28" s="182">
        <f>IF(B28&lt;=$C$5,VLOOKUP(_xlfn.CEILING.MATH(B28/12),'Pre-Calculation'!$H$1:$L$32,3,FALSE),0)</f>
        <v>0</v>
      </c>
      <c r="F28" s="36"/>
      <c r="G28" s="36"/>
      <c r="H28" s="36"/>
      <c r="I28" s="36"/>
      <c r="J28" s="36"/>
      <c r="K28" s="36"/>
      <c r="L28" s="36"/>
      <c r="M28" s="36"/>
      <c r="N28" s="36"/>
      <c r="O28" s="36"/>
      <c r="P28" s="36"/>
      <c r="Q28" s="36"/>
      <c r="R28" s="36"/>
      <c r="S28" s="36"/>
      <c r="T28" s="36"/>
      <c r="U28" s="36"/>
      <c r="V28" s="36"/>
      <c r="W28" s="36"/>
      <c r="X28" s="36"/>
      <c r="Y28" s="36"/>
      <c r="Z28" s="36"/>
    </row>
    <row r="29" ht="15.75" customHeight="1">
      <c r="A29" s="192">
        <f t="shared" si="1"/>
        <v>44709</v>
      </c>
      <c r="B29" s="36">
        <f t="shared" si="2"/>
        <v>71</v>
      </c>
      <c r="C29" s="182">
        <f>IF(AND(B29&lt;=$C$5,MOD(B28,Mode)=0),Mod_Prem,0)</f>
        <v>0</v>
      </c>
      <c r="D29" s="182">
        <f>C29*VLOOKUP(_xlfn.CEILING.MATH(B29/12),'Pre-Calculation'!$H$1:$I$31,2,FALSE)</f>
        <v>0</v>
      </c>
      <c r="E29" s="182">
        <f>IF(B29&lt;=$C$5,VLOOKUP(_xlfn.CEILING.MATH(B29/12),'Pre-Calculation'!$H$1:$L$32,3,FALSE),0)</f>
        <v>0</v>
      </c>
      <c r="F29" s="36"/>
      <c r="G29" s="36"/>
      <c r="H29" s="36"/>
      <c r="I29" s="36"/>
      <c r="J29" s="36"/>
      <c r="K29" s="36"/>
      <c r="L29" s="36"/>
      <c r="M29" s="36"/>
      <c r="N29" s="36"/>
      <c r="O29" s="36"/>
      <c r="P29" s="36"/>
      <c r="Q29" s="36"/>
      <c r="R29" s="36"/>
      <c r="S29" s="36"/>
      <c r="T29" s="36"/>
      <c r="U29" s="36"/>
      <c r="V29" s="36"/>
      <c r="W29" s="36"/>
      <c r="X29" s="36"/>
      <c r="Y29" s="36"/>
      <c r="Z29" s="36"/>
    </row>
    <row r="30" ht="15.75" customHeight="1">
      <c r="A30" s="192">
        <f t="shared" si="1"/>
        <v>44740</v>
      </c>
      <c r="B30" s="36">
        <f t="shared" si="2"/>
        <v>72</v>
      </c>
      <c r="C30" s="182">
        <f>IF(AND(B30&lt;=$C$5,MOD(B29,Mode)=0),Mod_Prem,0)</f>
        <v>0</v>
      </c>
      <c r="D30" s="182">
        <f>C30*VLOOKUP(_xlfn.CEILING.MATH(B30/12),'Pre-Calculation'!$H$1:$I$31,2,FALSE)</f>
        <v>0</v>
      </c>
      <c r="E30" s="182">
        <f>IF(B30&lt;=$C$5,VLOOKUP(_xlfn.CEILING.MATH(B30/12),'Pre-Calculation'!$H$1:$L$32,3,FALSE),0)</f>
        <v>0</v>
      </c>
      <c r="F30" s="36"/>
      <c r="G30" s="36"/>
      <c r="H30" s="36"/>
      <c r="I30" s="36"/>
      <c r="J30" s="36"/>
      <c r="K30" s="36"/>
      <c r="L30" s="36"/>
      <c r="M30" s="36"/>
      <c r="N30" s="36"/>
      <c r="O30" s="36"/>
      <c r="P30" s="36"/>
      <c r="Q30" s="36"/>
      <c r="R30" s="36"/>
      <c r="S30" s="36"/>
      <c r="T30" s="36"/>
      <c r="U30" s="36"/>
      <c r="V30" s="36"/>
      <c r="W30" s="36"/>
      <c r="X30" s="36"/>
      <c r="Y30" s="36"/>
      <c r="Z30" s="36"/>
    </row>
    <row r="31" ht="15.75" customHeight="1">
      <c r="A31" s="192">
        <f t="shared" si="1"/>
        <v>44770</v>
      </c>
      <c r="B31" s="36">
        <f t="shared" si="2"/>
        <v>73</v>
      </c>
      <c r="C31" s="182">
        <f>IF(AND(B31&lt;=$C$5,MOD(B30,Mode)=0),Mod_Prem,0)</f>
        <v>0</v>
      </c>
      <c r="D31" s="182">
        <f>C31*VLOOKUP(_xlfn.CEILING.MATH(B31/12),'Pre-Calculation'!$H$1:$I$31,2,FALSE)</f>
        <v>0</v>
      </c>
      <c r="E31" s="182">
        <f>IF(B31&lt;=$C$5,VLOOKUP(_xlfn.CEILING.MATH(B31/12),'Pre-Calculation'!$H$1:$L$32,3,FALSE),0)</f>
        <v>0</v>
      </c>
      <c r="F31" s="36"/>
      <c r="G31" s="36"/>
      <c r="H31" s="36"/>
      <c r="I31" s="36"/>
      <c r="J31" s="36"/>
      <c r="K31" s="36"/>
      <c r="L31" s="36"/>
      <c r="M31" s="36"/>
      <c r="N31" s="36"/>
      <c r="O31" s="36"/>
      <c r="P31" s="36"/>
      <c r="Q31" s="36"/>
      <c r="R31" s="36"/>
      <c r="S31" s="36"/>
      <c r="T31" s="36"/>
      <c r="U31" s="36"/>
      <c r="V31" s="36"/>
      <c r="W31" s="36"/>
      <c r="X31" s="36"/>
      <c r="Y31" s="36"/>
      <c r="Z31" s="36"/>
    </row>
    <row r="32" ht="15.75" customHeight="1">
      <c r="A32" s="192">
        <f t="shared" si="1"/>
        <v>44801</v>
      </c>
      <c r="B32" s="36">
        <f t="shared" si="2"/>
        <v>74</v>
      </c>
      <c r="C32" s="182">
        <f>IF(AND(B32&lt;=$C$5,MOD(B31,Mode)=0),Mod_Prem,0)</f>
        <v>0</v>
      </c>
      <c r="D32" s="182">
        <f>C32*VLOOKUP(_xlfn.CEILING.MATH(B32/12),'Pre-Calculation'!$H$1:$I$31,2,FALSE)</f>
        <v>0</v>
      </c>
      <c r="E32" s="182">
        <f>IF(B32&lt;=$C$5,VLOOKUP(_xlfn.CEILING.MATH(B32/12),'Pre-Calculation'!$H$1:$L$32,3,FALSE),0)</f>
        <v>0</v>
      </c>
      <c r="F32" s="36"/>
      <c r="G32" s="36"/>
      <c r="H32" s="36"/>
      <c r="I32" s="36"/>
      <c r="J32" s="36"/>
      <c r="K32" s="36"/>
      <c r="L32" s="36"/>
      <c r="M32" s="36"/>
      <c r="N32" s="36"/>
      <c r="O32" s="36"/>
      <c r="P32" s="36"/>
      <c r="Q32" s="36"/>
      <c r="R32" s="36"/>
      <c r="S32" s="36"/>
      <c r="T32" s="36"/>
      <c r="U32" s="36"/>
      <c r="V32" s="36"/>
      <c r="W32" s="36"/>
      <c r="X32" s="36"/>
      <c r="Y32" s="36"/>
      <c r="Z32" s="36"/>
    </row>
    <row r="33" ht="15.75" customHeight="1">
      <c r="A33" s="192">
        <f t="shared" si="1"/>
        <v>44832</v>
      </c>
      <c r="B33" s="36">
        <f t="shared" si="2"/>
        <v>75</v>
      </c>
      <c r="C33" s="182">
        <f>IF(AND(B33&lt;=$C$5,MOD(B32,Mode)=0),Mod_Prem,0)</f>
        <v>0</v>
      </c>
      <c r="D33" s="182">
        <f>C33*VLOOKUP(_xlfn.CEILING.MATH(B33/12),'Pre-Calculation'!$H$1:$I$31,2,FALSE)</f>
        <v>0</v>
      </c>
      <c r="E33" s="182">
        <f>IF(B33&lt;=$C$5,VLOOKUP(_xlfn.CEILING.MATH(B33/12),'Pre-Calculation'!$H$1:$L$32,3,FALSE),0)</f>
        <v>0</v>
      </c>
      <c r="F33" s="36"/>
      <c r="G33" s="36"/>
      <c r="H33" s="36"/>
      <c r="I33" s="36"/>
      <c r="J33" s="36"/>
      <c r="K33" s="36"/>
      <c r="L33" s="36"/>
      <c r="M33" s="36"/>
      <c r="N33" s="36"/>
      <c r="O33" s="36"/>
      <c r="P33" s="36"/>
      <c r="Q33" s="36"/>
      <c r="R33" s="36"/>
      <c r="S33" s="36"/>
      <c r="T33" s="36"/>
      <c r="U33" s="36"/>
      <c r="V33" s="36"/>
      <c r="W33" s="36"/>
      <c r="X33" s="36"/>
      <c r="Y33" s="36"/>
      <c r="Z33" s="36"/>
    </row>
    <row r="34" ht="15.75" customHeight="1">
      <c r="A34" s="192">
        <f t="shared" si="1"/>
        <v>44862</v>
      </c>
      <c r="B34" s="36">
        <f t="shared" si="2"/>
        <v>76</v>
      </c>
      <c r="C34" s="182">
        <f>IF(AND(B34&lt;=$C$5,MOD(B33,Mode)=0),Mod_Prem,0)</f>
        <v>0</v>
      </c>
      <c r="D34" s="182">
        <f>C34*VLOOKUP(_xlfn.CEILING.MATH(B34/12),'Pre-Calculation'!$H$1:$I$31,2,FALSE)</f>
        <v>0</v>
      </c>
      <c r="E34" s="182">
        <f>IF(B34&lt;=$C$5,VLOOKUP(_xlfn.CEILING.MATH(B34/12),'Pre-Calculation'!$H$1:$L$32,3,FALSE),0)</f>
        <v>0</v>
      </c>
      <c r="F34" s="36"/>
      <c r="G34" s="36"/>
      <c r="H34" s="36"/>
      <c r="I34" s="36"/>
      <c r="J34" s="36"/>
      <c r="K34" s="36"/>
      <c r="L34" s="36"/>
      <c r="M34" s="36"/>
      <c r="N34" s="36"/>
      <c r="O34" s="36"/>
      <c r="P34" s="36"/>
      <c r="Q34" s="36"/>
      <c r="R34" s="36"/>
      <c r="S34" s="36"/>
      <c r="T34" s="36"/>
      <c r="U34" s="36"/>
      <c r="V34" s="36"/>
      <c r="W34" s="36"/>
      <c r="X34" s="36"/>
      <c r="Y34" s="36"/>
      <c r="Z34" s="36"/>
    </row>
    <row r="35" ht="15.75" customHeight="1">
      <c r="A35" s="192">
        <f t="shared" si="1"/>
        <v>44893</v>
      </c>
      <c r="B35" s="36">
        <f t="shared" si="2"/>
        <v>77</v>
      </c>
      <c r="C35" s="182">
        <f>IF(AND(B35&lt;=$C$5,MOD(B34,Mode)=0),Mod_Prem,0)</f>
        <v>0</v>
      </c>
      <c r="D35" s="182">
        <f>C35*VLOOKUP(_xlfn.CEILING.MATH(B35/12),'Pre-Calculation'!$H$1:$I$31,2,FALSE)</f>
        <v>0</v>
      </c>
      <c r="E35" s="182">
        <f>IF(B35&lt;=$C$5,VLOOKUP(_xlfn.CEILING.MATH(B35/12),'Pre-Calculation'!$H$1:$L$32,3,FALSE),0)</f>
        <v>0</v>
      </c>
      <c r="F35" s="36"/>
      <c r="G35" s="36"/>
      <c r="H35" s="36"/>
      <c r="I35" s="36"/>
      <c r="J35" s="36"/>
      <c r="K35" s="36"/>
      <c r="L35" s="36"/>
      <c r="M35" s="36"/>
      <c r="N35" s="36"/>
      <c r="O35" s="36"/>
      <c r="P35" s="36"/>
      <c r="Q35" s="36"/>
      <c r="R35" s="36"/>
      <c r="S35" s="36"/>
      <c r="T35" s="36"/>
      <c r="U35" s="36"/>
      <c r="V35" s="36"/>
      <c r="W35" s="36"/>
      <c r="X35" s="36"/>
      <c r="Y35" s="36"/>
      <c r="Z35" s="36"/>
    </row>
    <row r="36" ht="15.75" customHeight="1">
      <c r="A36" s="192">
        <f t="shared" si="1"/>
        <v>44923</v>
      </c>
      <c r="B36" s="36">
        <f t="shared" si="2"/>
        <v>78</v>
      </c>
      <c r="C36" s="182">
        <f>IF(AND(B36&lt;=$C$5,MOD(B35,Mode)=0),Mod_Prem,0)</f>
        <v>0</v>
      </c>
      <c r="D36" s="182">
        <f>C36*VLOOKUP(_xlfn.CEILING.MATH(B36/12),'Pre-Calculation'!$H$1:$I$31,2,FALSE)</f>
        <v>0</v>
      </c>
      <c r="E36" s="182">
        <f>IF(B36&lt;=$C$5,VLOOKUP(_xlfn.CEILING.MATH(B36/12),'Pre-Calculation'!$H$1:$L$32,3,FALSE),0)</f>
        <v>0</v>
      </c>
      <c r="F36" s="36"/>
      <c r="G36" s="36"/>
      <c r="H36" s="36"/>
      <c r="I36" s="36"/>
      <c r="J36" s="36"/>
      <c r="K36" s="36"/>
      <c r="L36" s="36"/>
      <c r="M36" s="36"/>
      <c r="N36" s="36"/>
      <c r="O36" s="36"/>
      <c r="P36" s="36"/>
      <c r="Q36" s="36"/>
      <c r="R36" s="36"/>
      <c r="S36" s="36"/>
      <c r="T36" s="36"/>
      <c r="U36" s="36"/>
      <c r="V36" s="36"/>
      <c r="W36" s="36"/>
      <c r="X36" s="36"/>
      <c r="Y36" s="36"/>
      <c r="Z36" s="36"/>
    </row>
    <row r="37" ht="15.75" customHeight="1">
      <c r="A37" s="192">
        <f t="shared" si="1"/>
        <v>44954</v>
      </c>
      <c r="B37" s="36">
        <f t="shared" si="2"/>
        <v>79</v>
      </c>
      <c r="C37" s="182">
        <f>IF(AND(B37&lt;=$C$5,MOD(B36,Mode)=0),Mod_Prem,0)</f>
        <v>0</v>
      </c>
      <c r="D37" s="182">
        <f>C37*VLOOKUP(_xlfn.CEILING.MATH(B37/12),'Pre-Calculation'!$H$1:$I$31,2,FALSE)</f>
        <v>0</v>
      </c>
      <c r="E37" s="182">
        <f>IF(B37&lt;=$C$5,VLOOKUP(_xlfn.CEILING.MATH(B37/12),'Pre-Calculation'!$H$1:$L$32,3,FALSE),0)</f>
        <v>0</v>
      </c>
      <c r="F37" s="36"/>
      <c r="G37" s="36"/>
      <c r="H37" s="36"/>
      <c r="I37" s="36"/>
      <c r="J37" s="36"/>
      <c r="K37" s="36"/>
      <c r="L37" s="36"/>
      <c r="M37" s="36"/>
      <c r="N37" s="36"/>
      <c r="O37" s="36"/>
      <c r="P37" s="36"/>
      <c r="Q37" s="36"/>
      <c r="R37" s="36"/>
      <c r="S37" s="36"/>
      <c r="T37" s="36"/>
      <c r="U37" s="36"/>
      <c r="V37" s="36"/>
      <c r="W37" s="36"/>
      <c r="X37" s="36"/>
      <c r="Y37" s="36"/>
      <c r="Z37" s="36"/>
    </row>
    <row r="38" ht="15.75" customHeight="1">
      <c r="A38" s="192">
        <f t="shared" si="1"/>
        <v>44985</v>
      </c>
      <c r="B38" s="36">
        <f t="shared" si="2"/>
        <v>80</v>
      </c>
      <c r="C38" s="182">
        <f>IF(AND(B38&lt;=$C$5,MOD(B37,Mode)=0),Mod_Prem,0)</f>
        <v>0</v>
      </c>
      <c r="D38" s="182">
        <f>C38*VLOOKUP(_xlfn.CEILING.MATH(B38/12),'Pre-Calculation'!$H$1:$I$31,2,FALSE)</f>
        <v>0</v>
      </c>
      <c r="E38" s="182">
        <f>IF(B38&lt;=$C$5,VLOOKUP(_xlfn.CEILING.MATH(B38/12),'Pre-Calculation'!$H$1:$L$32,3,FALSE),0)</f>
        <v>0</v>
      </c>
      <c r="F38" s="36"/>
      <c r="G38" s="36"/>
      <c r="H38" s="36"/>
      <c r="I38" s="36"/>
      <c r="J38" s="36"/>
      <c r="K38" s="36"/>
      <c r="L38" s="36"/>
      <c r="M38" s="36"/>
      <c r="N38" s="36"/>
      <c r="O38" s="36"/>
      <c r="P38" s="36"/>
      <c r="Q38" s="36"/>
      <c r="R38" s="36"/>
      <c r="S38" s="36"/>
      <c r="T38" s="36"/>
      <c r="U38" s="36"/>
      <c r="V38" s="36"/>
      <c r="W38" s="36"/>
      <c r="X38" s="36"/>
      <c r="Y38" s="36"/>
      <c r="Z38" s="36"/>
    </row>
    <row r="39" ht="15.75" customHeight="1">
      <c r="A39" s="192">
        <f t="shared" si="1"/>
        <v>45013</v>
      </c>
      <c r="B39" s="36">
        <f t="shared" si="2"/>
        <v>81</v>
      </c>
      <c r="C39" s="182">
        <f>IF(AND(B39&lt;=$C$5,MOD(B38,Mode)=0),Mod_Prem,0)</f>
        <v>0</v>
      </c>
      <c r="D39" s="182">
        <f>C39*VLOOKUP(_xlfn.CEILING.MATH(B39/12),'Pre-Calculation'!$H$1:$I$31,2,FALSE)</f>
        <v>0</v>
      </c>
      <c r="E39" s="182">
        <f>IF(B39&lt;=$C$5,VLOOKUP(_xlfn.CEILING.MATH(B39/12),'Pre-Calculation'!$H$1:$L$32,3,FALSE),0)</f>
        <v>0</v>
      </c>
      <c r="F39" s="36"/>
      <c r="G39" s="36"/>
      <c r="H39" s="36"/>
      <c r="I39" s="36"/>
      <c r="J39" s="36"/>
      <c r="K39" s="36"/>
      <c r="L39" s="36"/>
      <c r="M39" s="36"/>
      <c r="N39" s="36"/>
      <c r="O39" s="36"/>
      <c r="P39" s="36"/>
      <c r="Q39" s="36"/>
      <c r="R39" s="36"/>
      <c r="S39" s="36"/>
      <c r="T39" s="36"/>
      <c r="U39" s="36"/>
      <c r="V39" s="36"/>
      <c r="W39" s="36"/>
      <c r="X39" s="36"/>
      <c r="Y39" s="36"/>
      <c r="Z39" s="36"/>
    </row>
    <row r="40" ht="15.75" customHeight="1">
      <c r="A40" s="192">
        <f t="shared" si="1"/>
        <v>45044</v>
      </c>
      <c r="B40" s="36">
        <f t="shared" si="2"/>
        <v>82</v>
      </c>
      <c r="C40" s="182">
        <f>IF(AND(B40&lt;=$C$5,MOD(B39,Mode)=0),Mod_Prem,0)</f>
        <v>0</v>
      </c>
      <c r="D40" s="182">
        <f>C40*VLOOKUP(_xlfn.CEILING.MATH(B40/12),'Pre-Calculation'!$H$1:$I$31,2,FALSE)</f>
        <v>0</v>
      </c>
      <c r="E40" s="182">
        <f>IF(B40&lt;=$C$5,VLOOKUP(_xlfn.CEILING.MATH(B40/12),'Pre-Calculation'!$H$1:$L$32,3,FALSE),0)</f>
        <v>0</v>
      </c>
      <c r="F40" s="36"/>
      <c r="G40" s="36"/>
      <c r="H40" s="36"/>
      <c r="I40" s="36"/>
      <c r="J40" s="36"/>
      <c r="K40" s="36"/>
      <c r="L40" s="36"/>
      <c r="M40" s="36"/>
      <c r="N40" s="36"/>
      <c r="O40" s="36"/>
      <c r="P40" s="36"/>
      <c r="Q40" s="36"/>
      <c r="R40" s="36"/>
      <c r="S40" s="36"/>
      <c r="T40" s="36"/>
      <c r="U40" s="36"/>
      <c r="V40" s="36"/>
      <c r="W40" s="36"/>
      <c r="X40" s="36"/>
      <c r="Y40" s="36"/>
      <c r="Z40" s="36"/>
    </row>
    <row r="41" ht="15.75" customHeight="1">
      <c r="A41" s="192">
        <f t="shared" si="1"/>
        <v>45074</v>
      </c>
      <c r="B41" s="36">
        <f t="shared" si="2"/>
        <v>83</v>
      </c>
      <c r="C41" s="182">
        <f>IF(AND(B41&lt;=$C$5,MOD(B40,Mode)=0),Mod_Prem,0)</f>
        <v>0</v>
      </c>
      <c r="D41" s="182">
        <f>C41*VLOOKUP(_xlfn.CEILING.MATH(B41/12),'Pre-Calculation'!$H$1:$I$31,2,FALSE)</f>
        <v>0</v>
      </c>
      <c r="E41" s="182">
        <f>IF(B41&lt;=$C$5,VLOOKUP(_xlfn.CEILING.MATH(B41/12),'Pre-Calculation'!$H$1:$L$32,3,FALSE),0)</f>
        <v>0</v>
      </c>
      <c r="F41" s="36"/>
      <c r="G41" s="36"/>
      <c r="H41" s="36"/>
      <c r="I41" s="36"/>
      <c r="J41" s="36"/>
      <c r="K41" s="36"/>
      <c r="L41" s="36"/>
      <c r="M41" s="36"/>
      <c r="N41" s="36"/>
      <c r="O41" s="36"/>
      <c r="P41" s="36"/>
      <c r="Q41" s="36"/>
      <c r="R41" s="36"/>
      <c r="S41" s="36"/>
      <c r="T41" s="36"/>
      <c r="U41" s="36"/>
      <c r="V41" s="36"/>
      <c r="W41" s="36"/>
      <c r="X41" s="36"/>
      <c r="Y41" s="36"/>
      <c r="Z41" s="36"/>
    </row>
    <row r="42" ht="15.75" customHeight="1">
      <c r="A42" s="192">
        <f t="shared" si="1"/>
        <v>45105</v>
      </c>
      <c r="B42" s="36">
        <f t="shared" si="2"/>
        <v>84</v>
      </c>
      <c r="C42" s="182">
        <f>IF(AND(B42&lt;=$C$5,MOD(B41,Mode)=0),Mod_Prem,0)</f>
        <v>0</v>
      </c>
      <c r="D42" s="182">
        <f>C42*VLOOKUP(_xlfn.CEILING.MATH(B42/12),'Pre-Calculation'!$H$1:$I$31,2,FALSE)</f>
        <v>0</v>
      </c>
      <c r="E42" s="182">
        <f>IF(B42&lt;=$C$5,VLOOKUP(_xlfn.CEILING.MATH(B42/12),'Pre-Calculation'!$H$1:$L$32,3,FALSE),0)</f>
        <v>0</v>
      </c>
      <c r="F42" s="36"/>
      <c r="G42" s="36"/>
      <c r="H42" s="36"/>
      <c r="I42" s="36"/>
      <c r="J42" s="36"/>
      <c r="K42" s="36"/>
      <c r="L42" s="36"/>
      <c r="M42" s="36"/>
      <c r="N42" s="36"/>
      <c r="O42" s="36"/>
      <c r="P42" s="36"/>
      <c r="Q42" s="36"/>
      <c r="R42" s="36"/>
      <c r="S42" s="36"/>
      <c r="T42" s="36"/>
      <c r="U42" s="36"/>
      <c r="V42" s="36"/>
      <c r="W42" s="36"/>
      <c r="X42" s="36"/>
      <c r="Y42" s="36"/>
      <c r="Z42" s="36"/>
    </row>
    <row r="43" ht="15.75" customHeight="1">
      <c r="A43" s="192">
        <f t="shared" si="1"/>
        <v>45135</v>
      </c>
      <c r="B43" s="36">
        <f t="shared" si="2"/>
        <v>85</v>
      </c>
      <c r="C43" s="182">
        <f>IF(AND(B43&lt;=$C$5,MOD(B42,Mode)=0),Mod_Prem,0)</f>
        <v>0</v>
      </c>
      <c r="D43" s="182">
        <f>C43*VLOOKUP(_xlfn.CEILING.MATH(B43/12),'Pre-Calculation'!$H$1:$I$31,2,FALSE)</f>
        <v>0</v>
      </c>
      <c r="E43" s="182">
        <f>IF(B43&lt;=$C$5,VLOOKUP(_xlfn.CEILING.MATH(B43/12),'Pre-Calculation'!$H$1:$L$32,3,FALSE),0)</f>
        <v>0</v>
      </c>
      <c r="F43" s="36"/>
      <c r="G43" s="36"/>
      <c r="H43" s="36"/>
      <c r="I43" s="36"/>
      <c r="J43" s="36"/>
      <c r="K43" s="36"/>
      <c r="L43" s="36"/>
      <c r="M43" s="36"/>
      <c r="N43" s="36"/>
      <c r="O43" s="36"/>
      <c r="P43" s="36"/>
      <c r="Q43" s="36"/>
      <c r="R43" s="36"/>
      <c r="S43" s="36"/>
      <c r="T43" s="36"/>
      <c r="U43" s="36"/>
      <c r="V43" s="36"/>
      <c r="W43" s="36"/>
      <c r="X43" s="36"/>
      <c r="Y43" s="36"/>
      <c r="Z43" s="36"/>
    </row>
    <row r="44" ht="15.75" customHeight="1">
      <c r="A44" s="192">
        <f t="shared" si="1"/>
        <v>45166</v>
      </c>
      <c r="B44" s="36">
        <f t="shared" si="2"/>
        <v>86</v>
      </c>
      <c r="C44" s="182">
        <f>IF(AND(B44&lt;=$C$5,MOD(B43,Mode)=0),Mod_Prem,0)</f>
        <v>0</v>
      </c>
      <c r="D44" s="182">
        <f>C44*VLOOKUP(_xlfn.CEILING.MATH(B44/12),'Pre-Calculation'!$H$1:$I$31,2,FALSE)</f>
        <v>0</v>
      </c>
      <c r="E44" s="182">
        <f>IF(B44&lt;=$C$5,VLOOKUP(_xlfn.CEILING.MATH(B44/12),'Pre-Calculation'!$H$1:$L$32,3,FALSE),0)</f>
        <v>0</v>
      </c>
      <c r="F44" s="36"/>
      <c r="G44" s="36"/>
      <c r="H44" s="36"/>
      <c r="I44" s="36"/>
      <c r="J44" s="36"/>
      <c r="K44" s="36"/>
      <c r="L44" s="36"/>
      <c r="M44" s="36"/>
      <c r="N44" s="36"/>
      <c r="O44" s="36"/>
      <c r="P44" s="36"/>
      <c r="Q44" s="36"/>
      <c r="R44" s="36"/>
      <c r="S44" s="36"/>
      <c r="T44" s="36"/>
      <c r="U44" s="36"/>
      <c r="V44" s="36"/>
      <c r="W44" s="36"/>
      <c r="X44" s="36"/>
      <c r="Y44" s="36"/>
      <c r="Z44" s="36"/>
    </row>
    <row r="45" ht="15.75" customHeight="1">
      <c r="A45" s="192">
        <f t="shared" si="1"/>
        <v>45197</v>
      </c>
      <c r="B45" s="36">
        <f t="shared" si="2"/>
        <v>87</v>
      </c>
      <c r="C45" s="182">
        <f>IF(AND(B45&lt;=$C$5,MOD(B44,Mode)=0),Mod_Prem,0)</f>
        <v>0</v>
      </c>
      <c r="D45" s="182">
        <f>C45*VLOOKUP(_xlfn.CEILING.MATH(B45/12),'Pre-Calculation'!$H$1:$I$31,2,FALSE)</f>
        <v>0</v>
      </c>
      <c r="E45" s="182">
        <f>IF(B45&lt;=$C$5,VLOOKUP(_xlfn.CEILING.MATH(B45/12),'Pre-Calculation'!$H$1:$L$32,3,FALSE),0)</f>
        <v>0</v>
      </c>
      <c r="F45" s="36"/>
      <c r="G45" s="36"/>
      <c r="H45" s="36"/>
      <c r="I45" s="36"/>
      <c r="J45" s="36"/>
      <c r="K45" s="36"/>
      <c r="L45" s="36"/>
      <c r="M45" s="36"/>
      <c r="N45" s="36"/>
      <c r="O45" s="36"/>
      <c r="P45" s="36"/>
      <c r="Q45" s="36"/>
      <c r="R45" s="36"/>
      <c r="S45" s="36"/>
      <c r="T45" s="36"/>
      <c r="U45" s="36"/>
      <c r="V45" s="36"/>
      <c r="W45" s="36"/>
      <c r="X45" s="36"/>
      <c r="Y45" s="36"/>
      <c r="Z45" s="36"/>
    </row>
    <row r="46" ht="15.75" customHeight="1">
      <c r="A46" s="192">
        <f t="shared" si="1"/>
        <v>45227</v>
      </c>
      <c r="B46" s="36">
        <f t="shared" si="2"/>
        <v>88</v>
      </c>
      <c r="C46" s="182">
        <f>IF(AND(B46&lt;=$C$5,MOD(B45,Mode)=0),Mod_Prem,0)</f>
        <v>0</v>
      </c>
      <c r="D46" s="182">
        <f>C46*VLOOKUP(_xlfn.CEILING.MATH(B46/12),'Pre-Calculation'!$H$1:$I$31,2,FALSE)</f>
        <v>0</v>
      </c>
      <c r="E46" s="182">
        <f>IF(B46&lt;=$C$5,VLOOKUP(_xlfn.CEILING.MATH(B46/12),'Pre-Calculation'!$H$1:$L$32,3,FALSE),0)</f>
        <v>0</v>
      </c>
      <c r="F46" s="36"/>
      <c r="G46" s="36"/>
      <c r="H46" s="36"/>
      <c r="I46" s="36"/>
      <c r="J46" s="36"/>
      <c r="K46" s="36"/>
      <c r="L46" s="36"/>
      <c r="M46" s="36"/>
      <c r="N46" s="36"/>
      <c r="O46" s="36"/>
      <c r="P46" s="36"/>
      <c r="Q46" s="36"/>
      <c r="R46" s="36"/>
      <c r="S46" s="36"/>
      <c r="T46" s="36"/>
      <c r="U46" s="36"/>
      <c r="V46" s="36"/>
      <c r="W46" s="36"/>
      <c r="X46" s="36"/>
      <c r="Y46" s="36"/>
      <c r="Z46" s="36"/>
    </row>
    <row r="47" ht="15.75" customHeight="1">
      <c r="A47" s="192">
        <f t="shared" si="1"/>
        <v>45258</v>
      </c>
      <c r="B47" s="36">
        <f t="shared" si="2"/>
        <v>89</v>
      </c>
      <c r="C47" s="182">
        <f>IF(AND(B47&lt;=$C$5,MOD(B46,Mode)=0),Mod_Prem,0)</f>
        <v>0</v>
      </c>
      <c r="D47" s="182">
        <f>C47*VLOOKUP(_xlfn.CEILING.MATH(B47/12),'Pre-Calculation'!$H$1:$I$31,2,FALSE)</f>
        <v>0</v>
      </c>
      <c r="E47" s="182">
        <f>IF(B47&lt;=$C$5,VLOOKUP(_xlfn.CEILING.MATH(B47/12),'Pre-Calculation'!$H$1:$L$32,3,FALSE),0)</f>
        <v>0</v>
      </c>
      <c r="F47" s="36"/>
      <c r="G47" s="36"/>
      <c r="H47" s="36"/>
      <c r="I47" s="36"/>
      <c r="J47" s="36"/>
      <c r="K47" s="36"/>
      <c r="L47" s="36"/>
      <c r="M47" s="36"/>
      <c r="N47" s="36"/>
      <c r="O47" s="36"/>
      <c r="P47" s="36"/>
      <c r="Q47" s="36"/>
      <c r="R47" s="36"/>
      <c r="S47" s="36"/>
      <c r="T47" s="36"/>
      <c r="U47" s="36"/>
      <c r="V47" s="36"/>
      <c r="W47" s="36"/>
      <c r="X47" s="36"/>
      <c r="Y47" s="36"/>
      <c r="Z47" s="36"/>
    </row>
    <row r="48" ht="15.75" customHeight="1">
      <c r="A48" s="192">
        <f t="shared" si="1"/>
        <v>45288</v>
      </c>
      <c r="B48" s="36">
        <f t="shared" si="2"/>
        <v>90</v>
      </c>
      <c r="C48" s="182">
        <f>IF(AND(B48&lt;=$C$5,MOD(B47,Mode)=0),Mod_Prem,0)</f>
        <v>0</v>
      </c>
      <c r="D48" s="182">
        <f>C48*VLOOKUP(_xlfn.CEILING.MATH(B48/12),'Pre-Calculation'!$H$1:$I$31,2,FALSE)</f>
        <v>0</v>
      </c>
      <c r="E48" s="182">
        <f>IF(B48&lt;=$C$5,VLOOKUP(_xlfn.CEILING.MATH(B48/12),'Pre-Calculation'!$H$1:$L$32,3,FALSE),0)</f>
        <v>0</v>
      </c>
      <c r="F48" s="36"/>
      <c r="G48" s="36"/>
      <c r="H48" s="36"/>
      <c r="I48" s="36"/>
      <c r="J48" s="36"/>
      <c r="K48" s="36"/>
      <c r="L48" s="36"/>
      <c r="M48" s="36"/>
      <c r="N48" s="36"/>
      <c r="O48" s="36"/>
      <c r="P48" s="36"/>
      <c r="Q48" s="36"/>
      <c r="R48" s="36"/>
      <c r="S48" s="36"/>
      <c r="T48" s="36"/>
      <c r="U48" s="36"/>
      <c r="V48" s="36"/>
      <c r="W48" s="36"/>
      <c r="X48" s="36"/>
      <c r="Y48" s="36"/>
      <c r="Z48" s="36"/>
    </row>
    <row r="49" ht="15.75" customHeight="1">
      <c r="A49" s="192">
        <f t="shared" si="1"/>
        <v>45319</v>
      </c>
      <c r="B49" s="36">
        <f t="shared" si="2"/>
        <v>91</v>
      </c>
      <c r="C49" s="182">
        <f>IF(AND(B49&lt;=$C$5,MOD(B48,Mode)=0),Mod_Prem,0)</f>
        <v>0</v>
      </c>
      <c r="D49" s="182">
        <f>C49*VLOOKUP(_xlfn.CEILING.MATH(B49/12),'Pre-Calculation'!$H$1:$I$31,2,FALSE)</f>
        <v>0</v>
      </c>
      <c r="E49" s="182">
        <f>IF(B49&lt;=$C$5,VLOOKUP(_xlfn.CEILING.MATH(B49/12),'Pre-Calculation'!$H$1:$L$32,3,FALSE),0)</f>
        <v>0</v>
      </c>
      <c r="F49" s="36"/>
      <c r="G49" s="36"/>
      <c r="H49" s="36"/>
      <c r="I49" s="36"/>
      <c r="J49" s="36"/>
      <c r="K49" s="36"/>
      <c r="L49" s="36"/>
      <c r="M49" s="36"/>
      <c r="N49" s="36"/>
      <c r="O49" s="36"/>
      <c r="P49" s="36"/>
      <c r="Q49" s="36"/>
      <c r="R49" s="36"/>
      <c r="S49" s="36"/>
      <c r="T49" s="36"/>
      <c r="U49" s="36"/>
      <c r="V49" s="36"/>
      <c r="W49" s="36"/>
      <c r="X49" s="36"/>
      <c r="Y49" s="36"/>
      <c r="Z49" s="36"/>
    </row>
    <row r="50" ht="15.75" customHeight="1">
      <c r="A50" s="192">
        <f t="shared" si="1"/>
        <v>45350</v>
      </c>
      <c r="B50" s="36">
        <f t="shared" si="2"/>
        <v>92</v>
      </c>
      <c r="C50" s="182">
        <f>IF(AND(B50&lt;=$C$5,MOD(B49,Mode)=0),Mod_Prem,0)</f>
        <v>0</v>
      </c>
      <c r="D50" s="182">
        <f>C50*VLOOKUP(_xlfn.CEILING.MATH(B50/12),'Pre-Calculation'!$H$1:$I$31,2,FALSE)</f>
        <v>0</v>
      </c>
      <c r="E50" s="182">
        <f>IF(B50&lt;=$C$5,VLOOKUP(_xlfn.CEILING.MATH(B50/12),'Pre-Calculation'!$H$1:$L$32,3,FALSE),0)</f>
        <v>0</v>
      </c>
      <c r="F50" s="36"/>
      <c r="G50" s="36"/>
      <c r="H50" s="36"/>
      <c r="I50" s="36"/>
      <c r="J50" s="36"/>
      <c r="K50" s="36"/>
      <c r="L50" s="36"/>
      <c r="M50" s="36"/>
      <c r="N50" s="36"/>
      <c r="O50" s="36"/>
      <c r="P50" s="36"/>
      <c r="Q50" s="36"/>
      <c r="R50" s="36"/>
      <c r="S50" s="36"/>
      <c r="T50" s="36"/>
      <c r="U50" s="36"/>
      <c r="V50" s="36"/>
      <c r="W50" s="36"/>
      <c r="X50" s="36"/>
      <c r="Y50" s="36"/>
      <c r="Z50" s="36"/>
    </row>
    <row r="51" ht="15.75" customHeight="1">
      <c r="A51" s="192">
        <f t="shared" si="1"/>
        <v>45379</v>
      </c>
      <c r="B51" s="36">
        <f t="shared" si="2"/>
        <v>93</v>
      </c>
      <c r="C51" s="182">
        <f>IF(AND(B51&lt;=$C$5,MOD(B50,Mode)=0),Mod_Prem,0)</f>
        <v>0</v>
      </c>
      <c r="D51" s="182">
        <f>C51*VLOOKUP(_xlfn.CEILING.MATH(B51/12),'Pre-Calculation'!$H$1:$I$31,2,FALSE)</f>
        <v>0</v>
      </c>
      <c r="E51" s="182">
        <f>IF(B51&lt;=$C$5,VLOOKUP(_xlfn.CEILING.MATH(B51/12),'Pre-Calculation'!$H$1:$L$32,3,FALSE),0)</f>
        <v>0</v>
      </c>
      <c r="F51" s="36"/>
      <c r="G51" s="36"/>
      <c r="H51" s="36"/>
      <c r="I51" s="36"/>
      <c r="J51" s="36"/>
      <c r="K51" s="36"/>
      <c r="L51" s="36"/>
      <c r="M51" s="36"/>
      <c r="N51" s="36"/>
      <c r="O51" s="36"/>
      <c r="P51" s="36"/>
      <c r="Q51" s="36"/>
      <c r="R51" s="36"/>
      <c r="S51" s="36"/>
      <c r="T51" s="36"/>
      <c r="U51" s="36"/>
      <c r="V51" s="36"/>
      <c r="W51" s="36"/>
      <c r="X51" s="36"/>
      <c r="Y51" s="36"/>
      <c r="Z51" s="36"/>
    </row>
    <row r="52" ht="15.75" customHeight="1">
      <c r="A52" s="192">
        <f t="shared" si="1"/>
        <v>45410</v>
      </c>
      <c r="B52" s="36">
        <f t="shared" si="2"/>
        <v>94</v>
      </c>
      <c r="C52" s="182">
        <f>IF(AND(B52&lt;=$C$5,MOD(B51,Mode)=0),Mod_Prem,0)</f>
        <v>0</v>
      </c>
      <c r="D52" s="182">
        <f>C52*VLOOKUP(_xlfn.CEILING.MATH(B52/12),'Pre-Calculation'!$H$1:$I$31,2,FALSE)</f>
        <v>0</v>
      </c>
      <c r="E52" s="182">
        <f>IF(B52&lt;=$C$5,VLOOKUP(_xlfn.CEILING.MATH(B52/12),'Pre-Calculation'!$H$1:$L$32,3,FALSE),0)</f>
        <v>0</v>
      </c>
      <c r="F52" s="36"/>
      <c r="G52" s="36"/>
      <c r="H52" s="36"/>
      <c r="I52" s="36"/>
      <c r="J52" s="36"/>
      <c r="K52" s="36"/>
      <c r="L52" s="36"/>
      <c r="M52" s="36"/>
      <c r="N52" s="36"/>
      <c r="O52" s="36"/>
      <c r="P52" s="36"/>
      <c r="Q52" s="36"/>
      <c r="R52" s="36"/>
      <c r="S52" s="36"/>
      <c r="T52" s="36"/>
      <c r="U52" s="36"/>
      <c r="V52" s="36"/>
      <c r="W52" s="36"/>
      <c r="X52" s="36"/>
      <c r="Y52" s="36"/>
      <c r="Z52" s="36"/>
    </row>
    <row r="53" ht="15.75" customHeight="1">
      <c r="A53" s="192">
        <f t="shared" si="1"/>
        <v>45440</v>
      </c>
      <c r="B53" s="36">
        <f t="shared" si="2"/>
        <v>95</v>
      </c>
      <c r="C53" s="182">
        <f>IF(AND(B53&lt;=$C$5,MOD(B52,Mode)=0),Mod_Prem,0)</f>
        <v>0</v>
      </c>
      <c r="D53" s="182">
        <f>C53*VLOOKUP(_xlfn.CEILING.MATH(B53/12),'Pre-Calculation'!$H$1:$I$31,2,FALSE)</f>
        <v>0</v>
      </c>
      <c r="E53" s="182">
        <f>IF(B53&lt;=$C$5,VLOOKUP(_xlfn.CEILING.MATH(B53/12),'Pre-Calculation'!$H$1:$L$32,3,FALSE),0)</f>
        <v>0</v>
      </c>
      <c r="F53" s="36"/>
      <c r="G53" s="36"/>
      <c r="H53" s="36"/>
      <c r="I53" s="36"/>
      <c r="J53" s="36"/>
      <c r="K53" s="36"/>
      <c r="L53" s="36"/>
      <c r="M53" s="36"/>
      <c r="N53" s="36"/>
      <c r="O53" s="36"/>
      <c r="P53" s="36"/>
      <c r="Q53" s="36"/>
      <c r="R53" s="36"/>
      <c r="S53" s="36"/>
      <c r="T53" s="36"/>
      <c r="U53" s="36"/>
      <c r="V53" s="36"/>
      <c r="W53" s="36"/>
      <c r="X53" s="36"/>
      <c r="Y53" s="36"/>
      <c r="Z53" s="36"/>
    </row>
    <row r="54" ht="15.75" customHeight="1">
      <c r="A54" s="192">
        <f t="shared" si="1"/>
        <v>45471</v>
      </c>
      <c r="B54" s="36">
        <f t="shared" si="2"/>
        <v>96</v>
      </c>
      <c r="C54" s="182">
        <f>IF(AND(B54&lt;=$C$5,MOD(B53,Mode)=0),Mod_Prem,0)</f>
        <v>0</v>
      </c>
      <c r="D54" s="182">
        <f>C54*VLOOKUP(_xlfn.CEILING.MATH(B54/12),'Pre-Calculation'!$H$1:$I$31,2,FALSE)</f>
        <v>0</v>
      </c>
      <c r="E54" s="182">
        <f>IF(B54&lt;=$C$5,VLOOKUP(_xlfn.CEILING.MATH(B54/12),'Pre-Calculation'!$H$1:$L$32,3,FALSE),0)</f>
        <v>0</v>
      </c>
      <c r="F54" s="36"/>
      <c r="G54" s="36"/>
      <c r="H54" s="36"/>
      <c r="I54" s="36"/>
      <c r="J54" s="36"/>
      <c r="K54" s="36"/>
      <c r="L54" s="36"/>
      <c r="M54" s="36"/>
      <c r="N54" s="36"/>
      <c r="O54" s="36"/>
      <c r="P54" s="36"/>
      <c r="Q54" s="36"/>
      <c r="R54" s="36"/>
      <c r="S54" s="36"/>
      <c r="T54" s="36"/>
      <c r="U54" s="36"/>
      <c r="V54" s="36"/>
      <c r="W54" s="36"/>
      <c r="X54" s="36"/>
      <c r="Y54" s="36"/>
      <c r="Z54" s="36"/>
    </row>
    <row r="55" ht="15.75" customHeight="1">
      <c r="A55" s="192">
        <f t="shared" si="1"/>
        <v>45501</v>
      </c>
      <c r="B55" s="36">
        <f t="shared" si="2"/>
        <v>97</v>
      </c>
      <c r="C55" s="182">
        <f>IF(AND(B55&lt;=$C$5,MOD(B54,Mode)=0),Mod_Prem,0)</f>
        <v>0</v>
      </c>
      <c r="D55" s="182">
        <f>C55*VLOOKUP(_xlfn.CEILING.MATH(B55/12),'Pre-Calculation'!$H$1:$I$31,2,FALSE)</f>
        <v>0</v>
      </c>
      <c r="E55" s="182">
        <f>IF(B55&lt;=$C$5,VLOOKUP(_xlfn.CEILING.MATH(B55/12),'Pre-Calculation'!$H$1:$L$32,3,FALSE),0)</f>
        <v>0</v>
      </c>
      <c r="F55" s="36"/>
      <c r="G55" s="36"/>
      <c r="H55" s="36"/>
      <c r="I55" s="36"/>
      <c r="J55" s="36"/>
      <c r="K55" s="36"/>
      <c r="L55" s="36"/>
      <c r="M55" s="36"/>
      <c r="N55" s="36"/>
      <c r="O55" s="36"/>
      <c r="P55" s="36"/>
      <c r="Q55" s="36"/>
      <c r="R55" s="36"/>
      <c r="S55" s="36"/>
      <c r="T55" s="36"/>
      <c r="U55" s="36"/>
      <c r="V55" s="36"/>
      <c r="W55" s="36"/>
      <c r="X55" s="36"/>
      <c r="Y55" s="36"/>
      <c r="Z55" s="36"/>
    </row>
    <row r="56" ht="15.75" customHeight="1">
      <c r="A56" s="192">
        <f t="shared" si="1"/>
        <v>45532</v>
      </c>
      <c r="B56" s="36">
        <f t="shared" si="2"/>
        <v>98</v>
      </c>
      <c r="C56" s="182">
        <f>IF(AND(B56&lt;=$C$5,MOD(B55,Mode)=0),Mod_Prem,0)</f>
        <v>0</v>
      </c>
      <c r="D56" s="182">
        <f>C56*VLOOKUP(_xlfn.CEILING.MATH(B56/12),'Pre-Calculation'!$H$1:$I$31,2,FALSE)</f>
        <v>0</v>
      </c>
      <c r="E56" s="182">
        <f>IF(B56&lt;=$C$5,VLOOKUP(_xlfn.CEILING.MATH(B56/12),'Pre-Calculation'!$H$1:$L$32,3,FALSE),0)</f>
        <v>0</v>
      </c>
      <c r="F56" s="36"/>
      <c r="G56" s="36"/>
      <c r="H56" s="36"/>
      <c r="I56" s="36"/>
      <c r="J56" s="36"/>
      <c r="K56" s="36"/>
      <c r="L56" s="36"/>
      <c r="M56" s="36"/>
      <c r="N56" s="36"/>
      <c r="O56" s="36"/>
      <c r="P56" s="36"/>
      <c r="Q56" s="36"/>
      <c r="R56" s="36"/>
      <c r="S56" s="36"/>
      <c r="T56" s="36"/>
      <c r="U56" s="36"/>
      <c r="V56" s="36"/>
      <c r="W56" s="36"/>
      <c r="X56" s="36"/>
      <c r="Y56" s="36"/>
      <c r="Z56" s="36"/>
    </row>
    <row r="57" ht="15.75" customHeight="1">
      <c r="A57" s="192">
        <f t="shared" si="1"/>
        <v>45563</v>
      </c>
      <c r="B57" s="36">
        <f t="shared" si="2"/>
        <v>99</v>
      </c>
      <c r="C57" s="182">
        <f>IF(AND(B57&lt;=$C$5,MOD(B56,Mode)=0),Mod_Prem,0)</f>
        <v>0</v>
      </c>
      <c r="D57" s="182">
        <f>C57*VLOOKUP(_xlfn.CEILING.MATH(B57/12),'Pre-Calculation'!$H$1:$I$31,2,FALSE)</f>
        <v>0</v>
      </c>
      <c r="E57" s="182">
        <f>IF(B57&lt;=$C$5,VLOOKUP(_xlfn.CEILING.MATH(B57/12),'Pre-Calculation'!$H$1:$L$32,3,FALSE),0)</f>
        <v>0</v>
      </c>
      <c r="F57" s="36"/>
      <c r="G57" s="36"/>
      <c r="H57" s="36"/>
      <c r="I57" s="36"/>
      <c r="J57" s="36"/>
      <c r="K57" s="36"/>
      <c r="L57" s="36"/>
      <c r="M57" s="36"/>
      <c r="N57" s="36"/>
      <c r="O57" s="36"/>
      <c r="P57" s="36"/>
      <c r="Q57" s="36"/>
      <c r="R57" s="36"/>
      <c r="S57" s="36"/>
      <c r="T57" s="36"/>
      <c r="U57" s="36"/>
      <c r="V57" s="36"/>
      <c r="W57" s="36"/>
      <c r="X57" s="36"/>
      <c r="Y57" s="36"/>
      <c r="Z57" s="36"/>
    </row>
    <row r="58" ht="15.75" customHeight="1">
      <c r="A58" s="192">
        <f t="shared" si="1"/>
        <v>45593</v>
      </c>
      <c r="B58" s="36">
        <f t="shared" si="2"/>
        <v>100</v>
      </c>
      <c r="C58" s="182">
        <f>IF(AND(B58&lt;=$C$5,MOD(B57,Mode)=0),Mod_Prem,0)</f>
        <v>0</v>
      </c>
      <c r="D58" s="182">
        <f>C58*VLOOKUP(_xlfn.CEILING.MATH(B58/12),'Pre-Calculation'!$H$1:$I$31,2,FALSE)</f>
        <v>0</v>
      </c>
      <c r="E58" s="182">
        <f>IF(B58&lt;=$C$5,VLOOKUP(_xlfn.CEILING.MATH(B58/12),'Pre-Calculation'!$H$1:$L$32,3,FALSE),0)</f>
        <v>0</v>
      </c>
      <c r="F58" s="36"/>
      <c r="G58" s="36"/>
      <c r="H58" s="36"/>
      <c r="I58" s="36"/>
      <c r="J58" s="36"/>
      <c r="K58" s="36"/>
      <c r="L58" s="36"/>
      <c r="M58" s="36"/>
      <c r="N58" s="36"/>
      <c r="O58" s="36"/>
      <c r="P58" s="36"/>
      <c r="Q58" s="36"/>
      <c r="R58" s="36"/>
      <c r="S58" s="36"/>
      <c r="T58" s="36"/>
      <c r="U58" s="36"/>
      <c r="V58" s="36"/>
      <c r="W58" s="36"/>
      <c r="X58" s="36"/>
      <c r="Y58" s="36"/>
      <c r="Z58" s="36"/>
    </row>
    <row r="59" ht="15.75" customHeight="1">
      <c r="A59" s="192">
        <f t="shared" si="1"/>
        <v>45624</v>
      </c>
      <c r="B59" s="36">
        <f t="shared" si="2"/>
        <v>101</v>
      </c>
      <c r="C59" s="182">
        <f>IF(AND(B59&lt;=$C$5,MOD(B58,Mode)=0),Mod_Prem,0)</f>
        <v>0</v>
      </c>
      <c r="D59" s="182">
        <f>C59*VLOOKUP(_xlfn.CEILING.MATH(B59/12),'Pre-Calculation'!$H$1:$I$31,2,FALSE)</f>
        <v>0</v>
      </c>
      <c r="E59" s="182">
        <f>IF(B59&lt;=$C$5,VLOOKUP(_xlfn.CEILING.MATH(B59/12),'Pre-Calculation'!$H$1:$L$32,3,FALSE),0)</f>
        <v>0</v>
      </c>
      <c r="F59" s="36"/>
      <c r="G59" s="36"/>
      <c r="H59" s="36"/>
      <c r="I59" s="36"/>
      <c r="J59" s="36"/>
      <c r="K59" s="36"/>
      <c r="L59" s="36"/>
      <c r="M59" s="36"/>
      <c r="N59" s="36"/>
      <c r="O59" s="36"/>
      <c r="P59" s="36"/>
      <c r="Q59" s="36"/>
      <c r="R59" s="36"/>
      <c r="S59" s="36"/>
      <c r="T59" s="36"/>
      <c r="U59" s="36"/>
      <c r="V59" s="36"/>
      <c r="W59" s="36"/>
      <c r="X59" s="36"/>
      <c r="Y59" s="36"/>
      <c r="Z59" s="36"/>
    </row>
    <row r="60" ht="15.75" customHeight="1">
      <c r="A60" s="192">
        <f t="shared" si="1"/>
        <v>45654</v>
      </c>
      <c r="B60" s="36">
        <f t="shared" si="2"/>
        <v>102</v>
      </c>
      <c r="C60" s="182">
        <f>IF(AND(B60&lt;=$C$5,MOD(B59,Mode)=0),Mod_Prem,0)</f>
        <v>0</v>
      </c>
      <c r="D60" s="182">
        <f>C60*VLOOKUP(_xlfn.CEILING.MATH(B60/12),'Pre-Calculation'!$H$1:$I$31,2,FALSE)</f>
        <v>0</v>
      </c>
      <c r="E60" s="182">
        <f>IF(B60&lt;=$C$5,VLOOKUP(_xlfn.CEILING.MATH(B60/12),'Pre-Calculation'!$H$1:$L$32,3,FALSE),0)</f>
        <v>0</v>
      </c>
      <c r="F60" s="36"/>
      <c r="G60" s="36"/>
      <c r="H60" s="36"/>
      <c r="I60" s="36"/>
      <c r="J60" s="36"/>
      <c r="K60" s="36"/>
      <c r="L60" s="36"/>
      <c r="M60" s="36"/>
      <c r="N60" s="36"/>
      <c r="O60" s="36"/>
      <c r="P60" s="36"/>
      <c r="Q60" s="36"/>
      <c r="R60" s="36"/>
      <c r="S60" s="36"/>
      <c r="T60" s="36"/>
      <c r="U60" s="36"/>
      <c r="V60" s="36"/>
      <c r="W60" s="36"/>
      <c r="X60" s="36"/>
      <c r="Y60" s="36"/>
      <c r="Z60" s="36"/>
    </row>
    <row r="61" ht="15.75" customHeight="1">
      <c r="A61" s="192">
        <f t="shared" si="1"/>
        <v>45685</v>
      </c>
      <c r="B61" s="36">
        <f t="shared" si="2"/>
        <v>103</v>
      </c>
      <c r="C61" s="182">
        <f>IF(AND(B61&lt;=$C$5,MOD(B60,Mode)=0),Mod_Prem,0)</f>
        <v>0</v>
      </c>
      <c r="D61" s="182">
        <f>C61*VLOOKUP(_xlfn.CEILING.MATH(B61/12),'Pre-Calculation'!$H$1:$I$31,2,FALSE)</f>
        <v>0</v>
      </c>
      <c r="E61" s="182">
        <f>IF(B61&lt;=$C$5,VLOOKUP(_xlfn.CEILING.MATH(B61/12),'Pre-Calculation'!$H$1:$L$32,3,FALSE),0)</f>
        <v>0</v>
      </c>
      <c r="F61" s="36"/>
      <c r="G61" s="36"/>
      <c r="H61" s="36"/>
      <c r="I61" s="36"/>
      <c r="J61" s="36"/>
      <c r="K61" s="36"/>
      <c r="L61" s="36"/>
      <c r="M61" s="36"/>
      <c r="N61" s="36"/>
      <c r="O61" s="36"/>
      <c r="P61" s="36"/>
      <c r="Q61" s="36"/>
      <c r="R61" s="36"/>
      <c r="S61" s="36"/>
      <c r="T61" s="36"/>
      <c r="U61" s="36"/>
      <c r="V61" s="36"/>
      <c r="W61" s="36"/>
      <c r="X61" s="36"/>
      <c r="Y61" s="36"/>
      <c r="Z61" s="36"/>
    </row>
    <row r="62" ht="15.75" customHeight="1">
      <c r="A62" s="192">
        <f t="shared" si="1"/>
        <v>45716</v>
      </c>
      <c r="B62" s="36">
        <f t="shared" si="2"/>
        <v>104</v>
      </c>
      <c r="C62" s="182">
        <f>IF(AND(B62&lt;=$C$5,MOD(B61,Mode)=0),Mod_Prem,0)</f>
        <v>0</v>
      </c>
      <c r="D62" s="182">
        <f>C62*VLOOKUP(_xlfn.CEILING.MATH(B62/12),'Pre-Calculation'!$H$1:$I$31,2,FALSE)</f>
        <v>0</v>
      </c>
      <c r="E62" s="182">
        <f>IF(B62&lt;=$C$5,VLOOKUP(_xlfn.CEILING.MATH(B62/12),'Pre-Calculation'!$H$1:$L$32,3,FALSE),0)</f>
        <v>0</v>
      </c>
      <c r="F62" s="36"/>
      <c r="G62" s="36"/>
      <c r="H62" s="36"/>
      <c r="I62" s="36"/>
      <c r="J62" s="36"/>
      <c r="K62" s="36"/>
      <c r="L62" s="36"/>
      <c r="M62" s="36"/>
      <c r="N62" s="36"/>
      <c r="O62" s="36"/>
      <c r="P62" s="36"/>
      <c r="Q62" s="36"/>
      <c r="R62" s="36"/>
      <c r="S62" s="36"/>
      <c r="T62" s="36"/>
      <c r="U62" s="36"/>
      <c r="V62" s="36"/>
      <c r="W62" s="36"/>
      <c r="X62" s="36"/>
      <c r="Y62" s="36"/>
      <c r="Z62" s="36"/>
    </row>
    <row r="63" ht="15.75" customHeight="1">
      <c r="A63" s="192">
        <f t="shared" si="1"/>
        <v>45744</v>
      </c>
      <c r="B63" s="36">
        <f t="shared" si="2"/>
        <v>105</v>
      </c>
      <c r="C63" s="182">
        <f>IF(AND(B63&lt;=$C$5,MOD(B62,Mode)=0),Mod_Prem,0)</f>
        <v>0</v>
      </c>
      <c r="D63" s="182">
        <f>C63*VLOOKUP(_xlfn.CEILING.MATH(B63/12),'Pre-Calculation'!$H$1:$I$31,2,FALSE)</f>
        <v>0</v>
      </c>
      <c r="E63" s="182">
        <f>IF(B63&lt;=$C$5,VLOOKUP(_xlfn.CEILING.MATH(B63/12),'Pre-Calculation'!$H$1:$L$32,3,FALSE),0)</f>
        <v>0</v>
      </c>
      <c r="F63" s="36"/>
      <c r="G63" s="36"/>
      <c r="H63" s="36"/>
      <c r="I63" s="36"/>
      <c r="J63" s="36"/>
      <c r="K63" s="36"/>
      <c r="L63" s="36"/>
      <c r="M63" s="36"/>
      <c r="N63" s="36"/>
      <c r="O63" s="36"/>
      <c r="P63" s="36"/>
      <c r="Q63" s="36"/>
      <c r="R63" s="36"/>
      <c r="S63" s="36"/>
      <c r="T63" s="36"/>
      <c r="U63" s="36"/>
      <c r="V63" s="36"/>
      <c r="W63" s="36"/>
      <c r="X63" s="36"/>
      <c r="Y63" s="36"/>
      <c r="Z63" s="36"/>
    </row>
    <row r="64" ht="15.75" customHeight="1">
      <c r="A64" s="192">
        <f t="shared" si="1"/>
        <v>45775</v>
      </c>
      <c r="B64" s="36">
        <f t="shared" si="2"/>
        <v>106</v>
      </c>
      <c r="C64" s="182">
        <f>IF(AND(B64&lt;=$C$5,MOD(B63,Mode)=0),Mod_Prem,0)</f>
        <v>0</v>
      </c>
      <c r="D64" s="182">
        <f>C64*VLOOKUP(_xlfn.CEILING.MATH(B64/12),'Pre-Calculation'!$H$1:$I$31,2,FALSE)</f>
        <v>0</v>
      </c>
      <c r="E64" s="182">
        <f>IF(B64&lt;=$C$5,VLOOKUP(_xlfn.CEILING.MATH(B64/12),'Pre-Calculation'!$H$1:$L$32,3,FALSE),0)</f>
        <v>0</v>
      </c>
      <c r="F64" s="36"/>
      <c r="G64" s="36"/>
      <c r="H64" s="36"/>
      <c r="I64" s="36"/>
      <c r="J64" s="36"/>
      <c r="K64" s="36"/>
      <c r="L64" s="36"/>
      <c r="M64" s="36"/>
      <c r="N64" s="36"/>
      <c r="O64" s="36"/>
      <c r="P64" s="36"/>
      <c r="Q64" s="36"/>
      <c r="R64" s="36"/>
      <c r="S64" s="36"/>
      <c r="T64" s="36"/>
      <c r="U64" s="36"/>
      <c r="V64" s="36"/>
      <c r="W64" s="36"/>
      <c r="X64" s="36"/>
      <c r="Y64" s="36"/>
      <c r="Z64" s="36"/>
    </row>
    <row r="65" ht="15.75" customHeight="1">
      <c r="A65" s="192">
        <f t="shared" si="1"/>
        <v>45805</v>
      </c>
      <c r="B65" s="36">
        <f t="shared" si="2"/>
        <v>107</v>
      </c>
      <c r="C65" s="182">
        <f>IF(AND(B65&lt;=$C$5,MOD(B64,Mode)=0),Mod_Prem,0)</f>
        <v>0</v>
      </c>
      <c r="D65" s="182">
        <f>C65*VLOOKUP(_xlfn.CEILING.MATH(B65/12),'Pre-Calculation'!$H$1:$I$31,2,FALSE)</f>
        <v>0</v>
      </c>
      <c r="E65" s="182">
        <f>IF(B65&lt;=$C$5,VLOOKUP(_xlfn.CEILING.MATH(B65/12),'Pre-Calculation'!$H$1:$L$32,3,FALSE),0)</f>
        <v>0</v>
      </c>
      <c r="F65" s="36"/>
      <c r="G65" s="36"/>
      <c r="H65" s="36"/>
      <c r="I65" s="36"/>
      <c r="J65" s="36"/>
      <c r="K65" s="36"/>
      <c r="L65" s="36"/>
      <c r="M65" s="36"/>
      <c r="N65" s="36"/>
      <c r="O65" s="36"/>
      <c r="P65" s="36"/>
      <c r="Q65" s="36"/>
      <c r="R65" s="36"/>
      <c r="S65" s="36"/>
      <c r="T65" s="36"/>
      <c r="U65" s="36"/>
      <c r="V65" s="36"/>
      <c r="W65" s="36"/>
      <c r="X65" s="36"/>
      <c r="Y65" s="36"/>
      <c r="Z65" s="36"/>
    </row>
    <row r="66" ht="15.75" customHeight="1">
      <c r="A66" s="192">
        <f t="shared" si="1"/>
        <v>45836</v>
      </c>
      <c r="B66" s="36">
        <f t="shared" si="2"/>
        <v>108</v>
      </c>
      <c r="C66" s="182">
        <f>IF(AND(B66&lt;=$C$5,MOD(B65,Mode)=0),Mod_Prem,0)</f>
        <v>0</v>
      </c>
      <c r="D66" s="182">
        <f>C66*VLOOKUP(_xlfn.CEILING.MATH(B66/12),'Pre-Calculation'!$H$1:$I$31,2,FALSE)</f>
        <v>0</v>
      </c>
      <c r="E66" s="182">
        <f>IF(B66&lt;=$C$5,VLOOKUP(_xlfn.CEILING.MATH(B66/12),'Pre-Calculation'!$H$1:$L$32,3,FALSE),0)</f>
        <v>0</v>
      </c>
      <c r="F66" s="36"/>
      <c r="G66" s="36"/>
      <c r="H66" s="36"/>
      <c r="I66" s="36"/>
      <c r="J66" s="36"/>
      <c r="K66" s="36"/>
      <c r="L66" s="36"/>
      <c r="M66" s="36"/>
      <c r="N66" s="36"/>
      <c r="O66" s="36"/>
      <c r="P66" s="36"/>
      <c r="Q66" s="36"/>
      <c r="R66" s="36"/>
      <c r="S66" s="36"/>
      <c r="T66" s="36"/>
      <c r="U66" s="36"/>
      <c r="V66" s="36"/>
      <c r="W66" s="36"/>
      <c r="X66" s="36"/>
      <c r="Y66" s="36"/>
      <c r="Z66" s="36"/>
    </row>
    <row r="67" ht="15.75" customHeight="1">
      <c r="A67" s="192">
        <f t="shared" si="1"/>
        <v>45866</v>
      </c>
      <c r="B67" s="36">
        <f t="shared" si="2"/>
        <v>109</v>
      </c>
      <c r="C67" s="182">
        <f>IF(AND(B67&lt;=$C$5,MOD(B66,Mode)=0),Mod_Prem,0)</f>
        <v>0</v>
      </c>
      <c r="D67" s="182">
        <f>C67*VLOOKUP(_xlfn.CEILING.MATH(B67/12),'Pre-Calculation'!$H$1:$I$31,2,FALSE)</f>
        <v>0</v>
      </c>
      <c r="E67" s="182">
        <f>IF(B67&lt;=$C$5,VLOOKUP(_xlfn.CEILING.MATH(B67/12),'Pre-Calculation'!$H$1:$L$32,3,FALSE),0)</f>
        <v>0</v>
      </c>
      <c r="F67" s="36"/>
      <c r="G67" s="36"/>
      <c r="H67" s="36"/>
      <c r="I67" s="36"/>
      <c r="J67" s="36"/>
      <c r="K67" s="36"/>
      <c r="L67" s="36"/>
      <c r="M67" s="36"/>
      <c r="N67" s="36"/>
      <c r="O67" s="36"/>
      <c r="P67" s="36"/>
      <c r="Q67" s="36"/>
      <c r="R67" s="36"/>
      <c r="S67" s="36"/>
      <c r="T67" s="36"/>
      <c r="U67" s="36"/>
      <c r="V67" s="36"/>
      <c r="W67" s="36"/>
      <c r="X67" s="36"/>
      <c r="Y67" s="36"/>
      <c r="Z67" s="36"/>
    </row>
    <row r="68" ht="15.75" customHeight="1">
      <c r="A68" s="192">
        <f t="shared" si="1"/>
        <v>45897</v>
      </c>
      <c r="B68" s="36">
        <f t="shared" si="2"/>
        <v>110</v>
      </c>
      <c r="C68" s="182">
        <f>IF(AND(B68&lt;=$C$5,MOD(B67,Mode)=0),Mod_Prem,0)</f>
        <v>0</v>
      </c>
      <c r="D68" s="182">
        <f>C68*VLOOKUP(_xlfn.CEILING.MATH(B68/12),'Pre-Calculation'!$H$1:$I$31,2,FALSE)</f>
        <v>0</v>
      </c>
      <c r="E68" s="182">
        <f>IF(B68&lt;=$C$5,VLOOKUP(_xlfn.CEILING.MATH(B68/12),'Pre-Calculation'!$H$1:$L$32,3,FALSE),0)</f>
        <v>0</v>
      </c>
      <c r="F68" s="36"/>
      <c r="G68" s="36"/>
      <c r="H68" s="36"/>
      <c r="I68" s="36"/>
      <c r="J68" s="36"/>
      <c r="K68" s="36"/>
      <c r="L68" s="36"/>
      <c r="M68" s="36"/>
      <c r="N68" s="36"/>
      <c r="O68" s="36"/>
      <c r="P68" s="36"/>
      <c r="Q68" s="36"/>
      <c r="R68" s="36"/>
      <c r="S68" s="36"/>
      <c r="T68" s="36"/>
      <c r="U68" s="36"/>
      <c r="V68" s="36"/>
      <c r="W68" s="36"/>
      <c r="X68" s="36"/>
      <c r="Y68" s="36"/>
      <c r="Z68" s="36"/>
    </row>
    <row r="69" ht="15.75" customHeight="1">
      <c r="A69" s="192">
        <f t="shared" si="1"/>
        <v>45928</v>
      </c>
      <c r="B69" s="36">
        <f t="shared" si="2"/>
        <v>111</v>
      </c>
      <c r="C69" s="182">
        <f>IF(AND(B69&lt;=$C$5,MOD(B68,Mode)=0),Mod_Prem,0)</f>
        <v>0</v>
      </c>
      <c r="D69" s="182">
        <f>C69*VLOOKUP(_xlfn.CEILING.MATH(B69/12),'Pre-Calculation'!$H$1:$I$31,2,FALSE)</f>
        <v>0</v>
      </c>
      <c r="E69" s="182">
        <f>IF(B69&lt;=$C$5,VLOOKUP(_xlfn.CEILING.MATH(B69/12),'Pre-Calculation'!$H$1:$L$32,3,FALSE),0)</f>
        <v>0</v>
      </c>
      <c r="F69" s="36"/>
      <c r="G69" s="36"/>
      <c r="H69" s="36"/>
      <c r="I69" s="36"/>
      <c r="J69" s="36"/>
      <c r="K69" s="36"/>
      <c r="L69" s="36"/>
      <c r="M69" s="36"/>
      <c r="N69" s="36"/>
      <c r="O69" s="36"/>
      <c r="P69" s="36"/>
      <c r="Q69" s="36"/>
      <c r="R69" s="36"/>
      <c r="S69" s="36"/>
      <c r="T69" s="36"/>
      <c r="U69" s="36"/>
      <c r="V69" s="36"/>
      <c r="W69" s="36"/>
      <c r="X69" s="36"/>
      <c r="Y69" s="36"/>
      <c r="Z69" s="36"/>
    </row>
    <row r="70" ht="15.75" customHeight="1">
      <c r="A70" s="192">
        <f t="shared" si="1"/>
        <v>45958</v>
      </c>
      <c r="B70" s="36">
        <f t="shared" si="2"/>
        <v>112</v>
      </c>
      <c r="C70" s="182">
        <f>IF(AND(B70&lt;=$C$5,MOD(B69,Mode)=0),Mod_Prem,0)</f>
        <v>0</v>
      </c>
      <c r="D70" s="182">
        <f>C70*VLOOKUP(_xlfn.CEILING.MATH(B70/12),'Pre-Calculation'!$H$1:$I$31,2,FALSE)</f>
        <v>0</v>
      </c>
      <c r="E70" s="182">
        <f>IF(B70&lt;=$C$5,VLOOKUP(_xlfn.CEILING.MATH(B70/12),'Pre-Calculation'!$H$1:$L$32,3,FALSE),0)</f>
        <v>0</v>
      </c>
      <c r="F70" s="36"/>
      <c r="G70" s="36"/>
      <c r="H70" s="36"/>
      <c r="I70" s="36"/>
      <c r="J70" s="36"/>
      <c r="K70" s="36"/>
      <c r="L70" s="36"/>
      <c r="M70" s="36"/>
      <c r="N70" s="36"/>
      <c r="O70" s="36"/>
      <c r="P70" s="36"/>
      <c r="Q70" s="36"/>
      <c r="R70" s="36"/>
      <c r="S70" s="36"/>
      <c r="T70" s="36"/>
      <c r="U70" s="36"/>
      <c r="V70" s="36"/>
      <c r="W70" s="36"/>
      <c r="X70" s="36"/>
      <c r="Y70" s="36"/>
      <c r="Z70" s="36"/>
    </row>
    <row r="71" ht="15.75" customHeight="1">
      <c r="A71" s="192">
        <f t="shared" si="1"/>
        <v>45989</v>
      </c>
      <c r="B71" s="36">
        <f t="shared" si="2"/>
        <v>113</v>
      </c>
      <c r="C71" s="182">
        <f>IF(AND(B71&lt;=$C$5,MOD(B70,Mode)=0),Mod_Prem,0)</f>
        <v>0</v>
      </c>
      <c r="D71" s="182">
        <f>C71*VLOOKUP(_xlfn.CEILING.MATH(B71/12),'Pre-Calculation'!$H$1:$I$31,2,FALSE)</f>
        <v>0</v>
      </c>
      <c r="E71" s="182">
        <f>IF(B71&lt;=$C$5,VLOOKUP(_xlfn.CEILING.MATH(B71/12),'Pre-Calculation'!$H$1:$L$32,3,FALSE),0)</f>
        <v>0</v>
      </c>
      <c r="F71" s="36"/>
      <c r="G71" s="36"/>
      <c r="H71" s="36"/>
      <c r="I71" s="36"/>
      <c r="J71" s="36"/>
      <c r="K71" s="36"/>
      <c r="L71" s="36"/>
      <c r="M71" s="36"/>
      <c r="N71" s="36"/>
      <c r="O71" s="36"/>
      <c r="P71" s="36"/>
      <c r="Q71" s="36"/>
      <c r="R71" s="36"/>
      <c r="S71" s="36"/>
      <c r="T71" s="36"/>
      <c r="U71" s="36"/>
      <c r="V71" s="36"/>
      <c r="W71" s="36"/>
      <c r="X71" s="36"/>
      <c r="Y71" s="36"/>
      <c r="Z71" s="36"/>
    </row>
    <row r="72" ht="15.75" customHeight="1">
      <c r="A72" s="192">
        <f t="shared" si="1"/>
        <v>46019</v>
      </c>
      <c r="B72" s="36">
        <f t="shared" si="2"/>
        <v>114</v>
      </c>
      <c r="C72" s="182">
        <f>IF(AND(B72&lt;=$C$5,MOD(B71,Mode)=0),Mod_Prem,0)</f>
        <v>0</v>
      </c>
      <c r="D72" s="182">
        <f>C72*VLOOKUP(_xlfn.CEILING.MATH(B72/12),'Pre-Calculation'!$H$1:$I$31,2,FALSE)</f>
        <v>0</v>
      </c>
      <c r="E72" s="182">
        <f>IF(B72&lt;=$C$5,VLOOKUP(_xlfn.CEILING.MATH(B72/12),'Pre-Calculation'!$H$1:$L$32,3,FALSE),0)</f>
        <v>0</v>
      </c>
      <c r="F72" s="36"/>
      <c r="G72" s="36"/>
      <c r="H72" s="36"/>
      <c r="I72" s="36"/>
      <c r="J72" s="36"/>
      <c r="K72" s="36"/>
      <c r="L72" s="36"/>
      <c r="M72" s="36"/>
      <c r="N72" s="36"/>
      <c r="O72" s="36"/>
      <c r="P72" s="36"/>
      <c r="Q72" s="36"/>
      <c r="R72" s="36"/>
      <c r="S72" s="36"/>
      <c r="T72" s="36"/>
      <c r="U72" s="36"/>
      <c r="V72" s="36"/>
      <c r="W72" s="36"/>
      <c r="X72" s="36"/>
      <c r="Y72" s="36"/>
      <c r="Z72" s="36"/>
    </row>
    <row r="73" ht="15.75" customHeight="1">
      <c r="A73" s="192">
        <f t="shared" si="1"/>
        <v>46050</v>
      </c>
      <c r="B73" s="36">
        <f t="shared" si="2"/>
        <v>115</v>
      </c>
      <c r="C73" s="182">
        <f>IF(AND(B73&lt;=$C$5,MOD(B72,Mode)=0),Mod_Prem,0)</f>
        <v>0</v>
      </c>
      <c r="D73" s="182">
        <f>C73*VLOOKUP(_xlfn.CEILING.MATH(B73/12),'Pre-Calculation'!$H$1:$I$31,2,FALSE)</f>
        <v>0</v>
      </c>
      <c r="E73" s="182">
        <f>IF(B73&lt;=$C$5,VLOOKUP(_xlfn.CEILING.MATH(B73/12),'Pre-Calculation'!$H$1:$L$32,3,FALSE),0)</f>
        <v>0</v>
      </c>
      <c r="F73" s="36"/>
      <c r="G73" s="36"/>
      <c r="H73" s="36"/>
      <c r="I73" s="36"/>
      <c r="J73" s="36"/>
      <c r="K73" s="36"/>
      <c r="L73" s="36"/>
      <c r="M73" s="36"/>
      <c r="N73" s="36"/>
      <c r="O73" s="36"/>
      <c r="P73" s="36"/>
      <c r="Q73" s="36"/>
      <c r="R73" s="36"/>
      <c r="S73" s="36"/>
      <c r="T73" s="36"/>
      <c r="U73" s="36"/>
      <c r="V73" s="36"/>
      <c r="W73" s="36"/>
      <c r="X73" s="36"/>
      <c r="Y73" s="36"/>
      <c r="Z73" s="36"/>
    </row>
    <row r="74" ht="15.75" customHeight="1">
      <c r="A74" s="192">
        <f t="shared" si="1"/>
        <v>46081</v>
      </c>
      <c r="B74" s="36">
        <f t="shared" si="2"/>
        <v>116</v>
      </c>
      <c r="C74" s="182">
        <f>IF(AND(B74&lt;=$C$5,MOD(B73,Mode)=0),Mod_Prem,0)</f>
        <v>0</v>
      </c>
      <c r="D74" s="182">
        <f>C74*VLOOKUP(_xlfn.CEILING.MATH(B74/12),'Pre-Calculation'!$H$1:$I$31,2,FALSE)</f>
        <v>0</v>
      </c>
      <c r="E74" s="182">
        <f>IF(B74&lt;=$C$5,VLOOKUP(_xlfn.CEILING.MATH(B74/12),'Pre-Calculation'!$H$1:$L$32,3,FALSE),0)</f>
        <v>0</v>
      </c>
      <c r="F74" s="36"/>
      <c r="G74" s="36"/>
      <c r="H74" s="36"/>
      <c r="I74" s="36"/>
      <c r="J74" s="36"/>
      <c r="K74" s="36"/>
      <c r="L74" s="36"/>
      <c r="M74" s="36"/>
      <c r="N74" s="36"/>
      <c r="O74" s="36"/>
      <c r="P74" s="36"/>
      <c r="Q74" s="36"/>
      <c r="R74" s="36"/>
      <c r="S74" s="36"/>
      <c r="T74" s="36"/>
      <c r="U74" s="36"/>
      <c r="V74" s="36"/>
      <c r="W74" s="36"/>
      <c r="X74" s="36"/>
      <c r="Y74" s="36"/>
      <c r="Z74" s="36"/>
    </row>
    <row r="75" ht="15.75" customHeight="1">
      <c r="A75" s="192">
        <f t="shared" si="1"/>
        <v>46109</v>
      </c>
      <c r="B75" s="36">
        <f t="shared" si="2"/>
        <v>117</v>
      </c>
      <c r="C75" s="182">
        <f>IF(AND(B75&lt;=$C$5,MOD(B74,Mode)=0),Mod_Prem,0)</f>
        <v>0</v>
      </c>
      <c r="D75" s="182">
        <f>C75*VLOOKUP(_xlfn.CEILING.MATH(B75/12),'Pre-Calculation'!$H$1:$I$31,2,FALSE)</f>
        <v>0</v>
      </c>
      <c r="E75" s="182">
        <f>IF(B75&lt;=$C$5,VLOOKUP(_xlfn.CEILING.MATH(B75/12),'Pre-Calculation'!$H$1:$L$32,3,FALSE),0)</f>
        <v>0</v>
      </c>
      <c r="F75" s="36"/>
      <c r="G75" s="36"/>
      <c r="H75" s="36"/>
      <c r="I75" s="36"/>
      <c r="J75" s="36"/>
      <c r="K75" s="36"/>
      <c r="L75" s="36"/>
      <c r="M75" s="36"/>
      <c r="N75" s="36"/>
      <c r="O75" s="36"/>
      <c r="P75" s="36"/>
      <c r="Q75" s="36"/>
      <c r="R75" s="36"/>
      <c r="S75" s="36"/>
      <c r="T75" s="36"/>
      <c r="U75" s="36"/>
      <c r="V75" s="36"/>
      <c r="W75" s="36"/>
      <c r="X75" s="36"/>
      <c r="Y75" s="36"/>
      <c r="Z75" s="36"/>
    </row>
    <row r="76" ht="15.75" customHeight="1">
      <c r="A76" s="192">
        <f t="shared" si="1"/>
        <v>46140</v>
      </c>
      <c r="B76" s="36">
        <f t="shared" si="2"/>
        <v>118</v>
      </c>
      <c r="C76" s="182">
        <f>IF(AND(B76&lt;=$C$5,MOD(B75,Mode)=0),Mod_Prem,0)</f>
        <v>0</v>
      </c>
      <c r="D76" s="182">
        <f>C76*VLOOKUP(_xlfn.CEILING.MATH(B76/12),'Pre-Calculation'!$H$1:$I$31,2,FALSE)</f>
        <v>0</v>
      </c>
      <c r="E76" s="182">
        <f>IF(B76&lt;=$C$5,VLOOKUP(_xlfn.CEILING.MATH(B76/12),'Pre-Calculation'!$H$1:$L$32,3,FALSE),0)</f>
        <v>0</v>
      </c>
      <c r="F76" s="36"/>
      <c r="G76" s="36"/>
      <c r="H76" s="36"/>
      <c r="I76" s="36"/>
      <c r="J76" s="36"/>
      <c r="K76" s="36"/>
      <c r="L76" s="36"/>
      <c r="M76" s="36"/>
      <c r="N76" s="36"/>
      <c r="O76" s="36"/>
      <c r="P76" s="36"/>
      <c r="Q76" s="36"/>
      <c r="R76" s="36"/>
      <c r="S76" s="36"/>
      <c r="T76" s="36"/>
      <c r="U76" s="36"/>
      <c r="V76" s="36"/>
      <c r="W76" s="36"/>
      <c r="X76" s="36"/>
      <c r="Y76" s="36"/>
      <c r="Z76" s="36"/>
    </row>
    <row r="77" ht="15.75" customHeight="1">
      <c r="A77" s="192">
        <f t="shared" si="1"/>
        <v>46170</v>
      </c>
      <c r="B77" s="36">
        <f t="shared" si="2"/>
        <v>119</v>
      </c>
      <c r="C77" s="182">
        <f>IF(AND(B77&lt;=$C$5,MOD(B76,Mode)=0),Mod_Prem,0)</f>
        <v>0</v>
      </c>
      <c r="D77" s="182">
        <f>C77*VLOOKUP(_xlfn.CEILING.MATH(B77/12),'Pre-Calculation'!$H$1:$I$31,2,FALSE)</f>
        <v>0</v>
      </c>
      <c r="E77" s="182">
        <f>IF(B77&lt;=$C$5,VLOOKUP(_xlfn.CEILING.MATH(B77/12),'Pre-Calculation'!$H$1:$L$32,3,FALSE),0)</f>
        <v>0</v>
      </c>
      <c r="F77" s="36"/>
      <c r="G77" s="36"/>
      <c r="H77" s="36"/>
      <c r="I77" s="36"/>
      <c r="J77" s="36"/>
      <c r="K77" s="36"/>
      <c r="L77" s="36"/>
      <c r="M77" s="36"/>
      <c r="N77" s="36"/>
      <c r="O77" s="36"/>
      <c r="P77" s="36"/>
      <c r="Q77" s="36"/>
      <c r="R77" s="36"/>
      <c r="S77" s="36"/>
      <c r="T77" s="36"/>
      <c r="U77" s="36"/>
      <c r="V77" s="36"/>
      <c r="W77" s="36"/>
      <c r="X77" s="36"/>
      <c r="Y77" s="36"/>
      <c r="Z77" s="36"/>
    </row>
    <row r="78" ht="15.75" customHeight="1">
      <c r="A78" s="192">
        <f t="shared" si="1"/>
        <v>46201</v>
      </c>
      <c r="B78" s="36">
        <f t="shared" si="2"/>
        <v>120</v>
      </c>
      <c r="C78" s="182">
        <f>IF(AND(B78&lt;=$C$5,MOD(B77,Mode)=0),Mod_Prem,0)</f>
        <v>0</v>
      </c>
      <c r="D78" s="182">
        <f>C78*VLOOKUP(_xlfn.CEILING.MATH(B78/12),'Pre-Calculation'!$H$1:$I$31,2,FALSE)</f>
        <v>0</v>
      </c>
      <c r="E78" s="182">
        <f>IF(B78&lt;=$C$5,VLOOKUP(_xlfn.CEILING.MATH(B78/12),'Pre-Calculation'!$H$1:$L$32,3,FALSE),0)</f>
        <v>0</v>
      </c>
      <c r="F78" s="36"/>
      <c r="G78" s="36"/>
      <c r="H78" s="36"/>
      <c r="I78" s="36"/>
      <c r="J78" s="36"/>
      <c r="K78" s="36"/>
      <c r="L78" s="36"/>
      <c r="M78" s="36"/>
      <c r="N78" s="36"/>
      <c r="O78" s="36"/>
      <c r="P78" s="36"/>
      <c r="Q78" s="36"/>
      <c r="R78" s="36"/>
      <c r="S78" s="36"/>
      <c r="T78" s="36"/>
      <c r="U78" s="36"/>
      <c r="V78" s="36"/>
      <c r="W78" s="36"/>
      <c r="X78" s="36"/>
      <c r="Y78" s="36"/>
      <c r="Z78" s="36"/>
    </row>
    <row r="79" ht="15.75" customHeight="1">
      <c r="A79" s="192">
        <f t="shared" si="1"/>
        <v>46231</v>
      </c>
      <c r="B79" s="36">
        <f t="shared" si="2"/>
        <v>121</v>
      </c>
      <c r="C79" s="182">
        <f>IF(AND(B79&lt;=$C$5,MOD(B78,Mode)=0),Mod_Prem,0)</f>
        <v>0</v>
      </c>
      <c r="D79" s="182">
        <f>C79*VLOOKUP(_xlfn.CEILING.MATH(B79/12),'Pre-Calculation'!$H$1:$I$31,2,FALSE)</f>
        <v>0</v>
      </c>
      <c r="E79" s="182">
        <f>IF(B79&lt;=$C$5,VLOOKUP(_xlfn.CEILING.MATH(B79/12),'Pre-Calculation'!$H$1:$L$32,3,FALSE),0)</f>
        <v>0</v>
      </c>
      <c r="F79" s="36"/>
      <c r="G79" s="36"/>
      <c r="H79" s="36"/>
      <c r="I79" s="36"/>
      <c r="J79" s="36"/>
      <c r="K79" s="36"/>
      <c r="L79" s="36"/>
      <c r="M79" s="36"/>
      <c r="N79" s="36"/>
      <c r="O79" s="36"/>
      <c r="P79" s="36"/>
      <c r="Q79" s="36"/>
      <c r="R79" s="36"/>
      <c r="S79" s="36"/>
      <c r="T79" s="36"/>
      <c r="U79" s="36"/>
      <c r="V79" s="36"/>
      <c r="W79" s="36"/>
      <c r="X79" s="36"/>
      <c r="Y79" s="36"/>
      <c r="Z79" s="36"/>
    </row>
    <row r="80" ht="15.75" customHeight="1">
      <c r="A80" s="192">
        <f t="shared" si="1"/>
        <v>46262</v>
      </c>
      <c r="B80" s="36">
        <f t="shared" si="2"/>
        <v>122</v>
      </c>
      <c r="C80" s="182">
        <f>IF(AND(B80&lt;=$C$5,MOD(B79,Mode)=0),Mod_Prem,0)</f>
        <v>0</v>
      </c>
      <c r="D80" s="182">
        <f>C80*VLOOKUP(_xlfn.CEILING.MATH(B80/12),'Pre-Calculation'!$H$1:$I$31,2,FALSE)</f>
        <v>0</v>
      </c>
      <c r="E80" s="182">
        <f>IF(B80&lt;=$C$5,VLOOKUP(_xlfn.CEILING.MATH(B80/12),'Pre-Calculation'!$H$1:$L$32,3,FALSE),0)</f>
        <v>0</v>
      </c>
      <c r="F80" s="36"/>
      <c r="G80" s="36"/>
      <c r="H80" s="36"/>
      <c r="I80" s="36"/>
      <c r="J80" s="36"/>
      <c r="K80" s="36"/>
      <c r="L80" s="36"/>
      <c r="M80" s="36"/>
      <c r="N80" s="36"/>
      <c r="O80" s="36"/>
      <c r="P80" s="36"/>
      <c r="Q80" s="36"/>
      <c r="R80" s="36"/>
      <c r="S80" s="36"/>
      <c r="T80" s="36"/>
      <c r="U80" s="36"/>
      <c r="V80" s="36"/>
      <c r="W80" s="36"/>
      <c r="X80" s="36"/>
      <c r="Y80" s="36"/>
      <c r="Z80" s="36"/>
    </row>
    <row r="81" ht="15.75" customHeight="1">
      <c r="A81" s="192">
        <f t="shared" si="1"/>
        <v>46293</v>
      </c>
      <c r="B81" s="36">
        <f t="shared" si="2"/>
        <v>123</v>
      </c>
      <c r="C81" s="182">
        <f>IF(AND(B81&lt;=$C$5,MOD(B80,Mode)=0),Mod_Prem,0)</f>
        <v>0</v>
      </c>
      <c r="D81" s="182">
        <f>C81*VLOOKUP(_xlfn.CEILING.MATH(B81/12),'Pre-Calculation'!$H$1:$I$31,2,FALSE)</f>
        <v>0</v>
      </c>
      <c r="E81" s="182">
        <f>IF(B81&lt;=$C$5,VLOOKUP(_xlfn.CEILING.MATH(B81/12),'Pre-Calculation'!$H$1:$L$32,3,FALSE),0)</f>
        <v>0</v>
      </c>
      <c r="F81" s="36"/>
      <c r="G81" s="36"/>
      <c r="H81" s="36"/>
      <c r="I81" s="36"/>
      <c r="J81" s="36"/>
      <c r="K81" s="36"/>
      <c r="L81" s="36"/>
      <c r="M81" s="36"/>
      <c r="N81" s="36"/>
      <c r="O81" s="36"/>
      <c r="P81" s="36"/>
      <c r="Q81" s="36"/>
      <c r="R81" s="36"/>
      <c r="S81" s="36"/>
      <c r="T81" s="36"/>
      <c r="U81" s="36"/>
      <c r="V81" s="36"/>
      <c r="W81" s="36"/>
      <c r="X81" s="36"/>
      <c r="Y81" s="36"/>
      <c r="Z81" s="36"/>
    </row>
    <row r="82" ht="15.75" customHeight="1">
      <c r="A82" s="192">
        <f t="shared" si="1"/>
        <v>46323</v>
      </c>
      <c r="B82" s="36">
        <f t="shared" si="2"/>
        <v>124</v>
      </c>
      <c r="C82" s="182">
        <f>IF(AND(B82&lt;=$C$5,MOD(B81,Mode)=0),Mod_Prem,0)</f>
        <v>0</v>
      </c>
      <c r="D82" s="182">
        <f>C82*VLOOKUP(_xlfn.CEILING.MATH(B82/12),'Pre-Calculation'!$H$1:$I$31,2,FALSE)</f>
        <v>0</v>
      </c>
      <c r="E82" s="182">
        <f>IF(B82&lt;=$C$5,VLOOKUP(_xlfn.CEILING.MATH(B82/12),'Pre-Calculation'!$H$1:$L$32,3,FALSE),0)</f>
        <v>0</v>
      </c>
      <c r="F82" s="36"/>
      <c r="G82" s="36"/>
      <c r="H82" s="36"/>
      <c r="I82" s="36"/>
      <c r="J82" s="36"/>
      <c r="K82" s="36"/>
      <c r="L82" s="36"/>
      <c r="M82" s="36"/>
      <c r="N82" s="36"/>
      <c r="O82" s="36"/>
      <c r="P82" s="36"/>
      <c r="Q82" s="36"/>
      <c r="R82" s="36"/>
      <c r="S82" s="36"/>
      <c r="T82" s="36"/>
      <c r="U82" s="36"/>
      <c r="V82" s="36"/>
      <c r="W82" s="36"/>
      <c r="X82" s="36"/>
      <c r="Y82" s="36"/>
      <c r="Z82" s="36"/>
    </row>
    <row r="83" ht="15.75" customHeight="1">
      <c r="A83" s="192">
        <f t="shared" si="1"/>
        <v>46354</v>
      </c>
      <c r="B83" s="36">
        <f t="shared" si="2"/>
        <v>125</v>
      </c>
      <c r="C83" s="182">
        <f>IF(AND(B83&lt;=$C$5,MOD(B82,Mode)=0),Mod_Prem,0)</f>
        <v>0</v>
      </c>
      <c r="D83" s="182">
        <f>C83*VLOOKUP(_xlfn.CEILING.MATH(B83/12),'Pre-Calculation'!$H$1:$I$31,2,FALSE)</f>
        <v>0</v>
      </c>
      <c r="E83" s="182">
        <f>IF(B83&lt;=$C$5,VLOOKUP(_xlfn.CEILING.MATH(B83/12),'Pre-Calculation'!$H$1:$L$32,3,FALSE),0)</f>
        <v>0</v>
      </c>
      <c r="F83" s="36"/>
      <c r="G83" s="36"/>
      <c r="H83" s="36"/>
      <c r="I83" s="36"/>
      <c r="J83" s="36"/>
      <c r="K83" s="36"/>
      <c r="L83" s="36"/>
      <c r="M83" s="36"/>
      <c r="N83" s="36"/>
      <c r="O83" s="36"/>
      <c r="P83" s="36"/>
      <c r="Q83" s="36"/>
      <c r="R83" s="36"/>
      <c r="S83" s="36"/>
      <c r="T83" s="36"/>
      <c r="U83" s="36"/>
      <c r="V83" s="36"/>
      <c r="W83" s="36"/>
      <c r="X83" s="36"/>
      <c r="Y83" s="36"/>
      <c r="Z83" s="36"/>
    </row>
    <row r="84" ht="15.75" customHeight="1">
      <c r="A84" s="192">
        <f t="shared" si="1"/>
        <v>46384</v>
      </c>
      <c r="B84" s="36">
        <f t="shared" si="2"/>
        <v>126</v>
      </c>
      <c r="C84" s="182">
        <f>IF(AND(B84&lt;=$C$5,MOD(B83,Mode)=0),Mod_Prem,0)</f>
        <v>0</v>
      </c>
      <c r="D84" s="182">
        <f>C84*VLOOKUP(_xlfn.CEILING.MATH(B84/12),'Pre-Calculation'!$H$1:$I$31,2,FALSE)</f>
        <v>0</v>
      </c>
      <c r="E84" s="182">
        <f>IF(B84&lt;=$C$5,VLOOKUP(_xlfn.CEILING.MATH(B84/12),'Pre-Calculation'!$H$1:$L$32,3,FALSE),0)</f>
        <v>0</v>
      </c>
      <c r="F84" s="36"/>
      <c r="G84" s="36"/>
      <c r="H84" s="36"/>
      <c r="I84" s="36"/>
      <c r="J84" s="36"/>
      <c r="K84" s="36"/>
      <c r="L84" s="36"/>
      <c r="M84" s="36"/>
      <c r="N84" s="36"/>
      <c r="O84" s="36"/>
      <c r="P84" s="36"/>
      <c r="Q84" s="36"/>
      <c r="R84" s="36"/>
      <c r="S84" s="36"/>
      <c r="T84" s="36"/>
      <c r="U84" s="36"/>
      <c r="V84" s="36"/>
      <c r="W84" s="36"/>
      <c r="X84" s="36"/>
      <c r="Y84" s="36"/>
      <c r="Z84" s="36"/>
    </row>
    <row r="85" ht="15.75" customHeight="1">
      <c r="A85" s="192">
        <f t="shared" si="1"/>
        <v>46415</v>
      </c>
      <c r="B85" s="36">
        <f t="shared" si="2"/>
        <v>127</v>
      </c>
      <c r="C85" s="182">
        <f>IF(AND(B85&lt;=$C$5,MOD(B84,Mode)=0),Mod_Prem,0)</f>
        <v>0</v>
      </c>
      <c r="D85" s="182">
        <f>C85*VLOOKUP(_xlfn.CEILING.MATH(B85/12),'Pre-Calculation'!$H$1:$I$31,2,FALSE)</f>
        <v>0</v>
      </c>
      <c r="E85" s="182">
        <f>IF(B85&lt;=$C$5,VLOOKUP(_xlfn.CEILING.MATH(B85/12),'Pre-Calculation'!$H$1:$L$32,3,FALSE),0)</f>
        <v>0</v>
      </c>
      <c r="F85" s="36"/>
      <c r="G85" s="36"/>
      <c r="H85" s="36"/>
      <c r="I85" s="36"/>
      <c r="J85" s="36"/>
      <c r="K85" s="36"/>
      <c r="L85" s="36"/>
      <c r="M85" s="36"/>
      <c r="N85" s="36"/>
      <c r="O85" s="36"/>
      <c r="P85" s="36"/>
      <c r="Q85" s="36"/>
      <c r="R85" s="36"/>
      <c r="S85" s="36"/>
      <c r="T85" s="36"/>
      <c r="U85" s="36"/>
      <c r="V85" s="36"/>
      <c r="W85" s="36"/>
      <c r="X85" s="36"/>
      <c r="Y85" s="36"/>
      <c r="Z85" s="36"/>
    </row>
    <row r="86" ht="15.75" customHeight="1">
      <c r="A86" s="192">
        <f t="shared" si="1"/>
        <v>46446</v>
      </c>
      <c r="B86" s="36">
        <f t="shared" si="2"/>
        <v>128</v>
      </c>
      <c r="C86" s="182">
        <f>IF(AND(B86&lt;=$C$5,MOD(B85,Mode)=0),Mod_Prem,0)</f>
        <v>0</v>
      </c>
      <c r="D86" s="182">
        <f>C86*VLOOKUP(_xlfn.CEILING.MATH(B86/12),'Pre-Calculation'!$H$1:$I$31,2,FALSE)</f>
        <v>0</v>
      </c>
      <c r="E86" s="182">
        <f>IF(B86&lt;=$C$5,VLOOKUP(_xlfn.CEILING.MATH(B86/12),'Pre-Calculation'!$H$1:$L$32,3,FALSE),0)</f>
        <v>0</v>
      </c>
      <c r="F86" s="36"/>
      <c r="G86" s="36"/>
      <c r="H86" s="36"/>
      <c r="I86" s="36"/>
      <c r="J86" s="36"/>
      <c r="K86" s="36"/>
      <c r="L86" s="36"/>
      <c r="M86" s="36"/>
      <c r="N86" s="36"/>
      <c r="O86" s="36"/>
      <c r="P86" s="36"/>
      <c r="Q86" s="36"/>
      <c r="R86" s="36"/>
      <c r="S86" s="36"/>
      <c r="T86" s="36"/>
      <c r="U86" s="36"/>
      <c r="V86" s="36"/>
      <c r="W86" s="36"/>
      <c r="X86" s="36"/>
      <c r="Y86" s="36"/>
      <c r="Z86" s="36"/>
    </row>
    <row r="87" ht="15.75" customHeight="1">
      <c r="A87" s="192">
        <f t="shared" si="1"/>
        <v>46474</v>
      </c>
      <c r="B87" s="36">
        <f t="shared" si="2"/>
        <v>129</v>
      </c>
      <c r="C87" s="182">
        <f>IF(AND(B87&lt;=$C$5,MOD(B86,Mode)=0),Mod_Prem,0)</f>
        <v>0</v>
      </c>
      <c r="D87" s="182">
        <f>C87*VLOOKUP(_xlfn.CEILING.MATH(B87/12),'Pre-Calculation'!$H$1:$I$31,2,FALSE)</f>
        <v>0</v>
      </c>
      <c r="E87" s="182">
        <f>IF(B87&lt;=$C$5,VLOOKUP(_xlfn.CEILING.MATH(B87/12),'Pre-Calculation'!$H$1:$L$32,3,FALSE),0)</f>
        <v>0</v>
      </c>
      <c r="F87" s="36"/>
      <c r="G87" s="36"/>
      <c r="H87" s="36"/>
      <c r="I87" s="36"/>
      <c r="J87" s="36"/>
      <c r="K87" s="36"/>
      <c r="L87" s="36"/>
      <c r="M87" s="36"/>
      <c r="N87" s="36"/>
      <c r="O87" s="36"/>
      <c r="P87" s="36"/>
      <c r="Q87" s="36"/>
      <c r="R87" s="36"/>
      <c r="S87" s="36"/>
      <c r="T87" s="36"/>
      <c r="U87" s="36"/>
      <c r="V87" s="36"/>
      <c r="W87" s="36"/>
      <c r="X87" s="36"/>
      <c r="Y87" s="36"/>
      <c r="Z87" s="36"/>
    </row>
    <row r="88" ht="15.75" customHeight="1">
      <c r="A88" s="192">
        <f t="shared" si="1"/>
        <v>46505</v>
      </c>
      <c r="B88" s="36">
        <f t="shared" si="2"/>
        <v>130</v>
      </c>
      <c r="C88" s="182">
        <f>IF(AND(B88&lt;=$C$5,MOD(B87,Mode)=0),Mod_Prem,0)</f>
        <v>0</v>
      </c>
      <c r="D88" s="182">
        <f>C88*VLOOKUP(_xlfn.CEILING.MATH(B88/12),'Pre-Calculation'!$H$1:$I$31,2,FALSE)</f>
        <v>0</v>
      </c>
      <c r="E88" s="182">
        <f>IF(B88&lt;=$C$5,VLOOKUP(_xlfn.CEILING.MATH(B88/12),'Pre-Calculation'!$H$1:$L$32,3,FALSE),0)</f>
        <v>0</v>
      </c>
      <c r="F88" s="36"/>
      <c r="G88" s="36"/>
      <c r="H88" s="36"/>
      <c r="I88" s="36"/>
      <c r="J88" s="36"/>
      <c r="K88" s="36"/>
      <c r="L88" s="36"/>
      <c r="M88" s="36"/>
      <c r="N88" s="36"/>
      <c r="O88" s="36"/>
      <c r="P88" s="36"/>
      <c r="Q88" s="36"/>
      <c r="R88" s="36"/>
      <c r="S88" s="36"/>
      <c r="T88" s="36"/>
      <c r="U88" s="36"/>
      <c r="V88" s="36"/>
      <c r="W88" s="36"/>
      <c r="X88" s="36"/>
      <c r="Y88" s="36"/>
      <c r="Z88" s="36"/>
    </row>
    <row r="89" ht="15.75" customHeight="1">
      <c r="A89" s="192">
        <f t="shared" si="1"/>
        <v>46535</v>
      </c>
      <c r="B89" s="36">
        <f t="shared" si="2"/>
        <v>131</v>
      </c>
      <c r="C89" s="182">
        <f>IF(AND(B89&lt;=$C$5,MOD(B88,Mode)=0),Mod_Prem,0)</f>
        <v>0</v>
      </c>
      <c r="D89" s="182">
        <f>C89*VLOOKUP(_xlfn.CEILING.MATH(B89/12),'Pre-Calculation'!$H$1:$I$31,2,FALSE)</f>
        <v>0</v>
      </c>
      <c r="E89" s="182">
        <f>IF(B89&lt;=$C$5,VLOOKUP(_xlfn.CEILING.MATH(B89/12),'Pre-Calculation'!$H$1:$L$32,3,FALSE),0)</f>
        <v>0</v>
      </c>
      <c r="F89" s="36"/>
      <c r="G89" s="36"/>
      <c r="H89" s="36"/>
      <c r="I89" s="36"/>
      <c r="J89" s="36"/>
      <c r="K89" s="36"/>
      <c r="L89" s="36"/>
      <c r="M89" s="36"/>
      <c r="N89" s="36"/>
      <c r="O89" s="36"/>
      <c r="P89" s="36"/>
      <c r="Q89" s="36"/>
      <c r="R89" s="36"/>
      <c r="S89" s="36"/>
      <c r="T89" s="36"/>
      <c r="U89" s="36"/>
      <c r="V89" s="36"/>
      <c r="W89" s="36"/>
      <c r="X89" s="36"/>
      <c r="Y89" s="36"/>
      <c r="Z89" s="36"/>
    </row>
    <row r="90" ht="15.75" customHeight="1">
      <c r="A90" s="192">
        <f>EDATE(A89,Mode)</f>
        <v>46901</v>
      </c>
      <c r="B90" s="36">
        <f t="shared" si="2"/>
        <v>132</v>
      </c>
      <c r="C90" s="182">
        <f>IF(AND(B90&lt;=$C$5,MOD(B89,Mode)=0),Mod_Prem,0)</f>
        <v>0</v>
      </c>
      <c r="D90" s="182">
        <f>C90*VLOOKUP(_xlfn.CEILING.MATH(B90/12),'Pre-Calculation'!$H$1:$I$31,2,FALSE)</f>
        <v>0</v>
      </c>
      <c r="E90" s="182">
        <f>IF(B90&lt;=$C$5,VLOOKUP(_xlfn.CEILING.MATH(B90/12),'Pre-Calculation'!$H$1:$L$32,3,FALSE),0)</f>
        <v>0</v>
      </c>
      <c r="F90" s="36"/>
      <c r="G90" s="36"/>
      <c r="H90" s="36"/>
      <c r="I90" s="36"/>
      <c r="J90" s="36"/>
      <c r="K90" s="36"/>
      <c r="L90" s="36"/>
      <c r="M90" s="36"/>
      <c r="N90" s="36"/>
      <c r="O90" s="36"/>
      <c r="P90" s="36"/>
      <c r="Q90" s="36"/>
      <c r="R90" s="36"/>
      <c r="S90" s="36"/>
      <c r="T90" s="36"/>
      <c r="U90" s="36"/>
      <c r="V90" s="36"/>
      <c r="W90" s="36"/>
      <c r="X90" s="36"/>
      <c r="Y90" s="36"/>
      <c r="Z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ht="15.7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ht="15.7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ht="15.7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ht="15.7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ht="15.7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ht="15.7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ht="15.7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ht="15.7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ht="15.7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ht="15.7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ht="15.7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ht="15.7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ht="15.7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ht="15.7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ht="15.7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ht="15.7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ht="15.7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ht="15.7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ht="15.7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ht="15.7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ht="15.7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ht="15.7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ht="15.7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ht="15.7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ht="15.7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ht="15.7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ht="15.7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ht="15.7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ht="15.7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ht="15.7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ht="15.7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ht="15.7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ht="15.7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ht="15.7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ht="15.7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ht="15.7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ht="15.7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ht="15.7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ht="15.7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ht="15.7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ht="15.7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ht="15.7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ht="15.7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ht="15.7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ht="15.7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ht="15.7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ht="15.7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ht="15.7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ht="15.7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ht="15.7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ht="15.75" customHeight="1">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ht="15.75" customHeight="1">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ht="15.75" customHeight="1">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75" customHeight="1">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10.63"/>
    <col customWidth="1" min="3" max="3" width="8.63"/>
    <col customWidth="1" min="4" max="4" width="19.25"/>
    <col customWidth="1" min="5" max="5" width="15.88"/>
    <col customWidth="1" min="6" max="6" width="8.63"/>
    <col customWidth="1" min="7" max="8" width="11.88"/>
    <col customWidth="1" min="9" max="10" width="5.88"/>
    <col customWidth="1" min="11" max="26" width="8.63"/>
  </cols>
  <sheetData>
    <row r="1" ht="14.25" customHeight="1">
      <c r="D1" s="12" t="s">
        <v>134</v>
      </c>
      <c r="E1" s="194">
        <f t="shared" ref="E1:H1" si="1">(1+IRR(E8:E247,0))^12-1</f>
        <v>0.08876877861</v>
      </c>
      <c r="F1" s="194">
        <f t="shared" si="1"/>
        <v>0.06222372661</v>
      </c>
      <c r="G1" s="194">
        <f t="shared" si="1"/>
        <v>0.03339010126</v>
      </c>
      <c r="H1" s="194">
        <f t="shared" si="1"/>
        <v>0.1154984405</v>
      </c>
    </row>
    <row r="2" ht="14.25" customHeight="1">
      <c r="A2" s="12"/>
      <c r="B2" s="12"/>
      <c r="C2" s="12"/>
      <c r="D2" s="12" t="s">
        <v>135</v>
      </c>
      <c r="E2" s="194">
        <f t="shared" ref="E2:H2" si="2">E6-E1</f>
        <v>0.04563322139</v>
      </c>
      <c r="F2" s="194">
        <f t="shared" si="2"/>
        <v>0.01777627339</v>
      </c>
      <c r="G2" s="194">
        <f t="shared" si="2"/>
        <v>0.006609898745</v>
      </c>
      <c r="H2" s="194">
        <f t="shared" si="2"/>
        <v>0.02397582367</v>
      </c>
      <c r="I2" s="12"/>
      <c r="J2" s="12"/>
      <c r="K2" s="12"/>
      <c r="L2" s="12"/>
      <c r="M2" s="12"/>
      <c r="N2" s="12"/>
      <c r="O2" s="12"/>
      <c r="P2" s="12"/>
      <c r="Q2" s="12"/>
      <c r="R2" s="12"/>
      <c r="S2" s="12"/>
      <c r="T2" s="12"/>
      <c r="U2" s="12"/>
      <c r="V2" s="12"/>
      <c r="W2" s="12"/>
      <c r="X2" s="12"/>
      <c r="Y2" s="12"/>
      <c r="Z2" s="12"/>
    </row>
    <row r="3" ht="14.25" customHeight="1">
      <c r="A3" s="12"/>
      <c r="B3" s="12"/>
      <c r="C3" s="12"/>
      <c r="D3" s="12" t="s">
        <v>136</v>
      </c>
      <c r="E3" s="194"/>
      <c r="F3" s="194">
        <f>'Cashflows_8%'!T4</f>
        <v>0.0521542034</v>
      </c>
      <c r="G3" s="194">
        <f>'Cashflows_4%'!T4</f>
        <v>0.01148090519</v>
      </c>
      <c r="H3" s="194">
        <f>Cashflows_HIST!T4</f>
        <v>0.1308802</v>
      </c>
      <c r="I3" s="12"/>
      <c r="J3" s="12"/>
      <c r="K3" s="12"/>
      <c r="L3" s="12"/>
      <c r="M3" s="12"/>
      <c r="N3" s="12"/>
      <c r="O3" s="12"/>
      <c r="P3" s="12"/>
      <c r="Q3" s="12"/>
      <c r="R3" s="12"/>
      <c r="S3" s="12"/>
      <c r="T3" s="12"/>
      <c r="U3" s="12"/>
      <c r="V3" s="12"/>
      <c r="W3" s="12"/>
      <c r="X3" s="12"/>
      <c r="Y3" s="12"/>
      <c r="Z3" s="12"/>
    </row>
    <row r="4" ht="14.25" customHeight="1">
      <c r="A4" s="12"/>
      <c r="B4" s="12"/>
      <c r="C4" s="12"/>
      <c r="D4" s="12" t="s">
        <v>137</v>
      </c>
      <c r="E4" s="194"/>
      <c r="F4" s="194">
        <f t="shared" ref="F4:H4" si="3">F6-F3</f>
        <v>0.0278457966</v>
      </c>
      <c r="G4" s="194">
        <f t="shared" si="3"/>
        <v>0.02851909481</v>
      </c>
      <c r="H4" s="194">
        <f t="shared" si="3"/>
        <v>0.008594064166</v>
      </c>
      <c r="I4" s="194">
        <f>I6-'Cashflows_8%'!W4</f>
        <v>0.02019790178</v>
      </c>
      <c r="J4" s="194">
        <f>J6-'Cashflows_4%'!W4</f>
        <v>0.02020191788</v>
      </c>
      <c r="K4" s="12"/>
      <c r="L4" s="12"/>
      <c r="M4" s="12"/>
      <c r="N4" s="12"/>
      <c r="O4" s="12"/>
      <c r="P4" s="12"/>
      <c r="Q4" s="12"/>
      <c r="R4" s="12"/>
      <c r="S4" s="12"/>
      <c r="T4" s="12"/>
      <c r="U4" s="12"/>
      <c r="V4" s="12"/>
      <c r="W4" s="12"/>
      <c r="X4" s="12"/>
      <c r="Y4" s="12"/>
      <c r="Z4" s="12"/>
    </row>
    <row r="5" ht="14.25" customHeight="1">
      <c r="B5" s="195" t="s">
        <v>251</v>
      </c>
      <c r="C5" s="195" t="s">
        <v>215</v>
      </c>
      <c r="D5" s="195" t="s">
        <v>252</v>
      </c>
      <c r="E5" s="195" t="s">
        <v>293</v>
      </c>
      <c r="F5" s="195" t="s">
        <v>294</v>
      </c>
      <c r="G5" s="195" t="s">
        <v>294</v>
      </c>
      <c r="H5" s="195" t="s">
        <v>294</v>
      </c>
      <c r="I5" s="196" t="s">
        <v>295</v>
      </c>
    </row>
    <row r="6" ht="14.25" customHeight="1">
      <c r="B6" s="195"/>
      <c r="C6" s="195"/>
      <c r="D6" s="195"/>
      <c r="E6" s="197">
        <f>(((1+'Pre-Calculation'!D23)/(1-FMC*12*(1+Tax)))-1)*0+13.4402%</f>
        <v>0.134402</v>
      </c>
      <c r="F6" s="198">
        <v>0.08</v>
      </c>
      <c r="G6" s="198">
        <v>0.04</v>
      </c>
      <c r="H6" s="197">
        <f>'Pre-Calculation'!D23/(1-FMC*(1+Tax))</f>
        <v>0.1394742641</v>
      </c>
      <c r="I6" s="198">
        <v>0.08</v>
      </c>
      <c r="J6" s="198">
        <v>0.04</v>
      </c>
    </row>
    <row r="7" ht="14.25" customHeight="1">
      <c r="B7" s="171">
        <v>0.0</v>
      </c>
      <c r="C7" s="171"/>
      <c r="D7" s="171"/>
    </row>
    <row r="8" ht="14.25" customHeight="1">
      <c r="B8" s="171">
        <f t="shared" ref="B8:B247" si="4">B7+1</f>
        <v>1</v>
      </c>
      <c r="C8" s="171">
        <f t="shared" ref="C8:C247" si="5">_xlfn.CEILING.MATH(B8/12)</f>
        <v>1</v>
      </c>
      <c r="D8" s="176">
        <f>EDATE(RCD,B7)</f>
        <v>42551</v>
      </c>
      <c r="E8" s="199">
        <f>-IF(AND(D8&lt;=Revival!$C$2,MOD(B7,Mode)=0),Mod_Prem,0)+IF(B7='Pre-Calculation'!$D$12,SV,0)</f>
        <v>-100000</v>
      </c>
      <c r="F8" s="199">
        <f>-IF(AND(D8&lt;=Revival!$C$2,MOD(B7,Mode)=0),Mod_Prem,0)-IF(D8='Cashflows_8%'!$C$7,Revival!$C$14,0)-IF(AND(D8&gt;'Cashflows_8%'!$C$7,D8&lt;=Revival!$C$12,MOD(B7,Mode)=0),Mod_Prem,0)+IF(B7=PT*12,VLOOKUP(PT*12,'Cashflows_8%'!$A$7:$N$246,14,0),0)+IF(B7='Pre-Calculation'!$D$12,PW,0)</f>
        <v>-100000</v>
      </c>
      <c r="G8" s="122">
        <f>-IF(AND(D8&lt;=Revival!$C$2,MOD(B7,Mode)=0),Mod_Prem,0)-IF(D8='Cashflows_8%'!$C$7,Revival!$C$14,0)-IF(AND(D8&gt;'Cashflows_8%'!$C$7,D8&lt;=Revival!$C$12,MOD(B7,Mode)=0),Mod_Prem,0)+IF(B7=PT*12,VLOOKUP(PT*12,'Cashflows_4%'!$A$7:$N$246,14,0),0)+IF(B7='Pre-Calculation'!$D$12,PW,0)</f>
        <v>-100000</v>
      </c>
      <c r="H8" s="122">
        <f>-IF(AND(D8&lt;=Revival!$C$2,MOD(B7,Mode)=0),Mod_Prem,0)-IF(D8='Cashflows_8%'!$C$7,Revival!$C$14,0)-IF(AND(D8&gt;'Cashflows_8%'!$C$7,D8&lt;=Revival!$C$12,MOD(B7,Mode)=0),Mod_Prem,0)+IF(B7=PT*12,VLOOKUP(PT*12,Cashflows_HIST!$A$7:$N$246,14,0),0)+IF(B7='Pre-Calculation'!$D$12,PW,0)</f>
        <v>-100000</v>
      </c>
    </row>
    <row r="9" ht="14.25" customHeight="1">
      <c r="B9" s="171">
        <f t="shared" si="4"/>
        <v>2</v>
      </c>
      <c r="C9" s="171">
        <f t="shared" si="5"/>
        <v>1</v>
      </c>
      <c r="D9" s="176">
        <f>EDATE(RCD,B8)</f>
        <v>42581</v>
      </c>
      <c r="E9" s="199">
        <f>-IF(AND(D9&lt;=Revival!$C$2,MOD(B8,Mode)=0),Mod_Prem,0)+IF(B8='Pre-Calculation'!$D$12,SV,0)</f>
        <v>0</v>
      </c>
      <c r="F9" s="199">
        <f>-IF(AND(D9&lt;=Revival!$C$2,MOD(B8,Mode)=0),Mod_Prem,0)-IF(D9='Cashflows_8%'!$C$7,Revival!$C$14,0)-IF(AND(D9&gt;'Cashflows_8%'!$C$7,D9&lt;=Revival!$C$12,MOD(B8,Mode)=0),Mod_Prem,0)+IF(B8=PT*12,VLOOKUP(PT*12,'Cashflows_8%'!$A$7:$N$246,14,0),0)+IF(B8='Pre-Calculation'!$D$12,PW,0)</f>
        <v>0</v>
      </c>
      <c r="G9" s="122">
        <f>-IF(AND(D9&lt;=Revival!$C$2,MOD(B8,Mode)=0),Mod_Prem,0)-IF(D9='Cashflows_8%'!$C$7,Revival!$C$14,0)-IF(AND(D9&gt;'Cashflows_8%'!$C$7,D9&lt;=Revival!$C$12,MOD(B8,Mode)=0),Mod_Prem,0)+IF(B8=PT*12,VLOOKUP(PT*12,'Cashflows_4%'!$A$7:$N$246,14,0),0)+IF(B8='Pre-Calculation'!$D$12,PW,0)</f>
        <v>0</v>
      </c>
      <c r="H9" s="122">
        <f>-IF(AND(D9&lt;=Revival!$C$2,MOD(B8,Mode)=0),Mod_Prem,0)-IF(D9='Cashflows_8%'!$C$7,Revival!$C$14,0)-IF(AND(D9&gt;'Cashflows_8%'!$C$7,D9&lt;=Revival!$C$12,MOD(B8,Mode)=0),Mod_Prem,0)+IF(B8=PT*12,VLOOKUP(PT*12,Cashflows_HIST!$A$7:$N$246,14,0),0)+IF(B8='Pre-Calculation'!$D$12,PW,0)</f>
        <v>0</v>
      </c>
    </row>
    <row r="10" ht="14.25" customHeight="1">
      <c r="B10" s="171">
        <f t="shared" si="4"/>
        <v>3</v>
      </c>
      <c r="C10" s="171">
        <f t="shared" si="5"/>
        <v>1</v>
      </c>
      <c r="D10" s="176">
        <f>EDATE(RCD,B9)</f>
        <v>42612</v>
      </c>
      <c r="E10" s="199">
        <f>-IF(AND(D10&lt;=Revival!$C$2,MOD(B9,Mode)=0),Mod_Prem,0)+IF(B9='Pre-Calculation'!$D$12,SV,0)</f>
        <v>0</v>
      </c>
      <c r="F10" s="199">
        <f>-IF(AND(D10&lt;=Revival!$C$2,MOD(B9,Mode)=0),Mod_Prem,0)-IF(D10='Cashflows_8%'!$C$7,Revival!$C$14,0)-IF(AND(D10&gt;'Cashflows_8%'!$C$7,D10&lt;=Revival!$C$12,MOD(B9,Mode)=0),Mod_Prem,0)+IF(B9=PT*12,VLOOKUP(PT*12,'Cashflows_8%'!$A$7:$N$246,14,0),0)+IF(B9='Pre-Calculation'!$D$12,PW,0)</f>
        <v>0</v>
      </c>
      <c r="G10" s="122">
        <f>-IF(AND(D10&lt;=Revival!$C$2,MOD(B9,Mode)=0),Mod_Prem,0)-IF(D10='Cashflows_8%'!$C$7,Revival!$C$14,0)-IF(AND(D10&gt;'Cashflows_8%'!$C$7,D10&lt;=Revival!$C$12,MOD(B9,Mode)=0),Mod_Prem,0)+IF(B9=PT*12,VLOOKUP(PT*12,'Cashflows_4%'!$A$7:$N$246,14,0),0)+IF(B9='Pre-Calculation'!$D$12,PW,0)</f>
        <v>0</v>
      </c>
      <c r="H10" s="122">
        <f>-IF(AND(D10&lt;=Revival!$C$2,MOD(B9,Mode)=0),Mod_Prem,0)-IF(D10='Cashflows_8%'!$C$7,Revival!$C$14,0)-IF(AND(D10&gt;'Cashflows_8%'!$C$7,D10&lt;=Revival!$C$12,MOD(B9,Mode)=0),Mod_Prem,0)+IF(B9=PT*12,VLOOKUP(PT*12,Cashflows_HIST!$A$7:$N$246,14,0),0)+IF(B9='Pre-Calculation'!$D$12,PW,0)</f>
        <v>0</v>
      </c>
    </row>
    <row r="11" ht="14.25" customHeight="1">
      <c r="B11" s="171">
        <f t="shared" si="4"/>
        <v>4</v>
      </c>
      <c r="C11" s="171">
        <f t="shared" si="5"/>
        <v>1</v>
      </c>
      <c r="D11" s="176">
        <f>EDATE(RCD,B10)</f>
        <v>42643</v>
      </c>
      <c r="E11" s="199">
        <f>-IF(AND(D11&lt;=Revival!$C$2,MOD(B10,Mode)=0),Mod_Prem,0)+IF(B10='Pre-Calculation'!$D$12,SV,0)</f>
        <v>0</v>
      </c>
      <c r="F11" s="199">
        <f>-IF(AND(D11&lt;=Revival!$C$2,MOD(B10,Mode)=0),Mod_Prem,0)-IF(D11='Cashflows_8%'!$C$7,Revival!$C$14,0)-IF(AND(D11&gt;'Cashflows_8%'!$C$7,D11&lt;=Revival!$C$12,MOD(B10,Mode)=0),Mod_Prem,0)+IF(B10=PT*12,VLOOKUP(PT*12,'Cashflows_8%'!$A$7:$N$246,14,0),0)+IF(B10='Pre-Calculation'!$D$12,PW,0)</f>
        <v>0</v>
      </c>
      <c r="G11" s="122">
        <f>-IF(AND(D11&lt;=Revival!$C$2,MOD(B10,Mode)=0),Mod_Prem,0)-IF(D11='Cashflows_8%'!$C$7,Revival!$C$14,0)-IF(AND(D11&gt;'Cashflows_8%'!$C$7,D11&lt;=Revival!$C$12,MOD(B10,Mode)=0),Mod_Prem,0)+IF(B10=PT*12,VLOOKUP(PT*12,'Cashflows_4%'!$A$7:$N$246,14,0),0)+IF(B10='Pre-Calculation'!$D$12,PW,0)</f>
        <v>0</v>
      </c>
      <c r="H11" s="122">
        <f>-IF(AND(D11&lt;=Revival!$C$2,MOD(B10,Mode)=0),Mod_Prem,0)-IF(D11='Cashflows_8%'!$C$7,Revival!$C$14,0)-IF(AND(D11&gt;'Cashflows_8%'!$C$7,D11&lt;=Revival!$C$12,MOD(B10,Mode)=0),Mod_Prem,0)+IF(B10=PT*12,VLOOKUP(PT*12,Cashflows_HIST!$A$7:$N$246,14,0),0)+IF(B10='Pre-Calculation'!$D$12,PW,0)</f>
        <v>0</v>
      </c>
    </row>
    <row r="12" ht="14.25" customHeight="1">
      <c r="B12" s="171">
        <f t="shared" si="4"/>
        <v>5</v>
      </c>
      <c r="C12" s="171">
        <f t="shared" si="5"/>
        <v>1</v>
      </c>
      <c r="D12" s="176">
        <f>EDATE(RCD,B11)</f>
        <v>42673</v>
      </c>
      <c r="E12" s="199">
        <f>-IF(AND(D12&lt;=Revival!$C$2,MOD(B11,Mode)=0),Mod_Prem,0)+IF(B11='Pre-Calculation'!$D$12,SV,0)</f>
        <v>0</v>
      </c>
      <c r="F12" s="199">
        <f>-IF(AND(D12&lt;=Revival!$C$2,MOD(B11,Mode)=0),Mod_Prem,0)-IF(D12='Cashflows_8%'!$C$7,Revival!$C$14,0)-IF(AND(D12&gt;'Cashflows_8%'!$C$7,D12&lt;=Revival!$C$12,MOD(B11,Mode)=0),Mod_Prem,0)+IF(B11=PT*12,VLOOKUP(PT*12,'Cashflows_8%'!$A$7:$N$246,14,0),0)+IF(B11='Pre-Calculation'!$D$12,PW,0)</f>
        <v>0</v>
      </c>
      <c r="G12" s="122">
        <f>-IF(AND(D12&lt;=Revival!$C$2,MOD(B11,Mode)=0),Mod_Prem,0)-IF(D12='Cashflows_8%'!$C$7,Revival!$C$14,0)-IF(AND(D12&gt;'Cashflows_8%'!$C$7,D12&lt;=Revival!$C$12,MOD(B11,Mode)=0),Mod_Prem,0)+IF(B11=PT*12,VLOOKUP(PT*12,'Cashflows_4%'!$A$7:$N$246,14,0),0)+IF(B11='Pre-Calculation'!$D$12,PW,0)</f>
        <v>0</v>
      </c>
      <c r="H12" s="122">
        <f>-IF(AND(D12&lt;=Revival!$C$2,MOD(B11,Mode)=0),Mod_Prem,0)-IF(D12='Cashflows_8%'!$C$7,Revival!$C$14,0)-IF(AND(D12&gt;'Cashflows_8%'!$C$7,D12&lt;=Revival!$C$12,MOD(B11,Mode)=0),Mod_Prem,0)+IF(B11=PT*12,VLOOKUP(PT*12,Cashflows_HIST!$A$7:$N$246,14,0),0)+IF(B11='Pre-Calculation'!$D$12,PW,0)</f>
        <v>0</v>
      </c>
    </row>
    <row r="13" ht="14.25" customHeight="1">
      <c r="B13" s="171">
        <f t="shared" si="4"/>
        <v>6</v>
      </c>
      <c r="C13" s="171">
        <f t="shared" si="5"/>
        <v>1</v>
      </c>
      <c r="D13" s="176">
        <f>EDATE(RCD,B12)</f>
        <v>42704</v>
      </c>
      <c r="E13" s="199">
        <f>-IF(AND(D13&lt;=Revival!$C$2,MOD(B12,Mode)=0),Mod_Prem,0)+IF(B12='Pre-Calculation'!$D$12,SV,0)</f>
        <v>0</v>
      </c>
      <c r="F13" s="199">
        <f>-IF(AND(D13&lt;=Revival!$C$2,MOD(B12,Mode)=0),Mod_Prem,0)-IF(D13='Cashflows_8%'!$C$7,Revival!$C$14,0)-IF(AND(D13&gt;'Cashflows_8%'!$C$7,D13&lt;=Revival!$C$12,MOD(B12,Mode)=0),Mod_Prem,0)+IF(B12=PT*12,VLOOKUP(PT*12,'Cashflows_8%'!$A$7:$N$246,14,0),0)+IF(B12='Pre-Calculation'!$D$12,PW,0)</f>
        <v>0</v>
      </c>
      <c r="G13" s="122">
        <f>-IF(AND(D13&lt;=Revival!$C$2,MOD(B12,Mode)=0),Mod_Prem,0)-IF(D13='Cashflows_8%'!$C$7,Revival!$C$14,0)-IF(AND(D13&gt;'Cashflows_8%'!$C$7,D13&lt;=Revival!$C$12,MOD(B12,Mode)=0),Mod_Prem,0)+IF(B12=PT*12,VLOOKUP(PT*12,'Cashflows_4%'!$A$7:$N$246,14,0),0)+IF(B12='Pre-Calculation'!$D$12,PW,0)</f>
        <v>0</v>
      </c>
      <c r="H13" s="122">
        <f>-IF(AND(D13&lt;=Revival!$C$2,MOD(B12,Mode)=0),Mod_Prem,0)-IF(D13='Cashflows_8%'!$C$7,Revival!$C$14,0)-IF(AND(D13&gt;'Cashflows_8%'!$C$7,D13&lt;=Revival!$C$12,MOD(B12,Mode)=0),Mod_Prem,0)+IF(B12=PT*12,VLOOKUP(PT*12,Cashflows_HIST!$A$7:$N$246,14,0),0)+IF(B12='Pre-Calculation'!$D$12,PW,0)</f>
        <v>0</v>
      </c>
    </row>
    <row r="14" ht="14.25" customHeight="1">
      <c r="B14" s="171">
        <f t="shared" si="4"/>
        <v>7</v>
      </c>
      <c r="C14" s="171">
        <f t="shared" si="5"/>
        <v>1</v>
      </c>
      <c r="D14" s="176">
        <f>EDATE(RCD,B13)</f>
        <v>42734</v>
      </c>
      <c r="E14" s="199">
        <f>-IF(AND(D14&lt;=Revival!$C$2,MOD(B13,Mode)=0),Mod_Prem,0)+IF(B13='Pre-Calculation'!$D$12,SV,0)</f>
        <v>0</v>
      </c>
      <c r="F14" s="199">
        <f>-IF(AND(D14&lt;=Revival!$C$2,MOD(B13,Mode)=0),Mod_Prem,0)-IF(D14='Cashflows_8%'!$C$7,Revival!$C$14,0)-IF(AND(D14&gt;'Cashflows_8%'!$C$7,D14&lt;=Revival!$C$12,MOD(B13,Mode)=0),Mod_Prem,0)+IF(B13=PT*12,VLOOKUP(PT*12,'Cashflows_8%'!$A$7:$N$246,14,0),0)+IF(B13='Pre-Calculation'!$D$12,PW,0)</f>
        <v>0</v>
      </c>
      <c r="G14" s="122">
        <f>-IF(AND(D14&lt;=Revival!$C$2,MOD(B13,Mode)=0),Mod_Prem,0)-IF(D14='Cashflows_8%'!$C$7,Revival!$C$14,0)-IF(AND(D14&gt;'Cashflows_8%'!$C$7,D14&lt;=Revival!$C$12,MOD(B13,Mode)=0),Mod_Prem,0)+IF(B13=PT*12,VLOOKUP(PT*12,'Cashflows_4%'!$A$7:$N$246,14,0),0)+IF(B13='Pre-Calculation'!$D$12,PW,0)</f>
        <v>0</v>
      </c>
      <c r="H14" s="122">
        <f>-IF(AND(D14&lt;=Revival!$C$2,MOD(B13,Mode)=0),Mod_Prem,0)-IF(D14='Cashflows_8%'!$C$7,Revival!$C$14,0)-IF(AND(D14&gt;'Cashflows_8%'!$C$7,D14&lt;=Revival!$C$12,MOD(B13,Mode)=0),Mod_Prem,0)+IF(B13=PT*12,VLOOKUP(PT*12,Cashflows_HIST!$A$7:$N$246,14,0),0)+IF(B13='Pre-Calculation'!$D$12,PW,0)</f>
        <v>0</v>
      </c>
    </row>
    <row r="15" ht="14.25" customHeight="1">
      <c r="B15" s="171">
        <f t="shared" si="4"/>
        <v>8</v>
      </c>
      <c r="C15" s="171">
        <f t="shared" si="5"/>
        <v>1</v>
      </c>
      <c r="D15" s="176">
        <f>EDATE(RCD,B14)</f>
        <v>42765</v>
      </c>
      <c r="E15" s="199">
        <f>-IF(AND(D15&lt;=Revival!$C$2,MOD(B14,Mode)=0),Mod_Prem,0)+IF(B14='Pre-Calculation'!$D$12,SV,0)</f>
        <v>0</v>
      </c>
      <c r="F15" s="199">
        <f>-IF(AND(D15&lt;=Revival!$C$2,MOD(B14,Mode)=0),Mod_Prem,0)-IF(D15='Cashflows_8%'!$C$7,Revival!$C$14,0)-IF(AND(D15&gt;'Cashflows_8%'!$C$7,D15&lt;=Revival!$C$12,MOD(B14,Mode)=0),Mod_Prem,0)+IF(B14=PT*12,VLOOKUP(PT*12,'Cashflows_8%'!$A$7:$N$246,14,0),0)+IF(B14='Pre-Calculation'!$D$12,PW,0)</f>
        <v>0</v>
      </c>
      <c r="G15" s="122">
        <f>-IF(AND(D15&lt;=Revival!$C$2,MOD(B14,Mode)=0),Mod_Prem,0)-IF(D15='Cashflows_8%'!$C$7,Revival!$C$14,0)-IF(AND(D15&gt;'Cashflows_8%'!$C$7,D15&lt;=Revival!$C$12,MOD(B14,Mode)=0),Mod_Prem,0)+IF(B14=PT*12,VLOOKUP(PT*12,'Cashflows_4%'!$A$7:$N$246,14,0),0)+IF(B14='Pre-Calculation'!$D$12,PW,0)</f>
        <v>0</v>
      </c>
      <c r="H15" s="122">
        <f>-IF(AND(D15&lt;=Revival!$C$2,MOD(B14,Mode)=0),Mod_Prem,0)-IF(D15='Cashflows_8%'!$C$7,Revival!$C$14,0)-IF(AND(D15&gt;'Cashflows_8%'!$C$7,D15&lt;=Revival!$C$12,MOD(B14,Mode)=0),Mod_Prem,0)+IF(B14=PT*12,VLOOKUP(PT*12,Cashflows_HIST!$A$7:$N$246,14,0),0)+IF(B14='Pre-Calculation'!$D$12,PW,0)</f>
        <v>0</v>
      </c>
    </row>
    <row r="16" ht="14.25" customHeight="1">
      <c r="B16" s="171">
        <f t="shared" si="4"/>
        <v>9</v>
      </c>
      <c r="C16" s="171">
        <f t="shared" si="5"/>
        <v>1</v>
      </c>
      <c r="D16" s="176">
        <f>EDATE(RCD,B15)</f>
        <v>42794</v>
      </c>
      <c r="E16" s="199">
        <f>-IF(AND(D16&lt;=Revival!$C$2,MOD(B15,Mode)=0),Mod_Prem,0)+IF(B15='Pre-Calculation'!$D$12,SV,0)</f>
        <v>0</v>
      </c>
      <c r="F16" s="199">
        <f>-IF(AND(D16&lt;=Revival!$C$2,MOD(B15,Mode)=0),Mod_Prem,0)-IF(D16='Cashflows_8%'!$C$7,Revival!$C$14,0)-IF(AND(D16&gt;'Cashflows_8%'!$C$7,D16&lt;=Revival!$C$12,MOD(B15,Mode)=0),Mod_Prem,0)+IF(B15=PT*12,VLOOKUP(PT*12,'Cashflows_8%'!$A$7:$N$246,14,0),0)+IF(B15='Pre-Calculation'!$D$12,PW,0)</f>
        <v>0</v>
      </c>
      <c r="G16" s="122">
        <f>-IF(AND(D16&lt;=Revival!$C$2,MOD(B15,Mode)=0),Mod_Prem,0)-IF(D16='Cashflows_8%'!$C$7,Revival!$C$14,0)-IF(AND(D16&gt;'Cashflows_8%'!$C$7,D16&lt;=Revival!$C$12,MOD(B15,Mode)=0),Mod_Prem,0)+IF(B15=PT*12,VLOOKUP(PT*12,'Cashflows_4%'!$A$7:$N$246,14,0),0)+IF(B15='Pre-Calculation'!$D$12,PW,0)</f>
        <v>0</v>
      </c>
      <c r="H16" s="122">
        <f>-IF(AND(D16&lt;=Revival!$C$2,MOD(B15,Mode)=0),Mod_Prem,0)-IF(D16='Cashflows_8%'!$C$7,Revival!$C$14,0)-IF(AND(D16&gt;'Cashflows_8%'!$C$7,D16&lt;=Revival!$C$12,MOD(B15,Mode)=0),Mod_Prem,0)+IF(B15=PT*12,VLOOKUP(PT*12,Cashflows_HIST!$A$7:$N$246,14,0),0)+IF(B15='Pre-Calculation'!$D$12,PW,0)</f>
        <v>0</v>
      </c>
    </row>
    <row r="17" ht="14.25" customHeight="1">
      <c r="B17" s="171">
        <f t="shared" si="4"/>
        <v>10</v>
      </c>
      <c r="C17" s="171">
        <f t="shared" si="5"/>
        <v>1</v>
      </c>
      <c r="D17" s="176">
        <f>EDATE(RCD,B16)</f>
        <v>42824</v>
      </c>
      <c r="E17" s="199">
        <f>-IF(AND(D17&lt;=Revival!$C$2,MOD(B16,Mode)=0),Mod_Prem,0)+IF(B16='Pre-Calculation'!$D$12,SV,0)</f>
        <v>0</v>
      </c>
      <c r="F17" s="199">
        <f>-IF(AND(D17&lt;=Revival!$C$2,MOD(B16,Mode)=0),Mod_Prem,0)-IF(D17='Cashflows_8%'!$C$7,Revival!$C$14,0)-IF(AND(D17&gt;'Cashflows_8%'!$C$7,D17&lt;=Revival!$C$12,MOD(B16,Mode)=0),Mod_Prem,0)+IF(B16=PT*12,VLOOKUP(PT*12,'Cashflows_8%'!$A$7:$N$246,14,0),0)+IF(B16='Pre-Calculation'!$D$12,PW,0)</f>
        <v>0</v>
      </c>
      <c r="G17" s="122">
        <f>-IF(AND(D17&lt;=Revival!$C$2,MOD(B16,Mode)=0),Mod_Prem,0)-IF(D17='Cashflows_8%'!$C$7,Revival!$C$14,0)-IF(AND(D17&gt;'Cashflows_8%'!$C$7,D17&lt;=Revival!$C$12,MOD(B16,Mode)=0),Mod_Prem,0)+IF(B16=PT*12,VLOOKUP(PT*12,'Cashflows_4%'!$A$7:$N$246,14,0),0)+IF(B16='Pre-Calculation'!$D$12,PW,0)</f>
        <v>0</v>
      </c>
      <c r="H17" s="122">
        <f>-IF(AND(D17&lt;=Revival!$C$2,MOD(B16,Mode)=0),Mod_Prem,0)-IF(D17='Cashflows_8%'!$C$7,Revival!$C$14,0)-IF(AND(D17&gt;'Cashflows_8%'!$C$7,D17&lt;=Revival!$C$12,MOD(B16,Mode)=0),Mod_Prem,0)+IF(B16=PT*12,VLOOKUP(PT*12,Cashflows_HIST!$A$7:$N$246,14,0),0)+IF(B16='Pre-Calculation'!$D$12,PW,0)</f>
        <v>0</v>
      </c>
    </row>
    <row r="18" ht="14.25" customHeight="1">
      <c r="B18" s="171">
        <f t="shared" si="4"/>
        <v>11</v>
      </c>
      <c r="C18" s="171">
        <f t="shared" si="5"/>
        <v>1</v>
      </c>
      <c r="D18" s="176">
        <f>EDATE(RCD,B17)</f>
        <v>42855</v>
      </c>
      <c r="E18" s="199">
        <f>-IF(AND(D18&lt;=Revival!$C$2,MOD(B17,Mode)=0),Mod_Prem,0)+IF(B17='Pre-Calculation'!$D$12,SV,0)</f>
        <v>0</v>
      </c>
      <c r="F18" s="199">
        <f>-IF(AND(D18&lt;=Revival!$C$2,MOD(B17,Mode)=0),Mod_Prem,0)-IF(D18='Cashflows_8%'!$C$7,Revival!$C$14,0)-IF(AND(D18&gt;'Cashflows_8%'!$C$7,D18&lt;=Revival!$C$12,MOD(B17,Mode)=0),Mod_Prem,0)+IF(B17=PT*12,VLOOKUP(PT*12,'Cashflows_8%'!$A$7:$N$246,14,0),0)+IF(B17='Pre-Calculation'!$D$12,PW,0)</f>
        <v>0</v>
      </c>
      <c r="G18" s="122">
        <f>-IF(AND(D18&lt;=Revival!$C$2,MOD(B17,Mode)=0),Mod_Prem,0)-IF(D18='Cashflows_8%'!$C$7,Revival!$C$14,0)-IF(AND(D18&gt;'Cashflows_8%'!$C$7,D18&lt;=Revival!$C$12,MOD(B17,Mode)=0),Mod_Prem,0)+IF(B17=PT*12,VLOOKUP(PT*12,'Cashflows_4%'!$A$7:$N$246,14,0),0)+IF(B17='Pre-Calculation'!$D$12,PW,0)</f>
        <v>0</v>
      </c>
      <c r="H18" s="122">
        <f>-IF(AND(D18&lt;=Revival!$C$2,MOD(B17,Mode)=0),Mod_Prem,0)-IF(D18='Cashflows_8%'!$C$7,Revival!$C$14,0)-IF(AND(D18&gt;'Cashflows_8%'!$C$7,D18&lt;=Revival!$C$12,MOD(B17,Mode)=0),Mod_Prem,0)+IF(B17=PT*12,VLOOKUP(PT*12,Cashflows_HIST!$A$7:$N$246,14,0),0)+IF(B17='Pre-Calculation'!$D$12,PW,0)</f>
        <v>0</v>
      </c>
    </row>
    <row r="19" ht="14.25" customHeight="1">
      <c r="B19" s="171">
        <f t="shared" si="4"/>
        <v>12</v>
      </c>
      <c r="C19" s="171">
        <f t="shared" si="5"/>
        <v>1</v>
      </c>
      <c r="D19" s="176">
        <f>EDATE(RCD,B18)</f>
        <v>42885</v>
      </c>
      <c r="E19" s="199">
        <f>-IF(AND(D19&lt;=Revival!$C$2,MOD(B18,Mode)=0),Mod_Prem,0)+IF(B18='Pre-Calculation'!$D$12,SV,0)</f>
        <v>0</v>
      </c>
      <c r="F19" s="199">
        <f>-IF(AND(D19&lt;=Revival!$C$2,MOD(B18,Mode)=0),Mod_Prem,0)-IF(D19='Cashflows_8%'!$C$7,Revival!$C$14,0)-IF(AND(D19&gt;'Cashflows_8%'!$C$7,D19&lt;=Revival!$C$12,MOD(B18,Mode)=0),Mod_Prem,0)+IF(B18=PT*12,VLOOKUP(PT*12,'Cashflows_8%'!$A$7:$N$246,14,0),0)+IF(B18='Pre-Calculation'!$D$12,PW,0)</f>
        <v>0</v>
      </c>
      <c r="G19" s="122">
        <f>-IF(AND(D19&lt;=Revival!$C$2,MOD(B18,Mode)=0),Mod_Prem,0)-IF(D19='Cashflows_8%'!$C$7,Revival!$C$14,0)-IF(AND(D19&gt;'Cashflows_8%'!$C$7,D19&lt;=Revival!$C$12,MOD(B18,Mode)=0),Mod_Prem,0)+IF(B18=PT*12,VLOOKUP(PT*12,'Cashflows_4%'!$A$7:$N$246,14,0),0)+IF(B18='Pre-Calculation'!$D$12,PW,0)</f>
        <v>0</v>
      </c>
      <c r="H19" s="122">
        <f>-IF(AND(D19&lt;=Revival!$C$2,MOD(B18,Mode)=0),Mod_Prem,0)-IF(D19='Cashflows_8%'!$C$7,Revival!$C$14,0)-IF(AND(D19&gt;'Cashflows_8%'!$C$7,D19&lt;=Revival!$C$12,MOD(B18,Mode)=0),Mod_Prem,0)+IF(B18=PT*12,VLOOKUP(PT*12,Cashflows_HIST!$A$7:$N$246,14,0),0)+IF(B18='Pre-Calculation'!$D$12,PW,0)</f>
        <v>0</v>
      </c>
    </row>
    <row r="20" ht="14.25" customHeight="1">
      <c r="B20" s="171">
        <f t="shared" si="4"/>
        <v>13</v>
      </c>
      <c r="C20" s="171">
        <f t="shared" si="5"/>
        <v>2</v>
      </c>
      <c r="D20" s="176">
        <f>EDATE(RCD,B19)</f>
        <v>42916</v>
      </c>
      <c r="E20" s="199">
        <f>-IF(AND(D20&lt;=Revival!$C$2,MOD(B19,Mode)=0),Mod_Prem,0)+IF(B19='Pre-Calculation'!$D$12,SV,0)</f>
        <v>-100000</v>
      </c>
      <c r="F20" s="199">
        <f>-IF(AND(D20&lt;=Revival!$C$2,MOD(B19,Mode)=0),Mod_Prem,0)-IF(D20='Cashflows_8%'!$C$7,Revival!$C$14,0)-IF(AND(D20&gt;'Cashflows_8%'!$C$7,D20&lt;=Revival!$C$12,MOD(B19,Mode)=0),Mod_Prem,0)+IF(B19=PT*12,VLOOKUP(PT*12,'Cashflows_8%'!$A$7:$N$246,14,0),0)+IF(B19='Pre-Calculation'!$D$12,PW,0)</f>
        <v>-100000</v>
      </c>
      <c r="G20" s="122">
        <f>-IF(AND(D20&lt;=Revival!$C$2,MOD(B19,Mode)=0),Mod_Prem,0)-IF(D20='Cashflows_8%'!$C$7,Revival!$C$14,0)-IF(AND(D20&gt;'Cashflows_8%'!$C$7,D20&lt;=Revival!$C$12,MOD(B19,Mode)=0),Mod_Prem,0)+IF(B19=PT*12,VLOOKUP(PT*12,'Cashflows_4%'!$A$7:$N$246,14,0),0)+IF(B19='Pre-Calculation'!$D$12,PW,0)</f>
        <v>-100000</v>
      </c>
      <c r="H20" s="122">
        <f>-IF(AND(D20&lt;=Revival!$C$2,MOD(B19,Mode)=0),Mod_Prem,0)-IF(D20='Cashflows_8%'!$C$7,Revival!$C$14,0)-IF(AND(D20&gt;'Cashflows_8%'!$C$7,D20&lt;=Revival!$C$12,MOD(B19,Mode)=0),Mod_Prem,0)+IF(B19=PT*12,VLOOKUP(PT*12,Cashflows_HIST!$A$7:$N$246,14,0),0)+IF(B19='Pre-Calculation'!$D$12,PW,0)</f>
        <v>-100000</v>
      </c>
    </row>
    <row r="21" ht="14.25" customHeight="1">
      <c r="B21" s="171">
        <f t="shared" si="4"/>
        <v>14</v>
      </c>
      <c r="C21" s="171">
        <f t="shared" si="5"/>
        <v>2</v>
      </c>
      <c r="D21" s="176">
        <f>EDATE(RCD,B20)</f>
        <v>42946</v>
      </c>
      <c r="E21" s="199">
        <f>-IF(AND(D21&lt;=Revival!$C$2,MOD(B20,Mode)=0),Mod_Prem,0)+IF(B20='Pre-Calculation'!$D$12,SV,0)</f>
        <v>0</v>
      </c>
      <c r="F21" s="199">
        <f>-IF(AND(D21&lt;=Revival!$C$2,MOD(B20,Mode)=0),Mod_Prem,0)-IF(D21='Cashflows_8%'!$C$7,Revival!$C$14,0)-IF(AND(D21&gt;'Cashflows_8%'!$C$7,D21&lt;=Revival!$C$12,MOD(B20,Mode)=0),Mod_Prem,0)+IF(B20=PT*12,VLOOKUP(PT*12,'Cashflows_8%'!$A$7:$N$246,14,0),0)+IF(B20='Pre-Calculation'!$D$12,PW,0)</f>
        <v>0</v>
      </c>
      <c r="G21" s="122">
        <f>-IF(AND(D21&lt;=Revival!$C$2,MOD(B20,Mode)=0),Mod_Prem,0)-IF(D21='Cashflows_8%'!$C$7,Revival!$C$14,0)-IF(AND(D21&gt;'Cashflows_8%'!$C$7,D21&lt;=Revival!$C$12,MOD(B20,Mode)=0),Mod_Prem,0)+IF(B20=PT*12,VLOOKUP(PT*12,'Cashflows_4%'!$A$7:$N$246,14,0),0)+IF(B20='Pre-Calculation'!$D$12,PW,0)</f>
        <v>0</v>
      </c>
      <c r="H21" s="122">
        <f>-IF(AND(D21&lt;=Revival!$C$2,MOD(B20,Mode)=0),Mod_Prem,0)-IF(D21='Cashflows_8%'!$C$7,Revival!$C$14,0)-IF(AND(D21&gt;'Cashflows_8%'!$C$7,D21&lt;=Revival!$C$12,MOD(B20,Mode)=0),Mod_Prem,0)+IF(B20=PT*12,VLOOKUP(PT*12,Cashflows_HIST!$A$7:$N$246,14,0),0)+IF(B20='Pre-Calculation'!$D$12,PW,0)</f>
        <v>0</v>
      </c>
    </row>
    <row r="22" ht="14.25" customHeight="1">
      <c r="B22" s="171">
        <f t="shared" si="4"/>
        <v>15</v>
      </c>
      <c r="C22" s="171">
        <f t="shared" si="5"/>
        <v>2</v>
      </c>
      <c r="D22" s="176">
        <f>EDATE(RCD,B21)</f>
        <v>42977</v>
      </c>
      <c r="E22" s="199">
        <f>-IF(AND(D22&lt;=Revival!$C$2,MOD(B21,Mode)=0),Mod_Prem,0)+IF(B21='Pre-Calculation'!$D$12,SV,0)</f>
        <v>0</v>
      </c>
      <c r="F22" s="199">
        <f>-IF(AND(D22&lt;=Revival!$C$2,MOD(B21,Mode)=0),Mod_Prem,0)-IF(D22='Cashflows_8%'!$C$7,Revival!$C$14,0)-IF(AND(D22&gt;'Cashflows_8%'!$C$7,D22&lt;=Revival!$C$12,MOD(B21,Mode)=0),Mod_Prem,0)+IF(B21=PT*12,VLOOKUP(PT*12,'Cashflows_8%'!$A$7:$N$246,14,0),0)+IF(B21='Pre-Calculation'!$D$12,PW,0)</f>
        <v>0</v>
      </c>
      <c r="G22" s="122">
        <f>-IF(AND(D22&lt;=Revival!$C$2,MOD(B21,Mode)=0),Mod_Prem,0)-IF(D22='Cashflows_8%'!$C$7,Revival!$C$14,0)-IF(AND(D22&gt;'Cashflows_8%'!$C$7,D22&lt;=Revival!$C$12,MOD(B21,Mode)=0),Mod_Prem,0)+IF(B21=PT*12,VLOOKUP(PT*12,'Cashflows_4%'!$A$7:$N$246,14,0),0)+IF(B21='Pre-Calculation'!$D$12,PW,0)</f>
        <v>0</v>
      </c>
      <c r="H22" s="122">
        <f>-IF(AND(D22&lt;=Revival!$C$2,MOD(B21,Mode)=0),Mod_Prem,0)-IF(D22='Cashflows_8%'!$C$7,Revival!$C$14,0)-IF(AND(D22&gt;'Cashflows_8%'!$C$7,D22&lt;=Revival!$C$12,MOD(B21,Mode)=0),Mod_Prem,0)+IF(B21=PT*12,VLOOKUP(PT*12,Cashflows_HIST!$A$7:$N$246,14,0),0)+IF(B21='Pre-Calculation'!$D$12,PW,0)</f>
        <v>0</v>
      </c>
    </row>
    <row r="23" ht="14.25" customHeight="1">
      <c r="B23" s="171">
        <f t="shared" si="4"/>
        <v>16</v>
      </c>
      <c r="C23" s="171">
        <f t="shared" si="5"/>
        <v>2</v>
      </c>
      <c r="D23" s="176">
        <f>EDATE(RCD,B22)</f>
        <v>43008</v>
      </c>
      <c r="E23" s="199">
        <f>-IF(AND(D23&lt;=Revival!$C$2,MOD(B22,Mode)=0),Mod_Prem,0)+IF(B22='Pre-Calculation'!$D$12,SV,0)</f>
        <v>0</v>
      </c>
      <c r="F23" s="199">
        <f>-IF(AND(D23&lt;=Revival!$C$2,MOD(B22,Mode)=0),Mod_Prem,0)-IF(D23='Cashflows_8%'!$C$7,Revival!$C$14,0)-IF(AND(D23&gt;'Cashflows_8%'!$C$7,D23&lt;=Revival!$C$12,MOD(B22,Mode)=0),Mod_Prem,0)+IF(B22=PT*12,VLOOKUP(PT*12,'Cashflows_8%'!$A$7:$N$246,14,0),0)+IF(B22='Pre-Calculation'!$D$12,PW,0)</f>
        <v>0</v>
      </c>
      <c r="G23" s="122">
        <f>-IF(AND(D23&lt;=Revival!$C$2,MOD(B22,Mode)=0),Mod_Prem,0)-IF(D23='Cashflows_8%'!$C$7,Revival!$C$14,0)-IF(AND(D23&gt;'Cashflows_8%'!$C$7,D23&lt;=Revival!$C$12,MOD(B22,Mode)=0),Mod_Prem,0)+IF(B22=PT*12,VLOOKUP(PT*12,'Cashflows_4%'!$A$7:$N$246,14,0),0)+IF(B22='Pre-Calculation'!$D$12,PW,0)</f>
        <v>0</v>
      </c>
      <c r="H23" s="122">
        <f>-IF(AND(D23&lt;=Revival!$C$2,MOD(B22,Mode)=0),Mod_Prem,0)-IF(D23='Cashflows_8%'!$C$7,Revival!$C$14,0)-IF(AND(D23&gt;'Cashflows_8%'!$C$7,D23&lt;=Revival!$C$12,MOD(B22,Mode)=0),Mod_Prem,0)+IF(B22=PT*12,VLOOKUP(PT*12,Cashflows_HIST!$A$7:$N$246,14,0),0)+IF(B22='Pre-Calculation'!$D$12,PW,0)</f>
        <v>0</v>
      </c>
    </row>
    <row r="24" ht="14.25" customHeight="1">
      <c r="B24" s="171">
        <f t="shared" si="4"/>
        <v>17</v>
      </c>
      <c r="C24" s="171">
        <f t="shared" si="5"/>
        <v>2</v>
      </c>
      <c r="D24" s="176">
        <f>EDATE(RCD,B23)</f>
        <v>43038</v>
      </c>
      <c r="E24" s="199">
        <f>-IF(AND(D24&lt;=Revival!$C$2,MOD(B23,Mode)=0),Mod_Prem,0)+IF(B23='Pre-Calculation'!$D$12,SV,0)</f>
        <v>0</v>
      </c>
      <c r="F24" s="199">
        <f>-IF(AND(D24&lt;=Revival!$C$2,MOD(B23,Mode)=0),Mod_Prem,0)-IF(D24='Cashflows_8%'!$C$7,Revival!$C$14,0)-IF(AND(D24&gt;'Cashflows_8%'!$C$7,D24&lt;=Revival!$C$12,MOD(B23,Mode)=0),Mod_Prem,0)+IF(B23=PT*12,VLOOKUP(PT*12,'Cashflows_8%'!$A$7:$N$246,14,0),0)+IF(B23='Pre-Calculation'!$D$12,PW,0)</f>
        <v>0</v>
      </c>
      <c r="G24" s="122">
        <f>-IF(AND(D24&lt;=Revival!$C$2,MOD(B23,Mode)=0),Mod_Prem,0)-IF(D24='Cashflows_8%'!$C$7,Revival!$C$14,0)-IF(AND(D24&gt;'Cashflows_8%'!$C$7,D24&lt;=Revival!$C$12,MOD(B23,Mode)=0),Mod_Prem,0)+IF(B23=PT*12,VLOOKUP(PT*12,'Cashflows_4%'!$A$7:$N$246,14,0),0)+IF(B23='Pre-Calculation'!$D$12,PW,0)</f>
        <v>0</v>
      </c>
      <c r="H24" s="122">
        <f>-IF(AND(D24&lt;=Revival!$C$2,MOD(B23,Mode)=0),Mod_Prem,0)-IF(D24='Cashflows_8%'!$C$7,Revival!$C$14,0)-IF(AND(D24&gt;'Cashflows_8%'!$C$7,D24&lt;=Revival!$C$12,MOD(B23,Mode)=0),Mod_Prem,0)+IF(B23=PT*12,VLOOKUP(PT*12,Cashflows_HIST!$A$7:$N$246,14,0),0)+IF(B23='Pre-Calculation'!$D$12,PW,0)</f>
        <v>0</v>
      </c>
    </row>
    <row r="25" ht="14.25" customHeight="1">
      <c r="B25" s="171">
        <f t="shared" si="4"/>
        <v>18</v>
      </c>
      <c r="C25" s="171">
        <f t="shared" si="5"/>
        <v>2</v>
      </c>
      <c r="D25" s="176">
        <f>EDATE(RCD,B24)</f>
        <v>43069</v>
      </c>
      <c r="E25" s="199">
        <f>-IF(AND(D25&lt;=Revival!$C$2,MOD(B24,Mode)=0),Mod_Prem,0)+IF(B24='Pre-Calculation'!$D$12,SV,0)</f>
        <v>0</v>
      </c>
      <c r="F25" s="199">
        <f>-IF(AND(D25&lt;=Revival!$C$2,MOD(B24,Mode)=0),Mod_Prem,0)-IF(D25='Cashflows_8%'!$C$7,Revival!$C$14,0)-IF(AND(D25&gt;'Cashflows_8%'!$C$7,D25&lt;=Revival!$C$12,MOD(B24,Mode)=0),Mod_Prem,0)+IF(B24=PT*12,VLOOKUP(PT*12,'Cashflows_8%'!$A$7:$N$246,14,0),0)+IF(B24='Pre-Calculation'!$D$12,PW,0)</f>
        <v>0</v>
      </c>
      <c r="G25" s="122">
        <f>-IF(AND(D25&lt;=Revival!$C$2,MOD(B24,Mode)=0),Mod_Prem,0)-IF(D25='Cashflows_8%'!$C$7,Revival!$C$14,0)-IF(AND(D25&gt;'Cashflows_8%'!$C$7,D25&lt;=Revival!$C$12,MOD(B24,Mode)=0),Mod_Prem,0)+IF(B24=PT*12,VLOOKUP(PT*12,'Cashflows_4%'!$A$7:$N$246,14,0),0)+IF(B24='Pre-Calculation'!$D$12,PW,0)</f>
        <v>0</v>
      </c>
      <c r="H25" s="122">
        <f>-IF(AND(D25&lt;=Revival!$C$2,MOD(B24,Mode)=0),Mod_Prem,0)-IF(D25='Cashflows_8%'!$C$7,Revival!$C$14,0)-IF(AND(D25&gt;'Cashflows_8%'!$C$7,D25&lt;=Revival!$C$12,MOD(B24,Mode)=0),Mod_Prem,0)+IF(B24=PT*12,VLOOKUP(PT*12,Cashflows_HIST!$A$7:$N$246,14,0),0)+IF(B24='Pre-Calculation'!$D$12,PW,0)</f>
        <v>0</v>
      </c>
    </row>
    <row r="26" ht="14.25" customHeight="1">
      <c r="B26" s="171">
        <f t="shared" si="4"/>
        <v>19</v>
      </c>
      <c r="C26" s="171">
        <f t="shared" si="5"/>
        <v>2</v>
      </c>
      <c r="D26" s="176">
        <f>EDATE(RCD,B25)</f>
        <v>43099</v>
      </c>
      <c r="E26" s="199">
        <f>-IF(AND(D26&lt;=Revival!$C$2,MOD(B25,Mode)=0),Mod_Prem,0)+IF(B25='Pre-Calculation'!$D$12,SV,0)</f>
        <v>0</v>
      </c>
      <c r="F26" s="199">
        <f>-IF(AND(D26&lt;=Revival!$C$2,MOD(B25,Mode)=0),Mod_Prem,0)-IF(D26='Cashflows_8%'!$C$7,Revival!$C$14,0)-IF(AND(D26&gt;'Cashflows_8%'!$C$7,D26&lt;=Revival!$C$12,MOD(B25,Mode)=0),Mod_Prem,0)+IF(B25=PT*12,VLOOKUP(PT*12,'Cashflows_8%'!$A$7:$N$246,14,0),0)+IF(B25='Pre-Calculation'!$D$12,PW,0)</f>
        <v>0</v>
      </c>
      <c r="G26" s="122">
        <f>-IF(AND(D26&lt;=Revival!$C$2,MOD(B25,Mode)=0),Mod_Prem,0)-IF(D26='Cashflows_8%'!$C$7,Revival!$C$14,0)-IF(AND(D26&gt;'Cashflows_8%'!$C$7,D26&lt;=Revival!$C$12,MOD(B25,Mode)=0),Mod_Prem,0)+IF(B25=PT*12,VLOOKUP(PT*12,'Cashflows_4%'!$A$7:$N$246,14,0),0)+IF(B25='Pre-Calculation'!$D$12,PW,0)</f>
        <v>0</v>
      </c>
      <c r="H26" s="122">
        <f>-IF(AND(D26&lt;=Revival!$C$2,MOD(B25,Mode)=0),Mod_Prem,0)-IF(D26='Cashflows_8%'!$C$7,Revival!$C$14,0)-IF(AND(D26&gt;'Cashflows_8%'!$C$7,D26&lt;=Revival!$C$12,MOD(B25,Mode)=0),Mod_Prem,0)+IF(B25=PT*12,VLOOKUP(PT*12,Cashflows_HIST!$A$7:$N$246,14,0),0)+IF(B25='Pre-Calculation'!$D$12,PW,0)</f>
        <v>0</v>
      </c>
    </row>
    <row r="27" ht="14.25" customHeight="1">
      <c r="B27" s="171">
        <f t="shared" si="4"/>
        <v>20</v>
      </c>
      <c r="C27" s="171">
        <f t="shared" si="5"/>
        <v>2</v>
      </c>
      <c r="D27" s="176">
        <f>EDATE(RCD,B26)</f>
        <v>43130</v>
      </c>
      <c r="E27" s="199">
        <f>-IF(AND(D27&lt;=Revival!$C$2,MOD(B26,Mode)=0),Mod_Prem,0)+IF(B26='Pre-Calculation'!$D$12,SV,0)</f>
        <v>0</v>
      </c>
      <c r="F27" s="199">
        <f>-IF(AND(D27&lt;=Revival!$C$2,MOD(B26,Mode)=0),Mod_Prem,0)-IF(D27='Cashflows_8%'!$C$7,Revival!$C$14,0)-IF(AND(D27&gt;'Cashflows_8%'!$C$7,D27&lt;=Revival!$C$12,MOD(B26,Mode)=0),Mod_Prem,0)+IF(B26=PT*12,VLOOKUP(PT*12,'Cashflows_8%'!$A$7:$N$246,14,0),0)+IF(B26='Pre-Calculation'!$D$12,PW,0)</f>
        <v>0</v>
      </c>
      <c r="G27" s="122">
        <f>-IF(AND(D27&lt;=Revival!$C$2,MOD(B26,Mode)=0),Mod_Prem,0)-IF(D27='Cashflows_8%'!$C$7,Revival!$C$14,0)-IF(AND(D27&gt;'Cashflows_8%'!$C$7,D27&lt;=Revival!$C$12,MOD(B26,Mode)=0),Mod_Prem,0)+IF(B26=PT*12,VLOOKUP(PT*12,'Cashflows_4%'!$A$7:$N$246,14,0),0)+IF(B26='Pre-Calculation'!$D$12,PW,0)</f>
        <v>0</v>
      </c>
      <c r="H27" s="122">
        <f>-IF(AND(D27&lt;=Revival!$C$2,MOD(B26,Mode)=0),Mod_Prem,0)-IF(D27='Cashflows_8%'!$C$7,Revival!$C$14,0)-IF(AND(D27&gt;'Cashflows_8%'!$C$7,D27&lt;=Revival!$C$12,MOD(B26,Mode)=0),Mod_Prem,0)+IF(B26=PT*12,VLOOKUP(PT*12,Cashflows_HIST!$A$7:$N$246,14,0),0)+IF(B26='Pre-Calculation'!$D$12,PW,0)</f>
        <v>0</v>
      </c>
    </row>
    <row r="28" ht="14.25" customHeight="1">
      <c r="B28" s="171">
        <f t="shared" si="4"/>
        <v>21</v>
      </c>
      <c r="C28" s="171">
        <f t="shared" si="5"/>
        <v>2</v>
      </c>
      <c r="D28" s="176">
        <f>EDATE(RCD,B27)</f>
        <v>43159</v>
      </c>
      <c r="E28" s="199">
        <f>-IF(AND(D28&lt;=Revival!$C$2,MOD(B27,Mode)=0),Mod_Prem,0)+IF(B27='Pre-Calculation'!$D$12,SV,0)</f>
        <v>0</v>
      </c>
      <c r="F28" s="199">
        <f>-IF(AND(D28&lt;=Revival!$C$2,MOD(B27,Mode)=0),Mod_Prem,0)-IF(D28='Cashflows_8%'!$C$7,Revival!$C$14,0)-IF(AND(D28&gt;'Cashflows_8%'!$C$7,D28&lt;=Revival!$C$12,MOD(B27,Mode)=0),Mod_Prem,0)+IF(B27=PT*12,VLOOKUP(PT*12,'Cashflows_8%'!$A$7:$N$246,14,0),0)+IF(B27='Pre-Calculation'!$D$12,PW,0)</f>
        <v>0</v>
      </c>
      <c r="G28" s="122">
        <f>-IF(AND(D28&lt;=Revival!$C$2,MOD(B27,Mode)=0),Mod_Prem,0)-IF(D28='Cashflows_8%'!$C$7,Revival!$C$14,0)-IF(AND(D28&gt;'Cashflows_8%'!$C$7,D28&lt;=Revival!$C$12,MOD(B27,Mode)=0),Mod_Prem,0)+IF(B27=PT*12,VLOOKUP(PT*12,'Cashflows_4%'!$A$7:$N$246,14,0),0)+IF(B27='Pre-Calculation'!$D$12,PW,0)</f>
        <v>0</v>
      </c>
      <c r="H28" s="122">
        <f>-IF(AND(D28&lt;=Revival!$C$2,MOD(B27,Mode)=0),Mod_Prem,0)-IF(D28='Cashflows_8%'!$C$7,Revival!$C$14,0)-IF(AND(D28&gt;'Cashflows_8%'!$C$7,D28&lt;=Revival!$C$12,MOD(B27,Mode)=0),Mod_Prem,0)+IF(B27=PT*12,VLOOKUP(PT*12,Cashflows_HIST!$A$7:$N$246,14,0),0)+IF(B27='Pre-Calculation'!$D$12,PW,0)</f>
        <v>0</v>
      </c>
    </row>
    <row r="29" ht="14.25" customHeight="1">
      <c r="B29" s="171">
        <f t="shared" si="4"/>
        <v>22</v>
      </c>
      <c r="C29" s="171">
        <f t="shared" si="5"/>
        <v>2</v>
      </c>
      <c r="D29" s="176">
        <f>EDATE(RCD,B28)</f>
        <v>43189</v>
      </c>
      <c r="E29" s="199">
        <f>-IF(AND(D29&lt;=Revival!$C$2,MOD(B28,Mode)=0),Mod_Prem,0)+IF(B28='Pre-Calculation'!$D$12,SV,0)</f>
        <v>0</v>
      </c>
      <c r="F29" s="199">
        <f>-IF(AND(D29&lt;=Revival!$C$2,MOD(B28,Mode)=0),Mod_Prem,0)-IF(D29='Cashflows_8%'!$C$7,Revival!$C$14,0)-IF(AND(D29&gt;'Cashflows_8%'!$C$7,D29&lt;=Revival!$C$12,MOD(B28,Mode)=0),Mod_Prem,0)+IF(B28=PT*12,VLOOKUP(PT*12,'Cashflows_8%'!$A$7:$N$246,14,0),0)+IF(B28='Pre-Calculation'!$D$12,PW,0)</f>
        <v>0</v>
      </c>
      <c r="G29" s="122">
        <f>-IF(AND(D29&lt;=Revival!$C$2,MOD(B28,Mode)=0),Mod_Prem,0)-IF(D29='Cashflows_8%'!$C$7,Revival!$C$14,0)-IF(AND(D29&gt;'Cashflows_8%'!$C$7,D29&lt;=Revival!$C$12,MOD(B28,Mode)=0),Mod_Prem,0)+IF(B28=PT*12,VLOOKUP(PT*12,'Cashflows_4%'!$A$7:$N$246,14,0),0)+IF(B28='Pre-Calculation'!$D$12,PW,0)</f>
        <v>0</v>
      </c>
      <c r="H29" s="122">
        <f>-IF(AND(D29&lt;=Revival!$C$2,MOD(B28,Mode)=0),Mod_Prem,0)-IF(D29='Cashflows_8%'!$C$7,Revival!$C$14,0)-IF(AND(D29&gt;'Cashflows_8%'!$C$7,D29&lt;=Revival!$C$12,MOD(B28,Mode)=0),Mod_Prem,0)+IF(B28=PT*12,VLOOKUP(PT*12,Cashflows_HIST!$A$7:$N$246,14,0),0)+IF(B28='Pre-Calculation'!$D$12,PW,0)</f>
        <v>0</v>
      </c>
    </row>
    <row r="30" ht="14.25" customHeight="1">
      <c r="B30" s="171">
        <f t="shared" si="4"/>
        <v>23</v>
      </c>
      <c r="C30" s="171">
        <f t="shared" si="5"/>
        <v>2</v>
      </c>
      <c r="D30" s="176">
        <f>EDATE(RCD,B29)</f>
        <v>43220</v>
      </c>
      <c r="E30" s="199">
        <f>-IF(AND(D30&lt;=Revival!$C$2,MOD(B29,Mode)=0),Mod_Prem,0)+IF(B29='Pre-Calculation'!$D$12,SV,0)</f>
        <v>0</v>
      </c>
      <c r="F30" s="199">
        <f>-IF(AND(D30&lt;=Revival!$C$2,MOD(B29,Mode)=0),Mod_Prem,0)-IF(D30='Cashflows_8%'!$C$7,Revival!$C$14,0)-IF(AND(D30&gt;'Cashflows_8%'!$C$7,D30&lt;=Revival!$C$12,MOD(B29,Mode)=0),Mod_Prem,0)+IF(B29=PT*12,VLOOKUP(PT*12,'Cashflows_8%'!$A$7:$N$246,14,0),0)+IF(B29='Pre-Calculation'!$D$12,PW,0)</f>
        <v>0</v>
      </c>
      <c r="G30" s="122">
        <f>-IF(AND(D30&lt;=Revival!$C$2,MOD(B29,Mode)=0),Mod_Prem,0)-IF(D30='Cashflows_8%'!$C$7,Revival!$C$14,0)-IF(AND(D30&gt;'Cashflows_8%'!$C$7,D30&lt;=Revival!$C$12,MOD(B29,Mode)=0),Mod_Prem,0)+IF(B29=PT*12,VLOOKUP(PT*12,'Cashflows_4%'!$A$7:$N$246,14,0),0)+IF(B29='Pre-Calculation'!$D$12,PW,0)</f>
        <v>0</v>
      </c>
      <c r="H30" s="122">
        <f>-IF(AND(D30&lt;=Revival!$C$2,MOD(B29,Mode)=0),Mod_Prem,0)-IF(D30='Cashflows_8%'!$C$7,Revival!$C$14,0)-IF(AND(D30&gt;'Cashflows_8%'!$C$7,D30&lt;=Revival!$C$12,MOD(B29,Mode)=0),Mod_Prem,0)+IF(B29=PT*12,VLOOKUP(PT*12,Cashflows_HIST!$A$7:$N$246,14,0),0)+IF(B29='Pre-Calculation'!$D$12,PW,0)</f>
        <v>0</v>
      </c>
    </row>
    <row r="31" ht="14.25" customHeight="1">
      <c r="B31" s="171">
        <f t="shared" si="4"/>
        <v>24</v>
      </c>
      <c r="C31" s="171">
        <f t="shared" si="5"/>
        <v>2</v>
      </c>
      <c r="D31" s="176">
        <f>EDATE(RCD,B30)</f>
        <v>43250</v>
      </c>
      <c r="E31" s="199">
        <f>-IF(AND(D31&lt;=Revival!$C$2,MOD(B30,Mode)=0),Mod_Prem,0)+IF(B30='Pre-Calculation'!$D$12,SV,0)</f>
        <v>0</v>
      </c>
      <c r="F31" s="199">
        <f>-IF(AND(D31&lt;=Revival!$C$2,MOD(B30,Mode)=0),Mod_Prem,0)-IF(D31='Cashflows_8%'!$C$7,Revival!$C$14,0)-IF(AND(D31&gt;'Cashflows_8%'!$C$7,D31&lt;=Revival!$C$12,MOD(B30,Mode)=0),Mod_Prem,0)+IF(B30=PT*12,VLOOKUP(PT*12,'Cashflows_8%'!$A$7:$N$246,14,0),0)+IF(B30='Pre-Calculation'!$D$12,PW,0)</f>
        <v>0</v>
      </c>
      <c r="G31" s="122">
        <f>-IF(AND(D31&lt;=Revival!$C$2,MOD(B30,Mode)=0),Mod_Prem,0)-IF(D31='Cashflows_8%'!$C$7,Revival!$C$14,0)-IF(AND(D31&gt;'Cashflows_8%'!$C$7,D31&lt;=Revival!$C$12,MOD(B30,Mode)=0),Mod_Prem,0)+IF(B30=PT*12,VLOOKUP(PT*12,'Cashflows_4%'!$A$7:$N$246,14,0),0)+IF(B30='Pre-Calculation'!$D$12,PW,0)</f>
        <v>0</v>
      </c>
      <c r="H31" s="122">
        <f>-IF(AND(D31&lt;=Revival!$C$2,MOD(B30,Mode)=0),Mod_Prem,0)-IF(D31='Cashflows_8%'!$C$7,Revival!$C$14,0)-IF(AND(D31&gt;'Cashflows_8%'!$C$7,D31&lt;=Revival!$C$12,MOD(B30,Mode)=0),Mod_Prem,0)+IF(B30=PT*12,VLOOKUP(PT*12,Cashflows_HIST!$A$7:$N$246,14,0),0)+IF(B30='Pre-Calculation'!$D$12,PW,0)</f>
        <v>0</v>
      </c>
    </row>
    <row r="32" ht="14.25" customHeight="1">
      <c r="B32" s="171">
        <f t="shared" si="4"/>
        <v>25</v>
      </c>
      <c r="C32" s="171">
        <f t="shared" si="5"/>
        <v>3</v>
      </c>
      <c r="D32" s="176">
        <f>EDATE(RCD,B31)</f>
        <v>43281</v>
      </c>
      <c r="E32" s="199">
        <f>-IF(AND(D32&lt;=Revival!$C$2,MOD(B31,Mode)=0),Mod_Prem,0)+IF(B31='Pre-Calculation'!$D$12,SV,0)</f>
        <v>-100000</v>
      </c>
      <c r="F32" s="199">
        <f>-IF(AND(D32&lt;=Revival!$C$2,MOD(B31,Mode)=0),Mod_Prem,0)-IF(D32='Cashflows_8%'!$C$7,Revival!$C$14,0)-IF(AND(D32&gt;'Cashflows_8%'!$C$7,D32&lt;=Revival!$C$12,MOD(B31,Mode)=0),Mod_Prem,0)+IF(B31=PT*12,VLOOKUP(PT*12,'Cashflows_8%'!$A$7:$N$246,14,0),0)+IF(B31='Pre-Calculation'!$D$12,PW,0)</f>
        <v>-100000</v>
      </c>
      <c r="G32" s="122">
        <f>-IF(AND(D32&lt;=Revival!$C$2,MOD(B31,Mode)=0),Mod_Prem,0)-IF(D32='Cashflows_8%'!$C$7,Revival!$C$14,0)-IF(AND(D32&gt;'Cashflows_8%'!$C$7,D32&lt;=Revival!$C$12,MOD(B31,Mode)=0),Mod_Prem,0)+IF(B31=PT*12,VLOOKUP(PT*12,'Cashflows_4%'!$A$7:$N$246,14,0),0)+IF(B31='Pre-Calculation'!$D$12,PW,0)</f>
        <v>-100000</v>
      </c>
      <c r="H32" s="122">
        <f>-IF(AND(D32&lt;=Revival!$C$2,MOD(B31,Mode)=0),Mod_Prem,0)-IF(D32='Cashflows_8%'!$C$7,Revival!$C$14,0)-IF(AND(D32&gt;'Cashflows_8%'!$C$7,D32&lt;=Revival!$C$12,MOD(B31,Mode)=0),Mod_Prem,0)+IF(B31=PT*12,VLOOKUP(PT*12,Cashflows_HIST!$A$7:$N$246,14,0),0)+IF(B31='Pre-Calculation'!$D$12,PW,0)</f>
        <v>-100000</v>
      </c>
    </row>
    <row r="33" ht="14.25" customHeight="1">
      <c r="B33" s="171">
        <f t="shared" si="4"/>
        <v>26</v>
      </c>
      <c r="C33" s="171">
        <f t="shared" si="5"/>
        <v>3</v>
      </c>
      <c r="D33" s="176">
        <f>EDATE(RCD,B32)</f>
        <v>43311</v>
      </c>
      <c r="E33" s="199">
        <f>-IF(AND(D33&lt;=Revival!$C$2,MOD(B32,Mode)=0),Mod_Prem,0)+IF(B32='Pre-Calculation'!$D$12,SV,0)</f>
        <v>0</v>
      </c>
      <c r="F33" s="199">
        <f>-IF(AND(D33&lt;=Revival!$C$2,MOD(B32,Mode)=0),Mod_Prem,0)-IF(D33='Cashflows_8%'!$C$7,Revival!$C$14,0)-IF(AND(D33&gt;'Cashflows_8%'!$C$7,D33&lt;=Revival!$C$12,MOD(B32,Mode)=0),Mod_Prem,0)+IF(B32=PT*12,VLOOKUP(PT*12,'Cashflows_8%'!$A$7:$N$246,14,0),0)+IF(B32='Pre-Calculation'!$D$12,PW,0)</f>
        <v>0</v>
      </c>
      <c r="G33" s="122">
        <f>-IF(AND(D33&lt;=Revival!$C$2,MOD(B32,Mode)=0),Mod_Prem,0)-IF(D33='Cashflows_8%'!$C$7,Revival!$C$14,0)-IF(AND(D33&gt;'Cashflows_8%'!$C$7,D33&lt;=Revival!$C$12,MOD(B32,Mode)=0),Mod_Prem,0)+IF(B32=PT*12,VLOOKUP(PT*12,'Cashflows_4%'!$A$7:$N$246,14,0),0)+IF(B32='Pre-Calculation'!$D$12,PW,0)</f>
        <v>0</v>
      </c>
      <c r="H33" s="122">
        <f>-IF(AND(D33&lt;=Revival!$C$2,MOD(B32,Mode)=0),Mod_Prem,0)-IF(D33='Cashflows_8%'!$C$7,Revival!$C$14,0)-IF(AND(D33&gt;'Cashflows_8%'!$C$7,D33&lt;=Revival!$C$12,MOD(B32,Mode)=0),Mod_Prem,0)+IF(B32=PT*12,VLOOKUP(PT*12,Cashflows_HIST!$A$7:$N$246,14,0),0)+IF(B32='Pre-Calculation'!$D$12,PW,0)</f>
        <v>0</v>
      </c>
    </row>
    <row r="34" ht="14.25" customHeight="1">
      <c r="B34" s="171">
        <f t="shared" si="4"/>
        <v>27</v>
      </c>
      <c r="C34" s="171">
        <f t="shared" si="5"/>
        <v>3</v>
      </c>
      <c r="D34" s="176">
        <f>EDATE(RCD,B33)</f>
        <v>43342</v>
      </c>
      <c r="E34" s="199">
        <f>-IF(AND(D34&lt;=Revival!$C$2,MOD(B33,Mode)=0),Mod_Prem,0)+IF(B33='Pre-Calculation'!$D$12,SV,0)</f>
        <v>0</v>
      </c>
      <c r="F34" s="199">
        <f>-IF(AND(D34&lt;=Revival!$C$2,MOD(B33,Mode)=0),Mod_Prem,0)-IF(D34='Cashflows_8%'!$C$7,Revival!$C$14,0)-IF(AND(D34&gt;'Cashflows_8%'!$C$7,D34&lt;=Revival!$C$12,MOD(B33,Mode)=0),Mod_Prem,0)+IF(B33=PT*12,VLOOKUP(PT*12,'Cashflows_8%'!$A$7:$N$246,14,0),0)+IF(B33='Pre-Calculation'!$D$12,PW,0)</f>
        <v>0</v>
      </c>
      <c r="G34" s="122">
        <f>-IF(AND(D34&lt;=Revival!$C$2,MOD(B33,Mode)=0),Mod_Prem,0)-IF(D34='Cashflows_8%'!$C$7,Revival!$C$14,0)-IF(AND(D34&gt;'Cashflows_8%'!$C$7,D34&lt;=Revival!$C$12,MOD(B33,Mode)=0),Mod_Prem,0)+IF(B33=PT*12,VLOOKUP(PT*12,'Cashflows_4%'!$A$7:$N$246,14,0),0)+IF(B33='Pre-Calculation'!$D$12,PW,0)</f>
        <v>0</v>
      </c>
      <c r="H34" s="122">
        <f>-IF(AND(D34&lt;=Revival!$C$2,MOD(B33,Mode)=0),Mod_Prem,0)-IF(D34='Cashflows_8%'!$C$7,Revival!$C$14,0)-IF(AND(D34&gt;'Cashflows_8%'!$C$7,D34&lt;=Revival!$C$12,MOD(B33,Mode)=0),Mod_Prem,0)+IF(B33=PT*12,VLOOKUP(PT*12,Cashflows_HIST!$A$7:$N$246,14,0),0)+IF(B33='Pre-Calculation'!$D$12,PW,0)</f>
        <v>0</v>
      </c>
    </row>
    <row r="35" ht="14.25" customHeight="1">
      <c r="B35" s="171">
        <f t="shared" si="4"/>
        <v>28</v>
      </c>
      <c r="C35" s="171">
        <f t="shared" si="5"/>
        <v>3</v>
      </c>
      <c r="D35" s="176">
        <f>EDATE(RCD,B34)</f>
        <v>43373</v>
      </c>
      <c r="E35" s="199">
        <f>-IF(AND(D35&lt;=Revival!$C$2,MOD(B34,Mode)=0),Mod_Prem,0)+IF(B34='Pre-Calculation'!$D$12,SV,0)</f>
        <v>0</v>
      </c>
      <c r="F35" s="199">
        <f>-IF(AND(D35&lt;=Revival!$C$2,MOD(B34,Mode)=0),Mod_Prem,0)-IF(D35='Cashflows_8%'!$C$7,Revival!$C$14,0)-IF(AND(D35&gt;'Cashflows_8%'!$C$7,D35&lt;=Revival!$C$12,MOD(B34,Mode)=0),Mod_Prem,0)+IF(B34=PT*12,VLOOKUP(PT*12,'Cashflows_8%'!$A$7:$N$246,14,0),0)+IF(B34='Pre-Calculation'!$D$12,PW,0)</f>
        <v>0</v>
      </c>
      <c r="G35" s="122">
        <f>-IF(AND(D35&lt;=Revival!$C$2,MOD(B34,Mode)=0),Mod_Prem,0)-IF(D35='Cashflows_8%'!$C$7,Revival!$C$14,0)-IF(AND(D35&gt;'Cashflows_8%'!$C$7,D35&lt;=Revival!$C$12,MOD(B34,Mode)=0),Mod_Prem,0)+IF(B34=PT*12,VLOOKUP(PT*12,'Cashflows_4%'!$A$7:$N$246,14,0),0)+IF(B34='Pre-Calculation'!$D$12,PW,0)</f>
        <v>0</v>
      </c>
      <c r="H35" s="122">
        <f>-IF(AND(D35&lt;=Revival!$C$2,MOD(B34,Mode)=0),Mod_Prem,0)-IF(D35='Cashflows_8%'!$C$7,Revival!$C$14,0)-IF(AND(D35&gt;'Cashflows_8%'!$C$7,D35&lt;=Revival!$C$12,MOD(B34,Mode)=0),Mod_Prem,0)+IF(B34=PT*12,VLOOKUP(PT*12,Cashflows_HIST!$A$7:$N$246,14,0),0)+IF(B34='Pre-Calculation'!$D$12,PW,0)</f>
        <v>0</v>
      </c>
    </row>
    <row r="36" ht="14.25" customHeight="1">
      <c r="B36" s="171">
        <f t="shared" si="4"/>
        <v>29</v>
      </c>
      <c r="C36" s="171">
        <f t="shared" si="5"/>
        <v>3</v>
      </c>
      <c r="D36" s="176">
        <f>EDATE(RCD,B35)</f>
        <v>43403</v>
      </c>
      <c r="E36" s="199">
        <f>-IF(AND(D36&lt;=Revival!$C$2,MOD(B35,Mode)=0),Mod_Prem,0)+IF(B35='Pre-Calculation'!$D$12,SV,0)</f>
        <v>0</v>
      </c>
      <c r="F36" s="199">
        <f>-IF(AND(D36&lt;=Revival!$C$2,MOD(B35,Mode)=0),Mod_Prem,0)-IF(D36='Cashflows_8%'!$C$7,Revival!$C$14,0)-IF(AND(D36&gt;'Cashflows_8%'!$C$7,D36&lt;=Revival!$C$12,MOD(B35,Mode)=0),Mod_Prem,0)+IF(B35=PT*12,VLOOKUP(PT*12,'Cashflows_8%'!$A$7:$N$246,14,0),0)+IF(B35='Pre-Calculation'!$D$12,PW,0)</f>
        <v>0</v>
      </c>
      <c r="G36" s="122">
        <f>-IF(AND(D36&lt;=Revival!$C$2,MOD(B35,Mode)=0),Mod_Prem,0)-IF(D36='Cashflows_8%'!$C$7,Revival!$C$14,0)-IF(AND(D36&gt;'Cashflows_8%'!$C$7,D36&lt;=Revival!$C$12,MOD(B35,Mode)=0),Mod_Prem,0)+IF(B35=PT*12,VLOOKUP(PT*12,'Cashflows_4%'!$A$7:$N$246,14,0),0)+IF(B35='Pre-Calculation'!$D$12,PW,0)</f>
        <v>0</v>
      </c>
      <c r="H36" s="122">
        <f>-IF(AND(D36&lt;=Revival!$C$2,MOD(B35,Mode)=0),Mod_Prem,0)-IF(D36='Cashflows_8%'!$C$7,Revival!$C$14,0)-IF(AND(D36&gt;'Cashflows_8%'!$C$7,D36&lt;=Revival!$C$12,MOD(B35,Mode)=0),Mod_Prem,0)+IF(B35=PT*12,VLOOKUP(PT*12,Cashflows_HIST!$A$7:$N$246,14,0),0)+IF(B35='Pre-Calculation'!$D$12,PW,0)</f>
        <v>0</v>
      </c>
    </row>
    <row r="37" ht="14.25" customHeight="1">
      <c r="B37" s="171">
        <f t="shared" si="4"/>
        <v>30</v>
      </c>
      <c r="C37" s="171">
        <f t="shared" si="5"/>
        <v>3</v>
      </c>
      <c r="D37" s="176">
        <f>EDATE(RCD,B36)</f>
        <v>43434</v>
      </c>
      <c r="E37" s="199">
        <f>-IF(AND(D37&lt;=Revival!$C$2,MOD(B36,Mode)=0),Mod_Prem,0)+IF(B36='Pre-Calculation'!$D$12,SV,0)</f>
        <v>0</v>
      </c>
      <c r="F37" s="199">
        <f>-IF(AND(D37&lt;=Revival!$C$2,MOD(B36,Mode)=0),Mod_Prem,0)-IF(D37='Cashflows_8%'!$C$7,Revival!$C$14,0)-IF(AND(D37&gt;'Cashflows_8%'!$C$7,D37&lt;=Revival!$C$12,MOD(B36,Mode)=0),Mod_Prem,0)+IF(B36=PT*12,VLOOKUP(PT*12,'Cashflows_8%'!$A$7:$N$246,14,0),0)+IF(B36='Pre-Calculation'!$D$12,PW,0)</f>
        <v>0</v>
      </c>
      <c r="G37" s="122">
        <f>-IF(AND(D37&lt;=Revival!$C$2,MOD(B36,Mode)=0),Mod_Prem,0)-IF(D37='Cashflows_8%'!$C$7,Revival!$C$14,0)-IF(AND(D37&gt;'Cashflows_8%'!$C$7,D37&lt;=Revival!$C$12,MOD(B36,Mode)=0),Mod_Prem,0)+IF(B36=PT*12,VLOOKUP(PT*12,'Cashflows_4%'!$A$7:$N$246,14,0),0)+IF(B36='Pre-Calculation'!$D$12,PW,0)</f>
        <v>0</v>
      </c>
      <c r="H37" s="122">
        <f>-IF(AND(D37&lt;=Revival!$C$2,MOD(B36,Mode)=0),Mod_Prem,0)-IF(D37='Cashflows_8%'!$C$7,Revival!$C$14,0)-IF(AND(D37&gt;'Cashflows_8%'!$C$7,D37&lt;=Revival!$C$12,MOD(B36,Mode)=0),Mod_Prem,0)+IF(B36=PT*12,VLOOKUP(PT*12,Cashflows_HIST!$A$7:$N$246,14,0),0)+IF(B36='Pre-Calculation'!$D$12,PW,0)</f>
        <v>0</v>
      </c>
    </row>
    <row r="38" ht="14.25" customHeight="1">
      <c r="B38" s="171">
        <f t="shared" si="4"/>
        <v>31</v>
      </c>
      <c r="C38" s="171">
        <f t="shared" si="5"/>
        <v>3</v>
      </c>
      <c r="D38" s="176">
        <f>EDATE(RCD,B37)</f>
        <v>43464</v>
      </c>
      <c r="E38" s="199">
        <f>-IF(AND(D38&lt;=Revival!$C$2,MOD(B37,Mode)=0),Mod_Prem,0)+IF(B37='Pre-Calculation'!$D$12,SV,0)</f>
        <v>0</v>
      </c>
      <c r="F38" s="199">
        <f>-IF(AND(D38&lt;=Revival!$C$2,MOD(B37,Mode)=0),Mod_Prem,0)-IF(D38='Cashflows_8%'!$C$7,Revival!$C$14,0)-IF(AND(D38&gt;'Cashflows_8%'!$C$7,D38&lt;=Revival!$C$12,MOD(B37,Mode)=0),Mod_Prem,0)+IF(B37=PT*12,VLOOKUP(PT*12,'Cashflows_8%'!$A$7:$N$246,14,0),0)+IF(B37='Pre-Calculation'!$D$12,PW,0)</f>
        <v>0</v>
      </c>
      <c r="G38" s="122">
        <f>-IF(AND(D38&lt;=Revival!$C$2,MOD(B37,Mode)=0),Mod_Prem,0)-IF(D38='Cashflows_8%'!$C$7,Revival!$C$14,0)-IF(AND(D38&gt;'Cashflows_8%'!$C$7,D38&lt;=Revival!$C$12,MOD(B37,Mode)=0),Mod_Prem,0)+IF(B37=PT*12,VLOOKUP(PT*12,'Cashflows_4%'!$A$7:$N$246,14,0),0)+IF(B37='Pre-Calculation'!$D$12,PW,0)</f>
        <v>0</v>
      </c>
      <c r="H38" s="122">
        <f>-IF(AND(D38&lt;=Revival!$C$2,MOD(B37,Mode)=0),Mod_Prem,0)-IF(D38='Cashflows_8%'!$C$7,Revival!$C$14,0)-IF(AND(D38&gt;'Cashflows_8%'!$C$7,D38&lt;=Revival!$C$12,MOD(B37,Mode)=0),Mod_Prem,0)+IF(B37=PT*12,VLOOKUP(PT*12,Cashflows_HIST!$A$7:$N$246,14,0),0)+IF(B37='Pre-Calculation'!$D$12,PW,0)</f>
        <v>0</v>
      </c>
    </row>
    <row r="39" ht="14.25" customHeight="1">
      <c r="B39" s="171">
        <f t="shared" si="4"/>
        <v>32</v>
      </c>
      <c r="C39" s="171">
        <f t="shared" si="5"/>
        <v>3</v>
      </c>
      <c r="D39" s="176">
        <f>EDATE(RCD,B38)</f>
        <v>43495</v>
      </c>
      <c r="E39" s="199">
        <f>-IF(AND(D39&lt;=Revival!$C$2,MOD(B38,Mode)=0),Mod_Prem,0)+IF(B38='Pre-Calculation'!$D$12,SV,0)</f>
        <v>0</v>
      </c>
      <c r="F39" s="199">
        <f>-IF(AND(D39&lt;=Revival!$C$2,MOD(B38,Mode)=0),Mod_Prem,0)-IF(D39='Cashflows_8%'!$C$7,Revival!$C$14,0)-IF(AND(D39&gt;'Cashflows_8%'!$C$7,D39&lt;=Revival!$C$12,MOD(B38,Mode)=0),Mod_Prem,0)+IF(B38=PT*12,VLOOKUP(PT*12,'Cashflows_8%'!$A$7:$N$246,14,0),0)+IF(B38='Pre-Calculation'!$D$12,PW,0)</f>
        <v>0</v>
      </c>
      <c r="G39" s="122">
        <f>-IF(AND(D39&lt;=Revival!$C$2,MOD(B38,Mode)=0),Mod_Prem,0)-IF(D39='Cashflows_8%'!$C$7,Revival!$C$14,0)-IF(AND(D39&gt;'Cashflows_8%'!$C$7,D39&lt;=Revival!$C$12,MOD(B38,Mode)=0),Mod_Prem,0)+IF(B38=PT*12,VLOOKUP(PT*12,'Cashflows_4%'!$A$7:$N$246,14,0),0)+IF(B38='Pre-Calculation'!$D$12,PW,0)</f>
        <v>0</v>
      </c>
      <c r="H39" s="122">
        <f>-IF(AND(D39&lt;=Revival!$C$2,MOD(B38,Mode)=0),Mod_Prem,0)-IF(D39='Cashflows_8%'!$C$7,Revival!$C$14,0)-IF(AND(D39&gt;'Cashflows_8%'!$C$7,D39&lt;=Revival!$C$12,MOD(B38,Mode)=0),Mod_Prem,0)+IF(B38=PT*12,VLOOKUP(PT*12,Cashflows_HIST!$A$7:$N$246,14,0),0)+IF(B38='Pre-Calculation'!$D$12,PW,0)</f>
        <v>0</v>
      </c>
    </row>
    <row r="40" ht="14.25" customHeight="1">
      <c r="B40" s="171">
        <f t="shared" si="4"/>
        <v>33</v>
      </c>
      <c r="C40" s="171">
        <f t="shared" si="5"/>
        <v>3</v>
      </c>
      <c r="D40" s="176">
        <f>EDATE(RCD,B39)</f>
        <v>43524</v>
      </c>
      <c r="E40" s="199">
        <f>-IF(AND(D40&lt;=Revival!$C$2,MOD(B39,Mode)=0),Mod_Prem,0)+IF(B39='Pre-Calculation'!$D$12,SV,0)</f>
        <v>0</v>
      </c>
      <c r="F40" s="199">
        <f>-IF(AND(D40&lt;=Revival!$C$2,MOD(B39,Mode)=0),Mod_Prem,0)-IF(D40='Cashflows_8%'!$C$7,Revival!$C$14,0)-IF(AND(D40&gt;'Cashflows_8%'!$C$7,D40&lt;=Revival!$C$12,MOD(B39,Mode)=0),Mod_Prem,0)+IF(B39=PT*12,VLOOKUP(PT*12,'Cashflows_8%'!$A$7:$N$246,14,0),0)+IF(B39='Pre-Calculation'!$D$12,PW,0)</f>
        <v>0</v>
      </c>
      <c r="G40" s="122">
        <f>-IF(AND(D40&lt;=Revival!$C$2,MOD(B39,Mode)=0),Mod_Prem,0)-IF(D40='Cashflows_8%'!$C$7,Revival!$C$14,0)-IF(AND(D40&gt;'Cashflows_8%'!$C$7,D40&lt;=Revival!$C$12,MOD(B39,Mode)=0),Mod_Prem,0)+IF(B39=PT*12,VLOOKUP(PT*12,'Cashflows_4%'!$A$7:$N$246,14,0),0)+IF(B39='Pre-Calculation'!$D$12,PW,0)</f>
        <v>0</v>
      </c>
      <c r="H40" s="122">
        <f>-IF(AND(D40&lt;=Revival!$C$2,MOD(B39,Mode)=0),Mod_Prem,0)-IF(D40='Cashflows_8%'!$C$7,Revival!$C$14,0)-IF(AND(D40&gt;'Cashflows_8%'!$C$7,D40&lt;=Revival!$C$12,MOD(B39,Mode)=0),Mod_Prem,0)+IF(B39=PT*12,VLOOKUP(PT*12,Cashflows_HIST!$A$7:$N$246,14,0),0)+IF(B39='Pre-Calculation'!$D$12,PW,0)</f>
        <v>0</v>
      </c>
    </row>
    <row r="41" ht="14.25" customHeight="1">
      <c r="B41" s="171">
        <f t="shared" si="4"/>
        <v>34</v>
      </c>
      <c r="C41" s="171">
        <f t="shared" si="5"/>
        <v>3</v>
      </c>
      <c r="D41" s="176">
        <f>EDATE(RCD,B40)</f>
        <v>43554</v>
      </c>
      <c r="E41" s="199">
        <f>-IF(AND(D41&lt;=Revival!$C$2,MOD(B40,Mode)=0),Mod_Prem,0)+IF(B40='Pre-Calculation'!$D$12,SV,0)</f>
        <v>0</v>
      </c>
      <c r="F41" s="199">
        <f>-IF(AND(D41&lt;=Revival!$C$2,MOD(B40,Mode)=0),Mod_Prem,0)-IF(D41='Cashflows_8%'!$C$7,Revival!$C$14,0)-IF(AND(D41&gt;'Cashflows_8%'!$C$7,D41&lt;=Revival!$C$12,MOD(B40,Mode)=0),Mod_Prem,0)+IF(B40=PT*12,VLOOKUP(PT*12,'Cashflows_8%'!$A$7:$N$246,14,0),0)+IF(B40='Pre-Calculation'!$D$12,PW,0)</f>
        <v>0</v>
      </c>
      <c r="G41" s="122">
        <f>-IF(AND(D41&lt;=Revival!$C$2,MOD(B40,Mode)=0),Mod_Prem,0)-IF(D41='Cashflows_8%'!$C$7,Revival!$C$14,0)-IF(AND(D41&gt;'Cashflows_8%'!$C$7,D41&lt;=Revival!$C$12,MOD(B40,Mode)=0),Mod_Prem,0)+IF(B40=PT*12,VLOOKUP(PT*12,'Cashflows_4%'!$A$7:$N$246,14,0),0)+IF(B40='Pre-Calculation'!$D$12,PW,0)</f>
        <v>0</v>
      </c>
      <c r="H41" s="122">
        <f>-IF(AND(D41&lt;=Revival!$C$2,MOD(B40,Mode)=0),Mod_Prem,0)-IF(D41='Cashflows_8%'!$C$7,Revival!$C$14,0)-IF(AND(D41&gt;'Cashflows_8%'!$C$7,D41&lt;=Revival!$C$12,MOD(B40,Mode)=0),Mod_Prem,0)+IF(B40=PT*12,VLOOKUP(PT*12,Cashflows_HIST!$A$7:$N$246,14,0),0)+IF(B40='Pre-Calculation'!$D$12,PW,0)</f>
        <v>0</v>
      </c>
    </row>
    <row r="42" ht="14.25" customHeight="1">
      <c r="B42" s="171">
        <f t="shared" si="4"/>
        <v>35</v>
      </c>
      <c r="C42" s="171">
        <f t="shared" si="5"/>
        <v>3</v>
      </c>
      <c r="D42" s="176">
        <f>EDATE(RCD,B41)</f>
        <v>43585</v>
      </c>
      <c r="E42" s="199">
        <f>-IF(AND(D42&lt;=Revival!$C$2,MOD(B41,Mode)=0),Mod_Prem,0)+IF(B41='Pre-Calculation'!$D$12,SV,0)</f>
        <v>0</v>
      </c>
      <c r="F42" s="199">
        <f>-IF(AND(D42&lt;=Revival!$C$2,MOD(B41,Mode)=0),Mod_Prem,0)-IF(D42='Cashflows_8%'!$C$7,Revival!$C$14,0)-IF(AND(D42&gt;'Cashflows_8%'!$C$7,D42&lt;=Revival!$C$12,MOD(B41,Mode)=0),Mod_Prem,0)+IF(B41=PT*12,VLOOKUP(PT*12,'Cashflows_8%'!$A$7:$N$246,14,0),0)+IF(B41='Pre-Calculation'!$D$12,PW,0)</f>
        <v>0</v>
      </c>
      <c r="G42" s="122">
        <f>-IF(AND(D42&lt;=Revival!$C$2,MOD(B41,Mode)=0),Mod_Prem,0)-IF(D42='Cashflows_8%'!$C$7,Revival!$C$14,0)-IF(AND(D42&gt;'Cashflows_8%'!$C$7,D42&lt;=Revival!$C$12,MOD(B41,Mode)=0),Mod_Prem,0)+IF(B41=PT*12,VLOOKUP(PT*12,'Cashflows_4%'!$A$7:$N$246,14,0),0)+IF(B41='Pre-Calculation'!$D$12,PW,0)</f>
        <v>0</v>
      </c>
      <c r="H42" s="122">
        <f>-IF(AND(D42&lt;=Revival!$C$2,MOD(B41,Mode)=0),Mod_Prem,0)-IF(D42='Cashflows_8%'!$C$7,Revival!$C$14,0)-IF(AND(D42&gt;'Cashflows_8%'!$C$7,D42&lt;=Revival!$C$12,MOD(B41,Mode)=0),Mod_Prem,0)+IF(B41=PT*12,VLOOKUP(PT*12,Cashflows_HIST!$A$7:$N$246,14,0),0)+IF(B41='Pre-Calculation'!$D$12,PW,0)</f>
        <v>0</v>
      </c>
    </row>
    <row r="43" ht="14.25" customHeight="1">
      <c r="B43" s="171">
        <f t="shared" si="4"/>
        <v>36</v>
      </c>
      <c r="C43" s="171">
        <f t="shared" si="5"/>
        <v>3</v>
      </c>
      <c r="D43" s="176">
        <f>EDATE(RCD,B42)</f>
        <v>43615</v>
      </c>
      <c r="E43" s="199">
        <f>-IF(AND(D43&lt;=Revival!$C$2,MOD(B42,Mode)=0),Mod_Prem,0)+IF(B42='Pre-Calculation'!$D$12,SV,0)</f>
        <v>0</v>
      </c>
      <c r="F43" s="199">
        <f>-IF(AND(D43&lt;=Revival!$C$2,MOD(B42,Mode)=0),Mod_Prem,0)-IF(D43='Cashflows_8%'!$C$7,Revival!$C$14,0)-IF(AND(D43&gt;'Cashflows_8%'!$C$7,D43&lt;=Revival!$C$12,MOD(B42,Mode)=0),Mod_Prem,0)+IF(B42=PT*12,VLOOKUP(PT*12,'Cashflows_8%'!$A$7:$N$246,14,0),0)+IF(B42='Pre-Calculation'!$D$12,PW,0)</f>
        <v>0</v>
      </c>
      <c r="G43" s="122">
        <f>-IF(AND(D43&lt;=Revival!$C$2,MOD(B42,Mode)=0),Mod_Prem,0)-IF(D43='Cashflows_8%'!$C$7,Revival!$C$14,0)-IF(AND(D43&gt;'Cashflows_8%'!$C$7,D43&lt;=Revival!$C$12,MOD(B42,Mode)=0),Mod_Prem,0)+IF(B42=PT*12,VLOOKUP(PT*12,'Cashflows_4%'!$A$7:$N$246,14,0),0)+IF(B42='Pre-Calculation'!$D$12,PW,0)</f>
        <v>0</v>
      </c>
      <c r="H43" s="122">
        <f>-IF(AND(D43&lt;=Revival!$C$2,MOD(B42,Mode)=0),Mod_Prem,0)-IF(D43='Cashflows_8%'!$C$7,Revival!$C$14,0)-IF(AND(D43&gt;'Cashflows_8%'!$C$7,D43&lt;=Revival!$C$12,MOD(B42,Mode)=0),Mod_Prem,0)+IF(B42=PT*12,VLOOKUP(PT*12,Cashflows_HIST!$A$7:$N$246,14,0),0)+IF(B42='Pre-Calculation'!$D$12,PW,0)</f>
        <v>0</v>
      </c>
    </row>
    <row r="44" ht="14.25" customHeight="1">
      <c r="B44" s="171">
        <f t="shared" si="4"/>
        <v>37</v>
      </c>
      <c r="C44" s="171">
        <f t="shared" si="5"/>
        <v>4</v>
      </c>
      <c r="D44" s="176">
        <f>EDATE(RCD,B43)</f>
        <v>43646</v>
      </c>
      <c r="E44" s="199">
        <f>-IF(AND(D44&lt;=Revival!$C$2,MOD(B43,Mode)=0),Mod_Prem,0)+IF(B43='Pre-Calculation'!$D$12,SV,0)</f>
        <v>-100000</v>
      </c>
      <c r="F44" s="199">
        <f>-IF(AND(D44&lt;=Revival!$C$2,MOD(B43,Mode)=0),Mod_Prem,0)-IF(D44='Cashflows_8%'!$C$7,Revival!$C$14,0)-IF(AND(D44&gt;'Cashflows_8%'!$C$7,D44&lt;=Revival!$C$12,MOD(B43,Mode)=0),Mod_Prem,0)+IF(B43=PT*12,VLOOKUP(PT*12,'Cashflows_8%'!$A$7:$N$246,14,0),0)+IF(B43='Pre-Calculation'!$D$12,PW,0)</f>
        <v>-100000</v>
      </c>
      <c r="G44" s="122">
        <f>-IF(AND(D44&lt;=Revival!$C$2,MOD(B43,Mode)=0),Mod_Prem,0)-IF(D44='Cashflows_8%'!$C$7,Revival!$C$14,0)-IF(AND(D44&gt;'Cashflows_8%'!$C$7,D44&lt;=Revival!$C$12,MOD(B43,Mode)=0),Mod_Prem,0)+IF(B43=PT*12,VLOOKUP(PT*12,'Cashflows_4%'!$A$7:$N$246,14,0),0)+IF(B43='Pre-Calculation'!$D$12,PW,0)</f>
        <v>-100000</v>
      </c>
      <c r="H44" s="122">
        <f>-IF(AND(D44&lt;=Revival!$C$2,MOD(B43,Mode)=0),Mod_Prem,0)-IF(D44='Cashflows_8%'!$C$7,Revival!$C$14,0)-IF(AND(D44&gt;'Cashflows_8%'!$C$7,D44&lt;=Revival!$C$12,MOD(B43,Mode)=0),Mod_Prem,0)+IF(B43=PT*12,VLOOKUP(PT*12,Cashflows_HIST!$A$7:$N$246,14,0),0)+IF(B43='Pre-Calculation'!$D$12,PW,0)</f>
        <v>-100000</v>
      </c>
    </row>
    <row r="45" ht="14.25" customHeight="1">
      <c r="B45" s="171">
        <f t="shared" si="4"/>
        <v>38</v>
      </c>
      <c r="C45" s="171">
        <f t="shared" si="5"/>
        <v>4</v>
      </c>
      <c r="D45" s="176">
        <f>EDATE(RCD,B44)</f>
        <v>43676</v>
      </c>
      <c r="E45" s="199">
        <f>-IF(AND(D45&lt;=Revival!$C$2,MOD(B44,Mode)=0),Mod_Prem,0)+IF(B44='Pre-Calculation'!$D$12,SV,0)</f>
        <v>0</v>
      </c>
      <c r="F45" s="199">
        <f>-IF(AND(D45&lt;=Revival!$C$2,MOD(B44,Mode)=0),Mod_Prem,0)-IF(D45='Cashflows_8%'!$C$7,Revival!$C$14,0)-IF(AND(D45&gt;'Cashflows_8%'!$C$7,D45&lt;=Revival!$C$12,MOD(B44,Mode)=0),Mod_Prem,0)+IF(B44=PT*12,VLOOKUP(PT*12,'Cashflows_8%'!$A$7:$N$246,14,0),0)+IF(B44='Pre-Calculation'!$D$12,PW,0)</f>
        <v>0</v>
      </c>
      <c r="G45" s="122">
        <f>-IF(AND(D45&lt;=Revival!$C$2,MOD(B44,Mode)=0),Mod_Prem,0)-IF(D45='Cashflows_8%'!$C$7,Revival!$C$14,0)-IF(AND(D45&gt;'Cashflows_8%'!$C$7,D45&lt;=Revival!$C$12,MOD(B44,Mode)=0),Mod_Prem,0)+IF(B44=PT*12,VLOOKUP(PT*12,'Cashflows_4%'!$A$7:$N$246,14,0),0)+IF(B44='Pre-Calculation'!$D$12,PW,0)</f>
        <v>0</v>
      </c>
      <c r="H45" s="122">
        <f>-IF(AND(D45&lt;=Revival!$C$2,MOD(B44,Mode)=0),Mod_Prem,0)-IF(D45='Cashflows_8%'!$C$7,Revival!$C$14,0)-IF(AND(D45&gt;'Cashflows_8%'!$C$7,D45&lt;=Revival!$C$12,MOD(B44,Mode)=0),Mod_Prem,0)+IF(B44=PT*12,VLOOKUP(PT*12,Cashflows_HIST!$A$7:$N$246,14,0),0)+IF(B44='Pre-Calculation'!$D$12,PW,0)</f>
        <v>0</v>
      </c>
    </row>
    <row r="46" ht="14.25" customHeight="1">
      <c r="B46" s="171">
        <f t="shared" si="4"/>
        <v>39</v>
      </c>
      <c r="C46" s="171">
        <f t="shared" si="5"/>
        <v>4</v>
      </c>
      <c r="D46" s="176">
        <f>EDATE(RCD,B45)</f>
        <v>43707</v>
      </c>
      <c r="E46" s="199">
        <f>-IF(AND(D46&lt;=Revival!$C$2,MOD(B45,Mode)=0),Mod_Prem,0)+IF(B45='Pre-Calculation'!$D$12,SV,0)</f>
        <v>0</v>
      </c>
      <c r="F46" s="199">
        <f>-IF(AND(D46&lt;=Revival!$C$2,MOD(B45,Mode)=0),Mod_Prem,0)-IF(D46='Cashflows_8%'!$C$7,Revival!$C$14,0)-IF(AND(D46&gt;'Cashflows_8%'!$C$7,D46&lt;=Revival!$C$12,MOD(B45,Mode)=0),Mod_Prem,0)+IF(B45=PT*12,VLOOKUP(PT*12,'Cashflows_8%'!$A$7:$N$246,14,0),0)+IF(B45='Pre-Calculation'!$D$12,PW,0)</f>
        <v>0</v>
      </c>
      <c r="G46" s="122">
        <f>-IF(AND(D46&lt;=Revival!$C$2,MOD(B45,Mode)=0),Mod_Prem,0)-IF(D46='Cashflows_8%'!$C$7,Revival!$C$14,0)-IF(AND(D46&gt;'Cashflows_8%'!$C$7,D46&lt;=Revival!$C$12,MOD(B45,Mode)=0),Mod_Prem,0)+IF(B45=PT*12,VLOOKUP(PT*12,'Cashflows_4%'!$A$7:$N$246,14,0),0)+IF(B45='Pre-Calculation'!$D$12,PW,0)</f>
        <v>0</v>
      </c>
      <c r="H46" s="122">
        <f>-IF(AND(D46&lt;=Revival!$C$2,MOD(B45,Mode)=0),Mod_Prem,0)-IF(D46='Cashflows_8%'!$C$7,Revival!$C$14,0)-IF(AND(D46&gt;'Cashflows_8%'!$C$7,D46&lt;=Revival!$C$12,MOD(B45,Mode)=0),Mod_Prem,0)+IF(B45=PT*12,VLOOKUP(PT*12,Cashflows_HIST!$A$7:$N$246,14,0),0)+IF(B45='Pre-Calculation'!$D$12,PW,0)</f>
        <v>0</v>
      </c>
    </row>
    <row r="47" ht="14.25" customHeight="1">
      <c r="B47" s="171">
        <f t="shared" si="4"/>
        <v>40</v>
      </c>
      <c r="C47" s="171">
        <f t="shared" si="5"/>
        <v>4</v>
      </c>
      <c r="D47" s="176">
        <f>EDATE(RCD,B46)</f>
        <v>43738</v>
      </c>
      <c r="E47" s="199">
        <f>-IF(AND(D47&lt;=Revival!$C$2,MOD(B46,Mode)=0),Mod_Prem,0)+IF(B46='Pre-Calculation'!$D$12,SV,0)</f>
        <v>0</v>
      </c>
      <c r="F47" s="199">
        <f>-IF(AND(D47&lt;=Revival!$C$2,MOD(B46,Mode)=0),Mod_Prem,0)-IF(D47='Cashflows_8%'!$C$7,Revival!$C$14,0)-IF(AND(D47&gt;'Cashflows_8%'!$C$7,D47&lt;=Revival!$C$12,MOD(B46,Mode)=0),Mod_Prem,0)+IF(B46=PT*12,VLOOKUP(PT*12,'Cashflows_8%'!$A$7:$N$246,14,0),0)+IF(B46='Pre-Calculation'!$D$12,PW,0)</f>
        <v>0</v>
      </c>
      <c r="G47" s="122">
        <f>-IF(AND(D47&lt;=Revival!$C$2,MOD(B46,Mode)=0),Mod_Prem,0)-IF(D47='Cashflows_8%'!$C$7,Revival!$C$14,0)-IF(AND(D47&gt;'Cashflows_8%'!$C$7,D47&lt;=Revival!$C$12,MOD(B46,Mode)=0),Mod_Prem,0)+IF(B46=PT*12,VLOOKUP(PT*12,'Cashflows_4%'!$A$7:$N$246,14,0),0)+IF(B46='Pre-Calculation'!$D$12,PW,0)</f>
        <v>0</v>
      </c>
      <c r="H47" s="122">
        <f>-IF(AND(D47&lt;=Revival!$C$2,MOD(B46,Mode)=0),Mod_Prem,0)-IF(D47='Cashflows_8%'!$C$7,Revival!$C$14,0)-IF(AND(D47&gt;'Cashflows_8%'!$C$7,D47&lt;=Revival!$C$12,MOD(B46,Mode)=0),Mod_Prem,0)+IF(B46=PT*12,VLOOKUP(PT*12,Cashflows_HIST!$A$7:$N$246,14,0),0)+IF(B46='Pre-Calculation'!$D$12,PW,0)</f>
        <v>0</v>
      </c>
    </row>
    <row r="48" ht="14.25" customHeight="1">
      <c r="B48" s="171">
        <f t="shared" si="4"/>
        <v>41</v>
      </c>
      <c r="C48" s="171">
        <f t="shared" si="5"/>
        <v>4</v>
      </c>
      <c r="D48" s="176">
        <f>EDATE(RCD,B47)</f>
        <v>43768</v>
      </c>
      <c r="E48" s="199">
        <f>-IF(AND(D48&lt;=Revival!$C$2,MOD(B47,Mode)=0),Mod_Prem,0)+IF(B47='Pre-Calculation'!$D$12,SV,0)</f>
        <v>0</v>
      </c>
      <c r="F48" s="199">
        <f>-IF(AND(D48&lt;=Revival!$C$2,MOD(B47,Mode)=0),Mod_Prem,0)-IF(D48='Cashflows_8%'!$C$7,Revival!$C$14,0)-IF(AND(D48&gt;'Cashflows_8%'!$C$7,D48&lt;=Revival!$C$12,MOD(B47,Mode)=0),Mod_Prem,0)+IF(B47=PT*12,VLOOKUP(PT*12,'Cashflows_8%'!$A$7:$N$246,14,0),0)+IF(B47='Pre-Calculation'!$D$12,PW,0)</f>
        <v>0</v>
      </c>
      <c r="G48" s="122">
        <f>-IF(AND(D48&lt;=Revival!$C$2,MOD(B47,Mode)=0),Mod_Prem,0)-IF(D48='Cashflows_8%'!$C$7,Revival!$C$14,0)-IF(AND(D48&gt;'Cashflows_8%'!$C$7,D48&lt;=Revival!$C$12,MOD(B47,Mode)=0),Mod_Prem,0)+IF(B47=PT*12,VLOOKUP(PT*12,'Cashflows_4%'!$A$7:$N$246,14,0),0)+IF(B47='Pre-Calculation'!$D$12,PW,0)</f>
        <v>0</v>
      </c>
      <c r="H48" s="122">
        <f>-IF(AND(D48&lt;=Revival!$C$2,MOD(B47,Mode)=0),Mod_Prem,0)-IF(D48='Cashflows_8%'!$C$7,Revival!$C$14,0)-IF(AND(D48&gt;'Cashflows_8%'!$C$7,D48&lt;=Revival!$C$12,MOD(B47,Mode)=0),Mod_Prem,0)+IF(B47=PT*12,VLOOKUP(PT*12,Cashflows_HIST!$A$7:$N$246,14,0),0)+IF(B47='Pre-Calculation'!$D$12,PW,0)</f>
        <v>0</v>
      </c>
    </row>
    <row r="49" ht="14.25" customHeight="1">
      <c r="B49" s="171">
        <f t="shared" si="4"/>
        <v>42</v>
      </c>
      <c r="C49" s="171">
        <f t="shared" si="5"/>
        <v>4</v>
      </c>
      <c r="D49" s="176">
        <f>EDATE(RCD,B48)</f>
        <v>43799</v>
      </c>
      <c r="E49" s="199">
        <f>-IF(AND(D49&lt;=Revival!$C$2,MOD(B48,Mode)=0),Mod_Prem,0)+IF(B48='Pre-Calculation'!$D$12,SV,0)</f>
        <v>0</v>
      </c>
      <c r="F49" s="199">
        <f>-IF(AND(D49&lt;=Revival!$C$2,MOD(B48,Mode)=0),Mod_Prem,0)-IF(D49='Cashflows_8%'!$C$7,Revival!$C$14,0)-IF(AND(D49&gt;'Cashflows_8%'!$C$7,D49&lt;=Revival!$C$12,MOD(B48,Mode)=0),Mod_Prem,0)+IF(B48=PT*12,VLOOKUP(PT*12,'Cashflows_8%'!$A$7:$N$246,14,0),0)+IF(B48='Pre-Calculation'!$D$12,PW,0)</f>
        <v>0</v>
      </c>
      <c r="G49" s="122">
        <f>-IF(AND(D49&lt;=Revival!$C$2,MOD(B48,Mode)=0),Mod_Prem,0)-IF(D49='Cashflows_8%'!$C$7,Revival!$C$14,0)-IF(AND(D49&gt;'Cashflows_8%'!$C$7,D49&lt;=Revival!$C$12,MOD(B48,Mode)=0),Mod_Prem,0)+IF(B48=PT*12,VLOOKUP(PT*12,'Cashflows_4%'!$A$7:$N$246,14,0),0)+IF(B48='Pre-Calculation'!$D$12,PW,0)</f>
        <v>0</v>
      </c>
      <c r="H49" s="122">
        <f>-IF(AND(D49&lt;=Revival!$C$2,MOD(B48,Mode)=0),Mod_Prem,0)-IF(D49='Cashflows_8%'!$C$7,Revival!$C$14,0)-IF(AND(D49&gt;'Cashflows_8%'!$C$7,D49&lt;=Revival!$C$12,MOD(B48,Mode)=0),Mod_Prem,0)+IF(B48=PT*12,VLOOKUP(PT*12,Cashflows_HIST!$A$7:$N$246,14,0),0)+IF(B48='Pre-Calculation'!$D$12,PW,0)</f>
        <v>0</v>
      </c>
    </row>
    <row r="50" ht="14.25" customHeight="1">
      <c r="B50" s="171">
        <f t="shared" si="4"/>
        <v>43</v>
      </c>
      <c r="C50" s="171">
        <f t="shared" si="5"/>
        <v>4</v>
      </c>
      <c r="D50" s="176">
        <f>EDATE(RCD,B49)</f>
        <v>43829</v>
      </c>
      <c r="E50" s="199">
        <f>-IF(AND(D50&lt;=Revival!$C$2,MOD(B49,Mode)=0),Mod_Prem,0)+IF(B49='Pre-Calculation'!$D$12,SV,0)</f>
        <v>0</v>
      </c>
      <c r="F50" s="199">
        <f>-IF(AND(D50&lt;=Revival!$C$2,MOD(B49,Mode)=0),Mod_Prem,0)-IF(D50='Cashflows_8%'!$C$7,Revival!$C$14,0)-IF(AND(D50&gt;'Cashflows_8%'!$C$7,D50&lt;=Revival!$C$12,MOD(B49,Mode)=0),Mod_Prem,0)+IF(B49=PT*12,VLOOKUP(PT*12,'Cashflows_8%'!$A$7:$N$246,14,0),0)+IF(B49='Pre-Calculation'!$D$12,PW,0)</f>
        <v>0</v>
      </c>
      <c r="G50" s="122">
        <f>-IF(AND(D50&lt;=Revival!$C$2,MOD(B49,Mode)=0),Mod_Prem,0)-IF(D50='Cashflows_8%'!$C$7,Revival!$C$14,0)-IF(AND(D50&gt;'Cashflows_8%'!$C$7,D50&lt;=Revival!$C$12,MOD(B49,Mode)=0),Mod_Prem,0)+IF(B49=PT*12,VLOOKUP(PT*12,'Cashflows_4%'!$A$7:$N$246,14,0),0)+IF(B49='Pre-Calculation'!$D$12,PW,0)</f>
        <v>0</v>
      </c>
      <c r="H50" s="122">
        <f>-IF(AND(D50&lt;=Revival!$C$2,MOD(B49,Mode)=0),Mod_Prem,0)-IF(D50='Cashflows_8%'!$C$7,Revival!$C$14,0)-IF(AND(D50&gt;'Cashflows_8%'!$C$7,D50&lt;=Revival!$C$12,MOD(B49,Mode)=0),Mod_Prem,0)+IF(B49=PT*12,VLOOKUP(PT*12,Cashflows_HIST!$A$7:$N$246,14,0),0)+IF(B49='Pre-Calculation'!$D$12,PW,0)</f>
        <v>0</v>
      </c>
    </row>
    <row r="51" ht="14.25" customHeight="1">
      <c r="B51" s="171">
        <f t="shared" si="4"/>
        <v>44</v>
      </c>
      <c r="C51" s="171">
        <f t="shared" si="5"/>
        <v>4</v>
      </c>
      <c r="D51" s="176">
        <f>EDATE(RCD,B50)</f>
        <v>43860</v>
      </c>
      <c r="E51" s="199">
        <f>-IF(AND(D51&lt;=Revival!$C$2,MOD(B50,Mode)=0),Mod_Prem,0)+IF(B50='Pre-Calculation'!$D$12,SV,0)</f>
        <v>0</v>
      </c>
      <c r="F51" s="199">
        <f>-IF(AND(D51&lt;=Revival!$C$2,MOD(B50,Mode)=0),Mod_Prem,0)-IF(D51='Cashflows_8%'!$C$7,Revival!$C$14,0)-IF(AND(D51&gt;'Cashflows_8%'!$C$7,D51&lt;=Revival!$C$12,MOD(B50,Mode)=0),Mod_Prem,0)+IF(B50=PT*12,VLOOKUP(PT*12,'Cashflows_8%'!$A$7:$N$246,14,0),0)+IF(B50='Pre-Calculation'!$D$12,PW,0)</f>
        <v>0</v>
      </c>
      <c r="G51" s="122">
        <f>-IF(AND(D51&lt;=Revival!$C$2,MOD(B50,Mode)=0),Mod_Prem,0)-IF(D51='Cashflows_8%'!$C$7,Revival!$C$14,0)-IF(AND(D51&gt;'Cashflows_8%'!$C$7,D51&lt;=Revival!$C$12,MOD(B50,Mode)=0),Mod_Prem,0)+IF(B50=PT*12,VLOOKUP(PT*12,'Cashflows_4%'!$A$7:$N$246,14,0),0)+IF(B50='Pre-Calculation'!$D$12,PW,0)</f>
        <v>0</v>
      </c>
      <c r="H51" s="122">
        <f>-IF(AND(D51&lt;=Revival!$C$2,MOD(B50,Mode)=0),Mod_Prem,0)-IF(D51='Cashflows_8%'!$C$7,Revival!$C$14,0)-IF(AND(D51&gt;'Cashflows_8%'!$C$7,D51&lt;=Revival!$C$12,MOD(B50,Mode)=0),Mod_Prem,0)+IF(B50=PT*12,VLOOKUP(PT*12,Cashflows_HIST!$A$7:$N$246,14,0),0)+IF(B50='Pre-Calculation'!$D$12,PW,0)</f>
        <v>0</v>
      </c>
    </row>
    <row r="52" ht="14.25" customHeight="1">
      <c r="B52" s="171">
        <f t="shared" si="4"/>
        <v>45</v>
      </c>
      <c r="C52" s="171">
        <f t="shared" si="5"/>
        <v>4</v>
      </c>
      <c r="D52" s="176">
        <f>EDATE(RCD,B51)</f>
        <v>43890</v>
      </c>
      <c r="E52" s="199">
        <f>-IF(AND(D52&lt;=Revival!$C$2,MOD(B51,Mode)=0),Mod_Prem,0)+IF(B51='Pre-Calculation'!$D$12,SV,0)</f>
        <v>0</v>
      </c>
      <c r="F52" s="199">
        <f>-IF(AND(D52&lt;=Revival!$C$2,MOD(B51,Mode)=0),Mod_Prem,0)-IF(D52='Cashflows_8%'!$C$7,Revival!$C$14,0)-IF(AND(D52&gt;'Cashflows_8%'!$C$7,D52&lt;=Revival!$C$12,MOD(B51,Mode)=0),Mod_Prem,0)+IF(B51=PT*12,VLOOKUP(PT*12,'Cashflows_8%'!$A$7:$N$246,14,0),0)+IF(B51='Pre-Calculation'!$D$12,PW,0)</f>
        <v>0</v>
      </c>
      <c r="G52" s="122">
        <f>-IF(AND(D52&lt;=Revival!$C$2,MOD(B51,Mode)=0),Mod_Prem,0)-IF(D52='Cashflows_8%'!$C$7,Revival!$C$14,0)-IF(AND(D52&gt;'Cashflows_8%'!$C$7,D52&lt;=Revival!$C$12,MOD(B51,Mode)=0),Mod_Prem,0)+IF(B51=PT*12,VLOOKUP(PT*12,'Cashflows_4%'!$A$7:$N$246,14,0),0)+IF(B51='Pre-Calculation'!$D$12,PW,0)</f>
        <v>0</v>
      </c>
      <c r="H52" s="122">
        <f>-IF(AND(D52&lt;=Revival!$C$2,MOD(B51,Mode)=0),Mod_Prem,0)-IF(D52='Cashflows_8%'!$C$7,Revival!$C$14,0)-IF(AND(D52&gt;'Cashflows_8%'!$C$7,D52&lt;=Revival!$C$12,MOD(B51,Mode)=0),Mod_Prem,0)+IF(B51=PT*12,VLOOKUP(PT*12,Cashflows_HIST!$A$7:$N$246,14,0),0)+IF(B51='Pre-Calculation'!$D$12,PW,0)</f>
        <v>0</v>
      </c>
    </row>
    <row r="53" ht="14.25" customHeight="1">
      <c r="B53" s="171">
        <f t="shared" si="4"/>
        <v>46</v>
      </c>
      <c r="C53" s="171">
        <f t="shared" si="5"/>
        <v>4</v>
      </c>
      <c r="D53" s="176">
        <f>EDATE(RCD,B52)</f>
        <v>43920</v>
      </c>
      <c r="E53" s="199">
        <f>-IF(AND(D53&lt;=Revival!$C$2,MOD(B52,Mode)=0),Mod_Prem,0)+IF(B52='Pre-Calculation'!$D$12,SV,0)</f>
        <v>0</v>
      </c>
      <c r="F53" s="199">
        <f>-IF(AND(D53&lt;=Revival!$C$2,MOD(B52,Mode)=0),Mod_Prem,0)-IF(D53='Cashflows_8%'!$C$7,Revival!$C$14,0)-IF(AND(D53&gt;'Cashflows_8%'!$C$7,D53&lt;=Revival!$C$12,MOD(B52,Mode)=0),Mod_Prem,0)+IF(B52=PT*12,VLOOKUP(PT*12,'Cashflows_8%'!$A$7:$N$246,14,0),0)+IF(B52='Pre-Calculation'!$D$12,PW,0)</f>
        <v>0</v>
      </c>
      <c r="G53" s="122">
        <f>-IF(AND(D53&lt;=Revival!$C$2,MOD(B52,Mode)=0),Mod_Prem,0)-IF(D53='Cashflows_8%'!$C$7,Revival!$C$14,0)-IF(AND(D53&gt;'Cashflows_8%'!$C$7,D53&lt;=Revival!$C$12,MOD(B52,Mode)=0),Mod_Prem,0)+IF(B52=PT*12,VLOOKUP(PT*12,'Cashflows_4%'!$A$7:$N$246,14,0),0)+IF(B52='Pre-Calculation'!$D$12,PW,0)</f>
        <v>0</v>
      </c>
      <c r="H53" s="122">
        <f>-IF(AND(D53&lt;=Revival!$C$2,MOD(B52,Mode)=0),Mod_Prem,0)-IF(D53='Cashflows_8%'!$C$7,Revival!$C$14,0)-IF(AND(D53&gt;'Cashflows_8%'!$C$7,D53&lt;=Revival!$C$12,MOD(B52,Mode)=0),Mod_Prem,0)+IF(B52=PT*12,VLOOKUP(PT*12,Cashflows_HIST!$A$7:$N$246,14,0),0)+IF(B52='Pre-Calculation'!$D$12,PW,0)</f>
        <v>0</v>
      </c>
    </row>
    <row r="54" ht="14.25" customHeight="1">
      <c r="B54" s="171">
        <f t="shared" si="4"/>
        <v>47</v>
      </c>
      <c r="C54" s="171">
        <f t="shared" si="5"/>
        <v>4</v>
      </c>
      <c r="D54" s="176">
        <f>EDATE(RCD,B53)</f>
        <v>43951</v>
      </c>
      <c r="E54" s="199">
        <f>-IF(AND(D54&lt;=Revival!$C$2,MOD(B53,Mode)=0),Mod_Prem,0)+IF(B53='Pre-Calculation'!$D$12,SV,0)</f>
        <v>0</v>
      </c>
      <c r="F54" s="199">
        <f>-IF(AND(D54&lt;=Revival!$C$2,MOD(B53,Mode)=0),Mod_Prem,0)-IF(D54='Cashflows_8%'!$C$7,Revival!$C$14,0)-IF(AND(D54&gt;'Cashflows_8%'!$C$7,D54&lt;=Revival!$C$12,MOD(B53,Mode)=0),Mod_Prem,0)+IF(B53=PT*12,VLOOKUP(PT*12,'Cashflows_8%'!$A$7:$N$246,14,0),0)+IF(B53='Pre-Calculation'!$D$12,PW,0)</f>
        <v>0</v>
      </c>
      <c r="G54" s="122">
        <f>-IF(AND(D54&lt;=Revival!$C$2,MOD(B53,Mode)=0),Mod_Prem,0)-IF(D54='Cashflows_8%'!$C$7,Revival!$C$14,0)-IF(AND(D54&gt;'Cashflows_8%'!$C$7,D54&lt;=Revival!$C$12,MOD(B53,Mode)=0),Mod_Prem,0)+IF(B53=PT*12,VLOOKUP(PT*12,'Cashflows_4%'!$A$7:$N$246,14,0),0)+IF(B53='Pre-Calculation'!$D$12,PW,0)</f>
        <v>0</v>
      </c>
      <c r="H54" s="122">
        <f>-IF(AND(D54&lt;=Revival!$C$2,MOD(B53,Mode)=0),Mod_Prem,0)-IF(D54='Cashflows_8%'!$C$7,Revival!$C$14,0)-IF(AND(D54&gt;'Cashflows_8%'!$C$7,D54&lt;=Revival!$C$12,MOD(B53,Mode)=0),Mod_Prem,0)+IF(B53=PT*12,VLOOKUP(PT*12,Cashflows_HIST!$A$7:$N$246,14,0),0)+IF(B53='Pre-Calculation'!$D$12,PW,0)</f>
        <v>0</v>
      </c>
    </row>
    <row r="55" ht="14.25" customHeight="1">
      <c r="B55" s="171">
        <f t="shared" si="4"/>
        <v>48</v>
      </c>
      <c r="C55" s="171">
        <f t="shared" si="5"/>
        <v>4</v>
      </c>
      <c r="D55" s="176">
        <f>EDATE(RCD,B54)</f>
        <v>43981</v>
      </c>
      <c r="E55" s="199">
        <f>-IF(AND(D55&lt;=Revival!$C$2,MOD(B54,Mode)=0),Mod_Prem,0)+IF(B54='Pre-Calculation'!$D$12,SV,0)</f>
        <v>0</v>
      </c>
      <c r="F55" s="199">
        <f>-IF(AND(D55&lt;=Revival!$C$2,MOD(B54,Mode)=0),Mod_Prem,0)-IF(D55='Cashflows_8%'!$C$7,Revival!$C$14,0)-IF(AND(D55&gt;'Cashflows_8%'!$C$7,D55&lt;=Revival!$C$12,MOD(B54,Mode)=0),Mod_Prem,0)+IF(B54=PT*12,VLOOKUP(PT*12,'Cashflows_8%'!$A$7:$N$246,14,0),0)+IF(B54='Pre-Calculation'!$D$12,PW,0)</f>
        <v>0</v>
      </c>
      <c r="G55" s="122">
        <f>-IF(AND(D55&lt;=Revival!$C$2,MOD(B54,Mode)=0),Mod_Prem,0)-IF(D55='Cashflows_8%'!$C$7,Revival!$C$14,0)-IF(AND(D55&gt;'Cashflows_8%'!$C$7,D55&lt;=Revival!$C$12,MOD(B54,Mode)=0),Mod_Prem,0)+IF(B54=PT*12,VLOOKUP(PT*12,'Cashflows_4%'!$A$7:$N$246,14,0),0)+IF(B54='Pre-Calculation'!$D$12,PW,0)</f>
        <v>0</v>
      </c>
      <c r="H55" s="122">
        <f>-IF(AND(D55&lt;=Revival!$C$2,MOD(B54,Mode)=0),Mod_Prem,0)-IF(D55='Cashflows_8%'!$C$7,Revival!$C$14,0)-IF(AND(D55&gt;'Cashflows_8%'!$C$7,D55&lt;=Revival!$C$12,MOD(B54,Mode)=0),Mod_Prem,0)+IF(B54=PT*12,VLOOKUP(PT*12,Cashflows_HIST!$A$7:$N$246,14,0),0)+IF(B54='Pre-Calculation'!$D$12,PW,0)</f>
        <v>0</v>
      </c>
    </row>
    <row r="56" ht="14.25" customHeight="1">
      <c r="B56" s="171">
        <f t="shared" si="4"/>
        <v>49</v>
      </c>
      <c r="C56" s="171">
        <f t="shared" si="5"/>
        <v>5</v>
      </c>
      <c r="D56" s="176">
        <f>EDATE(RCD,B55)</f>
        <v>44012</v>
      </c>
      <c r="E56" s="199">
        <f>-IF(AND(D56&lt;=Revival!$C$2,MOD(B55,Mode)=0),Mod_Prem,0)+IF(B55='Pre-Calculation'!$D$12,SV,0)</f>
        <v>-100000</v>
      </c>
      <c r="F56" s="199">
        <f>-IF(AND(D56&lt;=Revival!$C$2,MOD(B55,Mode)=0),Mod_Prem,0)-IF(D56='Cashflows_8%'!$C$7,Revival!$C$14,0)-IF(AND(D56&gt;'Cashflows_8%'!$C$7,D56&lt;=Revival!$C$12,MOD(B55,Mode)=0),Mod_Prem,0)+IF(B55=PT*12,VLOOKUP(PT*12,'Cashflows_8%'!$A$7:$N$246,14,0),0)+IF(B55='Pre-Calculation'!$D$12,PW,0)</f>
        <v>-100000</v>
      </c>
      <c r="G56" s="122">
        <f>-IF(AND(D56&lt;=Revival!$C$2,MOD(B55,Mode)=0),Mod_Prem,0)-IF(D56='Cashflows_8%'!$C$7,Revival!$C$14,0)-IF(AND(D56&gt;'Cashflows_8%'!$C$7,D56&lt;=Revival!$C$12,MOD(B55,Mode)=0),Mod_Prem,0)+IF(B55=PT*12,VLOOKUP(PT*12,'Cashflows_4%'!$A$7:$N$246,14,0),0)+IF(B55='Pre-Calculation'!$D$12,PW,0)</f>
        <v>-100000</v>
      </c>
      <c r="H56" s="122">
        <f>-IF(AND(D56&lt;=Revival!$C$2,MOD(B55,Mode)=0),Mod_Prem,0)-IF(D56='Cashflows_8%'!$C$7,Revival!$C$14,0)-IF(AND(D56&gt;'Cashflows_8%'!$C$7,D56&lt;=Revival!$C$12,MOD(B55,Mode)=0),Mod_Prem,0)+IF(B55=PT*12,VLOOKUP(PT*12,Cashflows_HIST!$A$7:$N$246,14,0),0)+IF(B55='Pre-Calculation'!$D$12,PW,0)</f>
        <v>-100000</v>
      </c>
    </row>
    <row r="57" ht="14.25" customHeight="1">
      <c r="B57" s="171">
        <f t="shared" si="4"/>
        <v>50</v>
      </c>
      <c r="C57" s="171">
        <f t="shared" si="5"/>
        <v>5</v>
      </c>
      <c r="D57" s="176">
        <f>EDATE(RCD,B56)</f>
        <v>44042</v>
      </c>
      <c r="E57" s="199">
        <f>-IF(AND(D57&lt;=Revival!$C$2,MOD(B56,Mode)=0),Mod_Prem,0)+IF(B56='Pre-Calculation'!$D$12,SV,0)</f>
        <v>0</v>
      </c>
      <c r="F57" s="199">
        <f>-IF(AND(D57&lt;=Revival!$C$2,MOD(B56,Mode)=0),Mod_Prem,0)-IF(D57='Cashflows_8%'!$C$7,Revival!$C$14,0)-IF(AND(D57&gt;'Cashflows_8%'!$C$7,D57&lt;=Revival!$C$12,MOD(B56,Mode)=0),Mod_Prem,0)+IF(B56=PT*12,VLOOKUP(PT*12,'Cashflows_8%'!$A$7:$N$246,14,0),0)+IF(B56='Pre-Calculation'!$D$12,PW,0)</f>
        <v>0</v>
      </c>
      <c r="G57" s="122">
        <f>-IF(AND(D57&lt;=Revival!$C$2,MOD(B56,Mode)=0),Mod_Prem,0)-IF(D57='Cashflows_8%'!$C$7,Revival!$C$14,0)-IF(AND(D57&gt;'Cashflows_8%'!$C$7,D57&lt;=Revival!$C$12,MOD(B56,Mode)=0),Mod_Prem,0)+IF(B56=PT*12,VLOOKUP(PT*12,'Cashflows_4%'!$A$7:$N$246,14,0),0)+IF(B56='Pre-Calculation'!$D$12,PW,0)</f>
        <v>0</v>
      </c>
      <c r="H57" s="122">
        <f>-IF(AND(D57&lt;=Revival!$C$2,MOD(B56,Mode)=0),Mod_Prem,0)-IF(D57='Cashflows_8%'!$C$7,Revival!$C$14,0)-IF(AND(D57&gt;'Cashflows_8%'!$C$7,D57&lt;=Revival!$C$12,MOD(B56,Mode)=0),Mod_Prem,0)+IF(B56=PT*12,VLOOKUP(PT*12,Cashflows_HIST!$A$7:$N$246,14,0),0)+IF(B56='Pre-Calculation'!$D$12,PW,0)</f>
        <v>0</v>
      </c>
    </row>
    <row r="58" ht="14.25" customHeight="1">
      <c r="B58" s="171">
        <f t="shared" si="4"/>
        <v>51</v>
      </c>
      <c r="C58" s="171">
        <f t="shared" si="5"/>
        <v>5</v>
      </c>
      <c r="D58" s="176">
        <f>EDATE(RCD,B57)</f>
        <v>44073</v>
      </c>
      <c r="E58" s="199">
        <f>-IF(AND(D58&lt;=Revival!$C$2,MOD(B57,Mode)=0),Mod_Prem,0)+IF(B57='Pre-Calculation'!$D$12,SV,0)</f>
        <v>0</v>
      </c>
      <c r="F58" s="199">
        <f>-IF(AND(D58&lt;=Revival!$C$2,MOD(B57,Mode)=0),Mod_Prem,0)-IF(D58='Cashflows_8%'!$C$7,Revival!$C$14,0)-IF(AND(D58&gt;'Cashflows_8%'!$C$7,D58&lt;=Revival!$C$12,MOD(B57,Mode)=0),Mod_Prem,0)+IF(B57=PT*12,VLOOKUP(PT*12,'Cashflows_8%'!$A$7:$N$246,14,0),0)+IF(B57='Pre-Calculation'!$D$12,PW,0)</f>
        <v>0</v>
      </c>
      <c r="G58" s="122">
        <f>-IF(AND(D58&lt;=Revival!$C$2,MOD(B57,Mode)=0),Mod_Prem,0)-IF(D58='Cashflows_8%'!$C$7,Revival!$C$14,0)-IF(AND(D58&gt;'Cashflows_8%'!$C$7,D58&lt;=Revival!$C$12,MOD(B57,Mode)=0),Mod_Prem,0)+IF(B57=PT*12,VLOOKUP(PT*12,'Cashflows_4%'!$A$7:$N$246,14,0),0)+IF(B57='Pre-Calculation'!$D$12,PW,0)</f>
        <v>0</v>
      </c>
      <c r="H58" s="122">
        <f>-IF(AND(D58&lt;=Revival!$C$2,MOD(B57,Mode)=0),Mod_Prem,0)-IF(D58='Cashflows_8%'!$C$7,Revival!$C$14,0)-IF(AND(D58&gt;'Cashflows_8%'!$C$7,D58&lt;=Revival!$C$12,MOD(B57,Mode)=0),Mod_Prem,0)+IF(B57=PT*12,VLOOKUP(PT*12,Cashflows_HIST!$A$7:$N$246,14,0),0)+IF(B57='Pre-Calculation'!$D$12,PW,0)</f>
        <v>0</v>
      </c>
    </row>
    <row r="59" ht="14.25" customHeight="1">
      <c r="B59" s="171">
        <f t="shared" si="4"/>
        <v>52</v>
      </c>
      <c r="C59" s="171">
        <f t="shared" si="5"/>
        <v>5</v>
      </c>
      <c r="D59" s="176">
        <f>EDATE(RCD,B58)</f>
        <v>44104</v>
      </c>
      <c r="E59" s="199">
        <f>-IF(AND(D59&lt;=Revival!$C$2,MOD(B58,Mode)=0),Mod_Prem,0)+IF(B58='Pre-Calculation'!$D$12,SV,0)</f>
        <v>0</v>
      </c>
      <c r="F59" s="199">
        <f>-IF(AND(D59&lt;=Revival!$C$2,MOD(B58,Mode)=0),Mod_Prem,0)-IF(D59='Cashflows_8%'!$C$7,Revival!$C$14,0)-IF(AND(D59&gt;'Cashflows_8%'!$C$7,D59&lt;=Revival!$C$12,MOD(B58,Mode)=0),Mod_Prem,0)+IF(B58=PT*12,VLOOKUP(PT*12,'Cashflows_8%'!$A$7:$N$246,14,0),0)+IF(B58='Pre-Calculation'!$D$12,PW,0)</f>
        <v>0</v>
      </c>
      <c r="G59" s="122">
        <f>-IF(AND(D59&lt;=Revival!$C$2,MOD(B58,Mode)=0),Mod_Prem,0)-IF(D59='Cashflows_8%'!$C$7,Revival!$C$14,0)-IF(AND(D59&gt;'Cashflows_8%'!$C$7,D59&lt;=Revival!$C$12,MOD(B58,Mode)=0),Mod_Prem,0)+IF(B58=PT*12,VLOOKUP(PT*12,'Cashflows_4%'!$A$7:$N$246,14,0),0)+IF(B58='Pre-Calculation'!$D$12,PW,0)</f>
        <v>0</v>
      </c>
      <c r="H59" s="122">
        <f>-IF(AND(D59&lt;=Revival!$C$2,MOD(B58,Mode)=0),Mod_Prem,0)-IF(D59='Cashflows_8%'!$C$7,Revival!$C$14,0)-IF(AND(D59&gt;'Cashflows_8%'!$C$7,D59&lt;=Revival!$C$12,MOD(B58,Mode)=0),Mod_Prem,0)+IF(B58=PT*12,VLOOKUP(PT*12,Cashflows_HIST!$A$7:$N$246,14,0),0)+IF(B58='Pre-Calculation'!$D$12,PW,0)</f>
        <v>0</v>
      </c>
    </row>
    <row r="60" ht="14.25" customHeight="1">
      <c r="B60" s="171">
        <f t="shared" si="4"/>
        <v>53</v>
      </c>
      <c r="C60" s="171">
        <f t="shared" si="5"/>
        <v>5</v>
      </c>
      <c r="D60" s="176">
        <f>EDATE(RCD,B59)</f>
        <v>44134</v>
      </c>
      <c r="E60" s="199">
        <f>-IF(AND(D60&lt;=Revival!$C$2,MOD(B59,Mode)=0),Mod_Prem,0)+IF(B59='Pre-Calculation'!$D$12,SV,0)</f>
        <v>0</v>
      </c>
      <c r="F60" s="199">
        <f>-IF(AND(D60&lt;=Revival!$C$2,MOD(B59,Mode)=0),Mod_Prem,0)-IF(D60='Cashflows_8%'!$C$7,Revival!$C$14,0)-IF(AND(D60&gt;'Cashflows_8%'!$C$7,D60&lt;=Revival!$C$12,MOD(B59,Mode)=0),Mod_Prem,0)+IF(B59=PT*12,VLOOKUP(PT*12,'Cashflows_8%'!$A$7:$N$246,14,0),0)+IF(B59='Pre-Calculation'!$D$12,PW,0)</f>
        <v>0</v>
      </c>
      <c r="G60" s="122">
        <f>-IF(AND(D60&lt;=Revival!$C$2,MOD(B59,Mode)=0),Mod_Prem,0)-IF(D60='Cashflows_8%'!$C$7,Revival!$C$14,0)-IF(AND(D60&gt;'Cashflows_8%'!$C$7,D60&lt;=Revival!$C$12,MOD(B59,Mode)=0),Mod_Prem,0)+IF(B59=PT*12,VLOOKUP(PT*12,'Cashflows_4%'!$A$7:$N$246,14,0),0)+IF(B59='Pre-Calculation'!$D$12,PW,0)</f>
        <v>0</v>
      </c>
      <c r="H60" s="122">
        <f>-IF(AND(D60&lt;=Revival!$C$2,MOD(B59,Mode)=0),Mod_Prem,0)-IF(D60='Cashflows_8%'!$C$7,Revival!$C$14,0)-IF(AND(D60&gt;'Cashflows_8%'!$C$7,D60&lt;=Revival!$C$12,MOD(B59,Mode)=0),Mod_Prem,0)+IF(B59=PT*12,VLOOKUP(PT*12,Cashflows_HIST!$A$7:$N$246,14,0),0)+IF(B59='Pre-Calculation'!$D$12,PW,0)</f>
        <v>0</v>
      </c>
    </row>
    <row r="61" ht="14.25" customHeight="1">
      <c r="B61" s="171">
        <f t="shared" si="4"/>
        <v>54</v>
      </c>
      <c r="C61" s="171">
        <f t="shared" si="5"/>
        <v>5</v>
      </c>
      <c r="D61" s="176">
        <f>EDATE(RCD,B60)</f>
        <v>44165</v>
      </c>
      <c r="E61" s="199">
        <f>-IF(AND(D61&lt;=Revival!$C$2,MOD(B60,Mode)=0),Mod_Prem,0)+IF(B60='Pre-Calculation'!$D$12,SV,0)</f>
        <v>0</v>
      </c>
      <c r="F61" s="199">
        <f>-IF(AND(D61&lt;=Revival!$C$2,MOD(B60,Mode)=0),Mod_Prem,0)-IF(D61='Cashflows_8%'!$C$7,Revival!$C$14,0)-IF(AND(D61&gt;'Cashflows_8%'!$C$7,D61&lt;=Revival!$C$12,MOD(B60,Mode)=0),Mod_Prem,0)+IF(B60=PT*12,VLOOKUP(PT*12,'Cashflows_8%'!$A$7:$N$246,14,0),0)+IF(B60='Pre-Calculation'!$D$12,PW,0)</f>
        <v>0</v>
      </c>
      <c r="G61" s="122">
        <f>-IF(AND(D61&lt;=Revival!$C$2,MOD(B60,Mode)=0),Mod_Prem,0)-IF(D61='Cashflows_8%'!$C$7,Revival!$C$14,0)-IF(AND(D61&gt;'Cashflows_8%'!$C$7,D61&lt;=Revival!$C$12,MOD(B60,Mode)=0),Mod_Prem,0)+IF(B60=PT*12,VLOOKUP(PT*12,'Cashflows_4%'!$A$7:$N$246,14,0),0)+IF(B60='Pre-Calculation'!$D$12,PW,0)</f>
        <v>0</v>
      </c>
      <c r="H61" s="122">
        <f>-IF(AND(D61&lt;=Revival!$C$2,MOD(B60,Mode)=0),Mod_Prem,0)-IF(D61='Cashflows_8%'!$C$7,Revival!$C$14,0)-IF(AND(D61&gt;'Cashflows_8%'!$C$7,D61&lt;=Revival!$C$12,MOD(B60,Mode)=0),Mod_Prem,0)+IF(B60=PT*12,VLOOKUP(PT*12,Cashflows_HIST!$A$7:$N$246,14,0),0)+IF(B60='Pre-Calculation'!$D$12,PW,0)</f>
        <v>0</v>
      </c>
    </row>
    <row r="62" ht="14.25" customHeight="1">
      <c r="B62" s="171">
        <f t="shared" si="4"/>
        <v>55</v>
      </c>
      <c r="C62" s="171">
        <f t="shared" si="5"/>
        <v>5</v>
      </c>
      <c r="D62" s="176">
        <f>EDATE(RCD,B61)</f>
        <v>44195</v>
      </c>
      <c r="E62" s="199">
        <f>-IF(AND(D62&lt;=Revival!$C$2,MOD(B61,Mode)=0),Mod_Prem,0)+IF(B61='Pre-Calculation'!$D$12,SV,0)</f>
        <v>0</v>
      </c>
      <c r="F62" s="199">
        <f>-IF(AND(D62&lt;=Revival!$C$2,MOD(B61,Mode)=0),Mod_Prem,0)-IF(D62='Cashflows_8%'!$C$7,Revival!$C$14,0)-IF(AND(D62&gt;'Cashflows_8%'!$C$7,D62&lt;=Revival!$C$12,MOD(B61,Mode)=0),Mod_Prem,0)+IF(B61=PT*12,VLOOKUP(PT*12,'Cashflows_8%'!$A$7:$N$246,14,0),0)+IF(B61='Pre-Calculation'!$D$12,PW,0)</f>
        <v>0</v>
      </c>
      <c r="G62" s="122">
        <f>-IF(AND(D62&lt;=Revival!$C$2,MOD(B61,Mode)=0),Mod_Prem,0)-IF(D62='Cashflows_8%'!$C$7,Revival!$C$14,0)-IF(AND(D62&gt;'Cashflows_8%'!$C$7,D62&lt;=Revival!$C$12,MOD(B61,Mode)=0),Mod_Prem,0)+IF(B61=PT*12,VLOOKUP(PT*12,'Cashflows_4%'!$A$7:$N$246,14,0),0)+IF(B61='Pre-Calculation'!$D$12,PW,0)</f>
        <v>0</v>
      </c>
      <c r="H62" s="122">
        <f>-IF(AND(D62&lt;=Revival!$C$2,MOD(B61,Mode)=0),Mod_Prem,0)-IF(D62='Cashflows_8%'!$C$7,Revival!$C$14,0)-IF(AND(D62&gt;'Cashflows_8%'!$C$7,D62&lt;=Revival!$C$12,MOD(B61,Mode)=0),Mod_Prem,0)+IF(B61=PT*12,VLOOKUP(PT*12,Cashflows_HIST!$A$7:$N$246,14,0),0)+IF(B61='Pre-Calculation'!$D$12,PW,0)</f>
        <v>0</v>
      </c>
    </row>
    <row r="63" ht="14.25" customHeight="1">
      <c r="B63" s="171">
        <f t="shared" si="4"/>
        <v>56</v>
      </c>
      <c r="C63" s="171">
        <f t="shared" si="5"/>
        <v>5</v>
      </c>
      <c r="D63" s="176">
        <f>EDATE(RCD,B62)</f>
        <v>44226</v>
      </c>
      <c r="E63" s="199">
        <f>-IF(AND(D63&lt;=Revival!$C$2,MOD(B62,Mode)=0),Mod_Prem,0)+IF(B62='Pre-Calculation'!$D$12,SV,0)</f>
        <v>0</v>
      </c>
      <c r="F63" s="199">
        <f>-IF(AND(D63&lt;=Revival!$C$2,MOD(B62,Mode)=0),Mod_Prem,0)-IF(D63='Cashflows_8%'!$C$7,Revival!$C$14,0)-IF(AND(D63&gt;'Cashflows_8%'!$C$7,D63&lt;=Revival!$C$12,MOD(B62,Mode)=0),Mod_Prem,0)+IF(B62=PT*12,VLOOKUP(PT*12,'Cashflows_8%'!$A$7:$N$246,14,0),0)+IF(B62='Pre-Calculation'!$D$12,PW,0)</f>
        <v>0</v>
      </c>
      <c r="G63" s="122">
        <f>-IF(AND(D63&lt;=Revival!$C$2,MOD(B62,Mode)=0),Mod_Prem,0)-IF(D63='Cashflows_8%'!$C$7,Revival!$C$14,0)-IF(AND(D63&gt;'Cashflows_8%'!$C$7,D63&lt;=Revival!$C$12,MOD(B62,Mode)=0),Mod_Prem,0)+IF(B62=PT*12,VLOOKUP(PT*12,'Cashflows_4%'!$A$7:$N$246,14,0),0)+IF(B62='Pre-Calculation'!$D$12,PW,0)</f>
        <v>0</v>
      </c>
      <c r="H63" s="122">
        <f>-IF(AND(D63&lt;=Revival!$C$2,MOD(B62,Mode)=0),Mod_Prem,0)-IF(D63='Cashflows_8%'!$C$7,Revival!$C$14,0)-IF(AND(D63&gt;'Cashflows_8%'!$C$7,D63&lt;=Revival!$C$12,MOD(B62,Mode)=0),Mod_Prem,0)+IF(B62=PT*12,VLOOKUP(PT*12,Cashflows_HIST!$A$7:$N$246,14,0),0)+IF(B62='Pre-Calculation'!$D$12,PW,0)</f>
        <v>0</v>
      </c>
    </row>
    <row r="64" ht="14.25" customHeight="1">
      <c r="B64" s="171">
        <f t="shared" si="4"/>
        <v>57</v>
      </c>
      <c r="C64" s="171">
        <f t="shared" si="5"/>
        <v>5</v>
      </c>
      <c r="D64" s="176">
        <f>EDATE(RCD,B63)</f>
        <v>44255</v>
      </c>
      <c r="E64" s="199">
        <f>-IF(AND(D64&lt;=Revival!$C$2,MOD(B63,Mode)=0),Mod_Prem,0)+IF(B63='Pre-Calculation'!$D$12,SV,0)</f>
        <v>0</v>
      </c>
      <c r="F64" s="199">
        <f>-IF(AND(D64&lt;=Revival!$C$2,MOD(B63,Mode)=0),Mod_Prem,0)-IF(D64='Cashflows_8%'!$C$7,Revival!$C$14,0)-IF(AND(D64&gt;'Cashflows_8%'!$C$7,D64&lt;=Revival!$C$12,MOD(B63,Mode)=0),Mod_Prem,0)+IF(B63=PT*12,VLOOKUP(PT*12,'Cashflows_8%'!$A$7:$N$246,14,0),0)+IF(B63='Pre-Calculation'!$D$12,PW,0)</f>
        <v>0</v>
      </c>
      <c r="G64" s="122">
        <f>-IF(AND(D64&lt;=Revival!$C$2,MOD(B63,Mode)=0),Mod_Prem,0)-IF(D64='Cashflows_8%'!$C$7,Revival!$C$14,0)-IF(AND(D64&gt;'Cashflows_8%'!$C$7,D64&lt;=Revival!$C$12,MOD(B63,Mode)=0),Mod_Prem,0)+IF(B63=PT*12,VLOOKUP(PT*12,'Cashflows_4%'!$A$7:$N$246,14,0),0)+IF(B63='Pre-Calculation'!$D$12,PW,0)</f>
        <v>0</v>
      </c>
      <c r="H64" s="122">
        <f>-IF(AND(D64&lt;=Revival!$C$2,MOD(B63,Mode)=0),Mod_Prem,0)-IF(D64='Cashflows_8%'!$C$7,Revival!$C$14,0)-IF(AND(D64&gt;'Cashflows_8%'!$C$7,D64&lt;=Revival!$C$12,MOD(B63,Mode)=0),Mod_Prem,0)+IF(B63=PT*12,VLOOKUP(PT*12,Cashflows_HIST!$A$7:$N$246,14,0),0)+IF(B63='Pre-Calculation'!$D$12,PW,0)</f>
        <v>0</v>
      </c>
    </row>
    <row r="65" ht="14.25" customHeight="1">
      <c r="B65" s="171">
        <f t="shared" si="4"/>
        <v>58</v>
      </c>
      <c r="C65" s="171">
        <f t="shared" si="5"/>
        <v>5</v>
      </c>
      <c r="D65" s="176">
        <f>EDATE(RCD,B64)</f>
        <v>44285</v>
      </c>
      <c r="E65" s="199">
        <f>-IF(AND(D65&lt;=Revival!$C$2,MOD(B64,Mode)=0),Mod_Prem,0)+IF(B64='Pre-Calculation'!$D$12,SV,0)</f>
        <v>0</v>
      </c>
      <c r="F65" s="199">
        <f>-IF(AND(D65&lt;=Revival!$C$2,MOD(B64,Mode)=0),Mod_Prem,0)-IF(D65='Cashflows_8%'!$C$7,Revival!$C$14,0)-IF(AND(D65&gt;'Cashflows_8%'!$C$7,D65&lt;=Revival!$C$12,MOD(B64,Mode)=0),Mod_Prem,0)+IF(B64=PT*12,VLOOKUP(PT*12,'Cashflows_8%'!$A$7:$N$246,14,0),0)+IF(B64='Pre-Calculation'!$D$12,PW,0)</f>
        <v>0</v>
      </c>
      <c r="G65" s="122">
        <f>-IF(AND(D65&lt;=Revival!$C$2,MOD(B64,Mode)=0),Mod_Prem,0)-IF(D65='Cashflows_8%'!$C$7,Revival!$C$14,0)-IF(AND(D65&gt;'Cashflows_8%'!$C$7,D65&lt;=Revival!$C$12,MOD(B64,Mode)=0),Mod_Prem,0)+IF(B64=PT*12,VLOOKUP(PT*12,'Cashflows_4%'!$A$7:$N$246,14,0),0)+IF(B64='Pre-Calculation'!$D$12,PW,0)</f>
        <v>0</v>
      </c>
      <c r="H65" s="122">
        <f>-IF(AND(D65&lt;=Revival!$C$2,MOD(B64,Mode)=0),Mod_Prem,0)-IF(D65='Cashflows_8%'!$C$7,Revival!$C$14,0)-IF(AND(D65&gt;'Cashflows_8%'!$C$7,D65&lt;=Revival!$C$12,MOD(B64,Mode)=0),Mod_Prem,0)+IF(B64=PT*12,VLOOKUP(PT*12,Cashflows_HIST!$A$7:$N$246,14,0),0)+IF(B64='Pre-Calculation'!$D$12,PW,0)</f>
        <v>0</v>
      </c>
    </row>
    <row r="66" ht="14.25" customHeight="1">
      <c r="B66" s="171">
        <f t="shared" si="4"/>
        <v>59</v>
      </c>
      <c r="C66" s="171">
        <f t="shared" si="5"/>
        <v>5</v>
      </c>
      <c r="D66" s="176">
        <f>EDATE(RCD,B65)</f>
        <v>44316</v>
      </c>
      <c r="E66" s="199">
        <f>-IF(AND(D66&lt;=Revival!$C$2,MOD(B65,Mode)=0),Mod_Prem,0)+IF(B65='Pre-Calculation'!$D$12,SV,0)</f>
        <v>0</v>
      </c>
      <c r="F66" s="199">
        <f>-IF(AND(D66&lt;=Revival!$C$2,MOD(B65,Mode)=0),Mod_Prem,0)-IF(D66='Cashflows_8%'!$C$7,Revival!$C$14,0)-IF(AND(D66&gt;'Cashflows_8%'!$C$7,D66&lt;=Revival!$C$12,MOD(B65,Mode)=0),Mod_Prem,0)+IF(B65=PT*12,VLOOKUP(PT*12,'Cashflows_8%'!$A$7:$N$246,14,0),0)+IF(B65='Pre-Calculation'!$D$12,PW,0)</f>
        <v>0</v>
      </c>
      <c r="G66" s="122">
        <f>-IF(AND(D66&lt;=Revival!$C$2,MOD(B65,Mode)=0),Mod_Prem,0)-IF(D66='Cashflows_8%'!$C$7,Revival!$C$14,0)-IF(AND(D66&gt;'Cashflows_8%'!$C$7,D66&lt;=Revival!$C$12,MOD(B65,Mode)=0),Mod_Prem,0)+IF(B65=PT*12,VLOOKUP(PT*12,'Cashflows_4%'!$A$7:$N$246,14,0),0)+IF(B65='Pre-Calculation'!$D$12,PW,0)</f>
        <v>0</v>
      </c>
      <c r="H66" s="122">
        <f>-IF(AND(D66&lt;=Revival!$C$2,MOD(B65,Mode)=0),Mod_Prem,0)-IF(D66='Cashflows_8%'!$C$7,Revival!$C$14,0)-IF(AND(D66&gt;'Cashflows_8%'!$C$7,D66&lt;=Revival!$C$12,MOD(B65,Mode)=0),Mod_Prem,0)+IF(B65=PT*12,VLOOKUP(PT*12,Cashflows_HIST!$A$7:$N$246,14,0),0)+IF(B65='Pre-Calculation'!$D$12,PW,0)</f>
        <v>0</v>
      </c>
    </row>
    <row r="67" ht="14.25" customHeight="1">
      <c r="B67" s="171">
        <f t="shared" si="4"/>
        <v>60</v>
      </c>
      <c r="C67" s="171">
        <f t="shared" si="5"/>
        <v>5</v>
      </c>
      <c r="D67" s="176">
        <f>EDATE(RCD,B66)</f>
        <v>44346</v>
      </c>
      <c r="E67" s="199">
        <f>-IF(AND(D67&lt;=Revival!$C$2,MOD(B66,Mode)=0),Mod_Prem,0)+IF(B66='Pre-Calculation'!$D$12,SV,0)</f>
        <v>0</v>
      </c>
      <c r="F67" s="199">
        <f>-IF(AND(D67&lt;=Revival!$C$2,MOD(B66,Mode)=0),Mod_Prem,0)-IF(D67='Cashflows_8%'!$C$7,Revival!$C$14,0)-IF(AND(D67&gt;'Cashflows_8%'!$C$7,D67&lt;=Revival!$C$12,MOD(B66,Mode)=0),Mod_Prem,0)+IF(B66=PT*12,VLOOKUP(PT*12,'Cashflows_8%'!$A$7:$N$246,14,0),0)+IF(B66='Pre-Calculation'!$D$12,PW,0)</f>
        <v>0</v>
      </c>
      <c r="G67" s="122">
        <f>-IF(AND(D67&lt;=Revival!$C$2,MOD(B66,Mode)=0),Mod_Prem,0)-IF(D67='Cashflows_8%'!$C$7,Revival!$C$14,0)-IF(AND(D67&gt;'Cashflows_8%'!$C$7,D67&lt;=Revival!$C$12,MOD(B66,Mode)=0),Mod_Prem,0)+IF(B66=PT*12,VLOOKUP(PT*12,'Cashflows_4%'!$A$7:$N$246,14,0),0)+IF(B66='Pre-Calculation'!$D$12,PW,0)</f>
        <v>0</v>
      </c>
      <c r="H67" s="122">
        <f>-IF(AND(D67&lt;=Revival!$C$2,MOD(B66,Mode)=0),Mod_Prem,0)-IF(D67='Cashflows_8%'!$C$7,Revival!$C$14,0)-IF(AND(D67&gt;'Cashflows_8%'!$C$7,D67&lt;=Revival!$C$12,MOD(B66,Mode)=0),Mod_Prem,0)+IF(B66=PT*12,VLOOKUP(PT*12,Cashflows_HIST!$A$7:$N$246,14,0),0)+IF(B66='Pre-Calculation'!$D$12,PW,0)</f>
        <v>0</v>
      </c>
    </row>
    <row r="68" ht="14.25" customHeight="1">
      <c r="B68" s="171">
        <f t="shared" si="4"/>
        <v>61</v>
      </c>
      <c r="C68" s="171">
        <f t="shared" si="5"/>
        <v>6</v>
      </c>
      <c r="D68" s="176">
        <f>EDATE(RCD,B67)</f>
        <v>44377</v>
      </c>
      <c r="E68" s="199">
        <f>-IF(AND(D68&lt;=Revival!$C$2,MOD(B67,Mode)=0),Mod_Prem,0)+IF(B67='Pre-Calculation'!$D$12,SV,0)</f>
        <v>650000</v>
      </c>
      <c r="F68" s="199">
        <f>-IF(AND(D68&lt;=Revival!$C$2,MOD(B67,Mode)=0),Mod_Prem,0)-IF(D68='Cashflows_8%'!$C$7,Revival!$C$14,0)-IF(AND(D68&gt;'Cashflows_8%'!$C$7,D68&lt;=Revival!$C$12,MOD(B67,Mode)=0),Mod_Prem,0)+IF(B67=PT*12,VLOOKUP(PT*12,'Cashflows_8%'!$A$7:$N$246,14,0),0)+IF(B67='Pre-Calculation'!$D$12,PW,0)</f>
        <v>-100000</v>
      </c>
      <c r="G68" s="122">
        <f>-IF(AND(D68&lt;=Revival!$C$2,MOD(B67,Mode)=0),Mod_Prem,0)-IF(D68='Cashflows_8%'!$C$7,Revival!$C$14,0)-IF(AND(D68&gt;'Cashflows_8%'!$C$7,D68&lt;=Revival!$C$12,MOD(B67,Mode)=0),Mod_Prem,0)+IF(B67=PT*12,VLOOKUP(PT*12,'Cashflows_4%'!$A$7:$N$246,14,0),0)+IF(B67='Pre-Calculation'!$D$12,PW,0)</f>
        <v>-100000</v>
      </c>
      <c r="H68" s="122">
        <f>-IF(AND(D68&lt;=Revival!$C$2,MOD(B67,Mode)=0),Mod_Prem,0)-IF(D68='Cashflows_8%'!$C$7,Revival!$C$14,0)-IF(AND(D68&gt;'Cashflows_8%'!$C$7,D68&lt;=Revival!$C$12,MOD(B67,Mode)=0),Mod_Prem,0)+IF(B67=PT*12,VLOOKUP(PT*12,Cashflows_HIST!$A$7:$N$246,14,0),0)+IF(B67='Pre-Calculation'!$D$12,PW,0)</f>
        <v>-100000</v>
      </c>
    </row>
    <row r="69" ht="14.25" customHeight="1">
      <c r="B69" s="171">
        <f t="shared" si="4"/>
        <v>62</v>
      </c>
      <c r="C69" s="171">
        <f t="shared" si="5"/>
        <v>6</v>
      </c>
      <c r="D69" s="176">
        <f>EDATE(RCD,B68)</f>
        <v>44407</v>
      </c>
      <c r="E69" s="199">
        <f>-IF(AND(D69&lt;=Revival!$C$2,MOD(B68,Mode)=0),Mod_Prem,0)+IF(B68='Pre-Calculation'!$D$12,SV,0)</f>
        <v>0</v>
      </c>
      <c r="F69" s="199">
        <f>-IF(AND(D69&lt;=Revival!$C$2,MOD(B68,Mode)=0),Mod_Prem,0)-IF(D69='Cashflows_8%'!$C$7,Revival!$C$14,0)-IF(AND(D69&gt;'Cashflows_8%'!$C$7,D69&lt;=Revival!$C$12,MOD(B68,Mode)=0),Mod_Prem,0)+IF(B68=PT*12,VLOOKUP(PT*12,'Cashflows_8%'!$A$7:$N$246,14,0),0)+IF(B68='Pre-Calculation'!$D$12,PW,0)</f>
        <v>0</v>
      </c>
      <c r="G69" s="122">
        <f>-IF(AND(D69&lt;=Revival!$C$2,MOD(B68,Mode)=0),Mod_Prem,0)-IF(D69='Cashflows_8%'!$C$7,Revival!$C$14,0)-IF(AND(D69&gt;'Cashflows_8%'!$C$7,D69&lt;=Revival!$C$12,MOD(B68,Mode)=0),Mod_Prem,0)+IF(B68=PT*12,VLOOKUP(PT*12,'Cashflows_4%'!$A$7:$N$246,14,0),0)+IF(B68='Pre-Calculation'!$D$12,PW,0)</f>
        <v>0</v>
      </c>
      <c r="H69" s="122">
        <f>-IF(AND(D69&lt;=Revival!$C$2,MOD(B68,Mode)=0),Mod_Prem,0)-IF(D69='Cashflows_8%'!$C$7,Revival!$C$14,0)-IF(AND(D69&gt;'Cashflows_8%'!$C$7,D69&lt;=Revival!$C$12,MOD(B68,Mode)=0),Mod_Prem,0)+IF(B68=PT*12,VLOOKUP(PT*12,Cashflows_HIST!$A$7:$N$246,14,0),0)+IF(B68='Pre-Calculation'!$D$12,PW,0)</f>
        <v>0</v>
      </c>
    </row>
    <row r="70" ht="14.25" customHeight="1">
      <c r="B70" s="171">
        <f t="shared" si="4"/>
        <v>63</v>
      </c>
      <c r="C70" s="171">
        <f t="shared" si="5"/>
        <v>6</v>
      </c>
      <c r="D70" s="176">
        <f>EDATE(RCD,B69)</f>
        <v>44438</v>
      </c>
      <c r="E70" s="199">
        <f>-IF(AND(D70&lt;=Revival!$C$2,MOD(B69,Mode)=0),Mod_Prem,0)+IF(B69='Pre-Calculation'!$D$12,SV,0)</f>
        <v>0</v>
      </c>
      <c r="F70" s="199">
        <f>-IF(AND(D70&lt;=Revival!$C$2,MOD(B69,Mode)=0),Mod_Prem,0)-IF(D70='Cashflows_8%'!$C$7,Revival!$C$14,0)-IF(AND(D70&gt;'Cashflows_8%'!$C$7,D70&lt;=Revival!$C$12,MOD(B69,Mode)=0),Mod_Prem,0)+IF(B69=PT*12,VLOOKUP(PT*12,'Cashflows_8%'!$A$7:$N$246,14,0),0)+IF(B69='Pre-Calculation'!$D$12,PW,0)</f>
        <v>0</v>
      </c>
      <c r="G70" s="122">
        <f>-IF(AND(D70&lt;=Revival!$C$2,MOD(B69,Mode)=0),Mod_Prem,0)-IF(D70='Cashflows_8%'!$C$7,Revival!$C$14,0)-IF(AND(D70&gt;'Cashflows_8%'!$C$7,D70&lt;=Revival!$C$12,MOD(B69,Mode)=0),Mod_Prem,0)+IF(B69=PT*12,VLOOKUP(PT*12,'Cashflows_4%'!$A$7:$N$246,14,0),0)+IF(B69='Pre-Calculation'!$D$12,PW,0)</f>
        <v>0</v>
      </c>
      <c r="H70" s="122">
        <f>-IF(AND(D70&lt;=Revival!$C$2,MOD(B69,Mode)=0),Mod_Prem,0)-IF(D70='Cashflows_8%'!$C$7,Revival!$C$14,0)-IF(AND(D70&gt;'Cashflows_8%'!$C$7,D70&lt;=Revival!$C$12,MOD(B69,Mode)=0),Mod_Prem,0)+IF(B69=PT*12,VLOOKUP(PT*12,Cashflows_HIST!$A$7:$N$246,14,0),0)+IF(B69='Pre-Calculation'!$D$12,PW,0)</f>
        <v>0</v>
      </c>
    </row>
    <row r="71" ht="14.25" customHeight="1">
      <c r="B71" s="171">
        <f t="shared" si="4"/>
        <v>64</v>
      </c>
      <c r="C71" s="171">
        <f t="shared" si="5"/>
        <v>6</v>
      </c>
      <c r="D71" s="176">
        <f>EDATE(RCD,B70)</f>
        <v>44469</v>
      </c>
      <c r="E71" s="199">
        <f>-IF(AND(D71&lt;=Revival!$C$2,MOD(B70,Mode)=0),Mod_Prem,0)+IF(B70='Pre-Calculation'!$D$12,SV,0)</f>
        <v>0</v>
      </c>
      <c r="F71" s="199">
        <f>-IF(AND(D71&lt;=Revival!$C$2,MOD(B70,Mode)=0),Mod_Prem,0)-IF(D71='Cashflows_8%'!$C$7,Revival!$C$14,0)-IF(AND(D71&gt;'Cashflows_8%'!$C$7,D71&lt;=Revival!$C$12,MOD(B70,Mode)=0),Mod_Prem,0)+IF(B70=PT*12,VLOOKUP(PT*12,'Cashflows_8%'!$A$7:$N$246,14,0),0)+IF(B70='Pre-Calculation'!$D$12,PW,0)</f>
        <v>0</v>
      </c>
      <c r="G71" s="122">
        <f>-IF(AND(D71&lt;=Revival!$C$2,MOD(B70,Mode)=0),Mod_Prem,0)-IF(D71='Cashflows_8%'!$C$7,Revival!$C$14,0)-IF(AND(D71&gt;'Cashflows_8%'!$C$7,D71&lt;=Revival!$C$12,MOD(B70,Mode)=0),Mod_Prem,0)+IF(B70=PT*12,VLOOKUP(PT*12,'Cashflows_4%'!$A$7:$N$246,14,0),0)+IF(B70='Pre-Calculation'!$D$12,PW,0)</f>
        <v>0</v>
      </c>
      <c r="H71" s="122">
        <f>-IF(AND(D71&lt;=Revival!$C$2,MOD(B70,Mode)=0),Mod_Prem,0)-IF(D71='Cashflows_8%'!$C$7,Revival!$C$14,0)-IF(AND(D71&gt;'Cashflows_8%'!$C$7,D71&lt;=Revival!$C$12,MOD(B70,Mode)=0),Mod_Prem,0)+IF(B70=PT*12,VLOOKUP(PT*12,Cashflows_HIST!$A$7:$N$246,14,0),0)+IF(B70='Pre-Calculation'!$D$12,PW,0)</f>
        <v>0</v>
      </c>
    </row>
    <row r="72" ht="14.25" customHeight="1">
      <c r="B72" s="171">
        <f t="shared" si="4"/>
        <v>65</v>
      </c>
      <c r="C72" s="171">
        <f t="shared" si="5"/>
        <v>6</v>
      </c>
      <c r="D72" s="176">
        <f>EDATE(RCD,B71)</f>
        <v>44499</v>
      </c>
      <c r="E72" s="199">
        <f>-IF(AND(D72&lt;=Revival!$C$2,MOD(B71,Mode)=0),Mod_Prem,0)+IF(B71='Pre-Calculation'!$D$12,SV,0)</f>
        <v>0</v>
      </c>
      <c r="F72" s="199">
        <f>-IF(AND(D72&lt;=Revival!$C$2,MOD(B71,Mode)=0),Mod_Prem,0)-IF(D72='Cashflows_8%'!$C$7,Revival!$C$14,0)-IF(AND(D72&gt;'Cashflows_8%'!$C$7,D72&lt;=Revival!$C$12,MOD(B71,Mode)=0),Mod_Prem,0)+IF(B71=PT*12,VLOOKUP(PT*12,'Cashflows_8%'!$A$7:$N$246,14,0),0)+IF(B71='Pre-Calculation'!$D$12,PW,0)</f>
        <v>0</v>
      </c>
      <c r="G72" s="122">
        <f>-IF(AND(D72&lt;=Revival!$C$2,MOD(B71,Mode)=0),Mod_Prem,0)-IF(D72='Cashflows_8%'!$C$7,Revival!$C$14,0)-IF(AND(D72&gt;'Cashflows_8%'!$C$7,D72&lt;=Revival!$C$12,MOD(B71,Mode)=0),Mod_Prem,0)+IF(B71=PT*12,VLOOKUP(PT*12,'Cashflows_4%'!$A$7:$N$246,14,0),0)+IF(B71='Pre-Calculation'!$D$12,PW,0)</f>
        <v>0</v>
      </c>
      <c r="H72" s="122">
        <f>-IF(AND(D72&lt;=Revival!$C$2,MOD(B71,Mode)=0),Mod_Prem,0)-IF(D72='Cashflows_8%'!$C$7,Revival!$C$14,0)-IF(AND(D72&gt;'Cashflows_8%'!$C$7,D72&lt;=Revival!$C$12,MOD(B71,Mode)=0),Mod_Prem,0)+IF(B71=PT*12,VLOOKUP(PT*12,Cashflows_HIST!$A$7:$N$246,14,0),0)+IF(B71='Pre-Calculation'!$D$12,PW,0)</f>
        <v>0</v>
      </c>
    </row>
    <row r="73" ht="14.25" customHeight="1">
      <c r="B73" s="171">
        <f t="shared" si="4"/>
        <v>66</v>
      </c>
      <c r="C73" s="171">
        <f t="shared" si="5"/>
        <v>6</v>
      </c>
      <c r="D73" s="176">
        <f>EDATE(RCD,B72)</f>
        <v>44530</v>
      </c>
      <c r="E73" s="199">
        <f>-IF(AND(D73&lt;=Revival!$C$2,MOD(B72,Mode)=0),Mod_Prem,0)+IF(B72='Pre-Calculation'!$D$12,SV,0)</f>
        <v>0</v>
      </c>
      <c r="F73" s="199">
        <f>-IF(AND(D73&lt;=Revival!$C$2,MOD(B72,Mode)=0),Mod_Prem,0)-IF(D73='Cashflows_8%'!$C$7,Revival!$C$14,0)-IF(AND(D73&gt;'Cashflows_8%'!$C$7,D73&lt;=Revival!$C$12,MOD(B72,Mode)=0),Mod_Prem,0)+IF(B72=PT*12,VLOOKUP(PT*12,'Cashflows_8%'!$A$7:$N$246,14,0),0)+IF(B72='Pre-Calculation'!$D$12,PW,0)</f>
        <v>0</v>
      </c>
      <c r="G73" s="122">
        <f>-IF(AND(D73&lt;=Revival!$C$2,MOD(B72,Mode)=0),Mod_Prem,0)-IF(D73='Cashflows_8%'!$C$7,Revival!$C$14,0)-IF(AND(D73&gt;'Cashflows_8%'!$C$7,D73&lt;=Revival!$C$12,MOD(B72,Mode)=0),Mod_Prem,0)+IF(B72=PT*12,VLOOKUP(PT*12,'Cashflows_4%'!$A$7:$N$246,14,0),0)+IF(B72='Pre-Calculation'!$D$12,PW,0)</f>
        <v>0</v>
      </c>
      <c r="H73" s="122">
        <f>-IF(AND(D73&lt;=Revival!$C$2,MOD(B72,Mode)=0),Mod_Prem,0)-IF(D73='Cashflows_8%'!$C$7,Revival!$C$14,0)-IF(AND(D73&gt;'Cashflows_8%'!$C$7,D73&lt;=Revival!$C$12,MOD(B72,Mode)=0),Mod_Prem,0)+IF(B72=PT*12,VLOOKUP(PT*12,Cashflows_HIST!$A$7:$N$246,14,0),0)+IF(B72='Pre-Calculation'!$D$12,PW,0)</f>
        <v>0</v>
      </c>
    </row>
    <row r="74" ht="14.25" customHeight="1">
      <c r="B74" s="171">
        <f t="shared" si="4"/>
        <v>67</v>
      </c>
      <c r="C74" s="171">
        <f t="shared" si="5"/>
        <v>6</v>
      </c>
      <c r="D74" s="176">
        <f>EDATE(RCD,B73)</f>
        <v>44560</v>
      </c>
      <c r="E74" s="199">
        <f>-IF(AND(D74&lt;=Revival!$C$2,MOD(B73,Mode)=0),Mod_Prem,0)+IF(B73='Pre-Calculation'!$D$12,SV,0)</f>
        <v>0</v>
      </c>
      <c r="F74" s="199">
        <f>-IF(AND(D74&lt;=Revival!$C$2,MOD(B73,Mode)=0),Mod_Prem,0)-IF(D74='Cashflows_8%'!$C$7,Revival!$C$14,0)-IF(AND(D74&gt;'Cashflows_8%'!$C$7,D74&lt;=Revival!$C$12,MOD(B73,Mode)=0),Mod_Prem,0)+IF(B73=PT*12,VLOOKUP(PT*12,'Cashflows_8%'!$A$7:$N$246,14,0),0)+IF(B73='Pre-Calculation'!$D$12,PW,0)</f>
        <v>0</v>
      </c>
      <c r="G74" s="122">
        <f>-IF(AND(D74&lt;=Revival!$C$2,MOD(B73,Mode)=0),Mod_Prem,0)-IF(D74='Cashflows_8%'!$C$7,Revival!$C$14,0)-IF(AND(D74&gt;'Cashflows_8%'!$C$7,D74&lt;=Revival!$C$12,MOD(B73,Mode)=0),Mod_Prem,0)+IF(B73=PT*12,VLOOKUP(PT*12,'Cashflows_4%'!$A$7:$N$246,14,0),0)+IF(B73='Pre-Calculation'!$D$12,PW,0)</f>
        <v>0</v>
      </c>
      <c r="H74" s="122">
        <f>-IF(AND(D74&lt;=Revival!$C$2,MOD(B73,Mode)=0),Mod_Prem,0)-IF(D74='Cashflows_8%'!$C$7,Revival!$C$14,0)-IF(AND(D74&gt;'Cashflows_8%'!$C$7,D74&lt;=Revival!$C$12,MOD(B73,Mode)=0),Mod_Prem,0)+IF(B73=PT*12,VLOOKUP(PT*12,Cashflows_HIST!$A$7:$N$246,14,0),0)+IF(B73='Pre-Calculation'!$D$12,PW,0)</f>
        <v>0</v>
      </c>
    </row>
    <row r="75" ht="14.25" customHeight="1">
      <c r="B75" s="171">
        <f t="shared" si="4"/>
        <v>68</v>
      </c>
      <c r="C75" s="171">
        <f t="shared" si="5"/>
        <v>6</v>
      </c>
      <c r="D75" s="176">
        <f>EDATE(RCD,B74)</f>
        <v>44591</v>
      </c>
      <c r="E75" s="199">
        <f>-IF(AND(D75&lt;=Revival!$C$2,MOD(B74,Mode)=0),Mod_Prem,0)+IF(B74='Pre-Calculation'!$D$12,SV,0)</f>
        <v>0</v>
      </c>
      <c r="F75" s="199">
        <f>-IF(AND(D75&lt;=Revival!$C$2,MOD(B74,Mode)=0),Mod_Prem,0)-IF(D75='Cashflows_8%'!$C$7,Revival!$C$14,0)-IF(AND(D75&gt;'Cashflows_8%'!$C$7,D75&lt;=Revival!$C$12,MOD(B74,Mode)=0),Mod_Prem,0)+IF(B74=PT*12,VLOOKUP(PT*12,'Cashflows_8%'!$A$7:$N$246,14,0),0)+IF(B74='Pre-Calculation'!$D$12,PW,0)</f>
        <v>0</v>
      </c>
      <c r="G75" s="122">
        <f>-IF(AND(D75&lt;=Revival!$C$2,MOD(B74,Mode)=0),Mod_Prem,0)-IF(D75='Cashflows_8%'!$C$7,Revival!$C$14,0)-IF(AND(D75&gt;'Cashflows_8%'!$C$7,D75&lt;=Revival!$C$12,MOD(B74,Mode)=0),Mod_Prem,0)+IF(B74=PT*12,VLOOKUP(PT*12,'Cashflows_4%'!$A$7:$N$246,14,0),0)+IF(B74='Pre-Calculation'!$D$12,PW,0)</f>
        <v>0</v>
      </c>
      <c r="H75" s="122">
        <f>-IF(AND(D75&lt;=Revival!$C$2,MOD(B74,Mode)=0),Mod_Prem,0)-IF(D75='Cashflows_8%'!$C$7,Revival!$C$14,0)-IF(AND(D75&gt;'Cashflows_8%'!$C$7,D75&lt;=Revival!$C$12,MOD(B74,Mode)=0),Mod_Prem,0)+IF(B74=PT*12,VLOOKUP(PT*12,Cashflows_HIST!$A$7:$N$246,14,0),0)+IF(B74='Pre-Calculation'!$D$12,PW,0)</f>
        <v>0</v>
      </c>
    </row>
    <row r="76" ht="14.25" customHeight="1">
      <c r="B76" s="171">
        <f t="shared" si="4"/>
        <v>69</v>
      </c>
      <c r="C76" s="171">
        <f t="shared" si="5"/>
        <v>6</v>
      </c>
      <c r="D76" s="176">
        <f>EDATE(RCD,B75)</f>
        <v>44620</v>
      </c>
      <c r="E76" s="199">
        <f>-IF(AND(D76&lt;=Revival!$C$2,MOD(B75,Mode)=0),Mod_Prem,0)+IF(B75='Pre-Calculation'!$D$12,SV,0)</f>
        <v>0</v>
      </c>
      <c r="F76" s="199">
        <f>-IF(AND(D76&lt;=Revival!$C$2,MOD(B75,Mode)=0),Mod_Prem,0)-IF(D76='Cashflows_8%'!$C$7,Revival!$C$14,0)-IF(AND(D76&gt;'Cashflows_8%'!$C$7,D76&lt;=Revival!$C$12,MOD(B75,Mode)=0),Mod_Prem,0)+IF(B75=PT*12,VLOOKUP(PT*12,'Cashflows_8%'!$A$7:$N$246,14,0),0)+IF(B75='Pre-Calculation'!$D$12,PW,0)</f>
        <v>0</v>
      </c>
      <c r="G76" s="122">
        <f>-IF(AND(D76&lt;=Revival!$C$2,MOD(B75,Mode)=0),Mod_Prem,0)-IF(D76='Cashflows_8%'!$C$7,Revival!$C$14,0)-IF(AND(D76&gt;'Cashflows_8%'!$C$7,D76&lt;=Revival!$C$12,MOD(B75,Mode)=0),Mod_Prem,0)+IF(B75=PT*12,VLOOKUP(PT*12,'Cashflows_4%'!$A$7:$N$246,14,0),0)+IF(B75='Pre-Calculation'!$D$12,PW,0)</f>
        <v>0</v>
      </c>
      <c r="H76" s="122">
        <f>-IF(AND(D76&lt;=Revival!$C$2,MOD(B75,Mode)=0),Mod_Prem,0)-IF(D76='Cashflows_8%'!$C$7,Revival!$C$14,0)-IF(AND(D76&gt;'Cashflows_8%'!$C$7,D76&lt;=Revival!$C$12,MOD(B75,Mode)=0),Mod_Prem,0)+IF(B75=PT*12,VLOOKUP(PT*12,Cashflows_HIST!$A$7:$N$246,14,0),0)+IF(B75='Pre-Calculation'!$D$12,PW,0)</f>
        <v>0</v>
      </c>
    </row>
    <row r="77" ht="14.25" customHeight="1">
      <c r="B77" s="171">
        <f t="shared" si="4"/>
        <v>70</v>
      </c>
      <c r="C77" s="171">
        <f t="shared" si="5"/>
        <v>6</v>
      </c>
      <c r="D77" s="176">
        <f>EDATE(RCD,B76)</f>
        <v>44650</v>
      </c>
      <c r="E77" s="199">
        <f>-IF(AND(D77&lt;=Revival!$C$2,MOD(B76,Mode)=0),Mod_Prem,0)+IF(B76='Pre-Calculation'!$D$12,SV,0)</f>
        <v>0</v>
      </c>
      <c r="F77" s="199">
        <f>-IF(AND(D77&lt;=Revival!$C$2,MOD(B76,Mode)=0),Mod_Prem,0)-IF(D77='Cashflows_8%'!$C$7,Revival!$C$14,0)-IF(AND(D77&gt;'Cashflows_8%'!$C$7,D77&lt;=Revival!$C$12,MOD(B76,Mode)=0),Mod_Prem,0)+IF(B76=PT*12,VLOOKUP(PT*12,'Cashflows_8%'!$A$7:$N$246,14,0),0)+IF(B76='Pre-Calculation'!$D$12,PW,0)</f>
        <v>0</v>
      </c>
      <c r="G77" s="122">
        <f>-IF(AND(D77&lt;=Revival!$C$2,MOD(B76,Mode)=0),Mod_Prem,0)-IF(D77='Cashflows_8%'!$C$7,Revival!$C$14,0)-IF(AND(D77&gt;'Cashflows_8%'!$C$7,D77&lt;=Revival!$C$12,MOD(B76,Mode)=0),Mod_Prem,0)+IF(B76=PT*12,VLOOKUP(PT*12,'Cashflows_4%'!$A$7:$N$246,14,0),0)+IF(B76='Pre-Calculation'!$D$12,PW,0)</f>
        <v>0</v>
      </c>
      <c r="H77" s="122">
        <f>-IF(AND(D77&lt;=Revival!$C$2,MOD(B76,Mode)=0),Mod_Prem,0)-IF(D77='Cashflows_8%'!$C$7,Revival!$C$14,0)-IF(AND(D77&gt;'Cashflows_8%'!$C$7,D77&lt;=Revival!$C$12,MOD(B76,Mode)=0),Mod_Prem,0)+IF(B76=PT*12,VLOOKUP(PT*12,Cashflows_HIST!$A$7:$N$246,14,0),0)+IF(B76='Pre-Calculation'!$D$12,PW,0)</f>
        <v>0</v>
      </c>
    </row>
    <row r="78" ht="14.25" customHeight="1">
      <c r="B78" s="171">
        <f t="shared" si="4"/>
        <v>71</v>
      </c>
      <c r="C78" s="171">
        <f t="shared" si="5"/>
        <v>6</v>
      </c>
      <c r="D78" s="176">
        <f>EDATE(RCD,B77)</f>
        <v>44681</v>
      </c>
      <c r="E78" s="199">
        <f>-IF(AND(D78&lt;=Revival!$C$2,MOD(B77,Mode)=0),Mod_Prem,0)+IF(B77='Pre-Calculation'!$D$12,SV,0)</f>
        <v>0</v>
      </c>
      <c r="F78" s="199">
        <f>-IF(AND(D78&lt;=Revival!$C$2,MOD(B77,Mode)=0),Mod_Prem,0)-IF(D78='Cashflows_8%'!$C$7,Revival!$C$14,0)-IF(AND(D78&gt;'Cashflows_8%'!$C$7,D78&lt;=Revival!$C$12,MOD(B77,Mode)=0),Mod_Prem,0)+IF(B77=PT*12,VLOOKUP(PT*12,'Cashflows_8%'!$A$7:$N$246,14,0),0)+IF(B77='Pre-Calculation'!$D$12,PW,0)</f>
        <v>0</v>
      </c>
      <c r="G78" s="122">
        <f>-IF(AND(D78&lt;=Revival!$C$2,MOD(B77,Mode)=0),Mod_Prem,0)-IF(D78='Cashflows_8%'!$C$7,Revival!$C$14,0)-IF(AND(D78&gt;'Cashflows_8%'!$C$7,D78&lt;=Revival!$C$12,MOD(B77,Mode)=0),Mod_Prem,0)+IF(B77=PT*12,VLOOKUP(PT*12,'Cashflows_4%'!$A$7:$N$246,14,0),0)+IF(B77='Pre-Calculation'!$D$12,PW,0)</f>
        <v>0</v>
      </c>
      <c r="H78" s="122">
        <f>-IF(AND(D78&lt;=Revival!$C$2,MOD(B77,Mode)=0),Mod_Prem,0)-IF(D78='Cashflows_8%'!$C$7,Revival!$C$14,0)-IF(AND(D78&gt;'Cashflows_8%'!$C$7,D78&lt;=Revival!$C$12,MOD(B77,Mode)=0),Mod_Prem,0)+IF(B77=PT*12,VLOOKUP(PT*12,Cashflows_HIST!$A$7:$N$246,14,0),0)+IF(B77='Pre-Calculation'!$D$12,PW,0)</f>
        <v>0</v>
      </c>
    </row>
    <row r="79" ht="14.25" customHeight="1">
      <c r="B79" s="171">
        <f t="shared" si="4"/>
        <v>72</v>
      </c>
      <c r="C79" s="171">
        <f t="shared" si="5"/>
        <v>6</v>
      </c>
      <c r="D79" s="176">
        <f>EDATE(RCD,B78)</f>
        <v>44711</v>
      </c>
      <c r="E79" s="199">
        <f>-IF(AND(D79&lt;=Revival!$C$2,MOD(B78,Mode)=0),Mod_Prem,0)+IF(B78='Pre-Calculation'!$D$12,SV,0)</f>
        <v>0</v>
      </c>
      <c r="F79" s="199">
        <f>-IF(AND(D79&lt;=Revival!$C$2,MOD(B78,Mode)=0),Mod_Prem,0)-IF(D79='Cashflows_8%'!$C$7,Revival!$C$14,0)-IF(AND(D79&gt;'Cashflows_8%'!$C$7,D79&lt;=Revival!$C$12,MOD(B78,Mode)=0),Mod_Prem,0)+IF(B78=PT*12,VLOOKUP(PT*12,'Cashflows_8%'!$A$7:$N$246,14,0),0)+IF(B78='Pre-Calculation'!$D$12,PW,0)</f>
        <v>0</v>
      </c>
      <c r="G79" s="122">
        <f>-IF(AND(D79&lt;=Revival!$C$2,MOD(B78,Mode)=0),Mod_Prem,0)-IF(D79='Cashflows_8%'!$C$7,Revival!$C$14,0)-IF(AND(D79&gt;'Cashflows_8%'!$C$7,D79&lt;=Revival!$C$12,MOD(B78,Mode)=0),Mod_Prem,0)+IF(B78=PT*12,VLOOKUP(PT*12,'Cashflows_4%'!$A$7:$N$246,14,0),0)+IF(B78='Pre-Calculation'!$D$12,PW,0)</f>
        <v>0</v>
      </c>
      <c r="H79" s="122">
        <f>-IF(AND(D79&lt;=Revival!$C$2,MOD(B78,Mode)=0),Mod_Prem,0)-IF(D79='Cashflows_8%'!$C$7,Revival!$C$14,0)-IF(AND(D79&gt;'Cashflows_8%'!$C$7,D79&lt;=Revival!$C$12,MOD(B78,Mode)=0),Mod_Prem,0)+IF(B78=PT*12,VLOOKUP(PT*12,Cashflows_HIST!$A$7:$N$246,14,0),0)+IF(B78='Pre-Calculation'!$D$12,PW,0)</f>
        <v>0</v>
      </c>
    </row>
    <row r="80" ht="14.25" customHeight="1">
      <c r="B80" s="171">
        <f t="shared" si="4"/>
        <v>73</v>
      </c>
      <c r="C80" s="171">
        <f t="shared" si="5"/>
        <v>7</v>
      </c>
      <c r="D80" s="176">
        <f>EDATE(RCD,B79)</f>
        <v>44742</v>
      </c>
      <c r="E80" s="199">
        <f>-IF(AND(D80&lt;=Revival!$C$2,MOD(B79,Mode)=0),Mod_Prem,0)+IF(B79='Pre-Calculation'!$D$12,SV,0)</f>
        <v>0</v>
      </c>
      <c r="F80" s="199">
        <f>-IF(AND(D80&lt;=Revival!$C$2,MOD(B79,Mode)=0),Mod_Prem,0)-IF(D80='Cashflows_8%'!$C$7,Revival!$C$14,0)-IF(AND(D80&gt;'Cashflows_8%'!$C$7,D80&lt;=Revival!$C$12,MOD(B79,Mode)=0),Mod_Prem,0)+IF(B79=PT*12,VLOOKUP(PT*12,'Cashflows_8%'!$A$7:$N$246,14,0),0)+IF(B79='Pre-Calculation'!$D$12,PW,0)</f>
        <v>-100000</v>
      </c>
      <c r="G80" s="122">
        <f>-IF(AND(D80&lt;=Revival!$C$2,MOD(B79,Mode)=0),Mod_Prem,0)-IF(D80='Cashflows_8%'!$C$7,Revival!$C$14,0)-IF(AND(D80&gt;'Cashflows_8%'!$C$7,D80&lt;=Revival!$C$12,MOD(B79,Mode)=0),Mod_Prem,0)+IF(B79=PT*12,VLOOKUP(PT*12,'Cashflows_4%'!$A$7:$N$246,14,0),0)+IF(B79='Pre-Calculation'!$D$12,PW,0)</f>
        <v>-100000</v>
      </c>
      <c r="H80" s="122">
        <f>-IF(AND(D80&lt;=Revival!$C$2,MOD(B79,Mode)=0),Mod_Prem,0)-IF(D80='Cashflows_8%'!$C$7,Revival!$C$14,0)-IF(AND(D80&gt;'Cashflows_8%'!$C$7,D80&lt;=Revival!$C$12,MOD(B79,Mode)=0),Mod_Prem,0)+IF(B79=PT*12,VLOOKUP(PT*12,Cashflows_HIST!$A$7:$N$246,14,0),0)+IF(B79='Pre-Calculation'!$D$12,PW,0)</f>
        <v>-100000</v>
      </c>
    </row>
    <row r="81" ht="14.25" customHeight="1">
      <c r="B81" s="171">
        <f t="shared" si="4"/>
        <v>74</v>
      </c>
      <c r="C81" s="171">
        <f t="shared" si="5"/>
        <v>7</v>
      </c>
      <c r="D81" s="176">
        <f>EDATE(RCD,B80)</f>
        <v>44772</v>
      </c>
      <c r="E81" s="199">
        <f>-IF(AND(D81&lt;=Revival!$C$2,MOD(B80,Mode)=0),Mod_Prem,0)+IF(B80='Pre-Calculation'!$D$12,SV,0)</f>
        <v>0</v>
      </c>
      <c r="F81" s="199">
        <f>-IF(AND(D81&lt;=Revival!$C$2,MOD(B80,Mode)=0),Mod_Prem,0)-IF(D81='Cashflows_8%'!$C$7,Revival!$C$14,0)-IF(AND(D81&gt;'Cashflows_8%'!$C$7,D81&lt;=Revival!$C$12,MOD(B80,Mode)=0),Mod_Prem,0)+IF(B80=PT*12,VLOOKUP(PT*12,'Cashflows_8%'!$A$7:$N$246,14,0),0)+IF(B80='Pre-Calculation'!$D$12,PW,0)</f>
        <v>0</v>
      </c>
      <c r="G81" s="122">
        <f>-IF(AND(D81&lt;=Revival!$C$2,MOD(B80,Mode)=0),Mod_Prem,0)-IF(D81='Cashflows_8%'!$C$7,Revival!$C$14,0)-IF(AND(D81&gt;'Cashflows_8%'!$C$7,D81&lt;=Revival!$C$12,MOD(B80,Mode)=0),Mod_Prem,0)+IF(B80=PT*12,VLOOKUP(PT*12,'Cashflows_4%'!$A$7:$N$246,14,0),0)+IF(B80='Pre-Calculation'!$D$12,PW,0)</f>
        <v>0</v>
      </c>
      <c r="H81" s="122">
        <f>-IF(AND(D81&lt;=Revival!$C$2,MOD(B80,Mode)=0),Mod_Prem,0)-IF(D81='Cashflows_8%'!$C$7,Revival!$C$14,0)-IF(AND(D81&gt;'Cashflows_8%'!$C$7,D81&lt;=Revival!$C$12,MOD(B80,Mode)=0),Mod_Prem,0)+IF(B80=PT*12,VLOOKUP(PT*12,Cashflows_HIST!$A$7:$N$246,14,0),0)+IF(B80='Pre-Calculation'!$D$12,PW,0)</f>
        <v>0</v>
      </c>
    </row>
    <row r="82" ht="14.25" customHeight="1">
      <c r="B82" s="171">
        <f t="shared" si="4"/>
        <v>75</v>
      </c>
      <c r="C82" s="171">
        <f t="shared" si="5"/>
        <v>7</v>
      </c>
      <c r="D82" s="176">
        <f>EDATE(RCD,B81)</f>
        <v>44803</v>
      </c>
      <c r="E82" s="199">
        <f>-IF(AND(D82&lt;=Revival!$C$2,MOD(B81,Mode)=0),Mod_Prem,0)+IF(B81='Pre-Calculation'!$D$12,SV,0)</f>
        <v>0</v>
      </c>
      <c r="F82" s="199">
        <f>-IF(AND(D82&lt;=Revival!$C$2,MOD(B81,Mode)=0),Mod_Prem,0)-IF(D82='Cashflows_8%'!$C$7,Revival!$C$14,0)-IF(AND(D82&gt;'Cashflows_8%'!$C$7,D82&lt;=Revival!$C$12,MOD(B81,Mode)=0),Mod_Prem,0)+IF(B81=PT*12,VLOOKUP(PT*12,'Cashflows_8%'!$A$7:$N$246,14,0),0)+IF(B81='Pre-Calculation'!$D$12,PW,0)</f>
        <v>0</v>
      </c>
      <c r="G82" s="122">
        <f>-IF(AND(D82&lt;=Revival!$C$2,MOD(B81,Mode)=0),Mod_Prem,0)-IF(D82='Cashflows_8%'!$C$7,Revival!$C$14,0)-IF(AND(D82&gt;'Cashflows_8%'!$C$7,D82&lt;=Revival!$C$12,MOD(B81,Mode)=0),Mod_Prem,0)+IF(B81=PT*12,VLOOKUP(PT*12,'Cashflows_4%'!$A$7:$N$246,14,0),0)+IF(B81='Pre-Calculation'!$D$12,PW,0)</f>
        <v>0</v>
      </c>
      <c r="H82" s="122">
        <f>-IF(AND(D82&lt;=Revival!$C$2,MOD(B81,Mode)=0),Mod_Prem,0)-IF(D82='Cashflows_8%'!$C$7,Revival!$C$14,0)-IF(AND(D82&gt;'Cashflows_8%'!$C$7,D82&lt;=Revival!$C$12,MOD(B81,Mode)=0),Mod_Prem,0)+IF(B81=PT*12,VLOOKUP(PT*12,Cashflows_HIST!$A$7:$N$246,14,0),0)+IF(B81='Pre-Calculation'!$D$12,PW,0)</f>
        <v>0</v>
      </c>
    </row>
    <row r="83" ht="14.25" customHeight="1">
      <c r="B83" s="171">
        <f t="shared" si="4"/>
        <v>76</v>
      </c>
      <c r="C83" s="171">
        <f t="shared" si="5"/>
        <v>7</v>
      </c>
      <c r="D83" s="176">
        <f>EDATE(RCD,B82)</f>
        <v>44834</v>
      </c>
      <c r="E83" s="199">
        <f>-IF(AND(D83&lt;=Revival!$C$2,MOD(B82,Mode)=0),Mod_Prem,0)+IF(B82='Pre-Calculation'!$D$12,SV,0)</f>
        <v>0</v>
      </c>
      <c r="F83" s="199">
        <f>-IF(AND(D83&lt;=Revival!$C$2,MOD(B82,Mode)=0),Mod_Prem,0)-IF(D83='Cashflows_8%'!$C$7,Revival!$C$14,0)-IF(AND(D83&gt;'Cashflows_8%'!$C$7,D83&lt;=Revival!$C$12,MOD(B82,Mode)=0),Mod_Prem,0)+IF(B82=PT*12,VLOOKUP(PT*12,'Cashflows_8%'!$A$7:$N$246,14,0),0)+IF(B82='Pre-Calculation'!$D$12,PW,0)</f>
        <v>0</v>
      </c>
      <c r="G83" s="122">
        <f>-IF(AND(D83&lt;=Revival!$C$2,MOD(B82,Mode)=0),Mod_Prem,0)-IF(D83='Cashflows_8%'!$C$7,Revival!$C$14,0)-IF(AND(D83&gt;'Cashflows_8%'!$C$7,D83&lt;=Revival!$C$12,MOD(B82,Mode)=0),Mod_Prem,0)+IF(B82=PT*12,VLOOKUP(PT*12,'Cashflows_4%'!$A$7:$N$246,14,0),0)+IF(B82='Pre-Calculation'!$D$12,PW,0)</f>
        <v>0</v>
      </c>
      <c r="H83" s="122">
        <f>-IF(AND(D83&lt;=Revival!$C$2,MOD(B82,Mode)=0),Mod_Prem,0)-IF(D83='Cashflows_8%'!$C$7,Revival!$C$14,0)-IF(AND(D83&gt;'Cashflows_8%'!$C$7,D83&lt;=Revival!$C$12,MOD(B82,Mode)=0),Mod_Prem,0)+IF(B82=PT*12,VLOOKUP(PT*12,Cashflows_HIST!$A$7:$N$246,14,0),0)+IF(B82='Pre-Calculation'!$D$12,PW,0)</f>
        <v>0</v>
      </c>
    </row>
    <row r="84" ht="14.25" customHeight="1">
      <c r="B84" s="171">
        <f t="shared" si="4"/>
        <v>77</v>
      </c>
      <c r="C84" s="171">
        <f t="shared" si="5"/>
        <v>7</v>
      </c>
      <c r="D84" s="176">
        <f>EDATE(RCD,B83)</f>
        <v>44864</v>
      </c>
      <c r="E84" s="199">
        <f>-IF(AND(D84&lt;=Revival!$C$2,MOD(B83,Mode)=0),Mod_Prem,0)+IF(B83='Pre-Calculation'!$D$12,SV,0)</f>
        <v>0</v>
      </c>
      <c r="F84" s="199">
        <f>-IF(AND(D84&lt;=Revival!$C$2,MOD(B83,Mode)=0),Mod_Prem,0)-IF(D84='Cashflows_8%'!$C$7,Revival!$C$14,0)-IF(AND(D84&gt;'Cashflows_8%'!$C$7,D84&lt;=Revival!$C$12,MOD(B83,Mode)=0),Mod_Prem,0)+IF(B83=PT*12,VLOOKUP(PT*12,'Cashflows_8%'!$A$7:$N$246,14,0),0)+IF(B83='Pre-Calculation'!$D$12,PW,0)</f>
        <v>0</v>
      </c>
      <c r="G84" s="122">
        <f>-IF(AND(D84&lt;=Revival!$C$2,MOD(B83,Mode)=0),Mod_Prem,0)-IF(D84='Cashflows_8%'!$C$7,Revival!$C$14,0)-IF(AND(D84&gt;'Cashflows_8%'!$C$7,D84&lt;=Revival!$C$12,MOD(B83,Mode)=0),Mod_Prem,0)+IF(B83=PT*12,VLOOKUP(PT*12,'Cashflows_4%'!$A$7:$N$246,14,0),0)+IF(B83='Pre-Calculation'!$D$12,PW,0)</f>
        <v>0</v>
      </c>
      <c r="H84" s="122">
        <f>-IF(AND(D84&lt;=Revival!$C$2,MOD(B83,Mode)=0),Mod_Prem,0)-IF(D84='Cashflows_8%'!$C$7,Revival!$C$14,0)-IF(AND(D84&gt;'Cashflows_8%'!$C$7,D84&lt;=Revival!$C$12,MOD(B83,Mode)=0),Mod_Prem,0)+IF(B83=PT*12,VLOOKUP(PT*12,Cashflows_HIST!$A$7:$N$246,14,0),0)+IF(B83='Pre-Calculation'!$D$12,PW,0)</f>
        <v>0</v>
      </c>
    </row>
    <row r="85" ht="14.25" customHeight="1">
      <c r="B85" s="171">
        <f t="shared" si="4"/>
        <v>78</v>
      </c>
      <c r="C85" s="171">
        <f t="shared" si="5"/>
        <v>7</v>
      </c>
      <c r="D85" s="176">
        <f>EDATE(RCD,B84)</f>
        <v>44895</v>
      </c>
      <c r="E85" s="199">
        <f>-IF(AND(D85&lt;=Revival!$C$2,MOD(B84,Mode)=0),Mod_Prem,0)+IF(B84='Pre-Calculation'!$D$12,SV,0)</f>
        <v>0</v>
      </c>
      <c r="F85" s="199">
        <f>-IF(AND(D85&lt;=Revival!$C$2,MOD(B84,Mode)=0),Mod_Prem,0)-IF(D85='Cashflows_8%'!$C$7,Revival!$C$14,0)-IF(AND(D85&gt;'Cashflows_8%'!$C$7,D85&lt;=Revival!$C$12,MOD(B84,Mode)=0),Mod_Prem,0)+IF(B84=PT*12,VLOOKUP(PT*12,'Cashflows_8%'!$A$7:$N$246,14,0),0)+IF(B84='Pre-Calculation'!$D$12,PW,0)</f>
        <v>0</v>
      </c>
      <c r="G85" s="122">
        <f>-IF(AND(D85&lt;=Revival!$C$2,MOD(B84,Mode)=0),Mod_Prem,0)-IF(D85='Cashflows_8%'!$C$7,Revival!$C$14,0)-IF(AND(D85&gt;'Cashflows_8%'!$C$7,D85&lt;=Revival!$C$12,MOD(B84,Mode)=0),Mod_Prem,0)+IF(B84=PT*12,VLOOKUP(PT*12,'Cashflows_4%'!$A$7:$N$246,14,0),0)+IF(B84='Pre-Calculation'!$D$12,PW,0)</f>
        <v>0</v>
      </c>
      <c r="H85" s="122">
        <f>-IF(AND(D85&lt;=Revival!$C$2,MOD(B84,Mode)=0),Mod_Prem,0)-IF(D85='Cashflows_8%'!$C$7,Revival!$C$14,0)-IF(AND(D85&gt;'Cashflows_8%'!$C$7,D85&lt;=Revival!$C$12,MOD(B84,Mode)=0),Mod_Prem,0)+IF(B84=PT*12,VLOOKUP(PT*12,Cashflows_HIST!$A$7:$N$246,14,0),0)+IF(B84='Pre-Calculation'!$D$12,PW,0)</f>
        <v>0</v>
      </c>
    </row>
    <row r="86" ht="14.25" customHeight="1">
      <c r="B86" s="171">
        <f t="shared" si="4"/>
        <v>79</v>
      </c>
      <c r="C86" s="171">
        <f t="shared" si="5"/>
        <v>7</v>
      </c>
      <c r="D86" s="176">
        <f>EDATE(RCD,B85)</f>
        <v>44925</v>
      </c>
      <c r="E86" s="199">
        <f>-IF(AND(D86&lt;=Revival!$C$2,MOD(B85,Mode)=0),Mod_Prem,0)+IF(B85='Pre-Calculation'!$D$12,SV,0)</f>
        <v>0</v>
      </c>
      <c r="F86" s="199">
        <f>-IF(AND(D86&lt;=Revival!$C$2,MOD(B85,Mode)=0),Mod_Prem,0)-IF(D86='Cashflows_8%'!$C$7,Revival!$C$14,0)-IF(AND(D86&gt;'Cashflows_8%'!$C$7,D86&lt;=Revival!$C$12,MOD(B85,Mode)=0),Mod_Prem,0)+IF(B85=PT*12,VLOOKUP(PT*12,'Cashflows_8%'!$A$7:$N$246,14,0),0)+IF(B85='Pre-Calculation'!$D$12,PW,0)</f>
        <v>0</v>
      </c>
      <c r="G86" s="122">
        <f>-IF(AND(D86&lt;=Revival!$C$2,MOD(B85,Mode)=0),Mod_Prem,0)-IF(D86='Cashflows_8%'!$C$7,Revival!$C$14,0)-IF(AND(D86&gt;'Cashflows_8%'!$C$7,D86&lt;=Revival!$C$12,MOD(B85,Mode)=0),Mod_Prem,0)+IF(B85=PT*12,VLOOKUP(PT*12,'Cashflows_4%'!$A$7:$N$246,14,0),0)+IF(B85='Pre-Calculation'!$D$12,PW,0)</f>
        <v>0</v>
      </c>
      <c r="H86" s="122">
        <f>-IF(AND(D86&lt;=Revival!$C$2,MOD(B85,Mode)=0),Mod_Prem,0)-IF(D86='Cashflows_8%'!$C$7,Revival!$C$14,0)-IF(AND(D86&gt;'Cashflows_8%'!$C$7,D86&lt;=Revival!$C$12,MOD(B85,Mode)=0),Mod_Prem,0)+IF(B85=PT*12,VLOOKUP(PT*12,Cashflows_HIST!$A$7:$N$246,14,0),0)+IF(B85='Pre-Calculation'!$D$12,PW,0)</f>
        <v>0</v>
      </c>
    </row>
    <row r="87" ht="14.25" customHeight="1">
      <c r="B87" s="171">
        <f t="shared" si="4"/>
        <v>80</v>
      </c>
      <c r="C87" s="171">
        <f t="shared" si="5"/>
        <v>7</v>
      </c>
      <c r="D87" s="176">
        <f>EDATE(RCD,B86)</f>
        <v>44956</v>
      </c>
      <c r="E87" s="199">
        <f>-IF(AND(D87&lt;=Revival!$C$2,MOD(B86,Mode)=0),Mod_Prem,0)+IF(B86='Pre-Calculation'!$D$12,SV,0)</f>
        <v>0</v>
      </c>
      <c r="F87" s="199">
        <f>-IF(AND(D87&lt;=Revival!$C$2,MOD(B86,Mode)=0),Mod_Prem,0)-IF(D87='Cashflows_8%'!$C$7,Revival!$C$14,0)-IF(AND(D87&gt;'Cashflows_8%'!$C$7,D87&lt;=Revival!$C$12,MOD(B86,Mode)=0),Mod_Prem,0)+IF(B86=PT*12,VLOOKUP(PT*12,'Cashflows_8%'!$A$7:$N$246,14,0),0)+IF(B86='Pre-Calculation'!$D$12,PW,0)</f>
        <v>0</v>
      </c>
      <c r="G87" s="122">
        <f>-IF(AND(D87&lt;=Revival!$C$2,MOD(B86,Mode)=0),Mod_Prem,0)-IF(D87='Cashflows_8%'!$C$7,Revival!$C$14,0)-IF(AND(D87&gt;'Cashflows_8%'!$C$7,D87&lt;=Revival!$C$12,MOD(B86,Mode)=0),Mod_Prem,0)+IF(B86=PT*12,VLOOKUP(PT*12,'Cashflows_4%'!$A$7:$N$246,14,0),0)+IF(B86='Pre-Calculation'!$D$12,PW,0)</f>
        <v>0</v>
      </c>
      <c r="H87" s="122">
        <f>-IF(AND(D87&lt;=Revival!$C$2,MOD(B86,Mode)=0),Mod_Prem,0)-IF(D87='Cashflows_8%'!$C$7,Revival!$C$14,0)-IF(AND(D87&gt;'Cashflows_8%'!$C$7,D87&lt;=Revival!$C$12,MOD(B86,Mode)=0),Mod_Prem,0)+IF(B86=PT*12,VLOOKUP(PT*12,Cashflows_HIST!$A$7:$N$246,14,0),0)+IF(B86='Pre-Calculation'!$D$12,PW,0)</f>
        <v>0</v>
      </c>
    </row>
    <row r="88" ht="14.25" customHeight="1">
      <c r="B88" s="171">
        <f t="shared" si="4"/>
        <v>81</v>
      </c>
      <c r="C88" s="171">
        <f t="shared" si="5"/>
        <v>7</v>
      </c>
      <c r="D88" s="176">
        <f>EDATE(RCD,B87)</f>
        <v>44985</v>
      </c>
      <c r="E88" s="199">
        <f>-IF(AND(D88&lt;=Revival!$C$2,MOD(B87,Mode)=0),Mod_Prem,0)+IF(B87='Pre-Calculation'!$D$12,SV,0)</f>
        <v>0</v>
      </c>
      <c r="F88" s="199">
        <f>-IF(AND(D88&lt;=Revival!$C$2,MOD(B87,Mode)=0),Mod_Prem,0)-IF(D88='Cashflows_8%'!$C$7,Revival!$C$14,0)-IF(AND(D88&gt;'Cashflows_8%'!$C$7,D88&lt;=Revival!$C$12,MOD(B87,Mode)=0),Mod_Prem,0)+IF(B87=PT*12,VLOOKUP(PT*12,'Cashflows_8%'!$A$7:$N$246,14,0),0)+IF(B87='Pre-Calculation'!$D$12,PW,0)</f>
        <v>0</v>
      </c>
      <c r="G88" s="122">
        <f>-IF(AND(D88&lt;=Revival!$C$2,MOD(B87,Mode)=0),Mod_Prem,0)-IF(D88='Cashflows_8%'!$C$7,Revival!$C$14,0)-IF(AND(D88&gt;'Cashflows_8%'!$C$7,D88&lt;=Revival!$C$12,MOD(B87,Mode)=0),Mod_Prem,0)+IF(B87=PT*12,VLOOKUP(PT*12,'Cashflows_4%'!$A$7:$N$246,14,0),0)+IF(B87='Pre-Calculation'!$D$12,PW,0)</f>
        <v>0</v>
      </c>
      <c r="H88" s="122">
        <f>-IF(AND(D88&lt;=Revival!$C$2,MOD(B87,Mode)=0),Mod_Prem,0)-IF(D88='Cashflows_8%'!$C$7,Revival!$C$14,0)-IF(AND(D88&gt;'Cashflows_8%'!$C$7,D88&lt;=Revival!$C$12,MOD(B87,Mode)=0),Mod_Prem,0)+IF(B87=PT*12,VLOOKUP(PT*12,Cashflows_HIST!$A$7:$N$246,14,0),0)+IF(B87='Pre-Calculation'!$D$12,PW,0)</f>
        <v>0</v>
      </c>
    </row>
    <row r="89" ht="14.25" customHeight="1">
      <c r="B89" s="171">
        <f t="shared" si="4"/>
        <v>82</v>
      </c>
      <c r="C89" s="171">
        <f t="shared" si="5"/>
        <v>7</v>
      </c>
      <c r="D89" s="176">
        <f>EDATE(RCD,B88)</f>
        <v>45015</v>
      </c>
      <c r="E89" s="199">
        <f>-IF(AND(D89&lt;=Revival!$C$2,MOD(B88,Mode)=0),Mod_Prem,0)+IF(B88='Pre-Calculation'!$D$12,SV,0)</f>
        <v>0</v>
      </c>
      <c r="F89" s="199">
        <f>-IF(AND(D89&lt;=Revival!$C$2,MOD(B88,Mode)=0),Mod_Prem,0)-IF(D89='Cashflows_8%'!$C$7,Revival!$C$14,0)-IF(AND(D89&gt;'Cashflows_8%'!$C$7,D89&lt;=Revival!$C$12,MOD(B88,Mode)=0),Mod_Prem,0)+IF(B88=PT*12,VLOOKUP(PT*12,'Cashflows_8%'!$A$7:$N$246,14,0),0)+IF(B88='Pre-Calculation'!$D$12,PW,0)</f>
        <v>0</v>
      </c>
      <c r="G89" s="122">
        <f>-IF(AND(D89&lt;=Revival!$C$2,MOD(B88,Mode)=0),Mod_Prem,0)-IF(D89='Cashflows_8%'!$C$7,Revival!$C$14,0)-IF(AND(D89&gt;'Cashflows_8%'!$C$7,D89&lt;=Revival!$C$12,MOD(B88,Mode)=0),Mod_Prem,0)+IF(B88=PT*12,VLOOKUP(PT*12,'Cashflows_4%'!$A$7:$N$246,14,0),0)+IF(B88='Pre-Calculation'!$D$12,PW,0)</f>
        <v>0</v>
      </c>
      <c r="H89" s="122">
        <f>-IF(AND(D89&lt;=Revival!$C$2,MOD(B88,Mode)=0),Mod_Prem,0)-IF(D89='Cashflows_8%'!$C$7,Revival!$C$14,0)-IF(AND(D89&gt;'Cashflows_8%'!$C$7,D89&lt;=Revival!$C$12,MOD(B88,Mode)=0),Mod_Prem,0)+IF(B88=PT*12,VLOOKUP(PT*12,Cashflows_HIST!$A$7:$N$246,14,0),0)+IF(B88='Pre-Calculation'!$D$12,PW,0)</f>
        <v>0</v>
      </c>
    </row>
    <row r="90" ht="14.25" customHeight="1">
      <c r="B90" s="171">
        <f t="shared" si="4"/>
        <v>83</v>
      </c>
      <c r="C90" s="171">
        <f t="shared" si="5"/>
        <v>7</v>
      </c>
      <c r="D90" s="176">
        <f>EDATE(RCD,B89)</f>
        <v>45046</v>
      </c>
      <c r="E90" s="199">
        <f>-IF(AND(D90&lt;=Revival!$C$2,MOD(B89,Mode)=0),Mod_Prem,0)+IF(B89='Pre-Calculation'!$D$12,SV,0)</f>
        <v>0</v>
      </c>
      <c r="F90" s="199">
        <f>-IF(AND(D90&lt;=Revival!$C$2,MOD(B89,Mode)=0),Mod_Prem,0)-IF(D90='Cashflows_8%'!$C$7,Revival!$C$14,0)-IF(AND(D90&gt;'Cashflows_8%'!$C$7,D90&lt;=Revival!$C$12,MOD(B89,Mode)=0),Mod_Prem,0)+IF(B89=PT*12,VLOOKUP(PT*12,'Cashflows_8%'!$A$7:$N$246,14,0),0)+IF(B89='Pre-Calculation'!$D$12,PW,0)</f>
        <v>0</v>
      </c>
      <c r="G90" s="122">
        <f>-IF(AND(D90&lt;=Revival!$C$2,MOD(B89,Mode)=0),Mod_Prem,0)-IF(D90='Cashflows_8%'!$C$7,Revival!$C$14,0)-IF(AND(D90&gt;'Cashflows_8%'!$C$7,D90&lt;=Revival!$C$12,MOD(B89,Mode)=0),Mod_Prem,0)+IF(B89=PT*12,VLOOKUP(PT*12,'Cashflows_4%'!$A$7:$N$246,14,0),0)+IF(B89='Pre-Calculation'!$D$12,PW,0)</f>
        <v>0</v>
      </c>
      <c r="H90" s="122">
        <f>-IF(AND(D90&lt;=Revival!$C$2,MOD(B89,Mode)=0),Mod_Prem,0)-IF(D90='Cashflows_8%'!$C$7,Revival!$C$14,0)-IF(AND(D90&gt;'Cashflows_8%'!$C$7,D90&lt;=Revival!$C$12,MOD(B89,Mode)=0),Mod_Prem,0)+IF(B89=PT*12,VLOOKUP(PT*12,Cashflows_HIST!$A$7:$N$246,14,0),0)+IF(B89='Pre-Calculation'!$D$12,PW,0)</f>
        <v>0</v>
      </c>
    </row>
    <row r="91" ht="14.25" customHeight="1">
      <c r="B91" s="171">
        <f t="shared" si="4"/>
        <v>84</v>
      </c>
      <c r="C91" s="171">
        <f t="shared" si="5"/>
        <v>7</v>
      </c>
      <c r="D91" s="176">
        <f>EDATE(RCD,B90)</f>
        <v>45076</v>
      </c>
      <c r="E91" s="199">
        <f>-IF(AND(D91&lt;=Revival!$C$2,MOD(B90,Mode)=0),Mod_Prem,0)+IF(B90='Pre-Calculation'!$D$12,SV,0)</f>
        <v>0</v>
      </c>
      <c r="F91" s="199">
        <f>-IF(AND(D91&lt;=Revival!$C$2,MOD(B90,Mode)=0),Mod_Prem,0)-IF(D91='Cashflows_8%'!$C$7,Revival!$C$14,0)-IF(AND(D91&gt;'Cashflows_8%'!$C$7,D91&lt;=Revival!$C$12,MOD(B90,Mode)=0),Mod_Prem,0)+IF(B90=PT*12,VLOOKUP(PT*12,'Cashflows_8%'!$A$7:$N$246,14,0),0)+IF(B90='Pre-Calculation'!$D$12,PW,0)</f>
        <v>0</v>
      </c>
      <c r="G91" s="122">
        <f>-IF(AND(D91&lt;=Revival!$C$2,MOD(B90,Mode)=0),Mod_Prem,0)-IF(D91='Cashflows_8%'!$C$7,Revival!$C$14,0)-IF(AND(D91&gt;'Cashflows_8%'!$C$7,D91&lt;=Revival!$C$12,MOD(B90,Mode)=0),Mod_Prem,0)+IF(B90=PT*12,VLOOKUP(PT*12,'Cashflows_4%'!$A$7:$N$246,14,0),0)+IF(B90='Pre-Calculation'!$D$12,PW,0)</f>
        <v>0</v>
      </c>
      <c r="H91" s="122">
        <f>-IF(AND(D91&lt;=Revival!$C$2,MOD(B90,Mode)=0),Mod_Prem,0)-IF(D91='Cashflows_8%'!$C$7,Revival!$C$14,0)-IF(AND(D91&gt;'Cashflows_8%'!$C$7,D91&lt;=Revival!$C$12,MOD(B90,Mode)=0),Mod_Prem,0)+IF(B90=PT*12,VLOOKUP(PT*12,Cashflows_HIST!$A$7:$N$246,14,0),0)+IF(B90='Pre-Calculation'!$D$12,PW,0)</f>
        <v>0</v>
      </c>
    </row>
    <row r="92" ht="14.25" customHeight="1">
      <c r="B92" s="171">
        <f t="shared" si="4"/>
        <v>85</v>
      </c>
      <c r="C92" s="171">
        <f t="shared" si="5"/>
        <v>8</v>
      </c>
      <c r="D92" s="176">
        <f>EDATE(RCD,B91)</f>
        <v>45107</v>
      </c>
      <c r="E92" s="199">
        <f>-IF(AND(D92&lt;=Revival!$C$2,MOD(B91,Mode)=0),Mod_Prem,0)+IF(B91='Pre-Calculation'!$D$12,SV,0)</f>
        <v>0</v>
      </c>
      <c r="F92" s="199">
        <f>-IF(AND(D92&lt;=Revival!$C$2,MOD(B91,Mode)=0),Mod_Prem,0)-IF(D92='Cashflows_8%'!$C$7,Revival!$C$14,0)-IF(AND(D92&gt;'Cashflows_8%'!$C$7,D92&lt;=Revival!$C$12,MOD(B91,Mode)=0),Mod_Prem,0)+IF(B91=PT*12,VLOOKUP(PT*12,'Cashflows_8%'!$A$7:$N$246,14,0),0)+IF(B91='Pre-Calculation'!$D$12,PW,0)</f>
        <v>-100000</v>
      </c>
      <c r="G92" s="122">
        <f>-IF(AND(D92&lt;=Revival!$C$2,MOD(B91,Mode)=0),Mod_Prem,0)-IF(D92='Cashflows_8%'!$C$7,Revival!$C$14,0)-IF(AND(D92&gt;'Cashflows_8%'!$C$7,D92&lt;=Revival!$C$12,MOD(B91,Mode)=0),Mod_Prem,0)+IF(B91=PT*12,VLOOKUP(PT*12,'Cashflows_4%'!$A$7:$N$246,14,0),0)+IF(B91='Pre-Calculation'!$D$12,PW,0)</f>
        <v>-100000</v>
      </c>
      <c r="H92" s="122">
        <f>-IF(AND(D92&lt;=Revival!$C$2,MOD(B91,Mode)=0),Mod_Prem,0)-IF(D92='Cashflows_8%'!$C$7,Revival!$C$14,0)-IF(AND(D92&gt;'Cashflows_8%'!$C$7,D92&lt;=Revival!$C$12,MOD(B91,Mode)=0),Mod_Prem,0)+IF(B91=PT*12,VLOOKUP(PT*12,Cashflows_HIST!$A$7:$N$246,14,0),0)+IF(B91='Pre-Calculation'!$D$12,PW,0)</f>
        <v>-100000</v>
      </c>
    </row>
    <row r="93" ht="14.25" customHeight="1">
      <c r="B93" s="171">
        <f t="shared" si="4"/>
        <v>86</v>
      </c>
      <c r="C93" s="171">
        <f t="shared" si="5"/>
        <v>8</v>
      </c>
      <c r="D93" s="176">
        <f>EDATE(RCD,B92)</f>
        <v>45137</v>
      </c>
      <c r="E93" s="199">
        <f>-IF(AND(D93&lt;=Revival!$C$2,MOD(B92,Mode)=0),Mod_Prem,0)+IF(B92='Pre-Calculation'!$D$12,SV,0)</f>
        <v>0</v>
      </c>
      <c r="F93" s="199">
        <f>-IF(AND(D93&lt;=Revival!$C$2,MOD(B92,Mode)=0),Mod_Prem,0)-IF(D93='Cashflows_8%'!$C$7,Revival!$C$14,0)-IF(AND(D93&gt;'Cashflows_8%'!$C$7,D93&lt;=Revival!$C$12,MOD(B92,Mode)=0),Mod_Prem,0)+IF(B92=PT*12,VLOOKUP(PT*12,'Cashflows_8%'!$A$7:$N$246,14,0),0)+IF(B92='Pre-Calculation'!$D$12,PW,0)</f>
        <v>0</v>
      </c>
      <c r="G93" s="122">
        <f>-IF(AND(D93&lt;=Revival!$C$2,MOD(B92,Mode)=0),Mod_Prem,0)-IF(D93='Cashflows_8%'!$C$7,Revival!$C$14,0)-IF(AND(D93&gt;'Cashflows_8%'!$C$7,D93&lt;=Revival!$C$12,MOD(B92,Mode)=0),Mod_Prem,0)+IF(B92=PT*12,VLOOKUP(PT*12,'Cashflows_4%'!$A$7:$N$246,14,0),0)+IF(B92='Pre-Calculation'!$D$12,PW,0)</f>
        <v>0</v>
      </c>
      <c r="H93" s="122">
        <f>-IF(AND(D93&lt;=Revival!$C$2,MOD(B92,Mode)=0),Mod_Prem,0)-IF(D93='Cashflows_8%'!$C$7,Revival!$C$14,0)-IF(AND(D93&gt;'Cashflows_8%'!$C$7,D93&lt;=Revival!$C$12,MOD(B92,Mode)=0),Mod_Prem,0)+IF(B92=PT*12,VLOOKUP(PT*12,Cashflows_HIST!$A$7:$N$246,14,0),0)+IF(B92='Pre-Calculation'!$D$12,PW,0)</f>
        <v>0</v>
      </c>
    </row>
    <row r="94" ht="14.25" customHeight="1">
      <c r="B94" s="171">
        <f t="shared" si="4"/>
        <v>87</v>
      </c>
      <c r="C94" s="171">
        <f t="shared" si="5"/>
        <v>8</v>
      </c>
      <c r="D94" s="176">
        <f>EDATE(RCD,B93)</f>
        <v>45168</v>
      </c>
      <c r="E94" s="199">
        <f>-IF(AND(D94&lt;=Revival!$C$2,MOD(B93,Mode)=0),Mod_Prem,0)+IF(B93='Pre-Calculation'!$D$12,SV,0)</f>
        <v>0</v>
      </c>
      <c r="F94" s="199">
        <f>-IF(AND(D94&lt;=Revival!$C$2,MOD(B93,Mode)=0),Mod_Prem,0)-IF(D94='Cashflows_8%'!$C$7,Revival!$C$14,0)-IF(AND(D94&gt;'Cashflows_8%'!$C$7,D94&lt;=Revival!$C$12,MOD(B93,Mode)=0),Mod_Prem,0)+IF(B93=PT*12,VLOOKUP(PT*12,'Cashflows_8%'!$A$7:$N$246,14,0),0)+IF(B93='Pre-Calculation'!$D$12,PW,0)</f>
        <v>0</v>
      </c>
      <c r="G94" s="122">
        <f>-IF(AND(D94&lt;=Revival!$C$2,MOD(B93,Mode)=0),Mod_Prem,0)-IF(D94='Cashflows_8%'!$C$7,Revival!$C$14,0)-IF(AND(D94&gt;'Cashflows_8%'!$C$7,D94&lt;=Revival!$C$12,MOD(B93,Mode)=0),Mod_Prem,0)+IF(B93=PT*12,VLOOKUP(PT*12,'Cashflows_4%'!$A$7:$N$246,14,0),0)+IF(B93='Pre-Calculation'!$D$12,PW,0)</f>
        <v>0</v>
      </c>
      <c r="H94" s="122">
        <f>-IF(AND(D94&lt;=Revival!$C$2,MOD(B93,Mode)=0),Mod_Prem,0)-IF(D94='Cashflows_8%'!$C$7,Revival!$C$14,0)-IF(AND(D94&gt;'Cashflows_8%'!$C$7,D94&lt;=Revival!$C$12,MOD(B93,Mode)=0),Mod_Prem,0)+IF(B93=PT*12,VLOOKUP(PT*12,Cashflows_HIST!$A$7:$N$246,14,0),0)+IF(B93='Pre-Calculation'!$D$12,PW,0)</f>
        <v>0</v>
      </c>
    </row>
    <row r="95" ht="14.25" customHeight="1">
      <c r="B95" s="171">
        <f t="shared" si="4"/>
        <v>88</v>
      </c>
      <c r="C95" s="171">
        <f t="shared" si="5"/>
        <v>8</v>
      </c>
      <c r="D95" s="176">
        <f>EDATE(RCD,B94)</f>
        <v>45199</v>
      </c>
      <c r="E95" s="199">
        <f>-IF(AND(D95&lt;=Revival!$C$2,MOD(B94,Mode)=0),Mod_Prem,0)+IF(B94='Pre-Calculation'!$D$12,SV,0)</f>
        <v>0</v>
      </c>
      <c r="F95" s="199">
        <f>-IF(AND(D95&lt;=Revival!$C$2,MOD(B94,Mode)=0),Mod_Prem,0)-IF(D95='Cashflows_8%'!$C$7,Revival!$C$14,0)-IF(AND(D95&gt;'Cashflows_8%'!$C$7,D95&lt;=Revival!$C$12,MOD(B94,Mode)=0),Mod_Prem,0)+IF(B94=PT*12,VLOOKUP(PT*12,'Cashflows_8%'!$A$7:$N$246,14,0),0)+IF(B94='Pre-Calculation'!$D$12,PW,0)</f>
        <v>0</v>
      </c>
      <c r="G95" s="122">
        <f>-IF(AND(D95&lt;=Revival!$C$2,MOD(B94,Mode)=0),Mod_Prem,0)-IF(D95='Cashflows_8%'!$C$7,Revival!$C$14,0)-IF(AND(D95&gt;'Cashflows_8%'!$C$7,D95&lt;=Revival!$C$12,MOD(B94,Mode)=0),Mod_Prem,0)+IF(B94=PT*12,VLOOKUP(PT*12,'Cashflows_4%'!$A$7:$N$246,14,0),0)+IF(B94='Pre-Calculation'!$D$12,PW,0)</f>
        <v>0</v>
      </c>
      <c r="H95" s="122">
        <f>-IF(AND(D95&lt;=Revival!$C$2,MOD(B94,Mode)=0),Mod_Prem,0)-IF(D95='Cashflows_8%'!$C$7,Revival!$C$14,0)-IF(AND(D95&gt;'Cashflows_8%'!$C$7,D95&lt;=Revival!$C$12,MOD(B94,Mode)=0),Mod_Prem,0)+IF(B94=PT*12,VLOOKUP(PT*12,Cashflows_HIST!$A$7:$N$246,14,0),0)+IF(B94='Pre-Calculation'!$D$12,PW,0)</f>
        <v>0</v>
      </c>
    </row>
    <row r="96" ht="14.25" customHeight="1">
      <c r="B96" s="171">
        <f t="shared" si="4"/>
        <v>89</v>
      </c>
      <c r="C96" s="171">
        <f t="shared" si="5"/>
        <v>8</v>
      </c>
      <c r="D96" s="176">
        <f>EDATE(RCD,B95)</f>
        <v>45229</v>
      </c>
      <c r="E96" s="199">
        <f>-IF(AND(D96&lt;=Revival!$C$2,MOD(B95,Mode)=0),Mod_Prem,0)+IF(B95='Pre-Calculation'!$D$12,SV,0)</f>
        <v>0</v>
      </c>
      <c r="F96" s="199">
        <f>-IF(AND(D96&lt;=Revival!$C$2,MOD(B95,Mode)=0),Mod_Prem,0)-IF(D96='Cashflows_8%'!$C$7,Revival!$C$14,0)-IF(AND(D96&gt;'Cashflows_8%'!$C$7,D96&lt;=Revival!$C$12,MOD(B95,Mode)=0),Mod_Prem,0)+IF(B95=PT*12,VLOOKUP(PT*12,'Cashflows_8%'!$A$7:$N$246,14,0),0)+IF(B95='Pre-Calculation'!$D$12,PW,0)</f>
        <v>0</v>
      </c>
      <c r="G96" s="122">
        <f>-IF(AND(D96&lt;=Revival!$C$2,MOD(B95,Mode)=0),Mod_Prem,0)-IF(D96='Cashflows_8%'!$C$7,Revival!$C$14,0)-IF(AND(D96&gt;'Cashflows_8%'!$C$7,D96&lt;=Revival!$C$12,MOD(B95,Mode)=0),Mod_Prem,0)+IF(B95=PT*12,VLOOKUP(PT*12,'Cashflows_4%'!$A$7:$N$246,14,0),0)+IF(B95='Pre-Calculation'!$D$12,PW,0)</f>
        <v>0</v>
      </c>
      <c r="H96" s="122">
        <f>-IF(AND(D96&lt;=Revival!$C$2,MOD(B95,Mode)=0),Mod_Prem,0)-IF(D96='Cashflows_8%'!$C$7,Revival!$C$14,0)-IF(AND(D96&gt;'Cashflows_8%'!$C$7,D96&lt;=Revival!$C$12,MOD(B95,Mode)=0),Mod_Prem,0)+IF(B95=PT*12,VLOOKUP(PT*12,Cashflows_HIST!$A$7:$N$246,14,0),0)+IF(B95='Pre-Calculation'!$D$12,PW,0)</f>
        <v>0</v>
      </c>
    </row>
    <row r="97" ht="14.25" customHeight="1">
      <c r="B97" s="171">
        <f t="shared" si="4"/>
        <v>90</v>
      </c>
      <c r="C97" s="171">
        <f t="shared" si="5"/>
        <v>8</v>
      </c>
      <c r="D97" s="176">
        <f>EDATE(RCD,B96)</f>
        <v>45260</v>
      </c>
      <c r="E97" s="199">
        <f>-IF(AND(D97&lt;=Revival!$C$2,MOD(B96,Mode)=0),Mod_Prem,0)+IF(B96='Pre-Calculation'!$D$12,SV,0)</f>
        <v>0</v>
      </c>
      <c r="F97" s="199">
        <f>-IF(AND(D97&lt;=Revival!$C$2,MOD(B96,Mode)=0),Mod_Prem,0)-IF(D97='Cashflows_8%'!$C$7,Revival!$C$14,0)-IF(AND(D97&gt;'Cashflows_8%'!$C$7,D97&lt;=Revival!$C$12,MOD(B96,Mode)=0),Mod_Prem,0)+IF(B96=PT*12,VLOOKUP(PT*12,'Cashflows_8%'!$A$7:$N$246,14,0),0)+IF(B96='Pre-Calculation'!$D$12,PW,0)</f>
        <v>0</v>
      </c>
      <c r="G97" s="122">
        <f>-IF(AND(D97&lt;=Revival!$C$2,MOD(B96,Mode)=0),Mod_Prem,0)-IF(D97='Cashflows_8%'!$C$7,Revival!$C$14,0)-IF(AND(D97&gt;'Cashflows_8%'!$C$7,D97&lt;=Revival!$C$12,MOD(B96,Mode)=0),Mod_Prem,0)+IF(B96=PT*12,VLOOKUP(PT*12,'Cashflows_4%'!$A$7:$N$246,14,0),0)+IF(B96='Pre-Calculation'!$D$12,PW,0)</f>
        <v>0</v>
      </c>
      <c r="H97" s="122">
        <f>-IF(AND(D97&lt;=Revival!$C$2,MOD(B96,Mode)=0),Mod_Prem,0)-IF(D97='Cashflows_8%'!$C$7,Revival!$C$14,0)-IF(AND(D97&gt;'Cashflows_8%'!$C$7,D97&lt;=Revival!$C$12,MOD(B96,Mode)=0),Mod_Prem,0)+IF(B96=PT*12,VLOOKUP(PT*12,Cashflows_HIST!$A$7:$N$246,14,0),0)+IF(B96='Pre-Calculation'!$D$12,PW,0)</f>
        <v>0</v>
      </c>
    </row>
    <row r="98" ht="14.25" customHeight="1">
      <c r="B98" s="171">
        <f t="shared" si="4"/>
        <v>91</v>
      </c>
      <c r="C98" s="171">
        <f t="shared" si="5"/>
        <v>8</v>
      </c>
      <c r="D98" s="176">
        <f>EDATE(RCD,B97)</f>
        <v>45290</v>
      </c>
      <c r="E98" s="199">
        <f>-IF(AND(D98&lt;=Revival!$C$2,MOD(B97,Mode)=0),Mod_Prem,0)+IF(B97='Pre-Calculation'!$D$12,SV,0)</f>
        <v>0</v>
      </c>
      <c r="F98" s="199">
        <f>-IF(AND(D98&lt;=Revival!$C$2,MOD(B97,Mode)=0),Mod_Prem,0)-IF(D98='Cashflows_8%'!$C$7,Revival!$C$14,0)-IF(AND(D98&gt;'Cashflows_8%'!$C$7,D98&lt;=Revival!$C$12,MOD(B97,Mode)=0),Mod_Prem,0)+IF(B97=PT*12,VLOOKUP(PT*12,'Cashflows_8%'!$A$7:$N$246,14,0),0)+IF(B97='Pre-Calculation'!$D$12,PW,0)</f>
        <v>0</v>
      </c>
      <c r="G98" s="122">
        <f>-IF(AND(D98&lt;=Revival!$C$2,MOD(B97,Mode)=0),Mod_Prem,0)-IF(D98='Cashflows_8%'!$C$7,Revival!$C$14,0)-IF(AND(D98&gt;'Cashflows_8%'!$C$7,D98&lt;=Revival!$C$12,MOD(B97,Mode)=0),Mod_Prem,0)+IF(B97=PT*12,VLOOKUP(PT*12,'Cashflows_4%'!$A$7:$N$246,14,0),0)+IF(B97='Pre-Calculation'!$D$12,PW,0)</f>
        <v>0</v>
      </c>
      <c r="H98" s="122">
        <f>-IF(AND(D98&lt;=Revival!$C$2,MOD(B97,Mode)=0),Mod_Prem,0)-IF(D98='Cashflows_8%'!$C$7,Revival!$C$14,0)-IF(AND(D98&gt;'Cashflows_8%'!$C$7,D98&lt;=Revival!$C$12,MOD(B97,Mode)=0),Mod_Prem,0)+IF(B97=PT*12,VLOOKUP(PT*12,Cashflows_HIST!$A$7:$N$246,14,0),0)+IF(B97='Pre-Calculation'!$D$12,PW,0)</f>
        <v>0</v>
      </c>
    </row>
    <row r="99" ht="14.25" customHeight="1">
      <c r="B99" s="171">
        <f t="shared" si="4"/>
        <v>92</v>
      </c>
      <c r="C99" s="171">
        <f t="shared" si="5"/>
        <v>8</v>
      </c>
      <c r="D99" s="176">
        <f>EDATE(RCD,B98)</f>
        <v>45321</v>
      </c>
      <c r="E99" s="199">
        <f>-IF(AND(D99&lt;=Revival!$C$2,MOD(B98,Mode)=0),Mod_Prem,0)+IF(B98='Pre-Calculation'!$D$12,SV,0)</f>
        <v>0</v>
      </c>
      <c r="F99" s="199">
        <f>-IF(AND(D99&lt;=Revival!$C$2,MOD(B98,Mode)=0),Mod_Prem,0)-IF(D99='Cashflows_8%'!$C$7,Revival!$C$14,0)-IF(AND(D99&gt;'Cashflows_8%'!$C$7,D99&lt;=Revival!$C$12,MOD(B98,Mode)=0),Mod_Prem,0)+IF(B98=PT*12,VLOOKUP(PT*12,'Cashflows_8%'!$A$7:$N$246,14,0),0)+IF(B98='Pre-Calculation'!$D$12,PW,0)</f>
        <v>0</v>
      </c>
      <c r="G99" s="122">
        <f>-IF(AND(D99&lt;=Revival!$C$2,MOD(B98,Mode)=0),Mod_Prem,0)-IF(D99='Cashflows_8%'!$C$7,Revival!$C$14,0)-IF(AND(D99&gt;'Cashflows_8%'!$C$7,D99&lt;=Revival!$C$12,MOD(B98,Mode)=0),Mod_Prem,0)+IF(B98=PT*12,VLOOKUP(PT*12,'Cashflows_4%'!$A$7:$N$246,14,0),0)+IF(B98='Pre-Calculation'!$D$12,PW,0)</f>
        <v>0</v>
      </c>
      <c r="H99" s="122">
        <f>-IF(AND(D99&lt;=Revival!$C$2,MOD(B98,Mode)=0),Mod_Prem,0)-IF(D99='Cashflows_8%'!$C$7,Revival!$C$14,0)-IF(AND(D99&gt;'Cashflows_8%'!$C$7,D99&lt;=Revival!$C$12,MOD(B98,Mode)=0),Mod_Prem,0)+IF(B98=PT*12,VLOOKUP(PT*12,Cashflows_HIST!$A$7:$N$246,14,0),0)+IF(B98='Pre-Calculation'!$D$12,PW,0)</f>
        <v>0</v>
      </c>
    </row>
    <row r="100" ht="14.25" customHeight="1">
      <c r="B100" s="171">
        <f t="shared" si="4"/>
        <v>93</v>
      </c>
      <c r="C100" s="171">
        <f t="shared" si="5"/>
        <v>8</v>
      </c>
      <c r="D100" s="176">
        <f>EDATE(RCD,B99)</f>
        <v>45351</v>
      </c>
      <c r="E100" s="199">
        <f>-IF(AND(D100&lt;=Revival!$C$2,MOD(B99,Mode)=0),Mod_Prem,0)+IF(B99='Pre-Calculation'!$D$12,SV,0)</f>
        <v>0</v>
      </c>
      <c r="F100" s="199">
        <f>-IF(AND(D100&lt;=Revival!$C$2,MOD(B99,Mode)=0),Mod_Prem,0)-IF(D100='Cashflows_8%'!$C$7,Revival!$C$14,0)-IF(AND(D100&gt;'Cashflows_8%'!$C$7,D100&lt;=Revival!$C$12,MOD(B99,Mode)=0),Mod_Prem,0)+IF(B99=PT*12,VLOOKUP(PT*12,'Cashflows_8%'!$A$7:$N$246,14,0),0)+IF(B99='Pre-Calculation'!$D$12,PW,0)</f>
        <v>0</v>
      </c>
      <c r="G100" s="122">
        <f>-IF(AND(D100&lt;=Revival!$C$2,MOD(B99,Mode)=0),Mod_Prem,0)-IF(D100='Cashflows_8%'!$C$7,Revival!$C$14,0)-IF(AND(D100&gt;'Cashflows_8%'!$C$7,D100&lt;=Revival!$C$12,MOD(B99,Mode)=0),Mod_Prem,0)+IF(B99=PT*12,VLOOKUP(PT*12,'Cashflows_4%'!$A$7:$N$246,14,0),0)+IF(B99='Pre-Calculation'!$D$12,PW,0)</f>
        <v>0</v>
      </c>
      <c r="H100" s="122">
        <f>-IF(AND(D100&lt;=Revival!$C$2,MOD(B99,Mode)=0),Mod_Prem,0)-IF(D100='Cashflows_8%'!$C$7,Revival!$C$14,0)-IF(AND(D100&gt;'Cashflows_8%'!$C$7,D100&lt;=Revival!$C$12,MOD(B99,Mode)=0),Mod_Prem,0)+IF(B99=PT*12,VLOOKUP(PT*12,Cashflows_HIST!$A$7:$N$246,14,0),0)+IF(B99='Pre-Calculation'!$D$12,PW,0)</f>
        <v>0</v>
      </c>
    </row>
    <row r="101" ht="14.25" customHeight="1">
      <c r="B101" s="171">
        <f t="shared" si="4"/>
        <v>94</v>
      </c>
      <c r="C101" s="171">
        <f t="shared" si="5"/>
        <v>8</v>
      </c>
      <c r="D101" s="176">
        <f>EDATE(RCD,B100)</f>
        <v>45381</v>
      </c>
      <c r="E101" s="199">
        <f>-IF(AND(D101&lt;=Revival!$C$2,MOD(B100,Mode)=0),Mod_Prem,0)+IF(B100='Pre-Calculation'!$D$12,SV,0)</f>
        <v>0</v>
      </c>
      <c r="F101" s="199">
        <f>-IF(AND(D101&lt;=Revival!$C$2,MOD(B100,Mode)=0),Mod_Prem,0)-IF(D101='Cashflows_8%'!$C$7,Revival!$C$14,0)-IF(AND(D101&gt;'Cashflows_8%'!$C$7,D101&lt;=Revival!$C$12,MOD(B100,Mode)=0),Mod_Prem,0)+IF(B100=PT*12,VLOOKUP(PT*12,'Cashflows_8%'!$A$7:$N$246,14,0),0)+IF(B100='Pre-Calculation'!$D$12,PW,0)</f>
        <v>0</v>
      </c>
      <c r="G101" s="122">
        <f>-IF(AND(D101&lt;=Revival!$C$2,MOD(B100,Mode)=0),Mod_Prem,0)-IF(D101='Cashflows_8%'!$C$7,Revival!$C$14,0)-IF(AND(D101&gt;'Cashflows_8%'!$C$7,D101&lt;=Revival!$C$12,MOD(B100,Mode)=0),Mod_Prem,0)+IF(B100=PT*12,VLOOKUP(PT*12,'Cashflows_4%'!$A$7:$N$246,14,0),0)+IF(B100='Pre-Calculation'!$D$12,PW,0)</f>
        <v>0</v>
      </c>
      <c r="H101" s="122">
        <f>-IF(AND(D101&lt;=Revival!$C$2,MOD(B100,Mode)=0),Mod_Prem,0)-IF(D101='Cashflows_8%'!$C$7,Revival!$C$14,0)-IF(AND(D101&gt;'Cashflows_8%'!$C$7,D101&lt;=Revival!$C$12,MOD(B100,Mode)=0),Mod_Prem,0)+IF(B100=PT*12,VLOOKUP(PT*12,Cashflows_HIST!$A$7:$N$246,14,0),0)+IF(B100='Pre-Calculation'!$D$12,PW,0)</f>
        <v>0</v>
      </c>
    </row>
    <row r="102" ht="14.25" customHeight="1">
      <c r="B102" s="171">
        <f t="shared" si="4"/>
        <v>95</v>
      </c>
      <c r="C102" s="171">
        <f t="shared" si="5"/>
        <v>8</v>
      </c>
      <c r="D102" s="176">
        <f>EDATE(RCD,B101)</f>
        <v>45412</v>
      </c>
      <c r="E102" s="199">
        <f>-IF(AND(D102&lt;=Revival!$C$2,MOD(B101,Mode)=0),Mod_Prem,0)+IF(B101='Pre-Calculation'!$D$12,SV,0)</f>
        <v>0</v>
      </c>
      <c r="F102" s="199">
        <f>-IF(AND(D102&lt;=Revival!$C$2,MOD(B101,Mode)=0),Mod_Prem,0)-IF(D102='Cashflows_8%'!$C$7,Revival!$C$14,0)-IF(AND(D102&gt;'Cashflows_8%'!$C$7,D102&lt;=Revival!$C$12,MOD(B101,Mode)=0),Mod_Prem,0)+IF(B101=PT*12,VLOOKUP(PT*12,'Cashflows_8%'!$A$7:$N$246,14,0),0)+IF(B101='Pre-Calculation'!$D$12,PW,0)</f>
        <v>0</v>
      </c>
      <c r="G102" s="122">
        <f>-IF(AND(D102&lt;=Revival!$C$2,MOD(B101,Mode)=0),Mod_Prem,0)-IF(D102='Cashflows_8%'!$C$7,Revival!$C$14,0)-IF(AND(D102&gt;'Cashflows_8%'!$C$7,D102&lt;=Revival!$C$12,MOD(B101,Mode)=0),Mod_Prem,0)+IF(B101=PT*12,VLOOKUP(PT*12,'Cashflows_4%'!$A$7:$N$246,14,0),0)+IF(B101='Pre-Calculation'!$D$12,PW,0)</f>
        <v>0</v>
      </c>
      <c r="H102" s="122">
        <f>-IF(AND(D102&lt;=Revival!$C$2,MOD(B101,Mode)=0),Mod_Prem,0)-IF(D102='Cashflows_8%'!$C$7,Revival!$C$14,0)-IF(AND(D102&gt;'Cashflows_8%'!$C$7,D102&lt;=Revival!$C$12,MOD(B101,Mode)=0),Mod_Prem,0)+IF(B101=PT*12,VLOOKUP(PT*12,Cashflows_HIST!$A$7:$N$246,14,0),0)+IF(B101='Pre-Calculation'!$D$12,PW,0)</f>
        <v>0</v>
      </c>
    </row>
    <row r="103" ht="14.25" customHeight="1">
      <c r="B103" s="171">
        <f t="shared" si="4"/>
        <v>96</v>
      </c>
      <c r="C103" s="171">
        <f t="shared" si="5"/>
        <v>8</v>
      </c>
      <c r="D103" s="176">
        <f>EDATE(RCD,B102)</f>
        <v>45442</v>
      </c>
      <c r="E103" s="199">
        <f>-IF(AND(D103&lt;=Revival!$C$2,MOD(B102,Mode)=0),Mod_Prem,0)+IF(B102='Pre-Calculation'!$D$12,SV,0)</f>
        <v>0</v>
      </c>
      <c r="F103" s="199">
        <f>-IF(AND(D103&lt;=Revival!$C$2,MOD(B102,Mode)=0),Mod_Prem,0)-IF(D103='Cashflows_8%'!$C$7,Revival!$C$14,0)-IF(AND(D103&gt;'Cashflows_8%'!$C$7,D103&lt;=Revival!$C$12,MOD(B102,Mode)=0),Mod_Prem,0)+IF(B102=PT*12,VLOOKUP(PT*12,'Cashflows_8%'!$A$7:$N$246,14,0),0)+IF(B102='Pre-Calculation'!$D$12,PW,0)</f>
        <v>0</v>
      </c>
      <c r="G103" s="122">
        <f>-IF(AND(D103&lt;=Revival!$C$2,MOD(B102,Mode)=0),Mod_Prem,0)-IF(D103='Cashflows_8%'!$C$7,Revival!$C$14,0)-IF(AND(D103&gt;'Cashflows_8%'!$C$7,D103&lt;=Revival!$C$12,MOD(B102,Mode)=0),Mod_Prem,0)+IF(B102=PT*12,VLOOKUP(PT*12,'Cashflows_4%'!$A$7:$N$246,14,0),0)+IF(B102='Pre-Calculation'!$D$12,PW,0)</f>
        <v>0</v>
      </c>
      <c r="H103" s="122">
        <f>-IF(AND(D103&lt;=Revival!$C$2,MOD(B102,Mode)=0),Mod_Prem,0)-IF(D103='Cashflows_8%'!$C$7,Revival!$C$14,0)-IF(AND(D103&gt;'Cashflows_8%'!$C$7,D103&lt;=Revival!$C$12,MOD(B102,Mode)=0),Mod_Prem,0)+IF(B102=PT*12,VLOOKUP(PT*12,Cashflows_HIST!$A$7:$N$246,14,0),0)+IF(B102='Pre-Calculation'!$D$12,PW,0)</f>
        <v>0</v>
      </c>
    </row>
    <row r="104" ht="14.25" customHeight="1">
      <c r="B104" s="171">
        <f t="shared" si="4"/>
        <v>97</v>
      </c>
      <c r="C104" s="171">
        <f t="shared" si="5"/>
        <v>9</v>
      </c>
      <c r="D104" s="176">
        <f>EDATE(RCD,B103)</f>
        <v>45473</v>
      </c>
      <c r="E104" s="199">
        <f>-IF(AND(D104&lt;=Revival!$C$2,MOD(B103,Mode)=0),Mod_Prem,0)+IF(B103='Pre-Calculation'!$D$12,SV,0)</f>
        <v>0</v>
      </c>
      <c r="F104" s="199">
        <f>-IF(AND(D104&lt;=Revival!$C$2,MOD(B103,Mode)=0),Mod_Prem,0)-IF(D104='Cashflows_8%'!$C$7,Revival!$C$14,0)-IF(AND(D104&gt;'Cashflows_8%'!$C$7,D104&lt;=Revival!$C$12,MOD(B103,Mode)=0),Mod_Prem,0)+IF(B103=PT*12,VLOOKUP(PT*12,'Cashflows_8%'!$A$7:$N$246,14,0),0)+IF(B103='Pre-Calculation'!$D$12,PW,0)</f>
        <v>-100000</v>
      </c>
      <c r="G104" s="122">
        <f>-IF(AND(D104&lt;=Revival!$C$2,MOD(B103,Mode)=0),Mod_Prem,0)-IF(D104='Cashflows_8%'!$C$7,Revival!$C$14,0)-IF(AND(D104&gt;'Cashflows_8%'!$C$7,D104&lt;=Revival!$C$12,MOD(B103,Mode)=0),Mod_Prem,0)+IF(B103=PT*12,VLOOKUP(PT*12,'Cashflows_4%'!$A$7:$N$246,14,0),0)+IF(B103='Pre-Calculation'!$D$12,PW,0)</f>
        <v>-100000</v>
      </c>
      <c r="H104" s="122">
        <f>-IF(AND(D104&lt;=Revival!$C$2,MOD(B103,Mode)=0),Mod_Prem,0)-IF(D104='Cashflows_8%'!$C$7,Revival!$C$14,0)-IF(AND(D104&gt;'Cashflows_8%'!$C$7,D104&lt;=Revival!$C$12,MOD(B103,Mode)=0),Mod_Prem,0)+IF(B103=PT*12,VLOOKUP(PT*12,Cashflows_HIST!$A$7:$N$246,14,0),0)+IF(B103='Pre-Calculation'!$D$12,PW,0)</f>
        <v>-100000</v>
      </c>
    </row>
    <row r="105" ht="14.25" customHeight="1">
      <c r="B105" s="171">
        <f t="shared" si="4"/>
        <v>98</v>
      </c>
      <c r="C105" s="171">
        <f t="shared" si="5"/>
        <v>9</v>
      </c>
      <c r="D105" s="176">
        <f>EDATE(RCD,B104)</f>
        <v>45503</v>
      </c>
      <c r="E105" s="199">
        <f>-IF(AND(D105&lt;=Revival!$C$2,MOD(B104,Mode)=0),Mod_Prem,0)+IF(B104='Pre-Calculation'!$D$12,SV,0)</f>
        <v>0</v>
      </c>
      <c r="F105" s="199">
        <f>-IF(AND(D105&lt;=Revival!$C$2,MOD(B104,Mode)=0),Mod_Prem,0)-IF(D105='Cashflows_8%'!$C$7,Revival!$C$14,0)-IF(AND(D105&gt;'Cashflows_8%'!$C$7,D105&lt;=Revival!$C$12,MOD(B104,Mode)=0),Mod_Prem,0)+IF(B104=PT*12,VLOOKUP(PT*12,'Cashflows_8%'!$A$7:$N$246,14,0),0)+IF(B104='Pre-Calculation'!$D$12,PW,0)</f>
        <v>0</v>
      </c>
      <c r="G105" s="122">
        <f>-IF(AND(D105&lt;=Revival!$C$2,MOD(B104,Mode)=0),Mod_Prem,0)-IF(D105='Cashflows_8%'!$C$7,Revival!$C$14,0)-IF(AND(D105&gt;'Cashflows_8%'!$C$7,D105&lt;=Revival!$C$12,MOD(B104,Mode)=0),Mod_Prem,0)+IF(B104=PT*12,VLOOKUP(PT*12,'Cashflows_4%'!$A$7:$N$246,14,0),0)+IF(B104='Pre-Calculation'!$D$12,PW,0)</f>
        <v>0</v>
      </c>
      <c r="H105" s="122">
        <f>-IF(AND(D105&lt;=Revival!$C$2,MOD(B104,Mode)=0),Mod_Prem,0)-IF(D105='Cashflows_8%'!$C$7,Revival!$C$14,0)-IF(AND(D105&gt;'Cashflows_8%'!$C$7,D105&lt;=Revival!$C$12,MOD(B104,Mode)=0),Mod_Prem,0)+IF(B104=PT*12,VLOOKUP(PT*12,Cashflows_HIST!$A$7:$N$246,14,0),0)+IF(B104='Pre-Calculation'!$D$12,PW,0)</f>
        <v>0</v>
      </c>
    </row>
    <row r="106" ht="14.25" customHeight="1">
      <c r="B106" s="171">
        <f t="shared" si="4"/>
        <v>99</v>
      </c>
      <c r="C106" s="171">
        <f t="shared" si="5"/>
        <v>9</v>
      </c>
      <c r="D106" s="176">
        <f>EDATE(RCD,B105)</f>
        <v>45534</v>
      </c>
      <c r="E106" s="199">
        <f>-IF(AND(D106&lt;=Revival!$C$2,MOD(B105,Mode)=0),Mod_Prem,0)+IF(B105='Pre-Calculation'!$D$12,SV,0)</f>
        <v>0</v>
      </c>
      <c r="F106" s="199">
        <f>-IF(AND(D106&lt;=Revival!$C$2,MOD(B105,Mode)=0),Mod_Prem,0)-IF(D106='Cashflows_8%'!$C$7,Revival!$C$14,0)-IF(AND(D106&gt;'Cashflows_8%'!$C$7,D106&lt;=Revival!$C$12,MOD(B105,Mode)=0),Mod_Prem,0)+IF(B105=PT*12,VLOOKUP(PT*12,'Cashflows_8%'!$A$7:$N$246,14,0),0)+IF(B105='Pre-Calculation'!$D$12,PW,0)</f>
        <v>0</v>
      </c>
      <c r="G106" s="122">
        <f>-IF(AND(D106&lt;=Revival!$C$2,MOD(B105,Mode)=0),Mod_Prem,0)-IF(D106='Cashflows_8%'!$C$7,Revival!$C$14,0)-IF(AND(D106&gt;'Cashflows_8%'!$C$7,D106&lt;=Revival!$C$12,MOD(B105,Mode)=0),Mod_Prem,0)+IF(B105=PT*12,VLOOKUP(PT*12,'Cashflows_4%'!$A$7:$N$246,14,0),0)+IF(B105='Pre-Calculation'!$D$12,PW,0)</f>
        <v>0</v>
      </c>
      <c r="H106" s="122">
        <f>-IF(AND(D106&lt;=Revival!$C$2,MOD(B105,Mode)=0),Mod_Prem,0)-IF(D106='Cashflows_8%'!$C$7,Revival!$C$14,0)-IF(AND(D106&gt;'Cashflows_8%'!$C$7,D106&lt;=Revival!$C$12,MOD(B105,Mode)=0),Mod_Prem,0)+IF(B105=PT*12,VLOOKUP(PT*12,Cashflows_HIST!$A$7:$N$246,14,0),0)+IF(B105='Pre-Calculation'!$D$12,PW,0)</f>
        <v>0</v>
      </c>
    </row>
    <row r="107" ht="14.25" customHeight="1">
      <c r="B107" s="171">
        <f t="shared" si="4"/>
        <v>100</v>
      </c>
      <c r="C107" s="171">
        <f t="shared" si="5"/>
        <v>9</v>
      </c>
      <c r="D107" s="176">
        <f>EDATE(RCD,B106)</f>
        <v>45565</v>
      </c>
      <c r="E107" s="199">
        <f>-IF(AND(D107&lt;=Revival!$C$2,MOD(B106,Mode)=0),Mod_Prem,0)+IF(B106='Pre-Calculation'!$D$12,SV,0)</f>
        <v>0</v>
      </c>
      <c r="F107" s="199">
        <f>-IF(AND(D107&lt;=Revival!$C$2,MOD(B106,Mode)=0),Mod_Prem,0)-IF(D107='Cashflows_8%'!$C$7,Revival!$C$14,0)-IF(AND(D107&gt;'Cashflows_8%'!$C$7,D107&lt;=Revival!$C$12,MOD(B106,Mode)=0),Mod_Prem,0)+IF(B106=PT*12,VLOOKUP(PT*12,'Cashflows_8%'!$A$7:$N$246,14,0),0)+IF(B106='Pre-Calculation'!$D$12,PW,0)</f>
        <v>0</v>
      </c>
      <c r="G107" s="122">
        <f>-IF(AND(D107&lt;=Revival!$C$2,MOD(B106,Mode)=0),Mod_Prem,0)-IF(D107='Cashflows_8%'!$C$7,Revival!$C$14,0)-IF(AND(D107&gt;'Cashflows_8%'!$C$7,D107&lt;=Revival!$C$12,MOD(B106,Mode)=0),Mod_Prem,0)+IF(B106=PT*12,VLOOKUP(PT*12,'Cashflows_4%'!$A$7:$N$246,14,0),0)+IF(B106='Pre-Calculation'!$D$12,PW,0)</f>
        <v>0</v>
      </c>
      <c r="H107" s="122">
        <f>-IF(AND(D107&lt;=Revival!$C$2,MOD(B106,Mode)=0),Mod_Prem,0)-IF(D107='Cashflows_8%'!$C$7,Revival!$C$14,0)-IF(AND(D107&gt;'Cashflows_8%'!$C$7,D107&lt;=Revival!$C$12,MOD(B106,Mode)=0),Mod_Prem,0)+IF(B106=PT*12,VLOOKUP(PT*12,Cashflows_HIST!$A$7:$N$246,14,0),0)+IF(B106='Pre-Calculation'!$D$12,PW,0)</f>
        <v>0</v>
      </c>
    </row>
    <row r="108" ht="14.25" customHeight="1">
      <c r="B108" s="171">
        <f t="shared" si="4"/>
        <v>101</v>
      </c>
      <c r="C108" s="171">
        <f t="shared" si="5"/>
        <v>9</v>
      </c>
      <c r="D108" s="176">
        <f>EDATE(RCD,B107)</f>
        <v>45595</v>
      </c>
      <c r="E108" s="199">
        <f>-IF(AND(D108&lt;=Revival!$C$2,MOD(B107,Mode)=0),Mod_Prem,0)+IF(B107='Pre-Calculation'!$D$12,SV,0)</f>
        <v>0</v>
      </c>
      <c r="F108" s="199">
        <f>-IF(AND(D108&lt;=Revival!$C$2,MOD(B107,Mode)=0),Mod_Prem,0)-IF(D108='Cashflows_8%'!$C$7,Revival!$C$14,0)-IF(AND(D108&gt;'Cashflows_8%'!$C$7,D108&lt;=Revival!$C$12,MOD(B107,Mode)=0),Mod_Prem,0)+IF(B107=PT*12,VLOOKUP(PT*12,'Cashflows_8%'!$A$7:$N$246,14,0),0)+IF(B107='Pre-Calculation'!$D$12,PW,0)</f>
        <v>0</v>
      </c>
      <c r="G108" s="122">
        <f>-IF(AND(D108&lt;=Revival!$C$2,MOD(B107,Mode)=0),Mod_Prem,0)-IF(D108='Cashflows_8%'!$C$7,Revival!$C$14,0)-IF(AND(D108&gt;'Cashflows_8%'!$C$7,D108&lt;=Revival!$C$12,MOD(B107,Mode)=0),Mod_Prem,0)+IF(B107=PT*12,VLOOKUP(PT*12,'Cashflows_4%'!$A$7:$N$246,14,0),0)+IF(B107='Pre-Calculation'!$D$12,PW,0)</f>
        <v>0</v>
      </c>
      <c r="H108" s="122">
        <f>-IF(AND(D108&lt;=Revival!$C$2,MOD(B107,Mode)=0),Mod_Prem,0)-IF(D108='Cashflows_8%'!$C$7,Revival!$C$14,0)-IF(AND(D108&gt;'Cashflows_8%'!$C$7,D108&lt;=Revival!$C$12,MOD(B107,Mode)=0),Mod_Prem,0)+IF(B107=PT*12,VLOOKUP(PT*12,Cashflows_HIST!$A$7:$N$246,14,0),0)+IF(B107='Pre-Calculation'!$D$12,PW,0)</f>
        <v>0</v>
      </c>
    </row>
    <row r="109" ht="14.25" customHeight="1">
      <c r="B109" s="171">
        <f t="shared" si="4"/>
        <v>102</v>
      </c>
      <c r="C109" s="171">
        <f t="shared" si="5"/>
        <v>9</v>
      </c>
      <c r="D109" s="176">
        <f>EDATE(RCD,B108)</f>
        <v>45626</v>
      </c>
      <c r="E109" s="199">
        <f>-IF(AND(D109&lt;=Revival!$C$2,MOD(B108,Mode)=0),Mod_Prem,0)+IF(B108='Pre-Calculation'!$D$12,SV,0)</f>
        <v>0</v>
      </c>
      <c r="F109" s="199">
        <f>-IF(AND(D109&lt;=Revival!$C$2,MOD(B108,Mode)=0),Mod_Prem,0)-IF(D109='Cashflows_8%'!$C$7,Revival!$C$14,0)-IF(AND(D109&gt;'Cashflows_8%'!$C$7,D109&lt;=Revival!$C$12,MOD(B108,Mode)=0),Mod_Prem,0)+IF(B108=PT*12,VLOOKUP(PT*12,'Cashflows_8%'!$A$7:$N$246,14,0),0)+IF(B108='Pre-Calculation'!$D$12,PW,0)</f>
        <v>0</v>
      </c>
      <c r="G109" s="122">
        <f>-IF(AND(D109&lt;=Revival!$C$2,MOD(B108,Mode)=0),Mod_Prem,0)-IF(D109='Cashflows_8%'!$C$7,Revival!$C$14,0)-IF(AND(D109&gt;'Cashflows_8%'!$C$7,D109&lt;=Revival!$C$12,MOD(B108,Mode)=0),Mod_Prem,0)+IF(B108=PT*12,VLOOKUP(PT*12,'Cashflows_4%'!$A$7:$N$246,14,0),0)+IF(B108='Pre-Calculation'!$D$12,PW,0)</f>
        <v>0</v>
      </c>
      <c r="H109" s="122">
        <f>-IF(AND(D109&lt;=Revival!$C$2,MOD(B108,Mode)=0),Mod_Prem,0)-IF(D109='Cashflows_8%'!$C$7,Revival!$C$14,0)-IF(AND(D109&gt;'Cashflows_8%'!$C$7,D109&lt;=Revival!$C$12,MOD(B108,Mode)=0),Mod_Prem,0)+IF(B108=PT*12,VLOOKUP(PT*12,Cashflows_HIST!$A$7:$N$246,14,0),0)+IF(B108='Pre-Calculation'!$D$12,PW,0)</f>
        <v>0</v>
      </c>
    </row>
    <row r="110" ht="14.25" customHeight="1">
      <c r="B110" s="171">
        <f t="shared" si="4"/>
        <v>103</v>
      </c>
      <c r="C110" s="171">
        <f t="shared" si="5"/>
        <v>9</v>
      </c>
      <c r="D110" s="176">
        <f>EDATE(RCD,B109)</f>
        <v>45656</v>
      </c>
      <c r="E110" s="199">
        <f>-IF(AND(D110&lt;=Revival!$C$2,MOD(B109,Mode)=0),Mod_Prem,0)+IF(B109='Pre-Calculation'!$D$12,SV,0)</f>
        <v>0</v>
      </c>
      <c r="F110" s="199">
        <f>-IF(AND(D110&lt;=Revival!$C$2,MOD(B109,Mode)=0),Mod_Prem,0)-IF(D110='Cashflows_8%'!$C$7,Revival!$C$14,0)-IF(AND(D110&gt;'Cashflows_8%'!$C$7,D110&lt;=Revival!$C$12,MOD(B109,Mode)=0),Mod_Prem,0)+IF(B109=PT*12,VLOOKUP(PT*12,'Cashflows_8%'!$A$7:$N$246,14,0),0)+IF(B109='Pre-Calculation'!$D$12,PW,0)</f>
        <v>0</v>
      </c>
      <c r="G110" s="122">
        <f>-IF(AND(D110&lt;=Revival!$C$2,MOD(B109,Mode)=0),Mod_Prem,0)-IF(D110='Cashflows_8%'!$C$7,Revival!$C$14,0)-IF(AND(D110&gt;'Cashflows_8%'!$C$7,D110&lt;=Revival!$C$12,MOD(B109,Mode)=0),Mod_Prem,0)+IF(B109=PT*12,VLOOKUP(PT*12,'Cashflows_4%'!$A$7:$N$246,14,0),0)+IF(B109='Pre-Calculation'!$D$12,PW,0)</f>
        <v>0</v>
      </c>
      <c r="H110" s="122">
        <f>-IF(AND(D110&lt;=Revival!$C$2,MOD(B109,Mode)=0),Mod_Prem,0)-IF(D110='Cashflows_8%'!$C$7,Revival!$C$14,0)-IF(AND(D110&gt;'Cashflows_8%'!$C$7,D110&lt;=Revival!$C$12,MOD(B109,Mode)=0),Mod_Prem,0)+IF(B109=PT*12,VLOOKUP(PT*12,Cashflows_HIST!$A$7:$N$246,14,0),0)+IF(B109='Pre-Calculation'!$D$12,PW,0)</f>
        <v>0</v>
      </c>
    </row>
    <row r="111" ht="14.25" customHeight="1">
      <c r="B111" s="171">
        <f t="shared" si="4"/>
        <v>104</v>
      </c>
      <c r="C111" s="171">
        <f t="shared" si="5"/>
        <v>9</v>
      </c>
      <c r="D111" s="176">
        <f>EDATE(RCD,B110)</f>
        <v>45687</v>
      </c>
      <c r="E111" s="199">
        <f>-IF(AND(D111&lt;=Revival!$C$2,MOD(B110,Mode)=0),Mod_Prem,0)+IF(B110='Pre-Calculation'!$D$12,SV,0)</f>
        <v>0</v>
      </c>
      <c r="F111" s="199">
        <f>-IF(AND(D111&lt;=Revival!$C$2,MOD(B110,Mode)=0),Mod_Prem,0)-IF(D111='Cashflows_8%'!$C$7,Revival!$C$14,0)-IF(AND(D111&gt;'Cashflows_8%'!$C$7,D111&lt;=Revival!$C$12,MOD(B110,Mode)=0),Mod_Prem,0)+IF(B110=PT*12,VLOOKUP(PT*12,'Cashflows_8%'!$A$7:$N$246,14,0),0)+IF(B110='Pre-Calculation'!$D$12,PW,0)</f>
        <v>0</v>
      </c>
      <c r="G111" s="122">
        <f>-IF(AND(D111&lt;=Revival!$C$2,MOD(B110,Mode)=0),Mod_Prem,0)-IF(D111='Cashflows_8%'!$C$7,Revival!$C$14,0)-IF(AND(D111&gt;'Cashflows_8%'!$C$7,D111&lt;=Revival!$C$12,MOD(B110,Mode)=0),Mod_Prem,0)+IF(B110=PT*12,VLOOKUP(PT*12,'Cashflows_4%'!$A$7:$N$246,14,0),0)+IF(B110='Pre-Calculation'!$D$12,PW,0)</f>
        <v>0</v>
      </c>
      <c r="H111" s="122">
        <f>-IF(AND(D111&lt;=Revival!$C$2,MOD(B110,Mode)=0),Mod_Prem,0)-IF(D111='Cashflows_8%'!$C$7,Revival!$C$14,0)-IF(AND(D111&gt;'Cashflows_8%'!$C$7,D111&lt;=Revival!$C$12,MOD(B110,Mode)=0),Mod_Prem,0)+IF(B110=PT*12,VLOOKUP(PT*12,Cashflows_HIST!$A$7:$N$246,14,0),0)+IF(B110='Pre-Calculation'!$D$12,PW,0)</f>
        <v>0</v>
      </c>
    </row>
    <row r="112" ht="14.25" customHeight="1">
      <c r="B112" s="171">
        <f t="shared" si="4"/>
        <v>105</v>
      </c>
      <c r="C112" s="171">
        <f t="shared" si="5"/>
        <v>9</v>
      </c>
      <c r="D112" s="176">
        <f>EDATE(RCD,B111)</f>
        <v>45716</v>
      </c>
      <c r="E112" s="199">
        <f>-IF(AND(D112&lt;=Revival!$C$2,MOD(B111,Mode)=0),Mod_Prem,0)+IF(B111='Pre-Calculation'!$D$12,SV,0)</f>
        <v>0</v>
      </c>
      <c r="F112" s="199">
        <f>-IF(AND(D112&lt;=Revival!$C$2,MOD(B111,Mode)=0),Mod_Prem,0)-IF(D112='Cashflows_8%'!$C$7,Revival!$C$14,0)-IF(AND(D112&gt;'Cashflows_8%'!$C$7,D112&lt;=Revival!$C$12,MOD(B111,Mode)=0),Mod_Prem,0)+IF(B111=PT*12,VLOOKUP(PT*12,'Cashflows_8%'!$A$7:$N$246,14,0),0)+IF(B111='Pre-Calculation'!$D$12,PW,0)</f>
        <v>0</v>
      </c>
      <c r="G112" s="122">
        <f>-IF(AND(D112&lt;=Revival!$C$2,MOD(B111,Mode)=0),Mod_Prem,0)-IF(D112='Cashflows_8%'!$C$7,Revival!$C$14,0)-IF(AND(D112&gt;'Cashflows_8%'!$C$7,D112&lt;=Revival!$C$12,MOD(B111,Mode)=0),Mod_Prem,0)+IF(B111=PT*12,VLOOKUP(PT*12,'Cashflows_4%'!$A$7:$N$246,14,0),0)+IF(B111='Pre-Calculation'!$D$12,PW,0)</f>
        <v>0</v>
      </c>
      <c r="H112" s="122">
        <f>-IF(AND(D112&lt;=Revival!$C$2,MOD(B111,Mode)=0),Mod_Prem,0)-IF(D112='Cashflows_8%'!$C$7,Revival!$C$14,0)-IF(AND(D112&gt;'Cashflows_8%'!$C$7,D112&lt;=Revival!$C$12,MOD(B111,Mode)=0),Mod_Prem,0)+IF(B111=PT*12,VLOOKUP(PT*12,Cashflows_HIST!$A$7:$N$246,14,0),0)+IF(B111='Pre-Calculation'!$D$12,PW,0)</f>
        <v>0</v>
      </c>
    </row>
    <row r="113" ht="14.25" customHeight="1">
      <c r="B113" s="171">
        <f t="shared" si="4"/>
        <v>106</v>
      </c>
      <c r="C113" s="171">
        <f t="shared" si="5"/>
        <v>9</v>
      </c>
      <c r="D113" s="176">
        <f>EDATE(RCD,B112)</f>
        <v>45746</v>
      </c>
      <c r="E113" s="199">
        <f>-IF(AND(D113&lt;=Revival!$C$2,MOD(B112,Mode)=0),Mod_Prem,0)+IF(B112='Pre-Calculation'!$D$12,SV,0)</f>
        <v>0</v>
      </c>
      <c r="F113" s="199">
        <f>-IF(AND(D113&lt;=Revival!$C$2,MOD(B112,Mode)=0),Mod_Prem,0)-IF(D113='Cashflows_8%'!$C$7,Revival!$C$14,0)-IF(AND(D113&gt;'Cashflows_8%'!$C$7,D113&lt;=Revival!$C$12,MOD(B112,Mode)=0),Mod_Prem,0)+IF(B112=PT*12,VLOOKUP(PT*12,'Cashflows_8%'!$A$7:$N$246,14,0),0)+IF(B112='Pre-Calculation'!$D$12,PW,0)</f>
        <v>0</v>
      </c>
      <c r="G113" s="122">
        <f>-IF(AND(D113&lt;=Revival!$C$2,MOD(B112,Mode)=0),Mod_Prem,0)-IF(D113='Cashflows_8%'!$C$7,Revival!$C$14,0)-IF(AND(D113&gt;'Cashflows_8%'!$C$7,D113&lt;=Revival!$C$12,MOD(B112,Mode)=0),Mod_Prem,0)+IF(B112=PT*12,VLOOKUP(PT*12,'Cashflows_4%'!$A$7:$N$246,14,0),0)+IF(B112='Pre-Calculation'!$D$12,PW,0)</f>
        <v>0</v>
      </c>
      <c r="H113" s="122">
        <f>-IF(AND(D113&lt;=Revival!$C$2,MOD(B112,Mode)=0),Mod_Prem,0)-IF(D113='Cashflows_8%'!$C$7,Revival!$C$14,0)-IF(AND(D113&gt;'Cashflows_8%'!$C$7,D113&lt;=Revival!$C$12,MOD(B112,Mode)=0),Mod_Prem,0)+IF(B112=PT*12,VLOOKUP(PT*12,Cashflows_HIST!$A$7:$N$246,14,0),0)+IF(B112='Pre-Calculation'!$D$12,PW,0)</f>
        <v>0</v>
      </c>
    </row>
    <row r="114" ht="14.25" customHeight="1">
      <c r="B114" s="171">
        <f t="shared" si="4"/>
        <v>107</v>
      </c>
      <c r="C114" s="171">
        <f t="shared" si="5"/>
        <v>9</v>
      </c>
      <c r="D114" s="176">
        <f>EDATE(RCD,B113)</f>
        <v>45777</v>
      </c>
      <c r="E114" s="199">
        <f>-IF(AND(D114&lt;=Revival!$C$2,MOD(B113,Mode)=0),Mod_Prem,0)+IF(B113='Pre-Calculation'!$D$12,SV,0)</f>
        <v>0</v>
      </c>
      <c r="F114" s="199">
        <f>-IF(AND(D114&lt;=Revival!$C$2,MOD(B113,Mode)=0),Mod_Prem,0)-IF(D114='Cashflows_8%'!$C$7,Revival!$C$14,0)-IF(AND(D114&gt;'Cashflows_8%'!$C$7,D114&lt;=Revival!$C$12,MOD(B113,Mode)=0),Mod_Prem,0)+IF(B113=PT*12,VLOOKUP(PT*12,'Cashflows_8%'!$A$7:$N$246,14,0),0)+IF(B113='Pre-Calculation'!$D$12,PW,0)</f>
        <v>0</v>
      </c>
      <c r="G114" s="122">
        <f>-IF(AND(D114&lt;=Revival!$C$2,MOD(B113,Mode)=0),Mod_Prem,0)-IF(D114='Cashflows_8%'!$C$7,Revival!$C$14,0)-IF(AND(D114&gt;'Cashflows_8%'!$C$7,D114&lt;=Revival!$C$12,MOD(B113,Mode)=0),Mod_Prem,0)+IF(B113=PT*12,VLOOKUP(PT*12,'Cashflows_4%'!$A$7:$N$246,14,0),0)+IF(B113='Pre-Calculation'!$D$12,PW,0)</f>
        <v>0</v>
      </c>
      <c r="H114" s="122">
        <f>-IF(AND(D114&lt;=Revival!$C$2,MOD(B113,Mode)=0),Mod_Prem,0)-IF(D114='Cashflows_8%'!$C$7,Revival!$C$14,0)-IF(AND(D114&gt;'Cashflows_8%'!$C$7,D114&lt;=Revival!$C$12,MOD(B113,Mode)=0),Mod_Prem,0)+IF(B113=PT*12,VLOOKUP(PT*12,Cashflows_HIST!$A$7:$N$246,14,0),0)+IF(B113='Pre-Calculation'!$D$12,PW,0)</f>
        <v>0</v>
      </c>
    </row>
    <row r="115" ht="14.25" customHeight="1">
      <c r="B115" s="171">
        <f t="shared" si="4"/>
        <v>108</v>
      </c>
      <c r="C115" s="171">
        <f t="shared" si="5"/>
        <v>9</v>
      </c>
      <c r="D115" s="176">
        <f>EDATE(RCD,B114)</f>
        <v>45807</v>
      </c>
      <c r="E115" s="199">
        <f>-IF(AND(D115&lt;=Revival!$C$2,MOD(B114,Mode)=0),Mod_Prem,0)+IF(B114='Pre-Calculation'!$D$12,SV,0)</f>
        <v>0</v>
      </c>
      <c r="F115" s="199">
        <f>-IF(AND(D115&lt;=Revival!$C$2,MOD(B114,Mode)=0),Mod_Prem,0)-IF(D115='Cashflows_8%'!$C$7,Revival!$C$14,0)-IF(AND(D115&gt;'Cashflows_8%'!$C$7,D115&lt;=Revival!$C$12,MOD(B114,Mode)=0),Mod_Prem,0)+IF(B114=PT*12,VLOOKUP(PT*12,'Cashflows_8%'!$A$7:$N$246,14,0),0)+IF(B114='Pre-Calculation'!$D$12,PW,0)</f>
        <v>0</v>
      </c>
      <c r="G115" s="122">
        <f>-IF(AND(D115&lt;=Revival!$C$2,MOD(B114,Mode)=0),Mod_Prem,0)-IF(D115='Cashflows_8%'!$C$7,Revival!$C$14,0)-IF(AND(D115&gt;'Cashflows_8%'!$C$7,D115&lt;=Revival!$C$12,MOD(B114,Mode)=0),Mod_Prem,0)+IF(B114=PT*12,VLOOKUP(PT*12,'Cashflows_4%'!$A$7:$N$246,14,0),0)+IF(B114='Pre-Calculation'!$D$12,PW,0)</f>
        <v>0</v>
      </c>
      <c r="H115" s="122">
        <f>-IF(AND(D115&lt;=Revival!$C$2,MOD(B114,Mode)=0),Mod_Prem,0)-IF(D115='Cashflows_8%'!$C$7,Revival!$C$14,0)-IF(AND(D115&gt;'Cashflows_8%'!$C$7,D115&lt;=Revival!$C$12,MOD(B114,Mode)=0),Mod_Prem,0)+IF(B114=PT*12,VLOOKUP(PT*12,Cashflows_HIST!$A$7:$N$246,14,0),0)+IF(B114='Pre-Calculation'!$D$12,PW,0)</f>
        <v>0</v>
      </c>
    </row>
    <row r="116" ht="14.25" customHeight="1">
      <c r="B116" s="171">
        <f t="shared" si="4"/>
        <v>109</v>
      </c>
      <c r="C116" s="171">
        <f t="shared" si="5"/>
        <v>10</v>
      </c>
      <c r="D116" s="176">
        <f>EDATE(RCD,B115)</f>
        <v>45838</v>
      </c>
      <c r="E116" s="199">
        <f>-IF(AND(D116&lt;=Revival!$C$2,MOD(B115,Mode)=0),Mod_Prem,0)+IF(B115='Pre-Calculation'!$D$12,SV,0)</f>
        <v>0</v>
      </c>
      <c r="F116" s="199">
        <f>-IF(AND(D116&lt;=Revival!$C$2,MOD(B115,Mode)=0),Mod_Prem,0)-IF(D116='Cashflows_8%'!$C$7,Revival!$C$14,0)-IF(AND(D116&gt;'Cashflows_8%'!$C$7,D116&lt;=Revival!$C$12,MOD(B115,Mode)=0),Mod_Prem,0)+IF(B115=PT*12,VLOOKUP(PT*12,'Cashflows_8%'!$A$7:$N$246,14,0),0)+IF(B115='Pre-Calculation'!$D$12,PW,0)</f>
        <v>-100000</v>
      </c>
      <c r="G116" s="122">
        <f>-IF(AND(D116&lt;=Revival!$C$2,MOD(B115,Mode)=0),Mod_Prem,0)-IF(D116='Cashflows_8%'!$C$7,Revival!$C$14,0)-IF(AND(D116&gt;'Cashflows_8%'!$C$7,D116&lt;=Revival!$C$12,MOD(B115,Mode)=0),Mod_Prem,0)+IF(B115=PT*12,VLOOKUP(PT*12,'Cashflows_4%'!$A$7:$N$246,14,0),0)+IF(B115='Pre-Calculation'!$D$12,PW,0)</f>
        <v>-100000</v>
      </c>
      <c r="H116" s="122">
        <f>-IF(AND(D116&lt;=Revival!$C$2,MOD(B115,Mode)=0),Mod_Prem,0)-IF(D116='Cashflows_8%'!$C$7,Revival!$C$14,0)-IF(AND(D116&gt;'Cashflows_8%'!$C$7,D116&lt;=Revival!$C$12,MOD(B115,Mode)=0),Mod_Prem,0)+IF(B115=PT*12,VLOOKUP(PT*12,Cashflows_HIST!$A$7:$N$246,14,0),0)+IF(B115='Pre-Calculation'!$D$12,PW,0)</f>
        <v>-100000</v>
      </c>
    </row>
    <row r="117" ht="14.25" customHeight="1">
      <c r="B117" s="171">
        <f t="shared" si="4"/>
        <v>110</v>
      </c>
      <c r="C117" s="171">
        <f t="shared" si="5"/>
        <v>10</v>
      </c>
      <c r="D117" s="176">
        <f>EDATE(RCD,B116)</f>
        <v>45868</v>
      </c>
      <c r="E117" s="199">
        <f>-IF(AND(D117&lt;=Revival!$C$2,MOD(B116,Mode)=0),Mod_Prem,0)+IF(B116='Pre-Calculation'!$D$12,SV,0)</f>
        <v>0</v>
      </c>
      <c r="F117" s="199">
        <f>-IF(AND(D117&lt;=Revival!$C$2,MOD(B116,Mode)=0),Mod_Prem,0)-IF(D117='Cashflows_8%'!$C$7,Revival!$C$14,0)-IF(AND(D117&gt;'Cashflows_8%'!$C$7,D117&lt;=Revival!$C$12,MOD(B116,Mode)=0),Mod_Prem,0)+IF(B116=PT*12,VLOOKUP(PT*12,'Cashflows_8%'!$A$7:$N$246,14,0),0)+IF(B116='Pre-Calculation'!$D$12,PW,0)</f>
        <v>0</v>
      </c>
      <c r="G117" s="122">
        <f>-IF(AND(D117&lt;=Revival!$C$2,MOD(B116,Mode)=0),Mod_Prem,0)-IF(D117='Cashflows_8%'!$C$7,Revival!$C$14,0)-IF(AND(D117&gt;'Cashflows_8%'!$C$7,D117&lt;=Revival!$C$12,MOD(B116,Mode)=0),Mod_Prem,0)+IF(B116=PT*12,VLOOKUP(PT*12,'Cashflows_4%'!$A$7:$N$246,14,0),0)+IF(B116='Pre-Calculation'!$D$12,PW,0)</f>
        <v>0</v>
      </c>
      <c r="H117" s="122">
        <f>-IF(AND(D117&lt;=Revival!$C$2,MOD(B116,Mode)=0),Mod_Prem,0)-IF(D117='Cashflows_8%'!$C$7,Revival!$C$14,0)-IF(AND(D117&gt;'Cashflows_8%'!$C$7,D117&lt;=Revival!$C$12,MOD(B116,Mode)=0),Mod_Prem,0)+IF(B116=PT*12,VLOOKUP(PT*12,Cashflows_HIST!$A$7:$N$246,14,0),0)+IF(B116='Pre-Calculation'!$D$12,PW,0)</f>
        <v>0</v>
      </c>
    </row>
    <row r="118" ht="14.25" customHeight="1">
      <c r="B118" s="171">
        <f t="shared" si="4"/>
        <v>111</v>
      </c>
      <c r="C118" s="171">
        <f t="shared" si="5"/>
        <v>10</v>
      </c>
      <c r="D118" s="176">
        <f>EDATE(RCD,B117)</f>
        <v>45899</v>
      </c>
      <c r="E118" s="199">
        <f>-IF(AND(D118&lt;=Revival!$C$2,MOD(B117,Mode)=0),Mod_Prem,0)+IF(B117='Pre-Calculation'!$D$12,SV,0)</f>
        <v>0</v>
      </c>
      <c r="F118" s="199">
        <f>-IF(AND(D118&lt;=Revival!$C$2,MOD(B117,Mode)=0),Mod_Prem,0)-IF(D118='Cashflows_8%'!$C$7,Revival!$C$14,0)-IF(AND(D118&gt;'Cashflows_8%'!$C$7,D118&lt;=Revival!$C$12,MOD(B117,Mode)=0),Mod_Prem,0)+IF(B117=PT*12,VLOOKUP(PT*12,'Cashflows_8%'!$A$7:$N$246,14,0),0)+IF(B117='Pre-Calculation'!$D$12,PW,0)</f>
        <v>0</v>
      </c>
      <c r="G118" s="122">
        <f>-IF(AND(D118&lt;=Revival!$C$2,MOD(B117,Mode)=0),Mod_Prem,0)-IF(D118='Cashflows_8%'!$C$7,Revival!$C$14,0)-IF(AND(D118&gt;'Cashflows_8%'!$C$7,D118&lt;=Revival!$C$12,MOD(B117,Mode)=0),Mod_Prem,0)+IF(B117=PT*12,VLOOKUP(PT*12,'Cashflows_4%'!$A$7:$N$246,14,0),0)+IF(B117='Pre-Calculation'!$D$12,PW,0)</f>
        <v>0</v>
      </c>
      <c r="H118" s="122">
        <f>-IF(AND(D118&lt;=Revival!$C$2,MOD(B117,Mode)=0),Mod_Prem,0)-IF(D118='Cashflows_8%'!$C$7,Revival!$C$14,0)-IF(AND(D118&gt;'Cashflows_8%'!$C$7,D118&lt;=Revival!$C$12,MOD(B117,Mode)=0),Mod_Prem,0)+IF(B117=PT*12,VLOOKUP(PT*12,Cashflows_HIST!$A$7:$N$246,14,0),0)+IF(B117='Pre-Calculation'!$D$12,PW,0)</f>
        <v>0</v>
      </c>
    </row>
    <row r="119" ht="14.25" customHeight="1">
      <c r="B119" s="171">
        <f t="shared" si="4"/>
        <v>112</v>
      </c>
      <c r="C119" s="171">
        <f t="shared" si="5"/>
        <v>10</v>
      </c>
      <c r="D119" s="176">
        <f>EDATE(RCD,B118)</f>
        <v>45930</v>
      </c>
      <c r="E119" s="199">
        <f>-IF(AND(D119&lt;=Revival!$C$2,MOD(B118,Mode)=0),Mod_Prem,0)+IF(B118='Pre-Calculation'!$D$12,SV,0)</f>
        <v>0</v>
      </c>
      <c r="F119" s="199">
        <f>-IF(AND(D119&lt;=Revival!$C$2,MOD(B118,Mode)=0),Mod_Prem,0)-IF(D119='Cashflows_8%'!$C$7,Revival!$C$14,0)-IF(AND(D119&gt;'Cashflows_8%'!$C$7,D119&lt;=Revival!$C$12,MOD(B118,Mode)=0),Mod_Prem,0)+IF(B118=PT*12,VLOOKUP(PT*12,'Cashflows_8%'!$A$7:$N$246,14,0),0)+IF(B118='Pre-Calculation'!$D$12,PW,0)</f>
        <v>0</v>
      </c>
      <c r="G119" s="122">
        <f>-IF(AND(D119&lt;=Revival!$C$2,MOD(B118,Mode)=0),Mod_Prem,0)-IF(D119='Cashflows_8%'!$C$7,Revival!$C$14,0)-IF(AND(D119&gt;'Cashflows_8%'!$C$7,D119&lt;=Revival!$C$12,MOD(B118,Mode)=0),Mod_Prem,0)+IF(B118=PT*12,VLOOKUP(PT*12,'Cashflows_4%'!$A$7:$N$246,14,0),0)+IF(B118='Pre-Calculation'!$D$12,PW,0)</f>
        <v>0</v>
      </c>
      <c r="H119" s="122">
        <f>-IF(AND(D119&lt;=Revival!$C$2,MOD(B118,Mode)=0),Mod_Prem,0)-IF(D119='Cashflows_8%'!$C$7,Revival!$C$14,0)-IF(AND(D119&gt;'Cashflows_8%'!$C$7,D119&lt;=Revival!$C$12,MOD(B118,Mode)=0),Mod_Prem,0)+IF(B118=PT*12,VLOOKUP(PT*12,Cashflows_HIST!$A$7:$N$246,14,0),0)+IF(B118='Pre-Calculation'!$D$12,PW,0)</f>
        <v>0</v>
      </c>
    </row>
    <row r="120" ht="14.25" customHeight="1">
      <c r="B120" s="171">
        <f t="shared" si="4"/>
        <v>113</v>
      </c>
      <c r="C120" s="171">
        <f t="shared" si="5"/>
        <v>10</v>
      </c>
      <c r="D120" s="176">
        <f>EDATE(RCD,B119)</f>
        <v>45960</v>
      </c>
      <c r="E120" s="199">
        <f>-IF(AND(D120&lt;=Revival!$C$2,MOD(B119,Mode)=0),Mod_Prem,0)+IF(B119='Pre-Calculation'!$D$12,SV,0)</f>
        <v>0</v>
      </c>
      <c r="F120" s="199">
        <f>-IF(AND(D120&lt;=Revival!$C$2,MOD(B119,Mode)=0),Mod_Prem,0)-IF(D120='Cashflows_8%'!$C$7,Revival!$C$14,0)-IF(AND(D120&gt;'Cashflows_8%'!$C$7,D120&lt;=Revival!$C$12,MOD(B119,Mode)=0),Mod_Prem,0)+IF(B119=PT*12,VLOOKUP(PT*12,'Cashflows_8%'!$A$7:$N$246,14,0),0)+IF(B119='Pre-Calculation'!$D$12,PW,0)</f>
        <v>0</v>
      </c>
      <c r="G120" s="122">
        <f>-IF(AND(D120&lt;=Revival!$C$2,MOD(B119,Mode)=0),Mod_Prem,0)-IF(D120='Cashflows_8%'!$C$7,Revival!$C$14,0)-IF(AND(D120&gt;'Cashflows_8%'!$C$7,D120&lt;=Revival!$C$12,MOD(B119,Mode)=0),Mod_Prem,0)+IF(B119=PT*12,VLOOKUP(PT*12,'Cashflows_4%'!$A$7:$N$246,14,0),0)+IF(B119='Pre-Calculation'!$D$12,PW,0)</f>
        <v>0</v>
      </c>
      <c r="H120" s="122">
        <f>-IF(AND(D120&lt;=Revival!$C$2,MOD(B119,Mode)=0),Mod_Prem,0)-IF(D120='Cashflows_8%'!$C$7,Revival!$C$14,0)-IF(AND(D120&gt;'Cashflows_8%'!$C$7,D120&lt;=Revival!$C$12,MOD(B119,Mode)=0),Mod_Prem,0)+IF(B119=PT*12,VLOOKUP(PT*12,Cashflows_HIST!$A$7:$N$246,14,0),0)+IF(B119='Pre-Calculation'!$D$12,PW,0)</f>
        <v>0</v>
      </c>
    </row>
    <row r="121" ht="14.25" customHeight="1">
      <c r="B121" s="171">
        <f t="shared" si="4"/>
        <v>114</v>
      </c>
      <c r="C121" s="171">
        <f t="shared" si="5"/>
        <v>10</v>
      </c>
      <c r="D121" s="176">
        <f>EDATE(RCD,B120)</f>
        <v>45991</v>
      </c>
      <c r="E121" s="199">
        <f>-IF(AND(D121&lt;=Revival!$C$2,MOD(B120,Mode)=0),Mod_Prem,0)+IF(B120='Pre-Calculation'!$D$12,SV,0)</f>
        <v>0</v>
      </c>
      <c r="F121" s="199">
        <f>-IF(AND(D121&lt;=Revival!$C$2,MOD(B120,Mode)=0),Mod_Prem,0)-IF(D121='Cashflows_8%'!$C$7,Revival!$C$14,0)-IF(AND(D121&gt;'Cashflows_8%'!$C$7,D121&lt;=Revival!$C$12,MOD(B120,Mode)=0),Mod_Prem,0)+IF(B120=PT*12,VLOOKUP(PT*12,'Cashflows_8%'!$A$7:$N$246,14,0),0)+IF(B120='Pre-Calculation'!$D$12,PW,0)</f>
        <v>0</v>
      </c>
      <c r="G121" s="122">
        <f>-IF(AND(D121&lt;=Revival!$C$2,MOD(B120,Mode)=0),Mod_Prem,0)-IF(D121='Cashflows_8%'!$C$7,Revival!$C$14,0)-IF(AND(D121&gt;'Cashflows_8%'!$C$7,D121&lt;=Revival!$C$12,MOD(B120,Mode)=0),Mod_Prem,0)+IF(B120=PT*12,VLOOKUP(PT*12,'Cashflows_4%'!$A$7:$N$246,14,0),0)+IF(B120='Pre-Calculation'!$D$12,PW,0)</f>
        <v>0</v>
      </c>
      <c r="H121" s="122">
        <f>-IF(AND(D121&lt;=Revival!$C$2,MOD(B120,Mode)=0),Mod_Prem,0)-IF(D121='Cashflows_8%'!$C$7,Revival!$C$14,0)-IF(AND(D121&gt;'Cashflows_8%'!$C$7,D121&lt;=Revival!$C$12,MOD(B120,Mode)=0),Mod_Prem,0)+IF(B120=PT*12,VLOOKUP(PT*12,Cashflows_HIST!$A$7:$N$246,14,0),0)+IF(B120='Pre-Calculation'!$D$12,PW,0)</f>
        <v>0</v>
      </c>
    </row>
    <row r="122" ht="14.25" customHeight="1">
      <c r="B122" s="171">
        <f t="shared" si="4"/>
        <v>115</v>
      </c>
      <c r="C122" s="171">
        <f t="shared" si="5"/>
        <v>10</v>
      </c>
      <c r="D122" s="176">
        <f>EDATE(RCD,B121)</f>
        <v>46021</v>
      </c>
      <c r="E122" s="199">
        <f>-IF(AND(D122&lt;=Revival!$C$2,MOD(B121,Mode)=0),Mod_Prem,0)+IF(B121='Pre-Calculation'!$D$12,SV,0)</f>
        <v>0</v>
      </c>
      <c r="F122" s="199">
        <f>-IF(AND(D122&lt;=Revival!$C$2,MOD(B121,Mode)=0),Mod_Prem,0)-IF(D122='Cashflows_8%'!$C$7,Revival!$C$14,0)-IF(AND(D122&gt;'Cashflows_8%'!$C$7,D122&lt;=Revival!$C$12,MOD(B121,Mode)=0),Mod_Prem,0)+IF(B121=PT*12,VLOOKUP(PT*12,'Cashflows_8%'!$A$7:$N$246,14,0),0)+IF(B121='Pre-Calculation'!$D$12,PW,0)</f>
        <v>0</v>
      </c>
      <c r="G122" s="122">
        <f>-IF(AND(D122&lt;=Revival!$C$2,MOD(B121,Mode)=0),Mod_Prem,0)-IF(D122='Cashflows_8%'!$C$7,Revival!$C$14,0)-IF(AND(D122&gt;'Cashflows_8%'!$C$7,D122&lt;=Revival!$C$12,MOD(B121,Mode)=0),Mod_Prem,0)+IF(B121=PT*12,VLOOKUP(PT*12,'Cashflows_4%'!$A$7:$N$246,14,0),0)+IF(B121='Pre-Calculation'!$D$12,PW,0)</f>
        <v>0</v>
      </c>
      <c r="H122" s="122">
        <f>-IF(AND(D122&lt;=Revival!$C$2,MOD(B121,Mode)=0),Mod_Prem,0)-IF(D122='Cashflows_8%'!$C$7,Revival!$C$14,0)-IF(AND(D122&gt;'Cashflows_8%'!$C$7,D122&lt;=Revival!$C$12,MOD(B121,Mode)=0),Mod_Prem,0)+IF(B121=PT*12,VLOOKUP(PT*12,Cashflows_HIST!$A$7:$N$246,14,0),0)+IF(B121='Pre-Calculation'!$D$12,PW,0)</f>
        <v>0</v>
      </c>
    </row>
    <row r="123" ht="14.25" customHeight="1">
      <c r="B123" s="171">
        <f t="shared" si="4"/>
        <v>116</v>
      </c>
      <c r="C123" s="171">
        <f t="shared" si="5"/>
        <v>10</v>
      </c>
      <c r="D123" s="176">
        <f>EDATE(RCD,B122)</f>
        <v>46052</v>
      </c>
      <c r="E123" s="199">
        <f>-IF(AND(D123&lt;=Revival!$C$2,MOD(B122,Mode)=0),Mod_Prem,0)+IF(B122='Pre-Calculation'!$D$12,SV,0)</f>
        <v>0</v>
      </c>
      <c r="F123" s="199">
        <f>-IF(AND(D123&lt;=Revival!$C$2,MOD(B122,Mode)=0),Mod_Prem,0)-IF(D123='Cashflows_8%'!$C$7,Revival!$C$14,0)-IF(AND(D123&gt;'Cashflows_8%'!$C$7,D123&lt;=Revival!$C$12,MOD(B122,Mode)=0),Mod_Prem,0)+IF(B122=PT*12,VLOOKUP(PT*12,'Cashflows_8%'!$A$7:$N$246,14,0),0)+IF(B122='Pre-Calculation'!$D$12,PW,0)</f>
        <v>0</v>
      </c>
      <c r="G123" s="122">
        <f>-IF(AND(D123&lt;=Revival!$C$2,MOD(B122,Mode)=0),Mod_Prem,0)-IF(D123='Cashflows_8%'!$C$7,Revival!$C$14,0)-IF(AND(D123&gt;'Cashflows_8%'!$C$7,D123&lt;=Revival!$C$12,MOD(B122,Mode)=0),Mod_Prem,0)+IF(B122=PT*12,VLOOKUP(PT*12,'Cashflows_4%'!$A$7:$N$246,14,0),0)+IF(B122='Pre-Calculation'!$D$12,PW,0)</f>
        <v>0</v>
      </c>
      <c r="H123" s="122">
        <f>-IF(AND(D123&lt;=Revival!$C$2,MOD(B122,Mode)=0),Mod_Prem,0)-IF(D123='Cashflows_8%'!$C$7,Revival!$C$14,0)-IF(AND(D123&gt;'Cashflows_8%'!$C$7,D123&lt;=Revival!$C$12,MOD(B122,Mode)=0),Mod_Prem,0)+IF(B122=PT*12,VLOOKUP(PT*12,Cashflows_HIST!$A$7:$N$246,14,0),0)+IF(B122='Pre-Calculation'!$D$12,PW,0)</f>
        <v>0</v>
      </c>
    </row>
    <row r="124" ht="14.25" customHeight="1">
      <c r="B124" s="171">
        <f t="shared" si="4"/>
        <v>117</v>
      </c>
      <c r="C124" s="171">
        <f t="shared" si="5"/>
        <v>10</v>
      </c>
      <c r="D124" s="176">
        <f>EDATE(RCD,B123)</f>
        <v>46081</v>
      </c>
      <c r="E124" s="199">
        <f>-IF(AND(D124&lt;=Revival!$C$2,MOD(B123,Mode)=0),Mod_Prem,0)+IF(B123='Pre-Calculation'!$D$12,SV,0)</f>
        <v>0</v>
      </c>
      <c r="F124" s="199">
        <f>-IF(AND(D124&lt;=Revival!$C$2,MOD(B123,Mode)=0),Mod_Prem,0)-IF(D124='Cashflows_8%'!$C$7,Revival!$C$14,0)-IF(AND(D124&gt;'Cashflows_8%'!$C$7,D124&lt;=Revival!$C$12,MOD(B123,Mode)=0),Mod_Prem,0)+IF(B123=PT*12,VLOOKUP(PT*12,'Cashflows_8%'!$A$7:$N$246,14,0),0)+IF(B123='Pre-Calculation'!$D$12,PW,0)</f>
        <v>0</v>
      </c>
      <c r="G124" s="122">
        <f>-IF(AND(D124&lt;=Revival!$C$2,MOD(B123,Mode)=0),Mod_Prem,0)-IF(D124='Cashflows_8%'!$C$7,Revival!$C$14,0)-IF(AND(D124&gt;'Cashflows_8%'!$C$7,D124&lt;=Revival!$C$12,MOD(B123,Mode)=0),Mod_Prem,0)+IF(B123=PT*12,VLOOKUP(PT*12,'Cashflows_4%'!$A$7:$N$246,14,0),0)+IF(B123='Pre-Calculation'!$D$12,PW,0)</f>
        <v>0</v>
      </c>
      <c r="H124" s="122">
        <f>-IF(AND(D124&lt;=Revival!$C$2,MOD(B123,Mode)=0),Mod_Prem,0)-IF(D124='Cashflows_8%'!$C$7,Revival!$C$14,0)-IF(AND(D124&gt;'Cashflows_8%'!$C$7,D124&lt;=Revival!$C$12,MOD(B123,Mode)=0),Mod_Prem,0)+IF(B123=PT*12,VLOOKUP(PT*12,Cashflows_HIST!$A$7:$N$246,14,0),0)+IF(B123='Pre-Calculation'!$D$12,PW,0)</f>
        <v>0</v>
      </c>
    </row>
    <row r="125" ht="14.25" customHeight="1">
      <c r="B125" s="171">
        <f t="shared" si="4"/>
        <v>118</v>
      </c>
      <c r="C125" s="171">
        <f t="shared" si="5"/>
        <v>10</v>
      </c>
      <c r="D125" s="176">
        <f>EDATE(RCD,B124)</f>
        <v>46111</v>
      </c>
      <c r="E125" s="199">
        <f>-IF(AND(D125&lt;=Revival!$C$2,MOD(B124,Mode)=0),Mod_Prem,0)+IF(B124='Pre-Calculation'!$D$12,SV,0)</f>
        <v>0</v>
      </c>
      <c r="F125" s="199">
        <f>-IF(AND(D125&lt;=Revival!$C$2,MOD(B124,Mode)=0),Mod_Prem,0)-IF(D125='Cashflows_8%'!$C$7,Revival!$C$14,0)-IF(AND(D125&gt;'Cashflows_8%'!$C$7,D125&lt;=Revival!$C$12,MOD(B124,Mode)=0),Mod_Prem,0)+IF(B124=PT*12,VLOOKUP(PT*12,'Cashflows_8%'!$A$7:$N$246,14,0),0)+IF(B124='Pre-Calculation'!$D$12,PW,0)</f>
        <v>0</v>
      </c>
      <c r="G125" s="122">
        <f>-IF(AND(D125&lt;=Revival!$C$2,MOD(B124,Mode)=0),Mod_Prem,0)-IF(D125='Cashflows_8%'!$C$7,Revival!$C$14,0)-IF(AND(D125&gt;'Cashflows_8%'!$C$7,D125&lt;=Revival!$C$12,MOD(B124,Mode)=0),Mod_Prem,0)+IF(B124=PT*12,VLOOKUP(PT*12,'Cashflows_4%'!$A$7:$N$246,14,0),0)+IF(B124='Pre-Calculation'!$D$12,PW,0)</f>
        <v>0</v>
      </c>
      <c r="H125" s="122">
        <f>-IF(AND(D125&lt;=Revival!$C$2,MOD(B124,Mode)=0),Mod_Prem,0)-IF(D125='Cashflows_8%'!$C$7,Revival!$C$14,0)-IF(AND(D125&gt;'Cashflows_8%'!$C$7,D125&lt;=Revival!$C$12,MOD(B124,Mode)=0),Mod_Prem,0)+IF(B124=PT*12,VLOOKUP(PT*12,Cashflows_HIST!$A$7:$N$246,14,0),0)+IF(B124='Pre-Calculation'!$D$12,PW,0)</f>
        <v>0</v>
      </c>
    </row>
    <row r="126" ht="14.25" customHeight="1">
      <c r="B126" s="171">
        <f t="shared" si="4"/>
        <v>119</v>
      </c>
      <c r="C126" s="171">
        <f t="shared" si="5"/>
        <v>10</v>
      </c>
      <c r="D126" s="176">
        <f>EDATE(RCD,B125)</f>
        <v>46142</v>
      </c>
      <c r="E126" s="199">
        <f>-IF(AND(D126&lt;=Revival!$C$2,MOD(B125,Mode)=0),Mod_Prem,0)+IF(B125='Pre-Calculation'!$D$12,SV,0)</f>
        <v>0</v>
      </c>
      <c r="F126" s="199">
        <f>-IF(AND(D126&lt;=Revival!$C$2,MOD(B125,Mode)=0),Mod_Prem,0)-IF(D126='Cashflows_8%'!$C$7,Revival!$C$14,0)-IF(AND(D126&gt;'Cashflows_8%'!$C$7,D126&lt;=Revival!$C$12,MOD(B125,Mode)=0),Mod_Prem,0)+IF(B125=PT*12,VLOOKUP(PT*12,'Cashflows_8%'!$A$7:$N$246,14,0),0)+IF(B125='Pre-Calculation'!$D$12,PW,0)</f>
        <v>0</v>
      </c>
      <c r="G126" s="122">
        <f>-IF(AND(D126&lt;=Revival!$C$2,MOD(B125,Mode)=0),Mod_Prem,0)-IF(D126='Cashflows_8%'!$C$7,Revival!$C$14,0)-IF(AND(D126&gt;'Cashflows_8%'!$C$7,D126&lt;=Revival!$C$12,MOD(B125,Mode)=0),Mod_Prem,0)+IF(B125=PT*12,VLOOKUP(PT*12,'Cashflows_4%'!$A$7:$N$246,14,0),0)+IF(B125='Pre-Calculation'!$D$12,PW,0)</f>
        <v>0</v>
      </c>
      <c r="H126" s="122">
        <f>-IF(AND(D126&lt;=Revival!$C$2,MOD(B125,Mode)=0),Mod_Prem,0)-IF(D126='Cashflows_8%'!$C$7,Revival!$C$14,0)-IF(AND(D126&gt;'Cashflows_8%'!$C$7,D126&lt;=Revival!$C$12,MOD(B125,Mode)=0),Mod_Prem,0)+IF(B125=PT*12,VLOOKUP(PT*12,Cashflows_HIST!$A$7:$N$246,14,0),0)+IF(B125='Pre-Calculation'!$D$12,PW,0)</f>
        <v>0</v>
      </c>
    </row>
    <row r="127" ht="14.25" customHeight="1">
      <c r="B127" s="171">
        <f t="shared" si="4"/>
        <v>120</v>
      </c>
      <c r="C127" s="171">
        <f t="shared" si="5"/>
        <v>10</v>
      </c>
      <c r="D127" s="176">
        <f>EDATE(RCD,B126)</f>
        <v>46172</v>
      </c>
      <c r="E127" s="199">
        <f>-IF(AND(D127&lt;=Revival!$C$2,MOD(B126,Mode)=0),Mod_Prem,0)+IF(B126='Pre-Calculation'!$D$12,SV,0)</f>
        <v>0</v>
      </c>
      <c r="F127" s="199">
        <f>-IF(AND(D127&lt;=Revival!$C$2,MOD(B126,Mode)=0),Mod_Prem,0)-IF(D127='Cashflows_8%'!$C$7,Revival!$C$14,0)-IF(AND(D127&gt;'Cashflows_8%'!$C$7,D127&lt;=Revival!$C$12,MOD(B126,Mode)=0),Mod_Prem,0)+IF(B126=PT*12,VLOOKUP(PT*12,'Cashflows_8%'!$A$7:$N$246,14,0),0)+IF(B126='Pre-Calculation'!$D$12,PW,0)</f>
        <v>0</v>
      </c>
      <c r="G127" s="122">
        <f>-IF(AND(D127&lt;=Revival!$C$2,MOD(B126,Mode)=0),Mod_Prem,0)-IF(D127='Cashflows_8%'!$C$7,Revival!$C$14,0)-IF(AND(D127&gt;'Cashflows_8%'!$C$7,D127&lt;=Revival!$C$12,MOD(B126,Mode)=0),Mod_Prem,0)+IF(B126=PT*12,VLOOKUP(PT*12,'Cashflows_4%'!$A$7:$N$246,14,0),0)+IF(B126='Pre-Calculation'!$D$12,PW,0)</f>
        <v>0</v>
      </c>
      <c r="H127" s="122">
        <f>-IF(AND(D127&lt;=Revival!$C$2,MOD(B126,Mode)=0),Mod_Prem,0)-IF(D127='Cashflows_8%'!$C$7,Revival!$C$14,0)-IF(AND(D127&gt;'Cashflows_8%'!$C$7,D127&lt;=Revival!$C$12,MOD(B126,Mode)=0),Mod_Prem,0)+IF(B126=PT*12,VLOOKUP(PT*12,Cashflows_HIST!$A$7:$N$246,14,0),0)+IF(B126='Pre-Calculation'!$D$12,PW,0)</f>
        <v>0</v>
      </c>
    </row>
    <row r="128" ht="14.25" customHeight="1">
      <c r="B128" s="171">
        <f t="shared" si="4"/>
        <v>121</v>
      </c>
      <c r="C128" s="171">
        <f t="shared" si="5"/>
        <v>11</v>
      </c>
      <c r="D128" s="176">
        <f>EDATE(RCD,B127)</f>
        <v>46203</v>
      </c>
      <c r="E128" s="199">
        <f>-IF(AND(D128&lt;=Revival!$C$2,MOD(B127,Mode)=0),Mod_Prem,0)+IF(B127='Pre-Calculation'!$D$12,SV,0)</f>
        <v>0</v>
      </c>
      <c r="F128" s="199">
        <f>-IF(AND(D128&lt;=Revival!$C$2,MOD(B127,Mode)=0),Mod_Prem,0)-IF(D128='Cashflows_8%'!$C$7,Revival!$C$14,0)-IF(AND(D128&gt;'Cashflows_8%'!$C$7,D128&lt;=Revival!$C$12,MOD(B127,Mode)=0),Mod_Prem,0)+IF(B127=PT*12,VLOOKUP(PT*12,'Cashflows_8%'!$A$7:$N$246,14,0),0)+IF(B127='Pre-Calculation'!$D$12,PW,0)</f>
        <v>1414802.983</v>
      </c>
      <c r="G128" s="122">
        <f>-IF(AND(D128&lt;=Revival!$C$2,MOD(B127,Mode)=0),Mod_Prem,0)-IF(D128='Cashflows_8%'!$C$7,Revival!$C$14,0)-IF(AND(D128&gt;'Cashflows_8%'!$C$7,D128&lt;=Revival!$C$12,MOD(B127,Mode)=0),Mod_Prem,0)+IF(B127=PT*12,VLOOKUP(PT*12,'Cashflows_4%'!$A$7:$N$246,14,0),0)+IF(B127='Pre-Calculation'!$D$12,PW,0)</f>
        <v>1203329.259</v>
      </c>
      <c r="H128" s="122">
        <f>-IF(AND(D128&lt;=Revival!$C$2,MOD(B127,Mode)=0),Mod_Prem,0)-IF(D128='Cashflows_8%'!$C$7,Revival!$C$14,0)-IF(AND(D128&gt;'Cashflows_8%'!$C$7,D128&lt;=Revival!$C$12,MOD(B127,Mode)=0),Mod_Prem,0)+IF(B127=PT*12,VLOOKUP(PT*12,Cashflows_HIST!$A$7:$N$246,14,0),0)+IF(B127='Pre-Calculation'!$D$12,PW,0)</f>
        <v>1915447.92</v>
      </c>
    </row>
    <row r="129" ht="14.25" customHeight="1">
      <c r="B129" s="171">
        <f t="shared" si="4"/>
        <v>122</v>
      </c>
      <c r="C129" s="171">
        <f t="shared" si="5"/>
        <v>11</v>
      </c>
      <c r="D129" s="176">
        <f>EDATE(RCD,B128)</f>
        <v>46233</v>
      </c>
      <c r="E129" s="199">
        <f>-IF(AND(D129&lt;=Revival!$C$2,MOD(B128,Mode)=0),Mod_Prem,0)+IF(B128='Pre-Calculation'!$D$12,SV,0)</f>
        <v>0</v>
      </c>
      <c r="F129" s="199">
        <f>-IF(AND(D129&lt;=Revival!$C$2,MOD(B128,Mode)=0),Mod_Prem,0)-IF(D129='Cashflows_8%'!$C$7,Revival!$C$14,0)-IF(AND(D129&gt;'Cashflows_8%'!$C$7,D129&lt;=Revival!$C$12,MOD(B128,Mode)=0),Mod_Prem,0)+IF(B128=PT*12,VLOOKUP(PT*12,'Cashflows_8%'!$A$7:$N$246,14,0),0)+IF(B128='Pre-Calculation'!$D$12,PW,0)</f>
        <v>0</v>
      </c>
      <c r="G129" s="122">
        <f>-IF(AND(D129&lt;=Revival!$C$2,MOD(B128,Mode)=0),Mod_Prem,0)-IF(D129='Cashflows_8%'!$C$7,Revival!$C$14,0)-IF(AND(D129&gt;'Cashflows_8%'!$C$7,D129&lt;=Revival!$C$12,MOD(B128,Mode)=0),Mod_Prem,0)+IF(B128=PT*12,VLOOKUP(PT*12,'Cashflows_4%'!$A$7:$N$246,14,0),0)+IF(B128='Pre-Calculation'!$D$12,PW,0)</f>
        <v>0</v>
      </c>
      <c r="H129" s="122">
        <f>-IF(AND(D129&lt;=Revival!$C$2,MOD(B128,Mode)=0),Mod_Prem,0)-IF(D129='Cashflows_8%'!$C$7,Revival!$C$14,0)-IF(AND(D129&gt;'Cashflows_8%'!$C$7,D129&lt;=Revival!$C$12,MOD(B128,Mode)=0),Mod_Prem,0)+IF(B128=PT*12,VLOOKUP(PT*12,Cashflows_HIST!$A$7:$N$246,14,0),0)+IF(B128='Pre-Calculation'!$D$12,PW,0)</f>
        <v>0</v>
      </c>
    </row>
    <row r="130" ht="14.25" customHeight="1">
      <c r="B130" s="171">
        <f t="shared" si="4"/>
        <v>123</v>
      </c>
      <c r="C130" s="171">
        <f t="shared" si="5"/>
        <v>11</v>
      </c>
      <c r="D130" s="176">
        <f>EDATE(RCD,B129)</f>
        <v>46264</v>
      </c>
      <c r="E130" s="199">
        <f>-IF(AND(D130&lt;=Revival!$C$2,MOD(B129,Mode)=0),Mod_Prem,0)+IF(B129='Pre-Calculation'!$D$12,SV,0)</f>
        <v>0</v>
      </c>
      <c r="F130" s="199">
        <f>-IF(AND(D130&lt;=Revival!$C$2,MOD(B129,Mode)=0),Mod_Prem,0)-IF(D130='Cashflows_8%'!$C$7,Revival!$C$14,0)-IF(AND(D130&gt;'Cashflows_8%'!$C$7,D130&lt;=Revival!$C$12,MOD(B129,Mode)=0),Mod_Prem,0)+IF(B129=PT*12,VLOOKUP(PT*12,'Cashflows_8%'!$A$7:$N$246,14,0),0)+IF(B129='Pre-Calculation'!$D$12,PW,0)</f>
        <v>0</v>
      </c>
      <c r="G130" s="122">
        <f>-IF(AND(D130&lt;=Revival!$C$2,MOD(B129,Mode)=0),Mod_Prem,0)-IF(D130='Cashflows_8%'!$C$7,Revival!$C$14,0)-IF(AND(D130&gt;'Cashflows_8%'!$C$7,D130&lt;=Revival!$C$12,MOD(B129,Mode)=0),Mod_Prem,0)+IF(B129=PT*12,VLOOKUP(PT*12,'Cashflows_4%'!$A$7:$N$246,14,0),0)+IF(B129='Pre-Calculation'!$D$12,PW,0)</f>
        <v>0</v>
      </c>
      <c r="H130" s="122">
        <f>-IF(AND(D130&lt;=Revival!$C$2,MOD(B129,Mode)=0),Mod_Prem,0)-IF(D130='Cashflows_8%'!$C$7,Revival!$C$14,0)-IF(AND(D130&gt;'Cashflows_8%'!$C$7,D130&lt;=Revival!$C$12,MOD(B129,Mode)=0),Mod_Prem,0)+IF(B129=PT*12,VLOOKUP(PT*12,Cashflows_HIST!$A$7:$N$246,14,0),0)+IF(B129='Pre-Calculation'!$D$12,PW,0)</f>
        <v>0</v>
      </c>
    </row>
    <row r="131" ht="14.25" customHeight="1">
      <c r="B131" s="171">
        <f t="shared" si="4"/>
        <v>124</v>
      </c>
      <c r="C131" s="171">
        <f t="shared" si="5"/>
        <v>11</v>
      </c>
      <c r="D131" s="176">
        <f>EDATE(RCD,B130)</f>
        <v>46295</v>
      </c>
      <c r="E131" s="199">
        <f>-IF(AND(D131&lt;=Revival!$C$2,MOD(B130,Mode)=0),Mod_Prem,0)+IF(B130='Pre-Calculation'!$D$12,SV,0)</f>
        <v>0</v>
      </c>
      <c r="F131" s="199">
        <f>-IF(AND(D131&lt;=Revival!$C$2,MOD(B130,Mode)=0),Mod_Prem,0)-IF(D131='Cashflows_8%'!$C$7,Revival!$C$14,0)-IF(AND(D131&gt;'Cashflows_8%'!$C$7,D131&lt;=Revival!$C$12,MOD(B130,Mode)=0),Mod_Prem,0)+IF(B130=PT*12,VLOOKUP(PT*12,'Cashflows_8%'!$A$7:$N$246,14,0),0)+IF(B130='Pre-Calculation'!$D$12,PW,0)</f>
        <v>0</v>
      </c>
      <c r="G131" s="122">
        <f>-IF(AND(D131&lt;=Revival!$C$2,MOD(B130,Mode)=0),Mod_Prem,0)-IF(D131='Cashflows_8%'!$C$7,Revival!$C$14,0)-IF(AND(D131&gt;'Cashflows_8%'!$C$7,D131&lt;=Revival!$C$12,MOD(B130,Mode)=0),Mod_Prem,0)+IF(B130=PT*12,VLOOKUP(PT*12,'Cashflows_4%'!$A$7:$N$246,14,0),0)+IF(B130='Pre-Calculation'!$D$12,PW,0)</f>
        <v>0</v>
      </c>
      <c r="H131" s="122">
        <f>-IF(AND(D131&lt;=Revival!$C$2,MOD(B130,Mode)=0),Mod_Prem,0)-IF(D131='Cashflows_8%'!$C$7,Revival!$C$14,0)-IF(AND(D131&gt;'Cashflows_8%'!$C$7,D131&lt;=Revival!$C$12,MOD(B130,Mode)=0),Mod_Prem,0)+IF(B130=PT*12,VLOOKUP(PT*12,Cashflows_HIST!$A$7:$N$246,14,0),0)+IF(B130='Pre-Calculation'!$D$12,PW,0)</f>
        <v>0</v>
      </c>
    </row>
    <row r="132" ht="14.25" customHeight="1">
      <c r="B132" s="171">
        <f t="shared" si="4"/>
        <v>125</v>
      </c>
      <c r="C132" s="171">
        <f t="shared" si="5"/>
        <v>11</v>
      </c>
      <c r="D132" s="176">
        <f>EDATE(RCD,B131)</f>
        <v>46325</v>
      </c>
      <c r="E132" s="199">
        <f>-IF(AND(D132&lt;=Revival!$C$2,MOD(B131,Mode)=0),Mod_Prem,0)+IF(B131='Pre-Calculation'!$D$12,SV,0)</f>
        <v>0</v>
      </c>
      <c r="F132" s="199">
        <f>-IF(AND(D132&lt;=Revival!$C$2,MOD(B131,Mode)=0),Mod_Prem,0)-IF(D132='Cashflows_8%'!$C$7,Revival!$C$14,0)-IF(AND(D132&gt;'Cashflows_8%'!$C$7,D132&lt;=Revival!$C$12,MOD(B131,Mode)=0),Mod_Prem,0)+IF(B131=PT*12,VLOOKUP(PT*12,'Cashflows_8%'!$A$7:$N$246,14,0),0)+IF(B131='Pre-Calculation'!$D$12,PW,0)</f>
        <v>0</v>
      </c>
      <c r="G132" s="122">
        <f>-IF(AND(D132&lt;=Revival!$C$2,MOD(B131,Mode)=0),Mod_Prem,0)-IF(D132='Cashflows_8%'!$C$7,Revival!$C$14,0)-IF(AND(D132&gt;'Cashflows_8%'!$C$7,D132&lt;=Revival!$C$12,MOD(B131,Mode)=0),Mod_Prem,0)+IF(B131=PT*12,VLOOKUP(PT*12,'Cashflows_4%'!$A$7:$N$246,14,0),0)+IF(B131='Pre-Calculation'!$D$12,PW,0)</f>
        <v>0</v>
      </c>
      <c r="H132" s="122">
        <f>-IF(AND(D132&lt;=Revival!$C$2,MOD(B131,Mode)=0),Mod_Prem,0)-IF(D132='Cashflows_8%'!$C$7,Revival!$C$14,0)-IF(AND(D132&gt;'Cashflows_8%'!$C$7,D132&lt;=Revival!$C$12,MOD(B131,Mode)=0),Mod_Prem,0)+IF(B131=PT*12,VLOOKUP(PT*12,Cashflows_HIST!$A$7:$N$246,14,0),0)+IF(B131='Pre-Calculation'!$D$12,PW,0)</f>
        <v>0</v>
      </c>
    </row>
    <row r="133" ht="14.25" customHeight="1">
      <c r="B133" s="171">
        <f t="shared" si="4"/>
        <v>126</v>
      </c>
      <c r="C133" s="171">
        <f t="shared" si="5"/>
        <v>11</v>
      </c>
      <c r="D133" s="176">
        <f>EDATE(RCD,B132)</f>
        <v>46356</v>
      </c>
      <c r="E133" s="199">
        <f>-IF(AND(D133&lt;=Revival!$C$2,MOD(B132,Mode)=0),Mod_Prem,0)+IF(B132='Pre-Calculation'!$D$12,SV,0)</f>
        <v>0</v>
      </c>
      <c r="F133" s="199">
        <f>-IF(AND(D133&lt;=Revival!$C$2,MOD(B132,Mode)=0),Mod_Prem,0)-IF(D133='Cashflows_8%'!$C$7,Revival!$C$14,0)-IF(AND(D133&gt;'Cashflows_8%'!$C$7,D133&lt;=Revival!$C$12,MOD(B132,Mode)=0),Mod_Prem,0)+IF(B132=PT*12,VLOOKUP(PT*12,'Cashflows_8%'!$A$7:$N$246,14,0),0)+IF(B132='Pre-Calculation'!$D$12,PW,0)</f>
        <v>0</v>
      </c>
      <c r="G133" s="122">
        <f>-IF(AND(D133&lt;=Revival!$C$2,MOD(B132,Mode)=0),Mod_Prem,0)-IF(D133='Cashflows_8%'!$C$7,Revival!$C$14,0)-IF(AND(D133&gt;'Cashflows_8%'!$C$7,D133&lt;=Revival!$C$12,MOD(B132,Mode)=0),Mod_Prem,0)+IF(B132=PT*12,VLOOKUP(PT*12,'Cashflows_4%'!$A$7:$N$246,14,0),0)+IF(B132='Pre-Calculation'!$D$12,PW,0)</f>
        <v>0</v>
      </c>
      <c r="H133" s="122">
        <f>-IF(AND(D133&lt;=Revival!$C$2,MOD(B132,Mode)=0),Mod_Prem,0)-IF(D133='Cashflows_8%'!$C$7,Revival!$C$14,0)-IF(AND(D133&gt;'Cashflows_8%'!$C$7,D133&lt;=Revival!$C$12,MOD(B132,Mode)=0),Mod_Prem,0)+IF(B132=PT*12,VLOOKUP(PT*12,Cashflows_HIST!$A$7:$N$246,14,0),0)+IF(B132='Pre-Calculation'!$D$12,PW,0)</f>
        <v>0</v>
      </c>
    </row>
    <row r="134" ht="14.25" customHeight="1">
      <c r="B134" s="171">
        <f t="shared" si="4"/>
        <v>127</v>
      </c>
      <c r="C134" s="171">
        <f t="shared" si="5"/>
        <v>11</v>
      </c>
      <c r="D134" s="176">
        <f>EDATE(RCD,B133)</f>
        <v>46386</v>
      </c>
      <c r="E134" s="199">
        <f>-IF(AND(D134&lt;=Revival!$C$2,MOD(B133,Mode)=0),Mod_Prem,0)+IF(B133='Pre-Calculation'!$D$12,SV,0)</f>
        <v>0</v>
      </c>
      <c r="F134" s="199">
        <f>-IF(AND(D134&lt;=Revival!$C$2,MOD(B133,Mode)=0),Mod_Prem,0)-IF(D134='Cashflows_8%'!$C$7,Revival!$C$14,0)-IF(AND(D134&gt;'Cashflows_8%'!$C$7,D134&lt;=Revival!$C$12,MOD(B133,Mode)=0),Mod_Prem,0)+IF(B133=PT*12,VLOOKUP(PT*12,'Cashflows_8%'!$A$7:$N$246,14,0),0)+IF(B133='Pre-Calculation'!$D$12,PW,0)</f>
        <v>0</v>
      </c>
      <c r="G134" s="122">
        <f>-IF(AND(D134&lt;=Revival!$C$2,MOD(B133,Mode)=0),Mod_Prem,0)-IF(D134='Cashflows_8%'!$C$7,Revival!$C$14,0)-IF(AND(D134&gt;'Cashflows_8%'!$C$7,D134&lt;=Revival!$C$12,MOD(B133,Mode)=0),Mod_Prem,0)+IF(B133=PT*12,VLOOKUP(PT*12,'Cashflows_4%'!$A$7:$N$246,14,0),0)+IF(B133='Pre-Calculation'!$D$12,PW,0)</f>
        <v>0</v>
      </c>
      <c r="H134" s="122">
        <f>-IF(AND(D134&lt;=Revival!$C$2,MOD(B133,Mode)=0),Mod_Prem,0)-IF(D134='Cashflows_8%'!$C$7,Revival!$C$14,0)-IF(AND(D134&gt;'Cashflows_8%'!$C$7,D134&lt;=Revival!$C$12,MOD(B133,Mode)=0),Mod_Prem,0)+IF(B133=PT*12,VLOOKUP(PT*12,Cashflows_HIST!$A$7:$N$246,14,0),0)+IF(B133='Pre-Calculation'!$D$12,PW,0)</f>
        <v>0</v>
      </c>
    </row>
    <row r="135" ht="14.25" customHeight="1">
      <c r="B135" s="171">
        <f t="shared" si="4"/>
        <v>128</v>
      </c>
      <c r="C135" s="171">
        <f t="shared" si="5"/>
        <v>11</v>
      </c>
      <c r="D135" s="176">
        <f>EDATE(RCD,B134)</f>
        <v>46417</v>
      </c>
      <c r="E135" s="199">
        <f>-IF(AND(D135&lt;=Revival!$C$2,MOD(B134,Mode)=0),Mod_Prem,0)+IF(B134='Pre-Calculation'!$D$12,SV,0)</f>
        <v>0</v>
      </c>
      <c r="F135" s="199">
        <f>-IF(AND(D135&lt;=Revival!$C$2,MOD(B134,Mode)=0),Mod_Prem,0)-IF(D135='Cashflows_8%'!$C$7,Revival!$C$14,0)-IF(AND(D135&gt;'Cashflows_8%'!$C$7,D135&lt;=Revival!$C$12,MOD(B134,Mode)=0),Mod_Prem,0)+IF(B134=PT*12,VLOOKUP(PT*12,'Cashflows_8%'!$A$7:$N$246,14,0),0)+IF(B134='Pre-Calculation'!$D$12,PW,0)</f>
        <v>0</v>
      </c>
      <c r="G135" s="122">
        <f>-IF(AND(D135&lt;=Revival!$C$2,MOD(B134,Mode)=0),Mod_Prem,0)-IF(D135='Cashflows_8%'!$C$7,Revival!$C$14,0)-IF(AND(D135&gt;'Cashflows_8%'!$C$7,D135&lt;=Revival!$C$12,MOD(B134,Mode)=0),Mod_Prem,0)+IF(B134=PT*12,VLOOKUP(PT*12,'Cashflows_4%'!$A$7:$N$246,14,0),0)+IF(B134='Pre-Calculation'!$D$12,PW,0)</f>
        <v>0</v>
      </c>
      <c r="H135" s="122">
        <f>-IF(AND(D135&lt;=Revival!$C$2,MOD(B134,Mode)=0),Mod_Prem,0)-IF(D135='Cashflows_8%'!$C$7,Revival!$C$14,0)-IF(AND(D135&gt;'Cashflows_8%'!$C$7,D135&lt;=Revival!$C$12,MOD(B134,Mode)=0),Mod_Prem,0)+IF(B134=PT*12,VLOOKUP(PT*12,Cashflows_HIST!$A$7:$N$246,14,0),0)+IF(B134='Pre-Calculation'!$D$12,PW,0)</f>
        <v>0</v>
      </c>
    </row>
    <row r="136" ht="14.25" customHeight="1">
      <c r="B136" s="171">
        <f t="shared" si="4"/>
        <v>129</v>
      </c>
      <c r="C136" s="171">
        <f t="shared" si="5"/>
        <v>11</v>
      </c>
      <c r="D136" s="176">
        <f>EDATE(RCD,B135)</f>
        <v>46446</v>
      </c>
      <c r="E136" s="199">
        <f>-IF(AND(D136&lt;=Revival!$C$2,MOD(B135,Mode)=0),Mod_Prem,0)+IF(B135='Pre-Calculation'!$D$12,SV,0)</f>
        <v>0</v>
      </c>
      <c r="F136" s="199">
        <f>-IF(AND(D136&lt;=Revival!$C$2,MOD(B135,Mode)=0),Mod_Prem,0)-IF(D136='Cashflows_8%'!$C$7,Revival!$C$14,0)-IF(AND(D136&gt;'Cashflows_8%'!$C$7,D136&lt;=Revival!$C$12,MOD(B135,Mode)=0),Mod_Prem,0)+IF(B135=PT*12,VLOOKUP(PT*12,'Cashflows_8%'!$A$7:$N$246,14,0),0)+IF(B135='Pre-Calculation'!$D$12,PW,0)</f>
        <v>0</v>
      </c>
      <c r="G136" s="122">
        <f>-IF(AND(D136&lt;=Revival!$C$2,MOD(B135,Mode)=0),Mod_Prem,0)-IF(D136='Cashflows_8%'!$C$7,Revival!$C$14,0)-IF(AND(D136&gt;'Cashflows_8%'!$C$7,D136&lt;=Revival!$C$12,MOD(B135,Mode)=0),Mod_Prem,0)+IF(B135=PT*12,VLOOKUP(PT*12,'Cashflows_4%'!$A$7:$N$246,14,0),0)+IF(B135='Pre-Calculation'!$D$12,PW,0)</f>
        <v>0</v>
      </c>
      <c r="H136" s="122">
        <f>-IF(AND(D136&lt;=Revival!$C$2,MOD(B135,Mode)=0),Mod_Prem,0)-IF(D136='Cashflows_8%'!$C$7,Revival!$C$14,0)-IF(AND(D136&gt;'Cashflows_8%'!$C$7,D136&lt;=Revival!$C$12,MOD(B135,Mode)=0),Mod_Prem,0)+IF(B135=PT*12,VLOOKUP(PT*12,Cashflows_HIST!$A$7:$N$246,14,0),0)+IF(B135='Pre-Calculation'!$D$12,PW,0)</f>
        <v>0</v>
      </c>
    </row>
    <row r="137" ht="14.25" customHeight="1">
      <c r="B137" s="171">
        <f t="shared" si="4"/>
        <v>130</v>
      </c>
      <c r="C137" s="171">
        <f t="shared" si="5"/>
        <v>11</v>
      </c>
      <c r="D137" s="176">
        <f>EDATE(RCD,B136)</f>
        <v>46476</v>
      </c>
      <c r="E137" s="199">
        <f>-IF(AND(D137&lt;=Revival!$C$2,MOD(B136,Mode)=0),Mod_Prem,0)+IF(B136='Pre-Calculation'!$D$12,SV,0)</f>
        <v>0</v>
      </c>
      <c r="F137" s="199">
        <f>-IF(AND(D137&lt;=Revival!$C$2,MOD(B136,Mode)=0),Mod_Prem,0)-IF(D137='Cashflows_8%'!$C$7,Revival!$C$14,0)-IF(AND(D137&gt;'Cashflows_8%'!$C$7,D137&lt;=Revival!$C$12,MOD(B136,Mode)=0),Mod_Prem,0)+IF(B136=PT*12,VLOOKUP(PT*12,'Cashflows_8%'!$A$7:$N$246,14,0),0)+IF(B136='Pre-Calculation'!$D$12,PW,0)</f>
        <v>0</v>
      </c>
      <c r="G137" s="122">
        <f>-IF(AND(D137&lt;=Revival!$C$2,MOD(B136,Mode)=0),Mod_Prem,0)-IF(D137='Cashflows_8%'!$C$7,Revival!$C$14,0)-IF(AND(D137&gt;'Cashflows_8%'!$C$7,D137&lt;=Revival!$C$12,MOD(B136,Mode)=0),Mod_Prem,0)+IF(B136=PT*12,VLOOKUP(PT*12,'Cashflows_4%'!$A$7:$N$246,14,0),0)+IF(B136='Pre-Calculation'!$D$12,PW,0)</f>
        <v>0</v>
      </c>
      <c r="H137" s="122">
        <f>-IF(AND(D137&lt;=Revival!$C$2,MOD(B136,Mode)=0),Mod_Prem,0)-IF(D137='Cashflows_8%'!$C$7,Revival!$C$14,0)-IF(AND(D137&gt;'Cashflows_8%'!$C$7,D137&lt;=Revival!$C$12,MOD(B136,Mode)=0),Mod_Prem,0)+IF(B136=PT*12,VLOOKUP(PT*12,Cashflows_HIST!$A$7:$N$246,14,0),0)+IF(B136='Pre-Calculation'!$D$12,PW,0)</f>
        <v>0</v>
      </c>
    </row>
    <row r="138" ht="14.25" customHeight="1">
      <c r="B138" s="171">
        <f t="shared" si="4"/>
        <v>131</v>
      </c>
      <c r="C138" s="171">
        <f t="shared" si="5"/>
        <v>11</v>
      </c>
      <c r="D138" s="176">
        <f>EDATE(RCD,B137)</f>
        <v>46507</v>
      </c>
      <c r="E138" s="199">
        <f>-IF(AND(D138&lt;=Revival!$C$2,MOD(B137,Mode)=0),Mod_Prem,0)+IF(B137='Pre-Calculation'!$D$12,SV,0)</f>
        <v>0</v>
      </c>
      <c r="F138" s="199">
        <f>-IF(AND(D138&lt;=Revival!$C$2,MOD(B137,Mode)=0),Mod_Prem,0)-IF(D138='Cashflows_8%'!$C$7,Revival!$C$14,0)-IF(AND(D138&gt;'Cashflows_8%'!$C$7,D138&lt;=Revival!$C$12,MOD(B137,Mode)=0),Mod_Prem,0)+IF(B137=PT*12,VLOOKUP(PT*12,'Cashflows_8%'!$A$7:$N$246,14,0),0)+IF(B137='Pre-Calculation'!$D$12,PW,0)</f>
        <v>0</v>
      </c>
      <c r="G138" s="122">
        <f>-IF(AND(D138&lt;=Revival!$C$2,MOD(B137,Mode)=0),Mod_Prem,0)-IF(D138='Cashflows_8%'!$C$7,Revival!$C$14,0)-IF(AND(D138&gt;'Cashflows_8%'!$C$7,D138&lt;=Revival!$C$12,MOD(B137,Mode)=0),Mod_Prem,0)+IF(B137=PT*12,VLOOKUP(PT*12,'Cashflows_4%'!$A$7:$N$246,14,0),0)+IF(B137='Pre-Calculation'!$D$12,PW,0)</f>
        <v>0</v>
      </c>
      <c r="H138" s="122">
        <f>-IF(AND(D138&lt;=Revival!$C$2,MOD(B137,Mode)=0),Mod_Prem,0)-IF(D138='Cashflows_8%'!$C$7,Revival!$C$14,0)-IF(AND(D138&gt;'Cashflows_8%'!$C$7,D138&lt;=Revival!$C$12,MOD(B137,Mode)=0),Mod_Prem,0)+IF(B137=PT*12,VLOOKUP(PT*12,Cashflows_HIST!$A$7:$N$246,14,0),0)+IF(B137='Pre-Calculation'!$D$12,PW,0)</f>
        <v>0</v>
      </c>
    </row>
    <row r="139" ht="14.25" customHeight="1">
      <c r="B139" s="171">
        <f t="shared" si="4"/>
        <v>132</v>
      </c>
      <c r="C139" s="171">
        <f t="shared" si="5"/>
        <v>11</v>
      </c>
      <c r="D139" s="176">
        <f>EDATE(RCD,B138)</f>
        <v>46537</v>
      </c>
      <c r="E139" s="199">
        <f>-IF(AND(D139&lt;=Revival!$C$2,MOD(B138,Mode)=0),Mod_Prem,0)+IF(B138='Pre-Calculation'!$D$12,SV,0)</f>
        <v>0</v>
      </c>
      <c r="F139" s="199">
        <f>-IF(AND(D139&lt;=Revival!$C$2,MOD(B138,Mode)=0),Mod_Prem,0)-IF(D139='Cashflows_8%'!$C$7,Revival!$C$14,0)-IF(AND(D139&gt;'Cashflows_8%'!$C$7,D139&lt;=Revival!$C$12,MOD(B138,Mode)=0),Mod_Prem,0)+IF(B138=PT*12,VLOOKUP(PT*12,'Cashflows_8%'!$A$7:$N$246,14,0),0)+IF(B138='Pre-Calculation'!$D$12,PW,0)</f>
        <v>0</v>
      </c>
      <c r="G139" s="122">
        <f>-IF(AND(D139&lt;=Revival!$C$2,MOD(B138,Mode)=0),Mod_Prem,0)-IF(D139='Cashflows_8%'!$C$7,Revival!$C$14,0)-IF(AND(D139&gt;'Cashflows_8%'!$C$7,D139&lt;=Revival!$C$12,MOD(B138,Mode)=0),Mod_Prem,0)+IF(B138=PT*12,VLOOKUP(PT*12,'Cashflows_4%'!$A$7:$N$246,14,0),0)+IF(B138='Pre-Calculation'!$D$12,PW,0)</f>
        <v>0</v>
      </c>
      <c r="H139" s="122">
        <f>-IF(AND(D139&lt;=Revival!$C$2,MOD(B138,Mode)=0),Mod_Prem,0)-IF(D139='Cashflows_8%'!$C$7,Revival!$C$14,0)-IF(AND(D139&gt;'Cashflows_8%'!$C$7,D139&lt;=Revival!$C$12,MOD(B138,Mode)=0),Mod_Prem,0)+IF(B138=PT*12,VLOOKUP(PT*12,Cashflows_HIST!$A$7:$N$246,14,0),0)+IF(B138='Pre-Calculation'!$D$12,PW,0)</f>
        <v>0</v>
      </c>
    </row>
    <row r="140" ht="14.25" customHeight="1">
      <c r="B140" s="171">
        <f t="shared" si="4"/>
        <v>133</v>
      </c>
      <c r="C140" s="171">
        <f t="shared" si="5"/>
        <v>12</v>
      </c>
      <c r="D140" s="176">
        <f>EDATE(RCD,B139)</f>
        <v>46568</v>
      </c>
      <c r="E140" s="199">
        <f>-IF(AND(D140&lt;=Revival!$C$2,MOD(B139,Mode)=0),Mod_Prem,0)+IF(B139='Pre-Calculation'!$D$12,SV,0)</f>
        <v>0</v>
      </c>
      <c r="F140" s="199">
        <f>-IF(AND(D140&lt;=Revival!$C$2,MOD(B139,Mode)=0),Mod_Prem,0)-IF(D140='Cashflows_8%'!$C$7,Revival!$C$14,0)-IF(AND(D140&gt;'Cashflows_8%'!$C$7,D140&lt;=Revival!$C$12,MOD(B139,Mode)=0),Mod_Prem,0)+IF(B139=PT*12,VLOOKUP(PT*12,'Cashflows_8%'!$A$7:$N$246,14,0),0)+IF(B139='Pre-Calculation'!$D$12,PW,0)</f>
        <v>0</v>
      </c>
      <c r="G140" s="122">
        <f>-IF(AND(D140&lt;=Revival!$C$2,MOD(B139,Mode)=0),Mod_Prem,0)-IF(D140='Cashflows_8%'!$C$7,Revival!$C$14,0)-IF(AND(D140&gt;'Cashflows_8%'!$C$7,D140&lt;=Revival!$C$12,MOD(B139,Mode)=0),Mod_Prem,0)+IF(B139=PT*12,VLOOKUP(PT*12,'Cashflows_4%'!$A$7:$N$246,14,0),0)+IF(B139='Pre-Calculation'!$D$12,PW,0)</f>
        <v>0</v>
      </c>
      <c r="H140" s="122">
        <f>-IF(AND(D140&lt;=Revival!$C$2,MOD(B139,Mode)=0),Mod_Prem,0)-IF(D140='Cashflows_8%'!$C$7,Revival!$C$14,0)-IF(AND(D140&gt;'Cashflows_8%'!$C$7,D140&lt;=Revival!$C$12,MOD(B139,Mode)=0),Mod_Prem,0)+IF(B139=PT*12,VLOOKUP(PT*12,Cashflows_HIST!$A$7:$N$246,14,0),0)+IF(B139='Pre-Calculation'!$D$12,PW,0)</f>
        <v>0</v>
      </c>
    </row>
    <row r="141" ht="14.25" customHeight="1">
      <c r="B141" s="171">
        <f t="shared" si="4"/>
        <v>134</v>
      </c>
      <c r="C141" s="171">
        <f t="shared" si="5"/>
        <v>12</v>
      </c>
      <c r="D141" s="176">
        <f>EDATE(RCD,B140)</f>
        <v>46598</v>
      </c>
      <c r="E141" s="199">
        <f>-IF(AND(D141&lt;=Revival!$C$2,MOD(B140,Mode)=0),Mod_Prem,0)+IF(B140='Pre-Calculation'!$D$12,SV,0)</f>
        <v>0</v>
      </c>
      <c r="F141" s="199">
        <f>-IF(AND(D141&lt;=Revival!$C$2,MOD(B140,Mode)=0),Mod_Prem,0)-IF(D141='Cashflows_8%'!$C$7,Revival!$C$14,0)-IF(AND(D141&gt;'Cashflows_8%'!$C$7,D141&lt;=Revival!$C$12,MOD(B140,Mode)=0),Mod_Prem,0)+IF(B140=PT*12,VLOOKUP(PT*12,'Cashflows_8%'!$A$7:$N$246,14,0),0)+IF(B140='Pre-Calculation'!$D$12,PW,0)</f>
        <v>0</v>
      </c>
      <c r="G141" s="122">
        <f>-IF(AND(D141&lt;=Revival!$C$2,MOD(B140,Mode)=0),Mod_Prem,0)-IF(D141='Cashflows_8%'!$C$7,Revival!$C$14,0)-IF(AND(D141&gt;'Cashflows_8%'!$C$7,D141&lt;=Revival!$C$12,MOD(B140,Mode)=0),Mod_Prem,0)+IF(B140=PT*12,VLOOKUP(PT*12,'Cashflows_4%'!$A$7:$N$246,14,0),0)+IF(B140='Pre-Calculation'!$D$12,PW,0)</f>
        <v>0</v>
      </c>
      <c r="H141" s="122">
        <f>-IF(AND(D141&lt;=Revival!$C$2,MOD(B140,Mode)=0),Mod_Prem,0)-IF(D141='Cashflows_8%'!$C$7,Revival!$C$14,0)-IF(AND(D141&gt;'Cashflows_8%'!$C$7,D141&lt;=Revival!$C$12,MOD(B140,Mode)=0),Mod_Prem,0)+IF(B140=PT*12,VLOOKUP(PT*12,Cashflows_HIST!$A$7:$N$246,14,0),0)+IF(B140='Pre-Calculation'!$D$12,PW,0)</f>
        <v>0</v>
      </c>
    </row>
    <row r="142" ht="14.25" customHeight="1">
      <c r="B142" s="171">
        <f t="shared" si="4"/>
        <v>135</v>
      </c>
      <c r="C142" s="171">
        <f t="shared" si="5"/>
        <v>12</v>
      </c>
      <c r="D142" s="176">
        <f>EDATE(RCD,B141)</f>
        <v>46629</v>
      </c>
      <c r="E142" s="199">
        <f>-IF(AND(D142&lt;=Revival!$C$2,MOD(B141,Mode)=0),Mod_Prem,0)+IF(B141='Pre-Calculation'!$D$12,SV,0)</f>
        <v>0</v>
      </c>
      <c r="F142" s="199">
        <f>-IF(AND(D142&lt;=Revival!$C$2,MOD(B141,Mode)=0),Mod_Prem,0)-IF(D142='Cashflows_8%'!$C$7,Revival!$C$14,0)-IF(AND(D142&gt;'Cashflows_8%'!$C$7,D142&lt;=Revival!$C$12,MOD(B141,Mode)=0),Mod_Prem,0)+IF(B141=PT*12,VLOOKUP(PT*12,'Cashflows_8%'!$A$7:$N$246,14,0),0)+IF(B141='Pre-Calculation'!$D$12,PW,0)</f>
        <v>0</v>
      </c>
      <c r="G142" s="122">
        <f>-IF(AND(D142&lt;=Revival!$C$2,MOD(B141,Mode)=0),Mod_Prem,0)-IF(D142='Cashflows_8%'!$C$7,Revival!$C$14,0)-IF(AND(D142&gt;'Cashflows_8%'!$C$7,D142&lt;=Revival!$C$12,MOD(B141,Mode)=0),Mod_Prem,0)+IF(B141=PT*12,VLOOKUP(PT*12,'Cashflows_4%'!$A$7:$N$246,14,0),0)+IF(B141='Pre-Calculation'!$D$12,PW,0)</f>
        <v>0</v>
      </c>
      <c r="H142" s="122">
        <f>-IF(AND(D142&lt;=Revival!$C$2,MOD(B141,Mode)=0),Mod_Prem,0)-IF(D142='Cashflows_8%'!$C$7,Revival!$C$14,0)-IF(AND(D142&gt;'Cashflows_8%'!$C$7,D142&lt;=Revival!$C$12,MOD(B141,Mode)=0),Mod_Prem,0)+IF(B141=PT*12,VLOOKUP(PT*12,Cashflows_HIST!$A$7:$N$246,14,0),0)+IF(B141='Pre-Calculation'!$D$12,PW,0)</f>
        <v>0</v>
      </c>
    </row>
    <row r="143" ht="14.25" customHeight="1">
      <c r="B143" s="171">
        <f t="shared" si="4"/>
        <v>136</v>
      </c>
      <c r="C143" s="171">
        <f t="shared" si="5"/>
        <v>12</v>
      </c>
      <c r="D143" s="176">
        <f>EDATE(RCD,B142)</f>
        <v>46660</v>
      </c>
      <c r="E143" s="199">
        <f>-IF(AND(D143&lt;=Revival!$C$2,MOD(B142,Mode)=0),Mod_Prem,0)+IF(B142='Pre-Calculation'!$D$12,SV,0)</f>
        <v>0</v>
      </c>
      <c r="F143" s="199">
        <f>-IF(AND(D143&lt;=Revival!$C$2,MOD(B142,Mode)=0),Mod_Prem,0)-IF(D143='Cashflows_8%'!$C$7,Revival!$C$14,0)-IF(AND(D143&gt;'Cashflows_8%'!$C$7,D143&lt;=Revival!$C$12,MOD(B142,Mode)=0),Mod_Prem,0)+IF(B142=PT*12,VLOOKUP(PT*12,'Cashflows_8%'!$A$7:$N$246,14,0),0)+IF(B142='Pre-Calculation'!$D$12,PW,0)</f>
        <v>0</v>
      </c>
      <c r="G143" s="122">
        <f>-IF(AND(D143&lt;=Revival!$C$2,MOD(B142,Mode)=0),Mod_Prem,0)-IF(D143='Cashflows_8%'!$C$7,Revival!$C$14,0)-IF(AND(D143&gt;'Cashflows_8%'!$C$7,D143&lt;=Revival!$C$12,MOD(B142,Mode)=0),Mod_Prem,0)+IF(B142=PT*12,VLOOKUP(PT*12,'Cashflows_4%'!$A$7:$N$246,14,0),0)+IF(B142='Pre-Calculation'!$D$12,PW,0)</f>
        <v>0</v>
      </c>
      <c r="H143" s="122">
        <f>-IF(AND(D143&lt;=Revival!$C$2,MOD(B142,Mode)=0),Mod_Prem,0)-IF(D143='Cashflows_8%'!$C$7,Revival!$C$14,0)-IF(AND(D143&gt;'Cashflows_8%'!$C$7,D143&lt;=Revival!$C$12,MOD(B142,Mode)=0),Mod_Prem,0)+IF(B142=PT*12,VLOOKUP(PT*12,Cashflows_HIST!$A$7:$N$246,14,0),0)+IF(B142='Pre-Calculation'!$D$12,PW,0)</f>
        <v>0</v>
      </c>
    </row>
    <row r="144" ht="14.25" customHeight="1">
      <c r="B144" s="171">
        <f t="shared" si="4"/>
        <v>137</v>
      </c>
      <c r="C144" s="171">
        <f t="shared" si="5"/>
        <v>12</v>
      </c>
      <c r="D144" s="176">
        <f>EDATE(RCD,B143)</f>
        <v>46690</v>
      </c>
      <c r="E144" s="199">
        <f>-IF(AND(D144&lt;=Revival!$C$2,MOD(B143,Mode)=0),Mod_Prem,0)+IF(B143='Pre-Calculation'!$D$12,SV,0)</f>
        <v>0</v>
      </c>
      <c r="F144" s="199">
        <f>-IF(AND(D144&lt;=Revival!$C$2,MOD(B143,Mode)=0),Mod_Prem,0)-IF(D144='Cashflows_8%'!$C$7,Revival!$C$14,0)-IF(AND(D144&gt;'Cashflows_8%'!$C$7,D144&lt;=Revival!$C$12,MOD(B143,Mode)=0),Mod_Prem,0)+IF(B143=PT*12,VLOOKUP(PT*12,'Cashflows_8%'!$A$7:$N$246,14,0),0)+IF(B143='Pre-Calculation'!$D$12,PW,0)</f>
        <v>0</v>
      </c>
      <c r="G144" s="122">
        <f>-IF(AND(D144&lt;=Revival!$C$2,MOD(B143,Mode)=0),Mod_Prem,0)-IF(D144='Cashflows_8%'!$C$7,Revival!$C$14,0)-IF(AND(D144&gt;'Cashflows_8%'!$C$7,D144&lt;=Revival!$C$12,MOD(B143,Mode)=0),Mod_Prem,0)+IF(B143=PT*12,VLOOKUP(PT*12,'Cashflows_4%'!$A$7:$N$246,14,0),0)+IF(B143='Pre-Calculation'!$D$12,PW,0)</f>
        <v>0</v>
      </c>
      <c r="H144" s="122">
        <f>-IF(AND(D144&lt;=Revival!$C$2,MOD(B143,Mode)=0),Mod_Prem,0)-IF(D144='Cashflows_8%'!$C$7,Revival!$C$14,0)-IF(AND(D144&gt;'Cashflows_8%'!$C$7,D144&lt;=Revival!$C$12,MOD(B143,Mode)=0),Mod_Prem,0)+IF(B143=PT*12,VLOOKUP(PT*12,Cashflows_HIST!$A$7:$N$246,14,0),0)+IF(B143='Pre-Calculation'!$D$12,PW,0)</f>
        <v>0</v>
      </c>
    </row>
    <row r="145" ht="14.25" customHeight="1">
      <c r="B145" s="171">
        <f t="shared" si="4"/>
        <v>138</v>
      </c>
      <c r="C145" s="171">
        <f t="shared" si="5"/>
        <v>12</v>
      </c>
      <c r="D145" s="176">
        <f>EDATE(RCD,B144)</f>
        <v>46721</v>
      </c>
      <c r="E145" s="199">
        <f>-IF(AND(D145&lt;=Revival!$C$2,MOD(B144,Mode)=0),Mod_Prem,0)+IF(B144='Pre-Calculation'!$D$12,SV,0)</f>
        <v>0</v>
      </c>
      <c r="F145" s="199">
        <f>-IF(AND(D145&lt;=Revival!$C$2,MOD(B144,Mode)=0),Mod_Prem,0)-IF(D145='Cashflows_8%'!$C$7,Revival!$C$14,0)-IF(AND(D145&gt;'Cashflows_8%'!$C$7,D145&lt;=Revival!$C$12,MOD(B144,Mode)=0),Mod_Prem,0)+IF(B144=PT*12,VLOOKUP(PT*12,'Cashflows_8%'!$A$7:$N$246,14,0),0)+IF(B144='Pre-Calculation'!$D$12,PW,0)</f>
        <v>0</v>
      </c>
      <c r="G145" s="122">
        <f>-IF(AND(D145&lt;=Revival!$C$2,MOD(B144,Mode)=0),Mod_Prem,0)-IF(D145='Cashflows_8%'!$C$7,Revival!$C$14,0)-IF(AND(D145&gt;'Cashflows_8%'!$C$7,D145&lt;=Revival!$C$12,MOD(B144,Mode)=0),Mod_Prem,0)+IF(B144=PT*12,VLOOKUP(PT*12,'Cashflows_4%'!$A$7:$N$246,14,0),0)+IF(B144='Pre-Calculation'!$D$12,PW,0)</f>
        <v>0</v>
      </c>
      <c r="H145" s="122">
        <f>-IF(AND(D145&lt;=Revival!$C$2,MOD(B144,Mode)=0),Mod_Prem,0)-IF(D145='Cashflows_8%'!$C$7,Revival!$C$14,0)-IF(AND(D145&gt;'Cashflows_8%'!$C$7,D145&lt;=Revival!$C$12,MOD(B144,Mode)=0),Mod_Prem,0)+IF(B144=PT*12,VLOOKUP(PT*12,Cashflows_HIST!$A$7:$N$246,14,0),0)+IF(B144='Pre-Calculation'!$D$12,PW,0)</f>
        <v>0</v>
      </c>
    </row>
    <row r="146" ht="14.25" customHeight="1">
      <c r="B146" s="171">
        <f t="shared" si="4"/>
        <v>139</v>
      </c>
      <c r="C146" s="171">
        <f t="shared" si="5"/>
        <v>12</v>
      </c>
      <c r="D146" s="176">
        <f>EDATE(RCD,B145)</f>
        <v>46751</v>
      </c>
      <c r="E146" s="199">
        <f>-IF(AND(D146&lt;=Revival!$C$2,MOD(B145,Mode)=0),Mod_Prem,0)+IF(B145='Pre-Calculation'!$D$12,SV,0)</f>
        <v>0</v>
      </c>
      <c r="F146" s="199">
        <f>-IF(AND(D146&lt;=Revival!$C$2,MOD(B145,Mode)=0),Mod_Prem,0)-IF(D146='Cashflows_8%'!$C$7,Revival!$C$14,0)-IF(AND(D146&gt;'Cashflows_8%'!$C$7,D146&lt;=Revival!$C$12,MOD(B145,Mode)=0),Mod_Prem,0)+IF(B145=PT*12,VLOOKUP(PT*12,'Cashflows_8%'!$A$7:$N$246,14,0),0)+IF(B145='Pre-Calculation'!$D$12,PW,0)</f>
        <v>0</v>
      </c>
      <c r="G146" s="122">
        <f>-IF(AND(D146&lt;=Revival!$C$2,MOD(B145,Mode)=0),Mod_Prem,0)-IF(D146='Cashflows_8%'!$C$7,Revival!$C$14,0)-IF(AND(D146&gt;'Cashflows_8%'!$C$7,D146&lt;=Revival!$C$12,MOD(B145,Mode)=0),Mod_Prem,0)+IF(B145=PT*12,VLOOKUP(PT*12,'Cashflows_4%'!$A$7:$N$246,14,0),0)+IF(B145='Pre-Calculation'!$D$12,PW,0)</f>
        <v>0</v>
      </c>
      <c r="H146" s="122">
        <f>-IF(AND(D146&lt;=Revival!$C$2,MOD(B145,Mode)=0),Mod_Prem,0)-IF(D146='Cashflows_8%'!$C$7,Revival!$C$14,0)-IF(AND(D146&gt;'Cashflows_8%'!$C$7,D146&lt;=Revival!$C$12,MOD(B145,Mode)=0),Mod_Prem,0)+IF(B145=PT*12,VLOOKUP(PT*12,Cashflows_HIST!$A$7:$N$246,14,0),0)+IF(B145='Pre-Calculation'!$D$12,PW,0)</f>
        <v>0</v>
      </c>
    </row>
    <row r="147" ht="14.25" customHeight="1">
      <c r="B147" s="171">
        <f t="shared" si="4"/>
        <v>140</v>
      </c>
      <c r="C147" s="171">
        <f t="shared" si="5"/>
        <v>12</v>
      </c>
      <c r="D147" s="176">
        <f>EDATE(RCD,B146)</f>
        <v>46782</v>
      </c>
      <c r="E147" s="199">
        <f>-IF(AND(D147&lt;=Revival!$C$2,MOD(B146,Mode)=0),Mod_Prem,0)+IF(B146='Pre-Calculation'!$D$12,SV,0)</f>
        <v>0</v>
      </c>
      <c r="F147" s="199">
        <f>-IF(AND(D147&lt;=Revival!$C$2,MOD(B146,Mode)=0),Mod_Prem,0)-IF(D147='Cashflows_8%'!$C$7,Revival!$C$14,0)-IF(AND(D147&gt;'Cashflows_8%'!$C$7,D147&lt;=Revival!$C$12,MOD(B146,Mode)=0),Mod_Prem,0)+IF(B146=PT*12,VLOOKUP(PT*12,'Cashflows_8%'!$A$7:$N$246,14,0),0)+IF(B146='Pre-Calculation'!$D$12,PW,0)</f>
        <v>0</v>
      </c>
      <c r="G147" s="122">
        <f>-IF(AND(D147&lt;=Revival!$C$2,MOD(B146,Mode)=0),Mod_Prem,0)-IF(D147='Cashflows_8%'!$C$7,Revival!$C$14,0)-IF(AND(D147&gt;'Cashflows_8%'!$C$7,D147&lt;=Revival!$C$12,MOD(B146,Mode)=0),Mod_Prem,0)+IF(B146=PT*12,VLOOKUP(PT*12,'Cashflows_4%'!$A$7:$N$246,14,0),0)+IF(B146='Pre-Calculation'!$D$12,PW,0)</f>
        <v>0</v>
      </c>
      <c r="H147" s="122">
        <f>-IF(AND(D147&lt;=Revival!$C$2,MOD(B146,Mode)=0),Mod_Prem,0)-IF(D147='Cashflows_8%'!$C$7,Revival!$C$14,0)-IF(AND(D147&gt;'Cashflows_8%'!$C$7,D147&lt;=Revival!$C$12,MOD(B146,Mode)=0),Mod_Prem,0)+IF(B146=PT*12,VLOOKUP(PT*12,Cashflows_HIST!$A$7:$N$246,14,0),0)+IF(B146='Pre-Calculation'!$D$12,PW,0)</f>
        <v>0</v>
      </c>
    </row>
    <row r="148" ht="14.25" customHeight="1">
      <c r="B148" s="171">
        <f t="shared" si="4"/>
        <v>141</v>
      </c>
      <c r="C148" s="171">
        <f t="shared" si="5"/>
        <v>12</v>
      </c>
      <c r="D148" s="176">
        <f>EDATE(RCD,B147)</f>
        <v>46812</v>
      </c>
      <c r="E148" s="199">
        <f>-IF(AND(D148&lt;=Revival!$C$2,MOD(B147,Mode)=0),Mod_Prem,0)+IF(B147='Pre-Calculation'!$D$12,SV,0)</f>
        <v>0</v>
      </c>
      <c r="F148" s="199">
        <f>-IF(AND(D148&lt;=Revival!$C$2,MOD(B147,Mode)=0),Mod_Prem,0)-IF(D148='Cashflows_8%'!$C$7,Revival!$C$14,0)-IF(AND(D148&gt;'Cashflows_8%'!$C$7,D148&lt;=Revival!$C$12,MOD(B147,Mode)=0),Mod_Prem,0)+IF(B147=PT*12,VLOOKUP(PT*12,'Cashflows_8%'!$A$7:$N$246,14,0),0)+IF(B147='Pre-Calculation'!$D$12,PW,0)</f>
        <v>0</v>
      </c>
      <c r="G148" s="122">
        <f>-IF(AND(D148&lt;=Revival!$C$2,MOD(B147,Mode)=0),Mod_Prem,0)-IF(D148='Cashflows_8%'!$C$7,Revival!$C$14,0)-IF(AND(D148&gt;'Cashflows_8%'!$C$7,D148&lt;=Revival!$C$12,MOD(B147,Mode)=0),Mod_Prem,0)+IF(B147=PT*12,VLOOKUP(PT*12,'Cashflows_4%'!$A$7:$N$246,14,0),0)+IF(B147='Pre-Calculation'!$D$12,PW,0)</f>
        <v>0</v>
      </c>
      <c r="H148" s="122">
        <f>-IF(AND(D148&lt;=Revival!$C$2,MOD(B147,Mode)=0),Mod_Prem,0)-IF(D148='Cashflows_8%'!$C$7,Revival!$C$14,0)-IF(AND(D148&gt;'Cashflows_8%'!$C$7,D148&lt;=Revival!$C$12,MOD(B147,Mode)=0),Mod_Prem,0)+IF(B147=PT*12,VLOOKUP(PT*12,Cashflows_HIST!$A$7:$N$246,14,0),0)+IF(B147='Pre-Calculation'!$D$12,PW,0)</f>
        <v>0</v>
      </c>
    </row>
    <row r="149" ht="14.25" customHeight="1">
      <c r="B149" s="171">
        <f t="shared" si="4"/>
        <v>142</v>
      </c>
      <c r="C149" s="171">
        <f t="shared" si="5"/>
        <v>12</v>
      </c>
      <c r="D149" s="176">
        <f>EDATE(RCD,B148)</f>
        <v>46842</v>
      </c>
      <c r="E149" s="199">
        <f>-IF(AND(D149&lt;=Revival!$C$2,MOD(B148,Mode)=0),Mod_Prem,0)+IF(B148='Pre-Calculation'!$D$12,SV,0)</f>
        <v>0</v>
      </c>
      <c r="F149" s="199">
        <f>-IF(AND(D149&lt;=Revival!$C$2,MOD(B148,Mode)=0),Mod_Prem,0)-IF(D149='Cashflows_8%'!$C$7,Revival!$C$14,0)-IF(AND(D149&gt;'Cashflows_8%'!$C$7,D149&lt;=Revival!$C$12,MOD(B148,Mode)=0),Mod_Prem,0)+IF(B148=PT*12,VLOOKUP(PT*12,'Cashflows_8%'!$A$7:$N$246,14,0),0)+IF(B148='Pre-Calculation'!$D$12,PW,0)</f>
        <v>0</v>
      </c>
      <c r="G149" s="122">
        <f>-IF(AND(D149&lt;=Revival!$C$2,MOD(B148,Mode)=0),Mod_Prem,0)-IF(D149='Cashflows_8%'!$C$7,Revival!$C$14,0)-IF(AND(D149&gt;'Cashflows_8%'!$C$7,D149&lt;=Revival!$C$12,MOD(B148,Mode)=0),Mod_Prem,0)+IF(B148=PT*12,VLOOKUP(PT*12,'Cashflows_4%'!$A$7:$N$246,14,0),0)+IF(B148='Pre-Calculation'!$D$12,PW,0)</f>
        <v>0</v>
      </c>
      <c r="H149" s="122">
        <f>-IF(AND(D149&lt;=Revival!$C$2,MOD(B148,Mode)=0),Mod_Prem,0)-IF(D149='Cashflows_8%'!$C$7,Revival!$C$14,0)-IF(AND(D149&gt;'Cashflows_8%'!$C$7,D149&lt;=Revival!$C$12,MOD(B148,Mode)=0),Mod_Prem,0)+IF(B148=PT*12,VLOOKUP(PT*12,Cashflows_HIST!$A$7:$N$246,14,0),0)+IF(B148='Pre-Calculation'!$D$12,PW,0)</f>
        <v>0</v>
      </c>
    </row>
    <row r="150" ht="14.25" customHeight="1">
      <c r="B150" s="171">
        <f t="shared" si="4"/>
        <v>143</v>
      </c>
      <c r="C150" s="171">
        <f t="shared" si="5"/>
        <v>12</v>
      </c>
      <c r="D150" s="176">
        <f>EDATE(RCD,B149)</f>
        <v>46873</v>
      </c>
      <c r="E150" s="199">
        <f>-IF(AND(D150&lt;=Revival!$C$2,MOD(B149,Mode)=0),Mod_Prem,0)+IF(B149='Pre-Calculation'!$D$12,SV,0)</f>
        <v>0</v>
      </c>
      <c r="F150" s="199">
        <f>-IF(AND(D150&lt;=Revival!$C$2,MOD(B149,Mode)=0),Mod_Prem,0)-IF(D150='Cashflows_8%'!$C$7,Revival!$C$14,0)-IF(AND(D150&gt;'Cashflows_8%'!$C$7,D150&lt;=Revival!$C$12,MOD(B149,Mode)=0),Mod_Prem,0)+IF(B149=PT*12,VLOOKUP(PT*12,'Cashflows_8%'!$A$7:$N$246,14,0),0)+IF(B149='Pre-Calculation'!$D$12,PW,0)</f>
        <v>0</v>
      </c>
      <c r="G150" s="122">
        <f>-IF(AND(D150&lt;=Revival!$C$2,MOD(B149,Mode)=0),Mod_Prem,0)-IF(D150='Cashflows_8%'!$C$7,Revival!$C$14,0)-IF(AND(D150&gt;'Cashflows_8%'!$C$7,D150&lt;=Revival!$C$12,MOD(B149,Mode)=0),Mod_Prem,0)+IF(B149=PT*12,VLOOKUP(PT*12,'Cashflows_4%'!$A$7:$N$246,14,0),0)+IF(B149='Pre-Calculation'!$D$12,PW,0)</f>
        <v>0</v>
      </c>
      <c r="H150" s="122">
        <f>-IF(AND(D150&lt;=Revival!$C$2,MOD(B149,Mode)=0),Mod_Prem,0)-IF(D150='Cashflows_8%'!$C$7,Revival!$C$14,0)-IF(AND(D150&gt;'Cashflows_8%'!$C$7,D150&lt;=Revival!$C$12,MOD(B149,Mode)=0),Mod_Prem,0)+IF(B149=PT*12,VLOOKUP(PT*12,Cashflows_HIST!$A$7:$N$246,14,0),0)+IF(B149='Pre-Calculation'!$D$12,PW,0)</f>
        <v>0</v>
      </c>
    </row>
    <row r="151" ht="14.25" customHeight="1">
      <c r="B151" s="171">
        <f t="shared" si="4"/>
        <v>144</v>
      </c>
      <c r="C151" s="171">
        <f t="shared" si="5"/>
        <v>12</v>
      </c>
      <c r="D151" s="176">
        <f>EDATE(RCD,B150)</f>
        <v>46903</v>
      </c>
      <c r="E151" s="199">
        <f>-IF(AND(D151&lt;=Revival!$C$2,MOD(B150,Mode)=0),Mod_Prem,0)+IF(B150='Pre-Calculation'!$D$12,SV,0)</f>
        <v>0</v>
      </c>
      <c r="F151" s="199">
        <f>-IF(AND(D151&lt;=Revival!$C$2,MOD(B150,Mode)=0),Mod_Prem,0)-IF(D151='Cashflows_8%'!$C$7,Revival!$C$14,0)-IF(AND(D151&gt;'Cashflows_8%'!$C$7,D151&lt;=Revival!$C$12,MOD(B150,Mode)=0),Mod_Prem,0)+IF(B150=PT*12,VLOOKUP(PT*12,'Cashflows_8%'!$A$7:$N$246,14,0),0)+IF(B150='Pre-Calculation'!$D$12,PW,0)</f>
        <v>0</v>
      </c>
      <c r="G151" s="122">
        <f>-IF(AND(D151&lt;=Revival!$C$2,MOD(B150,Mode)=0),Mod_Prem,0)-IF(D151='Cashflows_8%'!$C$7,Revival!$C$14,0)-IF(AND(D151&gt;'Cashflows_8%'!$C$7,D151&lt;=Revival!$C$12,MOD(B150,Mode)=0),Mod_Prem,0)+IF(B150=PT*12,VLOOKUP(PT*12,'Cashflows_4%'!$A$7:$N$246,14,0),0)+IF(B150='Pre-Calculation'!$D$12,PW,0)</f>
        <v>0</v>
      </c>
      <c r="H151" s="122">
        <f>-IF(AND(D151&lt;=Revival!$C$2,MOD(B150,Mode)=0),Mod_Prem,0)-IF(D151='Cashflows_8%'!$C$7,Revival!$C$14,0)-IF(AND(D151&gt;'Cashflows_8%'!$C$7,D151&lt;=Revival!$C$12,MOD(B150,Mode)=0),Mod_Prem,0)+IF(B150=PT*12,VLOOKUP(PT*12,Cashflows_HIST!$A$7:$N$246,14,0),0)+IF(B150='Pre-Calculation'!$D$12,PW,0)</f>
        <v>0</v>
      </c>
    </row>
    <row r="152" ht="14.25" customHeight="1">
      <c r="B152" s="171">
        <f t="shared" si="4"/>
        <v>145</v>
      </c>
      <c r="C152" s="171">
        <f t="shared" si="5"/>
        <v>13</v>
      </c>
      <c r="D152" s="176">
        <f>EDATE(RCD,B151)</f>
        <v>46934</v>
      </c>
      <c r="E152" s="199">
        <f>-IF(AND(D152&lt;=Revival!$C$2,MOD(B151,Mode)=0),Mod_Prem,0)+IF(B151='Pre-Calculation'!$D$12,SV,0)</f>
        <v>0</v>
      </c>
      <c r="F152" s="199">
        <f>-IF(AND(D152&lt;=Revival!$C$2,MOD(B151,Mode)=0),Mod_Prem,0)-IF(D152='Cashflows_8%'!$C$7,Revival!$C$14,0)-IF(AND(D152&gt;'Cashflows_8%'!$C$7,D152&lt;=Revival!$C$12,MOD(B151,Mode)=0),Mod_Prem,0)+IF(B151=PT*12,VLOOKUP(PT*12,'Cashflows_8%'!$A$7:$N$246,14,0),0)+IF(B151='Pre-Calculation'!$D$12,PW,0)</f>
        <v>0</v>
      </c>
      <c r="G152" s="122">
        <f>-IF(AND(D152&lt;=Revival!$C$2,MOD(B151,Mode)=0),Mod_Prem,0)-IF(D152='Cashflows_8%'!$C$7,Revival!$C$14,0)-IF(AND(D152&gt;'Cashflows_8%'!$C$7,D152&lt;=Revival!$C$12,MOD(B151,Mode)=0),Mod_Prem,0)+IF(B151=PT*12,VLOOKUP(PT*12,'Cashflows_4%'!$A$7:$N$246,14,0),0)+IF(B151='Pre-Calculation'!$D$12,PW,0)</f>
        <v>0</v>
      </c>
      <c r="H152" s="122">
        <f>-IF(AND(D152&lt;=Revival!$C$2,MOD(B151,Mode)=0),Mod_Prem,0)-IF(D152='Cashflows_8%'!$C$7,Revival!$C$14,0)-IF(AND(D152&gt;'Cashflows_8%'!$C$7,D152&lt;=Revival!$C$12,MOD(B151,Mode)=0),Mod_Prem,0)+IF(B151=PT*12,VLOOKUP(PT*12,Cashflows_HIST!$A$7:$N$246,14,0),0)+IF(B151='Pre-Calculation'!$D$12,PW,0)</f>
        <v>0</v>
      </c>
    </row>
    <row r="153" ht="14.25" customHeight="1">
      <c r="B153" s="171">
        <f t="shared" si="4"/>
        <v>146</v>
      </c>
      <c r="C153" s="171">
        <f t="shared" si="5"/>
        <v>13</v>
      </c>
      <c r="D153" s="176">
        <f>EDATE(RCD,B152)</f>
        <v>46964</v>
      </c>
      <c r="E153" s="199">
        <f>-IF(AND(D153&lt;=Revival!$C$2,MOD(B152,Mode)=0),Mod_Prem,0)+IF(B152='Pre-Calculation'!$D$12,SV,0)</f>
        <v>0</v>
      </c>
      <c r="F153" s="199">
        <f>-IF(AND(D153&lt;=Revival!$C$2,MOD(B152,Mode)=0),Mod_Prem,0)-IF(D153='Cashflows_8%'!$C$7,Revival!$C$14,0)-IF(AND(D153&gt;'Cashflows_8%'!$C$7,D153&lt;=Revival!$C$12,MOD(B152,Mode)=0),Mod_Prem,0)+IF(B152=PT*12,VLOOKUP(PT*12,'Cashflows_8%'!$A$7:$N$246,14,0),0)+IF(B152='Pre-Calculation'!$D$12,PW,0)</f>
        <v>0</v>
      </c>
      <c r="G153" s="122">
        <f>-IF(AND(D153&lt;=Revival!$C$2,MOD(B152,Mode)=0),Mod_Prem,0)-IF(D153='Cashflows_8%'!$C$7,Revival!$C$14,0)-IF(AND(D153&gt;'Cashflows_8%'!$C$7,D153&lt;=Revival!$C$12,MOD(B152,Mode)=0),Mod_Prem,0)+IF(B152=PT*12,VLOOKUP(PT*12,'Cashflows_4%'!$A$7:$N$246,14,0),0)+IF(B152='Pre-Calculation'!$D$12,PW,0)</f>
        <v>0</v>
      </c>
      <c r="H153" s="122">
        <f>-IF(AND(D153&lt;=Revival!$C$2,MOD(B152,Mode)=0),Mod_Prem,0)-IF(D153='Cashflows_8%'!$C$7,Revival!$C$14,0)-IF(AND(D153&gt;'Cashflows_8%'!$C$7,D153&lt;=Revival!$C$12,MOD(B152,Mode)=0),Mod_Prem,0)+IF(B152=PT*12,VLOOKUP(PT*12,Cashflows_HIST!$A$7:$N$246,14,0),0)+IF(B152='Pre-Calculation'!$D$12,PW,0)</f>
        <v>0</v>
      </c>
    </row>
    <row r="154" ht="14.25" customHeight="1">
      <c r="B154" s="171">
        <f t="shared" si="4"/>
        <v>147</v>
      </c>
      <c r="C154" s="171">
        <f t="shared" si="5"/>
        <v>13</v>
      </c>
      <c r="D154" s="176">
        <f>EDATE(RCD,B153)</f>
        <v>46995</v>
      </c>
      <c r="E154" s="199">
        <f>-IF(AND(D154&lt;=Revival!$C$2,MOD(B153,Mode)=0),Mod_Prem,0)+IF(B153='Pre-Calculation'!$D$12,SV,0)</f>
        <v>0</v>
      </c>
      <c r="F154" s="199">
        <f>-IF(AND(D154&lt;=Revival!$C$2,MOD(B153,Mode)=0),Mod_Prem,0)-IF(D154='Cashflows_8%'!$C$7,Revival!$C$14,0)-IF(AND(D154&gt;'Cashflows_8%'!$C$7,D154&lt;=Revival!$C$12,MOD(B153,Mode)=0),Mod_Prem,0)+IF(B153=PT*12,VLOOKUP(PT*12,'Cashflows_8%'!$A$7:$N$246,14,0),0)+IF(B153='Pre-Calculation'!$D$12,PW,0)</f>
        <v>0</v>
      </c>
      <c r="G154" s="122">
        <f>-IF(AND(D154&lt;=Revival!$C$2,MOD(B153,Mode)=0),Mod_Prem,0)-IF(D154='Cashflows_8%'!$C$7,Revival!$C$14,0)-IF(AND(D154&gt;'Cashflows_8%'!$C$7,D154&lt;=Revival!$C$12,MOD(B153,Mode)=0),Mod_Prem,0)+IF(B153=PT*12,VLOOKUP(PT*12,'Cashflows_4%'!$A$7:$N$246,14,0),0)+IF(B153='Pre-Calculation'!$D$12,PW,0)</f>
        <v>0</v>
      </c>
      <c r="H154" s="122">
        <f>-IF(AND(D154&lt;=Revival!$C$2,MOD(B153,Mode)=0),Mod_Prem,0)-IF(D154='Cashflows_8%'!$C$7,Revival!$C$14,0)-IF(AND(D154&gt;'Cashflows_8%'!$C$7,D154&lt;=Revival!$C$12,MOD(B153,Mode)=0),Mod_Prem,0)+IF(B153=PT*12,VLOOKUP(PT*12,Cashflows_HIST!$A$7:$N$246,14,0),0)+IF(B153='Pre-Calculation'!$D$12,PW,0)</f>
        <v>0</v>
      </c>
    </row>
    <row r="155" ht="14.25" customHeight="1">
      <c r="B155" s="171">
        <f t="shared" si="4"/>
        <v>148</v>
      </c>
      <c r="C155" s="171">
        <f t="shared" si="5"/>
        <v>13</v>
      </c>
      <c r="D155" s="176">
        <f>EDATE(RCD,B154)</f>
        <v>47026</v>
      </c>
      <c r="E155" s="199">
        <f>-IF(AND(D155&lt;=Revival!$C$2,MOD(B154,Mode)=0),Mod_Prem,0)+IF(B154='Pre-Calculation'!$D$12,SV,0)</f>
        <v>0</v>
      </c>
      <c r="F155" s="199">
        <f>-IF(AND(D155&lt;=Revival!$C$2,MOD(B154,Mode)=0),Mod_Prem,0)-IF(D155='Cashflows_8%'!$C$7,Revival!$C$14,0)-IF(AND(D155&gt;'Cashflows_8%'!$C$7,D155&lt;=Revival!$C$12,MOD(B154,Mode)=0),Mod_Prem,0)+IF(B154=PT*12,VLOOKUP(PT*12,'Cashflows_8%'!$A$7:$N$246,14,0),0)+IF(B154='Pre-Calculation'!$D$12,PW,0)</f>
        <v>0</v>
      </c>
      <c r="G155" s="122">
        <f>-IF(AND(D155&lt;=Revival!$C$2,MOD(B154,Mode)=0),Mod_Prem,0)-IF(D155='Cashflows_8%'!$C$7,Revival!$C$14,0)-IF(AND(D155&gt;'Cashflows_8%'!$C$7,D155&lt;=Revival!$C$12,MOD(B154,Mode)=0),Mod_Prem,0)+IF(B154=PT*12,VLOOKUP(PT*12,'Cashflows_4%'!$A$7:$N$246,14,0),0)+IF(B154='Pre-Calculation'!$D$12,PW,0)</f>
        <v>0</v>
      </c>
      <c r="H155" s="122">
        <f>-IF(AND(D155&lt;=Revival!$C$2,MOD(B154,Mode)=0),Mod_Prem,0)-IF(D155='Cashflows_8%'!$C$7,Revival!$C$14,0)-IF(AND(D155&gt;'Cashflows_8%'!$C$7,D155&lt;=Revival!$C$12,MOD(B154,Mode)=0),Mod_Prem,0)+IF(B154=PT*12,VLOOKUP(PT*12,Cashflows_HIST!$A$7:$N$246,14,0),0)+IF(B154='Pre-Calculation'!$D$12,PW,0)</f>
        <v>0</v>
      </c>
    </row>
    <row r="156" ht="14.25" customHeight="1">
      <c r="B156" s="171">
        <f t="shared" si="4"/>
        <v>149</v>
      </c>
      <c r="C156" s="171">
        <f t="shared" si="5"/>
        <v>13</v>
      </c>
      <c r="D156" s="176">
        <f>EDATE(RCD,B155)</f>
        <v>47056</v>
      </c>
      <c r="E156" s="199">
        <f>-IF(AND(D156&lt;=Revival!$C$2,MOD(B155,Mode)=0),Mod_Prem,0)+IF(B155='Pre-Calculation'!$D$12,SV,0)</f>
        <v>0</v>
      </c>
      <c r="F156" s="199">
        <f>-IF(AND(D156&lt;=Revival!$C$2,MOD(B155,Mode)=0),Mod_Prem,0)-IF(D156='Cashflows_8%'!$C$7,Revival!$C$14,0)-IF(AND(D156&gt;'Cashflows_8%'!$C$7,D156&lt;=Revival!$C$12,MOD(B155,Mode)=0),Mod_Prem,0)+IF(B155=PT*12,VLOOKUP(PT*12,'Cashflows_8%'!$A$7:$N$246,14,0),0)+IF(B155='Pre-Calculation'!$D$12,PW,0)</f>
        <v>0</v>
      </c>
      <c r="G156" s="122">
        <f>-IF(AND(D156&lt;=Revival!$C$2,MOD(B155,Mode)=0),Mod_Prem,0)-IF(D156='Cashflows_8%'!$C$7,Revival!$C$14,0)-IF(AND(D156&gt;'Cashflows_8%'!$C$7,D156&lt;=Revival!$C$12,MOD(B155,Mode)=0),Mod_Prem,0)+IF(B155=PT*12,VLOOKUP(PT*12,'Cashflows_4%'!$A$7:$N$246,14,0),0)+IF(B155='Pre-Calculation'!$D$12,PW,0)</f>
        <v>0</v>
      </c>
      <c r="H156" s="122">
        <f>-IF(AND(D156&lt;=Revival!$C$2,MOD(B155,Mode)=0),Mod_Prem,0)-IF(D156='Cashflows_8%'!$C$7,Revival!$C$14,0)-IF(AND(D156&gt;'Cashflows_8%'!$C$7,D156&lt;=Revival!$C$12,MOD(B155,Mode)=0),Mod_Prem,0)+IF(B155=PT*12,VLOOKUP(PT*12,Cashflows_HIST!$A$7:$N$246,14,0),0)+IF(B155='Pre-Calculation'!$D$12,PW,0)</f>
        <v>0</v>
      </c>
    </row>
    <row r="157" ht="14.25" customHeight="1">
      <c r="B157" s="171">
        <f t="shared" si="4"/>
        <v>150</v>
      </c>
      <c r="C157" s="171">
        <f t="shared" si="5"/>
        <v>13</v>
      </c>
      <c r="D157" s="176">
        <f>EDATE(RCD,B156)</f>
        <v>47087</v>
      </c>
      <c r="E157" s="199">
        <f>-IF(AND(D157&lt;=Revival!$C$2,MOD(B156,Mode)=0),Mod_Prem,0)+IF(B156='Pre-Calculation'!$D$12,SV,0)</f>
        <v>0</v>
      </c>
      <c r="F157" s="199">
        <f>-IF(AND(D157&lt;=Revival!$C$2,MOD(B156,Mode)=0),Mod_Prem,0)-IF(D157='Cashflows_8%'!$C$7,Revival!$C$14,0)-IF(AND(D157&gt;'Cashflows_8%'!$C$7,D157&lt;=Revival!$C$12,MOD(B156,Mode)=0),Mod_Prem,0)+IF(B156=PT*12,VLOOKUP(PT*12,'Cashflows_8%'!$A$7:$N$246,14,0),0)+IF(B156='Pre-Calculation'!$D$12,PW,0)</f>
        <v>0</v>
      </c>
      <c r="G157" s="122">
        <f>-IF(AND(D157&lt;=Revival!$C$2,MOD(B156,Mode)=0),Mod_Prem,0)-IF(D157='Cashflows_8%'!$C$7,Revival!$C$14,0)-IF(AND(D157&gt;'Cashflows_8%'!$C$7,D157&lt;=Revival!$C$12,MOD(B156,Mode)=0),Mod_Prem,0)+IF(B156=PT*12,VLOOKUP(PT*12,'Cashflows_4%'!$A$7:$N$246,14,0),0)+IF(B156='Pre-Calculation'!$D$12,PW,0)</f>
        <v>0</v>
      </c>
      <c r="H157" s="122">
        <f>-IF(AND(D157&lt;=Revival!$C$2,MOD(B156,Mode)=0),Mod_Prem,0)-IF(D157='Cashflows_8%'!$C$7,Revival!$C$14,0)-IF(AND(D157&gt;'Cashflows_8%'!$C$7,D157&lt;=Revival!$C$12,MOD(B156,Mode)=0),Mod_Prem,0)+IF(B156=PT*12,VLOOKUP(PT*12,Cashflows_HIST!$A$7:$N$246,14,0),0)+IF(B156='Pre-Calculation'!$D$12,PW,0)</f>
        <v>0</v>
      </c>
    </row>
    <row r="158" ht="14.25" customHeight="1">
      <c r="B158" s="171">
        <f t="shared" si="4"/>
        <v>151</v>
      </c>
      <c r="C158" s="171">
        <f t="shared" si="5"/>
        <v>13</v>
      </c>
      <c r="D158" s="176">
        <f>EDATE(RCD,B157)</f>
        <v>47117</v>
      </c>
      <c r="E158" s="199">
        <f>-IF(AND(D158&lt;=Revival!$C$2,MOD(B157,Mode)=0),Mod_Prem,0)+IF(B157='Pre-Calculation'!$D$12,SV,0)</f>
        <v>0</v>
      </c>
      <c r="F158" s="199">
        <f>-IF(AND(D158&lt;=Revival!$C$2,MOD(B157,Mode)=0),Mod_Prem,0)-IF(D158='Cashflows_8%'!$C$7,Revival!$C$14,0)-IF(AND(D158&gt;'Cashflows_8%'!$C$7,D158&lt;=Revival!$C$12,MOD(B157,Mode)=0),Mod_Prem,0)+IF(B157=PT*12,VLOOKUP(PT*12,'Cashflows_8%'!$A$7:$N$246,14,0),0)+IF(B157='Pre-Calculation'!$D$12,PW,0)</f>
        <v>0</v>
      </c>
      <c r="G158" s="122">
        <f>-IF(AND(D158&lt;=Revival!$C$2,MOD(B157,Mode)=0),Mod_Prem,0)-IF(D158='Cashflows_8%'!$C$7,Revival!$C$14,0)-IF(AND(D158&gt;'Cashflows_8%'!$C$7,D158&lt;=Revival!$C$12,MOD(B157,Mode)=0),Mod_Prem,0)+IF(B157=PT*12,VLOOKUP(PT*12,'Cashflows_4%'!$A$7:$N$246,14,0),0)+IF(B157='Pre-Calculation'!$D$12,PW,0)</f>
        <v>0</v>
      </c>
      <c r="H158" s="122">
        <f>-IF(AND(D158&lt;=Revival!$C$2,MOD(B157,Mode)=0),Mod_Prem,0)-IF(D158='Cashflows_8%'!$C$7,Revival!$C$14,0)-IF(AND(D158&gt;'Cashflows_8%'!$C$7,D158&lt;=Revival!$C$12,MOD(B157,Mode)=0),Mod_Prem,0)+IF(B157=PT*12,VLOOKUP(PT*12,Cashflows_HIST!$A$7:$N$246,14,0),0)+IF(B157='Pre-Calculation'!$D$12,PW,0)</f>
        <v>0</v>
      </c>
    </row>
    <row r="159" ht="14.25" customHeight="1">
      <c r="B159" s="171">
        <f t="shared" si="4"/>
        <v>152</v>
      </c>
      <c r="C159" s="171">
        <f t="shared" si="5"/>
        <v>13</v>
      </c>
      <c r="D159" s="176">
        <f>EDATE(RCD,B158)</f>
        <v>47148</v>
      </c>
      <c r="E159" s="199">
        <f>-IF(AND(D159&lt;=Revival!$C$2,MOD(B158,Mode)=0),Mod_Prem,0)+IF(B158='Pre-Calculation'!$D$12,SV,0)</f>
        <v>0</v>
      </c>
      <c r="F159" s="199">
        <f>-IF(AND(D159&lt;=Revival!$C$2,MOD(B158,Mode)=0),Mod_Prem,0)-IF(D159='Cashflows_8%'!$C$7,Revival!$C$14,0)-IF(AND(D159&gt;'Cashflows_8%'!$C$7,D159&lt;=Revival!$C$12,MOD(B158,Mode)=0),Mod_Prem,0)+IF(B158=PT*12,VLOOKUP(PT*12,'Cashflows_8%'!$A$7:$N$246,14,0),0)+IF(B158='Pre-Calculation'!$D$12,PW,0)</f>
        <v>0</v>
      </c>
      <c r="G159" s="122">
        <f>-IF(AND(D159&lt;=Revival!$C$2,MOD(B158,Mode)=0),Mod_Prem,0)-IF(D159='Cashflows_8%'!$C$7,Revival!$C$14,0)-IF(AND(D159&gt;'Cashflows_8%'!$C$7,D159&lt;=Revival!$C$12,MOD(B158,Mode)=0),Mod_Prem,0)+IF(B158=PT*12,VLOOKUP(PT*12,'Cashflows_4%'!$A$7:$N$246,14,0),0)+IF(B158='Pre-Calculation'!$D$12,PW,0)</f>
        <v>0</v>
      </c>
      <c r="H159" s="122">
        <f>-IF(AND(D159&lt;=Revival!$C$2,MOD(B158,Mode)=0),Mod_Prem,0)-IF(D159='Cashflows_8%'!$C$7,Revival!$C$14,0)-IF(AND(D159&gt;'Cashflows_8%'!$C$7,D159&lt;=Revival!$C$12,MOD(B158,Mode)=0),Mod_Prem,0)+IF(B158=PT*12,VLOOKUP(PT*12,Cashflows_HIST!$A$7:$N$246,14,0),0)+IF(B158='Pre-Calculation'!$D$12,PW,0)</f>
        <v>0</v>
      </c>
    </row>
    <row r="160" ht="14.25" customHeight="1">
      <c r="B160" s="171">
        <f t="shared" si="4"/>
        <v>153</v>
      </c>
      <c r="C160" s="171">
        <f t="shared" si="5"/>
        <v>13</v>
      </c>
      <c r="D160" s="176">
        <f>EDATE(RCD,B159)</f>
        <v>47177</v>
      </c>
      <c r="E160" s="199">
        <f>-IF(AND(D160&lt;=Revival!$C$2,MOD(B159,Mode)=0),Mod_Prem,0)+IF(B159='Pre-Calculation'!$D$12,SV,0)</f>
        <v>0</v>
      </c>
      <c r="F160" s="199">
        <f>-IF(AND(D160&lt;=Revival!$C$2,MOD(B159,Mode)=0),Mod_Prem,0)-IF(D160='Cashflows_8%'!$C$7,Revival!$C$14,0)-IF(AND(D160&gt;'Cashflows_8%'!$C$7,D160&lt;=Revival!$C$12,MOD(B159,Mode)=0),Mod_Prem,0)+IF(B159=PT*12,VLOOKUP(PT*12,'Cashflows_8%'!$A$7:$N$246,14,0),0)+IF(B159='Pre-Calculation'!$D$12,PW,0)</f>
        <v>0</v>
      </c>
      <c r="G160" s="122">
        <f>-IF(AND(D160&lt;=Revival!$C$2,MOD(B159,Mode)=0),Mod_Prem,0)-IF(D160='Cashflows_8%'!$C$7,Revival!$C$14,0)-IF(AND(D160&gt;'Cashflows_8%'!$C$7,D160&lt;=Revival!$C$12,MOD(B159,Mode)=0),Mod_Prem,0)+IF(B159=PT*12,VLOOKUP(PT*12,'Cashflows_4%'!$A$7:$N$246,14,0),0)+IF(B159='Pre-Calculation'!$D$12,PW,0)</f>
        <v>0</v>
      </c>
      <c r="H160" s="122">
        <f>-IF(AND(D160&lt;=Revival!$C$2,MOD(B159,Mode)=0),Mod_Prem,0)-IF(D160='Cashflows_8%'!$C$7,Revival!$C$14,0)-IF(AND(D160&gt;'Cashflows_8%'!$C$7,D160&lt;=Revival!$C$12,MOD(B159,Mode)=0),Mod_Prem,0)+IF(B159=PT*12,VLOOKUP(PT*12,Cashflows_HIST!$A$7:$N$246,14,0),0)+IF(B159='Pre-Calculation'!$D$12,PW,0)</f>
        <v>0</v>
      </c>
    </row>
    <row r="161" ht="14.25" customHeight="1">
      <c r="B161" s="171">
        <f t="shared" si="4"/>
        <v>154</v>
      </c>
      <c r="C161" s="171">
        <f t="shared" si="5"/>
        <v>13</v>
      </c>
      <c r="D161" s="176">
        <f>EDATE(RCD,B160)</f>
        <v>47207</v>
      </c>
      <c r="E161" s="199">
        <f>-IF(AND(D161&lt;=Revival!$C$2,MOD(B160,Mode)=0),Mod_Prem,0)+IF(B160='Pre-Calculation'!$D$12,SV,0)</f>
        <v>0</v>
      </c>
      <c r="F161" s="199">
        <f>-IF(AND(D161&lt;=Revival!$C$2,MOD(B160,Mode)=0),Mod_Prem,0)-IF(D161='Cashflows_8%'!$C$7,Revival!$C$14,0)-IF(AND(D161&gt;'Cashflows_8%'!$C$7,D161&lt;=Revival!$C$12,MOD(B160,Mode)=0),Mod_Prem,0)+IF(B160=PT*12,VLOOKUP(PT*12,'Cashflows_8%'!$A$7:$N$246,14,0),0)+IF(B160='Pre-Calculation'!$D$12,PW,0)</f>
        <v>0</v>
      </c>
      <c r="G161" s="122">
        <f>-IF(AND(D161&lt;=Revival!$C$2,MOD(B160,Mode)=0),Mod_Prem,0)-IF(D161='Cashflows_8%'!$C$7,Revival!$C$14,0)-IF(AND(D161&gt;'Cashflows_8%'!$C$7,D161&lt;=Revival!$C$12,MOD(B160,Mode)=0),Mod_Prem,0)+IF(B160=PT*12,VLOOKUP(PT*12,'Cashflows_4%'!$A$7:$N$246,14,0),0)+IF(B160='Pre-Calculation'!$D$12,PW,0)</f>
        <v>0</v>
      </c>
      <c r="H161" s="122">
        <f>-IF(AND(D161&lt;=Revival!$C$2,MOD(B160,Mode)=0),Mod_Prem,0)-IF(D161='Cashflows_8%'!$C$7,Revival!$C$14,0)-IF(AND(D161&gt;'Cashflows_8%'!$C$7,D161&lt;=Revival!$C$12,MOD(B160,Mode)=0),Mod_Prem,0)+IF(B160=PT*12,VLOOKUP(PT*12,Cashflows_HIST!$A$7:$N$246,14,0),0)+IF(B160='Pre-Calculation'!$D$12,PW,0)</f>
        <v>0</v>
      </c>
    </row>
    <row r="162" ht="14.25" customHeight="1">
      <c r="B162" s="171">
        <f t="shared" si="4"/>
        <v>155</v>
      </c>
      <c r="C162" s="171">
        <f t="shared" si="5"/>
        <v>13</v>
      </c>
      <c r="D162" s="176">
        <f>EDATE(RCD,B161)</f>
        <v>47238</v>
      </c>
      <c r="E162" s="199">
        <f>-IF(AND(D162&lt;=Revival!$C$2,MOD(B161,Mode)=0),Mod_Prem,0)+IF(B161='Pre-Calculation'!$D$12,SV,0)</f>
        <v>0</v>
      </c>
      <c r="F162" s="199">
        <f>-IF(AND(D162&lt;=Revival!$C$2,MOD(B161,Mode)=0),Mod_Prem,0)-IF(D162='Cashflows_8%'!$C$7,Revival!$C$14,0)-IF(AND(D162&gt;'Cashflows_8%'!$C$7,D162&lt;=Revival!$C$12,MOD(B161,Mode)=0),Mod_Prem,0)+IF(B161=PT*12,VLOOKUP(PT*12,'Cashflows_8%'!$A$7:$N$246,14,0),0)+IF(B161='Pre-Calculation'!$D$12,PW,0)</f>
        <v>0</v>
      </c>
      <c r="G162" s="122">
        <f>-IF(AND(D162&lt;=Revival!$C$2,MOD(B161,Mode)=0),Mod_Prem,0)-IF(D162='Cashflows_8%'!$C$7,Revival!$C$14,0)-IF(AND(D162&gt;'Cashflows_8%'!$C$7,D162&lt;=Revival!$C$12,MOD(B161,Mode)=0),Mod_Prem,0)+IF(B161=PT*12,VLOOKUP(PT*12,'Cashflows_4%'!$A$7:$N$246,14,0),0)+IF(B161='Pre-Calculation'!$D$12,PW,0)</f>
        <v>0</v>
      </c>
      <c r="H162" s="122">
        <f>-IF(AND(D162&lt;=Revival!$C$2,MOD(B161,Mode)=0),Mod_Prem,0)-IF(D162='Cashflows_8%'!$C$7,Revival!$C$14,0)-IF(AND(D162&gt;'Cashflows_8%'!$C$7,D162&lt;=Revival!$C$12,MOD(B161,Mode)=0),Mod_Prem,0)+IF(B161=PT*12,VLOOKUP(PT*12,Cashflows_HIST!$A$7:$N$246,14,0),0)+IF(B161='Pre-Calculation'!$D$12,PW,0)</f>
        <v>0</v>
      </c>
    </row>
    <row r="163" ht="14.25" customHeight="1">
      <c r="B163" s="171">
        <f t="shared" si="4"/>
        <v>156</v>
      </c>
      <c r="C163" s="171">
        <f t="shared" si="5"/>
        <v>13</v>
      </c>
      <c r="D163" s="176">
        <f>EDATE(RCD,B162)</f>
        <v>47268</v>
      </c>
      <c r="E163" s="199">
        <f>-IF(AND(D163&lt;=Revival!$C$2,MOD(B162,Mode)=0),Mod_Prem,0)+IF(B162='Pre-Calculation'!$D$12,SV,0)</f>
        <v>0</v>
      </c>
      <c r="F163" s="199">
        <f>-IF(AND(D163&lt;=Revival!$C$2,MOD(B162,Mode)=0),Mod_Prem,0)-IF(D163='Cashflows_8%'!$C$7,Revival!$C$14,0)-IF(AND(D163&gt;'Cashflows_8%'!$C$7,D163&lt;=Revival!$C$12,MOD(B162,Mode)=0),Mod_Prem,0)+IF(B162=PT*12,VLOOKUP(PT*12,'Cashflows_8%'!$A$7:$N$246,14,0),0)+IF(B162='Pre-Calculation'!$D$12,PW,0)</f>
        <v>0</v>
      </c>
      <c r="G163" s="122">
        <f>-IF(AND(D163&lt;=Revival!$C$2,MOD(B162,Mode)=0),Mod_Prem,0)-IF(D163='Cashflows_8%'!$C$7,Revival!$C$14,0)-IF(AND(D163&gt;'Cashflows_8%'!$C$7,D163&lt;=Revival!$C$12,MOD(B162,Mode)=0),Mod_Prem,0)+IF(B162=PT*12,VLOOKUP(PT*12,'Cashflows_4%'!$A$7:$N$246,14,0),0)+IF(B162='Pre-Calculation'!$D$12,PW,0)</f>
        <v>0</v>
      </c>
      <c r="H163" s="122">
        <f>-IF(AND(D163&lt;=Revival!$C$2,MOD(B162,Mode)=0),Mod_Prem,0)-IF(D163='Cashflows_8%'!$C$7,Revival!$C$14,0)-IF(AND(D163&gt;'Cashflows_8%'!$C$7,D163&lt;=Revival!$C$12,MOD(B162,Mode)=0),Mod_Prem,0)+IF(B162=PT*12,VLOOKUP(PT*12,Cashflows_HIST!$A$7:$N$246,14,0),0)+IF(B162='Pre-Calculation'!$D$12,PW,0)</f>
        <v>0</v>
      </c>
    </row>
    <row r="164" ht="14.25" customHeight="1">
      <c r="B164" s="171">
        <f t="shared" si="4"/>
        <v>157</v>
      </c>
      <c r="C164" s="171">
        <f t="shared" si="5"/>
        <v>14</v>
      </c>
      <c r="D164" s="176">
        <f>EDATE(RCD,B163)</f>
        <v>47299</v>
      </c>
      <c r="E164" s="199">
        <f>-IF(AND(D164&lt;=Revival!$C$2,MOD(B163,Mode)=0),Mod_Prem,0)+IF(B163='Pre-Calculation'!$D$12,SV,0)</f>
        <v>0</v>
      </c>
      <c r="F164" s="199">
        <f>-IF(AND(D164&lt;=Revival!$C$2,MOD(B163,Mode)=0),Mod_Prem,0)-IF(D164='Cashflows_8%'!$C$7,Revival!$C$14,0)-IF(AND(D164&gt;'Cashflows_8%'!$C$7,D164&lt;=Revival!$C$12,MOD(B163,Mode)=0),Mod_Prem,0)+IF(B163=PT*12,VLOOKUP(PT*12,'Cashflows_8%'!$A$7:$N$246,14,0),0)+IF(B163='Pre-Calculation'!$D$12,PW,0)</f>
        <v>0</v>
      </c>
      <c r="G164" s="122">
        <f>-IF(AND(D164&lt;=Revival!$C$2,MOD(B163,Mode)=0),Mod_Prem,0)-IF(D164='Cashflows_8%'!$C$7,Revival!$C$14,0)-IF(AND(D164&gt;'Cashflows_8%'!$C$7,D164&lt;=Revival!$C$12,MOD(B163,Mode)=0),Mod_Prem,0)+IF(B163=PT*12,VLOOKUP(PT*12,'Cashflows_4%'!$A$7:$N$246,14,0),0)+IF(B163='Pre-Calculation'!$D$12,PW,0)</f>
        <v>0</v>
      </c>
      <c r="H164" s="122">
        <f>-IF(AND(D164&lt;=Revival!$C$2,MOD(B163,Mode)=0),Mod_Prem,0)-IF(D164='Cashflows_8%'!$C$7,Revival!$C$14,0)-IF(AND(D164&gt;'Cashflows_8%'!$C$7,D164&lt;=Revival!$C$12,MOD(B163,Mode)=0),Mod_Prem,0)+IF(B163=PT*12,VLOOKUP(PT*12,Cashflows_HIST!$A$7:$N$246,14,0),0)+IF(B163='Pre-Calculation'!$D$12,PW,0)</f>
        <v>0</v>
      </c>
    </row>
    <row r="165" ht="14.25" customHeight="1">
      <c r="B165" s="171">
        <f t="shared" si="4"/>
        <v>158</v>
      </c>
      <c r="C165" s="171">
        <f t="shared" si="5"/>
        <v>14</v>
      </c>
      <c r="D165" s="176">
        <f>EDATE(RCD,B164)</f>
        <v>47329</v>
      </c>
      <c r="E165" s="199">
        <f>-IF(AND(D165&lt;=Revival!$C$2,MOD(B164,Mode)=0),Mod_Prem,0)+IF(B164='Pre-Calculation'!$D$12,SV,0)</f>
        <v>0</v>
      </c>
      <c r="F165" s="199">
        <f>-IF(AND(D165&lt;=Revival!$C$2,MOD(B164,Mode)=0),Mod_Prem,0)-IF(D165='Cashflows_8%'!$C$7,Revival!$C$14,0)-IF(AND(D165&gt;'Cashflows_8%'!$C$7,D165&lt;=Revival!$C$12,MOD(B164,Mode)=0),Mod_Prem,0)+IF(B164=PT*12,VLOOKUP(PT*12,'Cashflows_8%'!$A$7:$N$246,14,0),0)+IF(B164='Pre-Calculation'!$D$12,PW,0)</f>
        <v>0</v>
      </c>
      <c r="G165" s="122">
        <f>-IF(AND(D165&lt;=Revival!$C$2,MOD(B164,Mode)=0),Mod_Prem,0)-IF(D165='Cashflows_8%'!$C$7,Revival!$C$14,0)-IF(AND(D165&gt;'Cashflows_8%'!$C$7,D165&lt;=Revival!$C$12,MOD(B164,Mode)=0),Mod_Prem,0)+IF(B164=PT*12,VLOOKUP(PT*12,'Cashflows_4%'!$A$7:$N$246,14,0),0)+IF(B164='Pre-Calculation'!$D$12,PW,0)</f>
        <v>0</v>
      </c>
      <c r="H165" s="122">
        <f>-IF(AND(D165&lt;=Revival!$C$2,MOD(B164,Mode)=0),Mod_Prem,0)-IF(D165='Cashflows_8%'!$C$7,Revival!$C$14,0)-IF(AND(D165&gt;'Cashflows_8%'!$C$7,D165&lt;=Revival!$C$12,MOD(B164,Mode)=0),Mod_Prem,0)+IF(B164=PT*12,VLOOKUP(PT*12,Cashflows_HIST!$A$7:$N$246,14,0),0)+IF(B164='Pre-Calculation'!$D$12,PW,0)</f>
        <v>0</v>
      </c>
    </row>
    <row r="166" ht="14.25" customHeight="1">
      <c r="B166" s="171">
        <f t="shared" si="4"/>
        <v>159</v>
      </c>
      <c r="C166" s="171">
        <f t="shared" si="5"/>
        <v>14</v>
      </c>
      <c r="D166" s="176">
        <f>EDATE(RCD,B165)</f>
        <v>47360</v>
      </c>
      <c r="E166" s="199">
        <f>-IF(AND(D166&lt;=Revival!$C$2,MOD(B165,Mode)=0),Mod_Prem,0)+IF(B165='Pre-Calculation'!$D$12,SV,0)</f>
        <v>0</v>
      </c>
      <c r="F166" s="199">
        <f>-IF(AND(D166&lt;=Revival!$C$2,MOD(B165,Mode)=0),Mod_Prem,0)-IF(D166='Cashflows_8%'!$C$7,Revival!$C$14,0)-IF(AND(D166&gt;'Cashflows_8%'!$C$7,D166&lt;=Revival!$C$12,MOD(B165,Mode)=0),Mod_Prem,0)+IF(B165=PT*12,VLOOKUP(PT*12,'Cashflows_8%'!$A$7:$N$246,14,0),0)+IF(B165='Pre-Calculation'!$D$12,PW,0)</f>
        <v>0</v>
      </c>
      <c r="G166" s="122">
        <f>-IF(AND(D166&lt;=Revival!$C$2,MOD(B165,Mode)=0),Mod_Prem,0)-IF(D166='Cashflows_8%'!$C$7,Revival!$C$14,0)-IF(AND(D166&gt;'Cashflows_8%'!$C$7,D166&lt;=Revival!$C$12,MOD(B165,Mode)=0),Mod_Prem,0)+IF(B165=PT*12,VLOOKUP(PT*12,'Cashflows_4%'!$A$7:$N$246,14,0),0)+IF(B165='Pre-Calculation'!$D$12,PW,0)</f>
        <v>0</v>
      </c>
      <c r="H166" s="122">
        <f>-IF(AND(D166&lt;=Revival!$C$2,MOD(B165,Mode)=0),Mod_Prem,0)-IF(D166='Cashflows_8%'!$C$7,Revival!$C$14,0)-IF(AND(D166&gt;'Cashflows_8%'!$C$7,D166&lt;=Revival!$C$12,MOD(B165,Mode)=0),Mod_Prem,0)+IF(B165=PT*12,VLOOKUP(PT*12,Cashflows_HIST!$A$7:$N$246,14,0),0)+IF(B165='Pre-Calculation'!$D$12,PW,0)</f>
        <v>0</v>
      </c>
    </row>
    <row r="167" ht="14.25" customHeight="1">
      <c r="B167" s="171">
        <f t="shared" si="4"/>
        <v>160</v>
      </c>
      <c r="C167" s="171">
        <f t="shared" si="5"/>
        <v>14</v>
      </c>
      <c r="D167" s="176">
        <f>EDATE(RCD,B166)</f>
        <v>47391</v>
      </c>
      <c r="E167" s="199">
        <f>-IF(AND(D167&lt;=Revival!$C$2,MOD(B166,Mode)=0),Mod_Prem,0)+IF(B166='Pre-Calculation'!$D$12,SV,0)</f>
        <v>0</v>
      </c>
      <c r="F167" s="199">
        <f>-IF(AND(D167&lt;=Revival!$C$2,MOD(B166,Mode)=0),Mod_Prem,0)-IF(D167='Cashflows_8%'!$C$7,Revival!$C$14,0)-IF(AND(D167&gt;'Cashflows_8%'!$C$7,D167&lt;=Revival!$C$12,MOD(B166,Mode)=0),Mod_Prem,0)+IF(B166=PT*12,VLOOKUP(PT*12,'Cashflows_8%'!$A$7:$N$246,14,0),0)+IF(B166='Pre-Calculation'!$D$12,PW,0)</f>
        <v>0</v>
      </c>
      <c r="G167" s="122">
        <f>-IF(AND(D167&lt;=Revival!$C$2,MOD(B166,Mode)=0),Mod_Prem,0)-IF(D167='Cashflows_8%'!$C$7,Revival!$C$14,0)-IF(AND(D167&gt;'Cashflows_8%'!$C$7,D167&lt;=Revival!$C$12,MOD(B166,Mode)=0),Mod_Prem,0)+IF(B166=PT*12,VLOOKUP(PT*12,'Cashflows_4%'!$A$7:$N$246,14,0),0)+IF(B166='Pre-Calculation'!$D$12,PW,0)</f>
        <v>0</v>
      </c>
      <c r="H167" s="122">
        <f>-IF(AND(D167&lt;=Revival!$C$2,MOD(B166,Mode)=0),Mod_Prem,0)-IF(D167='Cashflows_8%'!$C$7,Revival!$C$14,0)-IF(AND(D167&gt;'Cashflows_8%'!$C$7,D167&lt;=Revival!$C$12,MOD(B166,Mode)=0),Mod_Prem,0)+IF(B166=PT*12,VLOOKUP(PT*12,Cashflows_HIST!$A$7:$N$246,14,0),0)+IF(B166='Pre-Calculation'!$D$12,PW,0)</f>
        <v>0</v>
      </c>
    </row>
    <row r="168" ht="14.25" customHeight="1">
      <c r="B168" s="171">
        <f t="shared" si="4"/>
        <v>161</v>
      </c>
      <c r="C168" s="171">
        <f t="shared" si="5"/>
        <v>14</v>
      </c>
      <c r="D168" s="176">
        <f>EDATE(RCD,B167)</f>
        <v>47421</v>
      </c>
      <c r="E168" s="199">
        <f>-IF(AND(D168&lt;=Revival!$C$2,MOD(B167,Mode)=0),Mod_Prem,0)+IF(B167='Pre-Calculation'!$D$12,SV,0)</f>
        <v>0</v>
      </c>
      <c r="F168" s="199">
        <f>-IF(AND(D168&lt;=Revival!$C$2,MOD(B167,Mode)=0),Mod_Prem,0)-IF(D168='Cashflows_8%'!$C$7,Revival!$C$14,0)-IF(AND(D168&gt;'Cashflows_8%'!$C$7,D168&lt;=Revival!$C$12,MOD(B167,Mode)=0),Mod_Prem,0)+IF(B167=PT*12,VLOOKUP(PT*12,'Cashflows_8%'!$A$7:$N$246,14,0),0)+IF(B167='Pre-Calculation'!$D$12,PW,0)</f>
        <v>0</v>
      </c>
      <c r="G168" s="122">
        <f>-IF(AND(D168&lt;=Revival!$C$2,MOD(B167,Mode)=0),Mod_Prem,0)-IF(D168='Cashflows_8%'!$C$7,Revival!$C$14,0)-IF(AND(D168&gt;'Cashflows_8%'!$C$7,D168&lt;=Revival!$C$12,MOD(B167,Mode)=0),Mod_Prem,0)+IF(B167=PT*12,VLOOKUP(PT*12,'Cashflows_4%'!$A$7:$N$246,14,0),0)+IF(B167='Pre-Calculation'!$D$12,PW,0)</f>
        <v>0</v>
      </c>
      <c r="H168" s="122">
        <f>-IF(AND(D168&lt;=Revival!$C$2,MOD(B167,Mode)=0),Mod_Prem,0)-IF(D168='Cashflows_8%'!$C$7,Revival!$C$14,0)-IF(AND(D168&gt;'Cashflows_8%'!$C$7,D168&lt;=Revival!$C$12,MOD(B167,Mode)=0),Mod_Prem,0)+IF(B167=PT*12,VLOOKUP(PT*12,Cashflows_HIST!$A$7:$N$246,14,0),0)+IF(B167='Pre-Calculation'!$D$12,PW,0)</f>
        <v>0</v>
      </c>
    </row>
    <row r="169" ht="14.25" customHeight="1">
      <c r="B169" s="171">
        <f t="shared" si="4"/>
        <v>162</v>
      </c>
      <c r="C169" s="171">
        <f t="shared" si="5"/>
        <v>14</v>
      </c>
      <c r="D169" s="176">
        <f>EDATE(RCD,B168)</f>
        <v>47452</v>
      </c>
      <c r="E169" s="199">
        <f>-IF(AND(D169&lt;=Revival!$C$2,MOD(B168,Mode)=0),Mod_Prem,0)+IF(B168='Pre-Calculation'!$D$12,SV,0)</f>
        <v>0</v>
      </c>
      <c r="F169" s="199">
        <f>-IF(AND(D169&lt;=Revival!$C$2,MOD(B168,Mode)=0),Mod_Prem,0)-IF(D169='Cashflows_8%'!$C$7,Revival!$C$14,0)-IF(AND(D169&gt;'Cashflows_8%'!$C$7,D169&lt;=Revival!$C$12,MOD(B168,Mode)=0),Mod_Prem,0)+IF(B168=PT*12,VLOOKUP(PT*12,'Cashflows_8%'!$A$7:$N$246,14,0),0)+IF(B168='Pre-Calculation'!$D$12,PW,0)</f>
        <v>0</v>
      </c>
      <c r="G169" s="122">
        <f>-IF(AND(D169&lt;=Revival!$C$2,MOD(B168,Mode)=0),Mod_Prem,0)-IF(D169='Cashflows_8%'!$C$7,Revival!$C$14,0)-IF(AND(D169&gt;'Cashflows_8%'!$C$7,D169&lt;=Revival!$C$12,MOD(B168,Mode)=0),Mod_Prem,0)+IF(B168=PT*12,VLOOKUP(PT*12,'Cashflows_4%'!$A$7:$N$246,14,0),0)+IF(B168='Pre-Calculation'!$D$12,PW,0)</f>
        <v>0</v>
      </c>
      <c r="H169" s="122">
        <f>-IF(AND(D169&lt;=Revival!$C$2,MOD(B168,Mode)=0),Mod_Prem,0)-IF(D169='Cashflows_8%'!$C$7,Revival!$C$14,0)-IF(AND(D169&gt;'Cashflows_8%'!$C$7,D169&lt;=Revival!$C$12,MOD(B168,Mode)=0),Mod_Prem,0)+IF(B168=PT*12,VLOOKUP(PT*12,Cashflows_HIST!$A$7:$N$246,14,0),0)+IF(B168='Pre-Calculation'!$D$12,PW,0)</f>
        <v>0</v>
      </c>
    </row>
    <row r="170" ht="14.25" customHeight="1">
      <c r="B170" s="171">
        <f t="shared" si="4"/>
        <v>163</v>
      </c>
      <c r="C170" s="171">
        <f t="shared" si="5"/>
        <v>14</v>
      </c>
      <c r="D170" s="176">
        <f>EDATE(RCD,B169)</f>
        <v>47482</v>
      </c>
      <c r="E170" s="199">
        <f>-IF(AND(D170&lt;=Revival!$C$2,MOD(B169,Mode)=0),Mod_Prem,0)+IF(B169='Pre-Calculation'!$D$12,SV,0)</f>
        <v>0</v>
      </c>
      <c r="F170" s="199">
        <f>-IF(AND(D170&lt;=Revival!$C$2,MOD(B169,Mode)=0),Mod_Prem,0)-IF(D170='Cashflows_8%'!$C$7,Revival!$C$14,0)-IF(AND(D170&gt;'Cashflows_8%'!$C$7,D170&lt;=Revival!$C$12,MOD(B169,Mode)=0),Mod_Prem,0)+IF(B169=PT*12,VLOOKUP(PT*12,'Cashflows_8%'!$A$7:$N$246,14,0),0)+IF(B169='Pre-Calculation'!$D$12,PW,0)</f>
        <v>0</v>
      </c>
      <c r="G170" s="122">
        <f>-IF(AND(D170&lt;=Revival!$C$2,MOD(B169,Mode)=0),Mod_Prem,0)-IF(D170='Cashflows_8%'!$C$7,Revival!$C$14,0)-IF(AND(D170&gt;'Cashflows_8%'!$C$7,D170&lt;=Revival!$C$12,MOD(B169,Mode)=0),Mod_Prem,0)+IF(B169=PT*12,VLOOKUP(PT*12,'Cashflows_4%'!$A$7:$N$246,14,0),0)+IF(B169='Pre-Calculation'!$D$12,PW,0)</f>
        <v>0</v>
      </c>
      <c r="H170" s="122">
        <f>-IF(AND(D170&lt;=Revival!$C$2,MOD(B169,Mode)=0),Mod_Prem,0)-IF(D170='Cashflows_8%'!$C$7,Revival!$C$14,0)-IF(AND(D170&gt;'Cashflows_8%'!$C$7,D170&lt;=Revival!$C$12,MOD(B169,Mode)=0),Mod_Prem,0)+IF(B169=PT*12,VLOOKUP(PT*12,Cashflows_HIST!$A$7:$N$246,14,0),0)+IF(B169='Pre-Calculation'!$D$12,PW,0)</f>
        <v>0</v>
      </c>
    </row>
    <row r="171" ht="14.25" customHeight="1">
      <c r="B171" s="171">
        <f t="shared" si="4"/>
        <v>164</v>
      </c>
      <c r="C171" s="171">
        <f t="shared" si="5"/>
        <v>14</v>
      </c>
      <c r="D171" s="176">
        <f>EDATE(RCD,B170)</f>
        <v>47513</v>
      </c>
      <c r="E171" s="199">
        <f>-IF(AND(D171&lt;=Revival!$C$2,MOD(B170,Mode)=0),Mod_Prem,0)+IF(B170='Pre-Calculation'!$D$12,SV,0)</f>
        <v>0</v>
      </c>
      <c r="F171" s="199">
        <f>-IF(AND(D171&lt;=Revival!$C$2,MOD(B170,Mode)=0),Mod_Prem,0)-IF(D171='Cashflows_8%'!$C$7,Revival!$C$14,0)-IF(AND(D171&gt;'Cashflows_8%'!$C$7,D171&lt;=Revival!$C$12,MOD(B170,Mode)=0),Mod_Prem,0)+IF(B170=PT*12,VLOOKUP(PT*12,'Cashflows_8%'!$A$7:$N$246,14,0),0)+IF(B170='Pre-Calculation'!$D$12,PW,0)</f>
        <v>0</v>
      </c>
      <c r="G171" s="122">
        <f>-IF(AND(D171&lt;=Revival!$C$2,MOD(B170,Mode)=0),Mod_Prem,0)-IF(D171='Cashflows_8%'!$C$7,Revival!$C$14,0)-IF(AND(D171&gt;'Cashflows_8%'!$C$7,D171&lt;=Revival!$C$12,MOD(B170,Mode)=0),Mod_Prem,0)+IF(B170=PT*12,VLOOKUP(PT*12,'Cashflows_4%'!$A$7:$N$246,14,0),0)+IF(B170='Pre-Calculation'!$D$12,PW,0)</f>
        <v>0</v>
      </c>
      <c r="H171" s="122">
        <f>-IF(AND(D171&lt;=Revival!$C$2,MOD(B170,Mode)=0),Mod_Prem,0)-IF(D171='Cashflows_8%'!$C$7,Revival!$C$14,0)-IF(AND(D171&gt;'Cashflows_8%'!$C$7,D171&lt;=Revival!$C$12,MOD(B170,Mode)=0),Mod_Prem,0)+IF(B170=PT*12,VLOOKUP(PT*12,Cashflows_HIST!$A$7:$N$246,14,0),0)+IF(B170='Pre-Calculation'!$D$12,PW,0)</f>
        <v>0</v>
      </c>
    </row>
    <row r="172" ht="14.25" customHeight="1">
      <c r="B172" s="171">
        <f t="shared" si="4"/>
        <v>165</v>
      </c>
      <c r="C172" s="171">
        <f t="shared" si="5"/>
        <v>14</v>
      </c>
      <c r="D172" s="176">
        <f>EDATE(RCD,B171)</f>
        <v>47542</v>
      </c>
      <c r="E172" s="199">
        <f>-IF(AND(D172&lt;=Revival!$C$2,MOD(B171,Mode)=0),Mod_Prem,0)+IF(B171='Pre-Calculation'!$D$12,SV,0)</f>
        <v>0</v>
      </c>
      <c r="F172" s="199">
        <f>-IF(AND(D172&lt;=Revival!$C$2,MOD(B171,Mode)=0),Mod_Prem,0)-IF(D172='Cashflows_8%'!$C$7,Revival!$C$14,0)-IF(AND(D172&gt;'Cashflows_8%'!$C$7,D172&lt;=Revival!$C$12,MOD(B171,Mode)=0),Mod_Prem,0)+IF(B171=PT*12,VLOOKUP(PT*12,'Cashflows_8%'!$A$7:$N$246,14,0),0)+IF(B171='Pre-Calculation'!$D$12,PW,0)</f>
        <v>0</v>
      </c>
      <c r="G172" s="122">
        <f>-IF(AND(D172&lt;=Revival!$C$2,MOD(B171,Mode)=0),Mod_Prem,0)-IF(D172='Cashflows_8%'!$C$7,Revival!$C$14,0)-IF(AND(D172&gt;'Cashflows_8%'!$C$7,D172&lt;=Revival!$C$12,MOD(B171,Mode)=0),Mod_Prem,0)+IF(B171=PT*12,VLOOKUP(PT*12,'Cashflows_4%'!$A$7:$N$246,14,0),0)+IF(B171='Pre-Calculation'!$D$12,PW,0)</f>
        <v>0</v>
      </c>
      <c r="H172" s="122">
        <f>-IF(AND(D172&lt;=Revival!$C$2,MOD(B171,Mode)=0),Mod_Prem,0)-IF(D172='Cashflows_8%'!$C$7,Revival!$C$14,0)-IF(AND(D172&gt;'Cashflows_8%'!$C$7,D172&lt;=Revival!$C$12,MOD(B171,Mode)=0),Mod_Prem,0)+IF(B171=PT*12,VLOOKUP(PT*12,Cashflows_HIST!$A$7:$N$246,14,0),0)+IF(B171='Pre-Calculation'!$D$12,PW,0)</f>
        <v>0</v>
      </c>
    </row>
    <row r="173" ht="14.25" customHeight="1">
      <c r="B173" s="171">
        <f t="shared" si="4"/>
        <v>166</v>
      </c>
      <c r="C173" s="171">
        <f t="shared" si="5"/>
        <v>14</v>
      </c>
      <c r="D173" s="176">
        <f>EDATE(RCD,B172)</f>
        <v>47572</v>
      </c>
      <c r="E173" s="199">
        <f>-IF(AND(D173&lt;=Revival!$C$2,MOD(B172,Mode)=0),Mod_Prem,0)+IF(B172='Pre-Calculation'!$D$12,SV,0)</f>
        <v>0</v>
      </c>
      <c r="F173" s="199">
        <f>-IF(AND(D173&lt;=Revival!$C$2,MOD(B172,Mode)=0),Mod_Prem,0)-IF(D173='Cashflows_8%'!$C$7,Revival!$C$14,0)-IF(AND(D173&gt;'Cashflows_8%'!$C$7,D173&lt;=Revival!$C$12,MOD(B172,Mode)=0),Mod_Prem,0)+IF(B172=PT*12,VLOOKUP(PT*12,'Cashflows_8%'!$A$7:$N$246,14,0),0)+IF(B172='Pre-Calculation'!$D$12,PW,0)</f>
        <v>0</v>
      </c>
      <c r="G173" s="122">
        <f>-IF(AND(D173&lt;=Revival!$C$2,MOD(B172,Mode)=0),Mod_Prem,0)-IF(D173='Cashflows_8%'!$C$7,Revival!$C$14,0)-IF(AND(D173&gt;'Cashflows_8%'!$C$7,D173&lt;=Revival!$C$12,MOD(B172,Mode)=0),Mod_Prem,0)+IF(B172=PT*12,VLOOKUP(PT*12,'Cashflows_4%'!$A$7:$N$246,14,0),0)+IF(B172='Pre-Calculation'!$D$12,PW,0)</f>
        <v>0</v>
      </c>
      <c r="H173" s="122">
        <f>-IF(AND(D173&lt;=Revival!$C$2,MOD(B172,Mode)=0),Mod_Prem,0)-IF(D173='Cashflows_8%'!$C$7,Revival!$C$14,0)-IF(AND(D173&gt;'Cashflows_8%'!$C$7,D173&lt;=Revival!$C$12,MOD(B172,Mode)=0),Mod_Prem,0)+IF(B172=PT*12,VLOOKUP(PT*12,Cashflows_HIST!$A$7:$N$246,14,0),0)+IF(B172='Pre-Calculation'!$D$12,PW,0)</f>
        <v>0</v>
      </c>
    </row>
    <row r="174" ht="14.25" customHeight="1">
      <c r="B174" s="171">
        <f t="shared" si="4"/>
        <v>167</v>
      </c>
      <c r="C174" s="171">
        <f t="shared" si="5"/>
        <v>14</v>
      </c>
      <c r="D174" s="176">
        <f>EDATE(RCD,B173)</f>
        <v>47603</v>
      </c>
      <c r="E174" s="199">
        <f>-IF(AND(D174&lt;=Revival!$C$2,MOD(B173,Mode)=0),Mod_Prem,0)+IF(B173='Pre-Calculation'!$D$12,SV,0)</f>
        <v>0</v>
      </c>
      <c r="F174" s="199">
        <f>-IF(AND(D174&lt;=Revival!$C$2,MOD(B173,Mode)=0),Mod_Prem,0)-IF(D174='Cashflows_8%'!$C$7,Revival!$C$14,0)-IF(AND(D174&gt;'Cashflows_8%'!$C$7,D174&lt;=Revival!$C$12,MOD(B173,Mode)=0),Mod_Prem,0)+IF(B173=PT*12,VLOOKUP(PT*12,'Cashflows_8%'!$A$7:$N$246,14,0),0)+IF(B173='Pre-Calculation'!$D$12,PW,0)</f>
        <v>0</v>
      </c>
      <c r="G174" s="122">
        <f>-IF(AND(D174&lt;=Revival!$C$2,MOD(B173,Mode)=0),Mod_Prem,0)-IF(D174='Cashflows_8%'!$C$7,Revival!$C$14,0)-IF(AND(D174&gt;'Cashflows_8%'!$C$7,D174&lt;=Revival!$C$12,MOD(B173,Mode)=0),Mod_Prem,0)+IF(B173=PT*12,VLOOKUP(PT*12,'Cashflows_4%'!$A$7:$N$246,14,0),0)+IF(B173='Pre-Calculation'!$D$12,PW,0)</f>
        <v>0</v>
      </c>
      <c r="H174" s="122">
        <f>-IF(AND(D174&lt;=Revival!$C$2,MOD(B173,Mode)=0),Mod_Prem,0)-IF(D174='Cashflows_8%'!$C$7,Revival!$C$14,0)-IF(AND(D174&gt;'Cashflows_8%'!$C$7,D174&lt;=Revival!$C$12,MOD(B173,Mode)=0),Mod_Prem,0)+IF(B173=PT*12,VLOOKUP(PT*12,Cashflows_HIST!$A$7:$N$246,14,0),0)+IF(B173='Pre-Calculation'!$D$12,PW,0)</f>
        <v>0</v>
      </c>
    </row>
    <row r="175" ht="14.25" customHeight="1">
      <c r="B175" s="171">
        <f t="shared" si="4"/>
        <v>168</v>
      </c>
      <c r="C175" s="171">
        <f t="shared" si="5"/>
        <v>14</v>
      </c>
      <c r="D175" s="176">
        <f>EDATE(RCD,B174)</f>
        <v>47633</v>
      </c>
      <c r="E175" s="199">
        <f>-IF(AND(D175&lt;=Revival!$C$2,MOD(B174,Mode)=0),Mod_Prem,0)+IF(B174='Pre-Calculation'!$D$12,SV,0)</f>
        <v>0</v>
      </c>
      <c r="F175" s="199">
        <f>-IF(AND(D175&lt;=Revival!$C$2,MOD(B174,Mode)=0),Mod_Prem,0)-IF(D175='Cashflows_8%'!$C$7,Revival!$C$14,0)-IF(AND(D175&gt;'Cashflows_8%'!$C$7,D175&lt;=Revival!$C$12,MOD(B174,Mode)=0),Mod_Prem,0)+IF(B174=PT*12,VLOOKUP(PT*12,'Cashflows_8%'!$A$7:$N$246,14,0),0)+IF(B174='Pre-Calculation'!$D$12,PW,0)</f>
        <v>0</v>
      </c>
      <c r="G175" s="122">
        <f>-IF(AND(D175&lt;=Revival!$C$2,MOD(B174,Mode)=0),Mod_Prem,0)-IF(D175='Cashflows_8%'!$C$7,Revival!$C$14,0)-IF(AND(D175&gt;'Cashflows_8%'!$C$7,D175&lt;=Revival!$C$12,MOD(B174,Mode)=0),Mod_Prem,0)+IF(B174=PT*12,VLOOKUP(PT*12,'Cashflows_4%'!$A$7:$N$246,14,0),0)+IF(B174='Pre-Calculation'!$D$12,PW,0)</f>
        <v>0</v>
      </c>
      <c r="H175" s="122">
        <f>-IF(AND(D175&lt;=Revival!$C$2,MOD(B174,Mode)=0),Mod_Prem,0)-IF(D175='Cashflows_8%'!$C$7,Revival!$C$14,0)-IF(AND(D175&gt;'Cashflows_8%'!$C$7,D175&lt;=Revival!$C$12,MOD(B174,Mode)=0),Mod_Prem,0)+IF(B174=PT*12,VLOOKUP(PT*12,Cashflows_HIST!$A$7:$N$246,14,0),0)+IF(B174='Pre-Calculation'!$D$12,PW,0)</f>
        <v>0</v>
      </c>
    </row>
    <row r="176" ht="14.25" customHeight="1">
      <c r="B176" s="171">
        <f t="shared" si="4"/>
        <v>169</v>
      </c>
      <c r="C176" s="171">
        <f t="shared" si="5"/>
        <v>15</v>
      </c>
      <c r="D176" s="176">
        <f>EDATE(RCD,B175)</f>
        <v>47664</v>
      </c>
      <c r="E176" s="199">
        <f>-IF(AND(D176&lt;=Revival!$C$2,MOD(B175,Mode)=0),Mod_Prem,0)+IF(B175='Pre-Calculation'!$D$12,SV,0)</f>
        <v>0</v>
      </c>
      <c r="F176" s="199">
        <f>-IF(AND(D176&lt;=Revival!$C$2,MOD(B175,Mode)=0),Mod_Prem,0)-IF(D176='Cashflows_8%'!$C$7,Revival!$C$14,0)-IF(AND(D176&gt;'Cashflows_8%'!$C$7,D176&lt;=Revival!$C$12,MOD(B175,Mode)=0),Mod_Prem,0)+IF(B175=PT*12,VLOOKUP(PT*12,'Cashflows_8%'!$A$7:$N$246,14,0),0)+IF(B175='Pre-Calculation'!$D$12,PW,0)</f>
        <v>0</v>
      </c>
      <c r="G176" s="122">
        <f>-IF(AND(D176&lt;=Revival!$C$2,MOD(B175,Mode)=0),Mod_Prem,0)-IF(D176='Cashflows_8%'!$C$7,Revival!$C$14,0)-IF(AND(D176&gt;'Cashflows_8%'!$C$7,D176&lt;=Revival!$C$12,MOD(B175,Mode)=0),Mod_Prem,0)+IF(B175=PT*12,VLOOKUP(PT*12,'Cashflows_4%'!$A$7:$N$246,14,0),0)+IF(B175='Pre-Calculation'!$D$12,PW,0)</f>
        <v>0</v>
      </c>
      <c r="H176" s="122">
        <f>-IF(AND(D176&lt;=Revival!$C$2,MOD(B175,Mode)=0),Mod_Prem,0)-IF(D176='Cashflows_8%'!$C$7,Revival!$C$14,0)-IF(AND(D176&gt;'Cashflows_8%'!$C$7,D176&lt;=Revival!$C$12,MOD(B175,Mode)=0),Mod_Prem,0)+IF(B175=PT*12,VLOOKUP(PT*12,Cashflows_HIST!$A$7:$N$246,14,0),0)+IF(B175='Pre-Calculation'!$D$12,PW,0)</f>
        <v>0</v>
      </c>
    </row>
    <row r="177" ht="14.25" customHeight="1">
      <c r="B177" s="171">
        <f t="shared" si="4"/>
        <v>170</v>
      </c>
      <c r="C177" s="171">
        <f t="shared" si="5"/>
        <v>15</v>
      </c>
      <c r="D177" s="176">
        <f>EDATE(RCD,B176)</f>
        <v>47694</v>
      </c>
      <c r="E177" s="199">
        <f>-IF(AND(D177&lt;=Revival!$C$2,MOD(B176,Mode)=0),Mod_Prem,0)+IF(B176='Pre-Calculation'!$D$12,SV,0)</f>
        <v>0</v>
      </c>
      <c r="F177" s="199">
        <f>-IF(AND(D177&lt;=Revival!$C$2,MOD(B176,Mode)=0),Mod_Prem,0)-IF(D177='Cashflows_8%'!$C$7,Revival!$C$14,0)-IF(AND(D177&gt;'Cashflows_8%'!$C$7,D177&lt;=Revival!$C$12,MOD(B176,Mode)=0),Mod_Prem,0)+IF(B176=PT*12,VLOOKUP(PT*12,'Cashflows_8%'!$A$7:$N$246,14,0),0)+IF(B176='Pre-Calculation'!$D$12,PW,0)</f>
        <v>0</v>
      </c>
      <c r="G177" s="122">
        <f>-IF(AND(D177&lt;=Revival!$C$2,MOD(B176,Mode)=0),Mod_Prem,0)-IF(D177='Cashflows_8%'!$C$7,Revival!$C$14,0)-IF(AND(D177&gt;'Cashflows_8%'!$C$7,D177&lt;=Revival!$C$12,MOD(B176,Mode)=0),Mod_Prem,0)+IF(B176=PT*12,VLOOKUP(PT*12,'Cashflows_4%'!$A$7:$N$246,14,0),0)+IF(B176='Pre-Calculation'!$D$12,PW,0)</f>
        <v>0</v>
      </c>
      <c r="H177" s="122">
        <f>-IF(AND(D177&lt;=Revival!$C$2,MOD(B176,Mode)=0),Mod_Prem,0)-IF(D177='Cashflows_8%'!$C$7,Revival!$C$14,0)-IF(AND(D177&gt;'Cashflows_8%'!$C$7,D177&lt;=Revival!$C$12,MOD(B176,Mode)=0),Mod_Prem,0)+IF(B176=PT*12,VLOOKUP(PT*12,Cashflows_HIST!$A$7:$N$246,14,0),0)+IF(B176='Pre-Calculation'!$D$12,PW,0)</f>
        <v>0</v>
      </c>
    </row>
    <row r="178" ht="14.25" customHeight="1">
      <c r="B178" s="171">
        <f t="shared" si="4"/>
        <v>171</v>
      </c>
      <c r="C178" s="171">
        <f t="shared" si="5"/>
        <v>15</v>
      </c>
      <c r="D178" s="176">
        <f>EDATE(RCD,B177)</f>
        <v>47725</v>
      </c>
      <c r="E178" s="199">
        <f>-IF(AND(D178&lt;=Revival!$C$2,MOD(B177,Mode)=0),Mod_Prem,0)+IF(B177='Pre-Calculation'!$D$12,SV,0)</f>
        <v>0</v>
      </c>
      <c r="F178" s="199">
        <f>-IF(AND(D178&lt;=Revival!$C$2,MOD(B177,Mode)=0),Mod_Prem,0)-IF(D178='Cashflows_8%'!$C$7,Revival!$C$14,0)-IF(AND(D178&gt;'Cashflows_8%'!$C$7,D178&lt;=Revival!$C$12,MOD(B177,Mode)=0),Mod_Prem,0)+IF(B177=PT*12,VLOOKUP(PT*12,'Cashflows_8%'!$A$7:$N$246,14,0),0)+IF(B177='Pre-Calculation'!$D$12,PW,0)</f>
        <v>0</v>
      </c>
      <c r="G178" s="122">
        <f>-IF(AND(D178&lt;=Revival!$C$2,MOD(B177,Mode)=0),Mod_Prem,0)-IF(D178='Cashflows_8%'!$C$7,Revival!$C$14,0)-IF(AND(D178&gt;'Cashflows_8%'!$C$7,D178&lt;=Revival!$C$12,MOD(B177,Mode)=0),Mod_Prem,0)+IF(B177=PT*12,VLOOKUP(PT*12,'Cashflows_4%'!$A$7:$N$246,14,0),0)+IF(B177='Pre-Calculation'!$D$12,PW,0)</f>
        <v>0</v>
      </c>
      <c r="H178" s="122">
        <f>-IF(AND(D178&lt;=Revival!$C$2,MOD(B177,Mode)=0),Mod_Prem,0)-IF(D178='Cashflows_8%'!$C$7,Revival!$C$14,0)-IF(AND(D178&gt;'Cashflows_8%'!$C$7,D178&lt;=Revival!$C$12,MOD(B177,Mode)=0),Mod_Prem,0)+IF(B177=PT*12,VLOOKUP(PT*12,Cashflows_HIST!$A$7:$N$246,14,0),0)+IF(B177='Pre-Calculation'!$D$12,PW,0)</f>
        <v>0</v>
      </c>
    </row>
    <row r="179" ht="14.25" customHeight="1">
      <c r="B179" s="171">
        <f t="shared" si="4"/>
        <v>172</v>
      </c>
      <c r="C179" s="171">
        <f t="shared" si="5"/>
        <v>15</v>
      </c>
      <c r="D179" s="176">
        <f>EDATE(RCD,B178)</f>
        <v>47756</v>
      </c>
      <c r="E179" s="199">
        <f>-IF(AND(D179&lt;=Revival!$C$2,MOD(B178,Mode)=0),Mod_Prem,0)+IF(B178='Pre-Calculation'!$D$12,SV,0)</f>
        <v>0</v>
      </c>
      <c r="F179" s="199">
        <f>-IF(AND(D179&lt;=Revival!$C$2,MOD(B178,Mode)=0),Mod_Prem,0)-IF(D179='Cashflows_8%'!$C$7,Revival!$C$14,0)-IF(AND(D179&gt;'Cashflows_8%'!$C$7,D179&lt;=Revival!$C$12,MOD(B178,Mode)=0),Mod_Prem,0)+IF(B178=PT*12,VLOOKUP(PT*12,'Cashflows_8%'!$A$7:$N$246,14,0),0)+IF(B178='Pre-Calculation'!$D$12,PW,0)</f>
        <v>0</v>
      </c>
      <c r="G179" s="122">
        <f>-IF(AND(D179&lt;=Revival!$C$2,MOD(B178,Mode)=0),Mod_Prem,0)-IF(D179='Cashflows_8%'!$C$7,Revival!$C$14,0)-IF(AND(D179&gt;'Cashflows_8%'!$C$7,D179&lt;=Revival!$C$12,MOD(B178,Mode)=0),Mod_Prem,0)+IF(B178=PT*12,VLOOKUP(PT*12,'Cashflows_4%'!$A$7:$N$246,14,0),0)+IF(B178='Pre-Calculation'!$D$12,PW,0)</f>
        <v>0</v>
      </c>
      <c r="H179" s="122">
        <f>-IF(AND(D179&lt;=Revival!$C$2,MOD(B178,Mode)=0),Mod_Prem,0)-IF(D179='Cashflows_8%'!$C$7,Revival!$C$14,0)-IF(AND(D179&gt;'Cashflows_8%'!$C$7,D179&lt;=Revival!$C$12,MOD(B178,Mode)=0),Mod_Prem,0)+IF(B178=PT*12,VLOOKUP(PT*12,Cashflows_HIST!$A$7:$N$246,14,0),0)+IF(B178='Pre-Calculation'!$D$12,PW,0)</f>
        <v>0</v>
      </c>
    </row>
    <row r="180" ht="14.25" customHeight="1">
      <c r="B180" s="171">
        <f t="shared" si="4"/>
        <v>173</v>
      </c>
      <c r="C180" s="171">
        <f t="shared" si="5"/>
        <v>15</v>
      </c>
      <c r="D180" s="176">
        <f>EDATE(RCD,B179)</f>
        <v>47786</v>
      </c>
      <c r="E180" s="199">
        <f>-IF(AND(D180&lt;=Revival!$C$2,MOD(B179,Mode)=0),Mod_Prem,0)+IF(B179='Pre-Calculation'!$D$12,SV,0)</f>
        <v>0</v>
      </c>
      <c r="F180" s="199">
        <f>-IF(AND(D180&lt;=Revival!$C$2,MOD(B179,Mode)=0),Mod_Prem,0)-IF(D180='Cashflows_8%'!$C$7,Revival!$C$14,0)-IF(AND(D180&gt;'Cashflows_8%'!$C$7,D180&lt;=Revival!$C$12,MOD(B179,Mode)=0),Mod_Prem,0)+IF(B179=PT*12,VLOOKUP(PT*12,'Cashflows_8%'!$A$7:$N$246,14,0),0)+IF(B179='Pre-Calculation'!$D$12,PW,0)</f>
        <v>0</v>
      </c>
      <c r="G180" s="122">
        <f>-IF(AND(D180&lt;=Revival!$C$2,MOD(B179,Mode)=0),Mod_Prem,0)-IF(D180='Cashflows_8%'!$C$7,Revival!$C$14,0)-IF(AND(D180&gt;'Cashflows_8%'!$C$7,D180&lt;=Revival!$C$12,MOD(B179,Mode)=0),Mod_Prem,0)+IF(B179=PT*12,VLOOKUP(PT*12,'Cashflows_4%'!$A$7:$N$246,14,0),0)+IF(B179='Pre-Calculation'!$D$12,PW,0)</f>
        <v>0</v>
      </c>
      <c r="H180" s="122">
        <f>-IF(AND(D180&lt;=Revival!$C$2,MOD(B179,Mode)=0),Mod_Prem,0)-IF(D180='Cashflows_8%'!$C$7,Revival!$C$14,0)-IF(AND(D180&gt;'Cashflows_8%'!$C$7,D180&lt;=Revival!$C$12,MOD(B179,Mode)=0),Mod_Prem,0)+IF(B179=PT*12,VLOOKUP(PT*12,Cashflows_HIST!$A$7:$N$246,14,0),0)+IF(B179='Pre-Calculation'!$D$12,PW,0)</f>
        <v>0</v>
      </c>
    </row>
    <row r="181" ht="14.25" customHeight="1">
      <c r="B181" s="171">
        <f t="shared" si="4"/>
        <v>174</v>
      </c>
      <c r="C181" s="171">
        <f t="shared" si="5"/>
        <v>15</v>
      </c>
      <c r="D181" s="176">
        <f>EDATE(RCD,B180)</f>
        <v>47817</v>
      </c>
      <c r="E181" s="199">
        <f>-IF(AND(D181&lt;=Revival!$C$2,MOD(B180,Mode)=0),Mod_Prem,0)+IF(B180='Pre-Calculation'!$D$12,SV,0)</f>
        <v>0</v>
      </c>
      <c r="F181" s="199">
        <f>-IF(AND(D181&lt;=Revival!$C$2,MOD(B180,Mode)=0),Mod_Prem,0)-IF(D181='Cashflows_8%'!$C$7,Revival!$C$14,0)-IF(AND(D181&gt;'Cashflows_8%'!$C$7,D181&lt;=Revival!$C$12,MOD(B180,Mode)=0),Mod_Prem,0)+IF(B180=PT*12,VLOOKUP(PT*12,'Cashflows_8%'!$A$7:$N$246,14,0),0)+IF(B180='Pre-Calculation'!$D$12,PW,0)</f>
        <v>0</v>
      </c>
      <c r="G181" s="122">
        <f>-IF(AND(D181&lt;=Revival!$C$2,MOD(B180,Mode)=0),Mod_Prem,0)-IF(D181='Cashflows_8%'!$C$7,Revival!$C$14,0)-IF(AND(D181&gt;'Cashflows_8%'!$C$7,D181&lt;=Revival!$C$12,MOD(B180,Mode)=0),Mod_Prem,0)+IF(B180=PT*12,VLOOKUP(PT*12,'Cashflows_4%'!$A$7:$N$246,14,0),0)+IF(B180='Pre-Calculation'!$D$12,PW,0)</f>
        <v>0</v>
      </c>
      <c r="H181" s="122">
        <f>-IF(AND(D181&lt;=Revival!$C$2,MOD(B180,Mode)=0),Mod_Prem,0)-IF(D181='Cashflows_8%'!$C$7,Revival!$C$14,0)-IF(AND(D181&gt;'Cashflows_8%'!$C$7,D181&lt;=Revival!$C$12,MOD(B180,Mode)=0),Mod_Prem,0)+IF(B180=PT*12,VLOOKUP(PT*12,Cashflows_HIST!$A$7:$N$246,14,0),0)+IF(B180='Pre-Calculation'!$D$12,PW,0)</f>
        <v>0</v>
      </c>
    </row>
    <row r="182" ht="14.25" customHeight="1">
      <c r="B182" s="171">
        <f t="shared" si="4"/>
        <v>175</v>
      </c>
      <c r="C182" s="171">
        <f t="shared" si="5"/>
        <v>15</v>
      </c>
      <c r="D182" s="176">
        <f>EDATE(RCD,B181)</f>
        <v>47847</v>
      </c>
      <c r="E182" s="199">
        <f>-IF(AND(D182&lt;=Revival!$C$2,MOD(B181,Mode)=0),Mod_Prem,0)+IF(B181='Pre-Calculation'!$D$12,SV,0)</f>
        <v>0</v>
      </c>
      <c r="F182" s="199">
        <f>-IF(AND(D182&lt;=Revival!$C$2,MOD(B181,Mode)=0),Mod_Prem,0)-IF(D182='Cashflows_8%'!$C$7,Revival!$C$14,0)-IF(AND(D182&gt;'Cashflows_8%'!$C$7,D182&lt;=Revival!$C$12,MOD(B181,Mode)=0),Mod_Prem,0)+IF(B181=PT*12,VLOOKUP(PT*12,'Cashflows_8%'!$A$7:$N$246,14,0),0)+IF(B181='Pre-Calculation'!$D$12,PW,0)</f>
        <v>0</v>
      </c>
      <c r="G182" s="122">
        <f>-IF(AND(D182&lt;=Revival!$C$2,MOD(B181,Mode)=0),Mod_Prem,0)-IF(D182='Cashflows_8%'!$C$7,Revival!$C$14,0)-IF(AND(D182&gt;'Cashflows_8%'!$C$7,D182&lt;=Revival!$C$12,MOD(B181,Mode)=0),Mod_Prem,0)+IF(B181=PT*12,VLOOKUP(PT*12,'Cashflows_4%'!$A$7:$N$246,14,0),0)+IF(B181='Pre-Calculation'!$D$12,PW,0)</f>
        <v>0</v>
      </c>
      <c r="H182" s="122">
        <f>-IF(AND(D182&lt;=Revival!$C$2,MOD(B181,Mode)=0),Mod_Prem,0)-IF(D182='Cashflows_8%'!$C$7,Revival!$C$14,0)-IF(AND(D182&gt;'Cashflows_8%'!$C$7,D182&lt;=Revival!$C$12,MOD(B181,Mode)=0),Mod_Prem,0)+IF(B181=PT*12,VLOOKUP(PT*12,Cashflows_HIST!$A$7:$N$246,14,0),0)+IF(B181='Pre-Calculation'!$D$12,PW,0)</f>
        <v>0</v>
      </c>
    </row>
    <row r="183" ht="14.25" customHeight="1">
      <c r="B183" s="171">
        <f t="shared" si="4"/>
        <v>176</v>
      </c>
      <c r="C183" s="171">
        <f t="shared" si="5"/>
        <v>15</v>
      </c>
      <c r="D183" s="176">
        <f>EDATE(RCD,B182)</f>
        <v>47878</v>
      </c>
      <c r="E183" s="199">
        <f>-IF(AND(D183&lt;=Revival!$C$2,MOD(B182,Mode)=0),Mod_Prem,0)+IF(B182='Pre-Calculation'!$D$12,SV,0)</f>
        <v>0</v>
      </c>
      <c r="F183" s="199">
        <f>-IF(AND(D183&lt;=Revival!$C$2,MOD(B182,Mode)=0),Mod_Prem,0)-IF(D183='Cashflows_8%'!$C$7,Revival!$C$14,0)-IF(AND(D183&gt;'Cashflows_8%'!$C$7,D183&lt;=Revival!$C$12,MOD(B182,Mode)=0),Mod_Prem,0)+IF(B182=PT*12,VLOOKUP(PT*12,'Cashflows_8%'!$A$7:$N$246,14,0),0)+IF(B182='Pre-Calculation'!$D$12,PW,0)</f>
        <v>0</v>
      </c>
      <c r="G183" s="122">
        <f>-IF(AND(D183&lt;=Revival!$C$2,MOD(B182,Mode)=0),Mod_Prem,0)-IF(D183='Cashflows_8%'!$C$7,Revival!$C$14,0)-IF(AND(D183&gt;'Cashflows_8%'!$C$7,D183&lt;=Revival!$C$12,MOD(B182,Mode)=0),Mod_Prem,0)+IF(B182=PT*12,VLOOKUP(PT*12,'Cashflows_4%'!$A$7:$N$246,14,0),0)+IF(B182='Pre-Calculation'!$D$12,PW,0)</f>
        <v>0</v>
      </c>
      <c r="H183" s="122">
        <f>-IF(AND(D183&lt;=Revival!$C$2,MOD(B182,Mode)=0),Mod_Prem,0)-IF(D183='Cashflows_8%'!$C$7,Revival!$C$14,0)-IF(AND(D183&gt;'Cashflows_8%'!$C$7,D183&lt;=Revival!$C$12,MOD(B182,Mode)=0),Mod_Prem,0)+IF(B182=PT*12,VLOOKUP(PT*12,Cashflows_HIST!$A$7:$N$246,14,0),0)+IF(B182='Pre-Calculation'!$D$12,PW,0)</f>
        <v>0</v>
      </c>
    </row>
    <row r="184" ht="14.25" customHeight="1">
      <c r="B184" s="171">
        <f t="shared" si="4"/>
        <v>177</v>
      </c>
      <c r="C184" s="171">
        <f t="shared" si="5"/>
        <v>15</v>
      </c>
      <c r="D184" s="176">
        <f>EDATE(RCD,B183)</f>
        <v>47907</v>
      </c>
      <c r="E184" s="199">
        <f>-IF(AND(D184&lt;=Revival!$C$2,MOD(B183,Mode)=0),Mod_Prem,0)+IF(B183='Pre-Calculation'!$D$12,SV,0)</f>
        <v>0</v>
      </c>
      <c r="F184" s="199">
        <f>-IF(AND(D184&lt;=Revival!$C$2,MOD(B183,Mode)=0),Mod_Prem,0)-IF(D184='Cashflows_8%'!$C$7,Revival!$C$14,0)-IF(AND(D184&gt;'Cashflows_8%'!$C$7,D184&lt;=Revival!$C$12,MOD(B183,Mode)=0),Mod_Prem,0)+IF(B183=PT*12,VLOOKUP(PT*12,'Cashflows_8%'!$A$7:$N$246,14,0),0)+IF(B183='Pre-Calculation'!$D$12,PW,0)</f>
        <v>0</v>
      </c>
      <c r="G184" s="122">
        <f>-IF(AND(D184&lt;=Revival!$C$2,MOD(B183,Mode)=0),Mod_Prem,0)-IF(D184='Cashflows_8%'!$C$7,Revival!$C$14,0)-IF(AND(D184&gt;'Cashflows_8%'!$C$7,D184&lt;=Revival!$C$12,MOD(B183,Mode)=0),Mod_Prem,0)+IF(B183=PT*12,VLOOKUP(PT*12,'Cashflows_4%'!$A$7:$N$246,14,0),0)+IF(B183='Pre-Calculation'!$D$12,PW,0)</f>
        <v>0</v>
      </c>
      <c r="H184" s="122">
        <f>-IF(AND(D184&lt;=Revival!$C$2,MOD(B183,Mode)=0),Mod_Prem,0)-IF(D184='Cashflows_8%'!$C$7,Revival!$C$14,0)-IF(AND(D184&gt;'Cashflows_8%'!$C$7,D184&lt;=Revival!$C$12,MOD(B183,Mode)=0),Mod_Prem,0)+IF(B183=PT*12,VLOOKUP(PT*12,Cashflows_HIST!$A$7:$N$246,14,0),0)+IF(B183='Pre-Calculation'!$D$12,PW,0)</f>
        <v>0</v>
      </c>
    </row>
    <row r="185" ht="14.25" customHeight="1">
      <c r="B185" s="171">
        <f t="shared" si="4"/>
        <v>178</v>
      </c>
      <c r="C185" s="171">
        <f t="shared" si="5"/>
        <v>15</v>
      </c>
      <c r="D185" s="176">
        <f>EDATE(RCD,B184)</f>
        <v>47937</v>
      </c>
      <c r="E185" s="199">
        <f>-IF(AND(D185&lt;=Revival!$C$2,MOD(B184,Mode)=0),Mod_Prem,0)+IF(B184='Pre-Calculation'!$D$12,SV,0)</f>
        <v>0</v>
      </c>
      <c r="F185" s="199">
        <f>-IF(AND(D185&lt;=Revival!$C$2,MOD(B184,Mode)=0),Mod_Prem,0)-IF(D185='Cashflows_8%'!$C$7,Revival!$C$14,0)-IF(AND(D185&gt;'Cashflows_8%'!$C$7,D185&lt;=Revival!$C$12,MOD(B184,Mode)=0),Mod_Prem,0)+IF(B184=PT*12,VLOOKUP(PT*12,'Cashflows_8%'!$A$7:$N$246,14,0),0)+IF(B184='Pre-Calculation'!$D$12,PW,0)</f>
        <v>0</v>
      </c>
      <c r="G185" s="122">
        <f>-IF(AND(D185&lt;=Revival!$C$2,MOD(B184,Mode)=0),Mod_Prem,0)-IF(D185='Cashflows_8%'!$C$7,Revival!$C$14,0)-IF(AND(D185&gt;'Cashflows_8%'!$C$7,D185&lt;=Revival!$C$12,MOD(B184,Mode)=0),Mod_Prem,0)+IF(B184=PT*12,VLOOKUP(PT*12,'Cashflows_4%'!$A$7:$N$246,14,0),0)+IF(B184='Pre-Calculation'!$D$12,PW,0)</f>
        <v>0</v>
      </c>
      <c r="H185" s="122">
        <f>-IF(AND(D185&lt;=Revival!$C$2,MOD(B184,Mode)=0),Mod_Prem,0)-IF(D185='Cashflows_8%'!$C$7,Revival!$C$14,0)-IF(AND(D185&gt;'Cashflows_8%'!$C$7,D185&lt;=Revival!$C$12,MOD(B184,Mode)=0),Mod_Prem,0)+IF(B184=PT*12,VLOOKUP(PT*12,Cashflows_HIST!$A$7:$N$246,14,0),0)+IF(B184='Pre-Calculation'!$D$12,PW,0)</f>
        <v>0</v>
      </c>
    </row>
    <row r="186" ht="14.25" customHeight="1">
      <c r="B186" s="171">
        <f t="shared" si="4"/>
        <v>179</v>
      </c>
      <c r="C186" s="171">
        <f t="shared" si="5"/>
        <v>15</v>
      </c>
      <c r="D186" s="176">
        <f>EDATE(RCD,B185)</f>
        <v>47968</v>
      </c>
      <c r="E186" s="199">
        <f>-IF(AND(D186&lt;=Revival!$C$2,MOD(B185,Mode)=0),Mod_Prem,0)+IF(B185='Pre-Calculation'!$D$12,SV,0)</f>
        <v>0</v>
      </c>
      <c r="F186" s="199">
        <f>-IF(AND(D186&lt;=Revival!$C$2,MOD(B185,Mode)=0),Mod_Prem,0)-IF(D186='Cashflows_8%'!$C$7,Revival!$C$14,0)-IF(AND(D186&gt;'Cashflows_8%'!$C$7,D186&lt;=Revival!$C$12,MOD(B185,Mode)=0),Mod_Prem,0)+IF(B185=PT*12,VLOOKUP(PT*12,'Cashflows_8%'!$A$7:$N$246,14,0),0)+IF(B185='Pre-Calculation'!$D$12,PW,0)</f>
        <v>0</v>
      </c>
      <c r="G186" s="122">
        <f>-IF(AND(D186&lt;=Revival!$C$2,MOD(B185,Mode)=0),Mod_Prem,0)-IF(D186='Cashflows_8%'!$C$7,Revival!$C$14,0)-IF(AND(D186&gt;'Cashflows_8%'!$C$7,D186&lt;=Revival!$C$12,MOD(B185,Mode)=0),Mod_Prem,0)+IF(B185=PT*12,VLOOKUP(PT*12,'Cashflows_4%'!$A$7:$N$246,14,0),0)+IF(B185='Pre-Calculation'!$D$12,PW,0)</f>
        <v>0</v>
      </c>
      <c r="H186" s="122">
        <f>-IF(AND(D186&lt;=Revival!$C$2,MOD(B185,Mode)=0),Mod_Prem,0)-IF(D186='Cashflows_8%'!$C$7,Revival!$C$14,0)-IF(AND(D186&gt;'Cashflows_8%'!$C$7,D186&lt;=Revival!$C$12,MOD(B185,Mode)=0),Mod_Prem,0)+IF(B185=PT*12,VLOOKUP(PT*12,Cashflows_HIST!$A$7:$N$246,14,0),0)+IF(B185='Pre-Calculation'!$D$12,PW,0)</f>
        <v>0</v>
      </c>
    </row>
    <row r="187" ht="14.25" customHeight="1">
      <c r="B187" s="171">
        <f t="shared" si="4"/>
        <v>180</v>
      </c>
      <c r="C187" s="171">
        <f t="shared" si="5"/>
        <v>15</v>
      </c>
      <c r="D187" s="176">
        <f>EDATE(RCD,B186)</f>
        <v>47998</v>
      </c>
      <c r="E187" s="199">
        <f>-IF(AND(D187&lt;=Revival!$C$2,MOD(B186,Mode)=0),Mod_Prem,0)+IF(B186='Pre-Calculation'!$D$12,SV,0)</f>
        <v>0</v>
      </c>
      <c r="F187" s="199">
        <f>-IF(AND(D187&lt;=Revival!$C$2,MOD(B186,Mode)=0),Mod_Prem,0)-IF(D187='Cashflows_8%'!$C$7,Revival!$C$14,0)-IF(AND(D187&gt;'Cashflows_8%'!$C$7,D187&lt;=Revival!$C$12,MOD(B186,Mode)=0),Mod_Prem,0)+IF(B186=PT*12,VLOOKUP(PT*12,'Cashflows_8%'!$A$7:$N$246,14,0),0)+IF(B186='Pre-Calculation'!$D$12,PW,0)</f>
        <v>0</v>
      </c>
      <c r="G187" s="122">
        <f>-IF(AND(D187&lt;=Revival!$C$2,MOD(B186,Mode)=0),Mod_Prem,0)-IF(D187='Cashflows_8%'!$C$7,Revival!$C$14,0)-IF(AND(D187&gt;'Cashflows_8%'!$C$7,D187&lt;=Revival!$C$12,MOD(B186,Mode)=0),Mod_Prem,0)+IF(B186=PT*12,VLOOKUP(PT*12,'Cashflows_4%'!$A$7:$N$246,14,0),0)+IF(B186='Pre-Calculation'!$D$12,PW,0)</f>
        <v>0</v>
      </c>
      <c r="H187" s="122">
        <f>-IF(AND(D187&lt;=Revival!$C$2,MOD(B186,Mode)=0),Mod_Prem,0)-IF(D187='Cashflows_8%'!$C$7,Revival!$C$14,0)-IF(AND(D187&gt;'Cashflows_8%'!$C$7,D187&lt;=Revival!$C$12,MOD(B186,Mode)=0),Mod_Prem,0)+IF(B186=PT*12,VLOOKUP(PT*12,Cashflows_HIST!$A$7:$N$246,14,0),0)+IF(B186='Pre-Calculation'!$D$12,PW,0)</f>
        <v>0</v>
      </c>
    </row>
    <row r="188" ht="14.25" customHeight="1">
      <c r="B188" s="171">
        <f t="shared" si="4"/>
        <v>181</v>
      </c>
      <c r="C188" s="171">
        <f t="shared" si="5"/>
        <v>16</v>
      </c>
      <c r="D188" s="176">
        <f>EDATE(RCD,B187)</f>
        <v>48029</v>
      </c>
      <c r="E188" s="199">
        <f>-IF(AND(D188&lt;=Revival!$C$2,MOD(B187,Mode)=0),Mod_Prem,0)+IF(B187='Pre-Calculation'!$D$12,SV,0)</f>
        <v>0</v>
      </c>
      <c r="F188" s="199">
        <f>-IF(AND(D188&lt;=Revival!$C$2,MOD(B187,Mode)=0),Mod_Prem,0)-IF(D188='Cashflows_8%'!$C$7,Revival!$C$14,0)-IF(AND(D188&gt;'Cashflows_8%'!$C$7,D188&lt;=Revival!$C$12,MOD(B187,Mode)=0),Mod_Prem,0)+IF(B187=PT*12,VLOOKUP(PT*12,'Cashflows_8%'!$A$7:$N$246,14,0),0)+IF(B187='Pre-Calculation'!$D$12,PW,0)</f>
        <v>0</v>
      </c>
      <c r="G188" s="122">
        <f>-IF(AND(D188&lt;=Revival!$C$2,MOD(B187,Mode)=0),Mod_Prem,0)-IF(D188='Cashflows_8%'!$C$7,Revival!$C$14,0)-IF(AND(D188&gt;'Cashflows_8%'!$C$7,D188&lt;=Revival!$C$12,MOD(B187,Mode)=0),Mod_Prem,0)+IF(B187=PT*12,VLOOKUP(PT*12,'Cashflows_4%'!$A$7:$N$246,14,0),0)+IF(B187='Pre-Calculation'!$D$12,PW,0)</f>
        <v>0</v>
      </c>
      <c r="H188" s="122">
        <f>-IF(AND(D188&lt;=Revival!$C$2,MOD(B187,Mode)=0),Mod_Prem,0)-IF(D188='Cashflows_8%'!$C$7,Revival!$C$14,0)-IF(AND(D188&gt;'Cashflows_8%'!$C$7,D188&lt;=Revival!$C$12,MOD(B187,Mode)=0),Mod_Prem,0)+IF(B187=PT*12,VLOOKUP(PT*12,Cashflows_HIST!$A$7:$N$246,14,0),0)+IF(B187='Pre-Calculation'!$D$12,PW,0)</f>
        <v>0</v>
      </c>
    </row>
    <row r="189" ht="14.25" customHeight="1">
      <c r="B189" s="171">
        <f t="shared" si="4"/>
        <v>182</v>
      </c>
      <c r="C189" s="171">
        <f t="shared" si="5"/>
        <v>16</v>
      </c>
      <c r="D189" s="176">
        <f>EDATE(RCD,B188)</f>
        <v>48059</v>
      </c>
      <c r="E189" s="199">
        <f>-IF(AND(D189&lt;=Revival!$C$2,MOD(B188,Mode)=0),Mod_Prem,0)+IF(B188='Pre-Calculation'!$D$12,SV,0)</f>
        <v>0</v>
      </c>
      <c r="F189" s="199">
        <f>-IF(AND(D189&lt;=Revival!$C$2,MOD(B188,Mode)=0),Mod_Prem,0)-IF(D189='Cashflows_8%'!$C$7,Revival!$C$14,0)-IF(AND(D189&gt;'Cashflows_8%'!$C$7,D189&lt;=Revival!$C$12,MOD(B188,Mode)=0),Mod_Prem,0)+IF(B188=PT*12,VLOOKUP(PT*12,'Cashflows_8%'!$A$7:$N$246,14,0),0)+IF(B188='Pre-Calculation'!$D$12,PW,0)</f>
        <v>0</v>
      </c>
      <c r="G189" s="122">
        <f>-IF(AND(D189&lt;=Revival!$C$2,MOD(B188,Mode)=0),Mod_Prem,0)-IF(D189='Cashflows_8%'!$C$7,Revival!$C$14,0)-IF(AND(D189&gt;'Cashflows_8%'!$C$7,D189&lt;=Revival!$C$12,MOD(B188,Mode)=0),Mod_Prem,0)+IF(B188=PT*12,VLOOKUP(PT*12,'Cashflows_4%'!$A$7:$N$246,14,0),0)+IF(B188='Pre-Calculation'!$D$12,PW,0)</f>
        <v>0</v>
      </c>
      <c r="H189" s="122">
        <f>-IF(AND(D189&lt;=Revival!$C$2,MOD(B188,Mode)=0),Mod_Prem,0)-IF(D189='Cashflows_8%'!$C$7,Revival!$C$14,0)-IF(AND(D189&gt;'Cashflows_8%'!$C$7,D189&lt;=Revival!$C$12,MOD(B188,Mode)=0),Mod_Prem,0)+IF(B188=PT*12,VLOOKUP(PT*12,Cashflows_HIST!$A$7:$N$246,14,0),0)+IF(B188='Pre-Calculation'!$D$12,PW,0)</f>
        <v>0</v>
      </c>
    </row>
    <row r="190" ht="14.25" customHeight="1">
      <c r="B190" s="171">
        <f t="shared" si="4"/>
        <v>183</v>
      </c>
      <c r="C190" s="171">
        <f t="shared" si="5"/>
        <v>16</v>
      </c>
      <c r="D190" s="176">
        <f>EDATE(RCD,B189)</f>
        <v>48090</v>
      </c>
      <c r="E190" s="199">
        <f>-IF(AND(D190&lt;=Revival!$C$2,MOD(B189,Mode)=0),Mod_Prem,0)+IF(B189='Pre-Calculation'!$D$12,SV,0)</f>
        <v>0</v>
      </c>
      <c r="F190" s="199">
        <f>-IF(AND(D190&lt;=Revival!$C$2,MOD(B189,Mode)=0),Mod_Prem,0)-IF(D190='Cashflows_8%'!$C$7,Revival!$C$14,0)-IF(AND(D190&gt;'Cashflows_8%'!$C$7,D190&lt;=Revival!$C$12,MOD(B189,Mode)=0),Mod_Prem,0)+IF(B189=PT*12,VLOOKUP(PT*12,'Cashflows_8%'!$A$7:$N$246,14,0),0)+IF(B189='Pre-Calculation'!$D$12,PW,0)</f>
        <v>0</v>
      </c>
      <c r="G190" s="122">
        <f>-IF(AND(D190&lt;=Revival!$C$2,MOD(B189,Mode)=0),Mod_Prem,0)-IF(D190='Cashflows_8%'!$C$7,Revival!$C$14,0)-IF(AND(D190&gt;'Cashflows_8%'!$C$7,D190&lt;=Revival!$C$12,MOD(B189,Mode)=0),Mod_Prem,0)+IF(B189=PT*12,VLOOKUP(PT*12,'Cashflows_4%'!$A$7:$N$246,14,0),0)+IF(B189='Pre-Calculation'!$D$12,PW,0)</f>
        <v>0</v>
      </c>
      <c r="H190" s="122">
        <f>-IF(AND(D190&lt;=Revival!$C$2,MOD(B189,Mode)=0),Mod_Prem,0)-IF(D190='Cashflows_8%'!$C$7,Revival!$C$14,0)-IF(AND(D190&gt;'Cashflows_8%'!$C$7,D190&lt;=Revival!$C$12,MOD(B189,Mode)=0),Mod_Prem,0)+IF(B189=PT*12,VLOOKUP(PT*12,Cashflows_HIST!$A$7:$N$246,14,0),0)+IF(B189='Pre-Calculation'!$D$12,PW,0)</f>
        <v>0</v>
      </c>
    </row>
    <row r="191" ht="14.25" customHeight="1">
      <c r="B191" s="171">
        <f t="shared" si="4"/>
        <v>184</v>
      </c>
      <c r="C191" s="171">
        <f t="shared" si="5"/>
        <v>16</v>
      </c>
      <c r="D191" s="176">
        <f>EDATE(RCD,B190)</f>
        <v>48121</v>
      </c>
      <c r="E191" s="199">
        <f>-IF(AND(D191&lt;=Revival!$C$2,MOD(B190,Mode)=0),Mod_Prem,0)+IF(B190='Pre-Calculation'!$D$12,SV,0)</f>
        <v>0</v>
      </c>
      <c r="F191" s="199">
        <f>-IF(AND(D191&lt;=Revival!$C$2,MOD(B190,Mode)=0),Mod_Prem,0)-IF(D191='Cashflows_8%'!$C$7,Revival!$C$14,0)-IF(AND(D191&gt;'Cashflows_8%'!$C$7,D191&lt;=Revival!$C$12,MOD(B190,Mode)=0),Mod_Prem,0)+IF(B190=PT*12,VLOOKUP(PT*12,'Cashflows_8%'!$A$7:$N$246,14,0),0)+IF(B190='Pre-Calculation'!$D$12,PW,0)</f>
        <v>0</v>
      </c>
      <c r="G191" s="122">
        <f>-IF(AND(D191&lt;=Revival!$C$2,MOD(B190,Mode)=0),Mod_Prem,0)-IF(D191='Cashflows_8%'!$C$7,Revival!$C$14,0)-IF(AND(D191&gt;'Cashflows_8%'!$C$7,D191&lt;=Revival!$C$12,MOD(B190,Mode)=0),Mod_Prem,0)+IF(B190=PT*12,VLOOKUP(PT*12,'Cashflows_4%'!$A$7:$N$246,14,0),0)+IF(B190='Pre-Calculation'!$D$12,PW,0)</f>
        <v>0</v>
      </c>
      <c r="H191" s="122">
        <f>-IF(AND(D191&lt;=Revival!$C$2,MOD(B190,Mode)=0),Mod_Prem,0)-IF(D191='Cashflows_8%'!$C$7,Revival!$C$14,0)-IF(AND(D191&gt;'Cashflows_8%'!$C$7,D191&lt;=Revival!$C$12,MOD(B190,Mode)=0),Mod_Prem,0)+IF(B190=PT*12,VLOOKUP(PT*12,Cashflows_HIST!$A$7:$N$246,14,0),0)+IF(B190='Pre-Calculation'!$D$12,PW,0)</f>
        <v>0</v>
      </c>
    </row>
    <row r="192" ht="14.25" customHeight="1">
      <c r="B192" s="171">
        <f t="shared" si="4"/>
        <v>185</v>
      </c>
      <c r="C192" s="171">
        <f t="shared" si="5"/>
        <v>16</v>
      </c>
      <c r="D192" s="176">
        <f>EDATE(RCD,B191)</f>
        <v>48151</v>
      </c>
      <c r="E192" s="199">
        <f>-IF(AND(D192&lt;=Revival!$C$2,MOD(B191,Mode)=0),Mod_Prem,0)+IF(B191='Pre-Calculation'!$D$12,SV,0)</f>
        <v>0</v>
      </c>
      <c r="F192" s="199">
        <f>-IF(AND(D192&lt;=Revival!$C$2,MOD(B191,Mode)=0),Mod_Prem,0)-IF(D192='Cashflows_8%'!$C$7,Revival!$C$14,0)-IF(AND(D192&gt;'Cashflows_8%'!$C$7,D192&lt;=Revival!$C$12,MOD(B191,Mode)=0),Mod_Prem,0)+IF(B191=PT*12,VLOOKUP(PT*12,'Cashflows_8%'!$A$7:$N$246,14,0),0)+IF(B191='Pre-Calculation'!$D$12,PW,0)</f>
        <v>0</v>
      </c>
      <c r="G192" s="122">
        <f>-IF(AND(D192&lt;=Revival!$C$2,MOD(B191,Mode)=0),Mod_Prem,0)-IF(D192='Cashflows_8%'!$C$7,Revival!$C$14,0)-IF(AND(D192&gt;'Cashflows_8%'!$C$7,D192&lt;=Revival!$C$12,MOD(B191,Mode)=0),Mod_Prem,0)+IF(B191=PT*12,VLOOKUP(PT*12,'Cashflows_4%'!$A$7:$N$246,14,0),0)+IF(B191='Pre-Calculation'!$D$12,PW,0)</f>
        <v>0</v>
      </c>
      <c r="H192" s="122">
        <f>-IF(AND(D192&lt;=Revival!$C$2,MOD(B191,Mode)=0),Mod_Prem,0)-IF(D192='Cashflows_8%'!$C$7,Revival!$C$14,0)-IF(AND(D192&gt;'Cashflows_8%'!$C$7,D192&lt;=Revival!$C$12,MOD(B191,Mode)=0),Mod_Prem,0)+IF(B191=PT*12,VLOOKUP(PT*12,Cashflows_HIST!$A$7:$N$246,14,0),0)+IF(B191='Pre-Calculation'!$D$12,PW,0)</f>
        <v>0</v>
      </c>
    </row>
    <row r="193" ht="14.25" customHeight="1">
      <c r="B193" s="171">
        <f t="shared" si="4"/>
        <v>186</v>
      </c>
      <c r="C193" s="171">
        <f t="shared" si="5"/>
        <v>16</v>
      </c>
      <c r="D193" s="176">
        <f>EDATE(RCD,B192)</f>
        <v>48182</v>
      </c>
      <c r="E193" s="199">
        <f>-IF(AND(D193&lt;=Revival!$C$2,MOD(B192,Mode)=0),Mod_Prem,0)+IF(B192='Pre-Calculation'!$D$12,SV,0)</f>
        <v>0</v>
      </c>
      <c r="F193" s="199">
        <f>-IF(AND(D193&lt;=Revival!$C$2,MOD(B192,Mode)=0),Mod_Prem,0)-IF(D193='Cashflows_8%'!$C$7,Revival!$C$14,0)-IF(AND(D193&gt;'Cashflows_8%'!$C$7,D193&lt;=Revival!$C$12,MOD(B192,Mode)=0),Mod_Prem,0)+IF(B192=PT*12,VLOOKUP(PT*12,'Cashflows_8%'!$A$7:$N$246,14,0),0)+IF(B192='Pre-Calculation'!$D$12,PW,0)</f>
        <v>0</v>
      </c>
      <c r="G193" s="122">
        <f>-IF(AND(D193&lt;=Revival!$C$2,MOD(B192,Mode)=0),Mod_Prem,0)-IF(D193='Cashflows_8%'!$C$7,Revival!$C$14,0)-IF(AND(D193&gt;'Cashflows_8%'!$C$7,D193&lt;=Revival!$C$12,MOD(B192,Mode)=0),Mod_Prem,0)+IF(B192=PT*12,VLOOKUP(PT*12,'Cashflows_4%'!$A$7:$N$246,14,0),0)+IF(B192='Pre-Calculation'!$D$12,PW,0)</f>
        <v>0</v>
      </c>
      <c r="H193" s="122">
        <f>-IF(AND(D193&lt;=Revival!$C$2,MOD(B192,Mode)=0),Mod_Prem,0)-IF(D193='Cashflows_8%'!$C$7,Revival!$C$14,0)-IF(AND(D193&gt;'Cashflows_8%'!$C$7,D193&lt;=Revival!$C$12,MOD(B192,Mode)=0),Mod_Prem,0)+IF(B192=PT*12,VLOOKUP(PT*12,Cashflows_HIST!$A$7:$N$246,14,0),0)+IF(B192='Pre-Calculation'!$D$12,PW,0)</f>
        <v>0</v>
      </c>
    </row>
    <row r="194" ht="14.25" customHeight="1">
      <c r="B194" s="171">
        <f t="shared" si="4"/>
        <v>187</v>
      </c>
      <c r="C194" s="171">
        <f t="shared" si="5"/>
        <v>16</v>
      </c>
      <c r="D194" s="176">
        <f>EDATE(RCD,B193)</f>
        <v>48212</v>
      </c>
      <c r="E194" s="199">
        <f>-IF(AND(D194&lt;=Revival!$C$2,MOD(B193,Mode)=0),Mod_Prem,0)+IF(B193='Pre-Calculation'!$D$12,SV,0)</f>
        <v>0</v>
      </c>
      <c r="F194" s="199">
        <f>-IF(AND(D194&lt;=Revival!$C$2,MOD(B193,Mode)=0),Mod_Prem,0)-IF(D194='Cashflows_8%'!$C$7,Revival!$C$14,0)-IF(AND(D194&gt;'Cashflows_8%'!$C$7,D194&lt;=Revival!$C$12,MOD(B193,Mode)=0),Mod_Prem,0)+IF(B193=PT*12,VLOOKUP(PT*12,'Cashflows_8%'!$A$7:$N$246,14,0),0)+IF(B193='Pre-Calculation'!$D$12,PW,0)</f>
        <v>0</v>
      </c>
      <c r="G194" s="122">
        <f>-IF(AND(D194&lt;=Revival!$C$2,MOD(B193,Mode)=0),Mod_Prem,0)-IF(D194='Cashflows_8%'!$C$7,Revival!$C$14,0)-IF(AND(D194&gt;'Cashflows_8%'!$C$7,D194&lt;=Revival!$C$12,MOD(B193,Mode)=0),Mod_Prem,0)+IF(B193=PT*12,VLOOKUP(PT*12,'Cashflows_4%'!$A$7:$N$246,14,0),0)+IF(B193='Pre-Calculation'!$D$12,PW,0)</f>
        <v>0</v>
      </c>
      <c r="H194" s="122">
        <f>-IF(AND(D194&lt;=Revival!$C$2,MOD(B193,Mode)=0),Mod_Prem,0)-IF(D194='Cashflows_8%'!$C$7,Revival!$C$14,0)-IF(AND(D194&gt;'Cashflows_8%'!$C$7,D194&lt;=Revival!$C$12,MOD(B193,Mode)=0),Mod_Prem,0)+IF(B193=PT*12,VLOOKUP(PT*12,Cashflows_HIST!$A$7:$N$246,14,0),0)+IF(B193='Pre-Calculation'!$D$12,PW,0)</f>
        <v>0</v>
      </c>
    </row>
    <row r="195" ht="14.25" customHeight="1">
      <c r="B195" s="171">
        <f t="shared" si="4"/>
        <v>188</v>
      </c>
      <c r="C195" s="171">
        <f t="shared" si="5"/>
        <v>16</v>
      </c>
      <c r="D195" s="176">
        <f>EDATE(RCD,B194)</f>
        <v>48243</v>
      </c>
      <c r="E195" s="199">
        <f>-IF(AND(D195&lt;=Revival!$C$2,MOD(B194,Mode)=0),Mod_Prem,0)+IF(B194='Pre-Calculation'!$D$12,SV,0)</f>
        <v>0</v>
      </c>
      <c r="F195" s="199">
        <f>-IF(AND(D195&lt;=Revival!$C$2,MOD(B194,Mode)=0),Mod_Prem,0)-IF(D195='Cashflows_8%'!$C$7,Revival!$C$14,0)-IF(AND(D195&gt;'Cashflows_8%'!$C$7,D195&lt;=Revival!$C$12,MOD(B194,Mode)=0),Mod_Prem,0)+IF(B194=PT*12,VLOOKUP(PT*12,'Cashflows_8%'!$A$7:$N$246,14,0),0)+IF(B194='Pre-Calculation'!$D$12,PW,0)</f>
        <v>0</v>
      </c>
      <c r="G195" s="122">
        <f>-IF(AND(D195&lt;=Revival!$C$2,MOD(B194,Mode)=0),Mod_Prem,0)-IF(D195='Cashflows_8%'!$C$7,Revival!$C$14,0)-IF(AND(D195&gt;'Cashflows_8%'!$C$7,D195&lt;=Revival!$C$12,MOD(B194,Mode)=0),Mod_Prem,0)+IF(B194=PT*12,VLOOKUP(PT*12,'Cashflows_4%'!$A$7:$N$246,14,0),0)+IF(B194='Pre-Calculation'!$D$12,PW,0)</f>
        <v>0</v>
      </c>
      <c r="H195" s="122">
        <f>-IF(AND(D195&lt;=Revival!$C$2,MOD(B194,Mode)=0),Mod_Prem,0)-IF(D195='Cashflows_8%'!$C$7,Revival!$C$14,0)-IF(AND(D195&gt;'Cashflows_8%'!$C$7,D195&lt;=Revival!$C$12,MOD(B194,Mode)=0),Mod_Prem,0)+IF(B194=PT*12,VLOOKUP(PT*12,Cashflows_HIST!$A$7:$N$246,14,0),0)+IF(B194='Pre-Calculation'!$D$12,PW,0)</f>
        <v>0</v>
      </c>
    </row>
    <row r="196" ht="14.25" customHeight="1">
      <c r="B196" s="171">
        <f t="shared" si="4"/>
        <v>189</v>
      </c>
      <c r="C196" s="171">
        <f t="shared" si="5"/>
        <v>16</v>
      </c>
      <c r="D196" s="176">
        <f>EDATE(RCD,B195)</f>
        <v>48273</v>
      </c>
      <c r="E196" s="199">
        <f>-IF(AND(D196&lt;=Revival!$C$2,MOD(B195,Mode)=0),Mod_Prem,0)+IF(B195='Pre-Calculation'!$D$12,SV,0)</f>
        <v>0</v>
      </c>
      <c r="F196" s="199">
        <f>-IF(AND(D196&lt;=Revival!$C$2,MOD(B195,Mode)=0),Mod_Prem,0)-IF(D196='Cashflows_8%'!$C$7,Revival!$C$14,0)-IF(AND(D196&gt;'Cashflows_8%'!$C$7,D196&lt;=Revival!$C$12,MOD(B195,Mode)=0),Mod_Prem,0)+IF(B195=PT*12,VLOOKUP(PT*12,'Cashflows_8%'!$A$7:$N$246,14,0),0)+IF(B195='Pre-Calculation'!$D$12,PW,0)</f>
        <v>0</v>
      </c>
      <c r="G196" s="122">
        <f>-IF(AND(D196&lt;=Revival!$C$2,MOD(B195,Mode)=0),Mod_Prem,0)-IF(D196='Cashflows_8%'!$C$7,Revival!$C$14,0)-IF(AND(D196&gt;'Cashflows_8%'!$C$7,D196&lt;=Revival!$C$12,MOD(B195,Mode)=0),Mod_Prem,0)+IF(B195=PT*12,VLOOKUP(PT*12,'Cashflows_4%'!$A$7:$N$246,14,0),0)+IF(B195='Pre-Calculation'!$D$12,PW,0)</f>
        <v>0</v>
      </c>
      <c r="H196" s="122">
        <f>-IF(AND(D196&lt;=Revival!$C$2,MOD(B195,Mode)=0),Mod_Prem,0)-IF(D196='Cashflows_8%'!$C$7,Revival!$C$14,0)-IF(AND(D196&gt;'Cashflows_8%'!$C$7,D196&lt;=Revival!$C$12,MOD(B195,Mode)=0),Mod_Prem,0)+IF(B195=PT*12,VLOOKUP(PT*12,Cashflows_HIST!$A$7:$N$246,14,0),0)+IF(B195='Pre-Calculation'!$D$12,PW,0)</f>
        <v>0</v>
      </c>
    </row>
    <row r="197" ht="14.25" customHeight="1">
      <c r="B197" s="171">
        <f t="shared" si="4"/>
        <v>190</v>
      </c>
      <c r="C197" s="171">
        <f t="shared" si="5"/>
        <v>16</v>
      </c>
      <c r="D197" s="176">
        <f>EDATE(RCD,B196)</f>
        <v>48303</v>
      </c>
      <c r="E197" s="199">
        <f>-IF(AND(D197&lt;=Revival!$C$2,MOD(B196,Mode)=0),Mod_Prem,0)+IF(B196='Pre-Calculation'!$D$12,SV,0)</f>
        <v>0</v>
      </c>
      <c r="F197" s="199">
        <f>-IF(AND(D197&lt;=Revival!$C$2,MOD(B196,Mode)=0),Mod_Prem,0)-IF(D197='Cashflows_8%'!$C$7,Revival!$C$14,0)-IF(AND(D197&gt;'Cashflows_8%'!$C$7,D197&lt;=Revival!$C$12,MOD(B196,Mode)=0),Mod_Prem,0)+IF(B196=PT*12,VLOOKUP(PT*12,'Cashflows_8%'!$A$7:$N$246,14,0),0)+IF(B196='Pre-Calculation'!$D$12,PW,0)</f>
        <v>0</v>
      </c>
      <c r="G197" s="122">
        <f>-IF(AND(D197&lt;=Revival!$C$2,MOD(B196,Mode)=0),Mod_Prem,0)-IF(D197='Cashflows_8%'!$C$7,Revival!$C$14,0)-IF(AND(D197&gt;'Cashflows_8%'!$C$7,D197&lt;=Revival!$C$12,MOD(B196,Mode)=0),Mod_Prem,0)+IF(B196=PT*12,VLOOKUP(PT*12,'Cashflows_4%'!$A$7:$N$246,14,0),0)+IF(B196='Pre-Calculation'!$D$12,PW,0)</f>
        <v>0</v>
      </c>
      <c r="H197" s="122">
        <f>-IF(AND(D197&lt;=Revival!$C$2,MOD(B196,Mode)=0),Mod_Prem,0)-IF(D197='Cashflows_8%'!$C$7,Revival!$C$14,0)-IF(AND(D197&gt;'Cashflows_8%'!$C$7,D197&lt;=Revival!$C$12,MOD(B196,Mode)=0),Mod_Prem,0)+IF(B196=PT*12,VLOOKUP(PT*12,Cashflows_HIST!$A$7:$N$246,14,0),0)+IF(B196='Pre-Calculation'!$D$12,PW,0)</f>
        <v>0</v>
      </c>
    </row>
    <row r="198" ht="14.25" customHeight="1">
      <c r="B198" s="171">
        <f t="shared" si="4"/>
        <v>191</v>
      </c>
      <c r="C198" s="171">
        <f t="shared" si="5"/>
        <v>16</v>
      </c>
      <c r="D198" s="176">
        <f>EDATE(RCD,B197)</f>
        <v>48334</v>
      </c>
      <c r="E198" s="199">
        <f>-IF(AND(D198&lt;=Revival!$C$2,MOD(B197,Mode)=0),Mod_Prem,0)+IF(B197='Pre-Calculation'!$D$12,SV,0)</f>
        <v>0</v>
      </c>
      <c r="F198" s="199">
        <f>-IF(AND(D198&lt;=Revival!$C$2,MOD(B197,Mode)=0),Mod_Prem,0)-IF(D198='Cashflows_8%'!$C$7,Revival!$C$14,0)-IF(AND(D198&gt;'Cashflows_8%'!$C$7,D198&lt;=Revival!$C$12,MOD(B197,Mode)=0),Mod_Prem,0)+IF(B197=PT*12,VLOOKUP(PT*12,'Cashflows_8%'!$A$7:$N$246,14,0),0)+IF(B197='Pre-Calculation'!$D$12,PW,0)</f>
        <v>0</v>
      </c>
      <c r="G198" s="122">
        <f>-IF(AND(D198&lt;=Revival!$C$2,MOD(B197,Mode)=0),Mod_Prem,0)-IF(D198='Cashflows_8%'!$C$7,Revival!$C$14,0)-IF(AND(D198&gt;'Cashflows_8%'!$C$7,D198&lt;=Revival!$C$12,MOD(B197,Mode)=0),Mod_Prem,0)+IF(B197=PT*12,VLOOKUP(PT*12,'Cashflows_4%'!$A$7:$N$246,14,0),0)+IF(B197='Pre-Calculation'!$D$12,PW,0)</f>
        <v>0</v>
      </c>
      <c r="H198" s="122">
        <f>-IF(AND(D198&lt;=Revival!$C$2,MOD(B197,Mode)=0),Mod_Prem,0)-IF(D198='Cashflows_8%'!$C$7,Revival!$C$14,0)-IF(AND(D198&gt;'Cashflows_8%'!$C$7,D198&lt;=Revival!$C$12,MOD(B197,Mode)=0),Mod_Prem,0)+IF(B197=PT*12,VLOOKUP(PT*12,Cashflows_HIST!$A$7:$N$246,14,0),0)+IF(B197='Pre-Calculation'!$D$12,PW,0)</f>
        <v>0</v>
      </c>
    </row>
    <row r="199" ht="14.25" customHeight="1">
      <c r="B199" s="171">
        <f t="shared" si="4"/>
        <v>192</v>
      </c>
      <c r="C199" s="171">
        <f t="shared" si="5"/>
        <v>16</v>
      </c>
      <c r="D199" s="176">
        <f>EDATE(RCD,B198)</f>
        <v>48364</v>
      </c>
      <c r="E199" s="199">
        <f>-IF(AND(D199&lt;=Revival!$C$2,MOD(B198,Mode)=0),Mod_Prem,0)+IF(B198='Pre-Calculation'!$D$12,SV,0)</f>
        <v>0</v>
      </c>
      <c r="F199" s="199">
        <f>-IF(AND(D199&lt;=Revival!$C$2,MOD(B198,Mode)=0),Mod_Prem,0)-IF(D199='Cashflows_8%'!$C$7,Revival!$C$14,0)-IF(AND(D199&gt;'Cashflows_8%'!$C$7,D199&lt;=Revival!$C$12,MOD(B198,Mode)=0),Mod_Prem,0)+IF(B198=PT*12,VLOOKUP(PT*12,'Cashflows_8%'!$A$7:$N$246,14,0),0)+IF(B198='Pre-Calculation'!$D$12,PW,0)</f>
        <v>0</v>
      </c>
      <c r="G199" s="122">
        <f>-IF(AND(D199&lt;=Revival!$C$2,MOD(B198,Mode)=0),Mod_Prem,0)-IF(D199='Cashflows_8%'!$C$7,Revival!$C$14,0)-IF(AND(D199&gt;'Cashflows_8%'!$C$7,D199&lt;=Revival!$C$12,MOD(B198,Mode)=0),Mod_Prem,0)+IF(B198=PT*12,VLOOKUP(PT*12,'Cashflows_4%'!$A$7:$N$246,14,0),0)+IF(B198='Pre-Calculation'!$D$12,PW,0)</f>
        <v>0</v>
      </c>
      <c r="H199" s="122">
        <f>-IF(AND(D199&lt;=Revival!$C$2,MOD(B198,Mode)=0),Mod_Prem,0)-IF(D199='Cashflows_8%'!$C$7,Revival!$C$14,0)-IF(AND(D199&gt;'Cashflows_8%'!$C$7,D199&lt;=Revival!$C$12,MOD(B198,Mode)=0),Mod_Prem,0)+IF(B198=PT*12,VLOOKUP(PT*12,Cashflows_HIST!$A$7:$N$246,14,0),0)+IF(B198='Pre-Calculation'!$D$12,PW,0)</f>
        <v>0</v>
      </c>
    </row>
    <row r="200" ht="14.25" customHeight="1">
      <c r="B200" s="171">
        <f t="shared" si="4"/>
        <v>193</v>
      </c>
      <c r="C200" s="171">
        <f t="shared" si="5"/>
        <v>17</v>
      </c>
      <c r="D200" s="176">
        <f>EDATE(RCD,B199)</f>
        <v>48395</v>
      </c>
      <c r="E200" s="199">
        <f>-IF(AND(D200&lt;=Revival!$C$2,MOD(B199,Mode)=0),Mod_Prem,0)+IF(B199='Pre-Calculation'!$D$12,SV,0)</f>
        <v>0</v>
      </c>
      <c r="F200" s="199">
        <f>-IF(AND(D200&lt;=Revival!$C$2,MOD(B199,Mode)=0),Mod_Prem,0)-IF(D200='Cashflows_8%'!$C$7,Revival!$C$14,0)-IF(AND(D200&gt;'Cashflows_8%'!$C$7,D200&lt;=Revival!$C$12,MOD(B199,Mode)=0),Mod_Prem,0)+IF(B199=PT*12,VLOOKUP(PT*12,'Cashflows_8%'!$A$7:$N$246,14,0),0)+IF(B199='Pre-Calculation'!$D$12,PW,0)</f>
        <v>0</v>
      </c>
      <c r="G200" s="122">
        <f>-IF(AND(D200&lt;=Revival!$C$2,MOD(B199,Mode)=0),Mod_Prem,0)-IF(D200='Cashflows_8%'!$C$7,Revival!$C$14,0)-IF(AND(D200&gt;'Cashflows_8%'!$C$7,D200&lt;=Revival!$C$12,MOD(B199,Mode)=0),Mod_Prem,0)+IF(B199=PT*12,VLOOKUP(PT*12,'Cashflows_4%'!$A$7:$N$246,14,0),0)+IF(B199='Pre-Calculation'!$D$12,PW,0)</f>
        <v>0</v>
      </c>
      <c r="H200" s="122">
        <f>-IF(AND(D200&lt;=Revival!$C$2,MOD(B199,Mode)=0),Mod_Prem,0)-IF(D200='Cashflows_8%'!$C$7,Revival!$C$14,0)-IF(AND(D200&gt;'Cashflows_8%'!$C$7,D200&lt;=Revival!$C$12,MOD(B199,Mode)=0),Mod_Prem,0)+IF(B199=PT*12,VLOOKUP(PT*12,Cashflows_HIST!$A$7:$N$246,14,0),0)+IF(B199='Pre-Calculation'!$D$12,PW,0)</f>
        <v>0</v>
      </c>
    </row>
    <row r="201" ht="14.25" customHeight="1">
      <c r="B201" s="171">
        <f t="shared" si="4"/>
        <v>194</v>
      </c>
      <c r="C201" s="171">
        <f t="shared" si="5"/>
        <v>17</v>
      </c>
      <c r="D201" s="176">
        <f>EDATE(RCD,B200)</f>
        <v>48425</v>
      </c>
      <c r="E201" s="199">
        <f>-IF(AND(D201&lt;=Revival!$C$2,MOD(B200,Mode)=0),Mod_Prem,0)+IF(B200='Pre-Calculation'!$D$12,SV,0)</f>
        <v>0</v>
      </c>
      <c r="F201" s="199">
        <f>-IF(AND(D201&lt;=Revival!$C$2,MOD(B200,Mode)=0),Mod_Prem,0)-IF(D201='Cashflows_8%'!$C$7,Revival!$C$14,0)-IF(AND(D201&gt;'Cashflows_8%'!$C$7,D201&lt;=Revival!$C$12,MOD(B200,Mode)=0),Mod_Prem,0)+IF(B200=PT*12,VLOOKUP(PT*12,'Cashflows_8%'!$A$7:$N$246,14,0),0)+IF(B200='Pre-Calculation'!$D$12,PW,0)</f>
        <v>0</v>
      </c>
      <c r="G201" s="122">
        <f>-IF(AND(D201&lt;=Revival!$C$2,MOD(B200,Mode)=0),Mod_Prem,0)-IF(D201='Cashflows_8%'!$C$7,Revival!$C$14,0)-IF(AND(D201&gt;'Cashflows_8%'!$C$7,D201&lt;=Revival!$C$12,MOD(B200,Mode)=0),Mod_Prem,0)+IF(B200=PT*12,VLOOKUP(PT*12,'Cashflows_4%'!$A$7:$N$246,14,0),0)+IF(B200='Pre-Calculation'!$D$12,PW,0)</f>
        <v>0</v>
      </c>
      <c r="H201" s="122">
        <f>-IF(AND(D201&lt;=Revival!$C$2,MOD(B200,Mode)=0),Mod_Prem,0)-IF(D201='Cashflows_8%'!$C$7,Revival!$C$14,0)-IF(AND(D201&gt;'Cashflows_8%'!$C$7,D201&lt;=Revival!$C$12,MOD(B200,Mode)=0),Mod_Prem,0)+IF(B200=PT*12,VLOOKUP(PT*12,Cashflows_HIST!$A$7:$N$246,14,0),0)+IF(B200='Pre-Calculation'!$D$12,PW,0)</f>
        <v>0</v>
      </c>
    </row>
    <row r="202" ht="14.25" customHeight="1">
      <c r="B202" s="171">
        <f t="shared" si="4"/>
        <v>195</v>
      </c>
      <c r="C202" s="171">
        <f t="shared" si="5"/>
        <v>17</v>
      </c>
      <c r="D202" s="176">
        <f>EDATE(RCD,B201)</f>
        <v>48456</v>
      </c>
      <c r="E202" s="199">
        <f>-IF(AND(D202&lt;=Revival!$C$2,MOD(B201,Mode)=0),Mod_Prem,0)+IF(B201='Pre-Calculation'!$D$12,SV,0)</f>
        <v>0</v>
      </c>
      <c r="F202" s="199">
        <f>-IF(AND(D202&lt;=Revival!$C$2,MOD(B201,Mode)=0),Mod_Prem,0)-IF(D202='Cashflows_8%'!$C$7,Revival!$C$14,0)-IF(AND(D202&gt;'Cashflows_8%'!$C$7,D202&lt;=Revival!$C$12,MOD(B201,Mode)=0),Mod_Prem,0)+IF(B201=PT*12,VLOOKUP(PT*12,'Cashflows_8%'!$A$7:$N$246,14,0),0)+IF(B201='Pre-Calculation'!$D$12,PW,0)</f>
        <v>0</v>
      </c>
      <c r="G202" s="122">
        <f>-IF(AND(D202&lt;=Revival!$C$2,MOD(B201,Mode)=0),Mod_Prem,0)-IF(D202='Cashflows_8%'!$C$7,Revival!$C$14,0)-IF(AND(D202&gt;'Cashflows_8%'!$C$7,D202&lt;=Revival!$C$12,MOD(B201,Mode)=0),Mod_Prem,0)+IF(B201=PT*12,VLOOKUP(PT*12,'Cashflows_4%'!$A$7:$N$246,14,0),0)+IF(B201='Pre-Calculation'!$D$12,PW,0)</f>
        <v>0</v>
      </c>
      <c r="H202" s="122">
        <f>-IF(AND(D202&lt;=Revival!$C$2,MOD(B201,Mode)=0),Mod_Prem,0)-IF(D202='Cashflows_8%'!$C$7,Revival!$C$14,0)-IF(AND(D202&gt;'Cashflows_8%'!$C$7,D202&lt;=Revival!$C$12,MOD(B201,Mode)=0),Mod_Prem,0)+IF(B201=PT*12,VLOOKUP(PT*12,Cashflows_HIST!$A$7:$N$246,14,0),0)+IF(B201='Pre-Calculation'!$D$12,PW,0)</f>
        <v>0</v>
      </c>
    </row>
    <row r="203" ht="14.25" customHeight="1">
      <c r="B203" s="171">
        <f t="shared" si="4"/>
        <v>196</v>
      </c>
      <c r="C203" s="171">
        <f t="shared" si="5"/>
        <v>17</v>
      </c>
      <c r="D203" s="176">
        <f>EDATE(RCD,B202)</f>
        <v>48487</v>
      </c>
      <c r="E203" s="199">
        <f>-IF(AND(D203&lt;=Revival!$C$2,MOD(B202,Mode)=0),Mod_Prem,0)+IF(B202='Pre-Calculation'!$D$12,SV,0)</f>
        <v>0</v>
      </c>
      <c r="F203" s="199">
        <f>-IF(AND(D203&lt;=Revival!$C$2,MOD(B202,Mode)=0),Mod_Prem,0)-IF(D203='Cashflows_8%'!$C$7,Revival!$C$14,0)-IF(AND(D203&gt;'Cashflows_8%'!$C$7,D203&lt;=Revival!$C$12,MOD(B202,Mode)=0),Mod_Prem,0)+IF(B202=PT*12,VLOOKUP(PT*12,'Cashflows_8%'!$A$7:$N$246,14,0),0)+IF(B202='Pre-Calculation'!$D$12,PW,0)</f>
        <v>0</v>
      </c>
      <c r="G203" s="122">
        <f>-IF(AND(D203&lt;=Revival!$C$2,MOD(B202,Mode)=0),Mod_Prem,0)-IF(D203='Cashflows_8%'!$C$7,Revival!$C$14,0)-IF(AND(D203&gt;'Cashflows_8%'!$C$7,D203&lt;=Revival!$C$12,MOD(B202,Mode)=0),Mod_Prem,0)+IF(B202=PT*12,VLOOKUP(PT*12,'Cashflows_4%'!$A$7:$N$246,14,0),0)+IF(B202='Pre-Calculation'!$D$12,PW,0)</f>
        <v>0</v>
      </c>
      <c r="H203" s="122">
        <f>-IF(AND(D203&lt;=Revival!$C$2,MOD(B202,Mode)=0),Mod_Prem,0)-IF(D203='Cashflows_8%'!$C$7,Revival!$C$14,0)-IF(AND(D203&gt;'Cashflows_8%'!$C$7,D203&lt;=Revival!$C$12,MOD(B202,Mode)=0),Mod_Prem,0)+IF(B202=PT*12,VLOOKUP(PT*12,Cashflows_HIST!$A$7:$N$246,14,0),0)+IF(B202='Pre-Calculation'!$D$12,PW,0)</f>
        <v>0</v>
      </c>
    </row>
    <row r="204" ht="14.25" customHeight="1">
      <c r="B204" s="171">
        <f t="shared" si="4"/>
        <v>197</v>
      </c>
      <c r="C204" s="171">
        <f t="shared" si="5"/>
        <v>17</v>
      </c>
      <c r="D204" s="176">
        <f>EDATE(RCD,B203)</f>
        <v>48517</v>
      </c>
      <c r="E204" s="199">
        <f>-IF(AND(D204&lt;=Revival!$C$2,MOD(B203,Mode)=0),Mod_Prem,0)+IF(B203='Pre-Calculation'!$D$12,SV,0)</f>
        <v>0</v>
      </c>
      <c r="F204" s="199">
        <f>-IF(AND(D204&lt;=Revival!$C$2,MOD(B203,Mode)=0),Mod_Prem,0)-IF(D204='Cashflows_8%'!$C$7,Revival!$C$14,0)-IF(AND(D204&gt;'Cashflows_8%'!$C$7,D204&lt;=Revival!$C$12,MOD(B203,Mode)=0),Mod_Prem,0)+IF(B203=PT*12,VLOOKUP(PT*12,'Cashflows_8%'!$A$7:$N$246,14,0),0)+IF(B203='Pre-Calculation'!$D$12,PW,0)</f>
        <v>0</v>
      </c>
      <c r="G204" s="122">
        <f>-IF(AND(D204&lt;=Revival!$C$2,MOD(B203,Mode)=0),Mod_Prem,0)-IF(D204='Cashflows_8%'!$C$7,Revival!$C$14,0)-IF(AND(D204&gt;'Cashflows_8%'!$C$7,D204&lt;=Revival!$C$12,MOD(B203,Mode)=0),Mod_Prem,0)+IF(B203=PT*12,VLOOKUP(PT*12,'Cashflows_4%'!$A$7:$N$246,14,0),0)+IF(B203='Pre-Calculation'!$D$12,PW,0)</f>
        <v>0</v>
      </c>
      <c r="H204" s="122">
        <f>-IF(AND(D204&lt;=Revival!$C$2,MOD(B203,Mode)=0),Mod_Prem,0)-IF(D204='Cashflows_8%'!$C$7,Revival!$C$14,0)-IF(AND(D204&gt;'Cashflows_8%'!$C$7,D204&lt;=Revival!$C$12,MOD(B203,Mode)=0),Mod_Prem,0)+IF(B203=PT*12,VLOOKUP(PT*12,Cashflows_HIST!$A$7:$N$246,14,0),0)+IF(B203='Pre-Calculation'!$D$12,PW,0)</f>
        <v>0</v>
      </c>
    </row>
    <row r="205" ht="14.25" customHeight="1">
      <c r="B205" s="171">
        <f t="shared" si="4"/>
        <v>198</v>
      </c>
      <c r="C205" s="171">
        <f t="shared" si="5"/>
        <v>17</v>
      </c>
      <c r="D205" s="176">
        <f>EDATE(RCD,B204)</f>
        <v>48548</v>
      </c>
      <c r="E205" s="199">
        <f>-IF(AND(D205&lt;=Revival!$C$2,MOD(B204,Mode)=0),Mod_Prem,0)+IF(B204='Pre-Calculation'!$D$12,SV,0)</f>
        <v>0</v>
      </c>
      <c r="F205" s="199">
        <f>-IF(AND(D205&lt;=Revival!$C$2,MOD(B204,Mode)=0),Mod_Prem,0)-IF(D205='Cashflows_8%'!$C$7,Revival!$C$14,0)-IF(AND(D205&gt;'Cashflows_8%'!$C$7,D205&lt;=Revival!$C$12,MOD(B204,Mode)=0),Mod_Prem,0)+IF(B204=PT*12,VLOOKUP(PT*12,'Cashflows_8%'!$A$7:$N$246,14,0),0)+IF(B204='Pre-Calculation'!$D$12,PW,0)</f>
        <v>0</v>
      </c>
      <c r="G205" s="122">
        <f>-IF(AND(D205&lt;=Revival!$C$2,MOD(B204,Mode)=0),Mod_Prem,0)-IF(D205='Cashflows_8%'!$C$7,Revival!$C$14,0)-IF(AND(D205&gt;'Cashflows_8%'!$C$7,D205&lt;=Revival!$C$12,MOD(B204,Mode)=0),Mod_Prem,0)+IF(B204=PT*12,VLOOKUP(PT*12,'Cashflows_4%'!$A$7:$N$246,14,0),0)+IF(B204='Pre-Calculation'!$D$12,PW,0)</f>
        <v>0</v>
      </c>
      <c r="H205" s="122">
        <f>-IF(AND(D205&lt;=Revival!$C$2,MOD(B204,Mode)=0),Mod_Prem,0)-IF(D205='Cashflows_8%'!$C$7,Revival!$C$14,0)-IF(AND(D205&gt;'Cashflows_8%'!$C$7,D205&lt;=Revival!$C$12,MOD(B204,Mode)=0),Mod_Prem,0)+IF(B204=PT*12,VLOOKUP(PT*12,Cashflows_HIST!$A$7:$N$246,14,0),0)+IF(B204='Pre-Calculation'!$D$12,PW,0)</f>
        <v>0</v>
      </c>
    </row>
    <row r="206" ht="14.25" customHeight="1">
      <c r="B206" s="171">
        <f t="shared" si="4"/>
        <v>199</v>
      </c>
      <c r="C206" s="171">
        <f t="shared" si="5"/>
        <v>17</v>
      </c>
      <c r="D206" s="176">
        <f>EDATE(RCD,B205)</f>
        <v>48578</v>
      </c>
      <c r="E206" s="199">
        <f>-IF(AND(D206&lt;=Revival!$C$2,MOD(B205,Mode)=0),Mod_Prem,0)+IF(B205='Pre-Calculation'!$D$12,SV,0)</f>
        <v>0</v>
      </c>
      <c r="F206" s="199">
        <f>-IF(AND(D206&lt;=Revival!$C$2,MOD(B205,Mode)=0),Mod_Prem,0)-IF(D206='Cashflows_8%'!$C$7,Revival!$C$14,0)-IF(AND(D206&gt;'Cashflows_8%'!$C$7,D206&lt;=Revival!$C$12,MOD(B205,Mode)=0),Mod_Prem,0)+IF(B205=PT*12,VLOOKUP(PT*12,'Cashflows_8%'!$A$7:$N$246,14,0),0)+IF(B205='Pre-Calculation'!$D$12,PW,0)</f>
        <v>0</v>
      </c>
      <c r="G206" s="122">
        <f>-IF(AND(D206&lt;=Revival!$C$2,MOD(B205,Mode)=0),Mod_Prem,0)-IF(D206='Cashflows_8%'!$C$7,Revival!$C$14,0)-IF(AND(D206&gt;'Cashflows_8%'!$C$7,D206&lt;=Revival!$C$12,MOD(B205,Mode)=0),Mod_Prem,0)+IF(B205=PT*12,VLOOKUP(PT*12,'Cashflows_4%'!$A$7:$N$246,14,0),0)+IF(B205='Pre-Calculation'!$D$12,PW,0)</f>
        <v>0</v>
      </c>
      <c r="H206" s="122">
        <f>-IF(AND(D206&lt;=Revival!$C$2,MOD(B205,Mode)=0),Mod_Prem,0)-IF(D206='Cashflows_8%'!$C$7,Revival!$C$14,0)-IF(AND(D206&gt;'Cashflows_8%'!$C$7,D206&lt;=Revival!$C$12,MOD(B205,Mode)=0),Mod_Prem,0)+IF(B205=PT*12,VLOOKUP(PT*12,Cashflows_HIST!$A$7:$N$246,14,0),0)+IF(B205='Pre-Calculation'!$D$12,PW,0)</f>
        <v>0</v>
      </c>
    </row>
    <row r="207" ht="14.25" customHeight="1">
      <c r="B207" s="171">
        <f t="shared" si="4"/>
        <v>200</v>
      </c>
      <c r="C207" s="171">
        <f t="shared" si="5"/>
        <v>17</v>
      </c>
      <c r="D207" s="176">
        <f>EDATE(RCD,B206)</f>
        <v>48609</v>
      </c>
      <c r="E207" s="199">
        <f>-IF(AND(D207&lt;=Revival!$C$2,MOD(B206,Mode)=0),Mod_Prem,0)+IF(B206='Pre-Calculation'!$D$12,SV,0)</f>
        <v>0</v>
      </c>
      <c r="F207" s="199">
        <f>-IF(AND(D207&lt;=Revival!$C$2,MOD(B206,Mode)=0),Mod_Prem,0)-IF(D207='Cashflows_8%'!$C$7,Revival!$C$14,0)-IF(AND(D207&gt;'Cashflows_8%'!$C$7,D207&lt;=Revival!$C$12,MOD(B206,Mode)=0),Mod_Prem,0)+IF(B206=PT*12,VLOOKUP(PT*12,'Cashflows_8%'!$A$7:$N$246,14,0),0)+IF(B206='Pre-Calculation'!$D$12,PW,0)</f>
        <v>0</v>
      </c>
      <c r="G207" s="122">
        <f>-IF(AND(D207&lt;=Revival!$C$2,MOD(B206,Mode)=0),Mod_Prem,0)-IF(D207='Cashflows_8%'!$C$7,Revival!$C$14,0)-IF(AND(D207&gt;'Cashflows_8%'!$C$7,D207&lt;=Revival!$C$12,MOD(B206,Mode)=0),Mod_Prem,0)+IF(B206=PT*12,VLOOKUP(PT*12,'Cashflows_4%'!$A$7:$N$246,14,0),0)+IF(B206='Pre-Calculation'!$D$12,PW,0)</f>
        <v>0</v>
      </c>
      <c r="H207" s="122">
        <f>-IF(AND(D207&lt;=Revival!$C$2,MOD(B206,Mode)=0),Mod_Prem,0)-IF(D207='Cashflows_8%'!$C$7,Revival!$C$14,0)-IF(AND(D207&gt;'Cashflows_8%'!$C$7,D207&lt;=Revival!$C$12,MOD(B206,Mode)=0),Mod_Prem,0)+IF(B206=PT*12,VLOOKUP(PT*12,Cashflows_HIST!$A$7:$N$246,14,0),0)+IF(B206='Pre-Calculation'!$D$12,PW,0)</f>
        <v>0</v>
      </c>
    </row>
    <row r="208" ht="14.25" customHeight="1">
      <c r="B208" s="171">
        <f t="shared" si="4"/>
        <v>201</v>
      </c>
      <c r="C208" s="171">
        <f t="shared" si="5"/>
        <v>17</v>
      </c>
      <c r="D208" s="176">
        <f>EDATE(RCD,B207)</f>
        <v>48638</v>
      </c>
      <c r="E208" s="199">
        <f>-IF(AND(D208&lt;=Revival!$C$2,MOD(B207,Mode)=0),Mod_Prem,0)+IF(B207='Pre-Calculation'!$D$12,SV,0)</f>
        <v>0</v>
      </c>
      <c r="F208" s="199">
        <f>-IF(AND(D208&lt;=Revival!$C$2,MOD(B207,Mode)=0),Mod_Prem,0)-IF(D208='Cashflows_8%'!$C$7,Revival!$C$14,0)-IF(AND(D208&gt;'Cashflows_8%'!$C$7,D208&lt;=Revival!$C$12,MOD(B207,Mode)=0),Mod_Prem,0)+IF(B207=PT*12,VLOOKUP(PT*12,'Cashflows_8%'!$A$7:$N$246,14,0),0)+IF(B207='Pre-Calculation'!$D$12,PW,0)</f>
        <v>0</v>
      </c>
      <c r="G208" s="122">
        <f>-IF(AND(D208&lt;=Revival!$C$2,MOD(B207,Mode)=0),Mod_Prem,0)-IF(D208='Cashflows_8%'!$C$7,Revival!$C$14,0)-IF(AND(D208&gt;'Cashflows_8%'!$C$7,D208&lt;=Revival!$C$12,MOD(B207,Mode)=0),Mod_Prem,0)+IF(B207=PT*12,VLOOKUP(PT*12,'Cashflows_4%'!$A$7:$N$246,14,0),0)+IF(B207='Pre-Calculation'!$D$12,PW,0)</f>
        <v>0</v>
      </c>
      <c r="H208" s="122">
        <f>-IF(AND(D208&lt;=Revival!$C$2,MOD(B207,Mode)=0),Mod_Prem,0)-IF(D208='Cashflows_8%'!$C$7,Revival!$C$14,0)-IF(AND(D208&gt;'Cashflows_8%'!$C$7,D208&lt;=Revival!$C$12,MOD(B207,Mode)=0),Mod_Prem,0)+IF(B207=PT*12,VLOOKUP(PT*12,Cashflows_HIST!$A$7:$N$246,14,0),0)+IF(B207='Pre-Calculation'!$D$12,PW,0)</f>
        <v>0</v>
      </c>
    </row>
    <row r="209" ht="14.25" customHeight="1">
      <c r="B209" s="171">
        <f t="shared" si="4"/>
        <v>202</v>
      </c>
      <c r="C209" s="171">
        <f t="shared" si="5"/>
        <v>17</v>
      </c>
      <c r="D209" s="176">
        <f>EDATE(RCD,B208)</f>
        <v>48668</v>
      </c>
      <c r="E209" s="199">
        <f>-IF(AND(D209&lt;=Revival!$C$2,MOD(B208,Mode)=0),Mod_Prem,0)+IF(B208='Pre-Calculation'!$D$12,SV,0)</f>
        <v>0</v>
      </c>
      <c r="F209" s="199">
        <f>-IF(AND(D209&lt;=Revival!$C$2,MOD(B208,Mode)=0),Mod_Prem,0)-IF(D209='Cashflows_8%'!$C$7,Revival!$C$14,0)-IF(AND(D209&gt;'Cashflows_8%'!$C$7,D209&lt;=Revival!$C$12,MOD(B208,Mode)=0),Mod_Prem,0)+IF(B208=PT*12,VLOOKUP(PT*12,'Cashflows_8%'!$A$7:$N$246,14,0),0)+IF(B208='Pre-Calculation'!$D$12,PW,0)</f>
        <v>0</v>
      </c>
      <c r="G209" s="122">
        <f>-IF(AND(D209&lt;=Revival!$C$2,MOD(B208,Mode)=0),Mod_Prem,0)-IF(D209='Cashflows_8%'!$C$7,Revival!$C$14,0)-IF(AND(D209&gt;'Cashflows_8%'!$C$7,D209&lt;=Revival!$C$12,MOD(B208,Mode)=0),Mod_Prem,0)+IF(B208=PT*12,VLOOKUP(PT*12,'Cashflows_4%'!$A$7:$N$246,14,0),0)+IF(B208='Pre-Calculation'!$D$12,PW,0)</f>
        <v>0</v>
      </c>
      <c r="H209" s="122">
        <f>-IF(AND(D209&lt;=Revival!$C$2,MOD(B208,Mode)=0),Mod_Prem,0)-IF(D209='Cashflows_8%'!$C$7,Revival!$C$14,0)-IF(AND(D209&gt;'Cashflows_8%'!$C$7,D209&lt;=Revival!$C$12,MOD(B208,Mode)=0),Mod_Prem,0)+IF(B208=PT*12,VLOOKUP(PT*12,Cashflows_HIST!$A$7:$N$246,14,0),0)+IF(B208='Pre-Calculation'!$D$12,PW,0)</f>
        <v>0</v>
      </c>
    </row>
    <row r="210" ht="14.25" customHeight="1">
      <c r="B210" s="171">
        <f t="shared" si="4"/>
        <v>203</v>
      </c>
      <c r="C210" s="171">
        <f t="shared" si="5"/>
        <v>17</v>
      </c>
      <c r="D210" s="176">
        <f>EDATE(RCD,B209)</f>
        <v>48699</v>
      </c>
      <c r="E210" s="199">
        <f>-IF(AND(D210&lt;=Revival!$C$2,MOD(B209,Mode)=0),Mod_Prem,0)+IF(B209='Pre-Calculation'!$D$12,SV,0)</f>
        <v>0</v>
      </c>
      <c r="F210" s="199">
        <f>-IF(AND(D210&lt;=Revival!$C$2,MOD(B209,Mode)=0),Mod_Prem,0)-IF(D210='Cashflows_8%'!$C$7,Revival!$C$14,0)-IF(AND(D210&gt;'Cashflows_8%'!$C$7,D210&lt;=Revival!$C$12,MOD(B209,Mode)=0),Mod_Prem,0)+IF(B209=PT*12,VLOOKUP(PT*12,'Cashflows_8%'!$A$7:$N$246,14,0),0)+IF(B209='Pre-Calculation'!$D$12,PW,0)</f>
        <v>0</v>
      </c>
      <c r="G210" s="122">
        <f>-IF(AND(D210&lt;=Revival!$C$2,MOD(B209,Mode)=0),Mod_Prem,0)-IF(D210='Cashflows_8%'!$C$7,Revival!$C$14,0)-IF(AND(D210&gt;'Cashflows_8%'!$C$7,D210&lt;=Revival!$C$12,MOD(B209,Mode)=0),Mod_Prem,0)+IF(B209=PT*12,VLOOKUP(PT*12,'Cashflows_4%'!$A$7:$N$246,14,0),0)+IF(B209='Pre-Calculation'!$D$12,PW,0)</f>
        <v>0</v>
      </c>
      <c r="H210" s="122">
        <f>-IF(AND(D210&lt;=Revival!$C$2,MOD(B209,Mode)=0),Mod_Prem,0)-IF(D210='Cashflows_8%'!$C$7,Revival!$C$14,0)-IF(AND(D210&gt;'Cashflows_8%'!$C$7,D210&lt;=Revival!$C$12,MOD(B209,Mode)=0),Mod_Prem,0)+IF(B209=PT*12,VLOOKUP(PT*12,Cashflows_HIST!$A$7:$N$246,14,0),0)+IF(B209='Pre-Calculation'!$D$12,PW,0)</f>
        <v>0</v>
      </c>
    </row>
    <row r="211" ht="14.25" customHeight="1">
      <c r="B211" s="171">
        <f t="shared" si="4"/>
        <v>204</v>
      </c>
      <c r="C211" s="171">
        <f t="shared" si="5"/>
        <v>17</v>
      </c>
      <c r="D211" s="176">
        <f>EDATE(RCD,B210)</f>
        <v>48729</v>
      </c>
      <c r="E211" s="199">
        <f>-IF(AND(D211&lt;=Revival!$C$2,MOD(B210,Mode)=0),Mod_Prem,0)+IF(B210='Pre-Calculation'!$D$12,SV,0)</f>
        <v>0</v>
      </c>
      <c r="F211" s="199">
        <f>-IF(AND(D211&lt;=Revival!$C$2,MOD(B210,Mode)=0),Mod_Prem,0)-IF(D211='Cashflows_8%'!$C$7,Revival!$C$14,0)-IF(AND(D211&gt;'Cashflows_8%'!$C$7,D211&lt;=Revival!$C$12,MOD(B210,Mode)=0),Mod_Prem,0)+IF(B210=PT*12,VLOOKUP(PT*12,'Cashflows_8%'!$A$7:$N$246,14,0),0)+IF(B210='Pre-Calculation'!$D$12,PW,0)</f>
        <v>0</v>
      </c>
      <c r="G211" s="122">
        <f>-IF(AND(D211&lt;=Revival!$C$2,MOD(B210,Mode)=0),Mod_Prem,0)-IF(D211='Cashflows_8%'!$C$7,Revival!$C$14,0)-IF(AND(D211&gt;'Cashflows_8%'!$C$7,D211&lt;=Revival!$C$12,MOD(B210,Mode)=0),Mod_Prem,0)+IF(B210=PT*12,VLOOKUP(PT*12,'Cashflows_4%'!$A$7:$N$246,14,0),0)+IF(B210='Pre-Calculation'!$D$12,PW,0)</f>
        <v>0</v>
      </c>
      <c r="H211" s="122">
        <f>-IF(AND(D211&lt;=Revival!$C$2,MOD(B210,Mode)=0),Mod_Prem,0)-IF(D211='Cashflows_8%'!$C$7,Revival!$C$14,0)-IF(AND(D211&gt;'Cashflows_8%'!$C$7,D211&lt;=Revival!$C$12,MOD(B210,Mode)=0),Mod_Prem,0)+IF(B210=PT*12,VLOOKUP(PT*12,Cashflows_HIST!$A$7:$N$246,14,0),0)+IF(B210='Pre-Calculation'!$D$12,PW,0)</f>
        <v>0</v>
      </c>
    </row>
    <row r="212" ht="14.25" customHeight="1">
      <c r="B212" s="171">
        <f t="shared" si="4"/>
        <v>205</v>
      </c>
      <c r="C212" s="171">
        <f t="shared" si="5"/>
        <v>18</v>
      </c>
      <c r="D212" s="176">
        <f>EDATE(RCD,B211)</f>
        <v>48760</v>
      </c>
      <c r="E212" s="199">
        <f>-IF(AND(D212&lt;=Revival!$C$2,MOD(B211,Mode)=0),Mod_Prem,0)+IF(B211='Pre-Calculation'!$D$12,SV,0)</f>
        <v>0</v>
      </c>
      <c r="F212" s="199">
        <f>-IF(AND(D212&lt;=Revival!$C$2,MOD(B211,Mode)=0),Mod_Prem,0)-IF(D212='Cashflows_8%'!$C$7,Revival!$C$14,0)-IF(AND(D212&gt;'Cashflows_8%'!$C$7,D212&lt;=Revival!$C$12,MOD(B211,Mode)=0),Mod_Prem,0)+IF(B211=PT*12,VLOOKUP(PT*12,'Cashflows_8%'!$A$7:$N$246,14,0),0)+IF(B211='Pre-Calculation'!$D$12,PW,0)</f>
        <v>0</v>
      </c>
      <c r="G212" s="122">
        <f>-IF(AND(D212&lt;=Revival!$C$2,MOD(B211,Mode)=0),Mod_Prem,0)-IF(D212='Cashflows_8%'!$C$7,Revival!$C$14,0)-IF(AND(D212&gt;'Cashflows_8%'!$C$7,D212&lt;=Revival!$C$12,MOD(B211,Mode)=0),Mod_Prem,0)+IF(B211=PT*12,VLOOKUP(PT*12,'Cashflows_4%'!$A$7:$N$246,14,0),0)+IF(B211='Pre-Calculation'!$D$12,PW,0)</f>
        <v>0</v>
      </c>
      <c r="H212" s="122">
        <f>-IF(AND(D212&lt;=Revival!$C$2,MOD(B211,Mode)=0),Mod_Prem,0)-IF(D212='Cashflows_8%'!$C$7,Revival!$C$14,0)-IF(AND(D212&gt;'Cashflows_8%'!$C$7,D212&lt;=Revival!$C$12,MOD(B211,Mode)=0),Mod_Prem,0)+IF(B211=PT*12,VLOOKUP(PT*12,Cashflows_HIST!$A$7:$N$246,14,0),0)+IF(B211='Pre-Calculation'!$D$12,PW,0)</f>
        <v>0</v>
      </c>
    </row>
    <row r="213" ht="14.25" customHeight="1">
      <c r="B213" s="171">
        <f t="shared" si="4"/>
        <v>206</v>
      </c>
      <c r="C213" s="171">
        <f t="shared" si="5"/>
        <v>18</v>
      </c>
      <c r="D213" s="176">
        <f>EDATE(RCD,B212)</f>
        <v>48790</v>
      </c>
      <c r="E213" s="199">
        <f>-IF(AND(D213&lt;=Revival!$C$2,MOD(B212,Mode)=0),Mod_Prem,0)+IF(B212='Pre-Calculation'!$D$12,SV,0)</f>
        <v>0</v>
      </c>
      <c r="F213" s="199">
        <f>-IF(AND(D213&lt;=Revival!$C$2,MOD(B212,Mode)=0),Mod_Prem,0)-IF(D213='Cashflows_8%'!$C$7,Revival!$C$14,0)-IF(AND(D213&gt;'Cashflows_8%'!$C$7,D213&lt;=Revival!$C$12,MOD(B212,Mode)=0),Mod_Prem,0)+IF(B212=PT*12,VLOOKUP(PT*12,'Cashflows_8%'!$A$7:$N$246,14,0),0)+IF(B212='Pre-Calculation'!$D$12,PW,0)</f>
        <v>0</v>
      </c>
      <c r="G213" s="122">
        <f>-IF(AND(D213&lt;=Revival!$C$2,MOD(B212,Mode)=0),Mod_Prem,0)-IF(D213='Cashflows_8%'!$C$7,Revival!$C$14,0)-IF(AND(D213&gt;'Cashflows_8%'!$C$7,D213&lt;=Revival!$C$12,MOD(B212,Mode)=0),Mod_Prem,0)+IF(B212=PT*12,VLOOKUP(PT*12,'Cashflows_4%'!$A$7:$N$246,14,0),0)+IF(B212='Pre-Calculation'!$D$12,PW,0)</f>
        <v>0</v>
      </c>
      <c r="H213" s="122">
        <f>-IF(AND(D213&lt;=Revival!$C$2,MOD(B212,Mode)=0),Mod_Prem,0)-IF(D213='Cashflows_8%'!$C$7,Revival!$C$14,0)-IF(AND(D213&gt;'Cashflows_8%'!$C$7,D213&lt;=Revival!$C$12,MOD(B212,Mode)=0),Mod_Prem,0)+IF(B212=PT*12,VLOOKUP(PT*12,Cashflows_HIST!$A$7:$N$246,14,0),0)+IF(B212='Pre-Calculation'!$D$12,PW,0)</f>
        <v>0</v>
      </c>
    </row>
    <row r="214" ht="14.25" customHeight="1">
      <c r="B214" s="171">
        <f t="shared" si="4"/>
        <v>207</v>
      </c>
      <c r="C214" s="171">
        <f t="shared" si="5"/>
        <v>18</v>
      </c>
      <c r="D214" s="176">
        <f>EDATE(RCD,B213)</f>
        <v>48821</v>
      </c>
      <c r="E214" s="199">
        <f>-IF(AND(D214&lt;=Revival!$C$2,MOD(B213,Mode)=0),Mod_Prem,0)+IF(B213='Pre-Calculation'!$D$12,SV,0)</f>
        <v>0</v>
      </c>
      <c r="F214" s="199">
        <f>-IF(AND(D214&lt;=Revival!$C$2,MOD(B213,Mode)=0),Mod_Prem,0)-IF(D214='Cashflows_8%'!$C$7,Revival!$C$14,0)-IF(AND(D214&gt;'Cashflows_8%'!$C$7,D214&lt;=Revival!$C$12,MOD(B213,Mode)=0),Mod_Prem,0)+IF(B213=PT*12,VLOOKUP(PT*12,'Cashflows_8%'!$A$7:$N$246,14,0),0)+IF(B213='Pre-Calculation'!$D$12,PW,0)</f>
        <v>0</v>
      </c>
      <c r="G214" s="122">
        <f>-IF(AND(D214&lt;=Revival!$C$2,MOD(B213,Mode)=0),Mod_Prem,0)-IF(D214='Cashflows_8%'!$C$7,Revival!$C$14,0)-IF(AND(D214&gt;'Cashflows_8%'!$C$7,D214&lt;=Revival!$C$12,MOD(B213,Mode)=0),Mod_Prem,0)+IF(B213=PT*12,VLOOKUP(PT*12,'Cashflows_4%'!$A$7:$N$246,14,0),0)+IF(B213='Pre-Calculation'!$D$12,PW,0)</f>
        <v>0</v>
      </c>
      <c r="H214" s="122">
        <f>-IF(AND(D214&lt;=Revival!$C$2,MOD(B213,Mode)=0),Mod_Prem,0)-IF(D214='Cashflows_8%'!$C$7,Revival!$C$14,0)-IF(AND(D214&gt;'Cashflows_8%'!$C$7,D214&lt;=Revival!$C$12,MOD(B213,Mode)=0),Mod_Prem,0)+IF(B213=PT*12,VLOOKUP(PT*12,Cashflows_HIST!$A$7:$N$246,14,0),0)+IF(B213='Pre-Calculation'!$D$12,PW,0)</f>
        <v>0</v>
      </c>
    </row>
    <row r="215" ht="14.25" customHeight="1">
      <c r="B215" s="171">
        <f t="shared" si="4"/>
        <v>208</v>
      </c>
      <c r="C215" s="171">
        <f t="shared" si="5"/>
        <v>18</v>
      </c>
      <c r="D215" s="176">
        <f>EDATE(RCD,B214)</f>
        <v>48852</v>
      </c>
      <c r="E215" s="199">
        <f>-IF(AND(D215&lt;=Revival!$C$2,MOD(B214,Mode)=0),Mod_Prem,0)+IF(B214='Pre-Calculation'!$D$12,SV,0)</f>
        <v>0</v>
      </c>
      <c r="F215" s="199">
        <f>-IF(AND(D215&lt;=Revival!$C$2,MOD(B214,Mode)=0),Mod_Prem,0)-IF(D215='Cashflows_8%'!$C$7,Revival!$C$14,0)-IF(AND(D215&gt;'Cashflows_8%'!$C$7,D215&lt;=Revival!$C$12,MOD(B214,Mode)=0),Mod_Prem,0)+IF(B214=PT*12,VLOOKUP(PT*12,'Cashflows_8%'!$A$7:$N$246,14,0),0)+IF(B214='Pre-Calculation'!$D$12,PW,0)</f>
        <v>0</v>
      </c>
      <c r="G215" s="122">
        <f>-IF(AND(D215&lt;=Revival!$C$2,MOD(B214,Mode)=0),Mod_Prem,0)-IF(D215='Cashflows_8%'!$C$7,Revival!$C$14,0)-IF(AND(D215&gt;'Cashflows_8%'!$C$7,D215&lt;=Revival!$C$12,MOD(B214,Mode)=0),Mod_Prem,0)+IF(B214=PT*12,VLOOKUP(PT*12,'Cashflows_4%'!$A$7:$N$246,14,0),0)+IF(B214='Pre-Calculation'!$D$12,PW,0)</f>
        <v>0</v>
      </c>
      <c r="H215" s="122">
        <f>-IF(AND(D215&lt;=Revival!$C$2,MOD(B214,Mode)=0),Mod_Prem,0)-IF(D215='Cashflows_8%'!$C$7,Revival!$C$14,0)-IF(AND(D215&gt;'Cashflows_8%'!$C$7,D215&lt;=Revival!$C$12,MOD(B214,Mode)=0),Mod_Prem,0)+IF(B214=PT*12,VLOOKUP(PT*12,Cashflows_HIST!$A$7:$N$246,14,0),0)+IF(B214='Pre-Calculation'!$D$12,PW,0)</f>
        <v>0</v>
      </c>
    </row>
    <row r="216" ht="14.25" customHeight="1">
      <c r="B216" s="171">
        <f t="shared" si="4"/>
        <v>209</v>
      </c>
      <c r="C216" s="171">
        <f t="shared" si="5"/>
        <v>18</v>
      </c>
      <c r="D216" s="176">
        <f>EDATE(RCD,B215)</f>
        <v>48882</v>
      </c>
      <c r="E216" s="199">
        <f>-IF(AND(D216&lt;=Revival!$C$2,MOD(B215,Mode)=0),Mod_Prem,0)+IF(B215='Pre-Calculation'!$D$12,SV,0)</f>
        <v>0</v>
      </c>
      <c r="F216" s="199">
        <f>-IF(AND(D216&lt;=Revival!$C$2,MOD(B215,Mode)=0),Mod_Prem,0)-IF(D216='Cashflows_8%'!$C$7,Revival!$C$14,0)-IF(AND(D216&gt;'Cashflows_8%'!$C$7,D216&lt;=Revival!$C$12,MOD(B215,Mode)=0),Mod_Prem,0)+IF(B215=PT*12,VLOOKUP(PT*12,'Cashflows_8%'!$A$7:$N$246,14,0),0)+IF(B215='Pre-Calculation'!$D$12,PW,0)</f>
        <v>0</v>
      </c>
      <c r="G216" s="122">
        <f>-IF(AND(D216&lt;=Revival!$C$2,MOD(B215,Mode)=0),Mod_Prem,0)-IF(D216='Cashflows_8%'!$C$7,Revival!$C$14,0)-IF(AND(D216&gt;'Cashflows_8%'!$C$7,D216&lt;=Revival!$C$12,MOD(B215,Mode)=0),Mod_Prem,0)+IF(B215=PT*12,VLOOKUP(PT*12,'Cashflows_4%'!$A$7:$N$246,14,0),0)+IF(B215='Pre-Calculation'!$D$12,PW,0)</f>
        <v>0</v>
      </c>
      <c r="H216" s="122">
        <f>-IF(AND(D216&lt;=Revival!$C$2,MOD(B215,Mode)=0),Mod_Prem,0)-IF(D216='Cashflows_8%'!$C$7,Revival!$C$14,0)-IF(AND(D216&gt;'Cashflows_8%'!$C$7,D216&lt;=Revival!$C$12,MOD(B215,Mode)=0),Mod_Prem,0)+IF(B215=PT*12,VLOOKUP(PT*12,Cashflows_HIST!$A$7:$N$246,14,0),0)+IF(B215='Pre-Calculation'!$D$12,PW,0)</f>
        <v>0</v>
      </c>
    </row>
    <row r="217" ht="14.25" customHeight="1">
      <c r="B217" s="171">
        <f t="shared" si="4"/>
        <v>210</v>
      </c>
      <c r="C217" s="171">
        <f t="shared" si="5"/>
        <v>18</v>
      </c>
      <c r="D217" s="176">
        <f>EDATE(RCD,B216)</f>
        <v>48913</v>
      </c>
      <c r="E217" s="199">
        <f>-IF(AND(D217&lt;=Revival!$C$2,MOD(B216,Mode)=0),Mod_Prem,0)+IF(B216='Pre-Calculation'!$D$12,SV,0)</f>
        <v>0</v>
      </c>
      <c r="F217" s="199">
        <f>-IF(AND(D217&lt;=Revival!$C$2,MOD(B216,Mode)=0),Mod_Prem,0)-IF(D217='Cashflows_8%'!$C$7,Revival!$C$14,0)-IF(AND(D217&gt;'Cashflows_8%'!$C$7,D217&lt;=Revival!$C$12,MOD(B216,Mode)=0),Mod_Prem,0)+IF(B216=PT*12,VLOOKUP(PT*12,'Cashflows_8%'!$A$7:$N$246,14,0),0)+IF(B216='Pre-Calculation'!$D$12,PW,0)</f>
        <v>0</v>
      </c>
      <c r="G217" s="122">
        <f>-IF(AND(D217&lt;=Revival!$C$2,MOD(B216,Mode)=0),Mod_Prem,0)-IF(D217='Cashflows_8%'!$C$7,Revival!$C$14,0)-IF(AND(D217&gt;'Cashflows_8%'!$C$7,D217&lt;=Revival!$C$12,MOD(B216,Mode)=0),Mod_Prem,0)+IF(B216=PT*12,VLOOKUP(PT*12,'Cashflows_4%'!$A$7:$N$246,14,0),0)+IF(B216='Pre-Calculation'!$D$12,PW,0)</f>
        <v>0</v>
      </c>
      <c r="H217" s="122">
        <f>-IF(AND(D217&lt;=Revival!$C$2,MOD(B216,Mode)=0),Mod_Prem,0)-IF(D217='Cashflows_8%'!$C$7,Revival!$C$14,0)-IF(AND(D217&gt;'Cashflows_8%'!$C$7,D217&lt;=Revival!$C$12,MOD(B216,Mode)=0),Mod_Prem,0)+IF(B216=PT*12,VLOOKUP(PT*12,Cashflows_HIST!$A$7:$N$246,14,0),0)+IF(B216='Pre-Calculation'!$D$12,PW,0)</f>
        <v>0</v>
      </c>
    </row>
    <row r="218" ht="14.25" customHeight="1">
      <c r="B218" s="171">
        <f t="shared" si="4"/>
        <v>211</v>
      </c>
      <c r="C218" s="171">
        <f t="shared" si="5"/>
        <v>18</v>
      </c>
      <c r="D218" s="176">
        <f>EDATE(RCD,B217)</f>
        <v>48943</v>
      </c>
      <c r="E218" s="199">
        <f>-IF(AND(D218&lt;=Revival!$C$2,MOD(B217,Mode)=0),Mod_Prem,0)+IF(B217='Pre-Calculation'!$D$12,SV,0)</f>
        <v>0</v>
      </c>
      <c r="F218" s="199">
        <f>-IF(AND(D218&lt;=Revival!$C$2,MOD(B217,Mode)=0),Mod_Prem,0)-IF(D218='Cashflows_8%'!$C$7,Revival!$C$14,0)-IF(AND(D218&gt;'Cashflows_8%'!$C$7,D218&lt;=Revival!$C$12,MOD(B217,Mode)=0),Mod_Prem,0)+IF(B217=PT*12,VLOOKUP(PT*12,'Cashflows_8%'!$A$7:$N$246,14,0),0)+IF(B217='Pre-Calculation'!$D$12,PW,0)</f>
        <v>0</v>
      </c>
      <c r="G218" s="122">
        <f>-IF(AND(D218&lt;=Revival!$C$2,MOD(B217,Mode)=0),Mod_Prem,0)-IF(D218='Cashflows_8%'!$C$7,Revival!$C$14,0)-IF(AND(D218&gt;'Cashflows_8%'!$C$7,D218&lt;=Revival!$C$12,MOD(B217,Mode)=0),Mod_Prem,0)+IF(B217=PT*12,VLOOKUP(PT*12,'Cashflows_4%'!$A$7:$N$246,14,0),0)+IF(B217='Pre-Calculation'!$D$12,PW,0)</f>
        <v>0</v>
      </c>
      <c r="H218" s="122">
        <f>-IF(AND(D218&lt;=Revival!$C$2,MOD(B217,Mode)=0),Mod_Prem,0)-IF(D218='Cashflows_8%'!$C$7,Revival!$C$14,0)-IF(AND(D218&gt;'Cashflows_8%'!$C$7,D218&lt;=Revival!$C$12,MOD(B217,Mode)=0),Mod_Prem,0)+IF(B217=PT*12,VLOOKUP(PT*12,Cashflows_HIST!$A$7:$N$246,14,0),0)+IF(B217='Pre-Calculation'!$D$12,PW,0)</f>
        <v>0</v>
      </c>
    </row>
    <row r="219" ht="14.25" customHeight="1">
      <c r="B219" s="171">
        <f t="shared" si="4"/>
        <v>212</v>
      </c>
      <c r="C219" s="171">
        <f t="shared" si="5"/>
        <v>18</v>
      </c>
      <c r="D219" s="176">
        <f>EDATE(RCD,B218)</f>
        <v>48974</v>
      </c>
      <c r="E219" s="199">
        <f>-IF(AND(D219&lt;=Revival!$C$2,MOD(B218,Mode)=0),Mod_Prem,0)+IF(B218='Pre-Calculation'!$D$12,SV,0)</f>
        <v>0</v>
      </c>
      <c r="F219" s="199">
        <f>-IF(AND(D219&lt;=Revival!$C$2,MOD(B218,Mode)=0),Mod_Prem,0)-IF(D219='Cashflows_8%'!$C$7,Revival!$C$14,0)-IF(AND(D219&gt;'Cashflows_8%'!$C$7,D219&lt;=Revival!$C$12,MOD(B218,Mode)=0),Mod_Prem,0)+IF(B218=PT*12,VLOOKUP(PT*12,'Cashflows_8%'!$A$7:$N$246,14,0),0)+IF(B218='Pre-Calculation'!$D$12,PW,0)</f>
        <v>0</v>
      </c>
      <c r="G219" s="122">
        <f>-IF(AND(D219&lt;=Revival!$C$2,MOD(B218,Mode)=0),Mod_Prem,0)-IF(D219='Cashflows_8%'!$C$7,Revival!$C$14,0)-IF(AND(D219&gt;'Cashflows_8%'!$C$7,D219&lt;=Revival!$C$12,MOD(B218,Mode)=0),Mod_Prem,0)+IF(B218=PT*12,VLOOKUP(PT*12,'Cashflows_4%'!$A$7:$N$246,14,0),0)+IF(B218='Pre-Calculation'!$D$12,PW,0)</f>
        <v>0</v>
      </c>
      <c r="H219" s="122">
        <f>-IF(AND(D219&lt;=Revival!$C$2,MOD(B218,Mode)=0),Mod_Prem,0)-IF(D219='Cashflows_8%'!$C$7,Revival!$C$14,0)-IF(AND(D219&gt;'Cashflows_8%'!$C$7,D219&lt;=Revival!$C$12,MOD(B218,Mode)=0),Mod_Prem,0)+IF(B218=PT*12,VLOOKUP(PT*12,Cashflows_HIST!$A$7:$N$246,14,0),0)+IF(B218='Pre-Calculation'!$D$12,PW,0)</f>
        <v>0</v>
      </c>
    </row>
    <row r="220" ht="14.25" customHeight="1">
      <c r="B220" s="171">
        <f t="shared" si="4"/>
        <v>213</v>
      </c>
      <c r="C220" s="171">
        <f t="shared" si="5"/>
        <v>18</v>
      </c>
      <c r="D220" s="176">
        <f>EDATE(RCD,B219)</f>
        <v>49003</v>
      </c>
      <c r="E220" s="199">
        <f>-IF(AND(D220&lt;=Revival!$C$2,MOD(B219,Mode)=0),Mod_Prem,0)+IF(B219='Pre-Calculation'!$D$12,SV,0)</f>
        <v>0</v>
      </c>
      <c r="F220" s="199">
        <f>-IF(AND(D220&lt;=Revival!$C$2,MOD(B219,Mode)=0),Mod_Prem,0)-IF(D220='Cashflows_8%'!$C$7,Revival!$C$14,0)-IF(AND(D220&gt;'Cashflows_8%'!$C$7,D220&lt;=Revival!$C$12,MOD(B219,Mode)=0),Mod_Prem,0)+IF(B219=PT*12,VLOOKUP(PT*12,'Cashflows_8%'!$A$7:$N$246,14,0),0)+IF(B219='Pre-Calculation'!$D$12,PW,0)</f>
        <v>0</v>
      </c>
      <c r="G220" s="122">
        <f>-IF(AND(D220&lt;=Revival!$C$2,MOD(B219,Mode)=0),Mod_Prem,0)-IF(D220='Cashflows_8%'!$C$7,Revival!$C$14,0)-IF(AND(D220&gt;'Cashflows_8%'!$C$7,D220&lt;=Revival!$C$12,MOD(B219,Mode)=0),Mod_Prem,0)+IF(B219=PT*12,VLOOKUP(PT*12,'Cashflows_4%'!$A$7:$N$246,14,0),0)+IF(B219='Pre-Calculation'!$D$12,PW,0)</f>
        <v>0</v>
      </c>
      <c r="H220" s="122">
        <f>-IF(AND(D220&lt;=Revival!$C$2,MOD(B219,Mode)=0),Mod_Prem,0)-IF(D220='Cashflows_8%'!$C$7,Revival!$C$14,0)-IF(AND(D220&gt;'Cashflows_8%'!$C$7,D220&lt;=Revival!$C$12,MOD(B219,Mode)=0),Mod_Prem,0)+IF(B219=PT*12,VLOOKUP(PT*12,Cashflows_HIST!$A$7:$N$246,14,0),0)+IF(B219='Pre-Calculation'!$D$12,PW,0)</f>
        <v>0</v>
      </c>
    </row>
    <row r="221" ht="14.25" customHeight="1">
      <c r="B221" s="171">
        <f t="shared" si="4"/>
        <v>214</v>
      </c>
      <c r="C221" s="171">
        <f t="shared" si="5"/>
        <v>18</v>
      </c>
      <c r="D221" s="176">
        <f>EDATE(RCD,B220)</f>
        <v>49033</v>
      </c>
      <c r="E221" s="199">
        <f>-IF(AND(D221&lt;=Revival!$C$2,MOD(B220,Mode)=0),Mod_Prem,0)+IF(B220='Pre-Calculation'!$D$12,SV,0)</f>
        <v>0</v>
      </c>
      <c r="F221" s="199">
        <f>-IF(AND(D221&lt;=Revival!$C$2,MOD(B220,Mode)=0),Mod_Prem,0)-IF(D221='Cashflows_8%'!$C$7,Revival!$C$14,0)-IF(AND(D221&gt;'Cashflows_8%'!$C$7,D221&lt;=Revival!$C$12,MOD(B220,Mode)=0),Mod_Prem,0)+IF(B220=PT*12,VLOOKUP(PT*12,'Cashflows_8%'!$A$7:$N$246,14,0),0)+IF(B220='Pre-Calculation'!$D$12,PW,0)</f>
        <v>0</v>
      </c>
      <c r="G221" s="122">
        <f>-IF(AND(D221&lt;=Revival!$C$2,MOD(B220,Mode)=0),Mod_Prem,0)-IF(D221='Cashflows_8%'!$C$7,Revival!$C$14,0)-IF(AND(D221&gt;'Cashflows_8%'!$C$7,D221&lt;=Revival!$C$12,MOD(B220,Mode)=0),Mod_Prem,0)+IF(B220=PT*12,VLOOKUP(PT*12,'Cashflows_4%'!$A$7:$N$246,14,0),0)+IF(B220='Pre-Calculation'!$D$12,PW,0)</f>
        <v>0</v>
      </c>
      <c r="H221" s="122">
        <f>-IF(AND(D221&lt;=Revival!$C$2,MOD(B220,Mode)=0),Mod_Prem,0)-IF(D221='Cashflows_8%'!$C$7,Revival!$C$14,0)-IF(AND(D221&gt;'Cashflows_8%'!$C$7,D221&lt;=Revival!$C$12,MOD(B220,Mode)=0),Mod_Prem,0)+IF(B220=PT*12,VLOOKUP(PT*12,Cashflows_HIST!$A$7:$N$246,14,0),0)+IF(B220='Pre-Calculation'!$D$12,PW,0)</f>
        <v>0</v>
      </c>
    </row>
    <row r="222" ht="14.25" customHeight="1">
      <c r="B222" s="171">
        <f t="shared" si="4"/>
        <v>215</v>
      </c>
      <c r="C222" s="171">
        <f t="shared" si="5"/>
        <v>18</v>
      </c>
      <c r="D222" s="176">
        <f>EDATE(RCD,B221)</f>
        <v>49064</v>
      </c>
      <c r="E222" s="199">
        <f>-IF(AND(D222&lt;=Revival!$C$2,MOD(B221,Mode)=0),Mod_Prem,0)+IF(B221='Pre-Calculation'!$D$12,SV,0)</f>
        <v>0</v>
      </c>
      <c r="F222" s="199">
        <f>-IF(AND(D222&lt;=Revival!$C$2,MOD(B221,Mode)=0),Mod_Prem,0)-IF(D222='Cashflows_8%'!$C$7,Revival!$C$14,0)-IF(AND(D222&gt;'Cashflows_8%'!$C$7,D222&lt;=Revival!$C$12,MOD(B221,Mode)=0),Mod_Prem,0)+IF(B221=PT*12,VLOOKUP(PT*12,'Cashflows_8%'!$A$7:$N$246,14,0),0)+IF(B221='Pre-Calculation'!$D$12,PW,0)</f>
        <v>0</v>
      </c>
      <c r="G222" s="122">
        <f>-IF(AND(D222&lt;=Revival!$C$2,MOD(B221,Mode)=0),Mod_Prem,0)-IF(D222='Cashflows_8%'!$C$7,Revival!$C$14,0)-IF(AND(D222&gt;'Cashflows_8%'!$C$7,D222&lt;=Revival!$C$12,MOD(B221,Mode)=0),Mod_Prem,0)+IF(B221=PT*12,VLOOKUP(PT*12,'Cashflows_4%'!$A$7:$N$246,14,0),0)+IF(B221='Pre-Calculation'!$D$12,PW,0)</f>
        <v>0</v>
      </c>
      <c r="H222" s="122">
        <f>-IF(AND(D222&lt;=Revival!$C$2,MOD(B221,Mode)=0),Mod_Prem,0)-IF(D222='Cashflows_8%'!$C$7,Revival!$C$14,0)-IF(AND(D222&gt;'Cashflows_8%'!$C$7,D222&lt;=Revival!$C$12,MOD(B221,Mode)=0),Mod_Prem,0)+IF(B221=PT*12,VLOOKUP(PT*12,Cashflows_HIST!$A$7:$N$246,14,0),0)+IF(B221='Pre-Calculation'!$D$12,PW,0)</f>
        <v>0</v>
      </c>
    </row>
    <row r="223" ht="14.25" customHeight="1">
      <c r="B223" s="171">
        <f t="shared" si="4"/>
        <v>216</v>
      </c>
      <c r="C223" s="171">
        <f t="shared" si="5"/>
        <v>18</v>
      </c>
      <c r="D223" s="176">
        <f>EDATE(RCD,B222)</f>
        <v>49094</v>
      </c>
      <c r="E223" s="199">
        <f>-IF(AND(D223&lt;=Revival!$C$2,MOD(B222,Mode)=0),Mod_Prem,0)+IF(B222='Pre-Calculation'!$D$12,SV,0)</f>
        <v>0</v>
      </c>
      <c r="F223" s="199">
        <f>-IF(AND(D223&lt;=Revival!$C$2,MOD(B222,Mode)=0),Mod_Prem,0)-IF(D223='Cashflows_8%'!$C$7,Revival!$C$14,0)-IF(AND(D223&gt;'Cashflows_8%'!$C$7,D223&lt;=Revival!$C$12,MOD(B222,Mode)=0),Mod_Prem,0)+IF(B222=PT*12,VLOOKUP(PT*12,'Cashflows_8%'!$A$7:$N$246,14,0),0)+IF(B222='Pre-Calculation'!$D$12,PW,0)</f>
        <v>0</v>
      </c>
      <c r="G223" s="122">
        <f>-IF(AND(D223&lt;=Revival!$C$2,MOD(B222,Mode)=0),Mod_Prem,0)-IF(D223='Cashflows_8%'!$C$7,Revival!$C$14,0)-IF(AND(D223&gt;'Cashflows_8%'!$C$7,D223&lt;=Revival!$C$12,MOD(B222,Mode)=0),Mod_Prem,0)+IF(B222=PT*12,VLOOKUP(PT*12,'Cashflows_4%'!$A$7:$N$246,14,0),0)+IF(B222='Pre-Calculation'!$D$12,PW,0)</f>
        <v>0</v>
      </c>
      <c r="H223" s="122">
        <f>-IF(AND(D223&lt;=Revival!$C$2,MOD(B222,Mode)=0),Mod_Prem,0)-IF(D223='Cashflows_8%'!$C$7,Revival!$C$14,0)-IF(AND(D223&gt;'Cashflows_8%'!$C$7,D223&lt;=Revival!$C$12,MOD(B222,Mode)=0),Mod_Prem,0)+IF(B222=PT*12,VLOOKUP(PT*12,Cashflows_HIST!$A$7:$N$246,14,0),0)+IF(B222='Pre-Calculation'!$D$12,PW,0)</f>
        <v>0</v>
      </c>
    </row>
    <row r="224" ht="14.25" customHeight="1">
      <c r="B224" s="171">
        <f t="shared" si="4"/>
        <v>217</v>
      </c>
      <c r="C224" s="171">
        <f t="shared" si="5"/>
        <v>19</v>
      </c>
      <c r="D224" s="176">
        <f>EDATE(RCD,B223)</f>
        <v>49125</v>
      </c>
      <c r="E224" s="199">
        <f>-IF(AND(D224&lt;=Revival!$C$2,MOD(B223,Mode)=0),Mod_Prem,0)+IF(B223='Pre-Calculation'!$D$12,SV,0)</f>
        <v>0</v>
      </c>
      <c r="F224" s="199">
        <f>-IF(AND(D224&lt;=Revival!$C$2,MOD(B223,Mode)=0),Mod_Prem,0)-IF(D224='Cashflows_8%'!$C$7,Revival!$C$14,0)-IF(AND(D224&gt;'Cashflows_8%'!$C$7,D224&lt;=Revival!$C$12,MOD(B223,Mode)=0),Mod_Prem,0)+IF(B223=PT*12,VLOOKUP(PT*12,'Cashflows_8%'!$A$7:$N$246,14,0),0)+IF(B223='Pre-Calculation'!$D$12,PW,0)</f>
        <v>0</v>
      </c>
      <c r="G224" s="122">
        <f>-IF(AND(D224&lt;=Revival!$C$2,MOD(B223,Mode)=0),Mod_Prem,0)-IF(D224='Cashflows_8%'!$C$7,Revival!$C$14,0)-IF(AND(D224&gt;'Cashflows_8%'!$C$7,D224&lt;=Revival!$C$12,MOD(B223,Mode)=0),Mod_Prem,0)+IF(B223=PT*12,VLOOKUP(PT*12,'Cashflows_4%'!$A$7:$N$246,14,0),0)+IF(B223='Pre-Calculation'!$D$12,PW,0)</f>
        <v>0</v>
      </c>
      <c r="H224" s="122">
        <f>-IF(AND(D224&lt;=Revival!$C$2,MOD(B223,Mode)=0),Mod_Prem,0)-IF(D224='Cashflows_8%'!$C$7,Revival!$C$14,0)-IF(AND(D224&gt;'Cashflows_8%'!$C$7,D224&lt;=Revival!$C$12,MOD(B223,Mode)=0),Mod_Prem,0)+IF(B223=PT*12,VLOOKUP(PT*12,Cashflows_HIST!$A$7:$N$246,14,0),0)+IF(B223='Pre-Calculation'!$D$12,PW,0)</f>
        <v>0</v>
      </c>
    </row>
    <row r="225" ht="14.25" customHeight="1">
      <c r="B225" s="171">
        <f t="shared" si="4"/>
        <v>218</v>
      </c>
      <c r="C225" s="171">
        <f t="shared" si="5"/>
        <v>19</v>
      </c>
      <c r="D225" s="176">
        <f>EDATE(RCD,B224)</f>
        <v>49155</v>
      </c>
      <c r="E225" s="199">
        <f>-IF(AND(D225&lt;=Revival!$C$2,MOD(B224,Mode)=0),Mod_Prem,0)+IF(B224='Pre-Calculation'!$D$12,SV,0)</f>
        <v>0</v>
      </c>
      <c r="F225" s="199">
        <f>-IF(AND(D225&lt;=Revival!$C$2,MOD(B224,Mode)=0),Mod_Prem,0)-IF(D225='Cashflows_8%'!$C$7,Revival!$C$14,0)-IF(AND(D225&gt;'Cashflows_8%'!$C$7,D225&lt;=Revival!$C$12,MOD(B224,Mode)=0),Mod_Prem,0)+IF(B224=PT*12,VLOOKUP(PT*12,'Cashflows_8%'!$A$7:$N$246,14,0),0)+IF(B224='Pre-Calculation'!$D$12,PW,0)</f>
        <v>0</v>
      </c>
      <c r="G225" s="122">
        <f>-IF(AND(D225&lt;=Revival!$C$2,MOD(B224,Mode)=0),Mod_Prem,0)-IF(D225='Cashflows_8%'!$C$7,Revival!$C$14,0)-IF(AND(D225&gt;'Cashflows_8%'!$C$7,D225&lt;=Revival!$C$12,MOD(B224,Mode)=0),Mod_Prem,0)+IF(B224=PT*12,VLOOKUP(PT*12,'Cashflows_4%'!$A$7:$N$246,14,0),0)+IF(B224='Pre-Calculation'!$D$12,PW,0)</f>
        <v>0</v>
      </c>
      <c r="H225" s="122">
        <f>-IF(AND(D225&lt;=Revival!$C$2,MOD(B224,Mode)=0),Mod_Prem,0)-IF(D225='Cashflows_8%'!$C$7,Revival!$C$14,0)-IF(AND(D225&gt;'Cashflows_8%'!$C$7,D225&lt;=Revival!$C$12,MOD(B224,Mode)=0),Mod_Prem,0)+IF(B224=PT*12,VLOOKUP(PT*12,Cashflows_HIST!$A$7:$N$246,14,0),0)+IF(B224='Pre-Calculation'!$D$12,PW,0)</f>
        <v>0</v>
      </c>
    </row>
    <row r="226" ht="14.25" customHeight="1">
      <c r="B226" s="171">
        <f t="shared" si="4"/>
        <v>219</v>
      </c>
      <c r="C226" s="171">
        <f t="shared" si="5"/>
        <v>19</v>
      </c>
      <c r="D226" s="176">
        <f>EDATE(RCD,B225)</f>
        <v>49186</v>
      </c>
      <c r="E226" s="199">
        <f>-IF(AND(D226&lt;=Revival!$C$2,MOD(B225,Mode)=0),Mod_Prem,0)+IF(B225='Pre-Calculation'!$D$12,SV,0)</f>
        <v>0</v>
      </c>
      <c r="F226" s="199">
        <f>-IF(AND(D226&lt;=Revival!$C$2,MOD(B225,Mode)=0),Mod_Prem,0)-IF(D226='Cashflows_8%'!$C$7,Revival!$C$14,0)-IF(AND(D226&gt;'Cashflows_8%'!$C$7,D226&lt;=Revival!$C$12,MOD(B225,Mode)=0),Mod_Prem,0)+IF(B225=PT*12,VLOOKUP(PT*12,'Cashflows_8%'!$A$7:$N$246,14,0),0)+IF(B225='Pre-Calculation'!$D$12,PW,0)</f>
        <v>0</v>
      </c>
      <c r="G226" s="122">
        <f>-IF(AND(D226&lt;=Revival!$C$2,MOD(B225,Mode)=0),Mod_Prem,0)-IF(D226='Cashflows_8%'!$C$7,Revival!$C$14,0)-IF(AND(D226&gt;'Cashflows_8%'!$C$7,D226&lt;=Revival!$C$12,MOD(B225,Mode)=0),Mod_Prem,0)+IF(B225=PT*12,VLOOKUP(PT*12,'Cashflows_4%'!$A$7:$N$246,14,0),0)+IF(B225='Pre-Calculation'!$D$12,PW,0)</f>
        <v>0</v>
      </c>
      <c r="H226" s="122">
        <f>-IF(AND(D226&lt;=Revival!$C$2,MOD(B225,Mode)=0),Mod_Prem,0)-IF(D226='Cashflows_8%'!$C$7,Revival!$C$14,0)-IF(AND(D226&gt;'Cashflows_8%'!$C$7,D226&lt;=Revival!$C$12,MOD(B225,Mode)=0),Mod_Prem,0)+IF(B225=PT*12,VLOOKUP(PT*12,Cashflows_HIST!$A$7:$N$246,14,0),0)+IF(B225='Pre-Calculation'!$D$12,PW,0)</f>
        <v>0</v>
      </c>
    </row>
    <row r="227" ht="14.25" customHeight="1">
      <c r="B227" s="171">
        <f t="shared" si="4"/>
        <v>220</v>
      </c>
      <c r="C227" s="171">
        <f t="shared" si="5"/>
        <v>19</v>
      </c>
      <c r="D227" s="176">
        <f>EDATE(RCD,B226)</f>
        <v>49217</v>
      </c>
      <c r="E227" s="199">
        <f>-IF(AND(D227&lt;=Revival!$C$2,MOD(B226,Mode)=0),Mod_Prem,0)+IF(B226='Pre-Calculation'!$D$12,SV,0)</f>
        <v>0</v>
      </c>
      <c r="F227" s="199">
        <f>-IF(AND(D227&lt;=Revival!$C$2,MOD(B226,Mode)=0),Mod_Prem,0)-IF(D227='Cashflows_8%'!$C$7,Revival!$C$14,0)-IF(AND(D227&gt;'Cashflows_8%'!$C$7,D227&lt;=Revival!$C$12,MOD(B226,Mode)=0),Mod_Prem,0)+IF(B226=PT*12,VLOOKUP(PT*12,'Cashflows_8%'!$A$7:$N$246,14,0),0)+IF(B226='Pre-Calculation'!$D$12,PW,0)</f>
        <v>0</v>
      </c>
      <c r="G227" s="122">
        <f>-IF(AND(D227&lt;=Revival!$C$2,MOD(B226,Mode)=0),Mod_Prem,0)-IF(D227='Cashflows_8%'!$C$7,Revival!$C$14,0)-IF(AND(D227&gt;'Cashflows_8%'!$C$7,D227&lt;=Revival!$C$12,MOD(B226,Mode)=0),Mod_Prem,0)+IF(B226=PT*12,VLOOKUP(PT*12,'Cashflows_4%'!$A$7:$N$246,14,0),0)+IF(B226='Pre-Calculation'!$D$12,PW,0)</f>
        <v>0</v>
      </c>
      <c r="H227" s="122">
        <f>-IF(AND(D227&lt;=Revival!$C$2,MOD(B226,Mode)=0),Mod_Prem,0)-IF(D227='Cashflows_8%'!$C$7,Revival!$C$14,0)-IF(AND(D227&gt;'Cashflows_8%'!$C$7,D227&lt;=Revival!$C$12,MOD(B226,Mode)=0),Mod_Prem,0)+IF(B226=PT*12,VLOOKUP(PT*12,Cashflows_HIST!$A$7:$N$246,14,0),0)+IF(B226='Pre-Calculation'!$D$12,PW,0)</f>
        <v>0</v>
      </c>
    </row>
    <row r="228" ht="14.25" customHeight="1">
      <c r="B228" s="171">
        <f t="shared" si="4"/>
        <v>221</v>
      </c>
      <c r="C228" s="171">
        <f t="shared" si="5"/>
        <v>19</v>
      </c>
      <c r="D228" s="176">
        <f>EDATE(RCD,B227)</f>
        <v>49247</v>
      </c>
      <c r="E228" s="199">
        <f>-IF(AND(D228&lt;=Revival!$C$2,MOD(B227,Mode)=0),Mod_Prem,0)+IF(B227='Pre-Calculation'!$D$12,SV,0)</f>
        <v>0</v>
      </c>
      <c r="F228" s="199">
        <f>-IF(AND(D228&lt;=Revival!$C$2,MOD(B227,Mode)=0),Mod_Prem,0)-IF(D228='Cashflows_8%'!$C$7,Revival!$C$14,0)-IF(AND(D228&gt;'Cashflows_8%'!$C$7,D228&lt;=Revival!$C$12,MOD(B227,Mode)=0),Mod_Prem,0)+IF(B227=PT*12,VLOOKUP(PT*12,'Cashflows_8%'!$A$7:$N$246,14,0),0)+IF(B227='Pre-Calculation'!$D$12,PW,0)</f>
        <v>0</v>
      </c>
      <c r="G228" s="122">
        <f>-IF(AND(D228&lt;=Revival!$C$2,MOD(B227,Mode)=0),Mod_Prem,0)-IF(D228='Cashflows_8%'!$C$7,Revival!$C$14,0)-IF(AND(D228&gt;'Cashflows_8%'!$C$7,D228&lt;=Revival!$C$12,MOD(B227,Mode)=0),Mod_Prem,0)+IF(B227=PT*12,VLOOKUP(PT*12,'Cashflows_4%'!$A$7:$N$246,14,0),0)+IF(B227='Pre-Calculation'!$D$12,PW,0)</f>
        <v>0</v>
      </c>
      <c r="H228" s="122">
        <f>-IF(AND(D228&lt;=Revival!$C$2,MOD(B227,Mode)=0),Mod_Prem,0)-IF(D228='Cashflows_8%'!$C$7,Revival!$C$14,0)-IF(AND(D228&gt;'Cashflows_8%'!$C$7,D228&lt;=Revival!$C$12,MOD(B227,Mode)=0),Mod_Prem,0)+IF(B227=PT*12,VLOOKUP(PT*12,Cashflows_HIST!$A$7:$N$246,14,0),0)+IF(B227='Pre-Calculation'!$D$12,PW,0)</f>
        <v>0</v>
      </c>
    </row>
    <row r="229" ht="14.25" customHeight="1">
      <c r="B229" s="171">
        <f t="shared" si="4"/>
        <v>222</v>
      </c>
      <c r="C229" s="171">
        <f t="shared" si="5"/>
        <v>19</v>
      </c>
      <c r="D229" s="176">
        <f>EDATE(RCD,B228)</f>
        <v>49278</v>
      </c>
      <c r="E229" s="199">
        <f>-IF(AND(D229&lt;=Revival!$C$2,MOD(B228,Mode)=0),Mod_Prem,0)+IF(B228='Pre-Calculation'!$D$12,SV,0)</f>
        <v>0</v>
      </c>
      <c r="F229" s="199">
        <f>-IF(AND(D229&lt;=Revival!$C$2,MOD(B228,Mode)=0),Mod_Prem,0)-IF(D229='Cashflows_8%'!$C$7,Revival!$C$14,0)-IF(AND(D229&gt;'Cashflows_8%'!$C$7,D229&lt;=Revival!$C$12,MOD(B228,Mode)=0),Mod_Prem,0)+IF(B228=PT*12,VLOOKUP(PT*12,'Cashflows_8%'!$A$7:$N$246,14,0),0)+IF(B228='Pre-Calculation'!$D$12,PW,0)</f>
        <v>0</v>
      </c>
      <c r="G229" s="122">
        <f>-IF(AND(D229&lt;=Revival!$C$2,MOD(B228,Mode)=0),Mod_Prem,0)-IF(D229='Cashflows_8%'!$C$7,Revival!$C$14,0)-IF(AND(D229&gt;'Cashflows_8%'!$C$7,D229&lt;=Revival!$C$12,MOD(B228,Mode)=0),Mod_Prem,0)+IF(B228=PT*12,VLOOKUP(PT*12,'Cashflows_4%'!$A$7:$N$246,14,0),0)+IF(B228='Pre-Calculation'!$D$12,PW,0)</f>
        <v>0</v>
      </c>
      <c r="H229" s="122">
        <f>-IF(AND(D229&lt;=Revival!$C$2,MOD(B228,Mode)=0),Mod_Prem,0)-IF(D229='Cashflows_8%'!$C$7,Revival!$C$14,0)-IF(AND(D229&gt;'Cashflows_8%'!$C$7,D229&lt;=Revival!$C$12,MOD(B228,Mode)=0),Mod_Prem,0)+IF(B228=PT*12,VLOOKUP(PT*12,Cashflows_HIST!$A$7:$N$246,14,0),0)+IF(B228='Pre-Calculation'!$D$12,PW,0)</f>
        <v>0</v>
      </c>
    </row>
    <row r="230" ht="14.25" customHeight="1">
      <c r="B230" s="171">
        <f t="shared" si="4"/>
        <v>223</v>
      </c>
      <c r="C230" s="171">
        <f t="shared" si="5"/>
        <v>19</v>
      </c>
      <c r="D230" s="176">
        <f>EDATE(RCD,B229)</f>
        <v>49308</v>
      </c>
      <c r="E230" s="199">
        <f>-IF(AND(D230&lt;=Revival!$C$2,MOD(B229,Mode)=0),Mod_Prem,0)+IF(B229='Pre-Calculation'!$D$12,SV,0)</f>
        <v>0</v>
      </c>
      <c r="F230" s="199">
        <f>-IF(AND(D230&lt;=Revival!$C$2,MOD(B229,Mode)=0),Mod_Prem,0)-IF(D230='Cashflows_8%'!$C$7,Revival!$C$14,0)-IF(AND(D230&gt;'Cashflows_8%'!$C$7,D230&lt;=Revival!$C$12,MOD(B229,Mode)=0),Mod_Prem,0)+IF(B229=PT*12,VLOOKUP(PT*12,'Cashflows_8%'!$A$7:$N$246,14,0),0)+IF(B229='Pre-Calculation'!$D$12,PW,0)</f>
        <v>0</v>
      </c>
      <c r="G230" s="122">
        <f>-IF(AND(D230&lt;=Revival!$C$2,MOD(B229,Mode)=0),Mod_Prem,0)-IF(D230='Cashflows_8%'!$C$7,Revival!$C$14,0)-IF(AND(D230&gt;'Cashflows_8%'!$C$7,D230&lt;=Revival!$C$12,MOD(B229,Mode)=0),Mod_Prem,0)+IF(B229=PT*12,VLOOKUP(PT*12,'Cashflows_4%'!$A$7:$N$246,14,0),0)+IF(B229='Pre-Calculation'!$D$12,PW,0)</f>
        <v>0</v>
      </c>
      <c r="H230" s="122">
        <f>-IF(AND(D230&lt;=Revival!$C$2,MOD(B229,Mode)=0),Mod_Prem,0)-IF(D230='Cashflows_8%'!$C$7,Revival!$C$14,0)-IF(AND(D230&gt;'Cashflows_8%'!$C$7,D230&lt;=Revival!$C$12,MOD(B229,Mode)=0),Mod_Prem,0)+IF(B229=PT*12,VLOOKUP(PT*12,Cashflows_HIST!$A$7:$N$246,14,0),0)+IF(B229='Pre-Calculation'!$D$12,PW,0)</f>
        <v>0</v>
      </c>
    </row>
    <row r="231" ht="14.25" customHeight="1">
      <c r="B231" s="171">
        <f t="shared" si="4"/>
        <v>224</v>
      </c>
      <c r="C231" s="171">
        <f t="shared" si="5"/>
        <v>19</v>
      </c>
      <c r="D231" s="176">
        <f>EDATE(RCD,B230)</f>
        <v>49339</v>
      </c>
      <c r="E231" s="199">
        <f>-IF(AND(D231&lt;=Revival!$C$2,MOD(B230,Mode)=0),Mod_Prem,0)+IF(B230='Pre-Calculation'!$D$12,SV,0)</f>
        <v>0</v>
      </c>
      <c r="F231" s="199">
        <f>-IF(AND(D231&lt;=Revival!$C$2,MOD(B230,Mode)=0),Mod_Prem,0)-IF(D231='Cashflows_8%'!$C$7,Revival!$C$14,0)-IF(AND(D231&gt;'Cashflows_8%'!$C$7,D231&lt;=Revival!$C$12,MOD(B230,Mode)=0),Mod_Prem,0)+IF(B230=PT*12,VLOOKUP(PT*12,'Cashflows_8%'!$A$7:$N$246,14,0),0)+IF(B230='Pre-Calculation'!$D$12,PW,0)</f>
        <v>0</v>
      </c>
      <c r="G231" s="122">
        <f>-IF(AND(D231&lt;=Revival!$C$2,MOD(B230,Mode)=0),Mod_Prem,0)-IF(D231='Cashflows_8%'!$C$7,Revival!$C$14,0)-IF(AND(D231&gt;'Cashflows_8%'!$C$7,D231&lt;=Revival!$C$12,MOD(B230,Mode)=0),Mod_Prem,0)+IF(B230=PT*12,VLOOKUP(PT*12,'Cashflows_4%'!$A$7:$N$246,14,0),0)+IF(B230='Pre-Calculation'!$D$12,PW,0)</f>
        <v>0</v>
      </c>
      <c r="H231" s="122">
        <f>-IF(AND(D231&lt;=Revival!$C$2,MOD(B230,Mode)=0),Mod_Prem,0)-IF(D231='Cashflows_8%'!$C$7,Revival!$C$14,0)-IF(AND(D231&gt;'Cashflows_8%'!$C$7,D231&lt;=Revival!$C$12,MOD(B230,Mode)=0),Mod_Prem,0)+IF(B230=PT*12,VLOOKUP(PT*12,Cashflows_HIST!$A$7:$N$246,14,0),0)+IF(B230='Pre-Calculation'!$D$12,PW,0)</f>
        <v>0</v>
      </c>
    </row>
    <row r="232" ht="14.25" customHeight="1">
      <c r="B232" s="171">
        <f t="shared" si="4"/>
        <v>225</v>
      </c>
      <c r="C232" s="171">
        <f t="shared" si="5"/>
        <v>19</v>
      </c>
      <c r="D232" s="176">
        <f>EDATE(RCD,B231)</f>
        <v>49368</v>
      </c>
      <c r="E232" s="199">
        <f>-IF(AND(D232&lt;=Revival!$C$2,MOD(B231,Mode)=0),Mod_Prem,0)+IF(B231='Pre-Calculation'!$D$12,SV,0)</f>
        <v>0</v>
      </c>
      <c r="F232" s="199">
        <f>-IF(AND(D232&lt;=Revival!$C$2,MOD(B231,Mode)=0),Mod_Prem,0)-IF(D232='Cashflows_8%'!$C$7,Revival!$C$14,0)-IF(AND(D232&gt;'Cashflows_8%'!$C$7,D232&lt;=Revival!$C$12,MOD(B231,Mode)=0),Mod_Prem,0)+IF(B231=PT*12,VLOOKUP(PT*12,'Cashflows_8%'!$A$7:$N$246,14,0),0)+IF(B231='Pre-Calculation'!$D$12,PW,0)</f>
        <v>0</v>
      </c>
      <c r="G232" s="122">
        <f>-IF(AND(D232&lt;=Revival!$C$2,MOD(B231,Mode)=0),Mod_Prem,0)-IF(D232='Cashflows_8%'!$C$7,Revival!$C$14,0)-IF(AND(D232&gt;'Cashflows_8%'!$C$7,D232&lt;=Revival!$C$12,MOD(B231,Mode)=0),Mod_Prem,0)+IF(B231=PT*12,VLOOKUP(PT*12,'Cashflows_4%'!$A$7:$N$246,14,0),0)+IF(B231='Pre-Calculation'!$D$12,PW,0)</f>
        <v>0</v>
      </c>
      <c r="H232" s="122">
        <f>-IF(AND(D232&lt;=Revival!$C$2,MOD(B231,Mode)=0),Mod_Prem,0)-IF(D232='Cashflows_8%'!$C$7,Revival!$C$14,0)-IF(AND(D232&gt;'Cashflows_8%'!$C$7,D232&lt;=Revival!$C$12,MOD(B231,Mode)=0),Mod_Prem,0)+IF(B231=PT*12,VLOOKUP(PT*12,Cashflows_HIST!$A$7:$N$246,14,0),0)+IF(B231='Pre-Calculation'!$D$12,PW,0)</f>
        <v>0</v>
      </c>
    </row>
    <row r="233" ht="14.25" customHeight="1">
      <c r="B233" s="171">
        <f t="shared" si="4"/>
        <v>226</v>
      </c>
      <c r="C233" s="171">
        <f t="shared" si="5"/>
        <v>19</v>
      </c>
      <c r="D233" s="176">
        <f>EDATE(RCD,B232)</f>
        <v>49398</v>
      </c>
      <c r="E233" s="199">
        <f>-IF(AND(D233&lt;=Revival!$C$2,MOD(B232,Mode)=0),Mod_Prem,0)+IF(B232='Pre-Calculation'!$D$12,SV,0)</f>
        <v>0</v>
      </c>
      <c r="F233" s="199">
        <f>-IF(AND(D233&lt;=Revival!$C$2,MOD(B232,Mode)=0),Mod_Prem,0)-IF(D233='Cashflows_8%'!$C$7,Revival!$C$14,0)-IF(AND(D233&gt;'Cashflows_8%'!$C$7,D233&lt;=Revival!$C$12,MOD(B232,Mode)=0),Mod_Prem,0)+IF(B232=PT*12,VLOOKUP(PT*12,'Cashflows_8%'!$A$7:$N$246,14,0),0)+IF(B232='Pre-Calculation'!$D$12,PW,0)</f>
        <v>0</v>
      </c>
      <c r="G233" s="122">
        <f>-IF(AND(D233&lt;=Revival!$C$2,MOD(B232,Mode)=0),Mod_Prem,0)-IF(D233='Cashflows_8%'!$C$7,Revival!$C$14,0)-IF(AND(D233&gt;'Cashflows_8%'!$C$7,D233&lt;=Revival!$C$12,MOD(B232,Mode)=0),Mod_Prem,0)+IF(B232=PT*12,VLOOKUP(PT*12,'Cashflows_4%'!$A$7:$N$246,14,0),0)+IF(B232='Pre-Calculation'!$D$12,PW,0)</f>
        <v>0</v>
      </c>
      <c r="H233" s="122">
        <f>-IF(AND(D233&lt;=Revival!$C$2,MOD(B232,Mode)=0),Mod_Prem,0)-IF(D233='Cashflows_8%'!$C$7,Revival!$C$14,0)-IF(AND(D233&gt;'Cashflows_8%'!$C$7,D233&lt;=Revival!$C$12,MOD(B232,Mode)=0),Mod_Prem,0)+IF(B232=PT*12,VLOOKUP(PT*12,Cashflows_HIST!$A$7:$N$246,14,0),0)+IF(B232='Pre-Calculation'!$D$12,PW,0)</f>
        <v>0</v>
      </c>
    </row>
    <row r="234" ht="14.25" customHeight="1">
      <c r="B234" s="171">
        <f t="shared" si="4"/>
        <v>227</v>
      </c>
      <c r="C234" s="171">
        <f t="shared" si="5"/>
        <v>19</v>
      </c>
      <c r="D234" s="176">
        <f>EDATE(RCD,B233)</f>
        <v>49429</v>
      </c>
      <c r="E234" s="199">
        <f>-IF(AND(D234&lt;=Revival!$C$2,MOD(B233,Mode)=0),Mod_Prem,0)+IF(B233='Pre-Calculation'!$D$12,SV,0)</f>
        <v>0</v>
      </c>
      <c r="F234" s="199">
        <f>-IF(AND(D234&lt;=Revival!$C$2,MOD(B233,Mode)=0),Mod_Prem,0)-IF(D234='Cashflows_8%'!$C$7,Revival!$C$14,0)-IF(AND(D234&gt;'Cashflows_8%'!$C$7,D234&lt;=Revival!$C$12,MOD(B233,Mode)=0),Mod_Prem,0)+IF(B233=PT*12,VLOOKUP(PT*12,'Cashflows_8%'!$A$7:$N$246,14,0),0)+IF(B233='Pre-Calculation'!$D$12,PW,0)</f>
        <v>0</v>
      </c>
      <c r="G234" s="122">
        <f>-IF(AND(D234&lt;=Revival!$C$2,MOD(B233,Mode)=0),Mod_Prem,0)-IF(D234='Cashflows_8%'!$C$7,Revival!$C$14,0)-IF(AND(D234&gt;'Cashflows_8%'!$C$7,D234&lt;=Revival!$C$12,MOD(B233,Mode)=0),Mod_Prem,0)+IF(B233=PT*12,VLOOKUP(PT*12,'Cashflows_4%'!$A$7:$N$246,14,0),0)+IF(B233='Pre-Calculation'!$D$12,PW,0)</f>
        <v>0</v>
      </c>
      <c r="H234" s="122">
        <f>-IF(AND(D234&lt;=Revival!$C$2,MOD(B233,Mode)=0),Mod_Prem,0)-IF(D234='Cashflows_8%'!$C$7,Revival!$C$14,0)-IF(AND(D234&gt;'Cashflows_8%'!$C$7,D234&lt;=Revival!$C$12,MOD(B233,Mode)=0),Mod_Prem,0)+IF(B233=PT*12,VLOOKUP(PT*12,Cashflows_HIST!$A$7:$N$246,14,0),0)+IF(B233='Pre-Calculation'!$D$12,PW,0)</f>
        <v>0</v>
      </c>
    </row>
    <row r="235" ht="14.25" customHeight="1">
      <c r="B235" s="171">
        <f t="shared" si="4"/>
        <v>228</v>
      </c>
      <c r="C235" s="171">
        <f t="shared" si="5"/>
        <v>19</v>
      </c>
      <c r="D235" s="176">
        <f>EDATE(RCD,B234)</f>
        <v>49459</v>
      </c>
      <c r="E235" s="199">
        <f>-IF(AND(D235&lt;=Revival!$C$2,MOD(B234,Mode)=0),Mod_Prem,0)+IF(B234='Pre-Calculation'!$D$12,SV,0)</f>
        <v>0</v>
      </c>
      <c r="F235" s="199">
        <f>-IF(AND(D235&lt;=Revival!$C$2,MOD(B234,Mode)=0),Mod_Prem,0)-IF(D235='Cashflows_8%'!$C$7,Revival!$C$14,0)-IF(AND(D235&gt;'Cashflows_8%'!$C$7,D235&lt;=Revival!$C$12,MOD(B234,Mode)=0),Mod_Prem,0)+IF(B234=PT*12,VLOOKUP(PT*12,'Cashflows_8%'!$A$7:$N$246,14,0),0)+IF(B234='Pre-Calculation'!$D$12,PW,0)</f>
        <v>0</v>
      </c>
      <c r="G235" s="122">
        <f>-IF(AND(D235&lt;=Revival!$C$2,MOD(B234,Mode)=0),Mod_Prem,0)-IF(D235='Cashflows_8%'!$C$7,Revival!$C$14,0)-IF(AND(D235&gt;'Cashflows_8%'!$C$7,D235&lt;=Revival!$C$12,MOD(B234,Mode)=0),Mod_Prem,0)+IF(B234=PT*12,VLOOKUP(PT*12,'Cashflows_4%'!$A$7:$N$246,14,0),0)+IF(B234='Pre-Calculation'!$D$12,PW,0)</f>
        <v>0</v>
      </c>
      <c r="H235" s="122">
        <f>-IF(AND(D235&lt;=Revival!$C$2,MOD(B234,Mode)=0),Mod_Prem,0)-IF(D235='Cashflows_8%'!$C$7,Revival!$C$14,0)-IF(AND(D235&gt;'Cashflows_8%'!$C$7,D235&lt;=Revival!$C$12,MOD(B234,Mode)=0),Mod_Prem,0)+IF(B234=PT*12,VLOOKUP(PT*12,Cashflows_HIST!$A$7:$N$246,14,0),0)+IF(B234='Pre-Calculation'!$D$12,PW,0)</f>
        <v>0</v>
      </c>
    </row>
    <row r="236" ht="14.25" customHeight="1">
      <c r="B236" s="171">
        <f t="shared" si="4"/>
        <v>229</v>
      </c>
      <c r="C236" s="171">
        <f t="shared" si="5"/>
        <v>20</v>
      </c>
      <c r="D236" s="176">
        <f>EDATE(RCD,B235)</f>
        <v>49490</v>
      </c>
      <c r="E236" s="199">
        <f>-IF(AND(D236&lt;=Revival!$C$2,MOD(B235,Mode)=0),Mod_Prem,0)+IF(B235='Pre-Calculation'!$D$12,SV,0)</f>
        <v>0</v>
      </c>
      <c r="F236" s="199">
        <f>-IF(AND(D236&lt;=Revival!$C$2,MOD(B235,Mode)=0),Mod_Prem,0)-IF(D236='Cashflows_8%'!$C$7,Revival!$C$14,0)-IF(AND(D236&gt;'Cashflows_8%'!$C$7,D236&lt;=Revival!$C$12,MOD(B235,Mode)=0),Mod_Prem,0)+IF(B235=PT*12,VLOOKUP(PT*12,'Cashflows_8%'!$A$7:$N$246,14,0),0)+IF(B235='Pre-Calculation'!$D$12,PW,0)</f>
        <v>0</v>
      </c>
      <c r="G236" s="122">
        <f>-IF(AND(D236&lt;=Revival!$C$2,MOD(B235,Mode)=0),Mod_Prem,0)-IF(D236='Cashflows_8%'!$C$7,Revival!$C$14,0)-IF(AND(D236&gt;'Cashflows_8%'!$C$7,D236&lt;=Revival!$C$12,MOD(B235,Mode)=0),Mod_Prem,0)+IF(B235=PT*12,VLOOKUP(PT*12,'Cashflows_4%'!$A$7:$N$246,14,0),0)+IF(B235='Pre-Calculation'!$D$12,PW,0)</f>
        <v>0</v>
      </c>
      <c r="H236" s="122">
        <f>-IF(AND(D236&lt;=Revival!$C$2,MOD(B235,Mode)=0),Mod_Prem,0)-IF(D236='Cashflows_8%'!$C$7,Revival!$C$14,0)-IF(AND(D236&gt;'Cashflows_8%'!$C$7,D236&lt;=Revival!$C$12,MOD(B235,Mode)=0),Mod_Prem,0)+IF(B235=PT*12,VLOOKUP(PT*12,Cashflows_HIST!$A$7:$N$246,14,0),0)+IF(B235='Pre-Calculation'!$D$12,PW,0)</f>
        <v>0</v>
      </c>
    </row>
    <row r="237" ht="14.25" customHeight="1">
      <c r="B237" s="171">
        <f t="shared" si="4"/>
        <v>230</v>
      </c>
      <c r="C237" s="171">
        <f t="shared" si="5"/>
        <v>20</v>
      </c>
      <c r="D237" s="176">
        <f>EDATE(RCD,B236)</f>
        <v>49520</v>
      </c>
      <c r="E237" s="199">
        <f>-IF(AND(D237&lt;=Revival!$C$2,MOD(B236,Mode)=0),Mod_Prem,0)+IF(B236='Pre-Calculation'!$D$12,SV,0)</f>
        <v>0</v>
      </c>
      <c r="F237" s="199">
        <f>-IF(AND(D237&lt;=Revival!$C$2,MOD(B236,Mode)=0),Mod_Prem,0)-IF(D237='Cashflows_8%'!$C$7,Revival!$C$14,0)-IF(AND(D237&gt;'Cashflows_8%'!$C$7,D237&lt;=Revival!$C$12,MOD(B236,Mode)=0),Mod_Prem,0)+IF(B236=PT*12,VLOOKUP(PT*12,'Cashflows_8%'!$A$7:$N$246,14,0),0)+IF(B236='Pre-Calculation'!$D$12,PW,0)</f>
        <v>0</v>
      </c>
      <c r="G237" s="122">
        <f>-IF(AND(D237&lt;=Revival!$C$2,MOD(B236,Mode)=0),Mod_Prem,0)-IF(D237='Cashflows_8%'!$C$7,Revival!$C$14,0)-IF(AND(D237&gt;'Cashflows_8%'!$C$7,D237&lt;=Revival!$C$12,MOD(B236,Mode)=0),Mod_Prem,0)+IF(B236=PT*12,VLOOKUP(PT*12,'Cashflows_4%'!$A$7:$N$246,14,0),0)+IF(B236='Pre-Calculation'!$D$12,PW,0)</f>
        <v>0</v>
      </c>
      <c r="H237" s="122">
        <f>-IF(AND(D237&lt;=Revival!$C$2,MOD(B236,Mode)=0),Mod_Prem,0)-IF(D237='Cashflows_8%'!$C$7,Revival!$C$14,0)-IF(AND(D237&gt;'Cashflows_8%'!$C$7,D237&lt;=Revival!$C$12,MOD(B236,Mode)=0),Mod_Prem,0)+IF(B236=PT*12,VLOOKUP(PT*12,Cashflows_HIST!$A$7:$N$246,14,0),0)+IF(B236='Pre-Calculation'!$D$12,PW,0)</f>
        <v>0</v>
      </c>
    </row>
    <row r="238" ht="14.25" customHeight="1">
      <c r="B238" s="171">
        <f t="shared" si="4"/>
        <v>231</v>
      </c>
      <c r="C238" s="171">
        <f t="shared" si="5"/>
        <v>20</v>
      </c>
      <c r="D238" s="176">
        <f>EDATE(RCD,B237)</f>
        <v>49551</v>
      </c>
      <c r="E238" s="199">
        <f>-IF(AND(D238&lt;=Revival!$C$2,MOD(B237,Mode)=0),Mod_Prem,0)+IF(B237='Pre-Calculation'!$D$12,SV,0)</f>
        <v>0</v>
      </c>
      <c r="F238" s="199">
        <f>-IF(AND(D238&lt;=Revival!$C$2,MOD(B237,Mode)=0),Mod_Prem,0)-IF(D238='Cashflows_8%'!$C$7,Revival!$C$14,0)-IF(AND(D238&gt;'Cashflows_8%'!$C$7,D238&lt;=Revival!$C$12,MOD(B237,Mode)=0),Mod_Prem,0)+IF(B237=PT*12,VLOOKUP(PT*12,'Cashflows_8%'!$A$7:$N$246,14,0),0)+IF(B237='Pre-Calculation'!$D$12,PW,0)</f>
        <v>0</v>
      </c>
      <c r="G238" s="122">
        <f>-IF(AND(D238&lt;=Revival!$C$2,MOD(B237,Mode)=0),Mod_Prem,0)-IF(D238='Cashflows_8%'!$C$7,Revival!$C$14,0)-IF(AND(D238&gt;'Cashflows_8%'!$C$7,D238&lt;=Revival!$C$12,MOD(B237,Mode)=0),Mod_Prem,0)+IF(B237=PT*12,VLOOKUP(PT*12,'Cashflows_4%'!$A$7:$N$246,14,0),0)+IF(B237='Pre-Calculation'!$D$12,PW,0)</f>
        <v>0</v>
      </c>
      <c r="H238" s="122">
        <f>-IF(AND(D238&lt;=Revival!$C$2,MOD(B237,Mode)=0),Mod_Prem,0)-IF(D238='Cashflows_8%'!$C$7,Revival!$C$14,0)-IF(AND(D238&gt;'Cashflows_8%'!$C$7,D238&lt;=Revival!$C$12,MOD(B237,Mode)=0),Mod_Prem,0)+IF(B237=PT*12,VLOOKUP(PT*12,Cashflows_HIST!$A$7:$N$246,14,0),0)+IF(B237='Pre-Calculation'!$D$12,PW,0)</f>
        <v>0</v>
      </c>
    </row>
    <row r="239" ht="14.25" customHeight="1">
      <c r="B239" s="171">
        <f t="shared" si="4"/>
        <v>232</v>
      </c>
      <c r="C239" s="171">
        <f t="shared" si="5"/>
        <v>20</v>
      </c>
      <c r="D239" s="176">
        <f>EDATE(RCD,B238)</f>
        <v>49582</v>
      </c>
      <c r="E239" s="199">
        <f>-IF(AND(D239&lt;=Revival!$C$2,MOD(B238,Mode)=0),Mod_Prem,0)+IF(B238='Pre-Calculation'!$D$12,SV,0)</f>
        <v>0</v>
      </c>
      <c r="F239" s="199">
        <f>-IF(AND(D239&lt;=Revival!$C$2,MOD(B238,Mode)=0),Mod_Prem,0)-IF(D239='Cashflows_8%'!$C$7,Revival!$C$14,0)-IF(AND(D239&gt;'Cashflows_8%'!$C$7,D239&lt;=Revival!$C$12,MOD(B238,Mode)=0),Mod_Prem,0)+IF(B238=PT*12,VLOOKUP(PT*12,'Cashflows_8%'!$A$7:$N$246,14,0),0)+IF(B238='Pre-Calculation'!$D$12,PW,0)</f>
        <v>0</v>
      </c>
      <c r="G239" s="122">
        <f>-IF(AND(D239&lt;=Revival!$C$2,MOD(B238,Mode)=0),Mod_Prem,0)-IF(D239='Cashflows_8%'!$C$7,Revival!$C$14,0)-IF(AND(D239&gt;'Cashflows_8%'!$C$7,D239&lt;=Revival!$C$12,MOD(B238,Mode)=0),Mod_Prem,0)+IF(B238=PT*12,VLOOKUP(PT*12,'Cashflows_4%'!$A$7:$N$246,14,0),0)+IF(B238='Pre-Calculation'!$D$12,PW,0)</f>
        <v>0</v>
      </c>
      <c r="H239" s="122">
        <f>-IF(AND(D239&lt;=Revival!$C$2,MOD(B238,Mode)=0),Mod_Prem,0)-IF(D239='Cashflows_8%'!$C$7,Revival!$C$14,0)-IF(AND(D239&gt;'Cashflows_8%'!$C$7,D239&lt;=Revival!$C$12,MOD(B238,Mode)=0),Mod_Prem,0)+IF(B238=PT*12,VLOOKUP(PT*12,Cashflows_HIST!$A$7:$N$246,14,0),0)+IF(B238='Pre-Calculation'!$D$12,PW,0)</f>
        <v>0</v>
      </c>
    </row>
    <row r="240" ht="14.25" customHeight="1">
      <c r="B240" s="171">
        <f t="shared" si="4"/>
        <v>233</v>
      </c>
      <c r="C240" s="171">
        <f t="shared" si="5"/>
        <v>20</v>
      </c>
      <c r="D240" s="176">
        <f>EDATE(RCD,B239)</f>
        <v>49612</v>
      </c>
      <c r="E240" s="199">
        <f>-IF(AND(D240&lt;=Revival!$C$2,MOD(B239,Mode)=0),Mod_Prem,0)+IF(B239='Pre-Calculation'!$D$12,SV,0)</f>
        <v>0</v>
      </c>
      <c r="F240" s="199">
        <f>-IF(AND(D240&lt;=Revival!$C$2,MOD(B239,Mode)=0),Mod_Prem,0)-IF(D240='Cashflows_8%'!$C$7,Revival!$C$14,0)-IF(AND(D240&gt;'Cashflows_8%'!$C$7,D240&lt;=Revival!$C$12,MOD(B239,Mode)=0),Mod_Prem,0)+IF(B239=PT*12,VLOOKUP(PT*12,'Cashflows_8%'!$A$7:$N$246,14,0),0)+IF(B239='Pre-Calculation'!$D$12,PW,0)</f>
        <v>0</v>
      </c>
      <c r="G240" s="122">
        <f>-IF(AND(D240&lt;=Revival!$C$2,MOD(B239,Mode)=0),Mod_Prem,0)-IF(D240='Cashflows_8%'!$C$7,Revival!$C$14,0)-IF(AND(D240&gt;'Cashflows_8%'!$C$7,D240&lt;=Revival!$C$12,MOD(B239,Mode)=0),Mod_Prem,0)+IF(B239=PT*12,VLOOKUP(PT*12,'Cashflows_4%'!$A$7:$N$246,14,0),0)+IF(B239='Pre-Calculation'!$D$12,PW,0)</f>
        <v>0</v>
      </c>
      <c r="H240" s="122">
        <f>-IF(AND(D240&lt;=Revival!$C$2,MOD(B239,Mode)=0),Mod_Prem,0)-IF(D240='Cashflows_8%'!$C$7,Revival!$C$14,0)-IF(AND(D240&gt;'Cashflows_8%'!$C$7,D240&lt;=Revival!$C$12,MOD(B239,Mode)=0),Mod_Prem,0)+IF(B239=PT*12,VLOOKUP(PT*12,Cashflows_HIST!$A$7:$N$246,14,0),0)+IF(B239='Pre-Calculation'!$D$12,PW,0)</f>
        <v>0</v>
      </c>
    </row>
    <row r="241" ht="14.25" customHeight="1">
      <c r="B241" s="171">
        <f t="shared" si="4"/>
        <v>234</v>
      </c>
      <c r="C241" s="171">
        <f t="shared" si="5"/>
        <v>20</v>
      </c>
      <c r="D241" s="176">
        <f>EDATE(RCD,B240)</f>
        <v>49643</v>
      </c>
      <c r="E241" s="199">
        <f>-IF(AND(D241&lt;=Revival!$C$2,MOD(B240,Mode)=0),Mod_Prem,0)+IF(B240='Pre-Calculation'!$D$12,SV,0)</f>
        <v>0</v>
      </c>
      <c r="F241" s="199">
        <f>-IF(AND(D241&lt;=Revival!$C$2,MOD(B240,Mode)=0),Mod_Prem,0)-IF(D241='Cashflows_8%'!$C$7,Revival!$C$14,0)-IF(AND(D241&gt;'Cashflows_8%'!$C$7,D241&lt;=Revival!$C$12,MOD(B240,Mode)=0),Mod_Prem,0)+IF(B240=PT*12,VLOOKUP(PT*12,'Cashflows_8%'!$A$7:$N$246,14,0),0)+IF(B240='Pre-Calculation'!$D$12,PW,0)</f>
        <v>0</v>
      </c>
      <c r="G241" s="122">
        <f>-IF(AND(D241&lt;=Revival!$C$2,MOD(B240,Mode)=0),Mod_Prem,0)-IF(D241='Cashflows_8%'!$C$7,Revival!$C$14,0)-IF(AND(D241&gt;'Cashflows_8%'!$C$7,D241&lt;=Revival!$C$12,MOD(B240,Mode)=0),Mod_Prem,0)+IF(B240=PT*12,VLOOKUP(PT*12,'Cashflows_4%'!$A$7:$N$246,14,0),0)+IF(B240='Pre-Calculation'!$D$12,PW,0)</f>
        <v>0</v>
      </c>
      <c r="H241" s="122">
        <f>-IF(AND(D241&lt;=Revival!$C$2,MOD(B240,Mode)=0),Mod_Prem,0)-IF(D241='Cashflows_8%'!$C$7,Revival!$C$14,0)-IF(AND(D241&gt;'Cashflows_8%'!$C$7,D241&lt;=Revival!$C$12,MOD(B240,Mode)=0),Mod_Prem,0)+IF(B240=PT*12,VLOOKUP(PT*12,Cashflows_HIST!$A$7:$N$246,14,0),0)+IF(B240='Pre-Calculation'!$D$12,PW,0)</f>
        <v>0</v>
      </c>
    </row>
    <row r="242" ht="14.25" customHeight="1">
      <c r="B242" s="171">
        <f t="shared" si="4"/>
        <v>235</v>
      </c>
      <c r="C242" s="171">
        <f t="shared" si="5"/>
        <v>20</v>
      </c>
      <c r="D242" s="176">
        <f>EDATE(RCD,B241)</f>
        <v>49673</v>
      </c>
      <c r="E242" s="199">
        <f>-IF(AND(D242&lt;=Revival!$C$2,MOD(B241,Mode)=0),Mod_Prem,0)+IF(B241='Pre-Calculation'!$D$12,SV,0)</f>
        <v>0</v>
      </c>
      <c r="F242" s="199">
        <f>-IF(AND(D242&lt;=Revival!$C$2,MOD(B241,Mode)=0),Mod_Prem,0)-IF(D242='Cashflows_8%'!$C$7,Revival!$C$14,0)-IF(AND(D242&gt;'Cashflows_8%'!$C$7,D242&lt;=Revival!$C$12,MOD(B241,Mode)=0),Mod_Prem,0)+IF(B241=PT*12,VLOOKUP(PT*12,'Cashflows_8%'!$A$7:$N$246,14,0),0)+IF(B241='Pre-Calculation'!$D$12,PW,0)</f>
        <v>0</v>
      </c>
      <c r="G242" s="122">
        <f>-IF(AND(D242&lt;=Revival!$C$2,MOD(B241,Mode)=0),Mod_Prem,0)-IF(D242='Cashflows_8%'!$C$7,Revival!$C$14,0)-IF(AND(D242&gt;'Cashflows_8%'!$C$7,D242&lt;=Revival!$C$12,MOD(B241,Mode)=0),Mod_Prem,0)+IF(B241=PT*12,VLOOKUP(PT*12,'Cashflows_4%'!$A$7:$N$246,14,0),0)+IF(B241='Pre-Calculation'!$D$12,PW,0)</f>
        <v>0</v>
      </c>
      <c r="H242" s="122">
        <f>-IF(AND(D242&lt;=Revival!$C$2,MOD(B241,Mode)=0),Mod_Prem,0)-IF(D242='Cashflows_8%'!$C$7,Revival!$C$14,0)-IF(AND(D242&gt;'Cashflows_8%'!$C$7,D242&lt;=Revival!$C$12,MOD(B241,Mode)=0),Mod_Prem,0)+IF(B241=PT*12,VLOOKUP(PT*12,Cashflows_HIST!$A$7:$N$246,14,0),0)+IF(B241='Pre-Calculation'!$D$12,PW,0)</f>
        <v>0</v>
      </c>
    </row>
    <row r="243" ht="14.25" customHeight="1">
      <c r="B243" s="171">
        <f t="shared" si="4"/>
        <v>236</v>
      </c>
      <c r="C243" s="171">
        <f t="shared" si="5"/>
        <v>20</v>
      </c>
      <c r="D243" s="176">
        <f>EDATE(RCD,B242)</f>
        <v>49704</v>
      </c>
      <c r="E243" s="199">
        <f>-IF(AND(D243&lt;=Revival!$C$2,MOD(B242,Mode)=0),Mod_Prem,0)+IF(B242='Pre-Calculation'!$D$12,SV,0)</f>
        <v>0</v>
      </c>
      <c r="F243" s="199">
        <f>-IF(AND(D243&lt;=Revival!$C$2,MOD(B242,Mode)=0),Mod_Prem,0)-IF(D243='Cashflows_8%'!$C$7,Revival!$C$14,0)-IF(AND(D243&gt;'Cashflows_8%'!$C$7,D243&lt;=Revival!$C$12,MOD(B242,Mode)=0),Mod_Prem,0)+IF(B242=PT*12,VLOOKUP(PT*12,'Cashflows_8%'!$A$7:$N$246,14,0),0)+IF(B242='Pre-Calculation'!$D$12,PW,0)</f>
        <v>0</v>
      </c>
      <c r="G243" s="122">
        <f>-IF(AND(D243&lt;=Revival!$C$2,MOD(B242,Mode)=0),Mod_Prem,0)-IF(D243='Cashflows_8%'!$C$7,Revival!$C$14,0)-IF(AND(D243&gt;'Cashflows_8%'!$C$7,D243&lt;=Revival!$C$12,MOD(B242,Mode)=0),Mod_Prem,0)+IF(B242=PT*12,VLOOKUP(PT*12,'Cashflows_4%'!$A$7:$N$246,14,0),0)+IF(B242='Pre-Calculation'!$D$12,PW,0)</f>
        <v>0</v>
      </c>
      <c r="H243" s="122">
        <f>-IF(AND(D243&lt;=Revival!$C$2,MOD(B242,Mode)=0),Mod_Prem,0)-IF(D243='Cashflows_8%'!$C$7,Revival!$C$14,0)-IF(AND(D243&gt;'Cashflows_8%'!$C$7,D243&lt;=Revival!$C$12,MOD(B242,Mode)=0),Mod_Prem,0)+IF(B242=PT*12,VLOOKUP(PT*12,Cashflows_HIST!$A$7:$N$246,14,0),0)+IF(B242='Pre-Calculation'!$D$12,PW,0)</f>
        <v>0</v>
      </c>
    </row>
    <row r="244" ht="14.25" customHeight="1">
      <c r="B244" s="171">
        <f t="shared" si="4"/>
        <v>237</v>
      </c>
      <c r="C244" s="171">
        <f t="shared" si="5"/>
        <v>20</v>
      </c>
      <c r="D244" s="176">
        <f>EDATE(RCD,B243)</f>
        <v>49734</v>
      </c>
      <c r="E244" s="199">
        <f>-IF(AND(D244&lt;=Revival!$C$2,MOD(B243,Mode)=0),Mod_Prem,0)+IF(B243='Pre-Calculation'!$D$12,SV,0)</f>
        <v>0</v>
      </c>
      <c r="F244" s="199">
        <f>-IF(AND(D244&lt;=Revival!$C$2,MOD(B243,Mode)=0),Mod_Prem,0)-IF(D244='Cashflows_8%'!$C$7,Revival!$C$14,0)-IF(AND(D244&gt;'Cashflows_8%'!$C$7,D244&lt;=Revival!$C$12,MOD(B243,Mode)=0),Mod_Prem,0)+IF(B243=PT*12,VLOOKUP(PT*12,'Cashflows_8%'!$A$7:$N$246,14,0),0)+IF(B243='Pre-Calculation'!$D$12,PW,0)</f>
        <v>0</v>
      </c>
      <c r="G244" s="122">
        <f>-IF(AND(D244&lt;=Revival!$C$2,MOD(B243,Mode)=0),Mod_Prem,0)-IF(D244='Cashflows_8%'!$C$7,Revival!$C$14,0)-IF(AND(D244&gt;'Cashflows_8%'!$C$7,D244&lt;=Revival!$C$12,MOD(B243,Mode)=0),Mod_Prem,0)+IF(B243=PT*12,VLOOKUP(PT*12,'Cashflows_4%'!$A$7:$N$246,14,0),0)+IF(B243='Pre-Calculation'!$D$12,PW,0)</f>
        <v>0</v>
      </c>
      <c r="H244" s="122">
        <f>-IF(AND(D244&lt;=Revival!$C$2,MOD(B243,Mode)=0),Mod_Prem,0)-IF(D244='Cashflows_8%'!$C$7,Revival!$C$14,0)-IF(AND(D244&gt;'Cashflows_8%'!$C$7,D244&lt;=Revival!$C$12,MOD(B243,Mode)=0),Mod_Prem,0)+IF(B243=PT*12,VLOOKUP(PT*12,Cashflows_HIST!$A$7:$N$246,14,0),0)+IF(B243='Pre-Calculation'!$D$12,PW,0)</f>
        <v>0</v>
      </c>
    </row>
    <row r="245" ht="14.25" customHeight="1">
      <c r="B245" s="171">
        <f t="shared" si="4"/>
        <v>238</v>
      </c>
      <c r="C245" s="171">
        <f t="shared" si="5"/>
        <v>20</v>
      </c>
      <c r="D245" s="176">
        <f>EDATE(RCD,B244)</f>
        <v>49764</v>
      </c>
      <c r="E245" s="199">
        <f>-IF(AND(D245&lt;=Revival!$C$2,MOD(B244,Mode)=0),Mod_Prem,0)+IF(B244='Pre-Calculation'!$D$12,SV,0)</f>
        <v>0</v>
      </c>
      <c r="F245" s="199">
        <f>-IF(AND(D245&lt;=Revival!$C$2,MOD(B244,Mode)=0),Mod_Prem,0)-IF(D245='Cashflows_8%'!$C$7,Revival!$C$14,0)-IF(AND(D245&gt;'Cashflows_8%'!$C$7,D245&lt;=Revival!$C$12,MOD(B244,Mode)=0),Mod_Prem,0)+IF(B244=PT*12,VLOOKUP(PT*12,'Cashflows_8%'!$A$7:$N$246,14,0),0)+IF(B244='Pre-Calculation'!$D$12,PW,0)</f>
        <v>0</v>
      </c>
      <c r="G245" s="122">
        <f>-IF(AND(D245&lt;=Revival!$C$2,MOD(B244,Mode)=0),Mod_Prem,0)-IF(D245='Cashflows_8%'!$C$7,Revival!$C$14,0)-IF(AND(D245&gt;'Cashflows_8%'!$C$7,D245&lt;=Revival!$C$12,MOD(B244,Mode)=0),Mod_Prem,0)+IF(B244=PT*12,VLOOKUP(PT*12,'Cashflows_4%'!$A$7:$N$246,14,0),0)+IF(B244='Pre-Calculation'!$D$12,PW,0)</f>
        <v>0</v>
      </c>
      <c r="H245" s="122">
        <f>-IF(AND(D245&lt;=Revival!$C$2,MOD(B244,Mode)=0),Mod_Prem,0)-IF(D245='Cashflows_8%'!$C$7,Revival!$C$14,0)-IF(AND(D245&gt;'Cashflows_8%'!$C$7,D245&lt;=Revival!$C$12,MOD(B244,Mode)=0),Mod_Prem,0)+IF(B244=PT*12,VLOOKUP(PT*12,Cashflows_HIST!$A$7:$N$246,14,0),0)+IF(B244='Pre-Calculation'!$D$12,PW,0)</f>
        <v>0</v>
      </c>
    </row>
    <row r="246" ht="14.25" customHeight="1">
      <c r="B246" s="171">
        <f t="shared" si="4"/>
        <v>239</v>
      </c>
      <c r="C246" s="171">
        <f t="shared" si="5"/>
        <v>20</v>
      </c>
      <c r="D246" s="176">
        <f>EDATE(RCD,B245)</f>
        <v>49795</v>
      </c>
      <c r="E246" s="199">
        <f>-IF(AND(D246&lt;=Revival!$C$2,MOD(B245,Mode)=0),Mod_Prem,0)+IF(B245='Pre-Calculation'!$D$12,SV,0)</f>
        <v>0</v>
      </c>
      <c r="F246" s="199">
        <f>-IF(AND(D246&lt;=Revival!$C$2,MOD(B245,Mode)=0),Mod_Prem,0)-IF(D246='Cashflows_8%'!$C$7,Revival!$C$14,0)-IF(AND(D246&gt;'Cashflows_8%'!$C$7,D246&lt;=Revival!$C$12,MOD(B245,Mode)=0),Mod_Prem,0)+IF(B245=PT*12,VLOOKUP(PT*12,'Cashflows_8%'!$A$7:$N$246,14,0),0)+IF(B245='Pre-Calculation'!$D$12,PW,0)</f>
        <v>0</v>
      </c>
      <c r="G246" s="122">
        <f>-IF(AND(D246&lt;=Revival!$C$2,MOD(B245,Mode)=0),Mod_Prem,0)-IF(D246='Cashflows_8%'!$C$7,Revival!$C$14,0)-IF(AND(D246&gt;'Cashflows_8%'!$C$7,D246&lt;=Revival!$C$12,MOD(B245,Mode)=0),Mod_Prem,0)+IF(B245=PT*12,VLOOKUP(PT*12,'Cashflows_4%'!$A$7:$N$246,14,0),0)+IF(B245='Pre-Calculation'!$D$12,PW,0)</f>
        <v>0</v>
      </c>
      <c r="H246" s="122">
        <f>-IF(AND(D246&lt;=Revival!$C$2,MOD(B245,Mode)=0),Mod_Prem,0)-IF(D246='Cashflows_8%'!$C$7,Revival!$C$14,0)-IF(AND(D246&gt;'Cashflows_8%'!$C$7,D246&lt;=Revival!$C$12,MOD(B245,Mode)=0),Mod_Prem,0)+IF(B245=PT*12,VLOOKUP(PT*12,Cashflows_HIST!$A$7:$N$246,14,0),0)+IF(B245='Pre-Calculation'!$D$12,PW,0)</f>
        <v>0</v>
      </c>
    </row>
    <row r="247" ht="14.25" customHeight="1">
      <c r="B247" s="171">
        <f t="shared" si="4"/>
        <v>240</v>
      </c>
      <c r="C247" s="171">
        <f t="shared" si="5"/>
        <v>20</v>
      </c>
      <c r="D247" s="176">
        <f>EDATE(RCD,B246)</f>
        <v>49825</v>
      </c>
      <c r="E247" s="199">
        <f>-IF(AND(D247&lt;=Revival!$C$2,MOD(B246,Mode)=0),Mod_Prem,0)+IF(B246='Pre-Calculation'!$D$12,SV,0)</f>
        <v>0</v>
      </c>
      <c r="F247" s="199">
        <f>-IF(AND(D247&lt;=Revival!$C$2,MOD(B246,Mode)=0),Mod_Prem,0)-IF(D247='Cashflows_8%'!$C$7,Revival!$C$14,0)-IF(AND(D247&gt;'Cashflows_8%'!$C$7,D247&lt;=Revival!$C$12,MOD(B246,Mode)=0),Mod_Prem,0)+IF(B246=PT*12,VLOOKUP(PT*12,'Cashflows_8%'!$A$7:$N$246,14,0),0)+IF(B246='Pre-Calculation'!$D$12,PW,0)</f>
        <v>0</v>
      </c>
      <c r="G247" s="122">
        <f>-IF(AND(D247&lt;=Revival!$C$2,MOD(B246,Mode)=0),Mod_Prem,0)-IF(D247='Cashflows_8%'!$C$7,Revival!$C$14,0)-IF(AND(D247&gt;'Cashflows_8%'!$C$7,D247&lt;=Revival!$C$12,MOD(B246,Mode)=0),Mod_Prem,0)+IF(B246=PT*12,VLOOKUP(PT*12,'Cashflows_4%'!$A$7:$N$246,14,0),0)+IF(B246='Pre-Calculation'!$D$12,PW,0)</f>
        <v>0</v>
      </c>
      <c r="H247" s="122">
        <f>-IF(AND(D247&lt;=Revival!$C$2,MOD(B246,Mode)=0),Mod_Prem,0)-IF(D247='Cashflows_8%'!$C$7,Revival!$C$14,0)-IF(AND(D247&gt;'Cashflows_8%'!$C$7,D247&lt;=Revival!$C$12,MOD(B246,Mode)=0),Mod_Prem,0)+IF(B246=PT*12,VLOOKUP(PT*12,Cashflows_HIST!$A$7:$N$246,14,0),0)+IF(B246='Pre-Calculation'!$D$12,PW,0)</f>
        <v>0</v>
      </c>
    </row>
    <row r="248" ht="14.25" customHeight="1">
      <c r="D248" s="12"/>
    </row>
    <row r="249" ht="14.25" customHeight="1">
      <c r="D249" s="12"/>
    </row>
    <row r="250" ht="14.25" customHeight="1">
      <c r="D250" s="12"/>
    </row>
    <row r="251" ht="14.25" customHeight="1">
      <c r="D251" s="12"/>
    </row>
    <row r="252" ht="14.25" customHeight="1">
      <c r="D252" s="12"/>
    </row>
    <row r="253" ht="14.25" customHeight="1">
      <c r="D253" s="12"/>
    </row>
    <row r="254" ht="14.25" customHeight="1">
      <c r="D254" s="12"/>
    </row>
    <row r="255" ht="14.25" customHeight="1">
      <c r="D255" s="12"/>
    </row>
    <row r="256" ht="14.25" customHeight="1">
      <c r="D256" s="12"/>
    </row>
    <row r="257" ht="14.25" customHeight="1">
      <c r="D257" s="12"/>
    </row>
    <row r="258" ht="14.25" customHeight="1">
      <c r="D258" s="12"/>
    </row>
    <row r="259" ht="14.25" customHeight="1">
      <c r="D259" s="12"/>
    </row>
    <row r="260" ht="14.25" customHeight="1">
      <c r="D260" s="12"/>
    </row>
    <row r="261" ht="14.25" customHeight="1">
      <c r="D261" s="12"/>
    </row>
    <row r="262" ht="14.25" customHeight="1">
      <c r="D262" s="12"/>
    </row>
    <row r="263" ht="14.25" customHeight="1">
      <c r="D263" s="12"/>
    </row>
    <row r="264" ht="14.25" customHeight="1">
      <c r="D264" s="12"/>
    </row>
    <row r="265" ht="14.25" customHeight="1">
      <c r="D265" s="12"/>
    </row>
    <row r="266" ht="14.25" customHeight="1">
      <c r="D266" s="12"/>
    </row>
    <row r="267" ht="14.25" customHeight="1">
      <c r="D267" s="12"/>
    </row>
    <row r="268" ht="14.25" customHeight="1">
      <c r="D268" s="12"/>
    </row>
    <row r="269" ht="14.25" customHeight="1">
      <c r="D269" s="12"/>
    </row>
    <row r="270" ht="14.25" customHeight="1">
      <c r="D270" s="12"/>
    </row>
    <row r="271" ht="14.25" customHeight="1">
      <c r="D271" s="12"/>
    </row>
    <row r="272" ht="14.25" customHeight="1">
      <c r="D272" s="12"/>
    </row>
    <row r="273" ht="14.25" customHeight="1">
      <c r="D273" s="12"/>
    </row>
    <row r="274" ht="14.25" customHeight="1">
      <c r="D274" s="12"/>
    </row>
    <row r="275" ht="14.25" customHeight="1">
      <c r="D275" s="12"/>
    </row>
    <row r="276" ht="14.25" customHeight="1">
      <c r="D276" s="12"/>
    </row>
    <row r="277" ht="14.25" customHeight="1">
      <c r="D277" s="12"/>
    </row>
    <row r="278" ht="14.25" customHeight="1">
      <c r="D278" s="12"/>
    </row>
    <row r="279" ht="14.25" customHeight="1">
      <c r="D279" s="12"/>
    </row>
    <row r="280" ht="14.25" customHeight="1">
      <c r="D280" s="12"/>
    </row>
    <row r="281" ht="14.25" customHeight="1">
      <c r="D281" s="12"/>
    </row>
    <row r="282" ht="14.25" customHeight="1">
      <c r="D282" s="12"/>
    </row>
    <row r="283" ht="14.25" customHeight="1">
      <c r="D283" s="12"/>
    </row>
    <row r="284" ht="14.25" customHeight="1">
      <c r="D284" s="12"/>
    </row>
    <row r="285" ht="14.25" customHeight="1">
      <c r="D285" s="12"/>
    </row>
    <row r="286" ht="14.25" customHeight="1">
      <c r="D286" s="12"/>
    </row>
    <row r="287" ht="14.25" customHeight="1">
      <c r="D287" s="12"/>
    </row>
    <row r="288" ht="14.25" customHeight="1">
      <c r="D288" s="12"/>
    </row>
    <row r="289" ht="14.25" customHeight="1">
      <c r="D289" s="12"/>
    </row>
    <row r="290" ht="14.25" customHeight="1">
      <c r="D290" s="12"/>
    </row>
    <row r="291" ht="14.25" customHeight="1">
      <c r="D291" s="12"/>
    </row>
    <row r="292" ht="14.25" customHeight="1">
      <c r="D292" s="12"/>
    </row>
    <row r="293" ht="14.25" customHeight="1">
      <c r="D293" s="12"/>
    </row>
    <row r="294" ht="14.25" customHeight="1">
      <c r="D294" s="12"/>
    </row>
    <row r="295" ht="14.25" customHeight="1">
      <c r="D295" s="12"/>
    </row>
    <row r="296" ht="14.25" customHeight="1">
      <c r="D296" s="12"/>
    </row>
    <row r="297" ht="14.25" customHeight="1">
      <c r="D297" s="12"/>
    </row>
    <row r="298" ht="14.25" customHeight="1">
      <c r="D298" s="12"/>
    </row>
    <row r="299" ht="14.25" customHeight="1">
      <c r="D299" s="12"/>
    </row>
    <row r="300" ht="14.25" customHeight="1">
      <c r="D300" s="12"/>
    </row>
    <row r="301" ht="14.25" customHeight="1">
      <c r="D301" s="12"/>
    </row>
    <row r="302" ht="14.25" customHeight="1">
      <c r="D302" s="12"/>
    </row>
    <row r="303" ht="14.25" customHeight="1">
      <c r="D303" s="12"/>
    </row>
    <row r="304" ht="14.25" customHeight="1">
      <c r="D304" s="12"/>
    </row>
    <row r="305" ht="14.25" customHeight="1">
      <c r="D305" s="12"/>
    </row>
    <row r="306" ht="14.25" customHeight="1">
      <c r="D306" s="12"/>
    </row>
    <row r="307" ht="14.25" customHeight="1">
      <c r="D307" s="12"/>
    </row>
    <row r="308" ht="14.25" customHeight="1">
      <c r="D308" s="12"/>
    </row>
    <row r="309" ht="14.25" customHeight="1">
      <c r="D309" s="12"/>
    </row>
    <row r="310" ht="14.25" customHeight="1">
      <c r="D310" s="12"/>
    </row>
    <row r="311" ht="14.25" customHeight="1">
      <c r="D311" s="12"/>
    </row>
    <row r="312" ht="14.25" customHeight="1">
      <c r="D312" s="12"/>
    </row>
    <row r="313" ht="14.25" customHeight="1">
      <c r="D313" s="12"/>
    </row>
    <row r="314" ht="14.25" customHeight="1">
      <c r="D314" s="12"/>
    </row>
    <row r="315" ht="14.25" customHeight="1">
      <c r="D315" s="12"/>
    </row>
    <row r="316" ht="14.25" customHeight="1">
      <c r="D316" s="12"/>
    </row>
    <row r="317" ht="14.25" customHeight="1">
      <c r="D317" s="12"/>
    </row>
    <row r="318" ht="14.25" customHeight="1">
      <c r="D318" s="12"/>
    </row>
    <row r="319" ht="14.25" customHeight="1">
      <c r="D319" s="12"/>
    </row>
    <row r="320" ht="14.25" customHeight="1">
      <c r="D320" s="12"/>
    </row>
    <row r="321" ht="14.25" customHeight="1">
      <c r="D321" s="12"/>
    </row>
    <row r="322" ht="14.25" customHeight="1">
      <c r="D322" s="12"/>
    </row>
    <row r="323" ht="14.25" customHeight="1">
      <c r="D323" s="12"/>
    </row>
    <row r="324" ht="14.25" customHeight="1">
      <c r="D324" s="12"/>
    </row>
    <row r="325" ht="14.25" customHeight="1">
      <c r="D325" s="12"/>
    </row>
    <row r="326" ht="14.25" customHeight="1">
      <c r="D326" s="12"/>
    </row>
    <row r="327" ht="14.25" customHeight="1">
      <c r="D327" s="12"/>
    </row>
    <row r="328" ht="14.25" customHeight="1">
      <c r="D328" s="12"/>
    </row>
    <row r="329" ht="14.25" customHeight="1">
      <c r="D329" s="12"/>
    </row>
    <row r="330" ht="14.25" customHeight="1">
      <c r="D330" s="12"/>
    </row>
    <row r="331" ht="14.25" customHeight="1">
      <c r="D331" s="12"/>
    </row>
    <row r="332" ht="14.25" customHeight="1">
      <c r="D332" s="12"/>
    </row>
    <row r="333" ht="14.25" customHeight="1">
      <c r="D333" s="12"/>
    </row>
    <row r="334" ht="14.25" customHeight="1">
      <c r="D334" s="12"/>
    </row>
    <row r="335" ht="14.25" customHeight="1">
      <c r="D335" s="12"/>
    </row>
    <row r="336" ht="14.25" customHeight="1">
      <c r="D336" s="12"/>
    </row>
    <row r="337" ht="14.25" customHeight="1">
      <c r="D337" s="12"/>
    </row>
    <row r="338" ht="14.25" customHeight="1">
      <c r="D338" s="12"/>
    </row>
    <row r="339" ht="14.25" customHeight="1">
      <c r="D339" s="12"/>
    </row>
    <row r="340" ht="14.25" customHeight="1">
      <c r="D340" s="12"/>
    </row>
    <row r="341" ht="14.25" customHeight="1">
      <c r="D341" s="12"/>
    </row>
    <row r="342" ht="14.25" customHeight="1">
      <c r="D342" s="12"/>
    </row>
    <row r="343" ht="14.25" customHeight="1">
      <c r="D343" s="12"/>
    </row>
    <row r="344" ht="14.25" customHeight="1">
      <c r="D344" s="12"/>
    </row>
    <row r="345" ht="14.25" customHeight="1">
      <c r="D345" s="12"/>
    </row>
    <row r="346" ht="14.25" customHeight="1">
      <c r="D346" s="12"/>
    </row>
    <row r="347" ht="14.25" customHeight="1">
      <c r="D347" s="12"/>
    </row>
    <row r="348" ht="14.25" customHeight="1">
      <c r="D348" s="12"/>
    </row>
    <row r="349" ht="14.25" customHeight="1">
      <c r="D349" s="12"/>
    </row>
    <row r="350" ht="14.25" customHeight="1">
      <c r="D350" s="12"/>
    </row>
    <row r="351" ht="14.25" customHeight="1">
      <c r="D351" s="12"/>
    </row>
    <row r="352" ht="14.25" customHeight="1">
      <c r="D352" s="12"/>
    </row>
    <row r="353" ht="14.25" customHeight="1">
      <c r="D353" s="12"/>
    </row>
    <row r="354" ht="14.25" customHeight="1">
      <c r="D354" s="12"/>
    </row>
    <row r="355" ht="14.25" customHeight="1">
      <c r="D355" s="12"/>
    </row>
    <row r="356" ht="14.25" customHeight="1">
      <c r="D356" s="12"/>
    </row>
    <row r="357" ht="14.25" customHeight="1">
      <c r="D357" s="12"/>
    </row>
    <row r="358" ht="14.25" customHeight="1">
      <c r="D358" s="12"/>
    </row>
    <row r="359" ht="14.25" customHeight="1">
      <c r="D359" s="12"/>
    </row>
    <row r="360" ht="14.25" customHeight="1">
      <c r="D360" s="12"/>
    </row>
    <row r="361" ht="14.25" customHeight="1">
      <c r="D361" s="12"/>
    </row>
    <row r="362" ht="14.25" customHeight="1">
      <c r="D362" s="12"/>
    </row>
    <row r="363" ht="14.25" customHeight="1">
      <c r="D363" s="12"/>
    </row>
    <row r="364" ht="14.25" customHeight="1">
      <c r="D364" s="12"/>
    </row>
    <row r="365" ht="14.25" customHeight="1">
      <c r="D365" s="12"/>
    </row>
    <row r="366" ht="14.25" customHeight="1">
      <c r="D366" s="12"/>
    </row>
    <row r="367" ht="14.25" customHeight="1">
      <c r="D367" s="12"/>
    </row>
    <row r="368" ht="14.25" customHeight="1">
      <c r="D368" s="12"/>
    </row>
    <row r="369" ht="14.25" customHeight="1">
      <c r="D369" s="12"/>
    </row>
    <row r="370" ht="14.25" customHeight="1">
      <c r="D370" s="12"/>
    </row>
    <row r="371" ht="14.25" customHeight="1">
      <c r="D371" s="12"/>
    </row>
    <row r="372" ht="14.25" customHeight="1">
      <c r="D372" s="12"/>
    </row>
    <row r="373" ht="14.25" customHeight="1">
      <c r="D373" s="12"/>
    </row>
    <row r="374" ht="14.25" customHeight="1">
      <c r="D374" s="12"/>
    </row>
    <row r="375" ht="14.25" customHeight="1">
      <c r="D375" s="12"/>
    </row>
    <row r="376" ht="14.25" customHeight="1">
      <c r="D376" s="12"/>
    </row>
    <row r="377" ht="14.25" customHeight="1">
      <c r="D377" s="12"/>
    </row>
    <row r="378" ht="14.25" customHeight="1">
      <c r="D378" s="12"/>
    </row>
    <row r="379" ht="14.25" customHeight="1">
      <c r="D379" s="12"/>
    </row>
    <row r="380" ht="14.25" customHeight="1">
      <c r="D380" s="12"/>
    </row>
    <row r="381" ht="14.25" customHeight="1">
      <c r="D381" s="12"/>
    </row>
    <row r="382" ht="14.25" customHeight="1">
      <c r="D382" s="12"/>
    </row>
    <row r="383" ht="14.25" customHeight="1">
      <c r="D383" s="12"/>
    </row>
    <row r="384" ht="14.25" customHeight="1">
      <c r="D384" s="12"/>
    </row>
    <row r="385" ht="14.25" customHeight="1">
      <c r="D385" s="12"/>
    </row>
    <row r="386" ht="14.25" customHeight="1">
      <c r="D386" s="12"/>
    </row>
    <row r="387" ht="14.25" customHeight="1">
      <c r="D387" s="12"/>
    </row>
    <row r="388" ht="14.25" customHeight="1">
      <c r="D388" s="12"/>
    </row>
    <row r="389" ht="14.25" customHeight="1">
      <c r="D389" s="12"/>
    </row>
    <row r="390" ht="14.25" customHeight="1">
      <c r="D390" s="12"/>
    </row>
    <row r="391" ht="14.25" customHeight="1">
      <c r="D391" s="12"/>
    </row>
    <row r="392" ht="14.25" customHeight="1">
      <c r="D392" s="12"/>
    </row>
    <row r="393" ht="14.25" customHeight="1">
      <c r="D393" s="12"/>
    </row>
    <row r="394" ht="14.25" customHeight="1">
      <c r="D394" s="12"/>
    </row>
    <row r="395" ht="14.25" customHeight="1">
      <c r="D395" s="12"/>
    </row>
    <row r="396" ht="14.25" customHeight="1">
      <c r="D396" s="12"/>
    </row>
    <row r="397" ht="14.25" customHeight="1">
      <c r="D397" s="12"/>
    </row>
    <row r="398" ht="14.25" customHeight="1">
      <c r="D398" s="12"/>
    </row>
    <row r="399" ht="14.25" customHeight="1">
      <c r="D399" s="12"/>
    </row>
    <row r="400" ht="14.25" customHeight="1">
      <c r="D400" s="12"/>
    </row>
    <row r="401" ht="14.25" customHeight="1">
      <c r="D401" s="12"/>
    </row>
    <row r="402" ht="14.25" customHeight="1">
      <c r="D402" s="12"/>
    </row>
    <row r="403" ht="14.25" customHeight="1">
      <c r="D403" s="12"/>
    </row>
    <row r="404" ht="14.25" customHeight="1">
      <c r="D404" s="12"/>
    </row>
    <row r="405" ht="14.25" customHeight="1">
      <c r="D405" s="12"/>
    </row>
    <row r="406" ht="14.25" customHeight="1">
      <c r="D406" s="12"/>
    </row>
    <row r="407" ht="14.25" customHeight="1">
      <c r="D407" s="12"/>
    </row>
    <row r="408" ht="14.25" customHeight="1">
      <c r="D408" s="12"/>
    </row>
    <row r="409" ht="14.25" customHeight="1">
      <c r="D409" s="12"/>
    </row>
    <row r="410" ht="14.25" customHeight="1">
      <c r="D410" s="12"/>
    </row>
    <row r="411" ht="14.25" customHeight="1">
      <c r="D411" s="12"/>
    </row>
    <row r="412" ht="14.25" customHeight="1">
      <c r="D412" s="12"/>
    </row>
    <row r="413" ht="14.25" customHeight="1">
      <c r="D413" s="12"/>
    </row>
    <row r="414" ht="14.25" customHeight="1">
      <c r="D414" s="12"/>
    </row>
    <row r="415" ht="14.25" customHeight="1">
      <c r="D415" s="12"/>
    </row>
    <row r="416" ht="14.25" customHeight="1">
      <c r="D416" s="12"/>
    </row>
    <row r="417" ht="14.25" customHeight="1">
      <c r="D417" s="12"/>
    </row>
    <row r="418" ht="14.25" customHeight="1">
      <c r="D418" s="12"/>
    </row>
    <row r="419" ht="14.25" customHeight="1">
      <c r="D419" s="12"/>
    </row>
    <row r="420" ht="14.25" customHeight="1">
      <c r="D420" s="12"/>
    </row>
    <row r="421" ht="14.25" customHeight="1">
      <c r="D421" s="12"/>
    </row>
    <row r="422" ht="14.25" customHeight="1">
      <c r="D422" s="12"/>
    </row>
    <row r="423" ht="14.25" customHeight="1">
      <c r="D423" s="12"/>
    </row>
    <row r="424" ht="14.25" customHeight="1">
      <c r="D424" s="12"/>
    </row>
    <row r="425" ht="14.25" customHeight="1">
      <c r="D425" s="12"/>
    </row>
    <row r="426" ht="14.25" customHeight="1">
      <c r="D426" s="12"/>
    </row>
    <row r="427" ht="14.25" customHeight="1">
      <c r="D427" s="12"/>
    </row>
    <row r="428" ht="14.25" customHeight="1">
      <c r="D428" s="12"/>
    </row>
    <row r="429" ht="14.25" customHeight="1">
      <c r="D429" s="12"/>
    </row>
    <row r="430" ht="14.25" customHeight="1">
      <c r="D430" s="12"/>
    </row>
    <row r="431" ht="14.25" customHeight="1">
      <c r="D431" s="12"/>
    </row>
    <row r="432" ht="14.25" customHeight="1">
      <c r="D432" s="12"/>
    </row>
    <row r="433" ht="14.25" customHeight="1">
      <c r="D433" s="12"/>
    </row>
    <row r="434" ht="14.25" customHeight="1">
      <c r="D434" s="12"/>
    </row>
    <row r="435" ht="14.25" customHeight="1">
      <c r="D435" s="12"/>
    </row>
    <row r="436" ht="14.25" customHeight="1">
      <c r="D436" s="12"/>
    </row>
    <row r="437" ht="14.25" customHeight="1">
      <c r="D437" s="12"/>
    </row>
    <row r="438" ht="14.25" customHeight="1">
      <c r="D438" s="12"/>
    </row>
    <row r="439" ht="14.25" customHeight="1">
      <c r="D439" s="12"/>
    </row>
    <row r="440" ht="14.25" customHeight="1">
      <c r="D440" s="12"/>
    </row>
    <row r="441" ht="14.25" customHeight="1">
      <c r="D441" s="12"/>
    </row>
    <row r="442" ht="14.25" customHeight="1">
      <c r="D442" s="12"/>
    </row>
    <row r="443" ht="14.25" customHeight="1">
      <c r="D443" s="12"/>
    </row>
    <row r="444" ht="14.25" customHeight="1">
      <c r="D444" s="12"/>
    </row>
    <row r="445" ht="14.25" customHeight="1">
      <c r="D445" s="12"/>
    </row>
    <row r="446" ht="14.25" customHeight="1">
      <c r="D446" s="12"/>
    </row>
    <row r="447" ht="14.25" customHeight="1">
      <c r="D447" s="12"/>
    </row>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35.38"/>
    <col customWidth="1" min="3" max="3" width="17.63"/>
    <col customWidth="1" min="4" max="4" width="38.63"/>
    <col customWidth="1" min="5" max="5" width="7.63"/>
    <col customWidth="1" min="6" max="6" width="31.0"/>
    <col customWidth="1" min="7" max="7" width="55.63"/>
    <col customWidth="1" min="8" max="8" width="38.63"/>
  </cols>
  <sheetData>
    <row r="1" ht="14.25" customHeight="1">
      <c r="B1" s="200" t="s">
        <v>296</v>
      </c>
      <c r="F1" s="200" t="s">
        <v>297</v>
      </c>
    </row>
    <row r="2" ht="14.25" customHeight="1">
      <c r="B2" s="201" t="s">
        <v>298</v>
      </c>
      <c r="F2" s="36" t="s">
        <v>299</v>
      </c>
    </row>
    <row r="3" ht="14.25" customHeight="1">
      <c r="B3" s="201" t="s">
        <v>300</v>
      </c>
      <c r="F3" s="36" t="s">
        <v>301</v>
      </c>
    </row>
    <row r="4" ht="14.25" customHeight="1">
      <c r="B4" s="201" t="s">
        <v>96</v>
      </c>
    </row>
    <row r="5" ht="14.25" customHeight="1"/>
    <row r="6" ht="14.25" customHeight="1"/>
    <row r="7" ht="14.25" customHeight="1">
      <c r="B7" s="200" t="s">
        <v>302</v>
      </c>
      <c r="F7" s="200" t="s">
        <v>303</v>
      </c>
    </row>
    <row r="8" ht="14.25" customHeight="1">
      <c r="B8" s="200" t="s">
        <v>304</v>
      </c>
      <c r="F8" s="36" t="s">
        <v>305</v>
      </c>
    </row>
    <row r="9" ht="14.25" customHeight="1">
      <c r="B9" s="36" t="s">
        <v>306</v>
      </c>
    </row>
    <row r="10" ht="14.25" customHeight="1">
      <c r="B10" s="36" t="s">
        <v>307</v>
      </c>
      <c r="C10" s="202" t="s">
        <v>308</v>
      </c>
    </row>
    <row r="11" ht="14.25" customHeight="1">
      <c r="B11" s="36" t="s">
        <v>309</v>
      </c>
      <c r="D11" s="201" t="s">
        <v>310</v>
      </c>
    </row>
    <row r="12" ht="14.25" customHeight="1">
      <c r="B12" s="36" t="s">
        <v>311</v>
      </c>
      <c r="D12" s="201" t="s">
        <v>312</v>
      </c>
    </row>
    <row r="13" ht="14.25" customHeight="1">
      <c r="B13" s="203"/>
      <c r="F13" s="200"/>
    </row>
    <row r="14" ht="14.25" customHeight="1">
      <c r="B14" s="203" t="s">
        <v>313</v>
      </c>
      <c r="F14" s="203" t="s">
        <v>313</v>
      </c>
    </row>
    <row r="15" ht="14.25" customHeight="1">
      <c r="B15" s="36" t="s">
        <v>314</v>
      </c>
      <c r="F15" s="36" t="s">
        <v>315</v>
      </c>
      <c r="G15" s="204" t="s">
        <v>316</v>
      </c>
      <c r="H15" s="201" t="s">
        <v>317</v>
      </c>
    </row>
    <row r="16" ht="14.25" customHeight="1">
      <c r="B16" s="36" t="s">
        <v>318</v>
      </c>
      <c r="F16" s="36" t="s">
        <v>319</v>
      </c>
      <c r="G16" s="36" t="s">
        <v>320</v>
      </c>
    </row>
    <row r="17" ht="14.25" customHeight="1">
      <c r="B17" s="36" t="s">
        <v>321</v>
      </c>
      <c r="D17" s="201" t="s">
        <v>322</v>
      </c>
      <c r="F17" s="36" t="s">
        <v>323</v>
      </c>
    </row>
    <row r="18" ht="14.25" customHeight="1">
      <c r="F18" s="36" t="s">
        <v>324</v>
      </c>
      <c r="G18" s="36" t="s">
        <v>325</v>
      </c>
    </row>
    <row r="19" ht="14.25" customHeight="1">
      <c r="F19" s="36" t="s">
        <v>326</v>
      </c>
    </row>
    <row r="20" ht="14.25" customHeight="1">
      <c r="F20" s="36" t="s">
        <v>327</v>
      </c>
      <c r="G20" s="36" t="s">
        <v>328</v>
      </c>
    </row>
    <row r="21" ht="14.25" customHeight="1"/>
    <row r="22" ht="14.25" customHeight="1">
      <c r="B22" s="203" t="s">
        <v>329</v>
      </c>
      <c r="F22" s="203" t="s">
        <v>329</v>
      </c>
    </row>
    <row r="23" ht="14.25" customHeight="1">
      <c r="B23" s="36" t="s">
        <v>330</v>
      </c>
      <c r="D23" s="201" t="s">
        <v>331</v>
      </c>
      <c r="F23" s="36" t="s">
        <v>323</v>
      </c>
    </row>
    <row r="24" ht="14.25" customHeight="1">
      <c r="B24" s="36" t="s">
        <v>321</v>
      </c>
      <c r="C24" s="36" t="s">
        <v>332</v>
      </c>
      <c r="D24" s="201" t="s">
        <v>333</v>
      </c>
      <c r="F24" s="36" t="s">
        <v>326</v>
      </c>
    </row>
    <row r="25" ht="14.25" customHeight="1">
      <c r="F25" s="36" t="s">
        <v>334</v>
      </c>
    </row>
    <row r="26" ht="14.25" customHeight="1">
      <c r="F26" s="36" t="s">
        <v>335</v>
      </c>
    </row>
    <row r="27" ht="14.25" customHeight="1"/>
    <row r="28" ht="14.25" customHeight="1">
      <c r="B28" s="12" t="s">
        <v>62</v>
      </c>
    </row>
    <row r="29" ht="14.25" customHeight="1">
      <c r="B29" s="12" t="s">
        <v>336</v>
      </c>
    </row>
    <row r="30" ht="14.25" customHeight="1">
      <c r="B30" s="12" t="s">
        <v>337</v>
      </c>
    </row>
    <row r="31" ht="14.25" customHeight="1">
      <c r="B31" s="12" t="s">
        <v>338</v>
      </c>
    </row>
    <row r="32" ht="14.25" customHeight="1">
      <c r="B32" s="12" t="s">
        <v>339</v>
      </c>
    </row>
    <row r="33" ht="14.25" customHeight="1">
      <c r="B33" s="12" t="s">
        <v>340</v>
      </c>
    </row>
    <row r="34" ht="14.25" customHeight="1">
      <c r="B34" s="12" t="s">
        <v>341</v>
      </c>
    </row>
    <row r="35" ht="14.25" customHeight="1">
      <c r="B35" s="12" t="s">
        <v>342</v>
      </c>
    </row>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0"/>
    <col customWidth="1" min="2" max="2" width="84.13"/>
    <col customWidth="1" min="3" max="3" width="19.63"/>
    <col customWidth="1" min="4" max="6" width="7.63"/>
  </cols>
  <sheetData>
    <row r="1" ht="14.25" customHeight="1">
      <c r="A1" s="205" t="s">
        <v>309</v>
      </c>
      <c r="B1" s="206" t="s">
        <v>143</v>
      </c>
      <c r="C1" s="207"/>
      <c r="D1" s="207"/>
      <c r="E1" s="12"/>
      <c r="F1" s="12"/>
      <c r="G1" s="12"/>
      <c r="H1" s="12"/>
      <c r="I1" s="12"/>
      <c r="J1" s="12"/>
      <c r="K1" s="12"/>
      <c r="L1" s="12"/>
      <c r="M1" s="12"/>
      <c r="N1" s="12"/>
      <c r="O1" s="12"/>
      <c r="P1" s="12"/>
      <c r="Q1" s="12"/>
      <c r="R1" s="12"/>
      <c r="S1" s="12"/>
      <c r="T1" s="12"/>
      <c r="U1" s="12"/>
      <c r="V1" s="12"/>
      <c r="W1" s="12"/>
    </row>
    <row r="2" ht="14.25" customHeight="1">
      <c r="A2" s="208" t="s">
        <v>343</v>
      </c>
      <c r="B2" s="209" t="s">
        <v>344</v>
      </c>
      <c r="C2" s="207"/>
      <c r="D2" s="207"/>
      <c r="E2" s="12"/>
      <c r="F2" s="12"/>
      <c r="G2" s="12"/>
      <c r="H2" s="12"/>
      <c r="I2" s="12"/>
      <c r="J2" s="12"/>
      <c r="K2" s="12"/>
      <c r="L2" s="12"/>
      <c r="M2" s="12"/>
      <c r="N2" s="12"/>
      <c r="O2" s="12"/>
      <c r="P2" s="12"/>
      <c r="Q2" s="12"/>
      <c r="R2" s="12"/>
      <c r="S2" s="12"/>
      <c r="T2" s="12"/>
      <c r="U2" s="12"/>
      <c r="V2" s="12"/>
      <c r="W2" s="12"/>
    </row>
    <row r="3" ht="14.25" customHeight="1">
      <c r="A3" s="208" t="s">
        <v>345</v>
      </c>
      <c r="B3" s="209" t="s">
        <v>346</v>
      </c>
      <c r="C3" s="207"/>
      <c r="D3" s="207"/>
      <c r="E3" s="12"/>
      <c r="F3" s="12"/>
      <c r="G3" s="12"/>
      <c r="H3" s="12"/>
      <c r="I3" s="12"/>
      <c r="J3" s="12"/>
      <c r="K3" s="12"/>
      <c r="L3" s="12"/>
      <c r="M3" s="12"/>
      <c r="N3" s="12"/>
      <c r="O3" s="12"/>
      <c r="P3" s="12"/>
      <c r="Q3" s="12"/>
      <c r="R3" s="12"/>
      <c r="S3" s="12"/>
      <c r="T3" s="12"/>
      <c r="U3" s="12"/>
      <c r="V3" s="12"/>
      <c r="W3" s="12"/>
    </row>
    <row r="4" ht="14.25" customHeight="1">
      <c r="A4" s="208" t="s">
        <v>347</v>
      </c>
      <c r="B4" s="209" t="s">
        <v>348</v>
      </c>
      <c r="C4" s="207"/>
      <c r="D4" s="207"/>
      <c r="E4" s="12"/>
      <c r="F4" s="12"/>
      <c r="G4" s="12"/>
      <c r="H4" s="12"/>
      <c r="I4" s="12"/>
      <c r="J4" s="12"/>
      <c r="K4" s="12"/>
      <c r="L4" s="12"/>
      <c r="M4" s="12"/>
      <c r="N4" s="12"/>
      <c r="O4" s="12"/>
      <c r="P4" s="12"/>
      <c r="Q4" s="12"/>
      <c r="R4" s="12"/>
      <c r="S4" s="12"/>
      <c r="T4" s="12"/>
      <c r="U4" s="12"/>
      <c r="V4" s="12"/>
      <c r="W4" s="12"/>
    </row>
    <row r="5" ht="14.25" customHeight="1">
      <c r="A5" s="208" t="s">
        <v>349</v>
      </c>
      <c r="B5" s="209" t="s">
        <v>350</v>
      </c>
      <c r="C5" s="207"/>
      <c r="D5" s="207"/>
      <c r="E5" s="12"/>
      <c r="F5" s="12"/>
      <c r="G5" s="12"/>
      <c r="H5" s="12"/>
      <c r="I5" s="12"/>
      <c r="J5" s="12"/>
      <c r="K5" s="12"/>
      <c r="L5" s="12"/>
      <c r="M5" s="12"/>
      <c r="N5" s="12"/>
      <c r="O5" s="12"/>
      <c r="P5" s="12"/>
      <c r="Q5" s="12"/>
      <c r="R5" s="12"/>
      <c r="S5" s="12"/>
      <c r="T5" s="12"/>
      <c r="U5" s="12"/>
      <c r="V5" s="12"/>
      <c r="W5" s="12"/>
    </row>
    <row r="6" ht="14.25" customHeight="1">
      <c r="A6" s="208" t="s">
        <v>351</v>
      </c>
      <c r="B6" s="209" t="s">
        <v>352</v>
      </c>
      <c r="C6" s="207"/>
      <c r="D6" s="207"/>
      <c r="E6" s="12"/>
      <c r="F6" s="12"/>
      <c r="G6" s="12"/>
      <c r="H6" s="12"/>
      <c r="I6" s="12"/>
      <c r="J6" s="12"/>
      <c r="K6" s="12"/>
      <c r="L6" s="12"/>
      <c r="M6" s="12"/>
      <c r="N6" s="12"/>
      <c r="O6" s="12"/>
      <c r="P6" s="12"/>
      <c r="Q6" s="12"/>
      <c r="R6" s="12"/>
      <c r="S6" s="12"/>
      <c r="T6" s="12"/>
      <c r="U6" s="12"/>
      <c r="V6" s="12"/>
      <c r="W6" s="12"/>
    </row>
    <row r="7" ht="14.25" customHeight="1">
      <c r="A7" s="208" t="s">
        <v>353</v>
      </c>
      <c r="B7" s="209" t="s">
        <v>354</v>
      </c>
      <c r="C7" s="207"/>
      <c r="D7" s="207"/>
      <c r="E7" s="12"/>
      <c r="F7" s="12"/>
      <c r="G7" s="12"/>
      <c r="H7" s="12"/>
      <c r="I7" s="12"/>
      <c r="J7" s="12"/>
      <c r="K7" s="12"/>
      <c r="L7" s="12"/>
      <c r="M7" s="12"/>
      <c r="N7" s="12"/>
      <c r="O7" s="12"/>
      <c r="P7" s="12"/>
      <c r="Q7" s="12"/>
      <c r="R7" s="12"/>
      <c r="S7" s="12"/>
      <c r="T7" s="12"/>
      <c r="U7" s="12"/>
      <c r="V7" s="12"/>
      <c r="W7" s="12"/>
    </row>
    <row r="8" ht="14.25" customHeight="1">
      <c r="A8" s="208" t="s">
        <v>355</v>
      </c>
      <c r="B8" s="209" t="s">
        <v>356</v>
      </c>
      <c r="C8" s="207"/>
      <c r="D8" s="207"/>
      <c r="E8" s="12"/>
      <c r="F8" s="12"/>
      <c r="G8" s="12"/>
      <c r="H8" s="12"/>
      <c r="I8" s="12"/>
      <c r="J8" s="12"/>
      <c r="K8" s="12"/>
      <c r="L8" s="12"/>
      <c r="M8" s="12"/>
      <c r="N8" s="12"/>
      <c r="O8" s="12"/>
      <c r="P8" s="12"/>
      <c r="Q8" s="12"/>
      <c r="R8" s="12"/>
      <c r="S8" s="12"/>
      <c r="T8" s="12"/>
      <c r="U8" s="12"/>
      <c r="V8" s="12"/>
      <c r="W8" s="12"/>
    </row>
    <row r="9" ht="14.25" customHeight="1">
      <c r="A9" s="208" t="s">
        <v>357</v>
      </c>
      <c r="B9" s="209" t="s">
        <v>358</v>
      </c>
      <c r="C9" s="207"/>
      <c r="D9" s="207"/>
      <c r="E9" s="12"/>
      <c r="F9" s="12"/>
      <c r="G9" s="12"/>
      <c r="H9" s="12"/>
      <c r="I9" s="12"/>
      <c r="J9" s="12"/>
      <c r="K9" s="12"/>
      <c r="L9" s="12"/>
      <c r="M9" s="12"/>
      <c r="N9" s="12"/>
      <c r="O9" s="12"/>
      <c r="P9" s="12"/>
      <c r="Q9" s="12"/>
      <c r="R9" s="12"/>
      <c r="S9" s="12"/>
      <c r="T9" s="12"/>
      <c r="U9" s="12"/>
      <c r="V9" s="12"/>
      <c r="W9" s="12"/>
    </row>
    <row r="10" ht="14.25" customHeight="1">
      <c r="A10" s="208" t="s">
        <v>359</v>
      </c>
      <c r="B10" s="210" t="s">
        <v>360</v>
      </c>
      <c r="C10" s="207"/>
      <c r="D10" s="207"/>
      <c r="E10" s="12"/>
      <c r="F10" s="12"/>
      <c r="G10" s="12"/>
      <c r="H10" s="12"/>
      <c r="I10" s="12"/>
      <c r="J10" s="12"/>
      <c r="K10" s="12"/>
      <c r="L10" s="12"/>
      <c r="M10" s="12"/>
      <c r="N10" s="12"/>
      <c r="O10" s="12"/>
      <c r="P10" s="12"/>
      <c r="Q10" s="12"/>
      <c r="R10" s="12"/>
      <c r="S10" s="12"/>
      <c r="T10" s="12"/>
      <c r="U10" s="12"/>
      <c r="V10" s="12"/>
      <c r="W10" s="12"/>
    </row>
    <row r="11" ht="14.25" customHeight="1">
      <c r="A11" s="208" t="s">
        <v>361</v>
      </c>
      <c r="B11" s="209" t="s">
        <v>362</v>
      </c>
      <c r="C11" s="207"/>
      <c r="D11" s="207"/>
      <c r="E11" s="12"/>
      <c r="F11" s="12"/>
      <c r="G11" s="12"/>
      <c r="H11" s="12"/>
      <c r="I11" s="12"/>
      <c r="J11" s="12"/>
      <c r="K11" s="12"/>
      <c r="L11" s="12"/>
      <c r="M11" s="12"/>
      <c r="N11" s="12"/>
      <c r="O11" s="12"/>
      <c r="P11" s="12"/>
      <c r="Q11" s="12"/>
      <c r="R11" s="12"/>
      <c r="S11" s="12"/>
      <c r="T11" s="12"/>
      <c r="U11" s="12"/>
      <c r="V11" s="12"/>
      <c r="W11" s="12"/>
    </row>
    <row r="12" ht="14.25" customHeight="1">
      <c r="A12" s="208" t="s">
        <v>363</v>
      </c>
      <c r="B12" s="209" t="s">
        <v>364</v>
      </c>
      <c r="C12" s="207"/>
      <c r="D12" s="207"/>
      <c r="E12" s="12"/>
      <c r="F12" s="12"/>
      <c r="G12" s="12"/>
      <c r="H12" s="12"/>
      <c r="I12" s="12"/>
      <c r="J12" s="12"/>
      <c r="K12" s="12"/>
      <c r="L12" s="12"/>
      <c r="M12" s="12"/>
      <c r="N12" s="12"/>
      <c r="O12" s="12"/>
      <c r="P12" s="12"/>
      <c r="Q12" s="12"/>
      <c r="R12" s="12"/>
      <c r="S12" s="12"/>
      <c r="T12" s="12"/>
      <c r="U12" s="12"/>
      <c r="V12" s="12"/>
      <c r="W12" s="12"/>
    </row>
    <row r="13" ht="14.25" customHeight="1">
      <c r="A13" s="208" t="s">
        <v>365</v>
      </c>
      <c r="B13" s="209" t="s">
        <v>366</v>
      </c>
      <c r="C13" s="207"/>
      <c r="D13" s="207"/>
      <c r="E13" s="12"/>
      <c r="F13" s="12"/>
      <c r="G13" s="12"/>
      <c r="H13" s="12"/>
      <c r="I13" s="12"/>
      <c r="J13" s="12"/>
      <c r="K13" s="12"/>
      <c r="L13" s="12"/>
      <c r="M13" s="12"/>
      <c r="N13" s="12"/>
      <c r="O13" s="12"/>
      <c r="P13" s="12"/>
      <c r="Q13" s="12"/>
      <c r="R13" s="12"/>
      <c r="S13" s="12"/>
      <c r="T13" s="12"/>
      <c r="U13" s="12"/>
      <c r="V13" s="12"/>
      <c r="W13" s="12"/>
    </row>
    <row r="14" ht="14.25" customHeight="1">
      <c r="A14" s="208" t="s">
        <v>367</v>
      </c>
      <c r="B14" s="209" t="s">
        <v>368</v>
      </c>
      <c r="C14" s="207"/>
      <c r="D14" s="207"/>
      <c r="E14" s="12"/>
      <c r="F14" s="12"/>
      <c r="G14" s="12"/>
      <c r="H14" s="12"/>
      <c r="I14" s="12"/>
      <c r="J14" s="12"/>
      <c r="K14" s="12"/>
      <c r="L14" s="12"/>
      <c r="M14" s="12"/>
      <c r="N14" s="12"/>
      <c r="O14" s="12"/>
      <c r="P14" s="12"/>
      <c r="Q14" s="12"/>
      <c r="R14" s="12"/>
      <c r="S14" s="12"/>
      <c r="T14" s="12"/>
      <c r="U14" s="12"/>
      <c r="V14" s="12"/>
      <c r="W14" s="12"/>
    </row>
    <row r="15" ht="14.25" customHeight="1">
      <c r="A15" s="208" t="s">
        <v>369</v>
      </c>
      <c r="B15" s="210" t="s">
        <v>370</v>
      </c>
      <c r="C15" s="207"/>
      <c r="D15" s="207"/>
      <c r="E15" s="12"/>
      <c r="F15" s="12"/>
      <c r="G15" s="12"/>
      <c r="H15" s="12"/>
      <c r="I15" s="12"/>
      <c r="J15" s="12"/>
      <c r="K15" s="12"/>
      <c r="L15" s="12"/>
      <c r="M15" s="12"/>
      <c r="N15" s="12"/>
      <c r="O15" s="12"/>
      <c r="P15" s="12"/>
      <c r="Q15" s="12"/>
      <c r="R15" s="12"/>
      <c r="S15" s="12"/>
      <c r="T15" s="12"/>
      <c r="U15" s="12"/>
      <c r="V15" s="12"/>
      <c r="W15" s="12"/>
    </row>
    <row r="16" ht="14.25" customHeight="1">
      <c r="A16" s="208" t="s">
        <v>371</v>
      </c>
      <c r="B16" s="209" t="s">
        <v>372</v>
      </c>
      <c r="C16" s="207"/>
      <c r="D16" s="207"/>
      <c r="E16" s="12"/>
      <c r="F16" s="12"/>
      <c r="G16" s="12"/>
      <c r="H16" s="12"/>
      <c r="I16" s="12"/>
      <c r="J16" s="12"/>
      <c r="K16" s="12"/>
      <c r="L16" s="12"/>
      <c r="M16" s="12"/>
      <c r="N16" s="12"/>
      <c r="O16" s="12"/>
      <c r="P16" s="12"/>
      <c r="Q16" s="12"/>
      <c r="R16" s="12"/>
      <c r="S16" s="12"/>
      <c r="T16" s="12"/>
      <c r="U16" s="12"/>
      <c r="V16" s="12"/>
      <c r="W16" s="12"/>
    </row>
    <row r="17" ht="14.25" customHeight="1">
      <c r="A17" s="208" t="s">
        <v>373</v>
      </c>
      <c r="B17" s="209" t="s">
        <v>374</v>
      </c>
      <c r="C17" s="207"/>
      <c r="D17" s="207"/>
      <c r="E17" s="12"/>
      <c r="F17" s="12"/>
      <c r="G17" s="12"/>
      <c r="H17" s="12"/>
      <c r="I17" s="12"/>
      <c r="J17" s="12"/>
      <c r="K17" s="12"/>
      <c r="L17" s="12"/>
      <c r="M17" s="12"/>
      <c r="N17" s="12"/>
      <c r="O17" s="12"/>
      <c r="P17" s="12"/>
      <c r="Q17" s="12"/>
      <c r="R17" s="12"/>
      <c r="S17" s="12"/>
      <c r="T17" s="12"/>
      <c r="U17" s="12"/>
      <c r="V17" s="12"/>
      <c r="W17" s="12"/>
    </row>
    <row r="18" ht="14.25" customHeight="1">
      <c r="A18" s="208" t="s">
        <v>375</v>
      </c>
      <c r="B18" s="209" t="s">
        <v>376</v>
      </c>
      <c r="C18" s="207"/>
      <c r="D18" s="207"/>
      <c r="E18" s="12"/>
      <c r="F18" s="12"/>
      <c r="G18" s="12"/>
      <c r="H18" s="12"/>
      <c r="I18" s="12"/>
      <c r="J18" s="12"/>
      <c r="K18" s="12"/>
      <c r="L18" s="12"/>
      <c r="M18" s="12"/>
      <c r="N18" s="12"/>
      <c r="O18" s="12"/>
      <c r="P18" s="12"/>
      <c r="Q18" s="12"/>
      <c r="R18" s="12"/>
      <c r="S18" s="12"/>
      <c r="T18" s="12"/>
      <c r="U18" s="12"/>
      <c r="V18" s="12"/>
      <c r="W18" s="12"/>
    </row>
    <row r="19" ht="14.25" customHeight="1">
      <c r="A19" s="208" t="s">
        <v>377</v>
      </c>
      <c r="B19" s="209" t="s">
        <v>378</v>
      </c>
      <c r="C19" s="207"/>
      <c r="D19" s="207"/>
      <c r="E19" s="12"/>
      <c r="F19" s="12"/>
      <c r="G19" s="12"/>
      <c r="H19" s="12"/>
      <c r="I19" s="12"/>
      <c r="J19" s="12"/>
      <c r="K19" s="12"/>
      <c r="L19" s="12"/>
      <c r="M19" s="12"/>
      <c r="N19" s="12"/>
      <c r="O19" s="12"/>
      <c r="P19" s="12"/>
      <c r="Q19" s="12"/>
      <c r="R19" s="12"/>
      <c r="S19" s="12"/>
      <c r="T19" s="12"/>
      <c r="U19" s="12"/>
      <c r="V19" s="12"/>
      <c r="W19" s="12"/>
    </row>
    <row r="20" ht="14.25" customHeight="1">
      <c r="A20" s="208" t="s">
        <v>379</v>
      </c>
      <c r="B20" s="209" t="s">
        <v>380</v>
      </c>
      <c r="C20" s="207"/>
      <c r="D20" s="207"/>
      <c r="E20" s="12"/>
      <c r="F20" s="12"/>
      <c r="G20" s="12"/>
      <c r="H20" s="12"/>
      <c r="I20" s="12"/>
      <c r="J20" s="12"/>
      <c r="K20" s="12"/>
      <c r="L20" s="12"/>
      <c r="M20" s="12"/>
      <c r="N20" s="12"/>
      <c r="O20" s="12"/>
      <c r="P20" s="12"/>
      <c r="Q20" s="12"/>
      <c r="R20" s="12"/>
      <c r="S20" s="12"/>
      <c r="T20" s="12"/>
      <c r="U20" s="12"/>
      <c r="V20" s="12"/>
      <c r="W20" s="12"/>
    </row>
    <row r="21" ht="14.25" customHeight="1">
      <c r="A21" s="208" t="s">
        <v>381</v>
      </c>
      <c r="B21" s="209" t="s">
        <v>382</v>
      </c>
      <c r="C21" s="207"/>
      <c r="D21" s="207"/>
      <c r="E21" s="12"/>
      <c r="F21" s="12"/>
      <c r="G21" s="12"/>
      <c r="H21" s="12"/>
      <c r="I21" s="12"/>
      <c r="J21" s="12"/>
      <c r="K21" s="12"/>
      <c r="L21" s="12"/>
      <c r="M21" s="12"/>
      <c r="N21" s="12"/>
      <c r="O21" s="12"/>
      <c r="P21" s="12"/>
      <c r="Q21" s="12"/>
      <c r="R21" s="12"/>
      <c r="S21" s="12"/>
      <c r="T21" s="12"/>
      <c r="U21" s="12"/>
      <c r="V21" s="12"/>
      <c r="W21" s="12"/>
    </row>
    <row r="22" ht="14.25" customHeight="1">
      <c r="A22" s="208" t="s">
        <v>383</v>
      </c>
      <c r="B22" s="209" t="s">
        <v>384</v>
      </c>
      <c r="C22" s="207"/>
      <c r="D22" s="207"/>
      <c r="E22" s="12"/>
      <c r="F22" s="12"/>
      <c r="G22" s="12"/>
      <c r="H22" s="12"/>
      <c r="I22" s="12"/>
      <c r="J22" s="12"/>
      <c r="K22" s="12"/>
      <c r="L22" s="12"/>
      <c r="M22" s="12"/>
      <c r="N22" s="12"/>
      <c r="O22" s="12"/>
      <c r="P22" s="12"/>
      <c r="Q22" s="12"/>
      <c r="R22" s="12"/>
      <c r="S22" s="12"/>
      <c r="T22" s="12"/>
      <c r="U22" s="12"/>
      <c r="V22" s="12"/>
      <c r="W22" s="12"/>
    </row>
    <row r="23" ht="14.25" customHeight="1">
      <c r="A23" s="208" t="s">
        <v>385</v>
      </c>
      <c r="B23" s="210" t="s">
        <v>386</v>
      </c>
      <c r="C23" s="207"/>
      <c r="D23" s="207"/>
      <c r="E23" s="12"/>
      <c r="F23" s="12"/>
      <c r="G23" s="12"/>
      <c r="H23" s="12"/>
      <c r="I23" s="12"/>
      <c r="J23" s="12"/>
      <c r="K23" s="12"/>
      <c r="L23" s="12"/>
      <c r="M23" s="12"/>
      <c r="N23" s="12"/>
      <c r="O23" s="12"/>
      <c r="P23" s="12"/>
      <c r="Q23" s="12"/>
      <c r="R23" s="12"/>
      <c r="S23" s="12"/>
      <c r="T23" s="12"/>
      <c r="U23" s="12"/>
      <c r="V23" s="12"/>
      <c r="W23" s="12"/>
    </row>
    <row r="24" ht="14.25" customHeight="1">
      <c r="A24" s="208" t="s">
        <v>387</v>
      </c>
      <c r="B24" s="210" t="s">
        <v>388</v>
      </c>
      <c r="C24" s="207"/>
      <c r="D24" s="207"/>
      <c r="E24" s="12"/>
      <c r="F24" s="12"/>
      <c r="G24" s="12"/>
      <c r="H24" s="12"/>
      <c r="I24" s="12"/>
      <c r="J24" s="12"/>
      <c r="K24" s="12"/>
      <c r="L24" s="12"/>
      <c r="M24" s="12"/>
      <c r="N24" s="12"/>
      <c r="O24" s="12"/>
      <c r="P24" s="12"/>
      <c r="Q24" s="12"/>
      <c r="R24" s="12"/>
      <c r="S24" s="12"/>
      <c r="T24" s="12"/>
      <c r="U24" s="12"/>
      <c r="V24" s="12"/>
      <c r="W24" s="12"/>
    </row>
    <row r="25" ht="14.25" customHeight="1">
      <c r="A25" s="208" t="s">
        <v>389</v>
      </c>
      <c r="B25" s="210" t="s">
        <v>390</v>
      </c>
      <c r="C25" s="207"/>
      <c r="D25" s="207"/>
      <c r="E25" s="12"/>
      <c r="F25" s="12"/>
      <c r="G25" s="12"/>
      <c r="H25" s="12"/>
      <c r="I25" s="12"/>
      <c r="J25" s="12"/>
      <c r="K25" s="12"/>
      <c r="L25" s="12"/>
      <c r="M25" s="12"/>
      <c r="N25" s="12"/>
      <c r="O25" s="12"/>
      <c r="P25" s="12"/>
      <c r="Q25" s="12"/>
      <c r="R25" s="12"/>
      <c r="S25" s="12"/>
      <c r="T25" s="12"/>
      <c r="U25" s="12"/>
      <c r="V25" s="12"/>
      <c r="W25" s="12"/>
    </row>
    <row r="26" ht="14.25" customHeight="1">
      <c r="A26" s="208" t="s">
        <v>391</v>
      </c>
      <c r="B26" s="210" t="s">
        <v>392</v>
      </c>
      <c r="C26" s="207"/>
      <c r="D26" s="207"/>
      <c r="E26" s="12"/>
      <c r="F26" s="12"/>
      <c r="G26" s="12"/>
      <c r="H26" s="12"/>
      <c r="I26" s="12"/>
      <c r="J26" s="12"/>
      <c r="K26" s="12"/>
      <c r="L26" s="12"/>
      <c r="M26" s="12"/>
      <c r="N26" s="12"/>
      <c r="O26" s="12"/>
      <c r="P26" s="12"/>
      <c r="Q26" s="12"/>
      <c r="R26" s="12"/>
      <c r="S26" s="12"/>
      <c r="T26" s="12"/>
      <c r="U26" s="12"/>
      <c r="V26" s="12"/>
      <c r="W26" s="12"/>
    </row>
    <row r="27" ht="14.25" customHeight="1">
      <c r="A27" s="208" t="s">
        <v>393</v>
      </c>
      <c r="B27" s="210" t="s">
        <v>394</v>
      </c>
      <c r="C27" s="207"/>
      <c r="D27" s="207"/>
      <c r="E27" s="12"/>
      <c r="F27" s="12"/>
      <c r="G27" s="12"/>
      <c r="H27" s="12"/>
      <c r="I27" s="12"/>
      <c r="J27" s="12"/>
      <c r="K27" s="12"/>
      <c r="L27" s="12"/>
      <c r="M27" s="12"/>
      <c r="N27" s="12"/>
      <c r="O27" s="12"/>
      <c r="P27" s="12"/>
      <c r="Q27" s="12"/>
      <c r="R27" s="12"/>
      <c r="S27" s="12"/>
      <c r="T27" s="12"/>
      <c r="U27" s="12"/>
      <c r="V27" s="12"/>
      <c r="W27" s="12"/>
    </row>
    <row r="28" ht="14.25" customHeight="1">
      <c r="A28" s="208" t="s">
        <v>395</v>
      </c>
      <c r="B28" s="210" t="s">
        <v>396</v>
      </c>
      <c r="C28" s="207"/>
      <c r="D28" s="207"/>
      <c r="E28" s="12"/>
      <c r="F28" s="12"/>
      <c r="G28" s="12"/>
      <c r="H28" s="12"/>
      <c r="I28" s="12"/>
      <c r="J28" s="12"/>
      <c r="K28" s="12"/>
      <c r="L28" s="12"/>
      <c r="M28" s="12"/>
      <c r="N28" s="12"/>
      <c r="O28" s="12"/>
      <c r="P28" s="12"/>
      <c r="Q28" s="12"/>
      <c r="R28" s="12"/>
      <c r="S28" s="12"/>
      <c r="T28" s="12"/>
      <c r="U28" s="12"/>
      <c r="V28" s="12"/>
      <c r="W28" s="12"/>
    </row>
    <row r="29" ht="14.25" customHeight="1">
      <c r="A29" s="208" t="s">
        <v>397</v>
      </c>
      <c r="B29" s="210" t="s">
        <v>398</v>
      </c>
      <c r="C29" s="207"/>
      <c r="D29" s="207"/>
      <c r="E29" s="12"/>
      <c r="F29" s="12"/>
      <c r="G29" s="12"/>
      <c r="H29" s="12"/>
      <c r="I29" s="12"/>
      <c r="J29" s="12"/>
      <c r="K29" s="12"/>
      <c r="L29" s="12"/>
      <c r="M29" s="12"/>
      <c r="N29" s="12"/>
      <c r="O29" s="12"/>
      <c r="P29" s="12"/>
      <c r="Q29" s="12"/>
      <c r="R29" s="12"/>
      <c r="S29" s="12"/>
      <c r="T29" s="12"/>
      <c r="U29" s="12"/>
      <c r="V29" s="12"/>
      <c r="W29" s="12"/>
    </row>
    <row r="30" ht="14.25" customHeight="1">
      <c r="A30" s="208" t="s">
        <v>399</v>
      </c>
      <c r="B30" s="210" t="s">
        <v>400</v>
      </c>
      <c r="C30" s="207"/>
      <c r="D30" s="207"/>
      <c r="E30" s="12"/>
      <c r="F30" s="12"/>
      <c r="G30" s="12"/>
      <c r="H30" s="12"/>
      <c r="I30" s="12"/>
      <c r="J30" s="12"/>
      <c r="K30" s="12"/>
      <c r="L30" s="12"/>
      <c r="M30" s="12"/>
      <c r="N30" s="12"/>
      <c r="O30" s="12"/>
      <c r="P30" s="12"/>
      <c r="Q30" s="12"/>
      <c r="R30" s="12"/>
      <c r="S30" s="12"/>
      <c r="T30" s="12"/>
      <c r="U30" s="12"/>
      <c r="V30" s="12"/>
      <c r="W30" s="12"/>
    </row>
    <row r="31" ht="14.25" customHeight="1">
      <c r="A31" s="208" t="s">
        <v>401</v>
      </c>
      <c r="B31" s="210" t="s">
        <v>402</v>
      </c>
      <c r="C31" s="207"/>
      <c r="D31" s="207"/>
      <c r="E31" s="12"/>
      <c r="F31" s="12"/>
      <c r="G31" s="12"/>
      <c r="H31" s="12"/>
      <c r="I31" s="12"/>
      <c r="J31" s="12"/>
      <c r="K31" s="12"/>
      <c r="L31" s="12"/>
      <c r="M31" s="12"/>
      <c r="N31" s="12"/>
      <c r="O31" s="12"/>
      <c r="P31" s="12"/>
      <c r="Q31" s="12"/>
      <c r="R31" s="12"/>
      <c r="S31" s="12"/>
      <c r="T31" s="12"/>
      <c r="U31" s="12"/>
      <c r="V31" s="12"/>
      <c r="W31" s="12"/>
    </row>
    <row r="32" ht="14.25" customHeight="1">
      <c r="A32" s="208" t="s">
        <v>403</v>
      </c>
      <c r="B32" s="210" t="s">
        <v>404</v>
      </c>
      <c r="C32" s="207"/>
      <c r="D32" s="207"/>
      <c r="E32" s="12"/>
      <c r="F32" s="12"/>
      <c r="G32" s="12"/>
      <c r="H32" s="12"/>
      <c r="I32" s="12"/>
      <c r="J32" s="12"/>
      <c r="K32" s="12"/>
      <c r="L32" s="12"/>
      <c r="M32" s="12"/>
      <c r="N32" s="12"/>
      <c r="O32" s="12"/>
      <c r="P32" s="12"/>
      <c r="Q32" s="12"/>
      <c r="R32" s="12"/>
      <c r="S32" s="12"/>
      <c r="T32" s="12"/>
      <c r="U32" s="12"/>
      <c r="V32" s="12"/>
      <c r="W32" s="12"/>
    </row>
    <row r="33" ht="14.25" customHeight="1">
      <c r="A33" s="208" t="s">
        <v>405</v>
      </c>
      <c r="B33" s="209" t="s">
        <v>406</v>
      </c>
      <c r="C33" s="207"/>
      <c r="D33" s="207"/>
      <c r="E33" s="12"/>
      <c r="F33" s="12"/>
      <c r="G33" s="12"/>
      <c r="H33" s="12"/>
      <c r="I33" s="12"/>
      <c r="J33" s="12"/>
      <c r="K33" s="12"/>
      <c r="L33" s="12"/>
      <c r="M33" s="12"/>
      <c r="N33" s="12"/>
      <c r="O33" s="12"/>
      <c r="P33" s="12"/>
      <c r="Q33" s="12"/>
      <c r="R33" s="12"/>
      <c r="S33" s="12"/>
      <c r="T33" s="12"/>
      <c r="U33" s="12"/>
      <c r="V33" s="12"/>
      <c r="W33" s="12"/>
    </row>
    <row r="34" ht="14.25" customHeight="1">
      <c r="A34" s="208" t="s">
        <v>407</v>
      </c>
      <c r="B34" s="210" t="s">
        <v>408</v>
      </c>
      <c r="C34" s="207"/>
      <c r="D34" s="207"/>
      <c r="E34" s="12"/>
      <c r="F34" s="12"/>
      <c r="G34" s="12"/>
      <c r="H34" s="12"/>
      <c r="I34" s="12"/>
      <c r="J34" s="12"/>
      <c r="K34" s="12"/>
      <c r="L34" s="12"/>
      <c r="M34" s="12"/>
      <c r="N34" s="12"/>
      <c r="O34" s="12"/>
      <c r="P34" s="12"/>
      <c r="Q34" s="12"/>
      <c r="R34" s="12"/>
      <c r="S34" s="12"/>
      <c r="T34" s="12"/>
      <c r="U34" s="12"/>
      <c r="V34" s="12"/>
      <c r="W34" s="12"/>
    </row>
    <row r="35" ht="45.75" customHeight="1">
      <c r="A35" s="208" t="s">
        <v>409</v>
      </c>
      <c r="B35" s="210" t="s">
        <v>410</v>
      </c>
      <c r="C35" s="207"/>
      <c r="D35" s="207"/>
      <c r="E35" s="12"/>
      <c r="F35" s="12"/>
      <c r="G35" s="12"/>
      <c r="H35" s="12"/>
      <c r="I35" s="12"/>
      <c r="J35" s="12"/>
      <c r="K35" s="12"/>
      <c r="L35" s="12"/>
      <c r="M35" s="12"/>
      <c r="N35" s="12"/>
      <c r="O35" s="12"/>
      <c r="P35" s="12"/>
      <c r="Q35" s="12"/>
      <c r="R35" s="12"/>
      <c r="S35" s="12"/>
      <c r="T35" s="12"/>
      <c r="U35" s="12"/>
      <c r="V35" s="12"/>
      <c r="W35" s="12"/>
    </row>
    <row r="36" ht="110.25" customHeight="1">
      <c r="A36" s="208" t="s">
        <v>411</v>
      </c>
      <c r="B36" s="210" t="s">
        <v>412</v>
      </c>
      <c r="C36" s="207"/>
      <c r="D36" s="207"/>
      <c r="E36" s="12"/>
      <c r="F36" s="12"/>
      <c r="G36" s="12"/>
      <c r="H36" s="12"/>
      <c r="I36" s="12"/>
      <c r="J36" s="12"/>
      <c r="K36" s="12"/>
      <c r="L36" s="12"/>
      <c r="M36" s="12"/>
      <c r="N36" s="12"/>
      <c r="O36" s="12"/>
      <c r="P36" s="12"/>
      <c r="Q36" s="12"/>
      <c r="R36" s="12"/>
      <c r="S36" s="12"/>
      <c r="T36" s="12"/>
      <c r="U36" s="12"/>
      <c r="V36" s="12"/>
      <c r="W36" s="12"/>
    </row>
    <row r="37" ht="45.75" customHeight="1">
      <c r="A37" s="208" t="s">
        <v>413</v>
      </c>
      <c r="B37" s="210" t="s">
        <v>414</v>
      </c>
      <c r="C37" s="207"/>
      <c r="D37" s="207"/>
      <c r="E37" s="12"/>
      <c r="F37" s="12"/>
      <c r="G37" s="12"/>
      <c r="H37" s="12"/>
      <c r="I37" s="12"/>
      <c r="J37" s="12"/>
      <c r="K37" s="12"/>
      <c r="L37" s="12"/>
      <c r="M37" s="12"/>
      <c r="N37" s="12"/>
      <c r="O37" s="12"/>
      <c r="P37" s="12"/>
      <c r="Q37" s="12"/>
      <c r="R37" s="12"/>
      <c r="S37" s="12"/>
      <c r="T37" s="12"/>
      <c r="U37" s="12"/>
      <c r="V37" s="12"/>
      <c r="W37" s="12"/>
    </row>
    <row r="38" ht="47.25" customHeight="1">
      <c r="A38" s="208" t="s">
        <v>415</v>
      </c>
      <c r="B38" s="210" t="s">
        <v>416</v>
      </c>
      <c r="C38" s="207" t="s">
        <v>417</v>
      </c>
      <c r="D38" s="207"/>
      <c r="E38" s="12"/>
      <c r="F38" s="12"/>
      <c r="G38" s="12"/>
      <c r="H38" s="12"/>
      <c r="I38" s="12"/>
      <c r="J38" s="12"/>
      <c r="K38" s="12"/>
      <c r="L38" s="12"/>
      <c r="M38" s="12"/>
      <c r="N38" s="12"/>
      <c r="O38" s="12"/>
      <c r="P38" s="12"/>
      <c r="Q38" s="12"/>
      <c r="R38" s="12"/>
      <c r="S38" s="12"/>
      <c r="T38" s="12"/>
      <c r="U38" s="12"/>
      <c r="V38" s="12"/>
      <c r="W38" s="12"/>
    </row>
    <row r="39" ht="14.25" customHeight="1">
      <c r="A39" s="208" t="s">
        <v>418</v>
      </c>
      <c r="B39" s="210" t="s">
        <v>419</v>
      </c>
      <c r="C39" s="207" t="s">
        <v>420</v>
      </c>
      <c r="D39" s="207"/>
      <c r="E39" s="12"/>
      <c r="F39" s="12"/>
      <c r="G39" s="12"/>
      <c r="H39" s="12"/>
      <c r="I39" s="12"/>
      <c r="J39" s="12"/>
      <c r="K39" s="12"/>
      <c r="L39" s="12"/>
      <c r="M39" s="12"/>
      <c r="N39" s="12"/>
      <c r="O39" s="12"/>
      <c r="P39" s="12"/>
      <c r="Q39" s="12"/>
      <c r="R39" s="12"/>
      <c r="S39" s="12"/>
      <c r="T39" s="12"/>
      <c r="U39" s="12"/>
      <c r="V39" s="12"/>
      <c r="W39" s="12"/>
    </row>
    <row r="40" ht="14.25" customHeight="1">
      <c r="A40" s="208" t="s">
        <v>421</v>
      </c>
      <c r="B40" s="210" t="s">
        <v>422</v>
      </c>
      <c r="C40" s="207" t="s">
        <v>423</v>
      </c>
      <c r="D40" s="207"/>
      <c r="E40" s="12"/>
      <c r="F40" s="12"/>
      <c r="G40" s="12"/>
      <c r="H40" s="12"/>
      <c r="I40" s="12"/>
      <c r="J40" s="12"/>
      <c r="K40" s="12"/>
      <c r="L40" s="12"/>
      <c r="M40" s="12"/>
      <c r="N40" s="12"/>
      <c r="O40" s="12"/>
      <c r="P40" s="12"/>
      <c r="Q40" s="12"/>
      <c r="R40" s="12"/>
      <c r="S40" s="12"/>
      <c r="T40" s="12"/>
      <c r="U40" s="12"/>
      <c r="V40" s="12"/>
      <c r="W40" s="12"/>
      <c r="X40" s="12"/>
    </row>
    <row r="41" ht="15.75" customHeight="1">
      <c r="A41" s="208" t="s">
        <v>424</v>
      </c>
      <c r="B41" s="210" t="s">
        <v>425</v>
      </c>
      <c r="C41" s="207" t="s">
        <v>426</v>
      </c>
      <c r="D41" s="207"/>
      <c r="E41" s="12"/>
      <c r="F41" s="12"/>
      <c r="G41" s="12"/>
      <c r="H41" s="12"/>
      <c r="I41" s="12"/>
      <c r="J41" s="12"/>
      <c r="K41" s="12"/>
      <c r="L41" s="12"/>
      <c r="M41" s="12"/>
      <c r="N41" s="12"/>
      <c r="O41" s="12"/>
      <c r="P41" s="12"/>
      <c r="Q41" s="12"/>
      <c r="R41" s="12"/>
      <c r="S41" s="12"/>
      <c r="T41" s="12"/>
      <c r="U41" s="12"/>
      <c r="V41" s="12"/>
      <c r="W41" s="12"/>
      <c r="X41" s="12"/>
    </row>
    <row r="42" ht="15.75" customHeight="1">
      <c r="A42" s="208" t="s">
        <v>427</v>
      </c>
      <c r="B42" s="210" t="s">
        <v>428</v>
      </c>
      <c r="C42" s="207" t="s">
        <v>429</v>
      </c>
      <c r="D42" s="207"/>
      <c r="E42" s="12"/>
      <c r="F42" s="12"/>
      <c r="G42" s="12"/>
      <c r="H42" s="12"/>
      <c r="I42" s="12"/>
      <c r="J42" s="12"/>
      <c r="K42" s="12"/>
      <c r="L42" s="12"/>
      <c r="M42" s="12"/>
      <c r="N42" s="12"/>
      <c r="O42" s="12"/>
      <c r="P42" s="12"/>
      <c r="Q42" s="12"/>
      <c r="R42" s="12"/>
      <c r="S42" s="12"/>
      <c r="T42" s="12"/>
      <c r="U42" s="12"/>
      <c r="V42" s="12"/>
      <c r="W42" s="12"/>
      <c r="X42" s="12"/>
    </row>
    <row r="43" ht="15.75" customHeight="1">
      <c r="A43" s="208" t="s">
        <v>430</v>
      </c>
      <c r="B43" s="210" t="s">
        <v>431</v>
      </c>
      <c r="C43" s="207" t="s">
        <v>432</v>
      </c>
      <c r="D43" s="207"/>
      <c r="E43" s="12"/>
      <c r="F43" s="12"/>
      <c r="G43" s="12"/>
      <c r="H43" s="12"/>
      <c r="I43" s="12"/>
      <c r="J43" s="12"/>
      <c r="K43" s="12"/>
      <c r="L43" s="12"/>
      <c r="M43" s="12"/>
      <c r="N43" s="12"/>
      <c r="O43" s="12"/>
      <c r="P43" s="12"/>
      <c r="Q43" s="12"/>
      <c r="R43" s="12"/>
      <c r="S43" s="12"/>
      <c r="T43" s="12"/>
      <c r="U43" s="12"/>
      <c r="V43" s="12"/>
      <c r="W43" s="12"/>
      <c r="X43" s="12"/>
    </row>
    <row r="44" ht="15.75" customHeight="1">
      <c r="A44" s="208" t="s">
        <v>433</v>
      </c>
      <c r="B44" s="210" t="s">
        <v>434</v>
      </c>
      <c r="C44" s="207" t="s">
        <v>435</v>
      </c>
      <c r="D44" s="211" t="s">
        <v>436</v>
      </c>
      <c r="E44" s="12"/>
      <c r="F44" s="12"/>
      <c r="G44" s="12"/>
      <c r="H44" s="12"/>
      <c r="I44" s="12"/>
      <c r="J44" s="12"/>
      <c r="K44" s="12"/>
      <c r="L44" s="12"/>
      <c r="M44" s="12"/>
      <c r="N44" s="12"/>
      <c r="O44" s="12"/>
      <c r="P44" s="12"/>
      <c r="Q44" s="12"/>
      <c r="R44" s="12"/>
      <c r="S44" s="12"/>
      <c r="T44" s="12"/>
      <c r="U44" s="12"/>
      <c r="V44" s="12"/>
      <c r="W44" s="12"/>
      <c r="X44" s="12"/>
    </row>
    <row r="45" ht="48.0" customHeight="1">
      <c r="A45" s="208" t="s">
        <v>437</v>
      </c>
      <c r="B45" s="210" t="s">
        <v>438</v>
      </c>
      <c r="C45" s="207" t="s">
        <v>439</v>
      </c>
      <c r="D45" s="207"/>
      <c r="E45" s="12"/>
      <c r="F45" s="12"/>
      <c r="G45" s="12"/>
      <c r="H45" s="12"/>
      <c r="I45" s="12"/>
      <c r="J45" s="12"/>
      <c r="K45" s="12"/>
      <c r="L45" s="12"/>
      <c r="M45" s="12"/>
      <c r="N45" s="12"/>
      <c r="O45" s="12"/>
      <c r="P45" s="12"/>
      <c r="Q45" s="12"/>
      <c r="R45" s="12"/>
      <c r="S45" s="12"/>
      <c r="T45" s="12"/>
      <c r="U45" s="12"/>
      <c r="V45" s="12"/>
      <c r="W45" s="12"/>
      <c r="X45" s="12"/>
    </row>
    <row r="46" ht="15.75" customHeight="1">
      <c r="A46" s="208" t="s">
        <v>440</v>
      </c>
      <c r="B46" s="210" t="s">
        <v>441</v>
      </c>
      <c r="C46" s="207" t="s">
        <v>442</v>
      </c>
      <c r="D46" s="211"/>
      <c r="E46" s="12"/>
      <c r="F46" s="12"/>
      <c r="G46" s="12"/>
      <c r="H46" s="12"/>
      <c r="I46" s="12"/>
      <c r="J46" s="12"/>
      <c r="K46" s="12"/>
      <c r="L46" s="12"/>
      <c r="M46" s="12"/>
      <c r="N46" s="12"/>
      <c r="O46" s="12"/>
      <c r="P46" s="12"/>
      <c r="Q46" s="12"/>
      <c r="R46" s="12"/>
      <c r="S46" s="12"/>
      <c r="T46" s="12"/>
      <c r="U46" s="12"/>
      <c r="V46" s="12"/>
      <c r="W46" s="12"/>
      <c r="X46" s="12"/>
    </row>
    <row r="47" ht="15.75" customHeight="1">
      <c r="A47" s="208" t="s">
        <v>443</v>
      </c>
      <c r="B47" s="210" t="s">
        <v>444</v>
      </c>
      <c r="C47" s="207" t="s">
        <v>445</v>
      </c>
      <c r="D47" s="207"/>
      <c r="E47" s="12"/>
      <c r="F47" s="12"/>
      <c r="G47" s="12"/>
      <c r="H47" s="12"/>
      <c r="I47" s="12"/>
      <c r="J47" s="12"/>
      <c r="K47" s="12"/>
      <c r="L47" s="12"/>
      <c r="M47" s="12"/>
      <c r="N47" s="12"/>
      <c r="O47" s="12"/>
      <c r="P47" s="12"/>
      <c r="Q47" s="12"/>
      <c r="R47" s="12"/>
      <c r="S47" s="12"/>
      <c r="T47" s="12"/>
      <c r="U47" s="12"/>
      <c r="V47" s="12"/>
      <c r="W47" s="12"/>
      <c r="X47" s="12"/>
    </row>
    <row r="48" ht="15.75" customHeight="1">
      <c r="A48" s="208" t="s">
        <v>446</v>
      </c>
      <c r="B48" s="210" t="s">
        <v>447</v>
      </c>
      <c r="C48" s="207" t="s">
        <v>448</v>
      </c>
      <c r="D48" s="207"/>
      <c r="E48" s="12"/>
      <c r="F48" s="12"/>
      <c r="G48" s="12"/>
      <c r="H48" s="12"/>
      <c r="I48" s="12"/>
      <c r="J48" s="12"/>
      <c r="K48" s="12"/>
      <c r="L48" s="12"/>
      <c r="M48" s="12"/>
      <c r="N48" s="12"/>
      <c r="O48" s="12"/>
      <c r="P48" s="12"/>
      <c r="Q48" s="12"/>
      <c r="R48" s="12"/>
      <c r="S48" s="12"/>
      <c r="T48" s="12"/>
      <c r="U48" s="12"/>
      <c r="V48" s="12"/>
      <c r="W48" s="12"/>
      <c r="X48" s="12"/>
    </row>
    <row r="49" ht="15.75" customHeight="1">
      <c r="A49" s="208" t="s">
        <v>449</v>
      </c>
      <c r="B49" s="210" t="s">
        <v>450</v>
      </c>
      <c r="C49" s="207" t="s">
        <v>451</v>
      </c>
      <c r="D49" s="207"/>
      <c r="E49" s="12"/>
      <c r="F49" s="12"/>
      <c r="G49" s="12"/>
      <c r="H49" s="12"/>
      <c r="I49" s="12"/>
      <c r="J49" s="12"/>
      <c r="K49" s="12"/>
      <c r="L49" s="12"/>
      <c r="M49" s="12"/>
      <c r="N49" s="12"/>
      <c r="O49" s="12"/>
      <c r="P49" s="12"/>
      <c r="Q49" s="12"/>
      <c r="R49" s="12"/>
      <c r="S49" s="12"/>
      <c r="T49" s="12"/>
      <c r="U49" s="12"/>
      <c r="V49" s="12"/>
      <c r="W49" s="12"/>
      <c r="X49" s="12"/>
    </row>
    <row r="50" ht="15.75" customHeight="1">
      <c r="A50" s="208" t="s">
        <v>452</v>
      </c>
      <c r="B50" s="210" t="s">
        <v>453</v>
      </c>
      <c r="C50" s="207"/>
      <c r="D50" s="211" t="s">
        <v>436</v>
      </c>
      <c r="E50" s="12"/>
      <c r="F50" s="12"/>
      <c r="G50" s="12"/>
      <c r="H50" s="12"/>
      <c r="I50" s="12"/>
      <c r="J50" s="12"/>
      <c r="K50" s="12"/>
      <c r="L50" s="12"/>
      <c r="M50" s="12"/>
      <c r="N50" s="12"/>
      <c r="O50" s="12"/>
      <c r="P50" s="12"/>
      <c r="Q50" s="12"/>
      <c r="R50" s="12"/>
      <c r="S50" s="12"/>
      <c r="T50" s="12"/>
      <c r="U50" s="12"/>
      <c r="V50" s="12"/>
      <c r="W50" s="12"/>
      <c r="X50" s="12"/>
    </row>
    <row r="51" ht="14.25" customHeight="1">
      <c r="A51" s="12"/>
      <c r="B51" s="12"/>
      <c r="C51" s="12"/>
      <c r="D51" s="12"/>
      <c r="E51" s="12"/>
      <c r="F51" s="12"/>
      <c r="G51" s="12"/>
      <c r="H51" s="12"/>
      <c r="I51" s="12"/>
      <c r="J51" s="12"/>
      <c r="K51" s="12"/>
      <c r="L51" s="12"/>
      <c r="M51" s="12"/>
      <c r="N51" s="12"/>
      <c r="O51" s="12"/>
      <c r="P51" s="12"/>
      <c r="Q51" s="12"/>
      <c r="R51" s="12"/>
      <c r="S51" s="12"/>
      <c r="T51" s="12"/>
      <c r="U51" s="12"/>
      <c r="V51" s="12"/>
      <c r="W51" s="12"/>
      <c r="X51" s="12"/>
    </row>
    <row r="52" ht="14.25" customHeight="1">
      <c r="A52" s="12"/>
      <c r="B52" s="12"/>
      <c r="C52" s="12"/>
      <c r="D52" s="12"/>
      <c r="E52" s="12"/>
      <c r="F52" s="12"/>
      <c r="G52" s="12"/>
      <c r="H52" s="12"/>
      <c r="I52" s="12"/>
      <c r="J52" s="12"/>
      <c r="K52" s="12"/>
      <c r="L52" s="12"/>
      <c r="M52" s="12"/>
      <c r="N52" s="12"/>
      <c r="O52" s="12"/>
      <c r="P52" s="12"/>
      <c r="Q52" s="12"/>
      <c r="R52" s="12"/>
      <c r="S52" s="12"/>
      <c r="T52" s="12"/>
      <c r="U52" s="12"/>
      <c r="V52" s="12"/>
      <c r="W52" s="12"/>
      <c r="X52" s="12"/>
    </row>
    <row r="53" ht="14.25" customHeight="1">
      <c r="A53" s="12"/>
      <c r="B53" s="12"/>
      <c r="C53" s="12"/>
      <c r="D53" s="12"/>
      <c r="E53" s="12"/>
      <c r="F53" s="12"/>
      <c r="G53" s="12"/>
      <c r="H53" s="12"/>
      <c r="I53" s="12"/>
      <c r="J53" s="12"/>
      <c r="K53" s="12"/>
      <c r="L53" s="12"/>
      <c r="M53" s="12"/>
      <c r="N53" s="12"/>
      <c r="O53" s="12"/>
      <c r="P53" s="12"/>
      <c r="Q53" s="12"/>
      <c r="R53" s="12"/>
      <c r="S53" s="12"/>
      <c r="T53" s="12"/>
      <c r="U53" s="12"/>
      <c r="V53" s="12"/>
      <c r="W53" s="12"/>
      <c r="X53" s="12"/>
    </row>
    <row r="54" ht="14.25" customHeight="1">
      <c r="A54" s="12"/>
      <c r="B54" s="12"/>
      <c r="C54" s="12"/>
      <c r="D54" s="12"/>
      <c r="E54" s="12"/>
      <c r="F54" s="12"/>
      <c r="G54" s="12"/>
      <c r="H54" s="12"/>
      <c r="I54" s="12"/>
      <c r="J54" s="12"/>
      <c r="K54" s="12"/>
      <c r="L54" s="12"/>
      <c r="M54" s="12"/>
      <c r="N54" s="12"/>
      <c r="O54" s="12"/>
      <c r="P54" s="12"/>
      <c r="Q54" s="12"/>
      <c r="R54" s="12"/>
      <c r="S54" s="12"/>
      <c r="T54" s="12"/>
      <c r="U54" s="12"/>
      <c r="V54" s="12"/>
      <c r="W54" s="12"/>
      <c r="X54" s="12"/>
    </row>
    <row r="55" ht="14.25" customHeight="1">
      <c r="A55" s="12"/>
      <c r="B55" s="12"/>
      <c r="C55" s="12"/>
      <c r="D55" s="12"/>
      <c r="E55" s="12"/>
      <c r="F55" s="12"/>
      <c r="G55" s="12"/>
      <c r="H55" s="12"/>
      <c r="I55" s="12"/>
      <c r="J55" s="12"/>
      <c r="K55" s="12"/>
      <c r="L55" s="12"/>
      <c r="M55" s="12"/>
      <c r="N55" s="12"/>
      <c r="O55" s="12"/>
      <c r="P55" s="12"/>
      <c r="Q55" s="12"/>
      <c r="R55" s="12"/>
      <c r="S55" s="12"/>
      <c r="T55" s="12"/>
      <c r="U55" s="12"/>
      <c r="V55" s="12"/>
      <c r="W55" s="12"/>
      <c r="X55" s="12"/>
    </row>
    <row r="56" ht="14.25" customHeight="1">
      <c r="A56" s="12"/>
      <c r="B56" s="12"/>
      <c r="C56" s="12"/>
      <c r="D56" s="12"/>
      <c r="E56" s="12"/>
      <c r="F56" s="12"/>
      <c r="G56" s="12"/>
      <c r="H56" s="12"/>
      <c r="I56" s="12"/>
      <c r="J56" s="12"/>
      <c r="K56" s="12"/>
      <c r="L56" s="12"/>
      <c r="M56" s="12"/>
      <c r="N56" s="12"/>
      <c r="O56" s="12"/>
      <c r="P56" s="12"/>
      <c r="Q56" s="12"/>
      <c r="R56" s="12"/>
      <c r="S56" s="12"/>
      <c r="T56" s="12"/>
      <c r="U56" s="12"/>
      <c r="V56" s="12"/>
      <c r="W56" s="12"/>
      <c r="X56" s="12"/>
    </row>
    <row r="57" ht="14.25" customHeight="1">
      <c r="A57" s="12"/>
      <c r="B57" s="12"/>
      <c r="C57" s="12"/>
      <c r="D57" s="12"/>
      <c r="E57" s="12"/>
      <c r="F57" s="12"/>
      <c r="G57" s="12"/>
      <c r="H57" s="12"/>
      <c r="I57" s="12"/>
      <c r="J57" s="12"/>
      <c r="K57" s="12"/>
      <c r="L57" s="12"/>
      <c r="M57" s="12"/>
      <c r="N57" s="12"/>
      <c r="O57" s="12"/>
      <c r="P57" s="12"/>
      <c r="Q57" s="12"/>
      <c r="R57" s="12"/>
      <c r="S57" s="12"/>
      <c r="T57" s="12"/>
      <c r="U57" s="12"/>
      <c r="V57" s="12"/>
      <c r="W57" s="12"/>
      <c r="X57" s="12"/>
    </row>
    <row r="58" ht="14.2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row>
    <row r="59" ht="14.2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row>
    <row r="60" ht="14.2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row>
    <row r="61" ht="14.2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row>
    <row r="62" ht="14.2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row>
    <row r="63" ht="14.2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row>
    <row r="64" ht="14.2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row>
    <row r="65" ht="14.2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row>
    <row r="66" ht="14.2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row>
    <row r="67" ht="14.2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row>
    <row r="68" ht="14.2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row>
    <row r="69" ht="14.2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row>
    <row r="70" ht="14.2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row>
    <row r="71" ht="14.2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row>
    <row r="72" ht="14.2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row>
    <row r="73" ht="14.2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row>
    <row r="74" ht="14.2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row>
    <row r="75" ht="14.2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row>
    <row r="76" ht="14.2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row>
    <row r="77" ht="14.2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row>
    <row r="78" ht="14.2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row>
    <row r="79" ht="14.2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row>
    <row r="80" ht="14.2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row>
    <row r="81" ht="14.2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row>
    <row r="82" ht="14.2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row>
    <row r="83" ht="14.2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row>
    <row r="84" ht="14.2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row>
    <row r="85" ht="14.2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row>
    <row r="86" ht="14.2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row>
    <row r="87" ht="14.2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row>
    <row r="88" ht="14.2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row>
    <row r="89" ht="14.2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row>
    <row r="90" ht="14.2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row>
    <row r="91" ht="14.2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row>
    <row r="92" ht="14.2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row>
    <row r="93" ht="14.2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row>
    <row r="94" ht="14.2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row>
    <row r="95" ht="14.2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row>
    <row r="96" ht="14.2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row>
    <row r="97" ht="14.2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row>
    <row r="98" ht="14.2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row>
    <row r="99" ht="14.2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row>
    <row r="100" ht="14.2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row>
    <row r="101" ht="14.2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row>
    <row r="102" ht="14.2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row>
    <row r="103" ht="14.2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row>
    <row r="104" ht="14.2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row>
    <row r="105" ht="14.2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row>
    <row r="106" ht="14.2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ht="14.2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row>
    <row r="108" ht="14.2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row>
    <row r="109" ht="14.2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row>
    <row r="110" ht="14.2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row>
    <row r="111" ht="14.2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row>
    <row r="112" ht="14.2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row>
    <row r="113" ht="14.2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row>
    <row r="114" ht="14.2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row>
    <row r="115" ht="14.2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row>
    <row r="116" ht="14.2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row>
    <row r="117" ht="14.2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row>
    <row r="118" ht="14.2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row>
    <row r="119" ht="14.2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row>
    <row r="120" ht="14.2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row>
    <row r="121" ht="14.2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row>
    <row r="122" ht="14.2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row>
    <row r="123" ht="14.2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row>
    <row r="124" ht="14.2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row>
    <row r="125" ht="14.2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row>
    <row r="126" ht="14.2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row>
    <row r="127" ht="14.2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row>
    <row r="128" ht="14.2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row>
    <row r="129" ht="14.2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row>
    <row r="130" ht="14.2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row>
    <row r="131" ht="14.2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row>
    <row r="132" ht="14.2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ht="14.2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row>
    <row r="134" ht="14.2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row>
    <row r="135" ht="14.2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row>
    <row r="136" ht="14.2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row>
    <row r="137" ht="14.2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row>
    <row r="138" ht="14.2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row>
    <row r="139" ht="14.2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row>
    <row r="140" ht="14.2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row>
    <row r="141" ht="14.2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row>
    <row r="142" ht="14.2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row>
    <row r="143" ht="14.2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row>
    <row r="144" ht="14.2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row>
    <row r="145" ht="14.2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row>
    <row r="146" ht="14.2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row>
    <row r="147" ht="14.2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row>
    <row r="148" ht="14.2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row>
    <row r="149" ht="14.2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row>
    <row r="150" ht="14.2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row>
    <row r="151" ht="14.2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row>
    <row r="152" ht="14.2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row>
    <row r="153" ht="14.2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row>
    <row r="154" ht="14.2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row>
    <row r="155" ht="14.2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row>
    <row r="156" ht="14.2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row>
    <row r="157" ht="14.2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row>
    <row r="158" ht="14.2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row>
    <row r="159" ht="14.2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row>
    <row r="160" ht="14.2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row>
    <row r="161" ht="14.2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row>
    <row r="162" ht="14.2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row>
    <row r="163" ht="14.2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row>
    <row r="164" ht="14.2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row>
    <row r="165" ht="14.2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row>
    <row r="166" ht="14.2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row>
    <row r="167" ht="14.2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row>
    <row r="168" ht="14.2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row>
    <row r="169" ht="14.2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row>
    <row r="170" ht="14.2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row>
    <row r="171" ht="14.2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row>
    <row r="172" ht="14.2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row>
    <row r="173" ht="14.2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row>
    <row r="174" ht="14.2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row>
    <row r="175" ht="14.2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row>
    <row r="176" ht="14.2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row>
    <row r="177" ht="14.2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ht="14.2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ht="14.2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row>
    <row r="180" ht="14.2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row>
    <row r="181" ht="14.2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row>
    <row r="182" ht="14.2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row>
    <row r="183" ht="14.2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row>
    <row r="184" ht="14.2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row>
    <row r="185" ht="14.2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row>
    <row r="186" ht="14.2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row>
    <row r="187" ht="14.2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row>
    <row r="188" ht="14.2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row>
    <row r="189" ht="14.2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row>
    <row r="190" ht="14.2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row>
    <row r="191" ht="14.2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row>
    <row r="192" ht="14.2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row>
    <row r="193" ht="14.2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row>
    <row r="194" ht="14.2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row>
    <row r="195" ht="14.2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row>
    <row r="196" ht="14.2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row>
    <row r="197" ht="14.2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row>
    <row r="198" ht="14.2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row>
    <row r="199" ht="14.2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row>
    <row r="200" ht="14.2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row>
    <row r="201" ht="14.2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row>
    <row r="202" ht="14.2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row>
    <row r="203" ht="14.2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row>
    <row r="204" ht="14.2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row>
    <row r="205" ht="14.2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row>
    <row r="206" ht="14.2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row>
    <row r="207" ht="14.2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row>
    <row r="208" ht="14.2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row>
    <row r="209" ht="14.2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row>
    <row r="210" ht="14.2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row>
    <row r="211" ht="14.2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row>
    <row r="212" ht="14.2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row>
    <row r="213" ht="14.2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row>
    <row r="214" ht="14.2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row>
    <row r="215" ht="14.2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row>
    <row r="216" ht="14.2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row>
    <row r="217" ht="14.2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row>
    <row r="218" ht="14.2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row>
    <row r="219" ht="14.2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row>
    <row r="220" ht="14.2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row>
    <row r="221" ht="14.2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row>
    <row r="222" ht="14.2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row>
    <row r="223" ht="14.2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row>
    <row r="224" ht="14.2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row>
    <row r="225" ht="14.2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row>
    <row r="226" ht="14.2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row>
    <row r="227" ht="14.2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row>
    <row r="228" ht="14.2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row>
    <row r="229" ht="14.2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row>
    <row r="230" ht="14.2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ht="14.2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row>
    <row r="232" ht="14.2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row>
    <row r="233" ht="14.2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row>
    <row r="234" ht="14.2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row>
    <row r="235" ht="14.2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ht="14.2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row>
    <row r="237" ht="14.2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row>
    <row r="238" ht="14.2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row>
    <row r="239" ht="14.2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row>
    <row r="240" ht="14.2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row>
    <row r="241" ht="14.2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row>
    <row r="242" ht="14.2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row>
    <row r="243" ht="14.2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row>
    <row r="244" ht="14.2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row>
    <row r="245" ht="14.2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row>
    <row r="246" ht="14.2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row>
    <row r="247" ht="15.7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row>
    <row r="248" ht="15.7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row>
    <row r="249" ht="15.7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row>
    <row r="250" ht="15.7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row>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B$36"/>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5"/>
    <col customWidth="1" min="2" max="2" width="25.38"/>
    <col customWidth="1" min="3" max="6" width="7.63"/>
  </cols>
  <sheetData>
    <row r="1" ht="14.25" customHeight="1">
      <c r="A1" s="212" t="s">
        <v>309</v>
      </c>
      <c r="B1" s="212" t="s">
        <v>143</v>
      </c>
    </row>
    <row r="2" ht="14.25" customHeight="1">
      <c r="A2" s="213">
        <v>1.0</v>
      </c>
      <c r="B2" s="213" t="s">
        <v>454</v>
      </c>
    </row>
    <row r="3" ht="14.25" customHeight="1">
      <c r="A3" s="213">
        <v>2.0</v>
      </c>
      <c r="B3" s="213" t="s">
        <v>455</v>
      </c>
    </row>
    <row r="4" ht="14.25" customHeight="1">
      <c r="A4" s="213">
        <v>3.0</v>
      </c>
      <c r="B4" s="213" t="s">
        <v>456</v>
      </c>
    </row>
    <row r="5" ht="14.25" customHeight="1">
      <c r="A5" s="213">
        <v>4.0</v>
      </c>
      <c r="B5" s="213" t="s">
        <v>457</v>
      </c>
    </row>
    <row r="6" ht="14.25" customHeight="1">
      <c r="A6" s="213">
        <v>5.0</v>
      </c>
      <c r="B6" s="213" t="s">
        <v>458</v>
      </c>
    </row>
    <row r="7" ht="14.25" customHeight="1">
      <c r="A7" s="213">
        <v>6.0</v>
      </c>
      <c r="B7" s="213" t="s">
        <v>459</v>
      </c>
    </row>
    <row r="8" ht="14.25" customHeight="1">
      <c r="A8" s="213">
        <v>7.0</v>
      </c>
      <c r="B8" s="213" t="s">
        <v>460</v>
      </c>
    </row>
    <row r="9" ht="14.25" customHeight="1">
      <c r="A9" s="213">
        <v>8.0</v>
      </c>
      <c r="B9" s="213" t="s">
        <v>461</v>
      </c>
    </row>
    <row r="10" ht="14.25" customHeight="1">
      <c r="A10" s="213">
        <v>9.0</v>
      </c>
      <c r="B10" s="213" t="s">
        <v>462</v>
      </c>
    </row>
    <row r="11" ht="14.25" customHeight="1">
      <c r="A11" s="213">
        <v>10.0</v>
      </c>
      <c r="B11" s="213" t="s">
        <v>463</v>
      </c>
    </row>
    <row r="12" ht="14.25" customHeight="1">
      <c r="A12" s="213">
        <v>11.0</v>
      </c>
      <c r="B12" s="213" t="s">
        <v>432</v>
      </c>
    </row>
    <row r="13" ht="14.25" customHeight="1">
      <c r="A13" s="213">
        <v>12.0</v>
      </c>
      <c r="B13" s="213" t="s">
        <v>464</v>
      </c>
    </row>
    <row r="14" ht="14.25" customHeight="1">
      <c r="A14" s="213">
        <v>13.0</v>
      </c>
      <c r="B14" s="213" t="s">
        <v>465</v>
      </c>
    </row>
    <row r="15" ht="14.25" customHeight="1">
      <c r="A15" s="213">
        <v>14.0</v>
      </c>
      <c r="B15" s="213" t="s">
        <v>422</v>
      </c>
    </row>
    <row r="16" ht="14.25" customHeight="1">
      <c r="A16" s="213">
        <v>15.0</v>
      </c>
      <c r="B16" s="213" t="s">
        <v>420</v>
      </c>
    </row>
    <row r="17" ht="14.25" customHeight="1">
      <c r="A17" s="213">
        <v>16.0</v>
      </c>
      <c r="B17" s="213" t="s">
        <v>466</v>
      </c>
    </row>
    <row r="18" ht="14.25" customHeight="1">
      <c r="A18" s="213">
        <v>17.0</v>
      </c>
      <c r="B18" s="213" t="s">
        <v>467</v>
      </c>
    </row>
    <row r="19" ht="14.25" customHeight="1">
      <c r="A19" s="213">
        <v>18.0</v>
      </c>
      <c r="B19" s="213" t="s">
        <v>468</v>
      </c>
    </row>
    <row r="20" ht="14.25" customHeight="1">
      <c r="A20" s="213">
        <v>19.0</v>
      </c>
      <c r="B20" s="213" t="s">
        <v>469</v>
      </c>
    </row>
    <row r="21" ht="14.25" customHeight="1">
      <c r="A21" s="213">
        <v>20.0</v>
      </c>
      <c r="B21" s="213" t="s">
        <v>470</v>
      </c>
    </row>
    <row r="22" ht="14.25" customHeight="1">
      <c r="A22" s="213">
        <v>21.0</v>
      </c>
      <c r="B22" s="213" t="s">
        <v>471</v>
      </c>
    </row>
    <row r="23" ht="14.25" customHeight="1">
      <c r="A23" s="213">
        <v>22.0</v>
      </c>
      <c r="B23" s="213" t="s">
        <v>472</v>
      </c>
    </row>
    <row r="24" ht="14.25" customHeight="1">
      <c r="A24" s="213">
        <v>23.0</v>
      </c>
      <c r="B24" s="213" t="s">
        <v>473</v>
      </c>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ht="15.0" customHeight="1">
      <c r="A1" s="212" t="s">
        <v>309</v>
      </c>
      <c r="B1" s="212" t="s">
        <v>143</v>
      </c>
    </row>
    <row r="2">
      <c r="A2" s="213">
        <v>1.0</v>
      </c>
      <c r="B2" s="213" t="s">
        <v>474</v>
      </c>
    </row>
    <row r="3">
      <c r="A3" s="213">
        <v>2.0</v>
      </c>
      <c r="B3" s="213" t="s">
        <v>422</v>
      </c>
    </row>
    <row r="4">
      <c r="A4" s="213">
        <v>3.0</v>
      </c>
      <c r="B4" s="213" t="s">
        <v>475</v>
      </c>
    </row>
    <row r="5">
      <c r="A5" s="213">
        <v>4.0</v>
      </c>
      <c r="B5" s="213" t="s">
        <v>476</v>
      </c>
    </row>
    <row r="6">
      <c r="A6" s="213">
        <v>5.0</v>
      </c>
      <c r="B6" s="213" t="s">
        <v>477</v>
      </c>
    </row>
    <row r="7">
      <c r="A7" s="36"/>
    </row>
    <row r="8">
      <c r="A8" s="36"/>
    </row>
    <row r="9">
      <c r="A9" s="36"/>
    </row>
    <row r="10">
      <c r="A10" s="3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c r="A1" s="36" t="s">
        <v>478</v>
      </c>
    </row>
    <row r="3">
      <c r="A3" s="36" t="s">
        <v>101</v>
      </c>
      <c r="B3" s="36" t="s">
        <v>479</v>
      </c>
    </row>
    <row r="4">
      <c r="A4" s="36">
        <v>10.0</v>
      </c>
      <c r="B4" s="214">
        <v>0.3</v>
      </c>
    </row>
    <row r="5">
      <c r="A5" s="36">
        <v>11.0</v>
      </c>
      <c r="B5" s="214">
        <v>0.33</v>
      </c>
    </row>
    <row r="6">
      <c r="A6" s="36">
        <v>12.0</v>
      </c>
      <c r="B6" s="214">
        <v>0.36</v>
      </c>
    </row>
    <row r="7">
      <c r="A7" s="36">
        <v>13.0</v>
      </c>
      <c r="B7" s="214">
        <v>0.39</v>
      </c>
    </row>
    <row r="8">
      <c r="A8" s="36">
        <v>14.0</v>
      </c>
      <c r="B8" s="214">
        <v>0.42</v>
      </c>
    </row>
    <row r="9">
      <c r="A9" s="36">
        <v>15.0</v>
      </c>
      <c r="B9" s="214">
        <v>0.45</v>
      </c>
    </row>
    <row r="10">
      <c r="A10" s="36">
        <v>16.0</v>
      </c>
      <c r="B10" s="214">
        <v>0.48</v>
      </c>
    </row>
    <row r="11">
      <c r="A11" s="36">
        <v>17.0</v>
      </c>
      <c r="B11" s="214">
        <v>0.51</v>
      </c>
    </row>
    <row r="12">
      <c r="A12" s="36">
        <v>18.0</v>
      </c>
      <c r="B12" s="214">
        <v>0.54</v>
      </c>
    </row>
    <row r="13">
      <c r="A13" s="36">
        <v>19.0</v>
      </c>
      <c r="B13" s="214">
        <v>0.57</v>
      </c>
    </row>
    <row r="14">
      <c r="A14" s="36">
        <v>20.0</v>
      </c>
      <c r="B14" s="214">
        <v>0.6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0"/>
  <cols>
    <col customWidth="1" min="1" max="1" width="35.0"/>
    <col customWidth="1" min="2" max="2" width="1.25"/>
    <col customWidth="1" min="3" max="3" width="40.13"/>
    <col customWidth="1" min="4" max="4" width="13.25"/>
    <col customWidth="1" min="5" max="5" width="20.13"/>
    <col customWidth="1" min="6" max="6" width="15.88"/>
    <col customWidth="1" min="7" max="7" width="23.63"/>
    <col customWidth="1" min="8" max="8" width="14.13"/>
    <col customWidth="1" min="9" max="9" width="15.38"/>
    <col customWidth="1" min="10" max="10" width="11.63"/>
    <col customWidth="1" min="11" max="11" width="11.25"/>
    <col customWidth="1" min="12" max="12" width="12.38"/>
    <col customWidth="1" min="13" max="18" width="11.0"/>
    <col customWidth="1" min="19" max="19" width="12.5"/>
    <col customWidth="1" min="20" max="20" width="11.0"/>
    <col customWidth="1" min="21" max="23" width="7.63"/>
    <col customWidth="1" min="24" max="24" width="12.13"/>
    <col customWidth="1" min="25" max="25" width="15.38"/>
    <col customWidth="1" min="26" max="26" width="9.88"/>
    <col customWidth="1" min="27" max="29" width="7.63"/>
    <col customWidth="1" min="30" max="30" width="30.13"/>
    <col customWidth="1" min="31" max="31" width="9.5"/>
    <col customWidth="1" min="32" max="32" width="36.0"/>
    <col customWidth="1" min="33" max="33" width="7.63"/>
    <col customWidth="1" min="34" max="36" width="12.63"/>
  </cols>
  <sheetData>
    <row r="1" ht="14.25" customHeight="1">
      <c r="A1" s="215" t="s">
        <v>480</v>
      </c>
      <c r="B1" s="216" t="s">
        <v>481</v>
      </c>
      <c r="C1" s="216" t="s">
        <v>482</v>
      </c>
      <c r="D1" s="216" t="s">
        <v>481</v>
      </c>
      <c r="E1" s="217" t="s">
        <v>483</v>
      </c>
      <c r="F1" s="69"/>
      <c r="G1" s="216" t="s">
        <v>484</v>
      </c>
      <c r="H1" s="218" t="s">
        <v>485</v>
      </c>
      <c r="I1" s="218" t="s">
        <v>486</v>
      </c>
      <c r="J1" s="219" t="s">
        <v>487</v>
      </c>
      <c r="K1" s="219" t="s">
        <v>488</v>
      </c>
      <c r="L1" s="219" t="s">
        <v>489</v>
      </c>
      <c r="M1" s="219" t="s">
        <v>490</v>
      </c>
      <c r="N1" s="219" t="s">
        <v>491</v>
      </c>
      <c r="O1" s="219" t="s">
        <v>492</v>
      </c>
      <c r="P1" s="219" t="s">
        <v>491</v>
      </c>
      <c r="Q1" s="219" t="s">
        <v>458</v>
      </c>
      <c r="R1" s="219" t="s">
        <v>219</v>
      </c>
      <c r="S1" s="219" t="s">
        <v>493</v>
      </c>
      <c r="T1" s="219" t="s">
        <v>494</v>
      </c>
      <c r="U1" s="219" t="s">
        <v>495</v>
      </c>
      <c r="V1" s="218" t="s">
        <v>496</v>
      </c>
      <c r="W1" s="218" t="s">
        <v>497</v>
      </c>
      <c r="X1" s="219" t="s">
        <v>498</v>
      </c>
      <c r="Y1" s="219" t="s">
        <v>499</v>
      </c>
      <c r="Z1" s="219" t="s">
        <v>500</v>
      </c>
      <c r="AA1" s="218" t="s">
        <v>501</v>
      </c>
      <c r="AB1" s="218" t="s">
        <v>502</v>
      </c>
      <c r="AC1" s="220" t="s">
        <v>503</v>
      </c>
      <c r="AD1" s="112"/>
      <c r="AE1" s="112"/>
      <c r="AF1" s="112"/>
      <c r="AG1" s="112"/>
      <c r="AH1" s="112"/>
      <c r="AI1" s="12"/>
      <c r="AJ1" s="12"/>
    </row>
    <row r="2" ht="14.25" customHeight="1">
      <c r="A2" s="216"/>
      <c r="B2" s="216"/>
      <c r="C2" s="216"/>
      <c r="D2" s="216"/>
      <c r="E2" s="221" t="s">
        <v>504</v>
      </c>
      <c r="F2" s="221" t="s">
        <v>505</v>
      </c>
      <c r="G2" s="216"/>
      <c r="H2" s="218"/>
      <c r="I2" s="218"/>
      <c r="J2" s="219"/>
      <c r="K2" s="219"/>
      <c r="L2" s="219"/>
      <c r="M2" s="219"/>
      <c r="N2" s="219"/>
      <c r="O2" s="219"/>
      <c r="P2" s="219"/>
      <c r="Q2" s="219"/>
      <c r="R2" s="219"/>
      <c r="S2" s="219"/>
      <c r="T2" s="219"/>
      <c r="U2" s="219"/>
      <c r="V2" s="218"/>
      <c r="W2" s="218"/>
      <c r="X2" s="219"/>
      <c r="Y2" s="219"/>
      <c r="Z2" s="219"/>
      <c r="AA2" s="218"/>
      <c r="AB2" s="218"/>
      <c r="AC2" s="112"/>
      <c r="AD2" s="171" t="s">
        <v>506</v>
      </c>
      <c r="AE2" s="112" t="s">
        <v>507</v>
      </c>
      <c r="AF2" s="171" t="s">
        <v>217</v>
      </c>
      <c r="AG2" s="171" t="s">
        <v>238</v>
      </c>
      <c r="AH2" s="171" t="s">
        <v>508</v>
      </c>
      <c r="AI2" s="36"/>
      <c r="AJ2" s="12"/>
    </row>
    <row r="3" ht="14.25" customHeight="1">
      <c r="A3" s="222" t="s">
        <v>509</v>
      </c>
      <c r="B3" s="222" t="s">
        <v>510</v>
      </c>
      <c r="C3" s="222" t="s">
        <v>511</v>
      </c>
      <c r="D3" s="222" t="s">
        <v>510</v>
      </c>
      <c r="E3" s="223">
        <v>37772.0</v>
      </c>
      <c r="F3" s="223">
        <v>38804.0</v>
      </c>
      <c r="G3" s="224" t="s">
        <v>512</v>
      </c>
      <c r="H3" s="171" t="s">
        <v>513</v>
      </c>
      <c r="I3" s="171"/>
      <c r="J3" s="171"/>
      <c r="K3" s="171"/>
      <c r="L3" s="171"/>
      <c r="M3" s="171"/>
      <c r="N3" s="171"/>
      <c r="O3" s="112"/>
      <c r="P3" s="171"/>
      <c r="Q3" s="171"/>
      <c r="R3" s="171"/>
      <c r="S3" s="171"/>
      <c r="T3" s="171"/>
      <c r="U3" s="112"/>
      <c r="V3" s="112"/>
      <c r="W3" s="112"/>
      <c r="X3" s="112"/>
      <c r="Y3" s="112"/>
      <c r="Z3" s="112"/>
      <c r="AA3" s="112"/>
      <c r="AB3" s="112"/>
      <c r="AC3" s="112"/>
      <c r="AD3" s="112"/>
      <c r="AE3" s="112"/>
      <c r="AF3" s="112"/>
      <c r="AG3" s="112">
        <v>5.0</v>
      </c>
      <c r="AH3" s="112"/>
      <c r="AI3" s="12"/>
      <c r="AJ3" s="12"/>
    </row>
    <row r="4" ht="14.25" customHeight="1">
      <c r="A4" s="222" t="s">
        <v>509</v>
      </c>
      <c r="B4" s="222" t="s">
        <v>514</v>
      </c>
      <c r="C4" s="222" t="s">
        <v>515</v>
      </c>
      <c r="D4" s="222" t="s">
        <v>514</v>
      </c>
      <c r="E4" s="223">
        <v>38804.0</v>
      </c>
      <c r="F4" s="223">
        <v>40421.0</v>
      </c>
      <c r="G4" s="225" t="s">
        <v>512</v>
      </c>
      <c r="H4" s="171" t="s">
        <v>513</v>
      </c>
      <c r="I4" s="171"/>
      <c r="J4" s="171"/>
      <c r="K4" s="171"/>
      <c r="L4" s="171"/>
      <c r="M4" s="171"/>
      <c r="N4" s="171"/>
      <c r="O4" s="112"/>
      <c r="P4" s="171"/>
      <c r="Q4" s="171"/>
      <c r="R4" s="171"/>
      <c r="S4" s="171"/>
      <c r="T4" s="171" t="s">
        <v>516</v>
      </c>
      <c r="U4" s="112"/>
      <c r="V4" s="112"/>
      <c r="W4" s="112"/>
      <c r="X4" s="112"/>
      <c r="Y4" s="112"/>
      <c r="Z4" s="112"/>
      <c r="AA4" s="112"/>
      <c r="AB4" s="112"/>
      <c r="AC4" s="112"/>
      <c r="AD4" s="112"/>
      <c r="AE4" s="112"/>
      <c r="AF4" s="112"/>
      <c r="AG4" s="112">
        <v>5.0</v>
      </c>
      <c r="AH4" s="112"/>
      <c r="AI4" s="12"/>
      <c r="AJ4" s="12"/>
    </row>
    <row r="5" ht="14.25" customHeight="1">
      <c r="A5" s="222" t="s">
        <v>509</v>
      </c>
      <c r="B5" s="222" t="s">
        <v>517</v>
      </c>
      <c r="C5" s="222" t="s">
        <v>518</v>
      </c>
      <c r="D5" s="222" t="s">
        <v>517</v>
      </c>
      <c r="E5" s="223">
        <v>37985.0</v>
      </c>
      <c r="F5" s="223">
        <v>38891.0</v>
      </c>
      <c r="G5" s="224" t="s">
        <v>512</v>
      </c>
      <c r="H5" s="171" t="s">
        <v>519</v>
      </c>
      <c r="I5" s="171" t="s">
        <v>520</v>
      </c>
      <c r="J5" s="171" t="s">
        <v>516</v>
      </c>
      <c r="K5" s="171" t="s">
        <v>427</v>
      </c>
      <c r="L5" s="171" t="s">
        <v>420</v>
      </c>
      <c r="M5" s="171" t="s">
        <v>475</v>
      </c>
      <c r="N5" s="171" t="s">
        <v>516</v>
      </c>
      <c r="O5" s="112"/>
      <c r="P5" s="171"/>
      <c r="Q5" s="171"/>
      <c r="R5" s="171"/>
      <c r="S5" s="171"/>
      <c r="T5" s="171"/>
      <c r="U5" s="171">
        <v>2.0</v>
      </c>
      <c r="V5" s="112"/>
      <c r="W5" s="112"/>
      <c r="X5" s="112"/>
      <c r="Y5" s="112"/>
      <c r="Z5" s="112"/>
      <c r="AA5" s="112"/>
      <c r="AB5" s="112"/>
      <c r="AC5" s="112"/>
      <c r="AD5" s="112"/>
      <c r="AE5" s="112"/>
      <c r="AF5" s="112"/>
      <c r="AG5" s="112">
        <v>5.0</v>
      </c>
      <c r="AH5" s="112"/>
      <c r="AI5" s="12"/>
      <c r="AJ5" s="12"/>
    </row>
    <row r="6" ht="14.25" customHeight="1">
      <c r="A6" s="222" t="s">
        <v>509</v>
      </c>
      <c r="B6" s="222" t="s">
        <v>521</v>
      </c>
      <c r="C6" s="222" t="s">
        <v>522</v>
      </c>
      <c r="D6" s="222" t="s">
        <v>521</v>
      </c>
      <c r="E6" s="223">
        <v>38891.0</v>
      </c>
      <c r="F6" s="223">
        <v>39508.0</v>
      </c>
      <c r="G6" s="224" t="s">
        <v>523</v>
      </c>
      <c r="H6" s="171" t="s">
        <v>519</v>
      </c>
      <c r="I6" s="171" t="s">
        <v>520</v>
      </c>
      <c r="J6" s="171" t="s">
        <v>516</v>
      </c>
      <c r="K6" s="171" t="s">
        <v>427</v>
      </c>
      <c r="L6" s="171" t="s">
        <v>420</v>
      </c>
      <c r="M6" s="171" t="s">
        <v>475</v>
      </c>
      <c r="N6" s="171" t="s">
        <v>516</v>
      </c>
      <c r="O6" s="171">
        <v>6.0</v>
      </c>
      <c r="P6" s="171" t="s">
        <v>516</v>
      </c>
      <c r="Q6" s="171" t="s">
        <v>516</v>
      </c>
      <c r="R6" s="171" t="s">
        <v>516</v>
      </c>
      <c r="S6" s="171" t="s">
        <v>516</v>
      </c>
      <c r="T6" s="171" t="s">
        <v>516</v>
      </c>
      <c r="U6" s="171">
        <v>2.0</v>
      </c>
      <c r="V6" s="112"/>
      <c r="W6" s="112"/>
      <c r="X6" s="112"/>
      <c r="Y6" s="112"/>
      <c r="Z6" s="112"/>
      <c r="AA6" s="112"/>
      <c r="AB6" s="112"/>
      <c r="AC6" s="226" t="s">
        <v>524</v>
      </c>
      <c r="AD6" s="171" t="s">
        <v>525</v>
      </c>
      <c r="AE6" s="112"/>
      <c r="AF6" s="171" t="s">
        <v>526</v>
      </c>
      <c r="AG6" s="112">
        <v>5.0</v>
      </c>
      <c r="AH6" s="112"/>
      <c r="AI6" s="12"/>
      <c r="AJ6" s="12"/>
    </row>
    <row r="7" ht="14.25" customHeight="1">
      <c r="A7" s="222" t="s">
        <v>509</v>
      </c>
      <c r="B7" s="222" t="s">
        <v>527</v>
      </c>
      <c r="C7" s="222" t="s">
        <v>528</v>
      </c>
      <c r="D7" s="222" t="s">
        <v>527</v>
      </c>
      <c r="E7" s="223">
        <v>37985.0</v>
      </c>
      <c r="F7" s="223">
        <v>38894.0</v>
      </c>
      <c r="G7" s="224" t="s">
        <v>512</v>
      </c>
      <c r="H7" s="171" t="s">
        <v>519</v>
      </c>
      <c r="I7" s="171" t="s">
        <v>520</v>
      </c>
      <c r="J7" s="171" t="s">
        <v>516</v>
      </c>
      <c r="K7" s="171" t="s">
        <v>424</v>
      </c>
      <c r="L7" s="171" t="s">
        <v>420</v>
      </c>
      <c r="M7" s="171" t="s">
        <v>475</v>
      </c>
      <c r="N7" s="171" t="s">
        <v>516</v>
      </c>
      <c r="O7" s="171">
        <v>4.0</v>
      </c>
      <c r="P7" s="171" t="s">
        <v>516</v>
      </c>
      <c r="Q7" s="171" t="s">
        <v>516</v>
      </c>
      <c r="R7" s="171" t="s">
        <v>516</v>
      </c>
      <c r="S7" s="171" t="s">
        <v>516</v>
      </c>
      <c r="T7" s="171" t="s">
        <v>516</v>
      </c>
      <c r="U7" s="112"/>
      <c r="V7" s="112"/>
      <c r="W7" s="112"/>
      <c r="X7" s="112"/>
      <c r="Y7" s="112"/>
      <c r="Z7" s="112"/>
      <c r="AA7" s="112"/>
      <c r="AB7" s="112"/>
      <c r="AC7" s="171" t="s">
        <v>529</v>
      </c>
      <c r="AD7" s="227" t="s">
        <v>530</v>
      </c>
      <c r="AE7" s="112"/>
      <c r="AF7" s="112"/>
      <c r="AG7" s="112">
        <v>5.0</v>
      </c>
      <c r="AH7" s="112"/>
      <c r="AI7" s="12"/>
      <c r="AJ7" s="12"/>
    </row>
    <row r="8" ht="14.25" customHeight="1">
      <c r="A8" s="222" t="s">
        <v>509</v>
      </c>
      <c r="B8" s="222" t="s">
        <v>531</v>
      </c>
      <c r="C8" s="222" t="s">
        <v>532</v>
      </c>
      <c r="D8" s="222" t="s">
        <v>531</v>
      </c>
      <c r="E8" s="223">
        <v>38894.0</v>
      </c>
      <c r="F8" s="223">
        <v>39729.0</v>
      </c>
      <c r="G8" s="224" t="s">
        <v>512</v>
      </c>
      <c r="H8" s="171" t="s">
        <v>519</v>
      </c>
      <c r="I8" s="171" t="s">
        <v>520</v>
      </c>
      <c r="J8" s="171"/>
      <c r="K8" s="171"/>
      <c r="L8" s="171"/>
      <c r="M8" s="171"/>
      <c r="N8" s="171"/>
      <c r="O8" s="112"/>
      <c r="P8" s="171"/>
      <c r="Q8" s="171"/>
      <c r="R8" s="171"/>
      <c r="S8" s="171"/>
      <c r="T8" s="171"/>
      <c r="U8" s="112"/>
      <c r="V8" s="112"/>
      <c r="W8" s="112"/>
      <c r="X8" s="112"/>
      <c r="Y8" s="112"/>
      <c r="Z8" s="112"/>
      <c r="AA8" s="112"/>
      <c r="AB8" s="112"/>
      <c r="AC8" s="112"/>
      <c r="AD8" s="227" t="s">
        <v>530</v>
      </c>
      <c r="AE8" s="112"/>
      <c r="AF8" s="112"/>
      <c r="AG8" s="112">
        <v>5.0</v>
      </c>
      <c r="AH8" s="112"/>
      <c r="AI8" s="12"/>
      <c r="AJ8" s="12"/>
    </row>
    <row r="9" ht="14.25" customHeight="1">
      <c r="A9" s="222" t="s">
        <v>509</v>
      </c>
      <c r="B9" s="222" t="s">
        <v>533</v>
      </c>
      <c r="C9" s="222" t="s">
        <v>534</v>
      </c>
      <c r="D9" s="222" t="s">
        <v>533</v>
      </c>
      <c r="E9" s="223">
        <v>38015.0</v>
      </c>
      <c r="F9" s="223">
        <v>38899.0</v>
      </c>
      <c r="G9" s="224" t="s">
        <v>512</v>
      </c>
      <c r="H9" s="171" t="s">
        <v>513</v>
      </c>
      <c r="I9" s="171" t="s">
        <v>520</v>
      </c>
      <c r="J9" s="171"/>
      <c r="K9" s="171"/>
      <c r="L9" s="171"/>
      <c r="M9" s="171"/>
      <c r="N9" s="171"/>
      <c r="O9" s="112"/>
      <c r="P9" s="171"/>
      <c r="Q9" s="171"/>
      <c r="R9" s="171"/>
      <c r="S9" s="171"/>
      <c r="T9" s="171"/>
      <c r="U9" s="112"/>
      <c r="V9" s="112"/>
      <c r="W9" s="112"/>
      <c r="X9" s="112"/>
      <c r="Y9" s="112"/>
      <c r="Z9" s="112"/>
      <c r="AA9" s="112"/>
      <c r="AB9" s="112"/>
      <c r="AC9" s="112"/>
      <c r="AD9" s="112"/>
      <c r="AE9" s="112"/>
      <c r="AF9" s="112"/>
      <c r="AG9" s="112">
        <v>5.0</v>
      </c>
      <c r="AH9" s="112"/>
      <c r="AI9" s="12"/>
      <c r="AJ9" s="12"/>
    </row>
    <row r="10" ht="14.25" customHeight="1">
      <c r="A10" s="222" t="s">
        <v>509</v>
      </c>
      <c r="B10" s="222" t="s">
        <v>535</v>
      </c>
      <c r="C10" s="222" t="s">
        <v>536</v>
      </c>
      <c r="D10" s="222" t="s">
        <v>535</v>
      </c>
      <c r="E10" s="223">
        <v>38159.0</v>
      </c>
      <c r="F10" s="223">
        <v>38890.0</v>
      </c>
      <c r="G10" s="224" t="s">
        <v>512</v>
      </c>
      <c r="H10" s="171" t="s">
        <v>519</v>
      </c>
      <c r="I10" s="171" t="s">
        <v>520</v>
      </c>
      <c r="J10" s="171" t="s">
        <v>516</v>
      </c>
      <c r="K10" s="171" t="s">
        <v>430</v>
      </c>
      <c r="L10" s="171" t="s">
        <v>420</v>
      </c>
      <c r="M10" s="171" t="s">
        <v>475</v>
      </c>
      <c r="N10" s="171" t="s">
        <v>516</v>
      </c>
      <c r="O10" s="171">
        <v>5.0</v>
      </c>
      <c r="P10" s="171" t="s">
        <v>516</v>
      </c>
      <c r="Q10" s="171" t="s">
        <v>516</v>
      </c>
      <c r="R10" s="171" t="s">
        <v>516</v>
      </c>
      <c r="S10" s="171" t="s">
        <v>516</v>
      </c>
      <c r="T10" s="171" t="s">
        <v>516</v>
      </c>
      <c r="U10" s="112"/>
      <c r="V10" s="112"/>
      <c r="W10" s="112"/>
      <c r="X10" s="112"/>
      <c r="Y10" s="112"/>
      <c r="Z10" s="112"/>
      <c r="AA10" s="112"/>
      <c r="AB10" s="112"/>
      <c r="AC10" s="171" t="s">
        <v>537</v>
      </c>
      <c r="AD10" s="171" t="s">
        <v>538</v>
      </c>
      <c r="AE10" s="112"/>
      <c r="AF10" s="171" t="s">
        <v>539</v>
      </c>
      <c r="AG10" s="112">
        <v>5.0</v>
      </c>
      <c r="AH10" s="112"/>
      <c r="AI10" s="12"/>
      <c r="AJ10" s="12"/>
    </row>
    <row r="11" ht="14.25" customHeight="1">
      <c r="A11" s="222" t="s">
        <v>509</v>
      </c>
      <c r="B11" s="222" t="s">
        <v>540</v>
      </c>
      <c r="C11" s="222" t="s">
        <v>541</v>
      </c>
      <c r="D11" s="222" t="s">
        <v>540</v>
      </c>
      <c r="E11" s="223">
        <v>38890.0</v>
      </c>
      <c r="F11" s="223">
        <v>39508.0</v>
      </c>
      <c r="G11" s="224" t="s">
        <v>523</v>
      </c>
      <c r="H11" s="171" t="s">
        <v>519</v>
      </c>
      <c r="I11" s="171" t="s">
        <v>520</v>
      </c>
      <c r="J11" s="171" t="s">
        <v>516</v>
      </c>
      <c r="K11" s="171" t="s">
        <v>430</v>
      </c>
      <c r="L11" s="171" t="s">
        <v>420</v>
      </c>
      <c r="M11" s="171" t="s">
        <v>475</v>
      </c>
      <c r="N11" s="171" t="s">
        <v>516</v>
      </c>
      <c r="O11" s="171">
        <v>6.0</v>
      </c>
      <c r="P11" s="171" t="s">
        <v>516</v>
      </c>
      <c r="Q11" s="171" t="s">
        <v>516</v>
      </c>
      <c r="R11" s="171" t="s">
        <v>516</v>
      </c>
      <c r="S11" s="171" t="s">
        <v>516</v>
      </c>
      <c r="T11" s="171" t="s">
        <v>516</v>
      </c>
      <c r="U11" s="171">
        <v>2.0</v>
      </c>
      <c r="V11" s="112"/>
      <c r="W11" s="112"/>
      <c r="X11" s="112"/>
      <c r="Y11" s="112"/>
      <c r="Z11" s="112"/>
      <c r="AA11" s="112"/>
      <c r="AB11" s="112"/>
      <c r="AC11" s="171" t="s">
        <v>524</v>
      </c>
      <c r="AD11" s="171" t="s">
        <v>538</v>
      </c>
      <c r="AE11" s="112"/>
      <c r="AF11" s="171" t="s">
        <v>542</v>
      </c>
      <c r="AG11" s="112">
        <v>5.0</v>
      </c>
      <c r="AH11" s="112"/>
      <c r="AI11" s="12"/>
      <c r="AJ11" s="12"/>
    </row>
    <row r="12" ht="14.25" customHeight="1">
      <c r="A12" s="222" t="s">
        <v>509</v>
      </c>
      <c r="B12" s="222" t="s">
        <v>543</v>
      </c>
      <c r="C12" s="222" t="s">
        <v>544</v>
      </c>
      <c r="D12" s="222" t="s">
        <v>543</v>
      </c>
      <c r="E12" s="223">
        <v>38804.0</v>
      </c>
      <c r="F12" s="223">
        <v>40421.0</v>
      </c>
      <c r="G12" s="225" t="s">
        <v>512</v>
      </c>
      <c r="H12" s="171" t="s">
        <v>513</v>
      </c>
      <c r="I12" s="171"/>
      <c r="J12" s="171"/>
      <c r="K12" s="171"/>
      <c r="L12" s="171"/>
      <c r="M12" s="171"/>
      <c r="N12" s="171"/>
      <c r="O12" s="112"/>
      <c r="P12" s="171"/>
      <c r="Q12" s="171"/>
      <c r="R12" s="171"/>
      <c r="S12" s="171"/>
      <c r="T12" s="171"/>
      <c r="U12" s="112"/>
      <c r="V12" s="112"/>
      <c r="W12" s="112"/>
      <c r="X12" s="112"/>
      <c r="Y12" s="112"/>
      <c r="Z12" s="112"/>
      <c r="AA12" s="112"/>
      <c r="AB12" s="112"/>
      <c r="AC12" s="112"/>
      <c r="AD12" s="112"/>
      <c r="AE12" s="112"/>
      <c r="AF12" s="112"/>
      <c r="AG12" s="112">
        <v>5.0</v>
      </c>
      <c r="AH12" s="112"/>
      <c r="AI12" s="12"/>
      <c r="AJ12" s="12"/>
    </row>
    <row r="13" ht="14.25" customHeight="1">
      <c r="A13" s="222" t="s">
        <v>509</v>
      </c>
      <c r="B13" s="222" t="s">
        <v>545</v>
      </c>
      <c r="C13" s="222" t="s">
        <v>544</v>
      </c>
      <c r="D13" s="222" t="s">
        <v>545</v>
      </c>
      <c r="E13" s="223">
        <v>40575.0</v>
      </c>
      <c r="F13" s="223">
        <v>41486.0</v>
      </c>
      <c r="G13" s="225" t="s">
        <v>512</v>
      </c>
      <c r="H13" s="171" t="s">
        <v>513</v>
      </c>
      <c r="I13" s="171"/>
      <c r="J13" s="171"/>
      <c r="K13" s="171"/>
      <c r="L13" s="171"/>
      <c r="M13" s="171"/>
      <c r="N13" s="171"/>
      <c r="O13" s="112"/>
      <c r="P13" s="171"/>
      <c r="Q13" s="171"/>
      <c r="R13" s="171"/>
      <c r="S13" s="171"/>
      <c r="T13" s="171"/>
      <c r="U13" s="112"/>
      <c r="V13" s="112"/>
      <c r="W13" s="112"/>
      <c r="X13" s="112"/>
      <c r="Y13" s="112"/>
      <c r="Z13" s="112"/>
      <c r="AA13" s="112"/>
      <c r="AB13" s="112"/>
      <c r="AC13" s="112"/>
      <c r="AD13" s="112"/>
      <c r="AE13" s="112"/>
      <c r="AF13" s="112"/>
      <c r="AG13" s="112">
        <v>5.0</v>
      </c>
      <c r="AH13" s="112"/>
      <c r="AI13" s="12"/>
      <c r="AJ13" s="12"/>
    </row>
    <row r="14" ht="14.25" customHeight="1">
      <c r="A14" s="222" t="s">
        <v>509</v>
      </c>
      <c r="B14" s="222" t="s">
        <v>546</v>
      </c>
      <c r="C14" s="222" t="s">
        <v>547</v>
      </c>
      <c r="D14" s="222" t="s">
        <v>546</v>
      </c>
      <c r="E14" s="223">
        <v>38890.0</v>
      </c>
      <c r="F14" s="223">
        <v>39508.0</v>
      </c>
      <c r="G14" s="224" t="s">
        <v>523</v>
      </c>
      <c r="H14" s="171" t="s">
        <v>519</v>
      </c>
      <c r="I14" s="171" t="s">
        <v>520</v>
      </c>
      <c r="J14" s="171" t="s">
        <v>516</v>
      </c>
      <c r="K14" s="171" t="s">
        <v>427</v>
      </c>
      <c r="L14" s="171" t="s">
        <v>420</v>
      </c>
      <c r="M14" s="171" t="s">
        <v>475</v>
      </c>
      <c r="N14" s="171" t="s">
        <v>516</v>
      </c>
      <c r="O14" s="171">
        <v>6.0</v>
      </c>
      <c r="P14" s="171" t="s">
        <v>516</v>
      </c>
      <c r="Q14" s="171" t="s">
        <v>516</v>
      </c>
      <c r="R14" s="171" t="s">
        <v>548</v>
      </c>
      <c r="S14" s="171" t="s">
        <v>516</v>
      </c>
      <c r="T14" s="171" t="s">
        <v>516</v>
      </c>
      <c r="U14" s="171">
        <v>2.0</v>
      </c>
      <c r="V14" s="112"/>
      <c r="W14" s="112"/>
      <c r="X14" s="112"/>
      <c r="Y14" s="112"/>
      <c r="Z14" s="112"/>
      <c r="AA14" s="112"/>
      <c r="AB14" s="112"/>
      <c r="AC14" s="171" t="s">
        <v>524</v>
      </c>
      <c r="AD14" s="171" t="s">
        <v>549</v>
      </c>
      <c r="AE14" s="112"/>
      <c r="AF14" s="171" t="s">
        <v>550</v>
      </c>
      <c r="AG14" s="171">
        <v>1.0</v>
      </c>
      <c r="AH14" s="112" t="s">
        <v>551</v>
      </c>
      <c r="AI14" s="12"/>
      <c r="AJ14" s="12"/>
    </row>
    <row r="15" ht="14.25" customHeight="1">
      <c r="A15" s="222" t="s">
        <v>509</v>
      </c>
      <c r="B15" s="222" t="s">
        <v>552</v>
      </c>
      <c r="C15" s="222" t="s">
        <v>553</v>
      </c>
      <c r="D15" s="222" t="s">
        <v>552</v>
      </c>
      <c r="E15" s="223">
        <v>38891.0</v>
      </c>
      <c r="F15" s="223">
        <v>39508.0</v>
      </c>
      <c r="G15" s="224" t="s">
        <v>523</v>
      </c>
      <c r="H15" s="171" t="s">
        <v>519</v>
      </c>
      <c r="I15" s="171" t="s">
        <v>520</v>
      </c>
      <c r="J15" s="171" t="s">
        <v>516</v>
      </c>
      <c r="K15" s="171" t="s">
        <v>427</v>
      </c>
      <c r="L15" s="171" t="s">
        <v>420</v>
      </c>
      <c r="M15" s="171" t="s">
        <v>475</v>
      </c>
      <c r="N15" s="171"/>
      <c r="O15" s="171">
        <v>6.0</v>
      </c>
      <c r="P15" s="171" t="s">
        <v>516</v>
      </c>
      <c r="Q15" s="171" t="s">
        <v>516</v>
      </c>
      <c r="R15" s="171" t="s">
        <v>548</v>
      </c>
      <c r="S15" s="171" t="s">
        <v>516</v>
      </c>
      <c r="T15" s="171" t="s">
        <v>516</v>
      </c>
      <c r="U15" s="171">
        <v>2.0</v>
      </c>
      <c r="V15" s="171">
        <v>18.0</v>
      </c>
      <c r="W15" s="171">
        <v>65.0</v>
      </c>
      <c r="X15" s="171">
        <v>75.0</v>
      </c>
      <c r="Y15" s="171">
        <v>10.0</v>
      </c>
      <c r="Z15" s="171">
        <v>30.0</v>
      </c>
      <c r="AA15" s="171">
        <v>10.0</v>
      </c>
      <c r="AB15" s="171">
        <v>30.0</v>
      </c>
      <c r="AC15" s="171" t="s">
        <v>524</v>
      </c>
      <c r="AD15" s="171" t="s">
        <v>554</v>
      </c>
      <c r="AE15" s="112"/>
      <c r="AF15" s="171" t="s">
        <v>555</v>
      </c>
      <c r="AG15" s="171">
        <v>1.0</v>
      </c>
      <c r="AH15" s="112" t="s">
        <v>551</v>
      </c>
      <c r="AI15" s="12"/>
      <c r="AJ15" s="12"/>
    </row>
    <row r="16" ht="14.25" customHeight="1">
      <c r="A16" s="222" t="s">
        <v>509</v>
      </c>
      <c r="B16" s="222" t="s">
        <v>556</v>
      </c>
      <c r="C16" s="222" t="s">
        <v>557</v>
      </c>
      <c r="D16" s="222" t="s">
        <v>556</v>
      </c>
      <c r="E16" s="223">
        <v>38891.0</v>
      </c>
      <c r="F16" s="223">
        <v>39797.0</v>
      </c>
      <c r="G16" s="224" t="s">
        <v>523</v>
      </c>
      <c r="H16" s="171" t="s">
        <v>519</v>
      </c>
      <c r="I16" s="171" t="s">
        <v>520</v>
      </c>
      <c r="J16" s="171" t="s">
        <v>516</v>
      </c>
      <c r="K16" s="171" t="s">
        <v>430</v>
      </c>
      <c r="L16" s="171" t="s">
        <v>420</v>
      </c>
      <c r="M16" s="171" t="s">
        <v>475</v>
      </c>
      <c r="N16" s="171" t="s">
        <v>516</v>
      </c>
      <c r="O16" s="171">
        <v>6.0</v>
      </c>
      <c r="P16" s="171" t="s">
        <v>516</v>
      </c>
      <c r="Q16" s="171" t="s">
        <v>516</v>
      </c>
      <c r="R16" s="171" t="s">
        <v>516</v>
      </c>
      <c r="S16" s="171" t="s">
        <v>516</v>
      </c>
      <c r="T16" s="171" t="s">
        <v>516</v>
      </c>
      <c r="U16" s="171">
        <v>2.0</v>
      </c>
      <c r="V16" s="112"/>
      <c r="W16" s="112"/>
      <c r="X16" s="112"/>
      <c r="Y16" s="112"/>
      <c r="Z16" s="112"/>
      <c r="AA16" s="112"/>
      <c r="AB16" s="112"/>
      <c r="AC16" s="171" t="s">
        <v>524</v>
      </c>
      <c r="AD16" s="171" t="s">
        <v>558</v>
      </c>
      <c r="AE16" s="112"/>
      <c r="AF16" s="171" t="s">
        <v>559</v>
      </c>
      <c r="AG16" s="171">
        <v>5.0</v>
      </c>
      <c r="AH16" s="112"/>
      <c r="AI16" s="12"/>
      <c r="AJ16" s="12"/>
    </row>
    <row r="17" ht="14.25" customHeight="1">
      <c r="A17" s="222" t="s">
        <v>509</v>
      </c>
      <c r="B17" s="222" t="s">
        <v>560</v>
      </c>
      <c r="C17" s="222" t="s">
        <v>561</v>
      </c>
      <c r="D17" s="222" t="s">
        <v>560</v>
      </c>
      <c r="E17" s="223">
        <v>38891.0</v>
      </c>
      <c r="F17" s="223">
        <v>39797.0</v>
      </c>
      <c r="G17" s="224" t="s">
        <v>523</v>
      </c>
      <c r="H17" s="171" t="s">
        <v>519</v>
      </c>
      <c r="I17" s="171" t="s">
        <v>520</v>
      </c>
      <c r="J17" s="171" t="s">
        <v>516</v>
      </c>
      <c r="K17" s="171" t="s">
        <v>430</v>
      </c>
      <c r="L17" s="171" t="s">
        <v>420</v>
      </c>
      <c r="M17" s="171" t="s">
        <v>475</v>
      </c>
      <c r="N17" s="171" t="s">
        <v>516</v>
      </c>
      <c r="O17" s="171">
        <v>6.0</v>
      </c>
      <c r="P17" s="171" t="s">
        <v>516</v>
      </c>
      <c r="Q17" s="171" t="s">
        <v>516</v>
      </c>
      <c r="R17" s="171" t="s">
        <v>548</v>
      </c>
      <c r="S17" s="171" t="s">
        <v>516</v>
      </c>
      <c r="T17" s="171" t="s">
        <v>516</v>
      </c>
      <c r="U17" s="171">
        <v>2.0</v>
      </c>
      <c r="V17" s="112"/>
      <c r="W17" s="112"/>
      <c r="X17" s="112"/>
      <c r="Y17" s="112"/>
      <c r="Z17" s="112"/>
      <c r="AA17" s="112"/>
      <c r="AB17" s="112"/>
      <c r="AC17" s="171" t="s">
        <v>524</v>
      </c>
      <c r="AD17" s="171" t="s">
        <v>562</v>
      </c>
      <c r="AE17" s="112"/>
      <c r="AF17" s="171" t="s">
        <v>563</v>
      </c>
      <c r="AG17" s="171">
        <v>1.0</v>
      </c>
      <c r="AH17" s="112" t="s">
        <v>551</v>
      </c>
      <c r="AI17" s="12"/>
      <c r="AJ17" s="12"/>
    </row>
    <row r="18" ht="14.25" customHeight="1">
      <c r="A18" s="222" t="s">
        <v>509</v>
      </c>
      <c r="B18" s="222" t="s">
        <v>564</v>
      </c>
      <c r="C18" s="222" t="s">
        <v>565</v>
      </c>
      <c r="D18" s="222" t="s">
        <v>564</v>
      </c>
      <c r="E18" s="223">
        <v>38894.0</v>
      </c>
      <c r="F18" s="223">
        <v>39797.0</v>
      </c>
      <c r="G18" s="224" t="s">
        <v>523</v>
      </c>
      <c r="H18" s="171" t="s">
        <v>519</v>
      </c>
      <c r="I18" s="171" t="s">
        <v>520</v>
      </c>
      <c r="J18" s="171" t="s">
        <v>516</v>
      </c>
      <c r="K18" s="171" t="s">
        <v>427</v>
      </c>
      <c r="L18" s="171" t="s">
        <v>420</v>
      </c>
      <c r="M18" s="171" t="s">
        <v>475</v>
      </c>
      <c r="N18" s="171" t="s">
        <v>516</v>
      </c>
      <c r="O18" s="171">
        <v>6.0</v>
      </c>
      <c r="P18" s="171" t="s">
        <v>516</v>
      </c>
      <c r="Q18" s="171" t="s">
        <v>516</v>
      </c>
      <c r="R18" s="171" t="s">
        <v>548</v>
      </c>
      <c r="S18" s="171" t="s">
        <v>516</v>
      </c>
      <c r="T18" s="171" t="s">
        <v>516</v>
      </c>
      <c r="U18" s="171">
        <v>2.0</v>
      </c>
      <c r="V18" s="112"/>
      <c r="W18" s="112"/>
      <c r="X18" s="112"/>
      <c r="Y18" s="112"/>
      <c r="Z18" s="112"/>
      <c r="AA18" s="112"/>
      <c r="AB18" s="112"/>
      <c r="AC18" s="171" t="s">
        <v>524</v>
      </c>
      <c r="AD18" s="171" t="s">
        <v>566</v>
      </c>
      <c r="AE18" s="112"/>
      <c r="AF18" s="171" t="s">
        <v>567</v>
      </c>
      <c r="AG18" s="171">
        <v>5.0</v>
      </c>
      <c r="AH18" s="112"/>
      <c r="AI18" s="12"/>
      <c r="AJ18" s="12"/>
    </row>
    <row r="19" ht="14.25" customHeight="1">
      <c r="A19" s="222" t="s">
        <v>509</v>
      </c>
      <c r="B19" s="222" t="s">
        <v>568</v>
      </c>
      <c r="C19" s="222" t="s">
        <v>569</v>
      </c>
      <c r="D19" s="222" t="s">
        <v>568</v>
      </c>
      <c r="E19" s="223">
        <v>38894.0</v>
      </c>
      <c r="F19" s="223">
        <v>39797.0</v>
      </c>
      <c r="G19" s="224" t="s">
        <v>523</v>
      </c>
      <c r="H19" s="171" t="s">
        <v>519</v>
      </c>
      <c r="I19" s="171" t="s">
        <v>520</v>
      </c>
      <c r="J19" s="171" t="s">
        <v>516</v>
      </c>
      <c r="K19" s="171" t="s">
        <v>427</v>
      </c>
      <c r="L19" s="171" t="s">
        <v>420</v>
      </c>
      <c r="M19" s="171" t="s">
        <v>475</v>
      </c>
      <c r="N19" s="171" t="s">
        <v>516</v>
      </c>
      <c r="O19" s="171">
        <v>6.0</v>
      </c>
      <c r="P19" s="171" t="s">
        <v>516</v>
      </c>
      <c r="Q19" s="171" t="s">
        <v>516</v>
      </c>
      <c r="R19" s="171" t="s">
        <v>548</v>
      </c>
      <c r="S19" s="171" t="s">
        <v>516</v>
      </c>
      <c r="T19" s="171" t="s">
        <v>516</v>
      </c>
      <c r="U19" s="171">
        <v>2.0</v>
      </c>
      <c r="V19" s="112"/>
      <c r="W19" s="112"/>
      <c r="X19" s="112"/>
      <c r="Y19" s="112"/>
      <c r="Z19" s="112"/>
      <c r="AA19" s="112"/>
      <c r="AB19" s="112"/>
      <c r="AC19" s="171" t="s">
        <v>524</v>
      </c>
      <c r="AD19" s="171" t="s">
        <v>570</v>
      </c>
      <c r="AE19" s="112"/>
      <c r="AF19" s="171" t="s">
        <v>571</v>
      </c>
      <c r="AG19" s="171">
        <v>1.0</v>
      </c>
      <c r="AH19" s="112" t="s">
        <v>551</v>
      </c>
      <c r="AI19" s="12"/>
      <c r="AJ19" s="12"/>
    </row>
    <row r="20" ht="14.25" customHeight="1">
      <c r="A20" s="222" t="s">
        <v>509</v>
      </c>
      <c r="B20" s="222" t="s">
        <v>572</v>
      </c>
      <c r="C20" s="222" t="s">
        <v>573</v>
      </c>
      <c r="D20" s="222" t="s">
        <v>572</v>
      </c>
      <c r="E20" s="223">
        <v>38894.0</v>
      </c>
      <c r="F20" s="223">
        <v>39729.0</v>
      </c>
      <c r="G20" s="224" t="s">
        <v>512</v>
      </c>
      <c r="H20" s="171" t="s">
        <v>519</v>
      </c>
      <c r="I20" s="171" t="s">
        <v>520</v>
      </c>
      <c r="J20" s="171" t="s">
        <v>516</v>
      </c>
      <c r="K20" s="171" t="s">
        <v>418</v>
      </c>
      <c r="L20" s="171" t="s">
        <v>420</v>
      </c>
      <c r="M20" s="171" t="s">
        <v>475</v>
      </c>
      <c r="N20" s="171" t="s">
        <v>516</v>
      </c>
      <c r="O20" s="171">
        <v>6.0</v>
      </c>
      <c r="P20" s="171" t="s">
        <v>516</v>
      </c>
      <c r="Q20" s="171" t="s">
        <v>516</v>
      </c>
      <c r="R20" s="171" t="s">
        <v>548</v>
      </c>
      <c r="S20" s="171" t="s">
        <v>516</v>
      </c>
      <c r="T20" s="171" t="s">
        <v>516</v>
      </c>
      <c r="U20" s="171">
        <v>2.0</v>
      </c>
      <c r="V20" s="171">
        <v>18.0</v>
      </c>
      <c r="W20" s="171">
        <v>65.0</v>
      </c>
      <c r="X20" s="171">
        <v>75.0</v>
      </c>
      <c r="Y20" s="171">
        <v>10.0</v>
      </c>
      <c r="Z20" s="171">
        <v>40.0</v>
      </c>
      <c r="AA20" s="112"/>
      <c r="AB20" s="112"/>
      <c r="AC20" s="171" t="s">
        <v>524</v>
      </c>
      <c r="AD20" s="171" t="s">
        <v>574</v>
      </c>
      <c r="AE20" s="112"/>
      <c r="AF20" s="171" t="s">
        <v>575</v>
      </c>
      <c r="AG20" s="171">
        <v>1.0</v>
      </c>
      <c r="AH20" s="112" t="s">
        <v>551</v>
      </c>
      <c r="AI20" s="12"/>
      <c r="AJ20" s="12"/>
    </row>
    <row r="21" ht="14.25" customHeight="1">
      <c r="A21" s="222" t="s">
        <v>509</v>
      </c>
      <c r="B21" s="222" t="s">
        <v>576</v>
      </c>
      <c r="C21" s="222" t="s">
        <v>577</v>
      </c>
      <c r="D21" s="222" t="s">
        <v>576</v>
      </c>
      <c r="E21" s="223">
        <v>39483.0</v>
      </c>
      <c r="F21" s="223">
        <v>40179.0</v>
      </c>
      <c r="G21" s="224" t="s">
        <v>512</v>
      </c>
      <c r="H21" s="171" t="s">
        <v>519</v>
      </c>
      <c r="I21" s="171" t="s">
        <v>520</v>
      </c>
      <c r="J21" s="171" t="s">
        <v>516</v>
      </c>
      <c r="K21" s="171" t="s">
        <v>427</v>
      </c>
      <c r="L21" s="171" t="s">
        <v>420</v>
      </c>
      <c r="M21" s="171" t="s">
        <v>475</v>
      </c>
      <c r="N21" s="171" t="s">
        <v>516</v>
      </c>
      <c r="O21" s="171">
        <v>7.0</v>
      </c>
      <c r="P21" s="171" t="s">
        <v>516</v>
      </c>
      <c r="Q21" s="171" t="s">
        <v>516</v>
      </c>
      <c r="R21" s="171" t="s">
        <v>516</v>
      </c>
      <c r="S21" s="171" t="s">
        <v>516</v>
      </c>
      <c r="T21" s="171" t="s">
        <v>516</v>
      </c>
      <c r="U21" s="171">
        <v>2.0</v>
      </c>
      <c r="V21" s="112"/>
      <c r="W21" s="112"/>
      <c r="X21" s="112"/>
      <c r="Y21" s="112"/>
      <c r="Z21" s="112"/>
      <c r="AA21" s="112"/>
      <c r="AB21" s="112"/>
      <c r="AC21" s="171" t="s">
        <v>578</v>
      </c>
      <c r="AD21" s="171" t="s">
        <v>579</v>
      </c>
      <c r="AE21" s="112"/>
      <c r="AF21" s="171" t="s">
        <v>580</v>
      </c>
      <c r="AG21" s="171">
        <v>5.0</v>
      </c>
      <c r="AH21" s="112"/>
      <c r="AI21" s="12"/>
      <c r="AJ21" s="12"/>
    </row>
    <row r="22" ht="14.25" customHeight="1">
      <c r="A22" s="222" t="s">
        <v>509</v>
      </c>
      <c r="B22" s="222" t="s">
        <v>581</v>
      </c>
      <c r="C22" s="222" t="s">
        <v>582</v>
      </c>
      <c r="D22" s="222" t="s">
        <v>581</v>
      </c>
      <c r="E22" s="223">
        <v>39483.0</v>
      </c>
      <c r="F22" s="223">
        <v>40179.0</v>
      </c>
      <c r="G22" s="224" t="s">
        <v>512</v>
      </c>
      <c r="H22" s="171" t="s">
        <v>519</v>
      </c>
      <c r="I22" s="171" t="s">
        <v>520</v>
      </c>
      <c r="J22" s="171" t="s">
        <v>516</v>
      </c>
      <c r="K22" s="171" t="s">
        <v>427</v>
      </c>
      <c r="L22" s="171" t="s">
        <v>420</v>
      </c>
      <c r="M22" s="171" t="s">
        <v>475</v>
      </c>
      <c r="N22" s="171" t="s">
        <v>516</v>
      </c>
      <c r="O22" s="171">
        <v>8.0</v>
      </c>
      <c r="P22" s="171" t="s">
        <v>516</v>
      </c>
      <c r="Q22" s="171" t="s">
        <v>516</v>
      </c>
      <c r="R22" s="171" t="s">
        <v>548</v>
      </c>
      <c r="S22" s="171" t="s">
        <v>516</v>
      </c>
      <c r="T22" s="171" t="s">
        <v>516</v>
      </c>
      <c r="U22" s="171">
        <v>2.0</v>
      </c>
      <c r="V22" s="112"/>
      <c r="W22" s="112"/>
      <c r="X22" s="112"/>
      <c r="Y22" s="112"/>
      <c r="Z22" s="112"/>
      <c r="AA22" s="112"/>
      <c r="AB22" s="112"/>
      <c r="AC22" s="171" t="s">
        <v>578</v>
      </c>
      <c r="AD22" s="171" t="s">
        <v>583</v>
      </c>
      <c r="AE22" s="112"/>
      <c r="AF22" s="171" t="s">
        <v>584</v>
      </c>
      <c r="AG22" s="112">
        <v>1.0</v>
      </c>
      <c r="AH22" s="112" t="s">
        <v>551</v>
      </c>
      <c r="AI22" s="12"/>
      <c r="AJ22" s="12"/>
    </row>
    <row r="23" ht="14.25" customHeight="1">
      <c r="A23" s="222" t="s">
        <v>509</v>
      </c>
      <c r="B23" s="222" t="s">
        <v>585</v>
      </c>
      <c r="C23" s="222" t="s">
        <v>586</v>
      </c>
      <c r="D23" s="222" t="s">
        <v>585</v>
      </c>
      <c r="E23" s="223">
        <v>39483.0</v>
      </c>
      <c r="F23" s="223">
        <v>40179.0</v>
      </c>
      <c r="G23" s="224" t="s">
        <v>512</v>
      </c>
      <c r="H23" s="171" t="s">
        <v>519</v>
      </c>
      <c r="I23" s="171" t="s">
        <v>520</v>
      </c>
      <c r="J23" s="171" t="s">
        <v>516</v>
      </c>
      <c r="K23" s="171" t="s">
        <v>430</v>
      </c>
      <c r="L23" s="171" t="s">
        <v>420</v>
      </c>
      <c r="M23" s="171" t="s">
        <v>475</v>
      </c>
      <c r="N23" s="171" t="s">
        <v>516</v>
      </c>
      <c r="O23" s="171">
        <v>6.0</v>
      </c>
      <c r="P23" s="171" t="s">
        <v>516</v>
      </c>
      <c r="Q23" s="171" t="s">
        <v>516</v>
      </c>
      <c r="R23" s="171" t="s">
        <v>548</v>
      </c>
      <c r="S23" s="171" t="s">
        <v>516</v>
      </c>
      <c r="T23" s="171" t="s">
        <v>516</v>
      </c>
      <c r="U23" s="171">
        <v>2.0</v>
      </c>
      <c r="V23" s="112"/>
      <c r="W23" s="112"/>
      <c r="X23" s="112"/>
      <c r="Y23" s="112"/>
      <c r="Z23" s="112"/>
      <c r="AA23" s="112"/>
      <c r="AB23" s="112"/>
      <c r="AC23" s="171" t="s">
        <v>578</v>
      </c>
      <c r="AD23" s="171" t="s">
        <v>587</v>
      </c>
      <c r="AE23" s="112"/>
      <c r="AF23" s="171" t="s">
        <v>588</v>
      </c>
      <c r="AG23" s="112">
        <v>1.0</v>
      </c>
      <c r="AH23" s="112" t="s">
        <v>551</v>
      </c>
      <c r="AI23" s="12"/>
      <c r="AJ23" s="12"/>
    </row>
    <row r="24" ht="14.25" customHeight="1">
      <c r="A24" s="222" t="s">
        <v>509</v>
      </c>
      <c r="B24" s="222" t="s">
        <v>589</v>
      </c>
      <c r="C24" s="222" t="s">
        <v>590</v>
      </c>
      <c r="D24" s="222" t="s">
        <v>589</v>
      </c>
      <c r="E24" s="223">
        <v>39643.0</v>
      </c>
      <c r="F24" s="223">
        <v>39798.0</v>
      </c>
      <c r="G24" s="224" t="s">
        <v>512</v>
      </c>
      <c r="H24" s="171" t="s">
        <v>519</v>
      </c>
      <c r="I24" s="171" t="s">
        <v>520</v>
      </c>
      <c r="J24" s="171" t="s">
        <v>516</v>
      </c>
      <c r="K24" s="171" t="s">
        <v>424</v>
      </c>
      <c r="L24" s="171" t="s">
        <v>420</v>
      </c>
      <c r="M24" s="171" t="s">
        <v>475</v>
      </c>
      <c r="N24" s="171" t="s">
        <v>516</v>
      </c>
      <c r="O24" s="171">
        <v>7.0</v>
      </c>
      <c r="P24" s="171" t="s">
        <v>516</v>
      </c>
      <c r="Q24" s="171" t="s">
        <v>516</v>
      </c>
      <c r="R24" s="171" t="s">
        <v>516</v>
      </c>
      <c r="S24" s="171" t="s">
        <v>516</v>
      </c>
      <c r="T24" s="171" t="s">
        <v>516</v>
      </c>
      <c r="U24" s="171">
        <v>2.0</v>
      </c>
      <c r="V24" s="171">
        <v>18.0</v>
      </c>
      <c r="W24" s="171">
        <v>45.0</v>
      </c>
      <c r="X24" s="171">
        <v>60.0</v>
      </c>
      <c r="Y24" s="171">
        <v>15.0</v>
      </c>
      <c r="Z24" s="112"/>
      <c r="AA24" s="171">
        <v>15.0</v>
      </c>
      <c r="AB24" s="112"/>
      <c r="AC24" s="171" t="s">
        <v>578</v>
      </c>
      <c r="AD24" s="171" t="s">
        <v>591</v>
      </c>
      <c r="AE24" s="112"/>
      <c r="AF24" s="171" t="s">
        <v>592</v>
      </c>
      <c r="AG24" s="112">
        <v>5.0</v>
      </c>
      <c r="AH24" s="112"/>
      <c r="AI24" s="12"/>
      <c r="AJ24" s="12"/>
    </row>
    <row r="25" ht="14.25" customHeight="1">
      <c r="A25" s="222" t="s">
        <v>509</v>
      </c>
      <c r="B25" s="222" t="s">
        <v>593</v>
      </c>
      <c r="C25" s="222" t="s">
        <v>590</v>
      </c>
      <c r="D25" s="222" t="s">
        <v>593</v>
      </c>
      <c r="E25" s="223">
        <v>39799.0</v>
      </c>
      <c r="F25" s="223">
        <v>40177.0</v>
      </c>
      <c r="G25" s="224" t="s">
        <v>512</v>
      </c>
      <c r="H25" s="171" t="s">
        <v>519</v>
      </c>
      <c r="I25" s="171" t="s">
        <v>520</v>
      </c>
      <c r="J25" s="171"/>
      <c r="K25" s="171" t="s">
        <v>424</v>
      </c>
      <c r="L25" s="171" t="s">
        <v>420</v>
      </c>
      <c r="M25" s="171" t="s">
        <v>475</v>
      </c>
      <c r="N25" s="171"/>
      <c r="O25" s="171">
        <v>7.0</v>
      </c>
      <c r="P25" s="171" t="s">
        <v>516</v>
      </c>
      <c r="Q25" s="171" t="s">
        <v>516</v>
      </c>
      <c r="R25" s="171" t="s">
        <v>516</v>
      </c>
      <c r="S25" s="171" t="s">
        <v>516</v>
      </c>
      <c r="T25" s="171" t="s">
        <v>516</v>
      </c>
      <c r="U25" s="171">
        <v>2.0</v>
      </c>
      <c r="V25" s="112"/>
      <c r="W25" s="112"/>
      <c r="X25" s="112"/>
      <c r="Y25" s="112"/>
      <c r="Z25" s="112"/>
      <c r="AA25" s="112"/>
      <c r="AB25" s="112"/>
      <c r="AC25" s="171"/>
      <c r="AD25" s="171" t="s">
        <v>594</v>
      </c>
      <c r="AE25" s="112"/>
      <c r="AF25" s="171" t="s">
        <v>595</v>
      </c>
      <c r="AG25" s="112">
        <v>5.0</v>
      </c>
      <c r="AH25" s="112"/>
      <c r="AI25" s="12"/>
      <c r="AJ25" s="12"/>
    </row>
    <row r="26" ht="14.25" customHeight="1">
      <c r="A26" s="222" t="s">
        <v>509</v>
      </c>
      <c r="B26" s="222" t="s">
        <v>596</v>
      </c>
      <c r="C26" s="222" t="s">
        <v>590</v>
      </c>
      <c r="D26" s="222" t="s">
        <v>596</v>
      </c>
      <c r="E26" s="223">
        <v>40177.0</v>
      </c>
      <c r="F26" s="223">
        <v>40421.0</v>
      </c>
      <c r="G26" s="225" t="s">
        <v>512</v>
      </c>
      <c r="H26" s="171" t="s">
        <v>519</v>
      </c>
      <c r="I26" s="171" t="s">
        <v>520</v>
      </c>
      <c r="J26" s="171" t="s">
        <v>516</v>
      </c>
      <c r="K26" s="171" t="s">
        <v>424</v>
      </c>
      <c r="L26" s="171" t="s">
        <v>420</v>
      </c>
      <c r="M26" s="171" t="s">
        <v>475</v>
      </c>
      <c r="N26" s="171" t="s">
        <v>516</v>
      </c>
      <c r="O26" s="171">
        <v>7.0</v>
      </c>
      <c r="P26" s="171" t="s">
        <v>516</v>
      </c>
      <c r="Q26" s="171" t="s">
        <v>516</v>
      </c>
      <c r="R26" s="171" t="s">
        <v>516</v>
      </c>
      <c r="S26" s="171" t="s">
        <v>516</v>
      </c>
      <c r="T26" s="171" t="s">
        <v>516</v>
      </c>
      <c r="U26" s="171">
        <v>2.0</v>
      </c>
      <c r="V26" s="112"/>
      <c r="W26" s="112"/>
      <c r="X26" s="112"/>
      <c r="Y26" s="112"/>
      <c r="Z26" s="112"/>
      <c r="AA26" s="112"/>
      <c r="AB26" s="112"/>
      <c r="AC26" s="171"/>
      <c r="AD26" s="171" t="s">
        <v>594</v>
      </c>
      <c r="AE26" s="112"/>
      <c r="AF26" s="171" t="s">
        <v>595</v>
      </c>
      <c r="AG26" s="112">
        <v>5.0</v>
      </c>
      <c r="AH26" s="112"/>
      <c r="AI26" s="12"/>
      <c r="AJ26" s="12"/>
    </row>
    <row r="27" ht="14.25" customHeight="1">
      <c r="A27" s="222" t="s">
        <v>509</v>
      </c>
      <c r="B27" s="222" t="s">
        <v>597</v>
      </c>
      <c r="C27" s="222" t="s">
        <v>598</v>
      </c>
      <c r="D27" s="222" t="s">
        <v>597</v>
      </c>
      <c r="E27" s="223">
        <v>39643.0</v>
      </c>
      <c r="F27" s="223">
        <v>40179.0</v>
      </c>
      <c r="G27" s="224" t="s">
        <v>512</v>
      </c>
      <c r="H27" s="171" t="s">
        <v>519</v>
      </c>
      <c r="I27" s="171" t="s">
        <v>520</v>
      </c>
      <c r="J27" s="171" t="s">
        <v>516</v>
      </c>
      <c r="K27" s="171" t="s">
        <v>427</v>
      </c>
      <c r="L27" s="171" t="s">
        <v>420</v>
      </c>
      <c r="M27" s="171" t="s">
        <v>475</v>
      </c>
      <c r="N27" s="171" t="s">
        <v>516</v>
      </c>
      <c r="O27" s="171">
        <v>5.0</v>
      </c>
      <c r="P27" s="171" t="s">
        <v>516</v>
      </c>
      <c r="Q27" s="171" t="s">
        <v>516</v>
      </c>
      <c r="R27" s="171" t="s">
        <v>548</v>
      </c>
      <c r="S27" s="171" t="s">
        <v>516</v>
      </c>
      <c r="T27" s="171" t="s">
        <v>516</v>
      </c>
      <c r="U27" s="112"/>
      <c r="V27" s="112"/>
      <c r="W27" s="112"/>
      <c r="X27" s="112"/>
      <c r="Y27" s="171" t="s">
        <v>599</v>
      </c>
      <c r="Z27" s="112"/>
      <c r="AA27" s="171">
        <v>1.0</v>
      </c>
      <c r="AB27" s="112"/>
      <c r="AC27" s="171" t="s">
        <v>524</v>
      </c>
      <c r="AD27" s="171" t="s">
        <v>600</v>
      </c>
      <c r="AE27" s="112"/>
      <c r="AF27" s="171" t="s">
        <v>601</v>
      </c>
      <c r="AG27" s="183">
        <v>1.0</v>
      </c>
      <c r="AH27" s="112" t="s">
        <v>551</v>
      </c>
      <c r="AI27" s="12"/>
      <c r="AJ27" s="12"/>
    </row>
    <row r="28" ht="14.25" customHeight="1">
      <c r="A28" s="222" t="s">
        <v>509</v>
      </c>
      <c r="B28" s="222" t="s">
        <v>602</v>
      </c>
      <c r="C28" s="222" t="s">
        <v>603</v>
      </c>
      <c r="D28" s="222" t="s">
        <v>602</v>
      </c>
      <c r="E28" s="223">
        <v>39660.0</v>
      </c>
      <c r="F28" s="223">
        <v>40179.0</v>
      </c>
      <c r="G28" s="224" t="s">
        <v>512</v>
      </c>
      <c r="H28" s="171" t="s">
        <v>519</v>
      </c>
      <c r="I28" s="171" t="s">
        <v>520</v>
      </c>
      <c r="J28" s="171" t="s">
        <v>516</v>
      </c>
      <c r="K28" s="171" t="s">
        <v>430</v>
      </c>
      <c r="L28" s="171" t="s">
        <v>420</v>
      </c>
      <c r="M28" s="171" t="s">
        <v>475</v>
      </c>
      <c r="N28" s="171" t="s">
        <v>516</v>
      </c>
      <c r="O28" s="171">
        <v>7.0</v>
      </c>
      <c r="P28" s="171" t="s">
        <v>516</v>
      </c>
      <c r="Q28" s="171" t="s">
        <v>516</v>
      </c>
      <c r="R28" s="171" t="s">
        <v>548</v>
      </c>
      <c r="S28" s="171" t="s">
        <v>516</v>
      </c>
      <c r="T28" s="171" t="s">
        <v>516</v>
      </c>
      <c r="U28" s="171">
        <v>2.0</v>
      </c>
      <c r="V28" s="112"/>
      <c r="W28" s="112"/>
      <c r="X28" s="112"/>
      <c r="Y28" s="112"/>
      <c r="Z28" s="112"/>
      <c r="AA28" s="112"/>
      <c r="AB28" s="112"/>
      <c r="AC28" s="171" t="s">
        <v>578</v>
      </c>
      <c r="AD28" s="171" t="s">
        <v>604</v>
      </c>
      <c r="AE28" s="112"/>
      <c r="AF28" s="171" t="s">
        <v>605</v>
      </c>
      <c r="AG28" s="112">
        <v>5.0</v>
      </c>
      <c r="AH28" s="112"/>
      <c r="AI28" s="12"/>
      <c r="AJ28" s="12"/>
    </row>
    <row r="29" ht="14.25" customHeight="1">
      <c r="A29" s="222" t="s">
        <v>509</v>
      </c>
      <c r="B29" s="222" t="s">
        <v>606</v>
      </c>
      <c r="C29" s="222" t="s">
        <v>607</v>
      </c>
      <c r="D29" s="222" t="s">
        <v>606</v>
      </c>
      <c r="E29" s="223">
        <v>39660.0</v>
      </c>
      <c r="F29" s="223">
        <v>40179.0</v>
      </c>
      <c r="G29" s="224" t="s">
        <v>512</v>
      </c>
      <c r="H29" s="171" t="s">
        <v>519</v>
      </c>
      <c r="I29" s="171" t="s">
        <v>520</v>
      </c>
      <c r="J29" s="171" t="s">
        <v>516</v>
      </c>
      <c r="K29" s="171" t="s">
        <v>427</v>
      </c>
      <c r="L29" s="171" t="s">
        <v>420</v>
      </c>
      <c r="M29" s="171" t="s">
        <v>475</v>
      </c>
      <c r="N29" s="171" t="s">
        <v>516</v>
      </c>
      <c r="O29" s="171">
        <v>7.0</v>
      </c>
      <c r="P29" s="171" t="s">
        <v>516</v>
      </c>
      <c r="Q29" s="171" t="s">
        <v>516</v>
      </c>
      <c r="R29" s="171" t="s">
        <v>516</v>
      </c>
      <c r="S29" s="171" t="s">
        <v>516</v>
      </c>
      <c r="T29" s="171" t="s">
        <v>516</v>
      </c>
      <c r="U29" s="171">
        <v>2.0</v>
      </c>
      <c r="V29" s="112"/>
      <c r="W29" s="112"/>
      <c r="X29" s="112"/>
      <c r="Y29" s="112"/>
      <c r="Z29" s="112"/>
      <c r="AA29" s="112"/>
      <c r="AB29" s="112"/>
      <c r="AC29" s="171" t="s">
        <v>578</v>
      </c>
      <c r="AD29" s="171" t="s">
        <v>608</v>
      </c>
      <c r="AE29" s="112"/>
      <c r="AF29" s="171" t="s">
        <v>609</v>
      </c>
      <c r="AG29" s="112">
        <v>5.0</v>
      </c>
      <c r="AH29" s="112"/>
      <c r="AI29" s="12"/>
      <c r="AJ29" s="12"/>
    </row>
    <row r="30" ht="14.25" customHeight="1">
      <c r="A30" s="222" t="s">
        <v>509</v>
      </c>
      <c r="B30" s="222" t="s">
        <v>610</v>
      </c>
      <c r="C30" s="222" t="s">
        <v>611</v>
      </c>
      <c r="D30" s="222" t="s">
        <v>610</v>
      </c>
      <c r="E30" s="223">
        <v>39710.0</v>
      </c>
      <c r="F30" s="223">
        <v>40179.0</v>
      </c>
      <c r="G30" s="224" t="s">
        <v>512</v>
      </c>
      <c r="H30" s="171" t="s">
        <v>519</v>
      </c>
      <c r="I30" s="171" t="s">
        <v>520</v>
      </c>
      <c r="J30" s="171"/>
      <c r="K30" s="171"/>
      <c r="L30" s="171"/>
      <c r="M30" s="171"/>
      <c r="N30" s="171"/>
      <c r="O30" s="112"/>
      <c r="P30" s="171"/>
      <c r="Q30" s="171"/>
      <c r="R30" s="171"/>
      <c r="S30" s="171"/>
      <c r="T30" s="171"/>
      <c r="U30" s="112"/>
      <c r="V30" s="112"/>
      <c r="W30" s="112"/>
      <c r="X30" s="112"/>
      <c r="Y30" s="112"/>
      <c r="Z30" s="112"/>
      <c r="AA30" s="112"/>
      <c r="AB30" s="112"/>
      <c r="AC30" s="112"/>
      <c r="AD30" s="112"/>
      <c r="AE30" s="112"/>
      <c r="AF30" s="112"/>
      <c r="AG30" s="112">
        <v>5.0</v>
      </c>
      <c r="AH30" s="112"/>
      <c r="AI30" s="12"/>
      <c r="AJ30" s="12"/>
    </row>
    <row r="31" ht="14.25" customHeight="1">
      <c r="A31" s="222" t="s">
        <v>509</v>
      </c>
      <c r="B31" s="222" t="s">
        <v>612</v>
      </c>
      <c r="C31" s="222" t="s">
        <v>613</v>
      </c>
      <c r="D31" s="222" t="s">
        <v>612</v>
      </c>
      <c r="E31" s="223">
        <v>39710.0</v>
      </c>
      <c r="F31" s="223">
        <v>40179.0</v>
      </c>
      <c r="G31" s="224" t="s">
        <v>512</v>
      </c>
      <c r="H31" s="171" t="s">
        <v>519</v>
      </c>
      <c r="I31" s="171" t="s">
        <v>520</v>
      </c>
      <c r="J31" s="171" t="s">
        <v>516</v>
      </c>
      <c r="K31" s="171" t="s">
        <v>418</v>
      </c>
      <c r="L31" s="171" t="s">
        <v>466</v>
      </c>
      <c r="M31" s="171" t="s">
        <v>475</v>
      </c>
      <c r="N31" s="171" t="s">
        <v>516</v>
      </c>
      <c r="O31" s="171">
        <v>7.0</v>
      </c>
      <c r="P31" s="171" t="s">
        <v>516</v>
      </c>
      <c r="Q31" s="171" t="s">
        <v>516</v>
      </c>
      <c r="R31" s="171" t="s">
        <v>516</v>
      </c>
      <c r="S31" s="171" t="s">
        <v>516</v>
      </c>
      <c r="T31" s="171" t="s">
        <v>516</v>
      </c>
      <c r="U31" s="171" t="s">
        <v>423</v>
      </c>
      <c r="V31" s="112"/>
      <c r="W31" s="112"/>
      <c r="X31" s="112"/>
      <c r="Y31" s="112"/>
      <c r="Z31" s="112"/>
      <c r="AA31" s="112"/>
      <c r="AB31" s="112"/>
      <c r="AC31" s="171" t="s">
        <v>614</v>
      </c>
      <c r="AD31" s="171" t="s">
        <v>615</v>
      </c>
      <c r="AE31" s="112">
        <v>80.0</v>
      </c>
      <c r="AF31" s="171" t="s">
        <v>616</v>
      </c>
      <c r="AG31" s="112">
        <v>5.0</v>
      </c>
      <c r="AH31" s="112"/>
      <c r="AI31" s="12"/>
      <c r="AJ31" s="12"/>
    </row>
    <row r="32" ht="14.25" customHeight="1">
      <c r="A32" s="222" t="s">
        <v>509</v>
      </c>
      <c r="B32" s="222" t="s">
        <v>617</v>
      </c>
      <c r="C32" s="222" t="s">
        <v>618</v>
      </c>
      <c r="D32" s="222" t="s">
        <v>617</v>
      </c>
      <c r="E32" s="223">
        <v>39770.0</v>
      </c>
      <c r="F32" s="223">
        <v>40179.0</v>
      </c>
      <c r="G32" s="224" t="s">
        <v>512</v>
      </c>
      <c r="H32" s="171" t="s">
        <v>519</v>
      </c>
      <c r="I32" s="171" t="s">
        <v>520</v>
      </c>
      <c r="J32" s="171" t="s">
        <v>516</v>
      </c>
      <c r="K32" s="171" t="s">
        <v>424</v>
      </c>
      <c r="L32" s="171" t="s">
        <v>466</v>
      </c>
      <c r="M32" s="171" t="s">
        <v>475</v>
      </c>
      <c r="N32" s="171" t="s">
        <v>516</v>
      </c>
      <c r="O32" s="171">
        <v>7.0</v>
      </c>
      <c r="P32" s="171" t="s">
        <v>516</v>
      </c>
      <c r="Q32" s="171" t="s">
        <v>516</v>
      </c>
      <c r="R32" s="171" t="s">
        <v>516</v>
      </c>
      <c r="S32" s="171" t="s">
        <v>516</v>
      </c>
      <c r="T32" s="171" t="s">
        <v>516</v>
      </c>
      <c r="U32" s="171">
        <v>2.0</v>
      </c>
      <c r="V32" s="112"/>
      <c r="W32" s="112"/>
      <c r="X32" s="112"/>
      <c r="Y32" s="112"/>
      <c r="Z32" s="112"/>
      <c r="AA32" s="112"/>
      <c r="AB32" s="112"/>
      <c r="AC32" s="171" t="s">
        <v>578</v>
      </c>
      <c r="AD32" s="171" t="s">
        <v>619</v>
      </c>
      <c r="AE32" s="112"/>
      <c r="AF32" s="171" t="s">
        <v>620</v>
      </c>
      <c r="AG32" s="112">
        <v>5.0</v>
      </c>
      <c r="AH32" s="112"/>
      <c r="AI32" s="12"/>
      <c r="AJ32" s="12"/>
    </row>
    <row r="33" ht="14.25" customHeight="1">
      <c r="A33" s="222" t="s">
        <v>509</v>
      </c>
      <c r="B33" s="222" t="s">
        <v>621</v>
      </c>
      <c r="C33" s="222" t="s">
        <v>622</v>
      </c>
      <c r="D33" s="222" t="s">
        <v>621</v>
      </c>
      <c r="E33" s="223">
        <v>39770.0</v>
      </c>
      <c r="F33" s="223">
        <v>40179.0</v>
      </c>
      <c r="G33" s="224" t="s">
        <v>512</v>
      </c>
      <c r="H33" s="171" t="s">
        <v>519</v>
      </c>
      <c r="I33" s="171" t="s">
        <v>520</v>
      </c>
      <c r="J33" s="171" t="s">
        <v>516</v>
      </c>
      <c r="K33" s="171" t="s">
        <v>430</v>
      </c>
      <c r="L33" s="171" t="s">
        <v>466</v>
      </c>
      <c r="M33" s="171" t="s">
        <v>475</v>
      </c>
      <c r="N33" s="171" t="s">
        <v>516</v>
      </c>
      <c r="O33" s="171">
        <v>7.0</v>
      </c>
      <c r="P33" s="171" t="s">
        <v>516</v>
      </c>
      <c r="Q33" s="171" t="s">
        <v>516</v>
      </c>
      <c r="R33" s="171" t="s">
        <v>516</v>
      </c>
      <c r="S33" s="171" t="s">
        <v>516</v>
      </c>
      <c r="T33" s="171" t="s">
        <v>516</v>
      </c>
      <c r="U33" s="171">
        <v>2.0</v>
      </c>
      <c r="V33" s="112"/>
      <c r="W33" s="112"/>
      <c r="X33" s="112"/>
      <c r="Y33" s="112"/>
      <c r="Z33" s="112"/>
      <c r="AA33" s="112"/>
      <c r="AB33" s="112"/>
      <c r="AC33" s="171" t="s">
        <v>578</v>
      </c>
      <c r="AD33" s="171" t="s">
        <v>623</v>
      </c>
      <c r="AE33" s="112"/>
      <c r="AF33" s="171" t="s">
        <v>624</v>
      </c>
      <c r="AG33" s="112">
        <v>5.0</v>
      </c>
      <c r="AH33" s="112"/>
      <c r="AI33" s="12"/>
      <c r="AJ33" s="12"/>
    </row>
    <row r="34" ht="14.25" customHeight="1">
      <c r="A34" s="222" t="s">
        <v>509</v>
      </c>
      <c r="B34" s="222" t="s">
        <v>625</v>
      </c>
      <c r="C34" s="222" t="s">
        <v>626</v>
      </c>
      <c r="D34" s="222" t="s">
        <v>625</v>
      </c>
      <c r="E34" s="223">
        <v>39960.0</v>
      </c>
      <c r="F34" s="223">
        <v>40179.0</v>
      </c>
      <c r="G34" s="224" t="s">
        <v>512</v>
      </c>
      <c r="H34" s="171" t="s">
        <v>519</v>
      </c>
      <c r="I34" s="171" t="s">
        <v>520</v>
      </c>
      <c r="J34" s="171" t="s">
        <v>516</v>
      </c>
      <c r="K34" s="171" t="s">
        <v>427</v>
      </c>
      <c r="L34" s="171" t="s">
        <v>420</v>
      </c>
      <c r="M34" s="171" t="s">
        <v>475</v>
      </c>
      <c r="N34" s="171" t="s">
        <v>516</v>
      </c>
      <c r="O34" s="171">
        <v>5.0</v>
      </c>
      <c r="P34" s="171" t="s">
        <v>516</v>
      </c>
      <c r="Q34" s="171" t="s">
        <v>516</v>
      </c>
      <c r="R34" s="171" t="s">
        <v>516</v>
      </c>
      <c r="S34" s="171" t="s">
        <v>516</v>
      </c>
      <c r="T34" s="171" t="s">
        <v>516</v>
      </c>
      <c r="U34" s="171">
        <v>2.0</v>
      </c>
      <c r="V34" s="171">
        <v>18.0</v>
      </c>
      <c r="W34" s="171">
        <v>55.0</v>
      </c>
      <c r="X34" s="171">
        <v>65.0</v>
      </c>
      <c r="Y34" s="112"/>
      <c r="Z34" s="112"/>
      <c r="AA34" s="171">
        <v>3.0</v>
      </c>
      <c r="AB34" s="112"/>
      <c r="AC34" s="112"/>
      <c r="AD34" s="171" t="s">
        <v>627</v>
      </c>
      <c r="AE34" s="112"/>
      <c r="AF34" s="171" t="s">
        <v>628</v>
      </c>
      <c r="AG34" s="112">
        <v>5.0</v>
      </c>
      <c r="AH34" s="112"/>
      <c r="AI34" s="12"/>
      <c r="AJ34" s="12"/>
    </row>
    <row r="35" ht="14.25" customHeight="1">
      <c r="A35" s="222" t="s">
        <v>509</v>
      </c>
      <c r="B35" s="222" t="s">
        <v>629</v>
      </c>
      <c r="C35" s="222" t="s">
        <v>630</v>
      </c>
      <c r="D35" s="222" t="s">
        <v>629</v>
      </c>
      <c r="E35" s="223">
        <v>40120.0</v>
      </c>
      <c r="F35" s="223">
        <v>40421.0</v>
      </c>
      <c r="G35" s="225" t="s">
        <v>512</v>
      </c>
      <c r="H35" s="171" t="s">
        <v>519</v>
      </c>
      <c r="I35" s="171" t="s">
        <v>520</v>
      </c>
      <c r="J35" s="171" t="s">
        <v>516</v>
      </c>
      <c r="K35" s="112" t="s">
        <v>424</v>
      </c>
      <c r="L35" s="171" t="s">
        <v>466</v>
      </c>
      <c r="M35" s="171" t="s">
        <v>475</v>
      </c>
      <c r="N35" s="171" t="s">
        <v>516</v>
      </c>
      <c r="O35" s="171">
        <v>7.0</v>
      </c>
      <c r="P35" s="171" t="s">
        <v>516</v>
      </c>
      <c r="Q35" s="171" t="s">
        <v>516</v>
      </c>
      <c r="R35" s="171" t="s">
        <v>516</v>
      </c>
      <c r="S35" s="171" t="s">
        <v>516</v>
      </c>
      <c r="T35" s="171" t="s">
        <v>516</v>
      </c>
      <c r="U35" s="171">
        <v>2.0</v>
      </c>
      <c r="V35" s="112"/>
      <c r="W35" s="112"/>
      <c r="X35" s="112"/>
      <c r="Y35" s="112"/>
      <c r="Z35" s="112"/>
      <c r="AA35" s="112"/>
      <c r="AB35" s="112"/>
      <c r="AC35" s="171" t="s">
        <v>631</v>
      </c>
      <c r="AD35" s="171" t="s">
        <v>632</v>
      </c>
      <c r="AE35" s="112"/>
      <c r="AF35" s="171" t="s">
        <v>633</v>
      </c>
      <c r="AG35" s="112">
        <v>5.0</v>
      </c>
      <c r="AH35" s="112"/>
      <c r="AI35" s="12"/>
      <c r="AJ35" s="12"/>
    </row>
    <row r="36" ht="14.25" customHeight="1">
      <c r="A36" s="222" t="s">
        <v>509</v>
      </c>
      <c r="B36" s="222" t="s">
        <v>634</v>
      </c>
      <c r="C36" s="222" t="s">
        <v>635</v>
      </c>
      <c r="D36" s="222" t="s">
        <v>634</v>
      </c>
      <c r="E36" s="223">
        <v>40121.0</v>
      </c>
      <c r="F36" s="223">
        <v>40421.0</v>
      </c>
      <c r="G36" s="225" t="s">
        <v>512</v>
      </c>
      <c r="H36" s="171" t="s">
        <v>519</v>
      </c>
      <c r="I36" s="171" t="s">
        <v>520</v>
      </c>
      <c r="J36" s="171" t="s">
        <v>548</v>
      </c>
      <c r="K36" s="171" t="s">
        <v>430</v>
      </c>
      <c r="L36" s="171" t="s">
        <v>466</v>
      </c>
      <c r="M36" s="171" t="s">
        <v>475</v>
      </c>
      <c r="N36" s="171" t="s">
        <v>516</v>
      </c>
      <c r="O36" s="171">
        <v>7.0</v>
      </c>
      <c r="P36" s="171" t="s">
        <v>516</v>
      </c>
      <c r="Q36" s="171" t="s">
        <v>516</v>
      </c>
      <c r="R36" s="171" t="s">
        <v>516</v>
      </c>
      <c r="S36" s="171" t="s">
        <v>516</v>
      </c>
      <c r="T36" s="171" t="s">
        <v>516</v>
      </c>
      <c r="U36" s="171">
        <v>2.0</v>
      </c>
      <c r="V36" s="171">
        <v>18.0</v>
      </c>
      <c r="W36" s="171">
        <v>65.0</v>
      </c>
      <c r="X36" s="171">
        <v>75.0</v>
      </c>
      <c r="Y36" s="171">
        <v>10.0</v>
      </c>
      <c r="Z36" s="171">
        <v>25.0</v>
      </c>
      <c r="AA36" s="112"/>
      <c r="AB36" s="112"/>
      <c r="AC36" s="171" t="s">
        <v>631</v>
      </c>
      <c r="AD36" s="171" t="s">
        <v>636</v>
      </c>
      <c r="AE36" s="112"/>
      <c r="AF36" s="171" t="s">
        <v>637</v>
      </c>
      <c r="AG36" s="112">
        <v>5.0</v>
      </c>
      <c r="AH36" s="112"/>
      <c r="AI36" s="12"/>
      <c r="AJ36" s="12"/>
    </row>
    <row r="37" ht="14.25" customHeight="1">
      <c r="A37" s="222" t="s">
        <v>509</v>
      </c>
      <c r="B37" s="222" t="s">
        <v>638</v>
      </c>
      <c r="C37" s="222" t="s">
        <v>639</v>
      </c>
      <c r="D37" s="222" t="s">
        <v>638</v>
      </c>
      <c r="E37" s="223">
        <v>40154.0</v>
      </c>
      <c r="F37" s="223">
        <v>40421.0</v>
      </c>
      <c r="G37" s="225" t="s">
        <v>512</v>
      </c>
      <c r="H37" s="171" t="s">
        <v>519</v>
      </c>
      <c r="I37" s="171" t="s">
        <v>520</v>
      </c>
      <c r="J37" s="171" t="s">
        <v>516</v>
      </c>
      <c r="K37" s="171" t="s">
        <v>427</v>
      </c>
      <c r="L37" s="171" t="s">
        <v>466</v>
      </c>
      <c r="M37" s="171" t="s">
        <v>475</v>
      </c>
      <c r="N37" s="171" t="s">
        <v>516</v>
      </c>
      <c r="O37" s="171">
        <v>7.0</v>
      </c>
      <c r="P37" s="171" t="s">
        <v>516</v>
      </c>
      <c r="Q37" s="171" t="s">
        <v>516</v>
      </c>
      <c r="R37" s="171" t="s">
        <v>516</v>
      </c>
      <c r="S37" s="171" t="s">
        <v>516</v>
      </c>
      <c r="T37" s="171" t="s">
        <v>516</v>
      </c>
      <c r="U37" s="171">
        <v>2.0</v>
      </c>
      <c r="V37" s="112"/>
      <c r="W37" s="112"/>
      <c r="X37" s="112"/>
      <c r="Y37" s="112"/>
      <c r="Z37" s="112"/>
      <c r="AA37" s="112"/>
      <c r="AB37" s="112"/>
      <c r="AC37" s="171" t="s">
        <v>631</v>
      </c>
      <c r="AD37" s="171" t="s">
        <v>640</v>
      </c>
      <c r="AE37" s="112"/>
      <c r="AF37" s="171" t="s">
        <v>641</v>
      </c>
      <c r="AG37" s="112">
        <v>5.0</v>
      </c>
      <c r="AH37" s="112"/>
      <c r="AI37" s="12"/>
      <c r="AJ37" s="12"/>
    </row>
    <row r="38" ht="14.25" customHeight="1">
      <c r="A38" s="222" t="s">
        <v>509</v>
      </c>
      <c r="B38" s="222" t="s">
        <v>642</v>
      </c>
      <c r="C38" s="222" t="s">
        <v>643</v>
      </c>
      <c r="D38" s="222" t="s">
        <v>642</v>
      </c>
      <c r="E38" s="223">
        <v>40154.0</v>
      </c>
      <c r="F38" s="223">
        <v>40421.0</v>
      </c>
      <c r="G38" s="225" t="s">
        <v>512</v>
      </c>
      <c r="H38" s="171" t="s">
        <v>519</v>
      </c>
      <c r="I38" s="171" t="s">
        <v>520</v>
      </c>
      <c r="J38" s="171" t="s">
        <v>516</v>
      </c>
      <c r="K38" s="171" t="s">
        <v>430</v>
      </c>
      <c r="L38" s="171" t="s">
        <v>466</v>
      </c>
      <c r="M38" s="171" t="s">
        <v>475</v>
      </c>
      <c r="N38" s="171" t="s">
        <v>516</v>
      </c>
      <c r="O38" s="171">
        <v>7.0</v>
      </c>
      <c r="P38" s="171" t="s">
        <v>516</v>
      </c>
      <c r="Q38" s="171" t="s">
        <v>516</v>
      </c>
      <c r="R38" s="171" t="s">
        <v>516</v>
      </c>
      <c r="S38" s="171" t="s">
        <v>516</v>
      </c>
      <c r="T38" s="171" t="s">
        <v>516</v>
      </c>
      <c r="U38" s="171">
        <v>2.0</v>
      </c>
      <c r="V38" s="112"/>
      <c r="W38" s="112"/>
      <c r="X38" s="112"/>
      <c r="Y38" s="112"/>
      <c r="Z38" s="112"/>
      <c r="AA38" s="112"/>
      <c r="AB38" s="112"/>
      <c r="AC38" s="171" t="s">
        <v>631</v>
      </c>
      <c r="AD38" s="171" t="s">
        <v>644</v>
      </c>
      <c r="AE38" s="112"/>
      <c r="AF38" s="171" t="s">
        <v>645</v>
      </c>
      <c r="AG38" s="112">
        <v>5.0</v>
      </c>
      <c r="AH38" s="112"/>
      <c r="AI38" s="12"/>
      <c r="AJ38" s="12"/>
    </row>
    <row r="39" ht="14.25" customHeight="1">
      <c r="A39" s="222" t="s">
        <v>509</v>
      </c>
      <c r="B39" s="222" t="s">
        <v>646</v>
      </c>
      <c r="C39" s="222" t="s">
        <v>647</v>
      </c>
      <c r="D39" s="222" t="s">
        <v>646</v>
      </c>
      <c r="E39" s="223">
        <v>40162.0</v>
      </c>
      <c r="F39" s="223">
        <v>40421.0</v>
      </c>
      <c r="G39" s="225" t="s">
        <v>512</v>
      </c>
      <c r="H39" s="171" t="s">
        <v>519</v>
      </c>
      <c r="I39" s="171" t="s">
        <v>520</v>
      </c>
      <c r="J39" s="171" t="s">
        <v>516</v>
      </c>
      <c r="K39" s="171" t="s">
        <v>427</v>
      </c>
      <c r="L39" s="171" t="s">
        <v>466</v>
      </c>
      <c r="M39" s="171" t="s">
        <v>475</v>
      </c>
      <c r="N39" s="171" t="s">
        <v>516</v>
      </c>
      <c r="O39" s="171">
        <v>7.0</v>
      </c>
      <c r="P39" s="171" t="s">
        <v>516</v>
      </c>
      <c r="Q39" s="171" t="s">
        <v>516</v>
      </c>
      <c r="R39" s="171" t="s">
        <v>516</v>
      </c>
      <c r="S39" s="171" t="s">
        <v>516</v>
      </c>
      <c r="T39" s="171" t="s">
        <v>516</v>
      </c>
      <c r="U39" s="171">
        <v>2.0</v>
      </c>
      <c r="V39" s="112"/>
      <c r="W39" s="112"/>
      <c r="X39" s="112"/>
      <c r="Y39" s="112"/>
      <c r="Z39" s="112"/>
      <c r="AA39" s="112"/>
      <c r="AB39" s="112"/>
      <c r="AC39" s="171" t="s">
        <v>631</v>
      </c>
      <c r="AD39" s="171" t="s">
        <v>648</v>
      </c>
      <c r="AE39" s="112"/>
      <c r="AF39" s="171" t="s">
        <v>649</v>
      </c>
      <c r="AG39" s="112">
        <v>5.0</v>
      </c>
      <c r="AH39" s="112"/>
      <c r="AI39" s="12"/>
      <c r="AJ39" s="12"/>
    </row>
    <row r="40" ht="14.25" customHeight="1">
      <c r="A40" s="222" t="s">
        <v>509</v>
      </c>
      <c r="B40" s="222" t="s">
        <v>650</v>
      </c>
      <c r="C40" s="222" t="s">
        <v>651</v>
      </c>
      <c r="D40" s="222" t="s">
        <v>650</v>
      </c>
      <c r="E40" s="223">
        <v>40162.0</v>
      </c>
      <c r="F40" s="223">
        <v>40421.0</v>
      </c>
      <c r="G40" s="225" t="s">
        <v>512</v>
      </c>
      <c r="H40" s="171" t="s">
        <v>519</v>
      </c>
      <c r="I40" s="171" t="s">
        <v>520</v>
      </c>
      <c r="J40" s="171" t="s">
        <v>516</v>
      </c>
      <c r="K40" s="171" t="s">
        <v>430</v>
      </c>
      <c r="L40" s="171" t="s">
        <v>466</v>
      </c>
      <c r="M40" s="171" t="s">
        <v>475</v>
      </c>
      <c r="N40" s="171" t="s">
        <v>516</v>
      </c>
      <c r="O40" s="171">
        <v>7.0</v>
      </c>
      <c r="P40" s="171" t="s">
        <v>516</v>
      </c>
      <c r="Q40" s="171" t="s">
        <v>516</v>
      </c>
      <c r="R40" s="171" t="s">
        <v>516</v>
      </c>
      <c r="S40" s="171" t="s">
        <v>516</v>
      </c>
      <c r="T40" s="171" t="s">
        <v>516</v>
      </c>
      <c r="U40" s="171">
        <v>2.0</v>
      </c>
      <c r="V40" s="112"/>
      <c r="W40" s="112"/>
      <c r="X40" s="112"/>
      <c r="Y40" s="112"/>
      <c r="Z40" s="112"/>
      <c r="AA40" s="112"/>
      <c r="AB40" s="112"/>
      <c r="AC40" s="171" t="s">
        <v>652</v>
      </c>
      <c r="AD40" s="171" t="s">
        <v>653</v>
      </c>
      <c r="AE40" s="112"/>
      <c r="AF40" s="171" t="s">
        <v>654</v>
      </c>
      <c r="AG40" s="112">
        <v>5.0</v>
      </c>
      <c r="AH40" s="112"/>
      <c r="AI40" s="12"/>
      <c r="AJ40" s="12"/>
    </row>
    <row r="41" ht="14.25" customHeight="1">
      <c r="A41" s="222" t="s">
        <v>509</v>
      </c>
      <c r="B41" s="222" t="s">
        <v>655</v>
      </c>
      <c r="C41" s="222" t="s">
        <v>656</v>
      </c>
      <c r="D41" s="222" t="s">
        <v>655</v>
      </c>
      <c r="E41" s="223">
        <v>40162.0</v>
      </c>
      <c r="F41" s="223">
        <v>40421.0</v>
      </c>
      <c r="G41" s="225" t="s">
        <v>512</v>
      </c>
      <c r="H41" s="171" t="s">
        <v>519</v>
      </c>
      <c r="I41" s="171" t="s">
        <v>520</v>
      </c>
      <c r="J41" s="171" t="s">
        <v>516</v>
      </c>
      <c r="K41" s="171" t="s">
        <v>430</v>
      </c>
      <c r="L41" s="171" t="s">
        <v>466</v>
      </c>
      <c r="M41" s="171" t="s">
        <v>475</v>
      </c>
      <c r="N41" s="171" t="s">
        <v>516</v>
      </c>
      <c r="O41" s="171">
        <v>7.0</v>
      </c>
      <c r="P41" s="171" t="s">
        <v>516</v>
      </c>
      <c r="Q41" s="171" t="s">
        <v>516</v>
      </c>
      <c r="R41" s="171" t="s">
        <v>516</v>
      </c>
      <c r="S41" s="171" t="s">
        <v>516</v>
      </c>
      <c r="T41" s="171" t="s">
        <v>516</v>
      </c>
      <c r="U41" s="171">
        <v>2.0</v>
      </c>
      <c r="V41" s="112"/>
      <c r="W41" s="112"/>
      <c r="X41" s="112"/>
      <c r="Y41" s="112"/>
      <c r="Z41" s="112"/>
      <c r="AA41" s="112"/>
      <c r="AB41" s="112"/>
      <c r="AC41" s="171" t="s">
        <v>652</v>
      </c>
      <c r="AD41" s="171" t="s">
        <v>657</v>
      </c>
      <c r="AE41" s="112"/>
      <c r="AF41" s="171" t="s">
        <v>658</v>
      </c>
      <c r="AG41" s="112">
        <v>5.0</v>
      </c>
      <c r="AH41" s="112"/>
      <c r="AI41" s="12"/>
      <c r="AJ41" s="12"/>
    </row>
    <row r="42" ht="14.25" customHeight="1">
      <c r="A42" s="222" t="s">
        <v>509</v>
      </c>
      <c r="B42" s="222" t="s">
        <v>659</v>
      </c>
      <c r="C42" s="222" t="s">
        <v>660</v>
      </c>
      <c r="D42" s="222" t="s">
        <v>659</v>
      </c>
      <c r="E42" s="223">
        <v>40176.0</v>
      </c>
      <c r="F42" s="223">
        <v>40421.0</v>
      </c>
      <c r="G42" s="225" t="s">
        <v>512</v>
      </c>
      <c r="H42" s="171" t="s">
        <v>519</v>
      </c>
      <c r="I42" s="171" t="s">
        <v>520</v>
      </c>
      <c r="J42" s="171" t="s">
        <v>516</v>
      </c>
      <c r="K42" s="171" t="s">
        <v>427</v>
      </c>
      <c r="L42" s="171" t="s">
        <v>466</v>
      </c>
      <c r="M42" s="171" t="s">
        <v>475</v>
      </c>
      <c r="N42" s="171" t="s">
        <v>516</v>
      </c>
      <c r="O42" s="171">
        <v>4.0</v>
      </c>
      <c r="P42" s="171" t="s">
        <v>516</v>
      </c>
      <c r="Q42" s="171" t="s">
        <v>516</v>
      </c>
      <c r="R42" s="171" t="s">
        <v>516</v>
      </c>
      <c r="S42" s="171" t="s">
        <v>516</v>
      </c>
      <c r="T42" s="171" t="s">
        <v>516</v>
      </c>
      <c r="U42" s="171">
        <v>2.0</v>
      </c>
      <c r="V42" s="112"/>
      <c r="W42" s="112"/>
      <c r="X42" s="112"/>
      <c r="Y42" s="171">
        <v>10.0</v>
      </c>
      <c r="Z42" s="171">
        <v>15.0</v>
      </c>
      <c r="AA42" s="171">
        <v>3.0</v>
      </c>
      <c r="AB42" s="171">
        <v>5.0</v>
      </c>
      <c r="AC42" s="171" t="s">
        <v>661</v>
      </c>
      <c r="AD42" s="171" t="s">
        <v>662</v>
      </c>
      <c r="AE42" s="112"/>
      <c r="AF42" s="171" t="s">
        <v>663</v>
      </c>
      <c r="AG42" s="112">
        <v>5.0</v>
      </c>
      <c r="AH42" s="112"/>
      <c r="AI42" s="12"/>
      <c r="AJ42" s="12"/>
    </row>
    <row r="43" ht="14.25" customHeight="1">
      <c r="A43" s="222" t="s">
        <v>509</v>
      </c>
      <c r="B43" s="222" t="s">
        <v>664</v>
      </c>
      <c r="C43" s="222" t="s">
        <v>665</v>
      </c>
      <c r="D43" s="222" t="s">
        <v>664</v>
      </c>
      <c r="E43" s="223">
        <v>40178.0</v>
      </c>
      <c r="F43" s="223">
        <v>40421.0</v>
      </c>
      <c r="G43" s="225" t="s">
        <v>512</v>
      </c>
      <c r="H43" s="171" t="s">
        <v>519</v>
      </c>
      <c r="I43" s="171" t="s">
        <v>520</v>
      </c>
      <c r="J43" s="171" t="s">
        <v>516</v>
      </c>
      <c r="K43" s="112" t="s">
        <v>424</v>
      </c>
      <c r="L43" s="171" t="s">
        <v>466</v>
      </c>
      <c r="M43" s="171" t="s">
        <v>475</v>
      </c>
      <c r="N43" s="171" t="s">
        <v>516</v>
      </c>
      <c r="O43" s="171">
        <v>7.0</v>
      </c>
      <c r="P43" s="171" t="s">
        <v>516</v>
      </c>
      <c r="Q43" s="171" t="s">
        <v>516</v>
      </c>
      <c r="R43" s="171" t="s">
        <v>516</v>
      </c>
      <c r="S43" s="171" t="s">
        <v>516</v>
      </c>
      <c r="T43" s="171" t="s">
        <v>516</v>
      </c>
      <c r="U43" s="171">
        <v>2.0</v>
      </c>
      <c r="V43" s="112"/>
      <c r="W43" s="112"/>
      <c r="X43" s="112"/>
      <c r="Y43" s="112"/>
      <c r="Z43" s="112"/>
      <c r="AA43" s="112"/>
      <c r="AB43" s="112"/>
      <c r="AC43" s="171" t="s">
        <v>652</v>
      </c>
      <c r="AD43" s="171" t="s">
        <v>666</v>
      </c>
      <c r="AE43" s="112"/>
      <c r="AF43" s="171" t="s">
        <v>667</v>
      </c>
      <c r="AG43" s="112">
        <v>5.0</v>
      </c>
      <c r="AH43" s="112"/>
      <c r="AI43" s="12"/>
      <c r="AJ43" s="12"/>
    </row>
    <row r="44" ht="14.25" customHeight="1">
      <c r="A44" s="222" t="s">
        <v>509</v>
      </c>
      <c r="B44" s="222" t="s">
        <v>668</v>
      </c>
      <c r="C44" s="222" t="s">
        <v>669</v>
      </c>
      <c r="D44" s="222" t="s">
        <v>668</v>
      </c>
      <c r="E44" s="223">
        <v>40196.0</v>
      </c>
      <c r="F44" s="223">
        <v>40421.0</v>
      </c>
      <c r="G44" s="225" t="s">
        <v>512</v>
      </c>
      <c r="H44" s="171" t="s">
        <v>519</v>
      </c>
      <c r="I44" s="171" t="s">
        <v>520</v>
      </c>
      <c r="J44" s="171" t="s">
        <v>516</v>
      </c>
      <c r="K44" s="112" t="s">
        <v>424</v>
      </c>
      <c r="L44" s="171" t="s">
        <v>466</v>
      </c>
      <c r="M44" s="171" t="s">
        <v>475</v>
      </c>
      <c r="N44" s="171" t="s">
        <v>516</v>
      </c>
      <c r="O44" s="171">
        <v>7.0</v>
      </c>
      <c r="P44" s="171" t="s">
        <v>516</v>
      </c>
      <c r="Q44" s="171" t="s">
        <v>516</v>
      </c>
      <c r="R44" s="171" t="s">
        <v>516</v>
      </c>
      <c r="S44" s="171" t="s">
        <v>516</v>
      </c>
      <c r="T44" s="171" t="s">
        <v>516</v>
      </c>
      <c r="U44" s="171" t="s">
        <v>423</v>
      </c>
      <c r="V44" s="112"/>
      <c r="W44" s="112"/>
      <c r="X44" s="112"/>
      <c r="Y44" s="112"/>
      <c r="Z44" s="112"/>
      <c r="AA44" s="112"/>
      <c r="AB44" s="112"/>
      <c r="AC44" s="228" t="s">
        <v>670</v>
      </c>
      <c r="AD44" s="171" t="s">
        <v>671</v>
      </c>
      <c r="AE44" s="112"/>
      <c r="AF44" s="171" t="s">
        <v>672</v>
      </c>
      <c r="AG44" s="112">
        <v>5.0</v>
      </c>
      <c r="AH44" s="112"/>
      <c r="AI44" s="12"/>
      <c r="AJ44" s="12"/>
    </row>
    <row r="45" ht="14.25" customHeight="1">
      <c r="A45" s="222" t="s">
        <v>509</v>
      </c>
      <c r="B45" s="222" t="s">
        <v>673</v>
      </c>
      <c r="C45" s="222" t="s">
        <v>674</v>
      </c>
      <c r="D45" s="222" t="s">
        <v>673</v>
      </c>
      <c r="E45" s="223">
        <v>40196.0</v>
      </c>
      <c r="F45" s="223">
        <v>40421.0</v>
      </c>
      <c r="G45" s="225" t="s">
        <v>512</v>
      </c>
      <c r="H45" s="171" t="s">
        <v>519</v>
      </c>
      <c r="I45" s="171" t="s">
        <v>520</v>
      </c>
      <c r="J45" s="171" t="s">
        <v>516</v>
      </c>
      <c r="K45" s="112" t="s">
        <v>424</v>
      </c>
      <c r="L45" s="171" t="s">
        <v>466</v>
      </c>
      <c r="M45" s="171" t="s">
        <v>475</v>
      </c>
      <c r="N45" s="171" t="s">
        <v>516</v>
      </c>
      <c r="O45" s="171">
        <v>7.0</v>
      </c>
      <c r="P45" s="171" t="s">
        <v>516</v>
      </c>
      <c r="Q45" s="171" t="s">
        <v>516</v>
      </c>
      <c r="R45" s="171" t="s">
        <v>516</v>
      </c>
      <c r="S45" s="171" t="s">
        <v>516</v>
      </c>
      <c r="T45" s="171" t="s">
        <v>516</v>
      </c>
      <c r="U45" s="171">
        <v>2.0</v>
      </c>
      <c r="V45" s="112"/>
      <c r="W45" s="112"/>
      <c r="X45" s="112"/>
      <c r="Y45" s="112"/>
      <c r="Z45" s="112"/>
      <c r="AA45" s="112"/>
      <c r="AB45" s="112"/>
      <c r="AC45" s="171" t="s">
        <v>675</v>
      </c>
      <c r="AD45" s="171" t="s">
        <v>676</v>
      </c>
      <c r="AE45" s="112"/>
      <c r="AF45" s="171" t="s">
        <v>677</v>
      </c>
      <c r="AG45" s="112">
        <v>5.0</v>
      </c>
      <c r="AH45" s="112"/>
      <c r="AI45" s="12"/>
      <c r="AJ45" s="12"/>
    </row>
    <row r="46" ht="14.25" customHeight="1">
      <c r="A46" s="222" t="s">
        <v>509</v>
      </c>
      <c r="B46" s="222" t="s">
        <v>678</v>
      </c>
      <c r="C46" s="222" t="s">
        <v>679</v>
      </c>
      <c r="D46" s="222" t="s">
        <v>678</v>
      </c>
      <c r="E46" s="223">
        <v>40207.0</v>
      </c>
      <c r="F46" s="223">
        <v>40421.0</v>
      </c>
      <c r="G46" s="225" t="s">
        <v>512</v>
      </c>
      <c r="H46" s="171" t="s">
        <v>519</v>
      </c>
      <c r="I46" s="171" t="s">
        <v>520</v>
      </c>
      <c r="J46" s="171" t="s">
        <v>516</v>
      </c>
      <c r="K46" s="171" t="s">
        <v>424</v>
      </c>
      <c r="L46" s="171" t="s">
        <v>466</v>
      </c>
      <c r="M46" s="171" t="s">
        <v>475</v>
      </c>
      <c r="N46" s="171" t="s">
        <v>516</v>
      </c>
      <c r="O46" s="171">
        <v>7.0</v>
      </c>
      <c r="P46" s="171" t="s">
        <v>516</v>
      </c>
      <c r="Q46" s="171" t="s">
        <v>516</v>
      </c>
      <c r="R46" s="171" t="s">
        <v>516</v>
      </c>
      <c r="S46" s="171" t="s">
        <v>516</v>
      </c>
      <c r="T46" s="171" t="s">
        <v>516</v>
      </c>
      <c r="U46" s="171">
        <v>2.0</v>
      </c>
      <c r="V46" s="112"/>
      <c r="W46" s="112"/>
      <c r="X46" s="112"/>
      <c r="Y46" s="112"/>
      <c r="Z46" s="112"/>
      <c r="AA46" s="112"/>
      <c r="AB46" s="112"/>
      <c r="AC46" s="171" t="s">
        <v>652</v>
      </c>
      <c r="AD46" s="171" t="s">
        <v>680</v>
      </c>
      <c r="AE46" s="112"/>
      <c r="AF46" s="171" t="s">
        <v>681</v>
      </c>
      <c r="AG46" s="112">
        <v>5.0</v>
      </c>
      <c r="AH46" s="112"/>
      <c r="AI46" s="12"/>
      <c r="AJ46" s="12"/>
    </row>
    <row r="47" ht="14.25" customHeight="1">
      <c r="A47" s="222" t="s">
        <v>509</v>
      </c>
      <c r="B47" s="222" t="s">
        <v>682</v>
      </c>
      <c r="C47" s="222" t="s">
        <v>683</v>
      </c>
      <c r="D47" s="222" t="s">
        <v>682</v>
      </c>
      <c r="E47" s="223">
        <v>40220.0</v>
      </c>
      <c r="F47" s="223">
        <v>40421.0</v>
      </c>
      <c r="G47" s="225" t="s">
        <v>512</v>
      </c>
      <c r="H47" s="171" t="s">
        <v>519</v>
      </c>
      <c r="I47" s="171" t="s">
        <v>520</v>
      </c>
      <c r="J47" s="171" t="s">
        <v>516</v>
      </c>
      <c r="K47" s="171" t="s">
        <v>430</v>
      </c>
      <c r="L47" s="171" t="s">
        <v>466</v>
      </c>
      <c r="M47" s="171" t="s">
        <v>475</v>
      </c>
      <c r="N47" s="171" t="s">
        <v>516</v>
      </c>
      <c r="O47" s="171">
        <v>7.0</v>
      </c>
      <c r="P47" s="171" t="s">
        <v>516</v>
      </c>
      <c r="Q47" s="171" t="s">
        <v>516</v>
      </c>
      <c r="R47" s="171" t="s">
        <v>516</v>
      </c>
      <c r="S47" s="171" t="s">
        <v>516</v>
      </c>
      <c r="T47" s="171" t="s">
        <v>516</v>
      </c>
      <c r="U47" s="171">
        <v>2.0</v>
      </c>
      <c r="V47" s="112"/>
      <c r="W47" s="112"/>
      <c r="X47" s="112"/>
      <c r="Y47" s="112"/>
      <c r="Z47" s="112"/>
      <c r="AA47" s="112"/>
      <c r="AB47" s="112"/>
      <c r="AC47" s="171" t="s">
        <v>675</v>
      </c>
      <c r="AD47" s="171" t="s">
        <v>684</v>
      </c>
      <c r="AE47" s="112"/>
      <c r="AF47" s="171" t="s">
        <v>685</v>
      </c>
      <c r="AG47" s="112">
        <v>5.0</v>
      </c>
      <c r="AH47" s="112"/>
      <c r="AI47" s="12"/>
      <c r="AJ47" s="12"/>
    </row>
    <row r="48" ht="14.25" customHeight="1">
      <c r="A48" s="222" t="s">
        <v>509</v>
      </c>
      <c r="B48" s="222" t="s">
        <v>686</v>
      </c>
      <c r="C48" s="222" t="s">
        <v>687</v>
      </c>
      <c r="D48" s="222" t="s">
        <v>686</v>
      </c>
      <c r="E48" s="223">
        <v>40234.0</v>
      </c>
      <c r="F48" s="223">
        <v>40421.0</v>
      </c>
      <c r="G48" s="225" t="s">
        <v>512</v>
      </c>
      <c r="H48" s="171" t="s">
        <v>519</v>
      </c>
      <c r="I48" s="171" t="s">
        <v>520</v>
      </c>
      <c r="J48" s="171" t="s">
        <v>516</v>
      </c>
      <c r="K48" s="171" t="s">
        <v>430</v>
      </c>
      <c r="L48" s="171" t="s">
        <v>466</v>
      </c>
      <c r="M48" s="171" t="s">
        <v>475</v>
      </c>
      <c r="N48" s="171" t="s">
        <v>516</v>
      </c>
      <c r="O48" s="171">
        <v>7.0</v>
      </c>
      <c r="P48" s="171" t="s">
        <v>516</v>
      </c>
      <c r="Q48" s="171" t="s">
        <v>516</v>
      </c>
      <c r="R48" s="171" t="s">
        <v>516</v>
      </c>
      <c r="S48" s="171" t="s">
        <v>516</v>
      </c>
      <c r="T48" s="171" t="s">
        <v>516</v>
      </c>
      <c r="U48" s="171">
        <v>2.0</v>
      </c>
      <c r="V48" s="112"/>
      <c r="W48" s="112"/>
      <c r="X48" s="112"/>
      <c r="Y48" s="112"/>
      <c r="Z48" s="112"/>
      <c r="AA48" s="112"/>
      <c r="AB48" s="112"/>
      <c r="AC48" s="171" t="s">
        <v>652</v>
      </c>
      <c r="AD48" s="171" t="s">
        <v>688</v>
      </c>
      <c r="AE48" s="112"/>
      <c r="AF48" s="171" t="s">
        <v>689</v>
      </c>
      <c r="AG48" s="112">
        <v>5.0</v>
      </c>
      <c r="AH48" s="112"/>
      <c r="AI48" s="12"/>
      <c r="AJ48" s="12"/>
    </row>
    <row r="49" ht="14.25" customHeight="1">
      <c r="A49" s="222" t="s">
        <v>509</v>
      </c>
      <c r="B49" s="222" t="s">
        <v>690</v>
      </c>
      <c r="C49" s="222" t="s">
        <v>691</v>
      </c>
      <c r="D49" s="222" t="s">
        <v>690</v>
      </c>
      <c r="E49" s="223">
        <v>40245.0</v>
      </c>
      <c r="F49" s="223">
        <v>40421.0</v>
      </c>
      <c r="G49" s="225" t="s">
        <v>512</v>
      </c>
      <c r="H49" s="171" t="s">
        <v>519</v>
      </c>
      <c r="I49" s="171" t="s">
        <v>520</v>
      </c>
      <c r="J49" s="171" t="s">
        <v>516</v>
      </c>
      <c r="K49" s="171" t="s">
        <v>424</v>
      </c>
      <c r="L49" s="171" t="s">
        <v>466</v>
      </c>
      <c r="M49" s="171" t="s">
        <v>475</v>
      </c>
      <c r="N49" s="171" t="s">
        <v>516</v>
      </c>
      <c r="O49" s="171">
        <v>7.0</v>
      </c>
      <c r="P49" s="171" t="s">
        <v>516</v>
      </c>
      <c r="Q49" s="171" t="s">
        <v>516</v>
      </c>
      <c r="R49" s="171" t="s">
        <v>516</v>
      </c>
      <c r="S49" s="171" t="s">
        <v>516</v>
      </c>
      <c r="T49" s="171" t="s">
        <v>516</v>
      </c>
      <c r="U49" s="171">
        <v>2.0</v>
      </c>
      <c r="V49" s="112"/>
      <c r="W49" s="112"/>
      <c r="X49" s="112"/>
      <c r="Y49" s="112"/>
      <c r="Z49" s="112"/>
      <c r="AA49" s="112"/>
      <c r="AB49" s="112"/>
      <c r="AC49" s="171" t="s">
        <v>675</v>
      </c>
      <c r="AD49" s="171" t="s">
        <v>692</v>
      </c>
      <c r="AE49" s="112"/>
      <c r="AF49" s="171" t="s">
        <v>693</v>
      </c>
      <c r="AG49" s="112">
        <v>5.0</v>
      </c>
      <c r="AH49" s="112"/>
      <c r="AI49" s="12"/>
      <c r="AJ49" s="12"/>
    </row>
    <row r="50" ht="14.25" customHeight="1">
      <c r="A50" s="222" t="s">
        <v>509</v>
      </c>
      <c r="B50" s="222" t="s">
        <v>694</v>
      </c>
      <c r="C50" s="222" t="s">
        <v>695</v>
      </c>
      <c r="D50" s="222" t="s">
        <v>694</v>
      </c>
      <c r="E50" s="223">
        <v>40417.0</v>
      </c>
      <c r="F50" s="223">
        <v>41547.0</v>
      </c>
      <c r="G50" s="224" t="s">
        <v>512</v>
      </c>
      <c r="H50" s="171" t="s">
        <v>519</v>
      </c>
      <c r="I50" s="171" t="s">
        <v>520</v>
      </c>
      <c r="J50" s="171" t="s">
        <v>516</v>
      </c>
      <c r="K50" s="171" t="s">
        <v>427</v>
      </c>
      <c r="L50" s="171" t="s">
        <v>420</v>
      </c>
      <c r="M50" s="171" t="s">
        <v>475</v>
      </c>
      <c r="N50" s="171"/>
      <c r="O50" s="171">
        <v>4.0</v>
      </c>
      <c r="P50" s="171" t="s">
        <v>516</v>
      </c>
      <c r="Q50" s="171" t="s">
        <v>516</v>
      </c>
      <c r="R50" s="171" t="s">
        <v>516</v>
      </c>
      <c r="S50" s="171" t="s">
        <v>516</v>
      </c>
      <c r="T50" s="171" t="s">
        <v>516</v>
      </c>
      <c r="U50" s="171">
        <v>3.0</v>
      </c>
      <c r="V50" s="171">
        <v>14.0</v>
      </c>
      <c r="W50" s="171">
        <v>55.0</v>
      </c>
      <c r="X50" s="171">
        <v>65.0</v>
      </c>
      <c r="Y50" s="171">
        <v>10.0</v>
      </c>
      <c r="Z50" s="171">
        <v>10.0</v>
      </c>
      <c r="AA50" s="171">
        <v>5.0</v>
      </c>
      <c r="AB50" s="171">
        <v>5.0</v>
      </c>
      <c r="AC50" s="112"/>
      <c r="AD50" s="171" t="s">
        <v>696</v>
      </c>
      <c r="AE50" s="112">
        <v>500.0</v>
      </c>
      <c r="AF50" s="171" t="s">
        <v>697</v>
      </c>
      <c r="AG50" s="112">
        <v>5.0</v>
      </c>
      <c r="AH50" s="112"/>
      <c r="AI50" s="12"/>
      <c r="AJ50" s="12"/>
    </row>
    <row r="51" ht="14.25" customHeight="1">
      <c r="A51" s="222" t="s">
        <v>509</v>
      </c>
      <c r="B51" s="222" t="s">
        <v>698</v>
      </c>
      <c r="C51" s="222" t="s">
        <v>695</v>
      </c>
      <c r="D51" s="222" t="s">
        <v>698</v>
      </c>
      <c r="E51" s="223">
        <v>41458.0</v>
      </c>
      <c r="F51" s="223">
        <v>43793.0</v>
      </c>
      <c r="G51" s="224" t="s">
        <v>512</v>
      </c>
      <c r="H51" s="171" t="s">
        <v>519</v>
      </c>
      <c r="I51" s="171" t="s">
        <v>520</v>
      </c>
      <c r="J51" s="171" t="s">
        <v>516</v>
      </c>
      <c r="K51" s="171" t="s">
        <v>427</v>
      </c>
      <c r="L51" s="171" t="s">
        <v>420</v>
      </c>
      <c r="M51" s="171" t="s">
        <v>475</v>
      </c>
      <c r="N51" s="171"/>
      <c r="O51" s="171">
        <v>4.0</v>
      </c>
      <c r="P51" s="171" t="s">
        <v>516</v>
      </c>
      <c r="Q51" s="171" t="s">
        <v>516</v>
      </c>
      <c r="R51" s="171" t="s">
        <v>516</v>
      </c>
      <c r="S51" s="171" t="s">
        <v>516</v>
      </c>
      <c r="T51" s="171" t="s">
        <v>516</v>
      </c>
      <c r="U51" s="171">
        <v>3.0</v>
      </c>
      <c r="V51" s="171">
        <v>14.0</v>
      </c>
      <c r="W51" s="171">
        <v>55.0</v>
      </c>
      <c r="X51" s="171">
        <v>65.0</v>
      </c>
      <c r="Y51" s="171">
        <v>10.0</v>
      </c>
      <c r="Z51" s="171">
        <v>10.0</v>
      </c>
      <c r="AA51" s="171">
        <v>5.0</v>
      </c>
      <c r="AB51" s="171">
        <v>5.0</v>
      </c>
      <c r="AC51" s="112"/>
      <c r="AD51" s="171" t="s">
        <v>696</v>
      </c>
      <c r="AE51" s="112">
        <v>500.0</v>
      </c>
      <c r="AF51" s="171" t="s">
        <v>697</v>
      </c>
      <c r="AG51" s="112">
        <v>5.0</v>
      </c>
      <c r="AH51" s="112"/>
      <c r="AI51" s="12"/>
      <c r="AJ51" s="12"/>
    </row>
    <row r="52" ht="14.25" customHeight="1">
      <c r="A52" s="222" t="s">
        <v>509</v>
      </c>
      <c r="B52" s="222" t="s">
        <v>699</v>
      </c>
      <c r="C52" s="222" t="s">
        <v>695</v>
      </c>
      <c r="D52" s="222" t="s">
        <v>699</v>
      </c>
      <c r="E52" s="223">
        <v>43794.0</v>
      </c>
      <c r="F52" s="223"/>
      <c r="G52" s="224"/>
      <c r="H52" s="171" t="s">
        <v>519</v>
      </c>
      <c r="I52" s="171" t="s">
        <v>520</v>
      </c>
      <c r="J52" s="171" t="s">
        <v>548</v>
      </c>
      <c r="K52" s="171" t="s">
        <v>415</v>
      </c>
      <c r="L52" s="171" t="s">
        <v>420</v>
      </c>
      <c r="M52" s="171" t="s">
        <v>475</v>
      </c>
      <c r="N52" s="171"/>
      <c r="O52" s="171">
        <v>10.0</v>
      </c>
      <c r="P52" s="171" t="s">
        <v>516</v>
      </c>
      <c r="Q52" s="171" t="s">
        <v>516</v>
      </c>
      <c r="R52" s="171" t="s">
        <v>516</v>
      </c>
      <c r="S52" s="171" t="s">
        <v>516</v>
      </c>
      <c r="T52" s="171" t="s">
        <v>516</v>
      </c>
      <c r="U52" s="171">
        <v>3.0</v>
      </c>
      <c r="V52" s="171">
        <v>14.0</v>
      </c>
      <c r="W52" s="171">
        <v>55.0</v>
      </c>
      <c r="X52" s="171">
        <v>65.0</v>
      </c>
      <c r="Y52" s="171">
        <v>10.0</v>
      </c>
      <c r="Z52" s="171">
        <v>10.0</v>
      </c>
      <c r="AA52" s="171">
        <v>5.0</v>
      </c>
      <c r="AB52" s="171">
        <v>5.0</v>
      </c>
      <c r="AC52" s="112"/>
      <c r="AD52" s="171" t="s">
        <v>696</v>
      </c>
      <c r="AE52" s="112">
        <v>500.0</v>
      </c>
      <c r="AF52" s="171" t="s">
        <v>697</v>
      </c>
      <c r="AG52" s="112">
        <v>5.0</v>
      </c>
      <c r="AH52" s="112"/>
      <c r="AI52" s="12"/>
      <c r="AJ52" s="12"/>
    </row>
    <row r="53" ht="14.25" customHeight="1">
      <c r="A53" s="222" t="s">
        <v>509</v>
      </c>
      <c r="B53" s="222" t="s">
        <v>700</v>
      </c>
      <c r="C53" s="222" t="s">
        <v>701</v>
      </c>
      <c r="D53" s="222" t="s">
        <v>700</v>
      </c>
      <c r="E53" s="223">
        <v>40420.0</v>
      </c>
      <c r="F53" s="223">
        <v>41639.0</v>
      </c>
      <c r="G53" s="224" t="s">
        <v>512</v>
      </c>
      <c r="H53" s="171" t="s">
        <v>519</v>
      </c>
      <c r="I53" s="171" t="s">
        <v>520</v>
      </c>
      <c r="J53" s="171" t="s">
        <v>516</v>
      </c>
      <c r="K53" s="171" t="s">
        <v>427</v>
      </c>
      <c r="L53" s="171" t="s">
        <v>466</v>
      </c>
      <c r="M53" s="171" t="s">
        <v>475</v>
      </c>
      <c r="N53" s="171"/>
      <c r="O53" s="171">
        <v>5.0</v>
      </c>
      <c r="P53" s="171" t="s">
        <v>516</v>
      </c>
      <c r="Q53" s="171" t="s">
        <v>516</v>
      </c>
      <c r="R53" s="171" t="s">
        <v>516</v>
      </c>
      <c r="S53" s="171" t="s">
        <v>548</v>
      </c>
      <c r="T53" s="171" t="s">
        <v>516</v>
      </c>
      <c r="U53" s="171">
        <v>5.0</v>
      </c>
      <c r="V53" s="171">
        <v>18.0</v>
      </c>
      <c r="W53" s="171">
        <v>65.0</v>
      </c>
      <c r="X53" s="171">
        <v>75.0</v>
      </c>
      <c r="Y53" s="171">
        <v>10.0</v>
      </c>
      <c r="Z53" s="171">
        <v>20.0</v>
      </c>
      <c r="AA53" s="229" t="s">
        <v>702</v>
      </c>
      <c r="AB53" s="69"/>
      <c r="AC53" s="171" t="s">
        <v>703</v>
      </c>
      <c r="AD53" s="171" t="s">
        <v>704</v>
      </c>
      <c r="AE53" s="230">
        <f>MIN(500,0.4%*Annual_Prem)</f>
        <v>400</v>
      </c>
      <c r="AF53" s="171" t="s">
        <v>705</v>
      </c>
      <c r="AG53" s="112">
        <v>5.0</v>
      </c>
      <c r="AH53" s="112"/>
      <c r="AI53" s="12"/>
      <c r="AJ53" s="12"/>
    </row>
    <row r="54" ht="14.25" customHeight="1">
      <c r="A54" s="222" t="s">
        <v>509</v>
      </c>
      <c r="B54" s="222" t="s">
        <v>706</v>
      </c>
      <c r="C54" s="222" t="s">
        <v>707</v>
      </c>
      <c r="D54" s="222" t="s">
        <v>706</v>
      </c>
      <c r="E54" s="223">
        <v>40434.0</v>
      </c>
      <c r="F54" s="223">
        <v>41639.0</v>
      </c>
      <c r="G54" s="224" t="s">
        <v>512</v>
      </c>
      <c r="H54" s="171" t="s">
        <v>519</v>
      </c>
      <c r="I54" s="171" t="s">
        <v>520</v>
      </c>
      <c r="J54" s="171" t="s">
        <v>516</v>
      </c>
      <c r="K54" s="171" t="s">
        <v>415</v>
      </c>
      <c r="L54" s="171" t="s">
        <v>420</v>
      </c>
      <c r="M54" s="171" t="s">
        <v>475</v>
      </c>
      <c r="N54" s="171"/>
      <c r="O54" s="171">
        <v>5.0</v>
      </c>
      <c r="P54" s="171" t="s">
        <v>516</v>
      </c>
      <c r="Q54" s="171" t="s">
        <v>516</v>
      </c>
      <c r="R54" s="171" t="s">
        <v>516</v>
      </c>
      <c r="S54" s="171" t="s">
        <v>516</v>
      </c>
      <c r="T54" s="171" t="s">
        <v>516</v>
      </c>
      <c r="U54" s="171">
        <v>2.0</v>
      </c>
      <c r="V54" s="171">
        <v>14.0</v>
      </c>
      <c r="W54" s="171">
        <v>65.0</v>
      </c>
      <c r="X54" s="171">
        <v>75.0</v>
      </c>
      <c r="Y54" s="171">
        <v>10.0</v>
      </c>
      <c r="Z54" s="171">
        <v>30.0</v>
      </c>
      <c r="AA54" s="229" t="s">
        <v>702</v>
      </c>
      <c r="AB54" s="69"/>
      <c r="AC54" s="171" t="s">
        <v>703</v>
      </c>
      <c r="AD54" s="171" t="s">
        <v>708</v>
      </c>
      <c r="AE54" s="230">
        <f>MIN(500,0.4%*Annual_Prem)</f>
        <v>400</v>
      </c>
      <c r="AF54" s="171" t="s">
        <v>709</v>
      </c>
      <c r="AG54" s="112">
        <v>5.0</v>
      </c>
      <c r="AH54" s="112"/>
      <c r="AI54" s="12"/>
      <c r="AJ54" s="12"/>
    </row>
    <row r="55" ht="14.25" customHeight="1">
      <c r="A55" s="222" t="s">
        <v>509</v>
      </c>
      <c r="B55" s="222" t="s">
        <v>710</v>
      </c>
      <c r="C55" s="222" t="s">
        <v>707</v>
      </c>
      <c r="D55" s="222" t="s">
        <v>710</v>
      </c>
      <c r="E55" s="223">
        <v>41458.0</v>
      </c>
      <c r="F55" s="223">
        <v>43019.0</v>
      </c>
      <c r="G55" s="224" t="s">
        <v>512</v>
      </c>
      <c r="H55" s="171" t="s">
        <v>519</v>
      </c>
      <c r="I55" s="171" t="s">
        <v>520</v>
      </c>
      <c r="J55" s="171" t="s">
        <v>516</v>
      </c>
      <c r="K55" s="171" t="s">
        <v>415</v>
      </c>
      <c r="L55" s="171" t="s">
        <v>420</v>
      </c>
      <c r="M55" s="171" t="s">
        <v>475</v>
      </c>
      <c r="N55" s="171"/>
      <c r="O55" s="171">
        <v>4.0</v>
      </c>
      <c r="P55" s="171" t="s">
        <v>516</v>
      </c>
      <c r="Q55" s="171" t="s">
        <v>516</v>
      </c>
      <c r="R55" s="171" t="s">
        <v>516</v>
      </c>
      <c r="S55" s="171" t="s">
        <v>516</v>
      </c>
      <c r="T55" s="171" t="s">
        <v>516</v>
      </c>
      <c r="U55" s="171">
        <v>2.0</v>
      </c>
      <c r="V55" s="171">
        <v>14.0</v>
      </c>
      <c r="W55" s="171">
        <v>65.0</v>
      </c>
      <c r="X55" s="171">
        <v>75.0</v>
      </c>
      <c r="Y55" s="171">
        <v>10.0</v>
      </c>
      <c r="Z55" s="171">
        <v>30.0</v>
      </c>
      <c r="AA55" s="229" t="s">
        <v>702</v>
      </c>
      <c r="AB55" s="69"/>
      <c r="AC55" s="171" t="s">
        <v>703</v>
      </c>
      <c r="AD55" s="171" t="s">
        <v>708</v>
      </c>
      <c r="AE55" s="230">
        <f>MIN(500,0.4%*Annual_Prem)</f>
        <v>400</v>
      </c>
      <c r="AF55" s="171" t="s">
        <v>709</v>
      </c>
      <c r="AG55" s="112">
        <v>5.0</v>
      </c>
      <c r="AH55" s="112"/>
      <c r="AI55" s="12"/>
      <c r="AJ55" s="12"/>
    </row>
    <row r="56" ht="14.25" customHeight="1">
      <c r="A56" s="222" t="s">
        <v>509</v>
      </c>
      <c r="B56" s="222" t="s">
        <v>711</v>
      </c>
      <c r="C56" s="222" t="s">
        <v>707</v>
      </c>
      <c r="D56" s="222" t="s">
        <v>711</v>
      </c>
      <c r="E56" s="231">
        <v>43020.0</v>
      </c>
      <c r="F56" s="223">
        <v>43807.0</v>
      </c>
      <c r="G56" s="224" t="s">
        <v>512</v>
      </c>
      <c r="H56" s="171" t="s">
        <v>519</v>
      </c>
      <c r="I56" s="171" t="s">
        <v>520</v>
      </c>
      <c r="J56" s="171" t="s">
        <v>548</v>
      </c>
      <c r="K56" s="171" t="s">
        <v>415</v>
      </c>
      <c r="L56" s="171" t="s">
        <v>420</v>
      </c>
      <c r="M56" s="171" t="s">
        <v>475</v>
      </c>
      <c r="N56" s="171"/>
      <c r="O56" s="171">
        <v>8.0</v>
      </c>
      <c r="P56" s="171" t="s">
        <v>516</v>
      </c>
      <c r="Q56" s="171" t="s">
        <v>516</v>
      </c>
      <c r="R56" s="171" t="s">
        <v>516</v>
      </c>
      <c r="S56" s="171" t="s">
        <v>516</v>
      </c>
      <c r="T56" s="171" t="s">
        <v>516</v>
      </c>
      <c r="U56" s="171">
        <v>2.0</v>
      </c>
      <c r="V56" s="171">
        <v>14.0</v>
      </c>
      <c r="W56" s="171">
        <v>65.0</v>
      </c>
      <c r="X56" s="171">
        <v>75.0</v>
      </c>
      <c r="Y56" s="171">
        <v>10.0</v>
      </c>
      <c r="Z56" s="171">
        <v>30.0</v>
      </c>
      <c r="AA56" s="229" t="s">
        <v>702</v>
      </c>
      <c r="AB56" s="69"/>
      <c r="AC56" s="171" t="s">
        <v>703</v>
      </c>
      <c r="AD56" s="171" t="s">
        <v>708</v>
      </c>
      <c r="AE56" s="230">
        <f>MIN(500,0.4%*Annual_Prem)</f>
        <v>400</v>
      </c>
      <c r="AF56" s="171" t="s">
        <v>709</v>
      </c>
      <c r="AG56" s="112">
        <v>5.0</v>
      </c>
      <c r="AH56" s="112"/>
      <c r="AI56" s="12"/>
      <c r="AJ56" s="12"/>
    </row>
    <row r="57" ht="14.25" customHeight="1">
      <c r="A57" s="222" t="s">
        <v>509</v>
      </c>
      <c r="B57" s="222" t="s">
        <v>712</v>
      </c>
      <c r="C57" s="222" t="s">
        <v>707</v>
      </c>
      <c r="D57" s="222" t="s">
        <v>712</v>
      </c>
      <c r="E57" s="231">
        <v>43808.0</v>
      </c>
      <c r="F57" s="223"/>
      <c r="G57" s="224"/>
      <c r="H57" s="171" t="s">
        <v>519</v>
      </c>
      <c r="I57" s="171" t="s">
        <v>520</v>
      </c>
      <c r="J57" s="171" t="s">
        <v>516</v>
      </c>
      <c r="K57" s="171" t="s">
        <v>415</v>
      </c>
      <c r="L57" s="171" t="s">
        <v>420</v>
      </c>
      <c r="M57" s="171" t="s">
        <v>475</v>
      </c>
      <c r="N57" s="171"/>
      <c r="O57" s="171">
        <v>10.0</v>
      </c>
      <c r="P57" s="171" t="s">
        <v>516</v>
      </c>
      <c r="Q57" s="171" t="s">
        <v>516</v>
      </c>
      <c r="R57" s="171" t="s">
        <v>516</v>
      </c>
      <c r="S57" s="171" t="s">
        <v>516</v>
      </c>
      <c r="T57" s="171" t="s">
        <v>516</v>
      </c>
      <c r="U57" s="171">
        <v>2.0</v>
      </c>
      <c r="V57" s="171">
        <v>14.0</v>
      </c>
      <c r="W57" s="171">
        <v>65.0</v>
      </c>
      <c r="X57" s="171">
        <v>75.0</v>
      </c>
      <c r="Y57" s="171">
        <v>10.0</v>
      </c>
      <c r="Z57" s="171">
        <v>30.0</v>
      </c>
      <c r="AA57" s="229" t="s">
        <v>702</v>
      </c>
      <c r="AB57" s="69"/>
      <c r="AC57" s="171" t="s">
        <v>703</v>
      </c>
      <c r="AD57" s="171" t="s">
        <v>708</v>
      </c>
      <c r="AE57" s="230">
        <f>MIN(500,0.4%*Annual_Prem)</f>
        <v>400</v>
      </c>
      <c r="AF57" s="171" t="s">
        <v>709</v>
      </c>
      <c r="AG57" s="112">
        <v>5.0</v>
      </c>
      <c r="AH57" s="112"/>
      <c r="AI57" s="12"/>
      <c r="AJ57" s="12"/>
    </row>
    <row r="58" ht="14.25" customHeight="1">
      <c r="A58" s="222" t="s">
        <v>509</v>
      </c>
      <c r="B58" s="222" t="s">
        <v>713</v>
      </c>
      <c r="C58" s="222" t="s">
        <v>714</v>
      </c>
      <c r="D58" s="222" t="s">
        <v>713</v>
      </c>
      <c r="E58" s="223">
        <v>40472.0</v>
      </c>
      <c r="F58" s="223">
        <v>41547.0</v>
      </c>
      <c r="G58" s="224" t="s">
        <v>512</v>
      </c>
      <c r="H58" s="171" t="s">
        <v>519</v>
      </c>
      <c r="I58" s="171" t="s">
        <v>520</v>
      </c>
      <c r="J58" s="171" t="s">
        <v>516</v>
      </c>
      <c r="K58" s="171" t="s">
        <v>415</v>
      </c>
      <c r="L58" s="171" t="s">
        <v>420</v>
      </c>
      <c r="M58" s="171" t="s">
        <v>475</v>
      </c>
      <c r="N58" s="171"/>
      <c r="O58" s="171">
        <v>4.0</v>
      </c>
      <c r="P58" s="171" t="s">
        <v>516</v>
      </c>
      <c r="Q58" s="171" t="s">
        <v>516</v>
      </c>
      <c r="R58" s="171" t="s">
        <v>516</v>
      </c>
      <c r="S58" s="171" t="s">
        <v>516</v>
      </c>
      <c r="T58" s="171" t="s">
        <v>516</v>
      </c>
      <c r="U58" s="171">
        <v>5.0</v>
      </c>
      <c r="V58" s="112"/>
      <c r="W58" s="112"/>
      <c r="X58" s="112"/>
      <c r="Y58" s="229">
        <v>10.0</v>
      </c>
      <c r="Z58" s="69"/>
      <c r="AA58" s="229" t="s">
        <v>702</v>
      </c>
      <c r="AB58" s="69"/>
      <c r="AC58" s="112"/>
      <c r="AD58" s="171" t="s">
        <v>715</v>
      </c>
      <c r="AE58" s="112">
        <v>500.0</v>
      </c>
      <c r="AF58" s="171" t="s">
        <v>716</v>
      </c>
      <c r="AG58" s="112">
        <v>5.0</v>
      </c>
      <c r="AH58" s="112"/>
      <c r="AI58" s="12"/>
      <c r="AJ58" s="12"/>
    </row>
    <row r="59" ht="14.25" customHeight="1">
      <c r="A59" s="222" t="s">
        <v>509</v>
      </c>
      <c r="B59" s="222" t="s">
        <v>717</v>
      </c>
      <c r="C59" s="222" t="s">
        <v>714</v>
      </c>
      <c r="D59" s="222" t="s">
        <v>717</v>
      </c>
      <c r="E59" s="223">
        <v>41458.0</v>
      </c>
      <c r="F59" s="223"/>
      <c r="G59" s="224"/>
      <c r="H59" s="171" t="s">
        <v>519</v>
      </c>
      <c r="I59" s="171" t="s">
        <v>520</v>
      </c>
      <c r="J59" s="171" t="s">
        <v>516</v>
      </c>
      <c r="K59" s="171" t="s">
        <v>415</v>
      </c>
      <c r="L59" s="171" t="s">
        <v>420</v>
      </c>
      <c r="M59" s="171" t="s">
        <v>475</v>
      </c>
      <c r="N59" s="171"/>
      <c r="O59" s="171">
        <v>4.0</v>
      </c>
      <c r="P59" s="171" t="s">
        <v>516</v>
      </c>
      <c r="Q59" s="171" t="s">
        <v>516</v>
      </c>
      <c r="R59" s="171" t="s">
        <v>516</v>
      </c>
      <c r="S59" s="171" t="s">
        <v>516</v>
      </c>
      <c r="T59" s="171" t="s">
        <v>516</v>
      </c>
      <c r="U59" s="171">
        <v>5.0</v>
      </c>
      <c r="V59" s="112"/>
      <c r="W59" s="112"/>
      <c r="X59" s="112"/>
      <c r="Y59" s="229">
        <v>10.0</v>
      </c>
      <c r="Z59" s="69"/>
      <c r="AA59" s="229" t="s">
        <v>702</v>
      </c>
      <c r="AB59" s="69"/>
      <c r="AC59" s="112"/>
      <c r="AD59" s="171" t="s">
        <v>715</v>
      </c>
      <c r="AE59" s="112">
        <v>500.0</v>
      </c>
      <c r="AF59" s="171" t="s">
        <v>716</v>
      </c>
      <c r="AG59" s="112">
        <v>5.0</v>
      </c>
      <c r="AH59" s="112"/>
      <c r="AI59" s="12"/>
      <c r="AJ59" s="12"/>
    </row>
    <row r="60" ht="14.25" customHeight="1">
      <c r="A60" s="222" t="s">
        <v>509</v>
      </c>
      <c r="B60" s="222" t="s">
        <v>718</v>
      </c>
      <c r="C60" s="222" t="s">
        <v>714</v>
      </c>
      <c r="D60" s="222" t="s">
        <v>718</v>
      </c>
      <c r="E60" s="223">
        <v>42713.0</v>
      </c>
      <c r="F60" s="223"/>
      <c r="G60" s="224"/>
      <c r="H60" s="171" t="s">
        <v>519</v>
      </c>
      <c r="I60" s="171" t="s">
        <v>520</v>
      </c>
      <c r="J60" s="171" t="s">
        <v>516</v>
      </c>
      <c r="K60" s="171" t="s">
        <v>415</v>
      </c>
      <c r="L60" s="171" t="s">
        <v>420</v>
      </c>
      <c r="M60" s="171" t="s">
        <v>475</v>
      </c>
      <c r="N60" s="171"/>
      <c r="O60" s="171">
        <v>4.0</v>
      </c>
      <c r="P60" s="171" t="s">
        <v>516</v>
      </c>
      <c r="Q60" s="171" t="s">
        <v>516</v>
      </c>
      <c r="R60" s="171" t="s">
        <v>516</v>
      </c>
      <c r="S60" s="171" t="s">
        <v>516</v>
      </c>
      <c r="T60" s="171" t="s">
        <v>516</v>
      </c>
      <c r="U60" s="171">
        <v>5.0</v>
      </c>
      <c r="V60" s="112"/>
      <c r="W60" s="112"/>
      <c r="X60" s="112"/>
      <c r="Y60" s="229">
        <v>10.0</v>
      </c>
      <c r="Z60" s="69"/>
      <c r="AA60" s="229" t="s">
        <v>702</v>
      </c>
      <c r="AB60" s="69"/>
      <c r="AC60" s="112"/>
      <c r="AD60" s="171" t="s">
        <v>715</v>
      </c>
      <c r="AE60" s="112">
        <v>500.0</v>
      </c>
      <c r="AF60" s="171" t="s">
        <v>716</v>
      </c>
      <c r="AG60" s="112">
        <v>5.0</v>
      </c>
      <c r="AH60" s="112"/>
      <c r="AI60" s="12"/>
      <c r="AJ60" s="12"/>
    </row>
    <row r="61" ht="14.25" customHeight="1">
      <c r="A61" s="222" t="s">
        <v>509</v>
      </c>
      <c r="B61" s="222" t="s">
        <v>719</v>
      </c>
      <c r="C61" s="222" t="s">
        <v>720</v>
      </c>
      <c r="D61" s="222" t="s">
        <v>719</v>
      </c>
      <c r="E61" s="223">
        <v>40483.0</v>
      </c>
      <c r="F61" s="223">
        <v>41639.0</v>
      </c>
      <c r="G61" s="224" t="s">
        <v>512</v>
      </c>
      <c r="H61" s="171" t="s">
        <v>519</v>
      </c>
      <c r="I61" s="171" t="s">
        <v>520</v>
      </c>
      <c r="J61" s="171" t="s">
        <v>516</v>
      </c>
      <c r="K61" s="171" t="s">
        <v>433</v>
      </c>
      <c r="L61" s="171" t="s">
        <v>420</v>
      </c>
      <c r="M61" s="171" t="s">
        <v>475</v>
      </c>
      <c r="N61" s="171"/>
      <c r="O61" s="171">
        <v>5.0</v>
      </c>
      <c r="P61" s="171" t="s">
        <v>516</v>
      </c>
      <c r="Q61" s="171" t="s">
        <v>516</v>
      </c>
      <c r="R61" s="171" t="s">
        <v>516</v>
      </c>
      <c r="S61" s="171" t="s">
        <v>516</v>
      </c>
      <c r="T61" s="171" t="s">
        <v>516</v>
      </c>
      <c r="U61" s="171">
        <v>2.0</v>
      </c>
      <c r="V61" s="171">
        <v>18.0</v>
      </c>
      <c r="W61" s="171">
        <v>65.0</v>
      </c>
      <c r="X61" s="171">
        <v>75.0</v>
      </c>
      <c r="Y61" s="171">
        <v>10.0</v>
      </c>
      <c r="Z61" s="171">
        <v>20.0</v>
      </c>
      <c r="AA61" s="229" t="s">
        <v>702</v>
      </c>
      <c r="AB61" s="69"/>
      <c r="AC61" s="171" t="s">
        <v>703</v>
      </c>
      <c r="AD61" s="171" t="s">
        <v>721</v>
      </c>
      <c r="AE61" s="230">
        <f>MIN(500,0.4%*Annual_Prem)</f>
        <v>400</v>
      </c>
      <c r="AF61" s="171" t="s">
        <v>722</v>
      </c>
      <c r="AG61" s="112">
        <v>5.0</v>
      </c>
      <c r="AH61" s="112"/>
      <c r="AI61" s="12"/>
      <c r="AJ61" s="12"/>
    </row>
    <row r="62" ht="14.25" customHeight="1">
      <c r="A62" s="222" t="s">
        <v>509</v>
      </c>
      <c r="B62" s="222" t="s">
        <v>723</v>
      </c>
      <c r="C62" s="222" t="s">
        <v>720</v>
      </c>
      <c r="D62" s="222" t="s">
        <v>723</v>
      </c>
      <c r="E62" s="223">
        <v>41458.0</v>
      </c>
      <c r="F62" s="223">
        <v>43793.0</v>
      </c>
      <c r="G62" s="224" t="s">
        <v>512</v>
      </c>
      <c r="H62" s="171" t="s">
        <v>519</v>
      </c>
      <c r="I62" s="171" t="s">
        <v>520</v>
      </c>
      <c r="J62" s="171" t="s">
        <v>548</v>
      </c>
      <c r="K62" s="171" t="s">
        <v>433</v>
      </c>
      <c r="L62" s="171" t="s">
        <v>420</v>
      </c>
      <c r="M62" s="171" t="s">
        <v>475</v>
      </c>
      <c r="N62" s="171"/>
      <c r="O62" s="171">
        <v>4.0</v>
      </c>
      <c r="P62" s="171" t="s">
        <v>516</v>
      </c>
      <c r="Q62" s="171" t="s">
        <v>516</v>
      </c>
      <c r="R62" s="171" t="s">
        <v>516</v>
      </c>
      <c r="S62" s="171" t="s">
        <v>516</v>
      </c>
      <c r="T62" s="171" t="s">
        <v>516</v>
      </c>
      <c r="U62" s="171">
        <v>2.0</v>
      </c>
      <c r="V62" s="171">
        <v>18.0</v>
      </c>
      <c r="W62" s="171">
        <v>65.0</v>
      </c>
      <c r="X62" s="171">
        <v>75.0</v>
      </c>
      <c r="Y62" s="171">
        <v>10.0</v>
      </c>
      <c r="Z62" s="171">
        <v>20.0</v>
      </c>
      <c r="AA62" s="229" t="s">
        <v>702</v>
      </c>
      <c r="AB62" s="69"/>
      <c r="AC62" s="171" t="s">
        <v>703</v>
      </c>
      <c r="AD62" s="171" t="s">
        <v>721</v>
      </c>
      <c r="AE62" s="230">
        <f>MIN(500,0.4%*Annual_Prem)</f>
        <v>400</v>
      </c>
      <c r="AF62" s="171" t="s">
        <v>722</v>
      </c>
      <c r="AG62" s="112">
        <v>5.0</v>
      </c>
      <c r="AH62" s="112"/>
      <c r="AI62" s="12"/>
      <c r="AJ62" s="12"/>
    </row>
    <row r="63" ht="14.25" customHeight="1">
      <c r="A63" s="222" t="s">
        <v>509</v>
      </c>
      <c r="B63" s="222" t="s">
        <v>724</v>
      </c>
      <c r="C63" s="222" t="s">
        <v>720</v>
      </c>
      <c r="D63" s="222" t="s">
        <v>724</v>
      </c>
      <c r="E63" s="223">
        <v>43794.0</v>
      </c>
      <c r="F63" s="223"/>
      <c r="G63" s="224"/>
      <c r="H63" s="171" t="s">
        <v>519</v>
      </c>
      <c r="I63" s="171" t="s">
        <v>520</v>
      </c>
      <c r="J63" s="171" t="s">
        <v>548</v>
      </c>
      <c r="K63" s="171" t="s">
        <v>433</v>
      </c>
      <c r="L63" s="171" t="s">
        <v>420</v>
      </c>
      <c r="M63" s="171" t="s">
        <v>475</v>
      </c>
      <c r="N63" s="171"/>
      <c r="O63" s="171">
        <v>4.0</v>
      </c>
      <c r="P63" s="171" t="s">
        <v>516</v>
      </c>
      <c r="Q63" s="171" t="s">
        <v>516</v>
      </c>
      <c r="R63" s="171" t="s">
        <v>516</v>
      </c>
      <c r="S63" s="171" t="s">
        <v>516</v>
      </c>
      <c r="T63" s="171" t="s">
        <v>516</v>
      </c>
      <c r="U63" s="171">
        <v>2.0</v>
      </c>
      <c r="V63" s="171">
        <v>18.0</v>
      </c>
      <c r="W63" s="171">
        <v>65.0</v>
      </c>
      <c r="X63" s="171">
        <v>75.0</v>
      </c>
      <c r="Y63" s="171">
        <v>10.0</v>
      </c>
      <c r="Z63" s="171">
        <v>20.0</v>
      </c>
      <c r="AA63" s="229" t="s">
        <v>702</v>
      </c>
      <c r="AB63" s="69"/>
      <c r="AC63" s="171" t="s">
        <v>703</v>
      </c>
      <c r="AD63" s="171" t="s">
        <v>721</v>
      </c>
      <c r="AE63" s="230">
        <f>MIN(500,0.4%*Annual_Prem)</f>
        <v>400</v>
      </c>
      <c r="AF63" s="171" t="s">
        <v>722</v>
      </c>
      <c r="AG63" s="112">
        <v>5.0</v>
      </c>
      <c r="AH63" s="112"/>
      <c r="AI63" s="12"/>
      <c r="AJ63" s="12"/>
    </row>
    <row r="64" ht="14.25" customHeight="1">
      <c r="A64" s="222" t="s">
        <v>509</v>
      </c>
      <c r="B64" s="222" t="s">
        <v>725</v>
      </c>
      <c r="C64" s="222" t="s">
        <v>726</v>
      </c>
      <c r="D64" s="222" t="s">
        <v>725</v>
      </c>
      <c r="E64" s="223">
        <v>40533.0</v>
      </c>
      <c r="F64" s="223">
        <v>41639.0</v>
      </c>
      <c r="G64" s="224" t="s">
        <v>512</v>
      </c>
      <c r="H64" s="171" t="s">
        <v>519</v>
      </c>
      <c r="I64" s="171" t="s">
        <v>520</v>
      </c>
      <c r="J64" s="171" t="s">
        <v>516</v>
      </c>
      <c r="K64" s="171" t="s">
        <v>415</v>
      </c>
      <c r="L64" s="171" t="s">
        <v>420</v>
      </c>
      <c r="M64" s="171" t="s">
        <v>475</v>
      </c>
      <c r="N64" s="171"/>
      <c r="O64" s="171">
        <v>5.0</v>
      </c>
      <c r="P64" s="171" t="s">
        <v>516</v>
      </c>
      <c r="Q64" s="171" t="s">
        <v>516</v>
      </c>
      <c r="R64" s="171" t="s">
        <v>516</v>
      </c>
      <c r="S64" s="171" t="s">
        <v>516</v>
      </c>
      <c r="T64" s="171" t="s">
        <v>516</v>
      </c>
      <c r="U64" s="171">
        <v>2.0</v>
      </c>
      <c r="V64" s="171">
        <v>14.0</v>
      </c>
      <c r="W64" s="171">
        <v>65.0</v>
      </c>
      <c r="X64" s="171">
        <v>75.0</v>
      </c>
      <c r="Y64" s="171">
        <v>10.0</v>
      </c>
      <c r="Z64" s="171">
        <v>15.0</v>
      </c>
      <c r="AA64" s="171">
        <v>5.0</v>
      </c>
      <c r="AB64" s="171">
        <v>10.0</v>
      </c>
      <c r="AC64" s="112"/>
      <c r="AD64" s="171" t="s">
        <v>727</v>
      </c>
      <c r="AE64" s="112">
        <v>500.0</v>
      </c>
      <c r="AF64" s="171" t="s">
        <v>728</v>
      </c>
      <c r="AG64" s="112">
        <v>5.0</v>
      </c>
      <c r="AH64" s="112"/>
      <c r="AI64" s="12"/>
      <c r="AJ64" s="12"/>
    </row>
    <row r="65" ht="14.25" customHeight="1">
      <c r="A65" s="222" t="s">
        <v>509</v>
      </c>
      <c r="B65" s="222" t="s">
        <v>729</v>
      </c>
      <c r="C65" s="222" t="s">
        <v>726</v>
      </c>
      <c r="D65" s="222" t="s">
        <v>729</v>
      </c>
      <c r="E65" s="223">
        <v>41458.0</v>
      </c>
      <c r="F65" s="223"/>
      <c r="G65" s="224"/>
      <c r="H65" s="171" t="s">
        <v>519</v>
      </c>
      <c r="I65" s="171" t="s">
        <v>520</v>
      </c>
      <c r="J65" s="171" t="s">
        <v>516</v>
      </c>
      <c r="K65" s="171" t="s">
        <v>415</v>
      </c>
      <c r="L65" s="171" t="s">
        <v>420</v>
      </c>
      <c r="M65" s="171" t="s">
        <v>475</v>
      </c>
      <c r="N65" s="171"/>
      <c r="O65" s="171">
        <v>4.0</v>
      </c>
      <c r="P65" s="171" t="s">
        <v>516</v>
      </c>
      <c r="Q65" s="171" t="s">
        <v>516</v>
      </c>
      <c r="R65" s="171" t="s">
        <v>516</v>
      </c>
      <c r="S65" s="171" t="s">
        <v>516</v>
      </c>
      <c r="T65" s="171" t="s">
        <v>516</v>
      </c>
      <c r="U65" s="171">
        <v>2.0</v>
      </c>
      <c r="V65" s="171">
        <v>14.0</v>
      </c>
      <c r="W65" s="171">
        <v>65.0</v>
      </c>
      <c r="X65" s="171">
        <v>75.0</v>
      </c>
      <c r="Y65" s="171">
        <v>10.0</v>
      </c>
      <c r="Z65" s="171">
        <v>15.0</v>
      </c>
      <c r="AA65" s="171">
        <v>5.0</v>
      </c>
      <c r="AB65" s="171">
        <v>10.0</v>
      </c>
      <c r="AC65" s="112"/>
      <c r="AD65" s="171" t="s">
        <v>727</v>
      </c>
      <c r="AE65" s="112">
        <v>500.0</v>
      </c>
      <c r="AF65" s="171" t="s">
        <v>728</v>
      </c>
      <c r="AG65" s="112">
        <v>5.0</v>
      </c>
      <c r="AH65" s="112"/>
      <c r="AI65" s="12"/>
      <c r="AJ65" s="12"/>
    </row>
    <row r="66" ht="14.25" customHeight="1">
      <c r="A66" s="222" t="s">
        <v>509</v>
      </c>
      <c r="B66" s="222" t="s">
        <v>730</v>
      </c>
      <c r="C66" s="222" t="s">
        <v>726</v>
      </c>
      <c r="D66" s="222" t="s">
        <v>730</v>
      </c>
      <c r="E66" s="223">
        <v>42713.0</v>
      </c>
      <c r="F66" s="232">
        <v>43019.0</v>
      </c>
      <c r="G66" s="224" t="s">
        <v>512</v>
      </c>
      <c r="H66" s="171" t="s">
        <v>519</v>
      </c>
      <c r="I66" s="171" t="s">
        <v>520</v>
      </c>
      <c r="J66" s="171" t="s">
        <v>548</v>
      </c>
      <c r="K66" s="171" t="s">
        <v>415</v>
      </c>
      <c r="L66" s="171" t="s">
        <v>420</v>
      </c>
      <c r="M66" s="171" t="s">
        <v>475</v>
      </c>
      <c r="N66" s="171"/>
      <c r="O66" s="171">
        <v>8.0</v>
      </c>
      <c r="P66" s="171" t="s">
        <v>516</v>
      </c>
      <c r="Q66" s="171" t="s">
        <v>516</v>
      </c>
      <c r="R66" s="171" t="s">
        <v>516</v>
      </c>
      <c r="S66" s="171" t="s">
        <v>516</v>
      </c>
      <c r="T66" s="171" t="s">
        <v>516</v>
      </c>
      <c r="U66" s="171">
        <v>2.0</v>
      </c>
      <c r="V66" s="171">
        <v>14.0</v>
      </c>
      <c r="W66" s="171">
        <v>65.0</v>
      </c>
      <c r="X66" s="171">
        <v>75.0</v>
      </c>
      <c r="Y66" s="171">
        <v>10.0</v>
      </c>
      <c r="Z66" s="171">
        <v>15.0</v>
      </c>
      <c r="AA66" s="171">
        <v>5.0</v>
      </c>
      <c r="AB66" s="171">
        <v>10.0</v>
      </c>
      <c r="AC66" s="112"/>
      <c r="AD66" s="171" t="s">
        <v>727</v>
      </c>
      <c r="AE66" s="112">
        <v>500.0</v>
      </c>
      <c r="AF66" s="171" t="s">
        <v>728</v>
      </c>
      <c r="AG66" s="112">
        <v>5.0</v>
      </c>
      <c r="AH66" s="112"/>
      <c r="AI66" s="12"/>
      <c r="AJ66" s="12"/>
    </row>
    <row r="67" ht="14.25" customHeight="1">
      <c r="A67" s="222" t="s">
        <v>509</v>
      </c>
      <c r="B67" s="222" t="s">
        <v>731</v>
      </c>
      <c r="C67" s="222" t="s">
        <v>726</v>
      </c>
      <c r="D67" s="222" t="s">
        <v>731</v>
      </c>
      <c r="E67" s="231">
        <v>43020.0</v>
      </c>
      <c r="F67" s="223">
        <v>43807.0</v>
      </c>
      <c r="G67" s="224" t="s">
        <v>512</v>
      </c>
      <c r="H67" s="171" t="s">
        <v>519</v>
      </c>
      <c r="I67" s="171" t="s">
        <v>520</v>
      </c>
      <c r="J67" s="171" t="s">
        <v>516</v>
      </c>
      <c r="K67" s="171" t="s">
        <v>415</v>
      </c>
      <c r="L67" s="171" t="s">
        <v>420</v>
      </c>
      <c r="M67" s="171" t="s">
        <v>475</v>
      </c>
      <c r="N67" s="171"/>
      <c r="O67" s="171">
        <v>8.0</v>
      </c>
      <c r="P67" s="171" t="s">
        <v>516</v>
      </c>
      <c r="Q67" s="171" t="s">
        <v>516</v>
      </c>
      <c r="R67" s="171" t="s">
        <v>516</v>
      </c>
      <c r="S67" s="171" t="s">
        <v>516</v>
      </c>
      <c r="T67" s="171" t="s">
        <v>516</v>
      </c>
      <c r="U67" s="171">
        <v>2.0</v>
      </c>
      <c r="V67" s="171">
        <v>14.0</v>
      </c>
      <c r="W67" s="171">
        <v>65.0</v>
      </c>
      <c r="X67" s="171">
        <v>75.0</v>
      </c>
      <c r="Y67" s="171">
        <v>10.0</v>
      </c>
      <c r="Z67" s="171">
        <v>15.0</v>
      </c>
      <c r="AA67" s="171">
        <v>5.0</v>
      </c>
      <c r="AB67" s="171">
        <v>10.0</v>
      </c>
      <c r="AC67" s="112"/>
      <c r="AD67" s="171" t="s">
        <v>727</v>
      </c>
      <c r="AE67" s="112">
        <v>500.0</v>
      </c>
      <c r="AF67" s="171" t="s">
        <v>728</v>
      </c>
      <c r="AG67" s="112">
        <v>5.0</v>
      </c>
      <c r="AH67" s="112"/>
      <c r="AI67" s="12"/>
      <c r="AJ67" s="12"/>
    </row>
    <row r="68" ht="14.25" customHeight="1">
      <c r="A68" s="222" t="s">
        <v>509</v>
      </c>
      <c r="B68" s="222" t="s">
        <v>732</v>
      </c>
      <c r="C68" s="222" t="s">
        <v>726</v>
      </c>
      <c r="D68" s="222" t="s">
        <v>732</v>
      </c>
      <c r="E68" s="231">
        <v>43808.0</v>
      </c>
      <c r="F68" s="223"/>
      <c r="G68" s="224"/>
      <c r="H68" s="171" t="s">
        <v>519</v>
      </c>
      <c r="I68" s="171" t="s">
        <v>520</v>
      </c>
      <c r="J68" s="171" t="s">
        <v>516</v>
      </c>
      <c r="K68" s="171" t="s">
        <v>415</v>
      </c>
      <c r="L68" s="171" t="s">
        <v>420</v>
      </c>
      <c r="M68" s="171" t="s">
        <v>475</v>
      </c>
      <c r="N68" s="171"/>
      <c r="O68" s="171">
        <v>10.0</v>
      </c>
      <c r="P68" s="171" t="s">
        <v>516</v>
      </c>
      <c r="Q68" s="171" t="s">
        <v>516</v>
      </c>
      <c r="R68" s="171" t="s">
        <v>516</v>
      </c>
      <c r="S68" s="171" t="s">
        <v>516</v>
      </c>
      <c r="T68" s="171" t="s">
        <v>516</v>
      </c>
      <c r="U68" s="171">
        <v>2.0</v>
      </c>
      <c r="V68" s="171">
        <v>14.0</v>
      </c>
      <c r="W68" s="171">
        <v>65.0</v>
      </c>
      <c r="X68" s="171">
        <v>75.0</v>
      </c>
      <c r="Y68" s="171">
        <v>10.0</v>
      </c>
      <c r="Z68" s="171">
        <v>15.0</v>
      </c>
      <c r="AA68" s="171">
        <v>5.0</v>
      </c>
      <c r="AB68" s="171">
        <v>10.0</v>
      </c>
      <c r="AC68" s="112"/>
      <c r="AD68" s="171" t="s">
        <v>727</v>
      </c>
      <c r="AE68" s="112">
        <v>500.0</v>
      </c>
      <c r="AF68" s="171" t="s">
        <v>728</v>
      </c>
      <c r="AG68" s="112">
        <v>5.0</v>
      </c>
      <c r="AH68" s="112"/>
      <c r="AI68" s="12"/>
      <c r="AJ68" s="12"/>
    </row>
    <row r="69" ht="14.25" customHeight="1">
      <c r="A69" s="222" t="s">
        <v>509</v>
      </c>
      <c r="B69" s="222" t="s">
        <v>733</v>
      </c>
      <c r="C69" s="222" t="s">
        <v>734</v>
      </c>
      <c r="D69" s="222" t="s">
        <v>733</v>
      </c>
      <c r="E69" s="223">
        <v>40546.0</v>
      </c>
      <c r="F69" s="223">
        <v>41486.0</v>
      </c>
      <c r="G69" s="224" t="s">
        <v>512</v>
      </c>
      <c r="H69" s="171" t="s">
        <v>513</v>
      </c>
      <c r="I69" s="171"/>
      <c r="J69" s="171"/>
      <c r="K69" s="171"/>
      <c r="L69" s="171"/>
      <c r="M69" s="171"/>
      <c r="N69" s="171"/>
      <c r="O69" s="112"/>
      <c r="P69" s="171"/>
      <c r="Q69" s="171"/>
      <c r="R69" s="171"/>
      <c r="S69" s="171"/>
      <c r="T69" s="171"/>
      <c r="U69" s="112"/>
      <c r="V69" s="112"/>
      <c r="W69" s="112"/>
      <c r="X69" s="112"/>
      <c r="Y69" s="112"/>
      <c r="Z69" s="112"/>
      <c r="AA69" s="112"/>
      <c r="AB69" s="112"/>
      <c r="AC69" s="112"/>
      <c r="AD69" s="112"/>
      <c r="AE69" s="112"/>
      <c r="AF69" s="112"/>
      <c r="AG69" s="112">
        <v>5.0</v>
      </c>
      <c r="AH69" s="112"/>
      <c r="AI69" s="12"/>
      <c r="AJ69" s="12"/>
    </row>
    <row r="70" ht="14.25" customHeight="1">
      <c r="A70" s="222" t="s">
        <v>509</v>
      </c>
      <c r="B70" s="222" t="s">
        <v>735</v>
      </c>
      <c r="C70" s="222" t="s">
        <v>736</v>
      </c>
      <c r="D70" s="222" t="s">
        <v>735</v>
      </c>
      <c r="E70" s="223">
        <v>40557.0</v>
      </c>
      <c r="F70" s="223">
        <v>40908.0</v>
      </c>
      <c r="G70" s="224" t="s">
        <v>512</v>
      </c>
      <c r="H70" s="171" t="s">
        <v>519</v>
      </c>
      <c r="I70" s="171" t="s">
        <v>520</v>
      </c>
      <c r="J70" s="171" t="s">
        <v>516</v>
      </c>
      <c r="K70" s="112" t="s">
        <v>424</v>
      </c>
      <c r="L70" s="171" t="s">
        <v>420</v>
      </c>
      <c r="M70" s="171" t="s">
        <v>475</v>
      </c>
      <c r="N70" s="171"/>
      <c r="O70" s="171">
        <v>1.0</v>
      </c>
      <c r="P70" s="171" t="s">
        <v>516</v>
      </c>
      <c r="Q70" s="171" t="s">
        <v>516</v>
      </c>
      <c r="R70" s="171" t="s">
        <v>516</v>
      </c>
      <c r="S70" s="171" t="s">
        <v>548</v>
      </c>
      <c r="T70" s="171" t="s">
        <v>516</v>
      </c>
      <c r="U70" s="112"/>
      <c r="V70" s="112"/>
      <c r="W70" s="112"/>
      <c r="X70" s="112"/>
      <c r="Y70" s="112"/>
      <c r="Z70" s="112"/>
      <c r="AA70" s="112"/>
      <c r="AB70" s="112"/>
      <c r="AC70" s="112"/>
      <c r="AD70" s="183" t="s">
        <v>737</v>
      </c>
      <c r="AE70" s="112">
        <v>500.0</v>
      </c>
      <c r="AF70" s="171" t="s">
        <v>738</v>
      </c>
      <c r="AG70" s="112">
        <v>5.0</v>
      </c>
      <c r="AH70" s="112"/>
      <c r="AI70" s="12"/>
      <c r="AJ70" s="12"/>
    </row>
    <row r="71" ht="14.25" customHeight="1">
      <c r="A71" s="222" t="s">
        <v>509</v>
      </c>
      <c r="B71" s="222" t="s">
        <v>739</v>
      </c>
      <c r="C71" s="222" t="s">
        <v>740</v>
      </c>
      <c r="D71" s="222" t="s">
        <v>739</v>
      </c>
      <c r="E71" s="223">
        <v>40967.0</v>
      </c>
      <c r="F71" s="223">
        <v>41639.0</v>
      </c>
      <c r="G71" s="224" t="s">
        <v>512</v>
      </c>
      <c r="H71" s="171" t="s">
        <v>519</v>
      </c>
      <c r="I71" s="171" t="s">
        <v>520</v>
      </c>
      <c r="J71" s="171" t="s">
        <v>516</v>
      </c>
      <c r="K71" s="171" t="s">
        <v>415</v>
      </c>
      <c r="L71" s="171" t="s">
        <v>420</v>
      </c>
      <c r="M71" s="171" t="s">
        <v>475</v>
      </c>
      <c r="N71" s="171"/>
      <c r="O71" s="171">
        <v>5.0</v>
      </c>
      <c r="P71" s="171" t="s">
        <v>516</v>
      </c>
      <c r="Q71" s="171" t="s">
        <v>516</v>
      </c>
      <c r="R71" s="171" t="s">
        <v>516</v>
      </c>
      <c r="S71" s="171" t="s">
        <v>516</v>
      </c>
      <c r="T71" s="171" t="s">
        <v>516</v>
      </c>
      <c r="U71" s="171">
        <v>3.0</v>
      </c>
      <c r="V71" s="171">
        <v>14.0</v>
      </c>
      <c r="W71" s="171">
        <v>65.0</v>
      </c>
      <c r="X71" s="171">
        <v>75.0</v>
      </c>
      <c r="Y71" s="171">
        <v>10.0</v>
      </c>
      <c r="Z71" s="171">
        <v>30.0</v>
      </c>
      <c r="AA71" s="171">
        <v>10.0</v>
      </c>
      <c r="AB71" s="171">
        <v>30.0</v>
      </c>
      <c r="AC71" s="112"/>
      <c r="AD71" s="171" t="s">
        <v>741</v>
      </c>
      <c r="AE71" s="112">
        <v>500.0</v>
      </c>
      <c r="AF71" s="171" t="s">
        <v>742</v>
      </c>
      <c r="AG71" s="112">
        <v>5.0</v>
      </c>
      <c r="AH71" s="112"/>
      <c r="AI71" s="12"/>
      <c r="AJ71" s="12"/>
    </row>
    <row r="72" ht="14.25" customHeight="1">
      <c r="A72" s="222" t="s">
        <v>509</v>
      </c>
      <c r="B72" s="222" t="s">
        <v>743</v>
      </c>
      <c r="C72" s="222" t="s">
        <v>740</v>
      </c>
      <c r="D72" s="222" t="s">
        <v>743</v>
      </c>
      <c r="E72" s="223">
        <v>41458.0</v>
      </c>
      <c r="F72" s="223"/>
      <c r="G72" s="224"/>
      <c r="H72" s="171" t="s">
        <v>519</v>
      </c>
      <c r="I72" s="171" t="s">
        <v>520</v>
      </c>
      <c r="J72" s="171" t="s">
        <v>516</v>
      </c>
      <c r="K72" s="171" t="s">
        <v>415</v>
      </c>
      <c r="L72" s="171" t="s">
        <v>420</v>
      </c>
      <c r="M72" s="171" t="s">
        <v>475</v>
      </c>
      <c r="N72" s="171"/>
      <c r="O72" s="171">
        <v>4.0</v>
      </c>
      <c r="P72" s="171" t="s">
        <v>516</v>
      </c>
      <c r="Q72" s="171" t="s">
        <v>516</v>
      </c>
      <c r="R72" s="171" t="s">
        <v>516</v>
      </c>
      <c r="S72" s="171" t="s">
        <v>516</v>
      </c>
      <c r="T72" s="171" t="s">
        <v>516</v>
      </c>
      <c r="U72" s="171">
        <v>3.0</v>
      </c>
      <c r="V72" s="171">
        <v>14.0</v>
      </c>
      <c r="W72" s="171">
        <v>65.0</v>
      </c>
      <c r="X72" s="171">
        <v>75.0</v>
      </c>
      <c r="Y72" s="171">
        <v>10.0</v>
      </c>
      <c r="Z72" s="171">
        <v>30.0</v>
      </c>
      <c r="AA72" s="171">
        <v>10.0</v>
      </c>
      <c r="AB72" s="171">
        <v>30.0</v>
      </c>
      <c r="AC72" s="112"/>
      <c r="AD72" s="171" t="s">
        <v>741</v>
      </c>
      <c r="AE72" s="112">
        <v>500.0</v>
      </c>
      <c r="AF72" s="171" t="s">
        <v>742</v>
      </c>
      <c r="AG72" s="112">
        <v>5.0</v>
      </c>
      <c r="AH72" s="112"/>
      <c r="AI72" s="12"/>
      <c r="AJ72" s="12"/>
    </row>
    <row r="73" ht="14.25" customHeight="1">
      <c r="A73" s="222" t="s">
        <v>509</v>
      </c>
      <c r="B73" s="222" t="s">
        <v>744</v>
      </c>
      <c r="C73" s="222" t="s">
        <v>740</v>
      </c>
      <c r="D73" s="222" t="s">
        <v>744</v>
      </c>
      <c r="E73" s="223">
        <v>42713.0</v>
      </c>
      <c r="F73" s="232">
        <v>43019.0</v>
      </c>
      <c r="G73" s="224" t="s">
        <v>512</v>
      </c>
      <c r="H73" s="171" t="s">
        <v>519</v>
      </c>
      <c r="I73" s="171" t="s">
        <v>520</v>
      </c>
      <c r="J73" s="171" t="s">
        <v>516</v>
      </c>
      <c r="K73" s="171" t="s">
        <v>415</v>
      </c>
      <c r="L73" s="171" t="s">
        <v>420</v>
      </c>
      <c r="M73" s="171" t="s">
        <v>475</v>
      </c>
      <c r="N73" s="171"/>
      <c r="O73" s="171">
        <v>4.0</v>
      </c>
      <c r="P73" s="171" t="s">
        <v>516</v>
      </c>
      <c r="Q73" s="171" t="s">
        <v>516</v>
      </c>
      <c r="R73" s="171" t="s">
        <v>516</v>
      </c>
      <c r="S73" s="171" t="s">
        <v>516</v>
      </c>
      <c r="T73" s="171" t="s">
        <v>516</v>
      </c>
      <c r="U73" s="171">
        <v>3.0</v>
      </c>
      <c r="V73" s="171">
        <v>14.0</v>
      </c>
      <c r="W73" s="171">
        <v>65.0</v>
      </c>
      <c r="X73" s="171">
        <v>75.0</v>
      </c>
      <c r="Y73" s="171">
        <v>10.0</v>
      </c>
      <c r="Z73" s="171">
        <v>30.0</v>
      </c>
      <c r="AA73" s="171">
        <v>10.0</v>
      </c>
      <c r="AB73" s="171">
        <v>30.0</v>
      </c>
      <c r="AC73" s="112"/>
      <c r="AD73" s="171" t="s">
        <v>741</v>
      </c>
      <c r="AE73" s="112">
        <v>500.0</v>
      </c>
      <c r="AF73" s="171" t="s">
        <v>742</v>
      </c>
      <c r="AG73" s="112">
        <v>5.0</v>
      </c>
      <c r="AH73" s="112"/>
      <c r="AI73" s="12"/>
      <c r="AJ73" s="12"/>
    </row>
    <row r="74" ht="14.25" customHeight="1">
      <c r="A74" s="222" t="s">
        <v>509</v>
      </c>
      <c r="B74" s="222" t="s">
        <v>745</v>
      </c>
      <c r="C74" s="222" t="s">
        <v>740</v>
      </c>
      <c r="D74" s="222" t="s">
        <v>745</v>
      </c>
      <c r="E74" s="231">
        <v>43020.0</v>
      </c>
      <c r="F74" s="223">
        <v>43807.0</v>
      </c>
      <c r="G74" s="224" t="s">
        <v>512</v>
      </c>
      <c r="H74" s="171" t="s">
        <v>519</v>
      </c>
      <c r="I74" s="171" t="s">
        <v>520</v>
      </c>
      <c r="J74" s="171" t="s">
        <v>548</v>
      </c>
      <c r="K74" s="171" t="s">
        <v>415</v>
      </c>
      <c r="L74" s="171" t="s">
        <v>420</v>
      </c>
      <c r="M74" s="171" t="s">
        <v>475</v>
      </c>
      <c r="N74" s="171"/>
      <c r="O74" s="171">
        <v>8.0</v>
      </c>
      <c r="P74" s="171" t="s">
        <v>516</v>
      </c>
      <c r="Q74" s="171" t="s">
        <v>516</v>
      </c>
      <c r="R74" s="171" t="s">
        <v>516</v>
      </c>
      <c r="S74" s="171" t="s">
        <v>516</v>
      </c>
      <c r="T74" s="171" t="s">
        <v>516</v>
      </c>
      <c r="U74" s="171">
        <v>3.0</v>
      </c>
      <c r="V74" s="171">
        <v>14.0</v>
      </c>
      <c r="W74" s="171">
        <v>65.0</v>
      </c>
      <c r="X74" s="171">
        <v>75.0</v>
      </c>
      <c r="Y74" s="171">
        <v>10.0</v>
      </c>
      <c r="Z74" s="171">
        <v>30.0</v>
      </c>
      <c r="AA74" s="171">
        <v>10.0</v>
      </c>
      <c r="AB74" s="171">
        <v>30.0</v>
      </c>
      <c r="AC74" s="112"/>
      <c r="AD74" s="171" t="s">
        <v>741</v>
      </c>
      <c r="AE74" s="112">
        <v>500.0</v>
      </c>
      <c r="AF74" s="171" t="s">
        <v>742</v>
      </c>
      <c r="AG74" s="112">
        <v>5.0</v>
      </c>
      <c r="AH74" s="112"/>
      <c r="AI74" s="12"/>
      <c r="AJ74" s="12"/>
    </row>
    <row r="75" ht="14.25" customHeight="1">
      <c r="A75" s="222" t="s">
        <v>509</v>
      </c>
      <c r="B75" s="222" t="s">
        <v>97</v>
      </c>
      <c r="C75" s="222" t="s">
        <v>740</v>
      </c>
      <c r="D75" s="222" t="s">
        <v>97</v>
      </c>
      <c r="E75" s="231">
        <v>43808.0</v>
      </c>
      <c r="F75" s="223"/>
      <c r="G75" s="224"/>
      <c r="H75" s="171" t="s">
        <v>519</v>
      </c>
      <c r="I75" s="171" t="s">
        <v>520</v>
      </c>
      <c r="J75" s="171" t="s">
        <v>548</v>
      </c>
      <c r="K75" s="171" t="s">
        <v>415</v>
      </c>
      <c r="L75" s="171" t="s">
        <v>420</v>
      </c>
      <c r="M75" s="171" t="s">
        <v>475</v>
      </c>
      <c r="N75" s="171"/>
      <c r="O75" s="171">
        <v>10.0</v>
      </c>
      <c r="P75" s="171" t="s">
        <v>516</v>
      </c>
      <c r="Q75" s="171" t="s">
        <v>516</v>
      </c>
      <c r="R75" s="171" t="s">
        <v>516</v>
      </c>
      <c r="S75" s="171" t="s">
        <v>516</v>
      </c>
      <c r="T75" s="171" t="s">
        <v>516</v>
      </c>
      <c r="U75" s="171">
        <v>3.0</v>
      </c>
      <c r="V75" s="171">
        <v>14.0</v>
      </c>
      <c r="W75" s="171">
        <v>65.0</v>
      </c>
      <c r="X75" s="171">
        <v>75.0</v>
      </c>
      <c r="Y75" s="171">
        <v>10.0</v>
      </c>
      <c r="Z75" s="171">
        <v>30.0</v>
      </c>
      <c r="AA75" s="171">
        <v>10.0</v>
      </c>
      <c r="AB75" s="171">
        <v>30.0</v>
      </c>
      <c r="AC75" s="112"/>
      <c r="AD75" s="171" t="s">
        <v>746</v>
      </c>
      <c r="AE75" s="112">
        <v>500.0</v>
      </c>
      <c r="AF75" s="171" t="s">
        <v>742</v>
      </c>
      <c r="AG75" s="112">
        <v>5.0</v>
      </c>
      <c r="AH75" s="112"/>
      <c r="AI75" s="12"/>
      <c r="AJ75" s="12"/>
    </row>
    <row r="76" ht="14.25" customHeight="1">
      <c r="A76" s="222" t="s">
        <v>509</v>
      </c>
      <c r="B76" s="222" t="s">
        <v>747</v>
      </c>
      <c r="C76" s="222" t="s">
        <v>748</v>
      </c>
      <c r="D76" s="222" t="s">
        <v>747</v>
      </c>
      <c r="E76" s="223">
        <v>41011.0</v>
      </c>
      <c r="F76" s="223">
        <v>41639.0</v>
      </c>
      <c r="G76" s="224" t="s">
        <v>512</v>
      </c>
      <c r="H76" s="171" t="s">
        <v>519</v>
      </c>
      <c r="I76" s="171" t="s">
        <v>520</v>
      </c>
      <c r="J76" s="171" t="s">
        <v>516</v>
      </c>
      <c r="K76" s="171" t="s">
        <v>415</v>
      </c>
      <c r="L76" s="171" t="s">
        <v>420</v>
      </c>
      <c r="M76" s="171" t="s">
        <v>475</v>
      </c>
      <c r="N76" s="171"/>
      <c r="O76" s="171">
        <v>5.0</v>
      </c>
      <c r="P76" s="171" t="s">
        <v>516</v>
      </c>
      <c r="Q76" s="171" t="s">
        <v>516</v>
      </c>
      <c r="R76" s="171" t="s">
        <v>516</v>
      </c>
      <c r="S76" s="171" t="s">
        <v>516</v>
      </c>
      <c r="T76" s="171" t="s">
        <v>516</v>
      </c>
      <c r="U76" s="171">
        <v>3.0</v>
      </c>
      <c r="V76" s="171">
        <v>18.0</v>
      </c>
      <c r="W76" s="171">
        <v>50.0</v>
      </c>
      <c r="X76" s="171">
        <v>60.0</v>
      </c>
      <c r="Y76" s="171">
        <v>10.0</v>
      </c>
      <c r="Z76" s="171">
        <v>15.0</v>
      </c>
      <c r="AA76" s="171">
        <v>10.0</v>
      </c>
      <c r="AB76" s="171">
        <v>15.0</v>
      </c>
      <c r="AC76" s="171" t="s">
        <v>749</v>
      </c>
      <c r="AD76" s="171" t="s">
        <v>750</v>
      </c>
      <c r="AE76" s="171">
        <f>MIN(500,0.5%*Annual_Prem)</f>
        <v>500</v>
      </c>
      <c r="AF76" s="171" t="s">
        <v>751</v>
      </c>
      <c r="AG76" s="112">
        <v>5.0</v>
      </c>
      <c r="AH76" s="112"/>
      <c r="AI76" s="12"/>
      <c r="AJ76" s="12"/>
    </row>
    <row r="77" ht="14.25" customHeight="1">
      <c r="A77" s="222" t="s">
        <v>509</v>
      </c>
      <c r="B77" s="222" t="s">
        <v>752</v>
      </c>
      <c r="C77" s="222" t="s">
        <v>748</v>
      </c>
      <c r="D77" s="222" t="s">
        <v>752</v>
      </c>
      <c r="E77" s="223">
        <v>41458.0</v>
      </c>
      <c r="F77" s="223">
        <v>43860.0</v>
      </c>
      <c r="G77" s="224" t="s">
        <v>512</v>
      </c>
      <c r="H77" s="171" t="s">
        <v>519</v>
      </c>
      <c r="I77" s="171" t="s">
        <v>520</v>
      </c>
      <c r="J77" s="171" t="s">
        <v>548</v>
      </c>
      <c r="K77" s="171" t="s">
        <v>415</v>
      </c>
      <c r="L77" s="171" t="s">
        <v>420</v>
      </c>
      <c r="M77" s="171" t="s">
        <v>475</v>
      </c>
      <c r="N77" s="171"/>
      <c r="O77" s="171">
        <v>4.0</v>
      </c>
      <c r="P77" s="171" t="s">
        <v>516</v>
      </c>
      <c r="Q77" s="171" t="s">
        <v>516</v>
      </c>
      <c r="R77" s="171" t="s">
        <v>516</v>
      </c>
      <c r="S77" s="171" t="s">
        <v>516</v>
      </c>
      <c r="T77" s="171" t="s">
        <v>516</v>
      </c>
      <c r="U77" s="171">
        <v>3.0</v>
      </c>
      <c r="V77" s="171">
        <v>18.0</v>
      </c>
      <c r="W77" s="171">
        <v>50.0</v>
      </c>
      <c r="X77" s="171">
        <v>60.0</v>
      </c>
      <c r="Y77" s="171">
        <v>10.0</v>
      </c>
      <c r="Z77" s="171">
        <v>15.0</v>
      </c>
      <c r="AA77" s="171">
        <v>10.0</v>
      </c>
      <c r="AB77" s="171">
        <v>15.0</v>
      </c>
      <c r="AC77" s="171" t="s">
        <v>749</v>
      </c>
      <c r="AD77" s="171" t="s">
        <v>750</v>
      </c>
      <c r="AE77" s="171">
        <f>MIN(500,0.5%*Annual_Prem)</f>
        <v>500</v>
      </c>
      <c r="AF77" s="171" t="s">
        <v>751</v>
      </c>
      <c r="AG77" s="112">
        <v>5.0</v>
      </c>
      <c r="AH77" s="112"/>
      <c r="AI77" s="12"/>
      <c r="AJ77" s="12"/>
    </row>
    <row r="78" ht="14.25" customHeight="1">
      <c r="A78" s="222" t="s">
        <v>509</v>
      </c>
      <c r="B78" s="222" t="s">
        <v>753</v>
      </c>
      <c r="C78" s="222" t="s">
        <v>748</v>
      </c>
      <c r="D78" s="222" t="s">
        <v>753</v>
      </c>
      <c r="E78" s="223">
        <v>43861.0</v>
      </c>
      <c r="F78" s="223"/>
      <c r="G78" s="224"/>
      <c r="H78" s="171" t="s">
        <v>519</v>
      </c>
      <c r="I78" s="171" t="s">
        <v>520</v>
      </c>
      <c r="J78" s="171" t="s">
        <v>548</v>
      </c>
      <c r="K78" s="171" t="s">
        <v>415</v>
      </c>
      <c r="L78" s="171" t="s">
        <v>420</v>
      </c>
      <c r="M78" s="171" t="s">
        <v>475</v>
      </c>
      <c r="N78" s="171"/>
      <c r="O78" s="171">
        <v>4.0</v>
      </c>
      <c r="P78" s="171" t="s">
        <v>516</v>
      </c>
      <c r="Q78" s="171" t="s">
        <v>516</v>
      </c>
      <c r="R78" s="171" t="s">
        <v>516</v>
      </c>
      <c r="S78" s="171" t="s">
        <v>516</v>
      </c>
      <c r="T78" s="171" t="s">
        <v>516</v>
      </c>
      <c r="U78" s="171">
        <v>3.0</v>
      </c>
      <c r="V78" s="171">
        <v>18.0</v>
      </c>
      <c r="W78" s="171">
        <v>50.0</v>
      </c>
      <c r="X78" s="171">
        <v>60.0</v>
      </c>
      <c r="Y78" s="171">
        <v>10.0</v>
      </c>
      <c r="Z78" s="171">
        <v>15.0</v>
      </c>
      <c r="AA78" s="171">
        <v>10.0</v>
      </c>
      <c r="AB78" s="171">
        <v>15.0</v>
      </c>
      <c r="AC78" s="171" t="s">
        <v>749</v>
      </c>
      <c r="AD78" s="171" t="s">
        <v>750</v>
      </c>
      <c r="AE78" s="171">
        <f>MIN(500,0.5%*Annual_Prem)</f>
        <v>500</v>
      </c>
      <c r="AF78" s="171" t="s">
        <v>751</v>
      </c>
      <c r="AG78" s="112">
        <v>5.0</v>
      </c>
      <c r="AH78" s="112"/>
      <c r="AI78" s="12"/>
      <c r="AJ78" s="12"/>
    </row>
    <row r="79" ht="14.25" customHeight="1">
      <c r="A79" s="222" t="s">
        <v>509</v>
      </c>
      <c r="B79" s="222" t="s">
        <v>754</v>
      </c>
      <c r="C79" s="222" t="s">
        <v>755</v>
      </c>
      <c r="D79" s="222" t="s">
        <v>754</v>
      </c>
      <c r="E79" s="223">
        <v>41087.0</v>
      </c>
      <c r="F79" s="223">
        <v>41639.0</v>
      </c>
      <c r="G79" s="224" t="s">
        <v>512</v>
      </c>
      <c r="H79" s="171" t="s">
        <v>519</v>
      </c>
      <c r="I79" s="171" t="s">
        <v>520</v>
      </c>
      <c r="J79" s="171" t="s">
        <v>516</v>
      </c>
      <c r="K79" s="171" t="s">
        <v>427</v>
      </c>
      <c r="L79" s="171" t="s">
        <v>420</v>
      </c>
      <c r="M79" s="171" t="s">
        <v>475</v>
      </c>
      <c r="N79" s="171"/>
      <c r="O79" s="171">
        <v>5.0</v>
      </c>
      <c r="P79" s="171" t="s">
        <v>516</v>
      </c>
      <c r="Q79" s="171" t="s">
        <v>516</v>
      </c>
      <c r="R79" s="171" t="s">
        <v>516</v>
      </c>
      <c r="S79" s="171" t="s">
        <v>516</v>
      </c>
      <c r="T79" s="171" t="s">
        <v>516</v>
      </c>
      <c r="U79" s="171" t="s">
        <v>423</v>
      </c>
      <c r="V79" s="171">
        <v>45.0</v>
      </c>
      <c r="W79" s="171">
        <v>70.0</v>
      </c>
      <c r="X79" s="171">
        <v>85.0</v>
      </c>
      <c r="Y79" s="171">
        <v>15.0</v>
      </c>
      <c r="Z79" s="171">
        <v>15.0</v>
      </c>
      <c r="AA79" s="171">
        <v>15.0</v>
      </c>
      <c r="AB79" s="171">
        <v>15.0</v>
      </c>
      <c r="AC79" s="112"/>
      <c r="AD79" s="171" t="s">
        <v>756</v>
      </c>
      <c r="AE79" s="112"/>
      <c r="AF79" s="171" t="s">
        <v>757</v>
      </c>
      <c r="AG79" s="112">
        <v>5.0</v>
      </c>
      <c r="AH79" s="112"/>
      <c r="AI79" s="12"/>
      <c r="AJ79" s="12"/>
    </row>
    <row r="80" ht="14.25" customHeight="1">
      <c r="A80" s="222" t="s">
        <v>509</v>
      </c>
      <c r="B80" s="222" t="s">
        <v>758</v>
      </c>
      <c r="C80" s="222" t="s">
        <v>755</v>
      </c>
      <c r="D80" s="222" t="s">
        <v>758</v>
      </c>
      <c r="E80" s="223">
        <v>41458.0</v>
      </c>
      <c r="F80" s="223">
        <v>42370.0</v>
      </c>
      <c r="G80" s="224" t="s">
        <v>512</v>
      </c>
      <c r="H80" s="171" t="s">
        <v>519</v>
      </c>
      <c r="I80" s="171" t="s">
        <v>520</v>
      </c>
      <c r="J80" s="171" t="s">
        <v>548</v>
      </c>
      <c r="K80" s="171" t="s">
        <v>427</v>
      </c>
      <c r="L80" s="171" t="s">
        <v>420</v>
      </c>
      <c r="M80" s="171" t="s">
        <v>475</v>
      </c>
      <c r="N80" s="171"/>
      <c r="O80" s="171">
        <v>4.0</v>
      </c>
      <c r="P80" s="171" t="s">
        <v>516</v>
      </c>
      <c r="Q80" s="171" t="s">
        <v>516</v>
      </c>
      <c r="R80" s="171" t="s">
        <v>516</v>
      </c>
      <c r="S80" s="171" t="s">
        <v>516</v>
      </c>
      <c r="T80" s="171" t="s">
        <v>516</v>
      </c>
      <c r="U80" s="171" t="s">
        <v>423</v>
      </c>
      <c r="V80" s="171">
        <v>45.0</v>
      </c>
      <c r="W80" s="171">
        <v>70.0</v>
      </c>
      <c r="X80" s="171">
        <v>85.0</v>
      </c>
      <c r="Y80" s="171">
        <v>15.0</v>
      </c>
      <c r="Z80" s="171">
        <v>15.0</v>
      </c>
      <c r="AA80" s="171">
        <v>15.0</v>
      </c>
      <c r="AB80" s="171">
        <v>15.0</v>
      </c>
      <c r="AC80" s="112"/>
      <c r="AD80" s="171" t="s">
        <v>756</v>
      </c>
      <c r="AE80" s="112"/>
      <c r="AF80" s="171" t="s">
        <v>757</v>
      </c>
      <c r="AG80" s="112">
        <v>5.0</v>
      </c>
      <c r="AH80" s="112"/>
      <c r="AI80" s="12"/>
      <c r="AJ80" s="12"/>
    </row>
    <row r="81" ht="14.25" customHeight="1">
      <c r="A81" s="222" t="s">
        <v>509</v>
      </c>
      <c r="B81" s="222" t="s">
        <v>759</v>
      </c>
      <c r="C81" s="222" t="s">
        <v>760</v>
      </c>
      <c r="D81" s="222" t="s">
        <v>759</v>
      </c>
      <c r="E81" s="223">
        <v>41234.0</v>
      </c>
      <c r="F81" s="223">
        <v>41639.0</v>
      </c>
      <c r="G81" s="224" t="s">
        <v>512</v>
      </c>
      <c r="H81" s="171" t="s">
        <v>519</v>
      </c>
      <c r="I81" s="171" t="s">
        <v>520</v>
      </c>
      <c r="J81" s="171" t="s">
        <v>516</v>
      </c>
      <c r="K81" s="171" t="s">
        <v>437</v>
      </c>
      <c r="L81" s="171" t="s">
        <v>466</v>
      </c>
      <c r="M81" s="171" t="s">
        <v>475</v>
      </c>
      <c r="N81" s="171"/>
      <c r="O81" s="171">
        <v>1.0</v>
      </c>
      <c r="P81" s="171" t="s">
        <v>548</v>
      </c>
      <c r="Q81" s="171" t="s">
        <v>516</v>
      </c>
      <c r="R81" s="171" t="s">
        <v>516</v>
      </c>
      <c r="S81" s="171" t="s">
        <v>516</v>
      </c>
      <c r="T81" s="171" t="s">
        <v>516</v>
      </c>
      <c r="U81" s="171">
        <v>2.0</v>
      </c>
      <c r="V81" s="171">
        <v>35.0</v>
      </c>
      <c r="W81" s="171">
        <v>65.0</v>
      </c>
      <c r="X81" s="171">
        <v>75.0</v>
      </c>
      <c r="Y81" s="171">
        <v>10.0</v>
      </c>
      <c r="Z81" s="171">
        <v>20.0</v>
      </c>
      <c r="AA81" s="171">
        <v>10.0</v>
      </c>
      <c r="AB81" s="171">
        <v>20.0</v>
      </c>
      <c r="AC81" s="112"/>
      <c r="AD81" s="171" t="s">
        <v>761</v>
      </c>
      <c r="AE81" s="112">
        <v>500.0</v>
      </c>
      <c r="AF81" s="171" t="s">
        <v>762</v>
      </c>
      <c r="AG81" s="112">
        <v>5.0</v>
      </c>
      <c r="AH81" s="112"/>
      <c r="AI81" s="12"/>
      <c r="AJ81" s="12"/>
    </row>
    <row r="82" ht="14.25" customHeight="1">
      <c r="A82" s="222" t="s">
        <v>509</v>
      </c>
      <c r="B82" s="222" t="s">
        <v>763</v>
      </c>
      <c r="C82" s="222" t="s">
        <v>760</v>
      </c>
      <c r="D82" s="222" t="s">
        <v>763</v>
      </c>
      <c r="E82" s="223">
        <v>41458.0</v>
      </c>
      <c r="F82" s="223"/>
      <c r="G82" s="224"/>
      <c r="H82" s="171" t="s">
        <v>519</v>
      </c>
      <c r="I82" s="171" t="s">
        <v>520</v>
      </c>
      <c r="J82" s="171" t="s">
        <v>548</v>
      </c>
      <c r="K82" s="171" t="s">
        <v>437</v>
      </c>
      <c r="L82" s="171" t="s">
        <v>466</v>
      </c>
      <c r="M82" s="171" t="s">
        <v>475</v>
      </c>
      <c r="N82" s="171"/>
      <c r="O82" s="171">
        <v>1.0</v>
      </c>
      <c r="P82" s="171" t="s">
        <v>548</v>
      </c>
      <c r="Q82" s="171" t="s">
        <v>516</v>
      </c>
      <c r="R82" s="171" t="s">
        <v>516</v>
      </c>
      <c r="S82" s="171" t="s">
        <v>516</v>
      </c>
      <c r="T82" s="171" t="s">
        <v>516</v>
      </c>
      <c r="U82" s="171">
        <v>2.0</v>
      </c>
      <c r="V82" s="171">
        <v>35.0</v>
      </c>
      <c r="W82" s="171">
        <v>65.0</v>
      </c>
      <c r="X82" s="171">
        <v>75.0</v>
      </c>
      <c r="Y82" s="171">
        <v>10.0</v>
      </c>
      <c r="Z82" s="171">
        <v>20.0</v>
      </c>
      <c r="AA82" s="171">
        <v>10.0</v>
      </c>
      <c r="AB82" s="171">
        <v>20.0</v>
      </c>
      <c r="AC82" s="112"/>
      <c r="AD82" s="171" t="s">
        <v>764</v>
      </c>
      <c r="AE82" s="112">
        <v>500.0</v>
      </c>
      <c r="AF82" s="171" t="s">
        <v>762</v>
      </c>
      <c r="AG82" s="112">
        <v>5.0</v>
      </c>
      <c r="AH82" s="112"/>
      <c r="AI82" s="12"/>
      <c r="AJ82" s="12"/>
    </row>
    <row r="83" ht="14.25" customHeight="1">
      <c r="A83" s="222" t="s">
        <v>509</v>
      </c>
      <c r="B83" s="222" t="s">
        <v>765</v>
      </c>
      <c r="C83" s="222" t="s">
        <v>760</v>
      </c>
      <c r="D83" s="222" t="s">
        <v>765</v>
      </c>
      <c r="E83" s="223">
        <v>42388.0</v>
      </c>
      <c r="F83" s="223"/>
      <c r="G83" s="224"/>
      <c r="H83" s="171" t="s">
        <v>519</v>
      </c>
      <c r="I83" s="171" t="s">
        <v>520</v>
      </c>
      <c r="J83" s="171" t="s">
        <v>548</v>
      </c>
      <c r="K83" s="171" t="s">
        <v>437</v>
      </c>
      <c r="L83" s="171" t="s">
        <v>466</v>
      </c>
      <c r="M83" s="171" t="s">
        <v>475</v>
      </c>
      <c r="N83" s="171"/>
      <c r="O83" s="171">
        <v>1.0</v>
      </c>
      <c r="P83" s="171" t="s">
        <v>548</v>
      </c>
      <c r="Q83" s="171" t="s">
        <v>516</v>
      </c>
      <c r="R83" s="171" t="s">
        <v>516</v>
      </c>
      <c r="S83" s="171" t="s">
        <v>516</v>
      </c>
      <c r="T83" s="171" t="s">
        <v>516</v>
      </c>
      <c r="U83" s="171">
        <v>2.0</v>
      </c>
      <c r="V83" s="171">
        <v>35.0</v>
      </c>
      <c r="W83" s="171">
        <v>65.0</v>
      </c>
      <c r="X83" s="171">
        <v>75.0</v>
      </c>
      <c r="Y83" s="171">
        <v>10.0</v>
      </c>
      <c r="Z83" s="171">
        <v>20.0</v>
      </c>
      <c r="AA83" s="171">
        <v>10.0</v>
      </c>
      <c r="AB83" s="171">
        <v>20.0</v>
      </c>
      <c r="AC83" s="112"/>
      <c r="AD83" s="171" t="s">
        <v>764</v>
      </c>
      <c r="AE83" s="112">
        <v>500.0</v>
      </c>
      <c r="AF83" s="171" t="s">
        <v>762</v>
      </c>
      <c r="AG83" s="112">
        <v>5.0</v>
      </c>
      <c r="AH83" s="112"/>
      <c r="AI83" s="12"/>
      <c r="AJ83" s="12"/>
    </row>
    <row r="84" ht="14.25" customHeight="1">
      <c r="A84" s="222" t="s">
        <v>509</v>
      </c>
      <c r="B84" s="222" t="s">
        <v>766</v>
      </c>
      <c r="C84" s="222" t="s">
        <v>767</v>
      </c>
      <c r="D84" s="222" t="s">
        <v>766</v>
      </c>
      <c r="E84" s="223">
        <v>41234.0</v>
      </c>
      <c r="F84" s="223">
        <v>41639.0</v>
      </c>
      <c r="G84" s="224" t="s">
        <v>512</v>
      </c>
      <c r="H84" s="171" t="s">
        <v>519</v>
      </c>
      <c r="I84" s="171" t="s">
        <v>520</v>
      </c>
      <c r="J84" s="171" t="s">
        <v>516</v>
      </c>
      <c r="K84" s="171" t="s">
        <v>440</v>
      </c>
      <c r="L84" s="171" t="s">
        <v>466</v>
      </c>
      <c r="M84" s="171" t="s">
        <v>475</v>
      </c>
      <c r="N84" s="171"/>
      <c r="O84" s="171">
        <v>1.0</v>
      </c>
      <c r="P84" s="171" t="s">
        <v>548</v>
      </c>
      <c r="Q84" s="171" t="s">
        <v>516</v>
      </c>
      <c r="R84" s="171" t="s">
        <v>516</v>
      </c>
      <c r="S84" s="171" t="s">
        <v>516</v>
      </c>
      <c r="T84" s="171" t="s">
        <v>516</v>
      </c>
      <c r="U84" s="171" t="s">
        <v>423</v>
      </c>
      <c r="V84" s="171">
        <v>40.0</v>
      </c>
      <c r="W84" s="171">
        <v>75.0</v>
      </c>
      <c r="X84" s="171">
        <v>85.0</v>
      </c>
      <c r="Y84" s="229">
        <v>10.0</v>
      </c>
      <c r="Z84" s="69"/>
      <c r="AA84" s="171" t="s">
        <v>702</v>
      </c>
      <c r="AB84" s="112"/>
      <c r="AC84" s="112"/>
      <c r="AD84" s="183" t="s">
        <v>768</v>
      </c>
      <c r="AE84" s="112">
        <v>500.0</v>
      </c>
      <c r="AF84" s="171" t="s">
        <v>769</v>
      </c>
      <c r="AG84" s="112">
        <v>5.0</v>
      </c>
      <c r="AH84" s="112"/>
      <c r="AI84" s="12"/>
      <c r="AJ84" s="12"/>
    </row>
    <row r="85" ht="14.25" customHeight="1">
      <c r="A85" s="222" t="s">
        <v>509</v>
      </c>
      <c r="B85" s="222" t="s">
        <v>770</v>
      </c>
      <c r="C85" s="222" t="s">
        <v>767</v>
      </c>
      <c r="D85" s="222" t="s">
        <v>770</v>
      </c>
      <c r="E85" s="223">
        <v>41458.0</v>
      </c>
      <c r="F85" s="223"/>
      <c r="G85" s="224"/>
      <c r="H85" s="171" t="s">
        <v>519</v>
      </c>
      <c r="I85" s="171" t="s">
        <v>520</v>
      </c>
      <c r="J85" s="171" t="s">
        <v>548</v>
      </c>
      <c r="K85" s="171" t="s">
        <v>415</v>
      </c>
      <c r="L85" s="171" t="s">
        <v>466</v>
      </c>
      <c r="M85" s="171" t="s">
        <v>475</v>
      </c>
      <c r="N85" s="171"/>
      <c r="O85" s="171">
        <v>1.0</v>
      </c>
      <c r="P85" s="171" t="s">
        <v>548</v>
      </c>
      <c r="Q85" s="171" t="s">
        <v>516</v>
      </c>
      <c r="R85" s="171" t="s">
        <v>516</v>
      </c>
      <c r="S85" s="171" t="s">
        <v>516</v>
      </c>
      <c r="T85" s="171" t="s">
        <v>516</v>
      </c>
      <c r="U85" s="171" t="s">
        <v>423</v>
      </c>
      <c r="V85" s="171">
        <v>40.0</v>
      </c>
      <c r="W85" s="171">
        <v>75.0</v>
      </c>
      <c r="X85" s="171">
        <v>85.0</v>
      </c>
      <c r="Y85" s="229">
        <v>10.0</v>
      </c>
      <c r="Z85" s="69"/>
      <c r="AA85" s="171" t="s">
        <v>702</v>
      </c>
      <c r="AB85" s="112"/>
      <c r="AC85" s="112"/>
      <c r="AD85" s="183" t="s">
        <v>768</v>
      </c>
      <c r="AE85" s="112">
        <v>500.0</v>
      </c>
      <c r="AF85" s="171" t="s">
        <v>769</v>
      </c>
      <c r="AG85" s="112">
        <v>5.0</v>
      </c>
      <c r="AH85" s="112"/>
      <c r="AI85" s="12"/>
      <c r="AJ85" s="12"/>
    </row>
    <row r="86" ht="14.25" customHeight="1">
      <c r="A86" s="222" t="s">
        <v>509</v>
      </c>
      <c r="B86" s="222" t="s">
        <v>771</v>
      </c>
      <c r="C86" s="222" t="s">
        <v>767</v>
      </c>
      <c r="D86" s="222" t="s">
        <v>771</v>
      </c>
      <c r="E86" s="223">
        <v>42388.0</v>
      </c>
      <c r="F86" s="223"/>
      <c r="G86" s="224"/>
      <c r="H86" s="171" t="s">
        <v>519</v>
      </c>
      <c r="I86" s="171" t="s">
        <v>520</v>
      </c>
      <c r="J86" s="171" t="s">
        <v>548</v>
      </c>
      <c r="K86" s="171" t="s">
        <v>415</v>
      </c>
      <c r="L86" s="171" t="s">
        <v>466</v>
      </c>
      <c r="M86" s="171" t="s">
        <v>475</v>
      </c>
      <c r="N86" s="171"/>
      <c r="O86" s="171">
        <v>1.0</v>
      </c>
      <c r="P86" s="171" t="s">
        <v>548</v>
      </c>
      <c r="Q86" s="171" t="s">
        <v>516</v>
      </c>
      <c r="R86" s="171" t="s">
        <v>516</v>
      </c>
      <c r="S86" s="171" t="s">
        <v>516</v>
      </c>
      <c r="T86" s="171" t="s">
        <v>516</v>
      </c>
      <c r="U86" s="171" t="s">
        <v>423</v>
      </c>
      <c r="V86" s="171">
        <v>40.0</v>
      </c>
      <c r="W86" s="171">
        <v>75.0</v>
      </c>
      <c r="X86" s="171">
        <v>85.0</v>
      </c>
      <c r="Y86" s="229">
        <v>10.0</v>
      </c>
      <c r="Z86" s="69"/>
      <c r="AA86" s="171" t="s">
        <v>702</v>
      </c>
      <c r="AB86" s="112"/>
      <c r="AC86" s="112"/>
      <c r="AD86" s="183" t="s">
        <v>768</v>
      </c>
      <c r="AE86" s="112">
        <v>500.0</v>
      </c>
      <c r="AF86" s="171" t="s">
        <v>769</v>
      </c>
      <c r="AG86" s="112">
        <v>5.0</v>
      </c>
      <c r="AH86" s="112"/>
      <c r="AI86" s="12"/>
      <c r="AJ86" s="12"/>
    </row>
    <row r="87" ht="14.25" customHeight="1">
      <c r="A87" s="222" t="s">
        <v>509</v>
      </c>
      <c r="B87" s="222" t="s">
        <v>772</v>
      </c>
      <c r="C87" s="222" t="s">
        <v>773</v>
      </c>
      <c r="D87" s="222" t="s">
        <v>772</v>
      </c>
      <c r="E87" s="223">
        <v>41436.0</v>
      </c>
      <c r="F87" s="223">
        <v>43860.0</v>
      </c>
      <c r="G87" s="224" t="s">
        <v>512</v>
      </c>
      <c r="H87" s="171" t="s">
        <v>513</v>
      </c>
      <c r="I87" s="171"/>
      <c r="J87" s="171"/>
      <c r="K87" s="171"/>
      <c r="L87" s="171"/>
      <c r="M87" s="171"/>
      <c r="N87" s="171"/>
      <c r="O87" s="112"/>
      <c r="P87" s="171"/>
      <c r="Q87" s="171"/>
      <c r="R87" s="171"/>
      <c r="S87" s="171"/>
      <c r="T87" s="171"/>
      <c r="U87" s="112"/>
      <c r="V87" s="112"/>
      <c r="W87" s="112"/>
      <c r="X87" s="112"/>
      <c r="Y87" s="112"/>
      <c r="Z87" s="112"/>
      <c r="AA87" s="112"/>
      <c r="AB87" s="112"/>
      <c r="AC87" s="112"/>
      <c r="AD87" s="112"/>
      <c r="AE87" s="112"/>
      <c r="AF87" s="112"/>
      <c r="AG87" s="112">
        <v>5.0</v>
      </c>
      <c r="AH87" s="112"/>
      <c r="AI87" s="12"/>
      <c r="AJ87" s="12"/>
    </row>
    <row r="88" ht="14.25" customHeight="1">
      <c r="A88" s="222" t="s">
        <v>509</v>
      </c>
      <c r="B88" s="222" t="s">
        <v>774</v>
      </c>
      <c r="C88" s="222" t="s">
        <v>775</v>
      </c>
      <c r="D88" s="222" t="s">
        <v>774</v>
      </c>
      <c r="E88" s="223">
        <v>41481.0</v>
      </c>
      <c r="F88" s="223">
        <v>42890.0</v>
      </c>
      <c r="G88" s="224" t="s">
        <v>512</v>
      </c>
      <c r="H88" s="171" t="s">
        <v>513</v>
      </c>
      <c r="I88" s="171"/>
      <c r="J88" s="171"/>
      <c r="K88" s="171"/>
      <c r="L88" s="171"/>
      <c r="M88" s="171"/>
      <c r="N88" s="171"/>
      <c r="O88" s="112"/>
      <c r="P88" s="171"/>
      <c r="Q88" s="171"/>
      <c r="R88" s="171"/>
      <c r="S88" s="171"/>
      <c r="T88" s="171"/>
      <c r="U88" s="112"/>
      <c r="V88" s="112"/>
      <c r="W88" s="112"/>
      <c r="X88" s="112"/>
      <c r="Y88" s="112"/>
      <c r="Z88" s="112"/>
      <c r="AA88" s="112"/>
      <c r="AB88" s="112"/>
      <c r="AC88" s="112"/>
      <c r="AD88" s="112"/>
      <c r="AE88" s="112"/>
      <c r="AF88" s="112"/>
      <c r="AG88" s="112">
        <v>5.0</v>
      </c>
      <c r="AH88" s="112"/>
      <c r="AI88" s="12"/>
      <c r="AJ88" s="12"/>
    </row>
    <row r="89" ht="14.25" customHeight="1">
      <c r="A89" s="222" t="s">
        <v>509</v>
      </c>
      <c r="B89" s="222" t="s">
        <v>776</v>
      </c>
      <c r="C89" s="222" t="s">
        <v>775</v>
      </c>
      <c r="D89" s="222" t="s">
        <v>776</v>
      </c>
      <c r="E89" s="223">
        <v>42891.0</v>
      </c>
      <c r="F89" s="223"/>
      <c r="G89" s="224"/>
      <c r="H89" s="171" t="s">
        <v>513</v>
      </c>
      <c r="I89" s="171"/>
      <c r="J89" s="171"/>
      <c r="K89" s="171"/>
      <c r="L89" s="171"/>
      <c r="M89" s="171"/>
      <c r="N89" s="171"/>
      <c r="O89" s="112"/>
      <c r="P89" s="171"/>
      <c r="Q89" s="171"/>
      <c r="R89" s="171"/>
      <c r="S89" s="171"/>
      <c r="T89" s="171"/>
      <c r="U89" s="112"/>
      <c r="V89" s="112"/>
      <c r="W89" s="112"/>
      <c r="X89" s="112"/>
      <c r="Y89" s="112"/>
      <c r="Z89" s="112"/>
      <c r="AA89" s="112"/>
      <c r="AB89" s="112"/>
      <c r="AC89" s="112"/>
      <c r="AD89" s="112"/>
      <c r="AE89" s="112"/>
      <c r="AF89" s="112"/>
      <c r="AG89" s="112">
        <v>5.0</v>
      </c>
      <c r="AH89" s="112"/>
      <c r="AI89" s="12"/>
      <c r="AJ89" s="12"/>
    </row>
    <row r="90" ht="14.25" customHeight="1">
      <c r="A90" s="222" t="s">
        <v>509</v>
      </c>
      <c r="B90" s="222" t="s">
        <v>777</v>
      </c>
      <c r="C90" s="222" t="s">
        <v>778</v>
      </c>
      <c r="D90" s="222" t="s">
        <v>777</v>
      </c>
      <c r="E90" s="223">
        <v>41779.0</v>
      </c>
      <c r="F90" s="223">
        <v>42982.0</v>
      </c>
      <c r="G90" s="224" t="s">
        <v>512</v>
      </c>
      <c r="H90" s="171" t="s">
        <v>519</v>
      </c>
      <c r="I90" s="171" t="s">
        <v>520</v>
      </c>
      <c r="J90" s="171" t="s">
        <v>516</v>
      </c>
      <c r="K90" s="171" t="s">
        <v>415</v>
      </c>
      <c r="L90" s="171" t="s">
        <v>420</v>
      </c>
      <c r="M90" s="171" t="s">
        <v>475</v>
      </c>
      <c r="N90" s="171"/>
      <c r="O90" s="171">
        <v>8.0</v>
      </c>
      <c r="P90" s="171" t="s">
        <v>516</v>
      </c>
      <c r="Q90" s="171" t="s">
        <v>516</v>
      </c>
      <c r="R90" s="171" t="s">
        <v>516</v>
      </c>
      <c r="S90" s="171" t="s">
        <v>516</v>
      </c>
      <c r="T90" s="171" t="s">
        <v>516</v>
      </c>
      <c r="U90" s="171">
        <v>2.0</v>
      </c>
      <c r="V90" s="171" t="s">
        <v>779</v>
      </c>
      <c r="W90" s="171">
        <v>65.0</v>
      </c>
      <c r="X90" s="171">
        <v>75.0</v>
      </c>
      <c r="Y90" s="171">
        <v>5.0</v>
      </c>
      <c r="Z90" s="171">
        <v>20.0</v>
      </c>
      <c r="AA90" s="171">
        <v>5.0</v>
      </c>
      <c r="AB90" s="171">
        <v>20.0</v>
      </c>
      <c r="AC90" s="112"/>
      <c r="AD90" s="171" t="s">
        <v>423</v>
      </c>
      <c r="AE90" s="112"/>
      <c r="AF90" s="171" t="s">
        <v>423</v>
      </c>
      <c r="AG90" s="112">
        <v>5.0</v>
      </c>
      <c r="AH90" s="112"/>
      <c r="AI90" s="12"/>
      <c r="AJ90" s="12"/>
    </row>
    <row r="91" ht="14.25" customHeight="1">
      <c r="A91" s="222" t="s">
        <v>509</v>
      </c>
      <c r="B91" s="222" t="s">
        <v>780</v>
      </c>
      <c r="C91" s="222" t="s">
        <v>778</v>
      </c>
      <c r="D91" s="222" t="s">
        <v>780</v>
      </c>
      <c r="E91" s="223">
        <v>42983.0</v>
      </c>
      <c r="F91" s="223">
        <v>43807.0</v>
      </c>
      <c r="G91" s="224" t="s">
        <v>512</v>
      </c>
      <c r="H91" s="171" t="s">
        <v>519</v>
      </c>
      <c r="I91" s="171" t="s">
        <v>520</v>
      </c>
      <c r="J91" s="171" t="s">
        <v>548</v>
      </c>
      <c r="K91" s="171" t="s">
        <v>415</v>
      </c>
      <c r="L91" s="171" t="s">
        <v>420</v>
      </c>
      <c r="M91" s="171" t="s">
        <v>475</v>
      </c>
      <c r="N91" s="171"/>
      <c r="O91" s="171">
        <v>8.0</v>
      </c>
      <c r="P91" s="171" t="s">
        <v>516</v>
      </c>
      <c r="Q91" s="171" t="s">
        <v>516</v>
      </c>
      <c r="R91" s="171" t="s">
        <v>516</v>
      </c>
      <c r="S91" s="171" t="s">
        <v>516</v>
      </c>
      <c r="T91" s="171" t="s">
        <v>516</v>
      </c>
      <c r="U91" s="171">
        <v>2.0</v>
      </c>
      <c r="V91" s="171" t="s">
        <v>779</v>
      </c>
      <c r="W91" s="171">
        <v>65.0</v>
      </c>
      <c r="X91" s="171">
        <v>75.0</v>
      </c>
      <c r="Y91" s="171">
        <v>5.0</v>
      </c>
      <c r="Z91" s="171">
        <v>20.0</v>
      </c>
      <c r="AA91" s="171">
        <v>5.0</v>
      </c>
      <c r="AB91" s="171">
        <v>20.0</v>
      </c>
      <c r="AC91" s="112"/>
      <c r="AD91" s="171" t="s">
        <v>423</v>
      </c>
      <c r="AE91" s="112"/>
      <c r="AF91" s="171" t="s">
        <v>423</v>
      </c>
      <c r="AG91" s="112">
        <v>5.0</v>
      </c>
      <c r="AH91" s="112"/>
      <c r="AI91" s="12"/>
      <c r="AJ91" s="12"/>
    </row>
    <row r="92" ht="14.25" customHeight="1">
      <c r="A92" s="222" t="s">
        <v>509</v>
      </c>
      <c r="B92" s="222" t="s">
        <v>781</v>
      </c>
      <c r="C92" s="222" t="s">
        <v>778</v>
      </c>
      <c r="D92" s="222" t="s">
        <v>781</v>
      </c>
      <c r="E92" s="223">
        <v>43808.0</v>
      </c>
      <c r="F92" s="223"/>
      <c r="G92" s="224"/>
      <c r="H92" s="171" t="s">
        <v>519</v>
      </c>
      <c r="I92" s="171" t="s">
        <v>520</v>
      </c>
      <c r="J92" s="171" t="s">
        <v>548</v>
      </c>
      <c r="K92" s="171" t="s">
        <v>415</v>
      </c>
      <c r="L92" s="171" t="s">
        <v>420</v>
      </c>
      <c r="M92" s="171" t="s">
        <v>475</v>
      </c>
      <c r="N92" s="171"/>
      <c r="O92" s="171">
        <v>11.0</v>
      </c>
      <c r="P92" s="171" t="s">
        <v>516</v>
      </c>
      <c r="Q92" s="171" t="s">
        <v>516</v>
      </c>
      <c r="R92" s="171" t="s">
        <v>516</v>
      </c>
      <c r="S92" s="171" t="s">
        <v>516</v>
      </c>
      <c r="T92" s="171" t="s">
        <v>516</v>
      </c>
      <c r="U92" s="171">
        <v>2.0</v>
      </c>
      <c r="V92" s="171" t="s">
        <v>779</v>
      </c>
      <c r="W92" s="171">
        <v>65.0</v>
      </c>
      <c r="X92" s="171">
        <v>75.0</v>
      </c>
      <c r="Y92" s="171">
        <v>5.0</v>
      </c>
      <c r="Z92" s="171">
        <v>20.0</v>
      </c>
      <c r="AA92" s="171">
        <v>5.0</v>
      </c>
      <c r="AB92" s="171">
        <v>20.0</v>
      </c>
      <c r="AC92" s="112"/>
      <c r="AD92" s="171" t="s">
        <v>423</v>
      </c>
      <c r="AE92" s="112"/>
      <c r="AF92" s="171" t="s">
        <v>423</v>
      </c>
      <c r="AG92" s="112">
        <v>5.0</v>
      </c>
      <c r="AH92" s="112"/>
      <c r="AI92" s="12"/>
      <c r="AJ92" s="12"/>
    </row>
    <row r="93" ht="14.25" customHeight="1">
      <c r="A93" s="233" t="s">
        <v>509</v>
      </c>
      <c r="B93" s="233" t="s">
        <v>782</v>
      </c>
      <c r="C93" s="233" t="s">
        <v>783</v>
      </c>
      <c r="D93" s="233" t="s">
        <v>782</v>
      </c>
      <c r="E93" s="234">
        <v>42065.0</v>
      </c>
      <c r="F93" s="234">
        <v>43793.0</v>
      </c>
      <c r="G93" s="235" t="s">
        <v>512</v>
      </c>
      <c r="H93" s="236" t="s">
        <v>519</v>
      </c>
      <c r="I93" s="236" t="s">
        <v>520</v>
      </c>
      <c r="J93" s="236" t="s">
        <v>548</v>
      </c>
      <c r="K93" s="236" t="s">
        <v>415</v>
      </c>
      <c r="L93" s="236" t="s">
        <v>420</v>
      </c>
      <c r="M93" s="236" t="s">
        <v>475</v>
      </c>
      <c r="N93" s="236"/>
      <c r="O93" s="236">
        <v>8.0</v>
      </c>
      <c r="P93" s="236" t="s">
        <v>516</v>
      </c>
      <c r="Q93" s="236" t="s">
        <v>516</v>
      </c>
      <c r="R93" s="236" t="s">
        <v>548</v>
      </c>
      <c r="S93" s="236" t="s">
        <v>516</v>
      </c>
      <c r="T93" s="236" t="s">
        <v>516</v>
      </c>
      <c r="U93" s="236" t="s">
        <v>423</v>
      </c>
      <c r="V93" s="237"/>
      <c r="W93" s="237"/>
      <c r="X93" s="237"/>
      <c r="Y93" s="236">
        <v>10.0</v>
      </c>
      <c r="Z93" s="236">
        <v>25.0</v>
      </c>
      <c r="AA93" s="238" t="s">
        <v>784</v>
      </c>
      <c r="AB93" s="69"/>
      <c r="AC93" s="237"/>
      <c r="AD93" s="236" t="s">
        <v>785</v>
      </c>
      <c r="AE93" s="237">
        <v>500.0</v>
      </c>
      <c r="AF93" s="236" t="s">
        <v>786</v>
      </c>
      <c r="AG93" s="237">
        <v>5.0</v>
      </c>
      <c r="AH93" s="237"/>
      <c r="AI93" s="239"/>
      <c r="AJ93" s="240"/>
    </row>
    <row r="94" ht="14.25" customHeight="1">
      <c r="A94" s="233" t="s">
        <v>509</v>
      </c>
      <c r="B94" s="233" t="s">
        <v>787</v>
      </c>
      <c r="C94" s="233" t="s">
        <v>783</v>
      </c>
      <c r="D94" s="233" t="s">
        <v>787</v>
      </c>
      <c r="E94" s="234">
        <v>43794.0</v>
      </c>
      <c r="F94" s="234"/>
      <c r="G94" s="235"/>
      <c r="H94" s="236" t="s">
        <v>519</v>
      </c>
      <c r="I94" s="236" t="s">
        <v>520</v>
      </c>
      <c r="J94" s="236" t="s">
        <v>516</v>
      </c>
      <c r="K94" s="236" t="s">
        <v>415</v>
      </c>
      <c r="L94" s="236" t="s">
        <v>420</v>
      </c>
      <c r="M94" s="236" t="s">
        <v>475</v>
      </c>
      <c r="N94" s="236"/>
      <c r="O94" s="236">
        <v>10.0</v>
      </c>
      <c r="P94" s="236" t="s">
        <v>516</v>
      </c>
      <c r="Q94" s="236" t="s">
        <v>516</v>
      </c>
      <c r="R94" s="236" t="s">
        <v>548</v>
      </c>
      <c r="S94" s="236" t="s">
        <v>516</v>
      </c>
      <c r="T94" s="236" t="s">
        <v>516</v>
      </c>
      <c r="U94" s="236" t="s">
        <v>423</v>
      </c>
      <c r="V94" s="237"/>
      <c r="W94" s="237"/>
      <c r="X94" s="237"/>
      <c r="Y94" s="236">
        <v>10.0</v>
      </c>
      <c r="Z94" s="236">
        <v>25.0</v>
      </c>
      <c r="AA94" s="238" t="s">
        <v>784</v>
      </c>
      <c r="AB94" s="69"/>
      <c r="AC94" s="237"/>
      <c r="AD94" s="236" t="s">
        <v>785</v>
      </c>
      <c r="AE94" s="237">
        <v>500.0</v>
      </c>
      <c r="AF94" s="236" t="s">
        <v>786</v>
      </c>
      <c r="AG94" s="237">
        <v>5.0</v>
      </c>
      <c r="AH94" s="237"/>
      <c r="AI94" s="239"/>
      <c r="AJ94" s="240"/>
    </row>
    <row r="95" ht="14.25" customHeight="1">
      <c r="A95" s="222" t="s">
        <v>509</v>
      </c>
      <c r="B95" s="222" t="s">
        <v>788</v>
      </c>
      <c r="C95" s="222" t="s">
        <v>789</v>
      </c>
      <c r="D95" s="222" t="s">
        <v>788</v>
      </c>
      <c r="E95" s="223">
        <v>42173.0</v>
      </c>
      <c r="F95" s="223"/>
      <c r="G95" s="224"/>
      <c r="H95" s="171" t="s">
        <v>519</v>
      </c>
      <c r="I95" s="171" t="s">
        <v>520</v>
      </c>
      <c r="J95" s="171" t="s">
        <v>516</v>
      </c>
      <c r="K95" s="171" t="s">
        <v>415</v>
      </c>
      <c r="L95" s="171" t="s">
        <v>468</v>
      </c>
      <c r="M95" s="171" t="s">
        <v>475</v>
      </c>
      <c r="N95" s="171"/>
      <c r="O95" s="171">
        <v>3.0</v>
      </c>
      <c r="P95" s="171" t="s">
        <v>516</v>
      </c>
      <c r="Q95" s="171" t="s">
        <v>516</v>
      </c>
      <c r="R95" s="171" t="s">
        <v>516</v>
      </c>
      <c r="S95" s="171" t="s">
        <v>516</v>
      </c>
      <c r="T95" s="171" t="s">
        <v>516</v>
      </c>
      <c r="U95" s="171" t="s">
        <v>423</v>
      </c>
      <c r="V95" s="112"/>
      <c r="W95" s="112"/>
      <c r="X95" s="112"/>
      <c r="Y95" s="171">
        <v>10.0</v>
      </c>
      <c r="Z95" s="171">
        <v>35.0</v>
      </c>
      <c r="AA95" s="229" t="s">
        <v>784</v>
      </c>
      <c r="AB95" s="69"/>
      <c r="AC95" s="112"/>
      <c r="AD95" s="171" t="s">
        <v>423</v>
      </c>
      <c r="AE95" s="112"/>
      <c r="AF95" s="171" t="s">
        <v>423</v>
      </c>
      <c r="AG95" s="112">
        <v>5.0</v>
      </c>
      <c r="AH95" s="112"/>
      <c r="AI95" s="12"/>
      <c r="AJ95" s="12"/>
    </row>
    <row r="96" ht="14.25" customHeight="1">
      <c r="A96" s="222" t="s">
        <v>509</v>
      </c>
      <c r="B96" s="222" t="s">
        <v>790</v>
      </c>
      <c r="C96" s="222" t="s">
        <v>789</v>
      </c>
      <c r="D96" s="222" t="s">
        <v>790</v>
      </c>
      <c r="E96" s="223">
        <v>42388.0</v>
      </c>
      <c r="F96" s="223"/>
      <c r="G96" s="224"/>
      <c r="H96" s="171" t="s">
        <v>519</v>
      </c>
      <c r="I96" s="171" t="s">
        <v>520</v>
      </c>
      <c r="J96" s="171" t="s">
        <v>516</v>
      </c>
      <c r="K96" s="171" t="s">
        <v>415</v>
      </c>
      <c r="L96" s="171" t="s">
        <v>468</v>
      </c>
      <c r="M96" s="171" t="s">
        <v>475</v>
      </c>
      <c r="N96" s="171"/>
      <c r="O96" s="171">
        <v>3.0</v>
      </c>
      <c r="P96" s="171" t="s">
        <v>516</v>
      </c>
      <c r="Q96" s="171" t="s">
        <v>516</v>
      </c>
      <c r="R96" s="171" t="s">
        <v>516</v>
      </c>
      <c r="S96" s="171" t="s">
        <v>516</v>
      </c>
      <c r="T96" s="171" t="s">
        <v>516</v>
      </c>
      <c r="U96" s="171" t="s">
        <v>423</v>
      </c>
      <c r="V96" s="112"/>
      <c r="W96" s="112"/>
      <c r="X96" s="112"/>
      <c r="Y96" s="171">
        <v>10.0</v>
      </c>
      <c r="Z96" s="171">
        <v>35.0</v>
      </c>
      <c r="AA96" s="229" t="s">
        <v>784</v>
      </c>
      <c r="AB96" s="69"/>
      <c r="AC96" s="112"/>
      <c r="AD96" s="171" t="s">
        <v>423</v>
      </c>
      <c r="AE96" s="112"/>
      <c r="AF96" s="171" t="s">
        <v>423</v>
      </c>
      <c r="AG96" s="112">
        <v>5.0</v>
      </c>
      <c r="AH96" s="112"/>
      <c r="AI96" s="12"/>
      <c r="AJ96" s="12"/>
    </row>
    <row r="97" ht="14.25" customHeight="1">
      <c r="A97" s="222" t="s">
        <v>509</v>
      </c>
      <c r="B97" s="222" t="s">
        <v>791</v>
      </c>
      <c r="C97" s="222" t="s">
        <v>789</v>
      </c>
      <c r="D97" s="222" t="s">
        <v>791</v>
      </c>
      <c r="E97" s="223">
        <v>43104.0</v>
      </c>
      <c r="F97" s="223">
        <v>43817.0</v>
      </c>
      <c r="G97" s="224" t="s">
        <v>512</v>
      </c>
      <c r="H97" s="171" t="s">
        <v>519</v>
      </c>
      <c r="I97" s="171" t="s">
        <v>520</v>
      </c>
      <c r="J97" s="171" t="s">
        <v>548</v>
      </c>
      <c r="K97" s="171" t="s">
        <v>415</v>
      </c>
      <c r="L97" s="171" t="s">
        <v>468</v>
      </c>
      <c r="M97" s="171" t="s">
        <v>475</v>
      </c>
      <c r="N97" s="171"/>
      <c r="O97" s="171">
        <v>3.0</v>
      </c>
      <c r="P97" s="171" t="s">
        <v>516</v>
      </c>
      <c r="Q97" s="171" t="s">
        <v>516</v>
      </c>
      <c r="R97" s="171" t="s">
        <v>516</v>
      </c>
      <c r="S97" s="171" t="s">
        <v>516</v>
      </c>
      <c r="T97" s="171" t="s">
        <v>516</v>
      </c>
      <c r="U97" s="171" t="s">
        <v>423</v>
      </c>
      <c r="V97" s="112"/>
      <c r="W97" s="112"/>
      <c r="X97" s="112"/>
      <c r="Y97" s="171">
        <v>10.0</v>
      </c>
      <c r="Z97" s="171">
        <v>35.0</v>
      </c>
      <c r="AA97" s="229" t="s">
        <v>784</v>
      </c>
      <c r="AB97" s="69"/>
      <c r="AC97" s="112"/>
      <c r="AD97" s="171" t="s">
        <v>423</v>
      </c>
      <c r="AE97" s="112"/>
      <c r="AF97" s="171" t="s">
        <v>423</v>
      </c>
      <c r="AG97" s="112">
        <v>5.0</v>
      </c>
      <c r="AH97" s="112"/>
      <c r="AI97" s="12"/>
      <c r="AJ97" s="12"/>
    </row>
    <row r="98" ht="14.25" customHeight="1">
      <c r="A98" s="222" t="s">
        <v>509</v>
      </c>
      <c r="B98" s="222" t="s">
        <v>792</v>
      </c>
      <c r="C98" s="222" t="s">
        <v>789</v>
      </c>
      <c r="D98" s="222" t="s">
        <v>792</v>
      </c>
      <c r="E98" s="223">
        <v>43818.0</v>
      </c>
      <c r="F98" s="223"/>
      <c r="G98" s="224"/>
      <c r="H98" s="171" t="s">
        <v>519</v>
      </c>
      <c r="I98" s="171" t="s">
        <v>520</v>
      </c>
      <c r="J98" s="171" t="s">
        <v>548</v>
      </c>
      <c r="K98" s="171" t="s">
        <v>415</v>
      </c>
      <c r="L98" s="171" t="s">
        <v>468</v>
      </c>
      <c r="M98" s="171" t="s">
        <v>475</v>
      </c>
      <c r="N98" s="171"/>
      <c r="O98" s="171">
        <v>3.0</v>
      </c>
      <c r="P98" s="171" t="s">
        <v>516</v>
      </c>
      <c r="Q98" s="171" t="s">
        <v>516</v>
      </c>
      <c r="R98" s="171" t="s">
        <v>516</v>
      </c>
      <c r="S98" s="171" t="s">
        <v>516</v>
      </c>
      <c r="T98" s="171" t="s">
        <v>516</v>
      </c>
      <c r="U98" s="171" t="s">
        <v>423</v>
      </c>
      <c r="V98" s="112"/>
      <c r="W98" s="112"/>
      <c r="X98" s="112"/>
      <c r="Y98" s="171">
        <v>10.0</v>
      </c>
      <c r="Z98" s="171">
        <v>35.0</v>
      </c>
      <c r="AA98" s="229" t="s">
        <v>784</v>
      </c>
      <c r="AB98" s="69"/>
      <c r="AC98" s="112"/>
      <c r="AD98" s="171" t="s">
        <v>423</v>
      </c>
      <c r="AE98" s="112"/>
      <c r="AF98" s="171" t="s">
        <v>423</v>
      </c>
      <c r="AG98" s="112">
        <v>5.0</v>
      </c>
      <c r="AH98" s="112"/>
      <c r="AI98" s="12"/>
      <c r="AJ98" s="12"/>
    </row>
    <row r="99" ht="14.25" customHeight="1">
      <c r="A99" s="222" t="s">
        <v>509</v>
      </c>
      <c r="B99" s="222" t="s">
        <v>793</v>
      </c>
      <c r="C99" s="222" t="s">
        <v>794</v>
      </c>
      <c r="D99" s="222" t="s">
        <v>793</v>
      </c>
      <c r="E99" s="223">
        <v>42230.0</v>
      </c>
      <c r="F99" s="223"/>
      <c r="G99" s="224"/>
      <c r="H99" s="171" t="s">
        <v>519</v>
      </c>
      <c r="I99" s="171" t="s">
        <v>520</v>
      </c>
      <c r="J99" s="171" t="s">
        <v>516</v>
      </c>
      <c r="K99" s="171" t="s">
        <v>415</v>
      </c>
      <c r="L99" s="171" t="s">
        <v>468</v>
      </c>
      <c r="M99" s="171" t="s">
        <v>475</v>
      </c>
      <c r="N99" s="171"/>
      <c r="O99" s="171">
        <v>3.0</v>
      </c>
      <c r="P99" s="171" t="s">
        <v>516</v>
      </c>
      <c r="Q99" s="171" t="s">
        <v>516</v>
      </c>
      <c r="R99" s="171" t="s">
        <v>548</v>
      </c>
      <c r="S99" s="171" t="s">
        <v>516</v>
      </c>
      <c r="T99" s="171" t="s">
        <v>516</v>
      </c>
      <c r="U99" s="171">
        <v>2.0</v>
      </c>
      <c r="V99" s="171">
        <v>18.0</v>
      </c>
      <c r="W99" s="171">
        <v>65.0</v>
      </c>
      <c r="X99" s="171">
        <v>75.0</v>
      </c>
      <c r="Y99" s="171">
        <v>10.0</v>
      </c>
      <c r="Z99" s="171">
        <v>35.0</v>
      </c>
      <c r="AA99" s="171">
        <v>1.0</v>
      </c>
      <c r="AB99" s="171">
        <v>15.0</v>
      </c>
      <c r="AC99" s="112"/>
      <c r="AD99" s="171" t="s">
        <v>795</v>
      </c>
      <c r="AE99" s="112">
        <v>500.0</v>
      </c>
      <c r="AF99" s="226" t="s">
        <v>796</v>
      </c>
      <c r="AG99" s="171">
        <v>3.0</v>
      </c>
      <c r="AH99" s="112" t="s">
        <v>797</v>
      </c>
      <c r="AI99" s="12"/>
      <c r="AJ99" s="12"/>
    </row>
    <row r="100" ht="14.25" customHeight="1">
      <c r="A100" s="222" t="s">
        <v>509</v>
      </c>
      <c r="B100" s="222" t="s">
        <v>798</v>
      </c>
      <c r="C100" s="222" t="s">
        <v>794</v>
      </c>
      <c r="D100" s="222" t="s">
        <v>798</v>
      </c>
      <c r="E100" s="223">
        <v>42388.0</v>
      </c>
      <c r="F100" s="223"/>
      <c r="G100" s="224"/>
      <c r="H100" s="171" t="s">
        <v>519</v>
      </c>
      <c r="I100" s="171" t="s">
        <v>520</v>
      </c>
      <c r="J100" s="171" t="s">
        <v>516</v>
      </c>
      <c r="K100" s="171" t="s">
        <v>415</v>
      </c>
      <c r="L100" s="171" t="s">
        <v>468</v>
      </c>
      <c r="M100" s="171" t="s">
        <v>475</v>
      </c>
      <c r="N100" s="171"/>
      <c r="O100" s="171">
        <v>3.0</v>
      </c>
      <c r="P100" s="171" t="s">
        <v>516</v>
      </c>
      <c r="Q100" s="171" t="s">
        <v>516</v>
      </c>
      <c r="R100" s="171" t="s">
        <v>548</v>
      </c>
      <c r="S100" s="171" t="s">
        <v>516</v>
      </c>
      <c r="T100" s="171" t="s">
        <v>516</v>
      </c>
      <c r="U100" s="171">
        <v>2.0</v>
      </c>
      <c r="V100" s="171">
        <v>18.0</v>
      </c>
      <c r="W100" s="171">
        <v>65.0</v>
      </c>
      <c r="X100" s="171">
        <v>75.0</v>
      </c>
      <c r="Y100" s="171">
        <v>10.0</v>
      </c>
      <c r="Z100" s="171">
        <v>35.0</v>
      </c>
      <c r="AA100" s="171">
        <v>1.0</v>
      </c>
      <c r="AB100" s="171">
        <v>15.0</v>
      </c>
      <c r="AC100" s="112"/>
      <c r="AD100" s="171" t="s">
        <v>795</v>
      </c>
      <c r="AE100" s="112">
        <v>500.0</v>
      </c>
      <c r="AF100" s="226" t="s">
        <v>796</v>
      </c>
      <c r="AG100" s="171">
        <v>3.0</v>
      </c>
      <c r="AH100" s="112" t="s">
        <v>797</v>
      </c>
      <c r="AI100" s="12"/>
      <c r="AJ100" s="12"/>
    </row>
    <row r="101" ht="14.25" customHeight="1">
      <c r="A101" s="222" t="s">
        <v>509</v>
      </c>
      <c r="B101" s="222" t="s">
        <v>799</v>
      </c>
      <c r="C101" s="222" t="s">
        <v>794</v>
      </c>
      <c r="D101" s="222" t="s">
        <v>799</v>
      </c>
      <c r="E101" s="223">
        <v>42713.0</v>
      </c>
      <c r="F101" s="223"/>
      <c r="G101" s="224"/>
      <c r="H101" s="171" t="s">
        <v>519</v>
      </c>
      <c r="I101" s="171" t="s">
        <v>520</v>
      </c>
      <c r="J101" s="171" t="s">
        <v>516</v>
      </c>
      <c r="K101" s="171" t="s">
        <v>415</v>
      </c>
      <c r="L101" s="171" t="s">
        <v>468</v>
      </c>
      <c r="M101" s="171" t="s">
        <v>475</v>
      </c>
      <c r="N101" s="241"/>
      <c r="O101" s="171">
        <v>3.0</v>
      </c>
      <c r="P101" s="171" t="s">
        <v>516</v>
      </c>
      <c r="Q101" s="171" t="s">
        <v>516</v>
      </c>
      <c r="R101" s="171" t="s">
        <v>548</v>
      </c>
      <c r="S101" s="171" t="s">
        <v>516</v>
      </c>
      <c r="T101" s="171" t="s">
        <v>516</v>
      </c>
      <c r="U101" s="171">
        <v>2.0</v>
      </c>
      <c r="V101" s="171">
        <v>18.0</v>
      </c>
      <c r="W101" s="171">
        <v>65.0</v>
      </c>
      <c r="X101" s="171">
        <v>75.0</v>
      </c>
      <c r="Y101" s="171">
        <v>10.0</v>
      </c>
      <c r="Z101" s="171">
        <v>35.0</v>
      </c>
      <c r="AA101" s="171">
        <v>1.0</v>
      </c>
      <c r="AB101" s="171">
        <v>15.0</v>
      </c>
      <c r="AC101" s="112"/>
      <c r="AD101" s="171" t="s">
        <v>795</v>
      </c>
      <c r="AE101" s="112">
        <v>500.0</v>
      </c>
      <c r="AF101" s="226" t="s">
        <v>796</v>
      </c>
      <c r="AG101" s="171">
        <v>3.0</v>
      </c>
      <c r="AH101" s="112" t="s">
        <v>797</v>
      </c>
      <c r="AI101" s="12"/>
      <c r="AJ101" s="12"/>
    </row>
    <row r="102" ht="14.25" customHeight="1">
      <c r="A102" s="222" t="s">
        <v>509</v>
      </c>
      <c r="B102" s="222" t="s">
        <v>800</v>
      </c>
      <c r="C102" s="222" t="s">
        <v>794</v>
      </c>
      <c r="D102" s="222" t="s">
        <v>800</v>
      </c>
      <c r="E102" s="223">
        <v>43104.0</v>
      </c>
      <c r="F102" s="223">
        <v>43793.0</v>
      </c>
      <c r="G102" s="224" t="s">
        <v>512</v>
      </c>
      <c r="H102" s="171" t="s">
        <v>519</v>
      </c>
      <c r="I102" s="171" t="s">
        <v>520</v>
      </c>
      <c r="J102" s="171" t="s">
        <v>548</v>
      </c>
      <c r="K102" s="171" t="s">
        <v>415</v>
      </c>
      <c r="L102" s="171" t="s">
        <v>468</v>
      </c>
      <c r="M102" s="171" t="s">
        <v>475</v>
      </c>
      <c r="N102" s="171"/>
      <c r="O102" s="171">
        <v>3.0</v>
      </c>
      <c r="P102" s="171" t="s">
        <v>516</v>
      </c>
      <c r="Q102" s="171" t="s">
        <v>516</v>
      </c>
      <c r="R102" s="171" t="s">
        <v>548</v>
      </c>
      <c r="S102" s="171" t="s">
        <v>516</v>
      </c>
      <c r="T102" s="171" t="s">
        <v>516</v>
      </c>
      <c r="U102" s="171">
        <v>2.0</v>
      </c>
      <c r="V102" s="171">
        <v>18.0</v>
      </c>
      <c r="W102" s="171">
        <v>65.0</v>
      </c>
      <c r="X102" s="171">
        <v>75.0</v>
      </c>
      <c r="Y102" s="171">
        <v>10.0</v>
      </c>
      <c r="Z102" s="171">
        <v>35.0</v>
      </c>
      <c r="AA102" s="171">
        <v>1.0</v>
      </c>
      <c r="AB102" s="171">
        <v>15.0</v>
      </c>
      <c r="AC102" s="112"/>
      <c r="AD102" s="171" t="s">
        <v>795</v>
      </c>
      <c r="AE102" s="112">
        <v>500.0</v>
      </c>
      <c r="AF102" s="226" t="s">
        <v>796</v>
      </c>
      <c r="AG102" s="171">
        <v>3.0</v>
      </c>
      <c r="AH102" s="112" t="s">
        <v>797</v>
      </c>
      <c r="AI102" s="12"/>
      <c r="AJ102" s="12"/>
    </row>
    <row r="103" ht="14.25" customHeight="1">
      <c r="A103" s="222" t="s">
        <v>509</v>
      </c>
      <c r="B103" s="222" t="s">
        <v>801</v>
      </c>
      <c r="C103" s="222" t="s">
        <v>794</v>
      </c>
      <c r="D103" s="222" t="s">
        <v>801</v>
      </c>
      <c r="E103" s="223">
        <v>43794.0</v>
      </c>
      <c r="F103" s="223"/>
      <c r="G103" s="224"/>
      <c r="H103" s="171" t="s">
        <v>519</v>
      </c>
      <c r="I103" s="171" t="s">
        <v>520</v>
      </c>
      <c r="J103" s="171" t="s">
        <v>516</v>
      </c>
      <c r="K103" s="171" t="s">
        <v>415</v>
      </c>
      <c r="L103" s="171" t="s">
        <v>468</v>
      </c>
      <c r="M103" s="171" t="s">
        <v>475</v>
      </c>
      <c r="N103" s="171"/>
      <c r="O103" s="171">
        <v>3.0</v>
      </c>
      <c r="P103" s="171" t="s">
        <v>516</v>
      </c>
      <c r="Q103" s="171" t="s">
        <v>516</v>
      </c>
      <c r="R103" s="171" t="s">
        <v>548</v>
      </c>
      <c r="S103" s="171" t="s">
        <v>516</v>
      </c>
      <c r="T103" s="171" t="s">
        <v>516</v>
      </c>
      <c r="U103" s="171">
        <v>2.0</v>
      </c>
      <c r="V103" s="171">
        <v>18.0</v>
      </c>
      <c r="W103" s="171">
        <v>65.0</v>
      </c>
      <c r="X103" s="171">
        <v>75.0</v>
      </c>
      <c r="Y103" s="171">
        <v>10.0</v>
      </c>
      <c r="Z103" s="171">
        <v>35.0</v>
      </c>
      <c r="AA103" s="171">
        <v>1.0</v>
      </c>
      <c r="AB103" s="171">
        <v>15.0</v>
      </c>
      <c r="AC103" s="112"/>
      <c r="AD103" s="171" t="s">
        <v>795</v>
      </c>
      <c r="AE103" s="112">
        <v>500.0</v>
      </c>
      <c r="AF103" s="226" t="s">
        <v>796</v>
      </c>
      <c r="AG103" s="171">
        <v>3.0</v>
      </c>
      <c r="AH103" s="112" t="s">
        <v>797</v>
      </c>
      <c r="AI103" s="12"/>
      <c r="AJ103" s="12"/>
    </row>
    <row r="104" ht="14.25" customHeight="1">
      <c r="A104" s="222" t="s">
        <v>509</v>
      </c>
      <c r="B104" s="222" t="s">
        <v>802</v>
      </c>
      <c r="C104" s="222" t="s">
        <v>803</v>
      </c>
      <c r="D104" s="222" t="s">
        <v>802</v>
      </c>
      <c r="E104" s="223">
        <v>42571.0</v>
      </c>
      <c r="F104" s="223">
        <v>43860.0</v>
      </c>
      <c r="G104" s="224" t="s">
        <v>512</v>
      </c>
      <c r="H104" s="171" t="s">
        <v>519</v>
      </c>
      <c r="I104" s="171" t="s">
        <v>520</v>
      </c>
      <c r="J104" s="171" t="s">
        <v>548</v>
      </c>
      <c r="K104" s="171" t="s">
        <v>415</v>
      </c>
      <c r="L104" s="171" t="s">
        <v>466</v>
      </c>
      <c r="M104" s="171" t="s">
        <v>475</v>
      </c>
      <c r="N104" s="171"/>
      <c r="O104" s="171">
        <v>2.0</v>
      </c>
      <c r="P104" s="171" t="s">
        <v>516</v>
      </c>
      <c r="Q104" s="171" t="s">
        <v>516</v>
      </c>
      <c r="R104" s="171" t="s">
        <v>548</v>
      </c>
      <c r="S104" s="171" t="s">
        <v>516</v>
      </c>
      <c r="T104" s="171" t="s">
        <v>516</v>
      </c>
      <c r="U104" s="171">
        <v>2.0</v>
      </c>
      <c r="V104" s="171">
        <v>8.0</v>
      </c>
      <c r="W104" s="171">
        <v>60.0</v>
      </c>
      <c r="X104" s="171">
        <v>70.0</v>
      </c>
      <c r="Y104" s="171">
        <v>10.0</v>
      </c>
      <c r="Z104" s="171">
        <v>10.0</v>
      </c>
      <c r="AA104" s="171">
        <v>1.0</v>
      </c>
      <c r="AB104" s="171">
        <v>5.0</v>
      </c>
      <c r="AC104" s="112"/>
      <c r="AD104" s="171" t="s">
        <v>804</v>
      </c>
      <c r="AE104" s="112">
        <v>500.0</v>
      </c>
      <c r="AF104" s="171" t="s">
        <v>805</v>
      </c>
      <c r="AG104" s="171">
        <v>4.0</v>
      </c>
      <c r="AH104" s="112" t="s">
        <v>806</v>
      </c>
      <c r="AI104" s="12"/>
      <c r="AJ104" s="12"/>
    </row>
    <row r="105" ht="14.25" customHeight="1">
      <c r="A105" s="222" t="s">
        <v>509</v>
      </c>
      <c r="B105" s="222" t="s">
        <v>807</v>
      </c>
      <c r="C105" s="222" t="s">
        <v>803</v>
      </c>
      <c r="D105" s="222" t="s">
        <v>807</v>
      </c>
      <c r="E105" s="223">
        <v>43861.0</v>
      </c>
      <c r="F105" s="223"/>
      <c r="G105" s="224"/>
      <c r="H105" s="171" t="s">
        <v>519</v>
      </c>
      <c r="I105" s="171" t="s">
        <v>520</v>
      </c>
      <c r="J105" s="171" t="s">
        <v>548</v>
      </c>
      <c r="K105" s="171" t="s">
        <v>415</v>
      </c>
      <c r="L105" s="171" t="s">
        <v>466</v>
      </c>
      <c r="M105" s="171" t="s">
        <v>475</v>
      </c>
      <c r="N105" s="171"/>
      <c r="O105" s="171">
        <v>2.0</v>
      </c>
      <c r="P105" s="171" t="s">
        <v>516</v>
      </c>
      <c r="Q105" s="171" t="s">
        <v>516</v>
      </c>
      <c r="R105" s="171" t="s">
        <v>548</v>
      </c>
      <c r="S105" s="171" t="s">
        <v>516</v>
      </c>
      <c r="T105" s="171" t="s">
        <v>516</v>
      </c>
      <c r="U105" s="171">
        <v>2.0</v>
      </c>
      <c r="V105" s="171">
        <v>8.0</v>
      </c>
      <c r="W105" s="171">
        <v>60.0</v>
      </c>
      <c r="X105" s="171">
        <v>70.0</v>
      </c>
      <c r="Y105" s="171">
        <v>10.0</v>
      </c>
      <c r="Z105" s="171">
        <v>10.0</v>
      </c>
      <c r="AA105" s="171">
        <v>1.0</v>
      </c>
      <c r="AB105" s="171">
        <v>5.0</v>
      </c>
      <c r="AC105" s="112"/>
      <c r="AD105" s="171" t="s">
        <v>808</v>
      </c>
      <c r="AE105" s="112">
        <v>500.0</v>
      </c>
      <c r="AF105" s="171" t="s">
        <v>805</v>
      </c>
      <c r="AG105" s="171">
        <v>4.0</v>
      </c>
      <c r="AH105" s="112" t="s">
        <v>806</v>
      </c>
      <c r="AI105" s="12"/>
      <c r="AJ105" s="12"/>
    </row>
    <row r="106" ht="14.25" customHeight="1">
      <c r="A106" s="222" t="s">
        <v>509</v>
      </c>
      <c r="B106" s="222" t="s">
        <v>809</v>
      </c>
      <c r="C106" s="222" t="s">
        <v>810</v>
      </c>
      <c r="D106" s="222" t="s">
        <v>809</v>
      </c>
      <c r="E106" s="223">
        <v>43321.0</v>
      </c>
      <c r="F106" s="223">
        <v>43639.0</v>
      </c>
      <c r="G106" s="224" t="s">
        <v>512</v>
      </c>
      <c r="H106" s="171" t="s">
        <v>519</v>
      </c>
      <c r="I106" s="171" t="s">
        <v>520</v>
      </c>
      <c r="J106" s="171" t="s">
        <v>516</v>
      </c>
      <c r="K106" s="171" t="s">
        <v>415</v>
      </c>
      <c r="L106" s="171" t="s">
        <v>420</v>
      </c>
      <c r="M106" s="171" t="s">
        <v>475</v>
      </c>
      <c r="N106" s="171"/>
      <c r="O106" s="171">
        <v>9.0</v>
      </c>
      <c r="P106" s="171" t="s">
        <v>516</v>
      </c>
      <c r="Q106" s="171" t="s">
        <v>516</v>
      </c>
      <c r="R106" s="171" t="s">
        <v>548</v>
      </c>
      <c r="S106" s="171" t="s">
        <v>516</v>
      </c>
      <c r="T106" s="171" t="s">
        <v>516</v>
      </c>
      <c r="U106" s="112"/>
      <c r="V106" s="171">
        <v>0.0</v>
      </c>
      <c r="W106" s="171">
        <v>80.0</v>
      </c>
      <c r="X106" s="171">
        <v>90.0</v>
      </c>
      <c r="Y106" s="171">
        <v>10.0</v>
      </c>
      <c r="Z106" s="171" t="s">
        <v>811</v>
      </c>
      <c r="AA106" s="229" t="s">
        <v>702</v>
      </c>
      <c r="AB106" s="69"/>
      <c r="AC106" s="112"/>
      <c r="AD106" s="227" t="s">
        <v>812</v>
      </c>
      <c r="AE106" s="112">
        <v>500.0</v>
      </c>
      <c r="AF106" s="171" t="s">
        <v>813</v>
      </c>
      <c r="AG106" s="171">
        <v>2.0</v>
      </c>
      <c r="AH106" s="112"/>
      <c r="AI106" s="12"/>
      <c r="AJ106" s="12"/>
    </row>
    <row r="107" ht="14.25" customHeight="1">
      <c r="A107" s="222" t="s">
        <v>509</v>
      </c>
      <c r="B107" s="222" t="s">
        <v>814</v>
      </c>
      <c r="C107" s="222" t="s">
        <v>810</v>
      </c>
      <c r="D107" s="222" t="s">
        <v>814</v>
      </c>
      <c r="E107" s="223">
        <v>43640.0</v>
      </c>
      <c r="F107" s="223">
        <v>43807.0</v>
      </c>
      <c r="G107" s="224" t="s">
        <v>512</v>
      </c>
      <c r="H107" s="171" t="s">
        <v>519</v>
      </c>
      <c r="I107" s="171" t="s">
        <v>520</v>
      </c>
      <c r="J107" s="171" t="s">
        <v>516</v>
      </c>
      <c r="K107" s="171" t="s">
        <v>415</v>
      </c>
      <c r="L107" s="171" t="s">
        <v>420</v>
      </c>
      <c r="M107" s="171" t="s">
        <v>475</v>
      </c>
      <c r="N107" s="171"/>
      <c r="O107" s="171">
        <v>11.0</v>
      </c>
      <c r="P107" s="171" t="s">
        <v>516</v>
      </c>
      <c r="Q107" s="171" t="s">
        <v>516</v>
      </c>
      <c r="R107" s="171" t="s">
        <v>548</v>
      </c>
      <c r="S107" s="171" t="s">
        <v>516</v>
      </c>
      <c r="T107" s="171" t="s">
        <v>516</v>
      </c>
      <c r="U107" s="112"/>
      <c r="V107" s="171">
        <v>0.0</v>
      </c>
      <c r="W107" s="171">
        <v>80.0</v>
      </c>
      <c r="X107" s="171">
        <v>90.0</v>
      </c>
      <c r="Y107" s="171">
        <v>10.0</v>
      </c>
      <c r="Z107" s="171" t="s">
        <v>811</v>
      </c>
      <c r="AA107" s="229" t="s">
        <v>702</v>
      </c>
      <c r="AB107" s="69"/>
      <c r="AC107" s="112"/>
      <c r="AD107" s="227" t="s">
        <v>812</v>
      </c>
      <c r="AE107" s="112">
        <v>500.0</v>
      </c>
      <c r="AF107" s="171" t="s">
        <v>813</v>
      </c>
      <c r="AG107" s="171">
        <v>2.0</v>
      </c>
      <c r="AH107" s="112"/>
      <c r="AI107" s="12"/>
      <c r="AJ107" s="12"/>
    </row>
    <row r="108" ht="14.25" customHeight="1">
      <c r="A108" s="222" t="s">
        <v>509</v>
      </c>
      <c r="B108" s="222" t="s">
        <v>815</v>
      </c>
      <c r="C108" s="222" t="s">
        <v>810</v>
      </c>
      <c r="D108" s="222" t="s">
        <v>815</v>
      </c>
      <c r="E108" s="223">
        <v>43808.0</v>
      </c>
      <c r="F108" s="223"/>
      <c r="G108" s="224"/>
      <c r="H108" s="171" t="s">
        <v>519</v>
      </c>
      <c r="I108" s="171" t="s">
        <v>520</v>
      </c>
      <c r="J108" s="171" t="s">
        <v>516</v>
      </c>
      <c r="K108" s="171" t="s">
        <v>415</v>
      </c>
      <c r="L108" s="171" t="s">
        <v>420</v>
      </c>
      <c r="M108" s="171" t="s">
        <v>475</v>
      </c>
      <c r="N108" s="171"/>
      <c r="O108" s="171">
        <v>11.0</v>
      </c>
      <c r="P108" s="171" t="s">
        <v>516</v>
      </c>
      <c r="Q108" s="171" t="s">
        <v>516</v>
      </c>
      <c r="R108" s="171" t="s">
        <v>548</v>
      </c>
      <c r="S108" s="171" t="s">
        <v>516</v>
      </c>
      <c r="T108" s="171" t="s">
        <v>516</v>
      </c>
      <c r="U108" s="112"/>
      <c r="V108" s="171">
        <v>0.0</v>
      </c>
      <c r="W108" s="171">
        <v>80.0</v>
      </c>
      <c r="X108" s="171">
        <v>90.0</v>
      </c>
      <c r="Y108" s="171">
        <v>10.0</v>
      </c>
      <c r="Z108" s="171" t="s">
        <v>811</v>
      </c>
      <c r="AA108" s="229" t="s">
        <v>702</v>
      </c>
      <c r="AB108" s="69"/>
      <c r="AC108" s="112"/>
      <c r="AD108" s="227" t="s">
        <v>812</v>
      </c>
      <c r="AE108" s="112">
        <v>500.0</v>
      </c>
      <c r="AF108" s="171" t="s">
        <v>813</v>
      </c>
      <c r="AG108" s="171">
        <v>2.0</v>
      </c>
      <c r="AH108" s="112"/>
      <c r="AI108" s="12"/>
      <c r="AJ108" s="12"/>
    </row>
    <row r="109" ht="14.25" customHeight="1">
      <c r="A109" s="222" t="s">
        <v>509</v>
      </c>
      <c r="B109" s="222" t="s">
        <v>816</v>
      </c>
      <c r="C109" s="222" t="s">
        <v>817</v>
      </c>
      <c r="D109" s="222" t="s">
        <v>816</v>
      </c>
      <c r="E109" s="223">
        <v>43453.0</v>
      </c>
      <c r="F109" s="223"/>
      <c r="G109" s="224"/>
      <c r="H109" s="171" t="s">
        <v>519</v>
      </c>
      <c r="I109" s="171" t="s">
        <v>520</v>
      </c>
      <c r="J109" s="171" t="s">
        <v>516</v>
      </c>
      <c r="K109" s="171" t="s">
        <v>415</v>
      </c>
      <c r="L109" s="171" t="s">
        <v>420</v>
      </c>
      <c r="M109" s="171" t="s">
        <v>475</v>
      </c>
      <c r="N109" s="171"/>
      <c r="O109" s="171">
        <v>8.0</v>
      </c>
      <c r="P109" s="171" t="s">
        <v>548</v>
      </c>
      <c r="Q109" s="171" t="s">
        <v>516</v>
      </c>
      <c r="R109" s="171" t="s">
        <v>516</v>
      </c>
      <c r="S109" s="171" t="s">
        <v>516</v>
      </c>
      <c r="T109" s="171" t="s">
        <v>516</v>
      </c>
      <c r="U109" s="171">
        <v>3.0</v>
      </c>
      <c r="V109" s="171" t="s">
        <v>779</v>
      </c>
      <c r="W109" s="171">
        <v>60.0</v>
      </c>
      <c r="X109" s="171">
        <v>99.0</v>
      </c>
      <c r="Y109" s="171">
        <v>10.0</v>
      </c>
      <c r="Z109" s="171" t="s">
        <v>818</v>
      </c>
      <c r="AA109" s="171">
        <v>5.0</v>
      </c>
      <c r="AB109" s="171">
        <v>40.0</v>
      </c>
      <c r="AC109" s="112"/>
      <c r="AD109" s="171" t="s">
        <v>423</v>
      </c>
      <c r="AE109" s="112"/>
      <c r="AF109" s="171" t="s">
        <v>423</v>
      </c>
      <c r="AG109" s="171">
        <v>5.0</v>
      </c>
      <c r="AH109" s="112"/>
      <c r="AI109" s="12"/>
      <c r="AJ109" s="12"/>
    </row>
    <row r="110" ht="14.25" customHeight="1">
      <c r="A110" s="222" t="s">
        <v>509</v>
      </c>
      <c r="B110" s="222" t="s">
        <v>819</v>
      </c>
      <c r="C110" s="222" t="s">
        <v>817</v>
      </c>
      <c r="D110" s="222" t="s">
        <v>819</v>
      </c>
      <c r="E110" s="223">
        <v>43797.0</v>
      </c>
      <c r="F110" s="223"/>
      <c r="G110" s="224"/>
      <c r="H110" s="171" t="s">
        <v>519</v>
      </c>
      <c r="I110" s="171" t="s">
        <v>520</v>
      </c>
      <c r="J110" s="171" t="s">
        <v>548</v>
      </c>
      <c r="K110" s="171" t="s">
        <v>415</v>
      </c>
      <c r="L110" s="171" t="s">
        <v>420</v>
      </c>
      <c r="M110" s="171" t="s">
        <v>475</v>
      </c>
      <c r="N110" s="171"/>
      <c r="O110" s="171">
        <v>10.0</v>
      </c>
      <c r="P110" s="171" t="s">
        <v>548</v>
      </c>
      <c r="Q110" s="171" t="s">
        <v>516</v>
      </c>
      <c r="R110" s="171" t="s">
        <v>516</v>
      </c>
      <c r="S110" s="171" t="s">
        <v>516</v>
      </c>
      <c r="T110" s="171" t="s">
        <v>516</v>
      </c>
      <c r="U110" s="171">
        <v>3.0</v>
      </c>
      <c r="V110" s="171" t="s">
        <v>779</v>
      </c>
      <c r="W110" s="171">
        <v>60.0</v>
      </c>
      <c r="X110" s="171">
        <v>99.0</v>
      </c>
      <c r="Y110" s="171">
        <v>10.0</v>
      </c>
      <c r="Z110" s="171" t="s">
        <v>818</v>
      </c>
      <c r="AA110" s="171">
        <v>5.0</v>
      </c>
      <c r="AB110" s="171">
        <v>40.0</v>
      </c>
      <c r="AC110" s="112"/>
      <c r="AD110" s="171" t="s">
        <v>423</v>
      </c>
      <c r="AE110" s="112"/>
      <c r="AF110" s="171" t="s">
        <v>423</v>
      </c>
      <c r="AG110" s="112">
        <v>5.0</v>
      </c>
      <c r="AH110" s="112"/>
      <c r="AI110" s="12"/>
      <c r="AJ110" s="12"/>
    </row>
    <row r="111" ht="14.25" customHeight="1">
      <c r="A111" s="242" t="s">
        <v>820</v>
      </c>
      <c r="B111" s="225" t="s">
        <v>821</v>
      </c>
      <c r="C111" s="242" t="s">
        <v>822</v>
      </c>
      <c r="D111" s="225" t="s">
        <v>821</v>
      </c>
      <c r="E111" s="243">
        <v>40126.0</v>
      </c>
      <c r="F111" s="243">
        <v>40421.0</v>
      </c>
      <c r="G111" s="225" t="s">
        <v>512</v>
      </c>
      <c r="H111" s="171" t="s">
        <v>519</v>
      </c>
      <c r="I111" s="171" t="s">
        <v>520</v>
      </c>
      <c r="J111" s="171" t="s">
        <v>548</v>
      </c>
      <c r="K111" s="171" t="s">
        <v>418</v>
      </c>
      <c r="L111" s="171" t="s">
        <v>420</v>
      </c>
      <c r="M111" s="171" t="s">
        <v>475</v>
      </c>
      <c r="N111" s="112"/>
      <c r="O111" s="244">
        <v>3.0</v>
      </c>
      <c r="P111" s="171" t="s">
        <v>516</v>
      </c>
      <c r="Q111" s="171" t="s">
        <v>516</v>
      </c>
      <c r="R111" s="171" t="s">
        <v>516</v>
      </c>
      <c r="S111" s="171" t="s">
        <v>516</v>
      </c>
      <c r="T111" s="171" t="s">
        <v>548</v>
      </c>
      <c r="U111" s="171">
        <v>2.0</v>
      </c>
      <c r="V111" s="245">
        <v>18.0</v>
      </c>
      <c r="W111" s="245">
        <v>55.0</v>
      </c>
      <c r="X111" s="245">
        <v>65.0</v>
      </c>
      <c r="Y111" s="245">
        <v>10.0</v>
      </c>
      <c r="Z111" s="245">
        <v>25.0</v>
      </c>
      <c r="AA111" s="245">
        <v>10.0</v>
      </c>
      <c r="AB111" s="245">
        <v>25.0</v>
      </c>
      <c r="AC111" s="112"/>
      <c r="AD111" s="171" t="s">
        <v>823</v>
      </c>
      <c r="AE111" s="112">
        <v>100.0</v>
      </c>
      <c r="AF111" s="171" t="s">
        <v>824</v>
      </c>
      <c r="AG111" s="112">
        <v>5.0</v>
      </c>
      <c r="AH111" s="112"/>
      <c r="AI111" s="12"/>
      <c r="AJ111" s="12"/>
    </row>
    <row r="112" ht="14.25" customHeight="1">
      <c r="A112" s="242" t="s">
        <v>820</v>
      </c>
      <c r="B112" s="225" t="s">
        <v>825</v>
      </c>
      <c r="C112" s="242" t="s">
        <v>826</v>
      </c>
      <c r="D112" s="225" t="s">
        <v>825</v>
      </c>
      <c r="E112" s="243">
        <v>40126.0</v>
      </c>
      <c r="F112" s="243">
        <v>40421.0</v>
      </c>
      <c r="G112" s="225" t="s">
        <v>512</v>
      </c>
      <c r="H112" s="171" t="s">
        <v>519</v>
      </c>
      <c r="I112" s="171" t="s">
        <v>520</v>
      </c>
      <c r="J112" s="171" t="s">
        <v>548</v>
      </c>
      <c r="K112" s="171" t="s">
        <v>418</v>
      </c>
      <c r="L112" s="171" t="s">
        <v>420</v>
      </c>
      <c r="M112" s="171" t="s">
        <v>475</v>
      </c>
      <c r="N112" s="112"/>
      <c r="O112" s="246">
        <v>4.0</v>
      </c>
      <c r="P112" s="171" t="s">
        <v>516</v>
      </c>
      <c r="Q112" s="171" t="s">
        <v>516</v>
      </c>
      <c r="R112" s="171" t="s">
        <v>516</v>
      </c>
      <c r="S112" s="171" t="s">
        <v>516</v>
      </c>
      <c r="T112" s="171" t="s">
        <v>516</v>
      </c>
      <c r="U112" s="171">
        <v>2.0</v>
      </c>
      <c r="V112" s="246">
        <v>18.0</v>
      </c>
      <c r="W112" s="246">
        <v>65.0</v>
      </c>
      <c r="X112" s="246">
        <v>80.0</v>
      </c>
      <c r="Y112" s="246">
        <v>15.0</v>
      </c>
      <c r="Z112" s="112"/>
      <c r="AA112" s="246">
        <v>1.0</v>
      </c>
      <c r="AB112" s="112"/>
      <c r="AC112" s="112"/>
      <c r="AD112" s="171" t="s">
        <v>827</v>
      </c>
      <c r="AE112" s="112">
        <v>100.0</v>
      </c>
      <c r="AF112" s="171" t="s">
        <v>828</v>
      </c>
      <c r="AG112" s="112">
        <v>5.0</v>
      </c>
      <c r="AH112" s="112"/>
      <c r="AI112" s="12"/>
      <c r="AJ112" s="12"/>
    </row>
    <row r="113" ht="14.25" customHeight="1">
      <c r="A113" s="242" t="s">
        <v>820</v>
      </c>
      <c r="B113" s="225" t="s">
        <v>829</v>
      </c>
      <c r="C113" s="242" t="s">
        <v>830</v>
      </c>
      <c r="D113" s="225" t="s">
        <v>829</v>
      </c>
      <c r="E113" s="243">
        <v>40126.0</v>
      </c>
      <c r="F113" s="243">
        <v>40421.0</v>
      </c>
      <c r="G113" s="225" t="s">
        <v>512</v>
      </c>
      <c r="H113" s="171" t="s">
        <v>519</v>
      </c>
      <c r="I113" s="171" t="s">
        <v>520</v>
      </c>
      <c r="J113" s="171" t="s">
        <v>548</v>
      </c>
      <c r="K113" s="112" t="s">
        <v>427</v>
      </c>
      <c r="L113" s="171" t="s">
        <v>420</v>
      </c>
      <c r="M113" s="171" t="s">
        <v>475</v>
      </c>
      <c r="N113" s="112"/>
      <c r="O113" s="246">
        <v>4.0</v>
      </c>
      <c r="P113" s="171" t="s">
        <v>516</v>
      </c>
      <c r="Q113" s="171" t="s">
        <v>516</v>
      </c>
      <c r="R113" s="171" t="s">
        <v>516</v>
      </c>
      <c r="S113" s="171" t="s">
        <v>516</v>
      </c>
      <c r="T113" s="171" t="s">
        <v>516</v>
      </c>
      <c r="U113" s="171">
        <v>2.0</v>
      </c>
      <c r="V113" s="246">
        <v>18.0</v>
      </c>
      <c r="W113" s="246">
        <v>65.0</v>
      </c>
      <c r="X113" s="112"/>
      <c r="Y113" s="246">
        <v>15.0</v>
      </c>
      <c r="Z113" s="246">
        <v>25.0</v>
      </c>
      <c r="AA113" s="246">
        <v>1.0</v>
      </c>
      <c r="AB113" s="246">
        <v>25.0</v>
      </c>
      <c r="AC113" s="112"/>
      <c r="AD113" s="171" t="s">
        <v>831</v>
      </c>
      <c r="AE113" s="112">
        <v>100.0</v>
      </c>
      <c r="AF113" s="171" t="s">
        <v>832</v>
      </c>
      <c r="AG113" s="112">
        <v>5.0</v>
      </c>
      <c r="AH113" s="112"/>
      <c r="AI113" s="12"/>
      <c r="AJ113" s="12"/>
    </row>
    <row r="114" ht="14.25" customHeight="1">
      <c r="A114" s="242" t="s">
        <v>820</v>
      </c>
      <c r="B114" s="225" t="s">
        <v>833</v>
      </c>
      <c r="C114" s="242" t="s">
        <v>834</v>
      </c>
      <c r="D114" s="225" t="s">
        <v>833</v>
      </c>
      <c r="E114" s="243">
        <v>40421.0</v>
      </c>
      <c r="F114" s="243">
        <v>41592.0</v>
      </c>
      <c r="G114" s="225" t="s">
        <v>512</v>
      </c>
      <c r="H114" s="171" t="s">
        <v>519</v>
      </c>
      <c r="I114" s="171" t="s">
        <v>520</v>
      </c>
      <c r="J114" s="171" t="s">
        <v>548</v>
      </c>
      <c r="K114" s="171" t="s">
        <v>427</v>
      </c>
      <c r="L114" s="171" t="s">
        <v>420</v>
      </c>
      <c r="M114" s="171" t="s">
        <v>475</v>
      </c>
      <c r="N114" s="112"/>
      <c r="O114" s="246">
        <v>5.0</v>
      </c>
      <c r="P114" s="171" t="s">
        <v>516</v>
      </c>
      <c r="Q114" s="171" t="s">
        <v>516</v>
      </c>
      <c r="R114" s="171" t="s">
        <v>516</v>
      </c>
      <c r="S114" s="171" t="s">
        <v>548</v>
      </c>
      <c r="T114" s="171" t="s">
        <v>516</v>
      </c>
      <c r="U114" s="171">
        <v>2.0</v>
      </c>
      <c r="V114" s="246">
        <v>5.0</v>
      </c>
      <c r="W114" s="246">
        <v>60.0</v>
      </c>
      <c r="X114" s="246">
        <v>75.0</v>
      </c>
      <c r="Y114" s="246">
        <v>15.0</v>
      </c>
      <c r="Z114" s="246">
        <v>25.0</v>
      </c>
      <c r="AA114" s="246">
        <v>1.0</v>
      </c>
      <c r="AB114" s="246">
        <v>25.0</v>
      </c>
      <c r="AC114" s="112"/>
      <c r="AD114" s="171" t="s">
        <v>835</v>
      </c>
      <c r="AE114" s="247" t="str">
        <f>(MIN(500,5%*[1]INPUT!$C$6))</f>
        <v>#ERROR!</v>
      </c>
      <c r="AF114" s="171" t="s">
        <v>836</v>
      </c>
      <c r="AG114" s="112">
        <v>5.0</v>
      </c>
      <c r="AH114" s="112"/>
      <c r="AI114" s="12"/>
      <c r="AJ114" s="12"/>
    </row>
    <row r="115" ht="14.25" customHeight="1">
      <c r="A115" s="242" t="s">
        <v>820</v>
      </c>
      <c r="B115" s="225" t="s">
        <v>837</v>
      </c>
      <c r="C115" s="242" t="s">
        <v>834</v>
      </c>
      <c r="D115" s="225" t="s">
        <v>837</v>
      </c>
      <c r="E115" s="243">
        <v>41578.0</v>
      </c>
      <c r="F115" s="243">
        <v>43010.0</v>
      </c>
      <c r="G115" s="225" t="s">
        <v>512</v>
      </c>
      <c r="H115" s="171" t="s">
        <v>519</v>
      </c>
      <c r="I115" s="171" t="s">
        <v>520</v>
      </c>
      <c r="J115" s="171" t="s">
        <v>548</v>
      </c>
      <c r="K115" s="171" t="s">
        <v>427</v>
      </c>
      <c r="L115" s="171" t="s">
        <v>420</v>
      </c>
      <c r="M115" s="171" t="s">
        <v>475</v>
      </c>
      <c r="N115" s="112"/>
      <c r="O115" s="246">
        <v>5.0</v>
      </c>
      <c r="P115" s="171" t="s">
        <v>516</v>
      </c>
      <c r="Q115" s="171" t="s">
        <v>516</v>
      </c>
      <c r="R115" s="171" t="s">
        <v>516</v>
      </c>
      <c r="S115" s="171" t="s">
        <v>548</v>
      </c>
      <c r="T115" s="171" t="s">
        <v>516</v>
      </c>
      <c r="U115" s="171">
        <v>2.0</v>
      </c>
      <c r="V115" s="246">
        <v>5.0</v>
      </c>
      <c r="W115" s="246">
        <v>60.0</v>
      </c>
      <c r="X115" s="246">
        <v>75.0</v>
      </c>
      <c r="Y115" s="246">
        <v>15.0</v>
      </c>
      <c r="Z115" s="246">
        <v>25.0</v>
      </c>
      <c r="AA115" s="246">
        <v>1.0</v>
      </c>
      <c r="AB115" s="246">
        <v>25.0</v>
      </c>
      <c r="AC115" s="112"/>
      <c r="AD115" s="171" t="s">
        <v>835</v>
      </c>
      <c r="AE115" s="247" t="str">
        <f>(MIN(500,5%*[1]INPUT!$C$6))</f>
        <v>#ERROR!</v>
      </c>
      <c r="AF115" s="171" t="s">
        <v>836</v>
      </c>
      <c r="AG115" s="112">
        <v>5.0</v>
      </c>
      <c r="AH115" s="112"/>
      <c r="AI115" s="12"/>
      <c r="AJ115" s="12"/>
    </row>
    <row r="116" ht="14.25" customHeight="1">
      <c r="A116" s="242" t="s">
        <v>820</v>
      </c>
      <c r="B116" s="225" t="s">
        <v>838</v>
      </c>
      <c r="C116" s="242" t="s">
        <v>834</v>
      </c>
      <c r="D116" s="225" t="s">
        <v>838</v>
      </c>
      <c r="E116" s="248">
        <v>43011.0</v>
      </c>
      <c r="F116" s="243">
        <v>43834.0</v>
      </c>
      <c r="G116" s="225" t="s">
        <v>512</v>
      </c>
      <c r="H116" s="171" t="s">
        <v>519</v>
      </c>
      <c r="I116" s="171" t="s">
        <v>520</v>
      </c>
      <c r="J116" s="171" t="s">
        <v>548</v>
      </c>
      <c r="K116" s="171" t="s">
        <v>427</v>
      </c>
      <c r="L116" s="171" t="s">
        <v>420</v>
      </c>
      <c r="M116" s="171" t="s">
        <v>475</v>
      </c>
      <c r="N116" s="112"/>
      <c r="O116" s="246">
        <v>5.0</v>
      </c>
      <c r="P116" s="171" t="s">
        <v>516</v>
      </c>
      <c r="Q116" s="171" t="s">
        <v>516</v>
      </c>
      <c r="R116" s="171" t="s">
        <v>516</v>
      </c>
      <c r="S116" s="171" t="s">
        <v>548</v>
      </c>
      <c r="T116" s="171" t="s">
        <v>516</v>
      </c>
      <c r="U116" s="171">
        <v>2.0</v>
      </c>
      <c r="V116" s="246">
        <v>5.0</v>
      </c>
      <c r="W116" s="246">
        <v>60.0</v>
      </c>
      <c r="X116" s="246">
        <v>75.0</v>
      </c>
      <c r="Y116" s="246">
        <v>15.0</v>
      </c>
      <c r="Z116" s="246">
        <v>25.0</v>
      </c>
      <c r="AA116" s="246">
        <v>1.0</v>
      </c>
      <c r="AB116" s="246">
        <v>25.0</v>
      </c>
      <c r="AC116" s="112"/>
      <c r="AD116" s="171" t="s">
        <v>835</v>
      </c>
      <c r="AE116" s="247" t="str">
        <f>(MIN(500,5%*[1]INPUT!$C$6))</f>
        <v>#ERROR!</v>
      </c>
      <c r="AF116" s="171" t="s">
        <v>836</v>
      </c>
      <c r="AG116" s="112">
        <v>5.0</v>
      </c>
      <c r="AH116" s="112"/>
      <c r="AI116" s="12"/>
      <c r="AJ116" s="12"/>
    </row>
    <row r="117" ht="14.25" customHeight="1">
      <c r="A117" s="242" t="s">
        <v>820</v>
      </c>
      <c r="B117" s="225" t="s">
        <v>839</v>
      </c>
      <c r="C117" s="242" t="s">
        <v>834</v>
      </c>
      <c r="D117" s="225" t="s">
        <v>839</v>
      </c>
      <c r="E117" s="248">
        <v>43835.0</v>
      </c>
      <c r="F117" s="112"/>
      <c r="G117" s="112"/>
      <c r="H117" s="171" t="s">
        <v>519</v>
      </c>
      <c r="I117" s="171" t="s">
        <v>520</v>
      </c>
      <c r="J117" s="171" t="s">
        <v>516</v>
      </c>
      <c r="K117" s="112" t="s">
        <v>427</v>
      </c>
      <c r="L117" s="112"/>
      <c r="M117" s="171"/>
      <c r="N117" s="112"/>
      <c r="O117" s="112"/>
      <c r="P117" s="112"/>
      <c r="Q117" s="112"/>
      <c r="R117" s="112"/>
      <c r="S117" s="112"/>
      <c r="T117" s="112"/>
      <c r="U117" s="112"/>
      <c r="V117" s="112"/>
      <c r="W117" s="112"/>
      <c r="X117" s="112"/>
      <c r="Y117" s="112"/>
      <c r="Z117" s="112"/>
      <c r="AA117" s="112"/>
      <c r="AB117" s="112"/>
      <c r="AC117" s="112"/>
      <c r="AD117" s="112"/>
      <c r="AE117" s="247" t="str">
        <f>(MIN(500,5%*[1]INPUT!$C$6))</f>
        <v>#ERROR!</v>
      </c>
      <c r="AF117" s="112"/>
      <c r="AG117" s="112"/>
      <c r="AH117" s="112"/>
      <c r="AI117" s="12"/>
      <c r="AJ117" s="12"/>
    </row>
    <row r="118" ht="14.25" customHeight="1">
      <c r="A118" s="242" t="s">
        <v>820</v>
      </c>
      <c r="B118" s="225" t="s">
        <v>840</v>
      </c>
      <c r="C118" s="242" t="s">
        <v>841</v>
      </c>
      <c r="D118" s="225" t="s">
        <v>840</v>
      </c>
      <c r="E118" s="243">
        <v>40421.0</v>
      </c>
      <c r="F118" s="243">
        <v>41640.0</v>
      </c>
      <c r="G118" s="225" t="s">
        <v>512</v>
      </c>
      <c r="H118" s="171" t="s">
        <v>519</v>
      </c>
      <c r="I118" s="171" t="s">
        <v>520</v>
      </c>
      <c r="J118" s="171" t="s">
        <v>548</v>
      </c>
      <c r="K118" s="112" t="s">
        <v>430</v>
      </c>
      <c r="L118" s="171" t="s">
        <v>420</v>
      </c>
      <c r="M118" s="171" t="s">
        <v>475</v>
      </c>
      <c r="N118" s="112"/>
      <c r="O118" s="246">
        <v>5.0</v>
      </c>
      <c r="P118" s="171" t="s">
        <v>516</v>
      </c>
      <c r="Q118" s="171" t="s">
        <v>516</v>
      </c>
      <c r="R118" s="171" t="s">
        <v>516</v>
      </c>
      <c r="S118" s="171" t="s">
        <v>548</v>
      </c>
      <c r="T118" s="171" t="s">
        <v>516</v>
      </c>
      <c r="U118" s="171">
        <v>2.0</v>
      </c>
      <c r="V118" s="171">
        <v>18.0</v>
      </c>
      <c r="W118" s="171">
        <v>55.0</v>
      </c>
      <c r="X118" s="171">
        <v>65.0</v>
      </c>
      <c r="Y118" s="171">
        <v>10.0</v>
      </c>
      <c r="Z118" s="171">
        <v>25.0</v>
      </c>
      <c r="AA118" s="171">
        <v>10.0</v>
      </c>
      <c r="AB118" s="171">
        <v>25.0</v>
      </c>
      <c r="AC118" s="112"/>
      <c r="AD118" s="171" t="s">
        <v>842</v>
      </c>
      <c r="AE118" s="112">
        <v>500.0</v>
      </c>
      <c r="AF118" s="171" t="s">
        <v>843</v>
      </c>
      <c r="AG118" s="112">
        <v>5.0</v>
      </c>
      <c r="AH118" s="112"/>
      <c r="AI118" s="12"/>
      <c r="AJ118" s="12"/>
    </row>
    <row r="119" ht="14.25" customHeight="1">
      <c r="A119" s="242" t="s">
        <v>820</v>
      </c>
      <c r="B119" s="225" t="s">
        <v>844</v>
      </c>
      <c r="C119" s="242" t="s">
        <v>845</v>
      </c>
      <c r="D119" s="225" t="s">
        <v>844</v>
      </c>
      <c r="E119" s="243">
        <v>41683.0</v>
      </c>
      <c r="F119" s="243">
        <v>43010.0</v>
      </c>
      <c r="G119" s="225" t="s">
        <v>512</v>
      </c>
      <c r="H119" s="171" t="s">
        <v>519</v>
      </c>
      <c r="I119" s="171" t="s">
        <v>520</v>
      </c>
      <c r="J119" s="171" t="s">
        <v>548</v>
      </c>
      <c r="K119" s="112" t="s">
        <v>430</v>
      </c>
      <c r="L119" s="171" t="s">
        <v>420</v>
      </c>
      <c r="M119" s="171" t="s">
        <v>475</v>
      </c>
      <c r="N119" s="112"/>
      <c r="O119" s="246">
        <v>4.0</v>
      </c>
      <c r="P119" s="171" t="s">
        <v>516</v>
      </c>
      <c r="Q119" s="171" t="s">
        <v>516</v>
      </c>
      <c r="R119" s="171" t="s">
        <v>516</v>
      </c>
      <c r="S119" s="171" t="s">
        <v>516</v>
      </c>
      <c r="T119" s="171" t="s">
        <v>516</v>
      </c>
      <c r="U119" s="171">
        <v>5.0</v>
      </c>
      <c r="V119" s="171">
        <v>18.0</v>
      </c>
      <c r="W119" s="171">
        <v>50.0</v>
      </c>
      <c r="X119" s="171">
        <v>60.0</v>
      </c>
      <c r="Y119" s="171">
        <v>10.0</v>
      </c>
      <c r="Z119" s="171">
        <v>25.0</v>
      </c>
      <c r="AA119" s="171">
        <v>10.0</v>
      </c>
      <c r="AB119" s="171">
        <v>25.0</v>
      </c>
      <c r="AC119" s="112"/>
      <c r="AD119" s="171" t="s">
        <v>846</v>
      </c>
      <c r="AE119" s="247" t="str">
        <f>(MIN(500,5%*[1]INPUT!$C$6))</f>
        <v>#ERROR!</v>
      </c>
      <c r="AF119" s="171" t="s">
        <v>847</v>
      </c>
      <c r="AG119" s="112">
        <v>5.0</v>
      </c>
      <c r="AH119" s="112"/>
      <c r="AI119" s="12"/>
      <c r="AJ119" s="12"/>
    </row>
    <row r="120" ht="14.25" customHeight="1">
      <c r="A120" s="242" t="s">
        <v>820</v>
      </c>
      <c r="B120" s="225" t="s">
        <v>848</v>
      </c>
      <c r="C120" s="242" t="s">
        <v>845</v>
      </c>
      <c r="D120" s="225" t="s">
        <v>848</v>
      </c>
      <c r="E120" s="243">
        <v>43011.0</v>
      </c>
      <c r="F120" s="243">
        <v>43862.0</v>
      </c>
      <c r="G120" s="225" t="s">
        <v>512</v>
      </c>
      <c r="H120" s="171" t="s">
        <v>519</v>
      </c>
      <c r="I120" s="171" t="s">
        <v>520</v>
      </c>
      <c r="J120" s="171" t="s">
        <v>548</v>
      </c>
      <c r="K120" s="112" t="s">
        <v>430</v>
      </c>
      <c r="L120" s="171" t="s">
        <v>420</v>
      </c>
      <c r="M120" s="171" t="s">
        <v>475</v>
      </c>
      <c r="N120" s="112"/>
      <c r="O120" s="246">
        <v>4.0</v>
      </c>
      <c r="P120" s="171" t="s">
        <v>516</v>
      </c>
      <c r="Q120" s="171" t="s">
        <v>516</v>
      </c>
      <c r="R120" s="171" t="s">
        <v>516</v>
      </c>
      <c r="S120" s="171" t="s">
        <v>516</v>
      </c>
      <c r="T120" s="171" t="s">
        <v>516</v>
      </c>
      <c r="U120" s="171">
        <v>5.0</v>
      </c>
      <c r="V120" s="171">
        <v>18.0</v>
      </c>
      <c r="W120" s="171">
        <v>50.0</v>
      </c>
      <c r="X120" s="171">
        <v>60.0</v>
      </c>
      <c r="Y120" s="171">
        <v>10.0</v>
      </c>
      <c r="Z120" s="171">
        <v>25.0</v>
      </c>
      <c r="AA120" s="171">
        <v>10.0</v>
      </c>
      <c r="AB120" s="171">
        <v>25.0</v>
      </c>
      <c r="AC120" s="112"/>
      <c r="AD120" s="171" t="s">
        <v>846</v>
      </c>
      <c r="AE120" s="247" t="str">
        <f>(MIN(500,5%*[1]INPUT!$C$6))</f>
        <v>#ERROR!</v>
      </c>
      <c r="AF120" s="171" t="s">
        <v>847</v>
      </c>
      <c r="AG120" s="112">
        <v>5.0</v>
      </c>
      <c r="AH120" s="112"/>
      <c r="AI120" s="12"/>
      <c r="AJ120" s="12"/>
    </row>
    <row r="121" ht="14.25" customHeight="1">
      <c r="A121" s="242" t="s">
        <v>820</v>
      </c>
      <c r="B121" s="225" t="s">
        <v>849</v>
      </c>
      <c r="C121" s="242" t="s">
        <v>850</v>
      </c>
      <c r="D121" s="225" t="s">
        <v>849</v>
      </c>
      <c r="E121" s="243">
        <v>40563.0</v>
      </c>
      <c r="F121" s="243">
        <v>41486.0</v>
      </c>
      <c r="G121" s="225" t="s">
        <v>512</v>
      </c>
      <c r="H121" s="171" t="s">
        <v>513</v>
      </c>
      <c r="I121" s="171" t="s">
        <v>520</v>
      </c>
      <c r="J121" s="112"/>
      <c r="K121" s="171"/>
      <c r="L121" s="112"/>
      <c r="M121" s="171"/>
      <c r="N121" s="112"/>
      <c r="O121" s="112"/>
      <c r="P121" s="112"/>
      <c r="Q121" s="112"/>
      <c r="R121" s="112"/>
      <c r="S121" s="112"/>
      <c r="T121" s="112"/>
      <c r="U121" s="112"/>
      <c r="V121" s="112"/>
      <c r="W121" s="112"/>
      <c r="X121" s="112"/>
      <c r="Y121" s="112"/>
      <c r="Z121" s="112"/>
      <c r="AA121" s="112"/>
      <c r="AB121" s="112"/>
      <c r="AC121" s="112"/>
      <c r="AD121" s="112"/>
      <c r="AE121" s="112"/>
      <c r="AF121" s="112"/>
      <c r="AG121" s="112"/>
      <c r="AH121" s="112"/>
      <c r="AI121" s="12"/>
      <c r="AJ121" s="12"/>
    </row>
    <row r="122" ht="14.25" customHeight="1">
      <c r="A122" s="242" t="s">
        <v>820</v>
      </c>
      <c r="B122" s="225" t="s">
        <v>851</v>
      </c>
      <c r="C122" s="242" t="s">
        <v>850</v>
      </c>
      <c r="D122" s="225" t="s">
        <v>851</v>
      </c>
      <c r="E122" s="243">
        <v>41485.0</v>
      </c>
      <c r="F122" s="112"/>
      <c r="G122" s="112"/>
      <c r="H122" s="171" t="s">
        <v>513</v>
      </c>
      <c r="I122" s="171" t="s">
        <v>520</v>
      </c>
      <c r="J122" s="112"/>
      <c r="K122" s="171"/>
      <c r="L122" s="112"/>
      <c r="M122" s="171"/>
      <c r="N122" s="112"/>
      <c r="O122" s="112"/>
      <c r="P122" s="112"/>
      <c r="Q122" s="112"/>
      <c r="R122" s="112"/>
      <c r="S122" s="112"/>
      <c r="T122" s="112"/>
      <c r="U122" s="112"/>
      <c r="V122" s="112"/>
      <c r="W122" s="112"/>
      <c r="X122" s="112"/>
      <c r="Y122" s="112"/>
      <c r="Z122" s="112"/>
      <c r="AA122" s="112"/>
      <c r="AB122" s="112"/>
      <c r="AC122" s="112"/>
      <c r="AD122" s="112"/>
      <c r="AE122" s="112"/>
      <c r="AF122" s="112"/>
      <c r="AG122" s="112"/>
      <c r="AH122" s="112"/>
      <c r="AI122" s="12"/>
      <c r="AJ122" s="12"/>
    </row>
    <row r="123" ht="14.25" customHeight="1">
      <c r="A123" s="242" t="s">
        <v>820</v>
      </c>
      <c r="B123" s="225" t="s">
        <v>852</v>
      </c>
      <c r="C123" s="242" t="s">
        <v>853</v>
      </c>
      <c r="D123" s="225" t="s">
        <v>852</v>
      </c>
      <c r="E123" s="249">
        <v>40665.0</v>
      </c>
      <c r="F123" s="243">
        <v>41558.0</v>
      </c>
      <c r="G123" s="225" t="s">
        <v>512</v>
      </c>
      <c r="H123" s="171" t="s">
        <v>519</v>
      </c>
      <c r="I123" s="171" t="s">
        <v>854</v>
      </c>
      <c r="J123" s="171" t="s">
        <v>548</v>
      </c>
      <c r="K123" s="171" t="s">
        <v>418</v>
      </c>
      <c r="L123" s="171" t="s">
        <v>420</v>
      </c>
      <c r="M123" s="171"/>
      <c r="N123" s="112"/>
      <c r="O123" s="112">
        <v>5.0</v>
      </c>
      <c r="P123" s="171" t="s">
        <v>516</v>
      </c>
      <c r="Q123" s="171" t="s">
        <v>516</v>
      </c>
      <c r="R123" s="171" t="s">
        <v>516</v>
      </c>
      <c r="S123" s="171" t="s">
        <v>548</v>
      </c>
      <c r="T123" s="171" t="s">
        <v>516</v>
      </c>
      <c r="U123" s="171">
        <v>2.0</v>
      </c>
      <c r="V123" s="171">
        <v>18.0</v>
      </c>
      <c r="W123" s="171">
        <v>60.0</v>
      </c>
      <c r="X123" s="171">
        <v>70.0</v>
      </c>
      <c r="Y123" s="171">
        <v>10.0</v>
      </c>
      <c r="Z123" s="112"/>
      <c r="AA123" s="171">
        <v>10.0</v>
      </c>
      <c r="AB123" s="112"/>
      <c r="AC123" s="112"/>
      <c r="AD123" s="171" t="s">
        <v>855</v>
      </c>
      <c r="AE123" s="112">
        <v>500.0</v>
      </c>
      <c r="AF123" s="171" t="s">
        <v>856</v>
      </c>
      <c r="AG123" s="112">
        <v>5.0</v>
      </c>
      <c r="AH123" s="112"/>
      <c r="AI123" s="12"/>
      <c r="AJ123" s="12"/>
    </row>
    <row r="124" ht="14.25" customHeight="1">
      <c r="A124" s="242" t="s">
        <v>820</v>
      </c>
      <c r="B124" s="225" t="s">
        <v>857</v>
      </c>
      <c r="C124" s="242" t="s">
        <v>858</v>
      </c>
      <c r="D124" s="225" t="s">
        <v>857</v>
      </c>
      <c r="E124" s="243">
        <v>40703.0</v>
      </c>
      <c r="F124" s="243">
        <v>41640.0</v>
      </c>
      <c r="G124" s="225" t="s">
        <v>512</v>
      </c>
      <c r="H124" s="171" t="s">
        <v>519</v>
      </c>
      <c r="I124" s="171" t="s">
        <v>520</v>
      </c>
      <c r="J124" s="171" t="s">
        <v>548</v>
      </c>
      <c r="K124" s="171" t="s">
        <v>427</v>
      </c>
      <c r="L124" s="171" t="s">
        <v>420</v>
      </c>
      <c r="M124" s="171"/>
      <c r="N124" s="112"/>
      <c r="O124" s="171">
        <v>3.0</v>
      </c>
      <c r="P124" s="171" t="s">
        <v>516</v>
      </c>
      <c r="Q124" s="171" t="s">
        <v>516</v>
      </c>
      <c r="R124" s="171" t="s">
        <v>516</v>
      </c>
      <c r="S124" s="171" t="s">
        <v>548</v>
      </c>
      <c r="T124" s="171" t="s">
        <v>516</v>
      </c>
      <c r="U124" s="171">
        <v>2.0</v>
      </c>
      <c r="V124" s="171">
        <v>5.0</v>
      </c>
      <c r="W124" s="112">
        <v>65.0</v>
      </c>
      <c r="X124" s="112"/>
      <c r="Y124" s="171">
        <v>10.0</v>
      </c>
      <c r="Z124" s="171">
        <v>25.0</v>
      </c>
      <c r="AA124" s="171">
        <v>1.0</v>
      </c>
      <c r="AB124" s="171">
        <v>7.0</v>
      </c>
      <c r="AC124" s="112"/>
      <c r="AD124" s="171" t="s">
        <v>859</v>
      </c>
      <c r="AE124" s="112">
        <v>500.0</v>
      </c>
      <c r="AF124" s="171" t="s">
        <v>860</v>
      </c>
      <c r="AG124" s="112">
        <v>5.0</v>
      </c>
      <c r="AH124" s="112"/>
      <c r="AI124" s="12"/>
      <c r="AJ124" s="12"/>
    </row>
    <row r="125" ht="14.25" customHeight="1">
      <c r="A125" s="242" t="s">
        <v>820</v>
      </c>
      <c r="B125" s="225" t="s">
        <v>861</v>
      </c>
      <c r="C125" s="242" t="s">
        <v>862</v>
      </c>
      <c r="D125" s="225" t="s">
        <v>861</v>
      </c>
      <c r="E125" s="243">
        <v>40778.0</v>
      </c>
      <c r="F125" s="243">
        <v>41592.0</v>
      </c>
      <c r="G125" s="225" t="s">
        <v>512</v>
      </c>
      <c r="H125" s="171" t="s">
        <v>519</v>
      </c>
      <c r="I125" s="171" t="s">
        <v>520</v>
      </c>
      <c r="J125" s="171" t="s">
        <v>548</v>
      </c>
      <c r="K125" s="171" t="s">
        <v>427</v>
      </c>
      <c r="L125" s="171" t="s">
        <v>420</v>
      </c>
      <c r="M125" s="171"/>
      <c r="N125" s="112"/>
      <c r="O125" s="171">
        <v>2.0</v>
      </c>
      <c r="P125" s="171" t="s">
        <v>516</v>
      </c>
      <c r="Q125" s="171" t="s">
        <v>516</v>
      </c>
      <c r="R125" s="171" t="s">
        <v>516</v>
      </c>
      <c r="S125" s="171" t="s">
        <v>548</v>
      </c>
      <c r="T125" s="171" t="s">
        <v>516</v>
      </c>
      <c r="U125" s="171">
        <v>2.0</v>
      </c>
      <c r="V125" s="171">
        <v>5.0</v>
      </c>
      <c r="W125" s="171">
        <v>65.0</v>
      </c>
      <c r="X125" s="171">
        <v>75.0</v>
      </c>
      <c r="Y125" s="171">
        <v>10.0</v>
      </c>
      <c r="Z125" s="171">
        <v>25.0</v>
      </c>
      <c r="AA125" s="171">
        <v>10.0</v>
      </c>
      <c r="AB125" s="171">
        <v>25.0</v>
      </c>
      <c r="AC125" s="112"/>
      <c r="AD125" s="171" t="s">
        <v>863</v>
      </c>
      <c r="AE125" s="112">
        <v>500.0</v>
      </c>
      <c r="AF125" s="171" t="s">
        <v>864</v>
      </c>
      <c r="AG125" s="112">
        <v>5.0</v>
      </c>
      <c r="AH125" s="112"/>
      <c r="AI125" s="12"/>
      <c r="AJ125" s="12"/>
    </row>
    <row r="126" ht="14.25" customHeight="1">
      <c r="A126" s="242" t="s">
        <v>820</v>
      </c>
      <c r="B126" s="225" t="s">
        <v>865</v>
      </c>
      <c r="C126" s="242" t="s">
        <v>862</v>
      </c>
      <c r="D126" s="225" t="s">
        <v>865</v>
      </c>
      <c r="E126" s="243">
        <v>41585.0</v>
      </c>
      <c r="F126" s="243">
        <v>42236.0</v>
      </c>
      <c r="G126" s="225" t="s">
        <v>512</v>
      </c>
      <c r="H126" s="171" t="s">
        <v>519</v>
      </c>
      <c r="I126" s="171" t="s">
        <v>520</v>
      </c>
      <c r="J126" s="171" t="s">
        <v>548</v>
      </c>
      <c r="K126" s="171" t="s">
        <v>427</v>
      </c>
      <c r="L126" s="171" t="s">
        <v>420</v>
      </c>
      <c r="M126" s="112"/>
      <c r="N126" s="112"/>
      <c r="O126" s="171">
        <v>2.0</v>
      </c>
      <c r="P126" s="171" t="s">
        <v>516</v>
      </c>
      <c r="Q126" s="171" t="s">
        <v>516</v>
      </c>
      <c r="R126" s="171" t="s">
        <v>516</v>
      </c>
      <c r="S126" s="171" t="s">
        <v>548</v>
      </c>
      <c r="T126" s="171" t="s">
        <v>516</v>
      </c>
      <c r="U126" s="171">
        <v>2.0</v>
      </c>
      <c r="V126" s="171">
        <v>5.0</v>
      </c>
      <c r="W126" s="171">
        <v>65.0</v>
      </c>
      <c r="X126" s="171">
        <v>75.0</v>
      </c>
      <c r="Y126" s="171">
        <v>10.0</v>
      </c>
      <c r="Z126" s="171">
        <v>25.0</v>
      </c>
      <c r="AA126" s="171">
        <v>10.0</v>
      </c>
      <c r="AB126" s="171">
        <v>25.0</v>
      </c>
      <c r="AC126" s="112"/>
      <c r="AD126" s="171" t="s">
        <v>863</v>
      </c>
      <c r="AE126" s="247"/>
      <c r="AF126" s="250" t="s">
        <v>866</v>
      </c>
      <c r="AG126" s="112">
        <v>5.0</v>
      </c>
      <c r="AH126" s="112"/>
      <c r="AI126" s="12"/>
      <c r="AJ126" s="12"/>
    </row>
    <row r="127" ht="14.25" customHeight="1">
      <c r="A127" s="242" t="s">
        <v>820</v>
      </c>
      <c r="B127" s="225" t="s">
        <v>867</v>
      </c>
      <c r="C127" s="242" t="s">
        <v>862</v>
      </c>
      <c r="D127" s="225" t="s">
        <v>867</v>
      </c>
      <c r="E127" s="249">
        <v>42146.0</v>
      </c>
      <c r="F127" s="243">
        <v>43010.0</v>
      </c>
      <c r="G127" s="225" t="s">
        <v>512</v>
      </c>
      <c r="H127" s="171" t="s">
        <v>519</v>
      </c>
      <c r="I127" s="171" t="s">
        <v>520</v>
      </c>
      <c r="J127" s="171" t="s">
        <v>548</v>
      </c>
      <c r="K127" s="171" t="s">
        <v>427</v>
      </c>
      <c r="L127" s="171" t="s">
        <v>420</v>
      </c>
      <c r="M127" s="112"/>
      <c r="N127" s="112"/>
      <c r="O127" s="171">
        <v>2.0</v>
      </c>
      <c r="P127" s="171" t="s">
        <v>516</v>
      </c>
      <c r="Q127" s="171" t="s">
        <v>516</v>
      </c>
      <c r="R127" s="171" t="s">
        <v>516</v>
      </c>
      <c r="S127" s="171" t="s">
        <v>548</v>
      </c>
      <c r="T127" s="171" t="s">
        <v>516</v>
      </c>
      <c r="U127" s="171">
        <v>2.0</v>
      </c>
      <c r="V127" s="171">
        <v>5.0</v>
      </c>
      <c r="W127" s="171">
        <v>65.0</v>
      </c>
      <c r="X127" s="171">
        <v>75.0</v>
      </c>
      <c r="Y127" s="171">
        <v>10.0</v>
      </c>
      <c r="Z127" s="171">
        <v>25.0</v>
      </c>
      <c r="AA127" s="171">
        <v>10.0</v>
      </c>
      <c r="AB127" s="171">
        <v>25.0</v>
      </c>
      <c r="AC127" s="112"/>
      <c r="AD127" s="171" t="s">
        <v>863</v>
      </c>
      <c r="AE127" s="247"/>
      <c r="AF127" s="250" t="s">
        <v>866</v>
      </c>
      <c r="AG127" s="112">
        <v>5.0</v>
      </c>
      <c r="AH127" s="112"/>
      <c r="AI127" s="12"/>
      <c r="AJ127" s="12"/>
    </row>
    <row r="128" ht="14.25" customHeight="1">
      <c r="A128" s="242" t="s">
        <v>820</v>
      </c>
      <c r="B128" s="225" t="s">
        <v>868</v>
      </c>
      <c r="C128" s="242" t="s">
        <v>862</v>
      </c>
      <c r="D128" s="225" t="s">
        <v>868</v>
      </c>
      <c r="E128" s="248">
        <v>43011.0</v>
      </c>
      <c r="F128" s="243">
        <v>43834.0</v>
      </c>
      <c r="G128" s="225" t="s">
        <v>512</v>
      </c>
      <c r="H128" s="171" t="s">
        <v>519</v>
      </c>
      <c r="I128" s="171" t="s">
        <v>520</v>
      </c>
      <c r="J128" s="171" t="s">
        <v>548</v>
      </c>
      <c r="K128" s="171" t="s">
        <v>427</v>
      </c>
      <c r="L128" s="171" t="s">
        <v>420</v>
      </c>
      <c r="M128" s="112"/>
      <c r="N128" s="112"/>
      <c r="O128" s="171">
        <v>2.0</v>
      </c>
      <c r="P128" s="171" t="s">
        <v>516</v>
      </c>
      <c r="Q128" s="171" t="s">
        <v>516</v>
      </c>
      <c r="R128" s="171" t="s">
        <v>516</v>
      </c>
      <c r="S128" s="171" t="s">
        <v>548</v>
      </c>
      <c r="T128" s="171" t="s">
        <v>516</v>
      </c>
      <c r="U128" s="171">
        <v>2.0</v>
      </c>
      <c r="V128" s="171">
        <v>5.0</v>
      </c>
      <c r="W128" s="171">
        <v>65.0</v>
      </c>
      <c r="X128" s="171">
        <v>75.0</v>
      </c>
      <c r="Y128" s="171">
        <v>10.0</v>
      </c>
      <c r="Z128" s="171">
        <v>25.0</v>
      </c>
      <c r="AA128" s="171">
        <v>10.0</v>
      </c>
      <c r="AB128" s="171">
        <v>25.0</v>
      </c>
      <c r="AC128" s="112"/>
      <c r="AD128" s="171" t="s">
        <v>863</v>
      </c>
      <c r="AE128" s="247"/>
      <c r="AF128" s="250" t="s">
        <v>866</v>
      </c>
      <c r="AG128" s="112">
        <v>5.0</v>
      </c>
      <c r="AH128" s="112"/>
      <c r="AI128" s="12"/>
      <c r="AJ128" s="12"/>
    </row>
    <row r="129" ht="14.25" customHeight="1">
      <c r="A129" s="242" t="s">
        <v>820</v>
      </c>
      <c r="B129" s="225" t="s">
        <v>869</v>
      </c>
      <c r="C129" s="242" t="s">
        <v>862</v>
      </c>
      <c r="D129" s="225" t="s">
        <v>869</v>
      </c>
      <c r="E129" s="248">
        <v>43835.0</v>
      </c>
      <c r="F129" s="112"/>
      <c r="G129" s="112"/>
      <c r="H129" s="171" t="s">
        <v>519</v>
      </c>
      <c r="I129" s="171" t="s">
        <v>520</v>
      </c>
      <c r="J129" s="171" t="s">
        <v>548</v>
      </c>
      <c r="K129" s="171" t="s">
        <v>427</v>
      </c>
      <c r="L129" s="171" t="s">
        <v>420</v>
      </c>
      <c r="M129" s="112"/>
      <c r="N129" s="112"/>
      <c r="O129" s="171">
        <v>2.0</v>
      </c>
      <c r="P129" s="171" t="s">
        <v>516</v>
      </c>
      <c r="Q129" s="171" t="s">
        <v>516</v>
      </c>
      <c r="R129" s="171" t="s">
        <v>516</v>
      </c>
      <c r="S129" s="171" t="s">
        <v>548</v>
      </c>
      <c r="T129" s="171" t="s">
        <v>516</v>
      </c>
      <c r="U129" s="171">
        <v>2.0</v>
      </c>
      <c r="V129" s="171">
        <v>5.0</v>
      </c>
      <c r="W129" s="171">
        <v>65.0</v>
      </c>
      <c r="X129" s="171">
        <v>75.0</v>
      </c>
      <c r="Y129" s="171">
        <v>10.0</v>
      </c>
      <c r="Z129" s="171">
        <v>25.0</v>
      </c>
      <c r="AA129" s="171">
        <v>10.0</v>
      </c>
      <c r="AB129" s="171">
        <v>25.0</v>
      </c>
      <c r="AC129" s="112"/>
      <c r="AD129" s="171" t="s">
        <v>863</v>
      </c>
      <c r="AE129" s="247"/>
      <c r="AF129" s="250" t="s">
        <v>866</v>
      </c>
      <c r="AG129" s="112">
        <v>5.0</v>
      </c>
      <c r="AH129" s="112"/>
      <c r="AI129" s="12"/>
      <c r="AJ129" s="12"/>
    </row>
    <row r="130" ht="14.25" customHeight="1">
      <c r="A130" s="242" t="s">
        <v>820</v>
      </c>
      <c r="B130" s="225" t="s">
        <v>870</v>
      </c>
      <c r="C130" s="242" t="s">
        <v>871</v>
      </c>
      <c r="D130" s="225" t="s">
        <v>870</v>
      </c>
      <c r="E130" s="251">
        <v>42650.0</v>
      </c>
      <c r="F130" s="243">
        <v>43010.0</v>
      </c>
      <c r="G130" s="225" t="s">
        <v>512</v>
      </c>
      <c r="H130" s="171" t="s">
        <v>519</v>
      </c>
      <c r="I130" s="171" t="s">
        <v>520</v>
      </c>
      <c r="J130" s="171" t="s">
        <v>548</v>
      </c>
      <c r="K130" s="171" t="s">
        <v>415</v>
      </c>
      <c r="L130" s="171" t="s">
        <v>420</v>
      </c>
      <c r="M130" s="171" t="s">
        <v>475</v>
      </c>
      <c r="N130" s="112"/>
      <c r="O130" s="171">
        <v>7.0</v>
      </c>
      <c r="P130" s="171" t="s">
        <v>516</v>
      </c>
      <c r="Q130" s="171" t="s">
        <v>516</v>
      </c>
      <c r="R130" s="171" t="s">
        <v>516</v>
      </c>
      <c r="S130" s="171" t="s">
        <v>516</v>
      </c>
      <c r="T130" s="171" t="s">
        <v>516</v>
      </c>
      <c r="U130" s="171">
        <v>2.0</v>
      </c>
      <c r="V130" s="171">
        <v>5.0</v>
      </c>
      <c r="W130" s="171">
        <v>65.0</v>
      </c>
      <c r="X130" s="171">
        <v>90.0</v>
      </c>
      <c r="Y130" s="112">
        <v>10.0</v>
      </c>
      <c r="Z130" s="112">
        <v>85.0</v>
      </c>
      <c r="AA130" s="171">
        <v>1.0</v>
      </c>
      <c r="AB130" s="171">
        <v>20.0</v>
      </c>
      <c r="AC130" s="112"/>
      <c r="AD130" s="171" t="s">
        <v>872</v>
      </c>
      <c r="AE130" s="112"/>
      <c r="AF130" s="171" t="s">
        <v>423</v>
      </c>
      <c r="AG130" s="171"/>
      <c r="AH130" s="112"/>
      <c r="AI130" s="12"/>
      <c r="AJ130" s="12"/>
    </row>
    <row r="131" ht="14.25" customHeight="1">
      <c r="A131" s="242" t="s">
        <v>820</v>
      </c>
      <c r="B131" s="225" t="s">
        <v>873</v>
      </c>
      <c r="C131" s="242" t="s">
        <v>871</v>
      </c>
      <c r="D131" s="225" t="s">
        <v>873</v>
      </c>
      <c r="E131" s="248">
        <v>43011.0</v>
      </c>
      <c r="F131" s="243">
        <v>43834.0</v>
      </c>
      <c r="G131" s="225" t="s">
        <v>512</v>
      </c>
      <c r="H131" s="171" t="s">
        <v>519</v>
      </c>
      <c r="I131" s="171" t="s">
        <v>520</v>
      </c>
      <c r="J131" s="171" t="s">
        <v>548</v>
      </c>
      <c r="K131" s="171" t="s">
        <v>415</v>
      </c>
      <c r="L131" s="171" t="s">
        <v>420</v>
      </c>
      <c r="M131" s="171" t="s">
        <v>475</v>
      </c>
      <c r="N131" s="112"/>
      <c r="O131" s="171">
        <v>7.0</v>
      </c>
      <c r="P131" s="171" t="s">
        <v>516</v>
      </c>
      <c r="Q131" s="171" t="s">
        <v>516</v>
      </c>
      <c r="R131" s="171" t="s">
        <v>516</v>
      </c>
      <c r="S131" s="171" t="s">
        <v>516</v>
      </c>
      <c r="T131" s="171" t="s">
        <v>516</v>
      </c>
      <c r="U131" s="171">
        <v>2.0</v>
      </c>
      <c r="V131" s="171">
        <v>5.0</v>
      </c>
      <c r="W131" s="171">
        <v>65.0</v>
      </c>
      <c r="X131" s="171">
        <v>90.0</v>
      </c>
      <c r="Y131" s="171">
        <v>10.0</v>
      </c>
      <c r="Z131" s="171">
        <v>85.0</v>
      </c>
      <c r="AA131" s="171">
        <v>1.0</v>
      </c>
      <c r="AB131" s="171">
        <v>20.0</v>
      </c>
      <c r="AC131" s="112"/>
      <c r="AD131" s="171" t="s">
        <v>872</v>
      </c>
      <c r="AE131" s="112"/>
      <c r="AF131" s="171" t="s">
        <v>423</v>
      </c>
      <c r="AG131" s="171"/>
      <c r="AH131" s="112"/>
      <c r="AI131" s="12"/>
      <c r="AJ131" s="12"/>
    </row>
    <row r="132" ht="14.25" customHeight="1">
      <c r="A132" s="242" t="s">
        <v>820</v>
      </c>
      <c r="B132" s="225" t="s">
        <v>874</v>
      </c>
      <c r="C132" s="242" t="s">
        <v>871</v>
      </c>
      <c r="D132" s="225" t="s">
        <v>874</v>
      </c>
      <c r="E132" s="248">
        <v>43835.0</v>
      </c>
      <c r="F132" s="112"/>
      <c r="G132" s="112"/>
      <c r="H132" s="171" t="s">
        <v>519</v>
      </c>
      <c r="I132" s="171" t="s">
        <v>520</v>
      </c>
      <c r="J132" s="171" t="s">
        <v>548</v>
      </c>
      <c r="K132" s="171" t="s">
        <v>415</v>
      </c>
      <c r="L132" s="171" t="s">
        <v>420</v>
      </c>
      <c r="M132" s="171" t="s">
        <v>475</v>
      </c>
      <c r="N132" s="112"/>
      <c r="O132" s="171">
        <v>7.0</v>
      </c>
      <c r="P132" s="171" t="s">
        <v>516</v>
      </c>
      <c r="Q132" s="171" t="s">
        <v>516</v>
      </c>
      <c r="R132" s="171" t="s">
        <v>516</v>
      </c>
      <c r="S132" s="171" t="s">
        <v>516</v>
      </c>
      <c r="T132" s="171" t="s">
        <v>516</v>
      </c>
      <c r="U132" s="171">
        <v>2.0</v>
      </c>
      <c r="V132" s="171">
        <v>5.0</v>
      </c>
      <c r="W132" s="171">
        <v>65.0</v>
      </c>
      <c r="X132" s="171">
        <v>90.0</v>
      </c>
      <c r="Y132" s="171">
        <v>10.0</v>
      </c>
      <c r="Z132" s="171">
        <v>85.0</v>
      </c>
      <c r="AA132" s="171">
        <v>1.0</v>
      </c>
      <c r="AB132" s="171">
        <v>20.0</v>
      </c>
      <c r="AC132" s="112"/>
      <c r="AD132" s="171" t="s">
        <v>872</v>
      </c>
      <c r="AE132" s="112"/>
      <c r="AF132" s="171" t="s">
        <v>423</v>
      </c>
      <c r="AG132" s="171"/>
      <c r="AH132" s="112"/>
      <c r="AI132" s="12"/>
      <c r="AJ132" s="12"/>
    </row>
    <row r="133" ht="14.25" customHeight="1">
      <c r="A133" s="242" t="s">
        <v>820</v>
      </c>
      <c r="B133" s="225" t="s">
        <v>875</v>
      </c>
      <c r="C133" s="242" t="s">
        <v>876</v>
      </c>
      <c r="D133" s="225" t="s">
        <v>875</v>
      </c>
      <c r="E133" s="248">
        <v>44176.0</v>
      </c>
      <c r="F133" s="112"/>
      <c r="G133" s="112"/>
      <c r="H133" s="171" t="s">
        <v>513</v>
      </c>
      <c r="I133" s="171" t="s">
        <v>520</v>
      </c>
      <c r="J133" s="171"/>
      <c r="K133" s="171"/>
      <c r="L133" s="171"/>
      <c r="M133" s="171"/>
      <c r="N133" s="171"/>
      <c r="O133" s="171"/>
      <c r="P133" s="171"/>
      <c r="Q133" s="171"/>
      <c r="R133" s="112"/>
      <c r="S133" s="112"/>
      <c r="T133" s="112"/>
      <c r="U133" s="112"/>
      <c r="V133" s="112"/>
      <c r="W133" s="112"/>
      <c r="X133" s="112"/>
      <c r="Y133" s="112"/>
      <c r="Z133" s="112"/>
      <c r="AA133" s="112"/>
      <c r="AB133" s="112"/>
      <c r="AC133" s="112"/>
      <c r="AD133" s="112"/>
      <c r="AE133" s="112"/>
      <c r="AF133" s="112"/>
      <c r="AG133" s="171"/>
      <c r="AH133" s="112"/>
      <c r="AI133" s="12"/>
      <c r="AJ133" s="12"/>
    </row>
    <row r="134" ht="14.25" customHeight="1">
      <c r="A134" s="236" t="s">
        <v>877</v>
      </c>
      <c r="B134" s="252" t="s">
        <v>878</v>
      </c>
      <c r="C134" s="252" t="s">
        <v>879</v>
      </c>
      <c r="D134" s="252" t="s">
        <v>878</v>
      </c>
      <c r="E134" s="253">
        <v>38163.0</v>
      </c>
      <c r="F134" s="253">
        <v>39200.0</v>
      </c>
      <c r="G134" s="254" t="s">
        <v>880</v>
      </c>
      <c r="H134" s="236" t="s">
        <v>519</v>
      </c>
      <c r="I134" s="236" t="s">
        <v>520</v>
      </c>
      <c r="J134" s="236" t="s">
        <v>516</v>
      </c>
      <c r="K134" s="236"/>
      <c r="L134" s="236" t="s">
        <v>420</v>
      </c>
      <c r="M134" s="236" t="s">
        <v>475</v>
      </c>
      <c r="N134" s="236"/>
      <c r="O134" s="236">
        <v>4.0</v>
      </c>
      <c r="P134" s="236" t="s">
        <v>516</v>
      </c>
      <c r="Q134" s="236" t="s">
        <v>516</v>
      </c>
      <c r="R134" s="236" t="s">
        <v>516</v>
      </c>
      <c r="S134" s="236" t="s">
        <v>516</v>
      </c>
      <c r="T134" s="236" t="s">
        <v>516</v>
      </c>
      <c r="U134" s="236">
        <v>3.0</v>
      </c>
      <c r="V134" s="236"/>
      <c r="W134" s="236"/>
      <c r="X134" s="236"/>
      <c r="Y134" s="236"/>
      <c r="Z134" s="236"/>
      <c r="AA134" s="236"/>
      <c r="AB134" s="236"/>
      <c r="AC134" s="236"/>
      <c r="AD134" s="236" t="s">
        <v>881</v>
      </c>
      <c r="AE134" s="236"/>
      <c r="AF134" s="236" t="s">
        <v>882</v>
      </c>
      <c r="AG134" s="237">
        <v>5.0</v>
      </c>
      <c r="AH134" s="236"/>
      <c r="AI134" s="255"/>
      <c r="AJ134" s="256"/>
    </row>
    <row r="135" ht="14.25" customHeight="1">
      <c r="A135" s="242" t="s">
        <v>877</v>
      </c>
      <c r="B135" s="257" t="s">
        <v>883</v>
      </c>
      <c r="C135" s="257" t="s">
        <v>884</v>
      </c>
      <c r="D135" s="257" t="s">
        <v>883</v>
      </c>
      <c r="E135" s="258">
        <v>39200.0</v>
      </c>
      <c r="F135" s="258">
        <v>40179.0</v>
      </c>
      <c r="G135" s="259" t="s">
        <v>512</v>
      </c>
      <c r="H135" s="171" t="s">
        <v>519</v>
      </c>
      <c r="I135" s="171" t="s">
        <v>520</v>
      </c>
      <c r="J135" s="171" t="s">
        <v>516</v>
      </c>
      <c r="K135" s="171" t="s">
        <v>427</v>
      </c>
      <c r="L135" s="171" t="s">
        <v>420</v>
      </c>
      <c r="M135" s="171"/>
      <c r="N135" s="171"/>
      <c r="O135" s="171">
        <v>4.0</v>
      </c>
      <c r="P135" s="171" t="s">
        <v>516</v>
      </c>
      <c r="Q135" s="171" t="s">
        <v>516</v>
      </c>
      <c r="R135" s="171" t="s">
        <v>516</v>
      </c>
      <c r="S135" s="171" t="s">
        <v>516</v>
      </c>
      <c r="T135" s="171" t="s">
        <v>516</v>
      </c>
      <c r="U135" s="171">
        <v>3.0</v>
      </c>
      <c r="V135" s="112">
        <v>12.0</v>
      </c>
      <c r="W135" s="112">
        <v>60.0</v>
      </c>
      <c r="X135" s="171">
        <v>70.0</v>
      </c>
      <c r="Y135" s="171">
        <v>10.0</v>
      </c>
      <c r="Z135" s="112"/>
      <c r="AA135" s="112"/>
      <c r="AB135" s="112"/>
      <c r="AC135" s="112"/>
      <c r="AD135" s="171" t="s">
        <v>885</v>
      </c>
      <c r="AE135" s="112"/>
      <c r="AF135" s="171" t="s">
        <v>886</v>
      </c>
      <c r="AG135" s="112">
        <v>5.0</v>
      </c>
      <c r="AH135" s="112"/>
      <c r="AI135" s="12"/>
      <c r="AJ135" s="12"/>
    </row>
    <row r="136" ht="14.25" customHeight="1">
      <c r="A136" s="242" t="s">
        <v>877</v>
      </c>
      <c r="B136" s="257" t="s">
        <v>887</v>
      </c>
      <c r="C136" s="257" t="s">
        <v>888</v>
      </c>
      <c r="D136" s="257" t="s">
        <v>887</v>
      </c>
      <c r="E136" s="258">
        <v>38681.0</v>
      </c>
      <c r="F136" s="258">
        <v>38899.0</v>
      </c>
      <c r="G136" s="259" t="s">
        <v>880</v>
      </c>
      <c r="H136" s="171" t="s">
        <v>519</v>
      </c>
      <c r="I136" s="171" t="s">
        <v>520</v>
      </c>
      <c r="J136" s="171" t="s">
        <v>516</v>
      </c>
      <c r="K136" s="171" t="s">
        <v>418</v>
      </c>
      <c r="L136" s="112" t="s">
        <v>420</v>
      </c>
      <c r="M136" s="171"/>
      <c r="N136" s="171"/>
      <c r="O136" s="171">
        <v>4.0</v>
      </c>
      <c r="P136" s="171" t="s">
        <v>516</v>
      </c>
      <c r="Q136" s="171" t="s">
        <v>516</v>
      </c>
      <c r="R136" s="171" t="s">
        <v>516</v>
      </c>
      <c r="S136" s="171" t="s">
        <v>516</v>
      </c>
      <c r="T136" s="171" t="s">
        <v>516</v>
      </c>
      <c r="U136" s="171" t="s">
        <v>423</v>
      </c>
      <c r="V136" s="112"/>
      <c r="W136" s="112"/>
      <c r="X136" s="112"/>
      <c r="Y136" s="112"/>
      <c r="Z136" s="112"/>
      <c r="AA136" s="112"/>
      <c r="AB136" s="112"/>
      <c r="AC136" s="112"/>
      <c r="AD136" s="171" t="s">
        <v>889</v>
      </c>
      <c r="AE136" s="112"/>
      <c r="AF136" s="112"/>
      <c r="AG136" s="112">
        <v>5.0</v>
      </c>
      <c r="AH136" s="112"/>
      <c r="AI136" s="12"/>
      <c r="AJ136" s="12"/>
    </row>
    <row r="137" ht="14.25" customHeight="1">
      <c r="A137" s="242" t="s">
        <v>877</v>
      </c>
      <c r="B137" s="257" t="s">
        <v>890</v>
      </c>
      <c r="C137" s="257" t="s">
        <v>888</v>
      </c>
      <c r="D137" s="257" t="s">
        <v>890</v>
      </c>
      <c r="E137" s="258">
        <v>38899.0</v>
      </c>
      <c r="F137" s="258">
        <v>39387.0</v>
      </c>
      <c r="G137" s="259" t="s">
        <v>512</v>
      </c>
      <c r="H137" s="171" t="s">
        <v>519</v>
      </c>
      <c r="I137" s="171" t="s">
        <v>520</v>
      </c>
      <c r="J137" s="171" t="s">
        <v>516</v>
      </c>
      <c r="K137" s="171" t="s">
        <v>418</v>
      </c>
      <c r="L137" s="171" t="s">
        <v>420</v>
      </c>
      <c r="M137" s="171"/>
      <c r="N137" s="171"/>
      <c r="O137" s="171">
        <v>4.0</v>
      </c>
      <c r="P137" s="171" t="s">
        <v>516</v>
      </c>
      <c r="Q137" s="171" t="s">
        <v>516</v>
      </c>
      <c r="R137" s="171" t="s">
        <v>516</v>
      </c>
      <c r="S137" s="171" t="s">
        <v>516</v>
      </c>
      <c r="T137" s="171" t="s">
        <v>516</v>
      </c>
      <c r="U137" s="171">
        <v>3.0</v>
      </c>
      <c r="V137" s="112"/>
      <c r="W137" s="112"/>
      <c r="X137" s="112"/>
      <c r="Y137" s="112"/>
      <c r="Z137" s="112"/>
      <c r="AA137" s="112"/>
      <c r="AB137" s="112"/>
      <c r="AC137" s="112"/>
      <c r="AD137" s="171" t="s">
        <v>889</v>
      </c>
      <c r="AE137" s="112"/>
      <c r="AF137" s="171" t="s">
        <v>891</v>
      </c>
      <c r="AG137" s="112">
        <v>5.0</v>
      </c>
      <c r="AH137" s="112"/>
      <c r="AI137" s="12"/>
      <c r="AJ137" s="12"/>
    </row>
    <row r="138" ht="14.25" customHeight="1">
      <c r="A138" s="242" t="s">
        <v>877</v>
      </c>
      <c r="B138" s="257" t="s">
        <v>892</v>
      </c>
      <c r="C138" s="257" t="s">
        <v>893</v>
      </c>
      <c r="D138" s="257" t="s">
        <v>892</v>
      </c>
      <c r="E138" s="258">
        <v>38824.0</v>
      </c>
      <c r="F138" s="258">
        <v>40421.0</v>
      </c>
      <c r="G138" s="259" t="s">
        <v>512</v>
      </c>
      <c r="H138" s="171" t="s">
        <v>513</v>
      </c>
      <c r="I138" s="171" t="s">
        <v>520</v>
      </c>
      <c r="J138" s="171"/>
      <c r="K138" s="171"/>
      <c r="L138" s="171"/>
      <c r="M138" s="171"/>
      <c r="N138" s="171"/>
      <c r="O138" s="171"/>
      <c r="P138" s="171"/>
      <c r="Q138" s="171"/>
      <c r="R138" s="112"/>
      <c r="S138" s="112"/>
      <c r="T138" s="112"/>
      <c r="U138" s="112"/>
      <c r="V138" s="112"/>
      <c r="W138" s="112"/>
      <c r="X138" s="112"/>
      <c r="Y138" s="112"/>
      <c r="Z138" s="112"/>
      <c r="AA138" s="112"/>
      <c r="AB138" s="112"/>
      <c r="AC138" s="112"/>
      <c r="AD138" s="112"/>
      <c r="AE138" s="112"/>
      <c r="AF138" s="112"/>
      <c r="AG138" s="171"/>
      <c r="AH138" s="112"/>
      <c r="AI138" s="12"/>
      <c r="AJ138" s="12"/>
    </row>
    <row r="139" ht="14.25" customHeight="1">
      <c r="A139" s="252" t="s">
        <v>877</v>
      </c>
      <c r="B139" s="252" t="s">
        <v>894</v>
      </c>
      <c r="C139" s="252" t="s">
        <v>895</v>
      </c>
      <c r="D139" s="252" t="s">
        <v>894</v>
      </c>
      <c r="E139" s="253">
        <v>38897.0</v>
      </c>
      <c r="F139" s="253">
        <v>39947.0</v>
      </c>
      <c r="G139" s="254" t="s">
        <v>523</v>
      </c>
      <c r="H139" s="236" t="s">
        <v>519</v>
      </c>
      <c r="I139" s="236" t="s">
        <v>520</v>
      </c>
      <c r="J139" s="236"/>
      <c r="K139" s="236"/>
      <c r="L139" s="236" t="s">
        <v>420</v>
      </c>
      <c r="M139" s="236" t="s">
        <v>475</v>
      </c>
      <c r="N139" s="236"/>
      <c r="O139" s="236">
        <v>4.0</v>
      </c>
      <c r="P139" s="236" t="s">
        <v>516</v>
      </c>
      <c r="Q139" s="236" t="s">
        <v>516</v>
      </c>
      <c r="R139" s="236" t="s">
        <v>516</v>
      </c>
      <c r="S139" s="236" t="s">
        <v>516</v>
      </c>
      <c r="T139" s="236" t="s">
        <v>516</v>
      </c>
      <c r="U139" s="236">
        <v>3.0</v>
      </c>
      <c r="V139" s="236"/>
      <c r="W139" s="236"/>
      <c r="X139" s="236"/>
      <c r="Y139" s="236"/>
      <c r="Z139" s="236"/>
      <c r="AA139" s="236"/>
      <c r="AB139" s="236"/>
      <c r="AC139" s="236"/>
      <c r="AD139" s="236" t="s">
        <v>896</v>
      </c>
      <c r="AE139" s="236"/>
      <c r="AF139" s="236"/>
      <c r="AG139" s="237">
        <v>5.0</v>
      </c>
      <c r="AH139" s="236"/>
      <c r="AI139" s="255"/>
      <c r="AJ139" s="256"/>
    </row>
    <row r="140" ht="14.25" customHeight="1">
      <c r="A140" s="242" t="s">
        <v>877</v>
      </c>
      <c r="B140" s="257" t="s">
        <v>897</v>
      </c>
      <c r="C140" s="257" t="s">
        <v>898</v>
      </c>
      <c r="D140" s="257" t="s">
        <v>897</v>
      </c>
      <c r="E140" s="258">
        <v>38994.0</v>
      </c>
      <c r="F140" s="258">
        <v>40179.0</v>
      </c>
      <c r="G140" s="259" t="s">
        <v>512</v>
      </c>
      <c r="H140" s="171" t="s">
        <v>519</v>
      </c>
      <c r="I140" s="171" t="s">
        <v>520</v>
      </c>
      <c r="J140" s="171"/>
      <c r="K140" s="112" t="s">
        <v>427</v>
      </c>
      <c r="L140" s="171"/>
      <c r="M140" s="171"/>
      <c r="N140" s="171"/>
      <c r="O140" s="171"/>
      <c r="P140" s="171"/>
      <c r="Q140" s="171"/>
      <c r="R140" s="112"/>
      <c r="S140" s="112"/>
      <c r="T140" s="112"/>
      <c r="U140" s="171">
        <v>3.0</v>
      </c>
      <c r="V140" s="112"/>
      <c r="W140" s="112"/>
      <c r="X140" s="112"/>
      <c r="Y140" s="112"/>
      <c r="Z140" s="112"/>
      <c r="AA140" s="112"/>
      <c r="AB140" s="112"/>
      <c r="AC140" s="112"/>
      <c r="AD140" s="171" t="s">
        <v>899</v>
      </c>
      <c r="AE140" s="171">
        <v>100.0</v>
      </c>
      <c r="AF140" s="171" t="s">
        <v>900</v>
      </c>
      <c r="AG140" s="112">
        <v>5.0</v>
      </c>
      <c r="AH140" s="112"/>
      <c r="AI140" s="12"/>
      <c r="AJ140" s="12"/>
    </row>
    <row r="141" ht="14.25" customHeight="1">
      <c r="A141" s="242" t="s">
        <v>877</v>
      </c>
      <c r="B141" s="257" t="s">
        <v>901</v>
      </c>
      <c r="C141" s="257" t="s">
        <v>902</v>
      </c>
      <c r="D141" s="257" t="s">
        <v>901</v>
      </c>
      <c r="E141" s="258">
        <v>39105.0</v>
      </c>
      <c r="F141" s="258">
        <v>40421.0</v>
      </c>
      <c r="G141" s="259" t="s">
        <v>512</v>
      </c>
      <c r="H141" s="171" t="s">
        <v>513</v>
      </c>
      <c r="I141" s="171" t="s">
        <v>520</v>
      </c>
      <c r="J141" s="171"/>
      <c r="K141" s="171"/>
      <c r="L141" s="171"/>
      <c r="M141" s="171"/>
      <c r="N141" s="171"/>
      <c r="O141" s="171"/>
      <c r="P141" s="171"/>
      <c r="Q141" s="171"/>
      <c r="R141" s="112"/>
      <c r="S141" s="112"/>
      <c r="T141" s="112"/>
      <c r="U141" s="112"/>
      <c r="V141" s="112"/>
      <c r="W141" s="112"/>
      <c r="X141" s="112"/>
      <c r="Y141" s="112"/>
      <c r="Z141" s="112"/>
      <c r="AA141" s="112"/>
      <c r="AB141" s="112"/>
      <c r="AC141" s="112"/>
      <c r="AD141" s="112"/>
      <c r="AE141" s="112"/>
      <c r="AF141" s="112"/>
      <c r="AG141" s="171"/>
      <c r="AH141" s="112"/>
      <c r="AI141" s="12"/>
      <c r="AJ141" s="12"/>
    </row>
    <row r="142" ht="14.25" customHeight="1">
      <c r="A142" s="242" t="s">
        <v>877</v>
      </c>
      <c r="B142" s="257" t="s">
        <v>903</v>
      </c>
      <c r="C142" s="257" t="s">
        <v>904</v>
      </c>
      <c r="D142" s="257" t="s">
        <v>903</v>
      </c>
      <c r="E142" s="258">
        <v>39121.0</v>
      </c>
      <c r="F142" s="258">
        <v>40179.0</v>
      </c>
      <c r="G142" s="259" t="s">
        <v>512</v>
      </c>
      <c r="H142" s="171" t="s">
        <v>519</v>
      </c>
      <c r="I142" s="171" t="s">
        <v>520</v>
      </c>
      <c r="J142" s="171" t="s">
        <v>516</v>
      </c>
      <c r="K142" s="171" t="s">
        <v>427</v>
      </c>
      <c r="L142" s="171" t="s">
        <v>420</v>
      </c>
      <c r="M142" s="171" t="s">
        <v>475</v>
      </c>
      <c r="N142" s="171"/>
      <c r="O142" s="171">
        <v>5.0</v>
      </c>
      <c r="P142" s="171" t="s">
        <v>516</v>
      </c>
      <c r="Q142" s="171" t="s">
        <v>516</v>
      </c>
      <c r="R142" s="171" t="s">
        <v>516</v>
      </c>
      <c r="S142" s="171" t="s">
        <v>516</v>
      </c>
      <c r="T142" s="171" t="s">
        <v>516</v>
      </c>
      <c r="U142" s="171">
        <v>3.0</v>
      </c>
      <c r="V142" s="112"/>
      <c r="W142" s="112"/>
      <c r="X142" s="112"/>
      <c r="Y142" s="112"/>
      <c r="Z142" s="112"/>
      <c r="AA142" s="112"/>
      <c r="AB142" s="112"/>
      <c r="AC142" s="112"/>
      <c r="AD142" s="171" t="s">
        <v>905</v>
      </c>
      <c r="AE142" s="112"/>
      <c r="AF142" s="171" t="s">
        <v>906</v>
      </c>
      <c r="AG142" s="112">
        <v>5.0</v>
      </c>
      <c r="AH142" s="112"/>
      <c r="AI142" s="12"/>
      <c r="AJ142" s="12"/>
    </row>
    <row r="143" ht="14.25" customHeight="1">
      <c r="A143" s="242" t="s">
        <v>877</v>
      </c>
      <c r="B143" s="257" t="s">
        <v>907</v>
      </c>
      <c r="C143" s="257" t="s">
        <v>908</v>
      </c>
      <c r="D143" s="257" t="s">
        <v>907</v>
      </c>
      <c r="E143" s="258">
        <v>39200.0</v>
      </c>
      <c r="F143" s="258">
        <v>40179.0</v>
      </c>
      <c r="G143" s="259" t="s">
        <v>512</v>
      </c>
      <c r="H143" s="171" t="s">
        <v>519</v>
      </c>
      <c r="I143" s="171" t="s">
        <v>520</v>
      </c>
      <c r="J143" s="171" t="s">
        <v>516</v>
      </c>
      <c r="K143" s="171" t="s">
        <v>424</v>
      </c>
      <c r="L143" s="171" t="s">
        <v>420</v>
      </c>
      <c r="M143" s="171"/>
      <c r="N143" s="171"/>
      <c r="O143" s="171">
        <v>4.0</v>
      </c>
      <c r="P143" s="171" t="s">
        <v>516</v>
      </c>
      <c r="Q143" s="171" t="s">
        <v>516</v>
      </c>
      <c r="R143" s="171" t="s">
        <v>516</v>
      </c>
      <c r="S143" s="171" t="s">
        <v>516</v>
      </c>
      <c r="T143" s="171" t="s">
        <v>516</v>
      </c>
      <c r="U143" s="171">
        <v>3.0</v>
      </c>
      <c r="V143" s="171">
        <v>12.0</v>
      </c>
      <c r="W143" s="171">
        <v>60.0</v>
      </c>
      <c r="X143" s="171">
        <v>70.0</v>
      </c>
      <c r="Y143" s="171">
        <v>10.0</v>
      </c>
      <c r="Z143" s="112"/>
      <c r="AA143" s="112"/>
      <c r="AB143" s="112"/>
      <c r="AC143" s="112"/>
      <c r="AD143" s="171" t="s">
        <v>909</v>
      </c>
      <c r="AE143" s="112"/>
      <c r="AF143" s="171" t="s">
        <v>910</v>
      </c>
      <c r="AG143" s="112">
        <v>5.0</v>
      </c>
      <c r="AH143" s="112"/>
      <c r="AI143" s="12"/>
      <c r="AJ143" s="12"/>
    </row>
    <row r="144" ht="14.25" customHeight="1">
      <c r="A144" s="242" t="s">
        <v>877</v>
      </c>
      <c r="B144" s="257" t="s">
        <v>911</v>
      </c>
      <c r="C144" s="257" t="s">
        <v>912</v>
      </c>
      <c r="D144" s="257" t="s">
        <v>911</v>
      </c>
      <c r="E144" s="258">
        <v>39302.0</v>
      </c>
      <c r="F144" s="258">
        <v>40179.0</v>
      </c>
      <c r="G144" s="259" t="s">
        <v>512</v>
      </c>
      <c r="H144" s="171" t="s">
        <v>519</v>
      </c>
      <c r="I144" s="171" t="s">
        <v>520</v>
      </c>
      <c r="J144" s="171" t="s">
        <v>516</v>
      </c>
      <c r="K144" s="171" t="s">
        <v>430</v>
      </c>
      <c r="L144" s="171" t="s">
        <v>420</v>
      </c>
      <c r="M144" s="171"/>
      <c r="N144" s="171"/>
      <c r="O144" s="171">
        <v>5.0</v>
      </c>
      <c r="P144" s="171" t="s">
        <v>516</v>
      </c>
      <c r="Q144" s="171" t="s">
        <v>516</v>
      </c>
      <c r="R144" s="171" t="s">
        <v>516</v>
      </c>
      <c r="S144" s="171" t="s">
        <v>516</v>
      </c>
      <c r="T144" s="171" t="s">
        <v>516</v>
      </c>
      <c r="U144" s="171">
        <v>3.0</v>
      </c>
      <c r="V144" s="112">
        <v>21.0</v>
      </c>
      <c r="W144" s="112"/>
      <c r="X144" s="112">
        <v>60.0</v>
      </c>
      <c r="Y144" s="112">
        <v>10.0</v>
      </c>
      <c r="Z144" s="112">
        <v>25.0</v>
      </c>
      <c r="AA144" s="112"/>
      <c r="AB144" s="112"/>
      <c r="AC144" s="112"/>
      <c r="AD144" s="171" t="s">
        <v>913</v>
      </c>
      <c r="AE144" s="112"/>
      <c r="AF144" s="171" t="s">
        <v>914</v>
      </c>
      <c r="AG144" s="112">
        <v>5.0</v>
      </c>
      <c r="AH144" s="112"/>
      <c r="AI144" s="12"/>
      <c r="AJ144" s="12"/>
    </row>
    <row r="145" ht="14.25" customHeight="1">
      <c r="A145" s="242" t="s">
        <v>877</v>
      </c>
      <c r="B145" s="257" t="s">
        <v>915</v>
      </c>
      <c r="C145" s="257" t="s">
        <v>916</v>
      </c>
      <c r="D145" s="257" t="s">
        <v>915</v>
      </c>
      <c r="E145" s="258">
        <v>39302.0</v>
      </c>
      <c r="F145" s="258">
        <v>40179.0</v>
      </c>
      <c r="G145" s="259" t="s">
        <v>512</v>
      </c>
      <c r="H145" s="171" t="s">
        <v>519</v>
      </c>
      <c r="I145" s="171" t="s">
        <v>520</v>
      </c>
      <c r="J145" s="171" t="s">
        <v>548</v>
      </c>
      <c r="K145" s="171" t="s">
        <v>430</v>
      </c>
      <c r="L145" s="171" t="s">
        <v>420</v>
      </c>
      <c r="M145" s="171"/>
      <c r="N145" s="171"/>
      <c r="O145" s="171">
        <v>5.0</v>
      </c>
      <c r="P145" s="171" t="s">
        <v>516</v>
      </c>
      <c r="Q145" s="171" t="s">
        <v>516</v>
      </c>
      <c r="R145" s="171" t="s">
        <v>516</v>
      </c>
      <c r="S145" s="171" t="s">
        <v>516</v>
      </c>
      <c r="T145" s="171" t="s">
        <v>516</v>
      </c>
      <c r="U145" s="171">
        <v>3.0</v>
      </c>
      <c r="V145" s="112">
        <v>21.0</v>
      </c>
      <c r="W145" s="112">
        <v>50.0</v>
      </c>
      <c r="X145" s="112">
        <v>60.0</v>
      </c>
      <c r="Y145" s="112">
        <v>10.0</v>
      </c>
      <c r="Z145" s="112">
        <v>25.0</v>
      </c>
      <c r="AA145" s="260" t="s">
        <v>917</v>
      </c>
      <c r="AB145" s="69"/>
      <c r="AC145" s="112"/>
      <c r="AD145" s="171" t="s">
        <v>918</v>
      </c>
      <c r="AE145" s="112"/>
      <c r="AF145" s="171" t="s">
        <v>919</v>
      </c>
      <c r="AG145" s="112">
        <v>5.0</v>
      </c>
      <c r="AH145" s="112"/>
      <c r="AI145" s="12"/>
      <c r="AJ145" s="12"/>
    </row>
    <row r="146" ht="14.25" customHeight="1">
      <c r="A146" s="242" t="s">
        <v>877</v>
      </c>
      <c r="B146" s="257" t="s">
        <v>920</v>
      </c>
      <c r="C146" s="257" t="s">
        <v>921</v>
      </c>
      <c r="D146" s="257" t="s">
        <v>920</v>
      </c>
      <c r="E146" s="258">
        <v>39302.0</v>
      </c>
      <c r="F146" s="258">
        <v>40179.0</v>
      </c>
      <c r="G146" s="259" t="s">
        <v>512</v>
      </c>
      <c r="H146" s="171" t="s">
        <v>519</v>
      </c>
      <c r="I146" s="171" t="s">
        <v>520</v>
      </c>
      <c r="J146" s="171" t="s">
        <v>516</v>
      </c>
      <c r="K146" s="112" t="s">
        <v>430</v>
      </c>
      <c r="L146" s="171" t="s">
        <v>420</v>
      </c>
      <c r="M146" s="171"/>
      <c r="N146" s="171"/>
      <c r="O146" s="171">
        <v>5.0</v>
      </c>
      <c r="P146" s="171" t="s">
        <v>516</v>
      </c>
      <c r="Q146" s="171" t="s">
        <v>516</v>
      </c>
      <c r="R146" s="171" t="s">
        <v>516</v>
      </c>
      <c r="S146" s="171" t="s">
        <v>516</v>
      </c>
      <c r="T146" s="171" t="s">
        <v>516</v>
      </c>
      <c r="U146" s="112"/>
      <c r="V146" s="171">
        <v>21.0</v>
      </c>
      <c r="W146" s="112"/>
      <c r="X146" s="171">
        <v>60.0</v>
      </c>
      <c r="Y146" s="171">
        <v>10.0</v>
      </c>
      <c r="Z146" s="171">
        <v>25.0</v>
      </c>
      <c r="AA146" s="112"/>
      <c r="AB146" s="112"/>
      <c r="AC146" s="112"/>
      <c r="AD146" s="171" t="s">
        <v>922</v>
      </c>
      <c r="AE146" s="112"/>
      <c r="AF146" s="171" t="s">
        <v>923</v>
      </c>
      <c r="AG146" s="112">
        <v>5.0</v>
      </c>
      <c r="AH146" s="112"/>
      <c r="AI146" s="12"/>
      <c r="AJ146" s="12"/>
    </row>
    <row r="147" ht="14.25" customHeight="1">
      <c r="A147" s="242" t="s">
        <v>877</v>
      </c>
      <c r="B147" s="257" t="s">
        <v>924</v>
      </c>
      <c r="C147" s="257" t="s">
        <v>925</v>
      </c>
      <c r="D147" s="257" t="s">
        <v>924</v>
      </c>
      <c r="E147" s="258">
        <v>39307.0</v>
      </c>
      <c r="F147" s="258">
        <v>40118.0</v>
      </c>
      <c r="G147" s="259" t="s">
        <v>512</v>
      </c>
      <c r="H147" s="171" t="s">
        <v>519</v>
      </c>
      <c r="I147" s="171" t="s">
        <v>520</v>
      </c>
      <c r="J147" s="171" t="s">
        <v>516</v>
      </c>
      <c r="K147" s="171" t="s">
        <v>418</v>
      </c>
      <c r="L147" s="171" t="s">
        <v>420</v>
      </c>
      <c r="M147" s="171"/>
      <c r="N147" s="171"/>
      <c r="O147" s="171">
        <v>5.0</v>
      </c>
      <c r="P147" s="171" t="s">
        <v>516</v>
      </c>
      <c r="Q147" s="171" t="s">
        <v>516</v>
      </c>
      <c r="R147" s="171" t="s">
        <v>516</v>
      </c>
      <c r="S147" s="171" t="s">
        <v>516</v>
      </c>
      <c r="T147" s="171" t="s">
        <v>516</v>
      </c>
      <c r="U147" s="171">
        <v>3.0</v>
      </c>
      <c r="V147" s="112"/>
      <c r="W147" s="112"/>
      <c r="X147" s="112"/>
      <c r="Y147" s="112"/>
      <c r="Z147" s="112"/>
      <c r="AA147" s="112"/>
      <c r="AB147" s="112"/>
      <c r="AC147" s="112"/>
      <c r="AD147" s="171" t="s">
        <v>926</v>
      </c>
      <c r="AE147" s="112"/>
      <c r="AF147" s="171" t="s">
        <v>927</v>
      </c>
      <c r="AG147" s="112">
        <v>5.0</v>
      </c>
      <c r="AH147" s="112"/>
      <c r="AI147" s="12"/>
      <c r="AJ147" s="12"/>
    </row>
    <row r="148" ht="14.25" customHeight="1">
      <c r="A148" s="242" t="s">
        <v>877</v>
      </c>
      <c r="B148" s="257" t="s">
        <v>928</v>
      </c>
      <c r="C148" s="257" t="s">
        <v>929</v>
      </c>
      <c r="D148" s="257" t="s">
        <v>928</v>
      </c>
      <c r="E148" s="258">
        <v>39489.0</v>
      </c>
      <c r="F148" s="258">
        <v>40179.0</v>
      </c>
      <c r="G148" s="259" t="s">
        <v>512</v>
      </c>
      <c r="H148" s="171" t="s">
        <v>519</v>
      </c>
      <c r="I148" s="171" t="s">
        <v>520</v>
      </c>
      <c r="J148" s="171" t="s">
        <v>516</v>
      </c>
      <c r="K148" s="171" t="s">
        <v>427</v>
      </c>
      <c r="L148" s="171" t="s">
        <v>420</v>
      </c>
      <c r="M148" s="171"/>
      <c r="N148" s="171"/>
      <c r="O148" s="171">
        <v>4.0</v>
      </c>
      <c r="P148" s="171" t="s">
        <v>516</v>
      </c>
      <c r="Q148" s="171" t="s">
        <v>516</v>
      </c>
      <c r="R148" s="171" t="s">
        <v>516</v>
      </c>
      <c r="S148" s="171" t="s">
        <v>516</v>
      </c>
      <c r="T148" s="171" t="s">
        <v>516</v>
      </c>
      <c r="U148" s="171">
        <v>3.0</v>
      </c>
      <c r="V148" s="171" t="s">
        <v>930</v>
      </c>
      <c r="W148" s="171">
        <v>55.0</v>
      </c>
      <c r="X148" s="171">
        <v>75.0</v>
      </c>
      <c r="Y148" s="171">
        <v>15.0</v>
      </c>
      <c r="Z148" s="171">
        <v>20.0</v>
      </c>
      <c r="AA148" s="112"/>
      <c r="AB148" s="112"/>
      <c r="AC148" s="112"/>
      <c r="AD148" s="171" t="s">
        <v>931</v>
      </c>
      <c r="AE148" s="112"/>
      <c r="AF148" s="171" t="s">
        <v>932</v>
      </c>
      <c r="AG148" s="112">
        <v>5.0</v>
      </c>
      <c r="AH148" s="112"/>
      <c r="AI148" s="12"/>
      <c r="AJ148" s="12"/>
    </row>
    <row r="149" ht="14.25" customHeight="1">
      <c r="A149" s="252" t="s">
        <v>877</v>
      </c>
      <c r="B149" s="252" t="s">
        <v>933</v>
      </c>
      <c r="C149" s="252" t="s">
        <v>934</v>
      </c>
      <c r="D149" s="252" t="s">
        <v>933</v>
      </c>
      <c r="E149" s="253">
        <v>39532.0</v>
      </c>
      <c r="F149" s="253">
        <v>40179.0</v>
      </c>
      <c r="G149" s="254" t="s">
        <v>512</v>
      </c>
      <c r="H149" s="236" t="s">
        <v>519</v>
      </c>
      <c r="I149" s="236" t="s">
        <v>520</v>
      </c>
      <c r="J149" s="236" t="s">
        <v>516</v>
      </c>
      <c r="K149" s="236" t="s">
        <v>427</v>
      </c>
      <c r="L149" s="236" t="s">
        <v>420</v>
      </c>
      <c r="M149" s="236"/>
      <c r="N149" s="236"/>
      <c r="O149" s="236">
        <v>6.0</v>
      </c>
      <c r="P149" s="236" t="s">
        <v>516</v>
      </c>
      <c r="Q149" s="236" t="s">
        <v>516</v>
      </c>
      <c r="R149" s="236" t="s">
        <v>516</v>
      </c>
      <c r="S149" s="236" t="s">
        <v>516</v>
      </c>
      <c r="T149" s="236" t="s">
        <v>516</v>
      </c>
      <c r="U149" s="236"/>
      <c r="V149" s="236" t="s">
        <v>930</v>
      </c>
      <c r="W149" s="236">
        <v>75.0</v>
      </c>
      <c r="X149" s="236">
        <v>85.0</v>
      </c>
      <c r="Y149" s="236">
        <v>10.0</v>
      </c>
      <c r="Z149" s="236">
        <v>30.0</v>
      </c>
      <c r="AA149" s="236"/>
      <c r="AB149" s="236"/>
      <c r="AC149" s="236"/>
      <c r="AD149" s="236"/>
      <c r="AE149" s="236"/>
      <c r="AF149" s="236" t="s">
        <v>935</v>
      </c>
      <c r="AG149" s="237">
        <v>5.0</v>
      </c>
      <c r="AH149" s="236"/>
      <c r="AI149" s="255"/>
      <c r="AJ149" s="256"/>
    </row>
    <row r="150" ht="14.25" customHeight="1">
      <c r="A150" s="242" t="s">
        <v>877</v>
      </c>
      <c r="B150" s="261" t="s">
        <v>936</v>
      </c>
      <c r="C150" s="261" t="s">
        <v>937</v>
      </c>
      <c r="D150" s="261" t="s">
        <v>936</v>
      </c>
      <c r="E150" s="262">
        <v>39833.0</v>
      </c>
      <c r="F150" s="262">
        <v>40179.0</v>
      </c>
      <c r="G150" s="263" t="s">
        <v>512</v>
      </c>
      <c r="H150" s="264" t="s">
        <v>519</v>
      </c>
      <c r="I150" s="264" t="s">
        <v>520</v>
      </c>
      <c r="J150" s="265" t="s">
        <v>516</v>
      </c>
      <c r="K150" s="265" t="s">
        <v>427</v>
      </c>
      <c r="L150" s="264" t="s">
        <v>420</v>
      </c>
      <c r="M150" s="265" t="s">
        <v>938</v>
      </c>
      <c r="N150" s="264"/>
      <c r="O150" s="265">
        <v>4.0</v>
      </c>
      <c r="P150" s="265" t="s">
        <v>516</v>
      </c>
      <c r="Q150" s="265" t="s">
        <v>516</v>
      </c>
      <c r="R150" s="265" t="s">
        <v>516</v>
      </c>
      <c r="S150" s="264" t="s">
        <v>516</v>
      </c>
      <c r="T150" s="264" t="s">
        <v>516</v>
      </c>
      <c r="U150" s="264">
        <v>3.0</v>
      </c>
      <c r="V150" s="265">
        <v>7.0</v>
      </c>
      <c r="W150" s="265">
        <v>50.0</v>
      </c>
      <c r="X150" s="265">
        <v>70.0</v>
      </c>
      <c r="Y150" s="265"/>
      <c r="Z150" s="265"/>
      <c r="AA150" s="265"/>
      <c r="AB150" s="265"/>
      <c r="AC150" s="265"/>
      <c r="AD150" s="264" t="s">
        <v>939</v>
      </c>
      <c r="AE150" s="265"/>
      <c r="AF150" s="264" t="s">
        <v>940</v>
      </c>
      <c r="AG150" s="265">
        <v>5.0</v>
      </c>
      <c r="AH150" s="265"/>
      <c r="AI150" s="266"/>
      <c r="AJ150" s="1"/>
    </row>
    <row r="151" ht="14.25" customHeight="1">
      <c r="A151" s="242" t="s">
        <v>877</v>
      </c>
      <c r="B151" s="257" t="s">
        <v>941</v>
      </c>
      <c r="C151" s="257" t="s">
        <v>942</v>
      </c>
      <c r="D151" s="257" t="s">
        <v>941</v>
      </c>
      <c r="E151" s="258">
        <v>39931.0</v>
      </c>
      <c r="F151" s="258">
        <v>40178.0</v>
      </c>
      <c r="G151" s="259" t="s">
        <v>512</v>
      </c>
      <c r="H151" s="171" t="s">
        <v>519</v>
      </c>
      <c r="I151" s="171" t="s">
        <v>520</v>
      </c>
      <c r="J151" s="171" t="s">
        <v>516</v>
      </c>
      <c r="K151" s="171" t="s">
        <v>427</v>
      </c>
      <c r="L151" s="171" t="s">
        <v>420</v>
      </c>
      <c r="M151" s="171" t="s">
        <v>475</v>
      </c>
      <c r="N151" s="171"/>
      <c r="O151" s="171">
        <v>9.0</v>
      </c>
      <c r="P151" s="171" t="s">
        <v>516</v>
      </c>
      <c r="Q151" s="171" t="s">
        <v>516</v>
      </c>
      <c r="R151" s="171" t="s">
        <v>516</v>
      </c>
      <c r="S151" s="171" t="s">
        <v>516</v>
      </c>
      <c r="T151" s="171" t="s">
        <v>516</v>
      </c>
      <c r="U151" s="171">
        <v>3.0</v>
      </c>
      <c r="V151" s="171" t="s">
        <v>930</v>
      </c>
      <c r="W151" s="171">
        <v>60.0</v>
      </c>
      <c r="X151" s="171">
        <v>70.0</v>
      </c>
      <c r="Y151" s="260">
        <v>10.0</v>
      </c>
      <c r="Z151" s="69"/>
      <c r="AA151" s="171">
        <v>1.0</v>
      </c>
      <c r="AB151" s="171">
        <v>5.0</v>
      </c>
      <c r="AC151" s="112"/>
      <c r="AD151" s="171" t="s">
        <v>943</v>
      </c>
      <c r="AE151" s="171">
        <f t="shared" ref="AE151:AE152" si="1">900/12</f>
        <v>75</v>
      </c>
      <c r="AF151" s="171" t="s">
        <v>944</v>
      </c>
      <c r="AG151" s="112">
        <v>5.0</v>
      </c>
      <c r="AH151" s="112"/>
      <c r="AI151" s="12"/>
      <c r="AJ151" s="12"/>
    </row>
    <row r="152" ht="14.25" customHeight="1">
      <c r="A152" s="242" t="s">
        <v>877</v>
      </c>
      <c r="B152" s="257" t="s">
        <v>945</v>
      </c>
      <c r="C152" s="257" t="s">
        <v>942</v>
      </c>
      <c r="D152" s="257" t="s">
        <v>945</v>
      </c>
      <c r="E152" s="258">
        <v>40162.0</v>
      </c>
      <c r="F152" s="258">
        <v>40421.0</v>
      </c>
      <c r="G152" s="259" t="s">
        <v>512</v>
      </c>
      <c r="H152" s="171" t="s">
        <v>519</v>
      </c>
      <c r="I152" s="171" t="s">
        <v>520</v>
      </c>
      <c r="J152" s="171" t="s">
        <v>516</v>
      </c>
      <c r="K152" s="171" t="s">
        <v>427</v>
      </c>
      <c r="L152" s="171" t="s">
        <v>420</v>
      </c>
      <c r="M152" s="171" t="s">
        <v>475</v>
      </c>
      <c r="N152" s="171"/>
      <c r="O152" s="171">
        <v>8.0</v>
      </c>
      <c r="P152" s="171" t="s">
        <v>516</v>
      </c>
      <c r="Q152" s="171" t="s">
        <v>516</v>
      </c>
      <c r="R152" s="171" t="s">
        <v>516</v>
      </c>
      <c r="S152" s="171" t="s">
        <v>516</v>
      </c>
      <c r="T152" s="171" t="s">
        <v>516</v>
      </c>
      <c r="U152" s="112">
        <v>3.0</v>
      </c>
      <c r="V152" s="171" t="s">
        <v>930</v>
      </c>
      <c r="W152" s="112">
        <v>60.0</v>
      </c>
      <c r="X152" s="112">
        <v>70.0</v>
      </c>
      <c r="Y152" s="260">
        <v>10.0</v>
      </c>
      <c r="Z152" s="69"/>
      <c r="AA152" s="112">
        <v>1.0</v>
      </c>
      <c r="AB152" s="112">
        <v>5.0</v>
      </c>
      <c r="AC152" s="112"/>
      <c r="AD152" s="171" t="s">
        <v>943</v>
      </c>
      <c r="AE152" s="171">
        <f t="shared" si="1"/>
        <v>75</v>
      </c>
      <c r="AF152" s="171" t="s">
        <v>946</v>
      </c>
      <c r="AG152" s="112">
        <v>5.0</v>
      </c>
      <c r="AH152" s="112"/>
      <c r="AI152" s="12"/>
      <c r="AJ152" s="12"/>
    </row>
    <row r="153" ht="14.25" customHeight="1">
      <c r="A153" s="242" t="s">
        <v>877</v>
      </c>
      <c r="B153" s="261" t="s">
        <v>947</v>
      </c>
      <c r="C153" s="261" t="s">
        <v>948</v>
      </c>
      <c r="D153" s="261" t="s">
        <v>947</v>
      </c>
      <c r="E153" s="262">
        <v>40042.0</v>
      </c>
      <c r="F153" s="262">
        <v>40179.0</v>
      </c>
      <c r="G153" s="263" t="s">
        <v>512</v>
      </c>
      <c r="H153" s="264" t="s">
        <v>519</v>
      </c>
      <c r="I153" s="264" t="s">
        <v>520</v>
      </c>
      <c r="J153" s="264" t="s">
        <v>516</v>
      </c>
      <c r="K153" s="264" t="s">
        <v>418</v>
      </c>
      <c r="L153" s="264" t="s">
        <v>420</v>
      </c>
      <c r="M153" s="264" t="s">
        <v>475</v>
      </c>
      <c r="N153" s="264"/>
      <c r="O153" s="264">
        <v>5.0</v>
      </c>
      <c r="P153" s="264" t="s">
        <v>516</v>
      </c>
      <c r="Q153" s="264" t="s">
        <v>516</v>
      </c>
      <c r="R153" s="264" t="s">
        <v>516</v>
      </c>
      <c r="S153" s="264" t="s">
        <v>516</v>
      </c>
      <c r="T153" s="264" t="s">
        <v>516</v>
      </c>
      <c r="U153" s="265">
        <v>3.0</v>
      </c>
      <c r="V153" s="265">
        <v>18.0</v>
      </c>
      <c r="W153" s="265">
        <v>60.0</v>
      </c>
      <c r="X153" s="265">
        <v>70.0</v>
      </c>
      <c r="Y153" s="265"/>
      <c r="Z153" s="265"/>
      <c r="AA153" s="265"/>
      <c r="AB153" s="265"/>
      <c r="AC153" s="265"/>
      <c r="AD153" s="264" t="s">
        <v>423</v>
      </c>
      <c r="AE153" s="265"/>
      <c r="AF153" s="264" t="s">
        <v>949</v>
      </c>
      <c r="AG153" s="265">
        <v>5.0</v>
      </c>
      <c r="AH153" s="265"/>
      <c r="AI153" s="266"/>
      <c r="AJ153" s="1"/>
    </row>
    <row r="154" ht="14.25" customHeight="1">
      <c r="A154" s="242" t="s">
        <v>877</v>
      </c>
      <c r="B154" s="257" t="s">
        <v>950</v>
      </c>
      <c r="C154" s="257" t="s">
        <v>951</v>
      </c>
      <c r="D154" s="257" t="s">
        <v>950</v>
      </c>
      <c r="E154" s="258">
        <v>40121.0</v>
      </c>
      <c r="F154" s="258">
        <v>40421.0</v>
      </c>
      <c r="G154" s="259" t="s">
        <v>512</v>
      </c>
      <c r="H154" s="171" t="s">
        <v>519</v>
      </c>
      <c r="I154" s="171" t="s">
        <v>520</v>
      </c>
      <c r="J154" s="171" t="s">
        <v>516</v>
      </c>
      <c r="K154" s="171" t="s">
        <v>430</v>
      </c>
      <c r="L154" s="171" t="s">
        <v>420</v>
      </c>
      <c r="M154" s="171" t="s">
        <v>475</v>
      </c>
      <c r="N154" s="171"/>
      <c r="O154" s="171">
        <v>7.0</v>
      </c>
      <c r="P154" s="171" t="s">
        <v>548</v>
      </c>
      <c r="Q154" s="171" t="s">
        <v>516</v>
      </c>
      <c r="R154" s="171" t="s">
        <v>516</v>
      </c>
      <c r="S154" s="171" t="s">
        <v>516</v>
      </c>
      <c r="T154" s="171" t="s">
        <v>516</v>
      </c>
      <c r="U154" s="112">
        <v>3.0</v>
      </c>
      <c r="V154" s="171">
        <v>21.0</v>
      </c>
      <c r="W154" s="171">
        <v>50.0</v>
      </c>
      <c r="X154" s="171">
        <v>65.0</v>
      </c>
      <c r="Y154" s="171">
        <v>15.0</v>
      </c>
      <c r="Z154" s="171">
        <v>25.0</v>
      </c>
      <c r="AA154" s="112"/>
      <c r="AB154" s="112"/>
      <c r="AC154" s="112"/>
      <c r="AD154" s="171" t="s">
        <v>952</v>
      </c>
      <c r="AE154" s="112"/>
      <c r="AF154" s="171" t="s">
        <v>953</v>
      </c>
      <c r="AG154" s="112">
        <v>5.0</v>
      </c>
      <c r="AH154" s="112"/>
      <c r="AI154" s="12"/>
      <c r="AJ154" s="12"/>
    </row>
    <row r="155" ht="14.25" customHeight="1">
      <c r="A155" s="252" t="s">
        <v>877</v>
      </c>
      <c r="B155" s="252" t="s">
        <v>954</v>
      </c>
      <c r="C155" s="252" t="s">
        <v>955</v>
      </c>
      <c r="D155" s="252" t="s">
        <v>954</v>
      </c>
      <c r="E155" s="253">
        <v>40162.0</v>
      </c>
      <c r="F155" s="253">
        <v>40421.0</v>
      </c>
      <c r="G155" s="254" t="s">
        <v>512</v>
      </c>
      <c r="H155" s="236" t="s">
        <v>519</v>
      </c>
      <c r="I155" s="236" t="s">
        <v>520</v>
      </c>
      <c r="J155" s="236" t="s">
        <v>516</v>
      </c>
      <c r="K155" s="236" t="s">
        <v>418</v>
      </c>
      <c r="L155" s="236" t="s">
        <v>420</v>
      </c>
      <c r="M155" s="236"/>
      <c r="N155" s="236"/>
      <c r="O155" s="236">
        <v>5.0</v>
      </c>
      <c r="P155" s="236" t="s">
        <v>516</v>
      </c>
      <c r="Q155" s="237" t="s">
        <v>548</v>
      </c>
      <c r="R155" s="236" t="s">
        <v>516</v>
      </c>
      <c r="S155" s="236" t="s">
        <v>516</v>
      </c>
      <c r="T155" s="236" t="s">
        <v>516</v>
      </c>
      <c r="U155" s="237">
        <v>3.0</v>
      </c>
      <c r="V155" s="237">
        <v>18.0</v>
      </c>
      <c r="W155" s="237">
        <v>60.0</v>
      </c>
      <c r="X155" s="237">
        <v>70.0</v>
      </c>
      <c r="Y155" s="237"/>
      <c r="Z155" s="237"/>
      <c r="AA155" s="237"/>
      <c r="AB155" s="237"/>
      <c r="AC155" s="237"/>
      <c r="AD155" s="236" t="s">
        <v>423</v>
      </c>
      <c r="AE155" s="237"/>
      <c r="AF155" s="236" t="s">
        <v>956</v>
      </c>
      <c r="AG155" s="237">
        <v>5.0</v>
      </c>
      <c r="AH155" s="237"/>
      <c r="AI155" s="239"/>
      <c r="AJ155" s="240"/>
    </row>
    <row r="156" ht="14.25" customHeight="1">
      <c r="A156" s="242" t="s">
        <v>877</v>
      </c>
      <c r="B156" s="267" t="s">
        <v>957</v>
      </c>
      <c r="C156" s="267" t="s">
        <v>958</v>
      </c>
      <c r="D156" s="267" t="s">
        <v>957</v>
      </c>
      <c r="E156" s="268">
        <v>40162.0</v>
      </c>
      <c r="F156" s="268">
        <v>40421.0</v>
      </c>
      <c r="G156" s="269" t="s">
        <v>512</v>
      </c>
      <c r="H156" s="270" t="s">
        <v>519</v>
      </c>
      <c r="I156" s="270" t="s">
        <v>520</v>
      </c>
      <c r="J156" s="270" t="s">
        <v>516</v>
      </c>
      <c r="K156" s="270" t="s">
        <v>424</v>
      </c>
      <c r="L156" s="270" t="s">
        <v>469</v>
      </c>
      <c r="M156" s="270" t="s">
        <v>475</v>
      </c>
      <c r="N156" s="270"/>
      <c r="O156" s="270">
        <v>7.0</v>
      </c>
      <c r="P156" s="270" t="s">
        <v>516</v>
      </c>
      <c r="Q156" s="264" t="s">
        <v>516</v>
      </c>
      <c r="R156" s="270" t="s">
        <v>516</v>
      </c>
      <c r="S156" s="270" t="s">
        <v>516</v>
      </c>
      <c r="T156" s="270" t="s">
        <v>516</v>
      </c>
      <c r="U156" s="271">
        <v>3.0</v>
      </c>
      <c r="V156" s="271">
        <v>7.0</v>
      </c>
      <c r="W156" s="271">
        <v>55.0</v>
      </c>
      <c r="X156" s="271">
        <v>75.0</v>
      </c>
      <c r="Y156" s="272">
        <v>20.0</v>
      </c>
      <c r="Z156" s="69"/>
      <c r="AA156" s="271"/>
      <c r="AB156" s="271"/>
      <c r="AC156" s="271"/>
      <c r="AD156" s="270" t="s">
        <v>959</v>
      </c>
      <c r="AE156" s="271"/>
      <c r="AF156" s="270" t="s">
        <v>960</v>
      </c>
      <c r="AG156" s="265">
        <v>29.0</v>
      </c>
      <c r="AH156" s="271"/>
      <c r="AI156" s="273"/>
      <c r="AJ156" s="39"/>
    </row>
    <row r="157" ht="14.25" customHeight="1">
      <c r="A157" s="252" t="s">
        <v>877</v>
      </c>
      <c r="B157" s="252" t="s">
        <v>961</v>
      </c>
      <c r="C157" s="252" t="s">
        <v>962</v>
      </c>
      <c r="D157" s="252" t="s">
        <v>961</v>
      </c>
      <c r="E157" s="253">
        <v>40162.0</v>
      </c>
      <c r="F157" s="253">
        <v>40421.0</v>
      </c>
      <c r="G157" s="254" t="s">
        <v>512</v>
      </c>
      <c r="H157" s="236" t="s">
        <v>519</v>
      </c>
      <c r="I157" s="236" t="s">
        <v>520</v>
      </c>
      <c r="J157" s="236" t="s">
        <v>516</v>
      </c>
      <c r="K157" s="236" t="s">
        <v>427</v>
      </c>
      <c r="L157" s="236" t="s">
        <v>469</v>
      </c>
      <c r="M157" s="236" t="s">
        <v>475</v>
      </c>
      <c r="N157" s="236"/>
      <c r="O157" s="236">
        <v>7.0</v>
      </c>
      <c r="P157" s="236" t="s">
        <v>516</v>
      </c>
      <c r="Q157" s="236" t="s">
        <v>516</v>
      </c>
      <c r="R157" s="236" t="s">
        <v>516</v>
      </c>
      <c r="S157" s="236" t="s">
        <v>516</v>
      </c>
      <c r="T157" s="236" t="s">
        <v>516</v>
      </c>
      <c r="U157" s="236">
        <v>3.0</v>
      </c>
      <c r="V157" s="236">
        <v>7.0</v>
      </c>
      <c r="W157" s="236">
        <v>60.0</v>
      </c>
      <c r="X157" s="236">
        <v>80.0</v>
      </c>
      <c r="Y157" s="236"/>
      <c r="Z157" s="236"/>
      <c r="AA157" s="236"/>
      <c r="AB157" s="236"/>
      <c r="AC157" s="236"/>
      <c r="AD157" s="236"/>
      <c r="AE157" s="236"/>
      <c r="AF157" s="236" t="s">
        <v>963</v>
      </c>
      <c r="AG157" s="237">
        <v>30.0</v>
      </c>
      <c r="AH157" s="236"/>
      <c r="AI157" s="255"/>
      <c r="AJ157" s="256"/>
    </row>
    <row r="158" ht="14.25" customHeight="1">
      <c r="A158" s="242" t="s">
        <v>877</v>
      </c>
      <c r="B158" s="257" t="s">
        <v>964</v>
      </c>
      <c r="C158" s="257" t="s">
        <v>965</v>
      </c>
      <c r="D158" s="257" t="s">
        <v>964</v>
      </c>
      <c r="E158" s="258">
        <v>40168.0</v>
      </c>
      <c r="F158" s="258">
        <v>40421.0</v>
      </c>
      <c r="G158" s="259" t="s">
        <v>512</v>
      </c>
      <c r="H158" s="171" t="s">
        <v>519</v>
      </c>
      <c r="I158" s="171" t="s">
        <v>520</v>
      </c>
      <c r="J158" s="171" t="s">
        <v>516</v>
      </c>
      <c r="K158" s="265" t="s">
        <v>452</v>
      </c>
      <c r="L158" s="270" t="s">
        <v>469</v>
      </c>
      <c r="M158" s="270" t="s">
        <v>475</v>
      </c>
      <c r="N158" s="171"/>
      <c r="O158" s="171">
        <v>8.0</v>
      </c>
      <c r="P158" s="270" t="s">
        <v>516</v>
      </c>
      <c r="Q158" s="264" t="s">
        <v>516</v>
      </c>
      <c r="R158" s="270" t="s">
        <v>516</v>
      </c>
      <c r="S158" s="270" t="s">
        <v>516</v>
      </c>
      <c r="T158" s="270" t="s">
        <v>516</v>
      </c>
      <c r="U158" s="112" t="s">
        <v>966</v>
      </c>
      <c r="V158" s="171">
        <v>21.0</v>
      </c>
      <c r="W158" s="171">
        <v>50.0</v>
      </c>
      <c r="X158" s="112">
        <v>65.0</v>
      </c>
      <c r="Y158" s="112">
        <v>5.0</v>
      </c>
      <c r="Z158" s="112">
        <v>25.0</v>
      </c>
      <c r="AA158" s="112">
        <v>5.0</v>
      </c>
      <c r="AB158" s="112">
        <v>25.0</v>
      </c>
      <c r="AC158" s="112"/>
      <c r="AD158" s="171" t="s">
        <v>967</v>
      </c>
      <c r="AE158" s="112"/>
      <c r="AF158" s="171" t="s">
        <v>968</v>
      </c>
      <c r="AG158" s="271">
        <v>5.0</v>
      </c>
      <c r="AH158" s="112"/>
      <c r="AI158" s="12"/>
      <c r="AJ158" s="12"/>
    </row>
    <row r="159" ht="14.25" customHeight="1">
      <c r="A159" s="242" t="s">
        <v>877</v>
      </c>
      <c r="B159" s="257" t="s">
        <v>969</v>
      </c>
      <c r="C159" s="257" t="s">
        <v>970</v>
      </c>
      <c r="D159" s="257" t="s">
        <v>969</v>
      </c>
      <c r="E159" s="258">
        <v>40421.0</v>
      </c>
      <c r="F159" s="258">
        <v>40701.0</v>
      </c>
      <c r="G159" s="259" t="s">
        <v>880</v>
      </c>
      <c r="H159" s="171" t="s">
        <v>519</v>
      </c>
      <c r="I159" s="171" t="s">
        <v>520</v>
      </c>
      <c r="J159" s="171" t="s">
        <v>516</v>
      </c>
      <c r="K159" s="171" t="s">
        <v>424</v>
      </c>
      <c r="L159" s="270" t="s">
        <v>420</v>
      </c>
      <c r="M159" s="171" t="s">
        <v>475</v>
      </c>
      <c r="N159" s="171"/>
      <c r="O159" s="171">
        <v>2.0</v>
      </c>
      <c r="P159" s="270" t="s">
        <v>516</v>
      </c>
      <c r="Q159" s="270" t="s">
        <v>516</v>
      </c>
      <c r="R159" s="270" t="s">
        <v>516</v>
      </c>
      <c r="S159" s="270" t="s">
        <v>516</v>
      </c>
      <c r="T159" s="270" t="s">
        <v>516</v>
      </c>
      <c r="U159" s="274"/>
      <c r="V159" s="171">
        <v>21.0</v>
      </c>
      <c r="W159" s="171">
        <v>50.0</v>
      </c>
      <c r="X159" s="171">
        <v>65.0</v>
      </c>
      <c r="Y159" s="260">
        <v>15.0</v>
      </c>
      <c r="Z159" s="69"/>
      <c r="AA159" s="112"/>
      <c r="AB159" s="112"/>
      <c r="AC159" s="112"/>
      <c r="AD159" s="171" t="s">
        <v>971</v>
      </c>
      <c r="AE159" s="112"/>
      <c r="AF159" s="171" t="s">
        <v>972</v>
      </c>
      <c r="AG159" s="271">
        <v>5.0</v>
      </c>
      <c r="AH159" s="112"/>
      <c r="AI159" s="12"/>
      <c r="AJ159" s="12"/>
    </row>
    <row r="160" ht="14.25" customHeight="1">
      <c r="A160" s="242" t="s">
        <v>877</v>
      </c>
      <c r="B160" s="257" t="s">
        <v>973</v>
      </c>
      <c r="C160" s="257" t="s">
        <v>974</v>
      </c>
      <c r="D160" s="257" t="s">
        <v>973</v>
      </c>
      <c r="E160" s="258">
        <v>40421.0</v>
      </c>
      <c r="F160" s="258">
        <v>41639.0</v>
      </c>
      <c r="G160" s="259" t="s">
        <v>523</v>
      </c>
      <c r="H160" s="171" t="s">
        <v>519</v>
      </c>
      <c r="I160" s="171" t="s">
        <v>520</v>
      </c>
      <c r="J160" s="171" t="s">
        <v>516</v>
      </c>
      <c r="K160" s="265" t="s">
        <v>452</v>
      </c>
      <c r="L160" s="270" t="s">
        <v>420</v>
      </c>
      <c r="M160" s="171" t="s">
        <v>475</v>
      </c>
      <c r="N160" s="171"/>
      <c r="O160" s="171">
        <v>7.0</v>
      </c>
      <c r="P160" s="270" t="s">
        <v>516</v>
      </c>
      <c r="Q160" s="270" t="s">
        <v>516</v>
      </c>
      <c r="R160" s="270" t="s">
        <v>516</v>
      </c>
      <c r="S160" s="270" t="s">
        <v>516</v>
      </c>
      <c r="T160" s="270" t="s">
        <v>516</v>
      </c>
      <c r="U160" s="274"/>
      <c r="V160" s="171">
        <v>21.0</v>
      </c>
      <c r="W160" s="171">
        <v>55.0</v>
      </c>
      <c r="X160" s="171">
        <v>65.0</v>
      </c>
      <c r="Y160" s="112"/>
      <c r="Z160" s="112"/>
      <c r="AA160" s="112"/>
      <c r="AB160" s="112"/>
      <c r="AC160" s="112"/>
      <c r="AD160" s="171" t="s">
        <v>975</v>
      </c>
      <c r="AE160" s="112"/>
      <c r="AF160" s="171" t="s">
        <v>976</v>
      </c>
      <c r="AG160" s="271">
        <v>5.0</v>
      </c>
      <c r="AH160" s="112"/>
      <c r="AI160" s="12"/>
      <c r="AJ160" s="12"/>
    </row>
    <row r="161" ht="14.25" customHeight="1">
      <c r="A161" s="242" t="s">
        <v>877</v>
      </c>
      <c r="B161" s="257" t="s">
        <v>977</v>
      </c>
      <c r="C161" s="257" t="s">
        <v>978</v>
      </c>
      <c r="D161" s="257" t="s">
        <v>977</v>
      </c>
      <c r="E161" s="258">
        <v>40548.0</v>
      </c>
      <c r="F161" s="258">
        <v>41639.0</v>
      </c>
      <c r="G161" s="259" t="s">
        <v>523</v>
      </c>
      <c r="H161" s="171" t="s">
        <v>519</v>
      </c>
      <c r="I161" s="171" t="s">
        <v>520</v>
      </c>
      <c r="J161" s="171" t="s">
        <v>516</v>
      </c>
      <c r="K161" s="171" t="s">
        <v>424</v>
      </c>
      <c r="L161" s="270" t="s">
        <v>420</v>
      </c>
      <c r="M161" s="171" t="s">
        <v>475</v>
      </c>
      <c r="N161" s="171"/>
      <c r="O161" s="171">
        <v>7.0</v>
      </c>
      <c r="P161" s="270" t="s">
        <v>516</v>
      </c>
      <c r="Q161" s="270" t="s">
        <v>516</v>
      </c>
      <c r="R161" s="270" t="s">
        <v>516</v>
      </c>
      <c r="S161" s="270" t="s">
        <v>516</v>
      </c>
      <c r="T161" s="270" t="s">
        <v>516</v>
      </c>
      <c r="U161" s="274"/>
      <c r="V161" s="171">
        <v>7.0</v>
      </c>
      <c r="W161" s="171">
        <v>50.0</v>
      </c>
      <c r="X161" s="171">
        <v>70.0</v>
      </c>
      <c r="Y161" s="171">
        <v>10.0</v>
      </c>
      <c r="Z161" s="171">
        <v>20.0</v>
      </c>
      <c r="AA161" s="112"/>
      <c r="AB161" s="112"/>
      <c r="AC161" s="112"/>
      <c r="AD161" s="171" t="s">
        <v>979</v>
      </c>
      <c r="AE161" s="112"/>
      <c r="AF161" s="171" t="s">
        <v>980</v>
      </c>
      <c r="AG161" s="271">
        <v>5.0</v>
      </c>
      <c r="AH161" s="112"/>
      <c r="AI161" s="12"/>
      <c r="AJ161" s="12"/>
    </row>
    <row r="162" ht="14.25" customHeight="1">
      <c r="A162" s="242" t="s">
        <v>877</v>
      </c>
      <c r="B162" s="257" t="s">
        <v>981</v>
      </c>
      <c r="C162" s="257" t="s">
        <v>982</v>
      </c>
      <c r="D162" s="257" t="s">
        <v>981</v>
      </c>
      <c r="E162" s="258">
        <v>40675.0</v>
      </c>
      <c r="F162" s="258">
        <v>41627.0</v>
      </c>
      <c r="G162" s="259" t="s">
        <v>523</v>
      </c>
      <c r="H162" s="171" t="s">
        <v>519</v>
      </c>
      <c r="I162" s="171" t="s">
        <v>520</v>
      </c>
      <c r="J162" s="171" t="s">
        <v>516</v>
      </c>
      <c r="K162" s="171" t="s">
        <v>427</v>
      </c>
      <c r="L162" s="270" t="s">
        <v>420</v>
      </c>
      <c r="M162" s="171" t="s">
        <v>475</v>
      </c>
      <c r="N162" s="171"/>
      <c r="O162" s="171">
        <v>2.0</v>
      </c>
      <c r="P162" s="270" t="s">
        <v>516</v>
      </c>
      <c r="Q162" s="270" t="s">
        <v>516</v>
      </c>
      <c r="R162" s="270" t="s">
        <v>516</v>
      </c>
      <c r="S162" s="270" t="s">
        <v>516</v>
      </c>
      <c r="T162" s="270" t="s">
        <v>516</v>
      </c>
      <c r="U162" s="274"/>
      <c r="V162" s="112" t="s">
        <v>930</v>
      </c>
      <c r="W162" s="171">
        <v>60.0</v>
      </c>
      <c r="X162" s="171">
        <v>70.0</v>
      </c>
      <c r="Y162" s="112"/>
      <c r="Z162" s="112"/>
      <c r="AA162" s="112"/>
      <c r="AB162" s="112"/>
      <c r="AC162" s="112"/>
      <c r="AD162" s="171" t="s">
        <v>983</v>
      </c>
      <c r="AE162" s="112"/>
      <c r="AF162" s="171" t="s">
        <v>984</v>
      </c>
      <c r="AG162" s="271">
        <v>5.0</v>
      </c>
      <c r="AH162" s="112"/>
      <c r="AI162" s="12"/>
      <c r="AJ162" s="12"/>
    </row>
    <row r="163" ht="14.25" customHeight="1">
      <c r="A163" s="242" t="s">
        <v>877</v>
      </c>
      <c r="B163" s="257" t="s">
        <v>985</v>
      </c>
      <c r="C163" s="257" t="s">
        <v>986</v>
      </c>
      <c r="D163" s="257" t="s">
        <v>985</v>
      </c>
      <c r="E163" s="258">
        <v>40686.0</v>
      </c>
      <c r="F163" s="258">
        <v>41639.0</v>
      </c>
      <c r="G163" s="259" t="s">
        <v>523</v>
      </c>
      <c r="H163" s="171" t="s">
        <v>519</v>
      </c>
      <c r="I163" s="171" t="s">
        <v>520</v>
      </c>
      <c r="J163" s="171" t="s">
        <v>516</v>
      </c>
      <c r="K163" s="171" t="s">
        <v>424</v>
      </c>
      <c r="L163" s="270" t="s">
        <v>420</v>
      </c>
      <c r="M163" s="171" t="s">
        <v>475</v>
      </c>
      <c r="N163" s="171"/>
      <c r="O163" s="171">
        <v>7.0</v>
      </c>
      <c r="P163" s="270" t="s">
        <v>516</v>
      </c>
      <c r="Q163" s="270" t="s">
        <v>516</v>
      </c>
      <c r="R163" s="270" t="s">
        <v>516</v>
      </c>
      <c r="S163" s="270" t="s">
        <v>516</v>
      </c>
      <c r="T163" s="270" t="s">
        <v>516</v>
      </c>
      <c r="U163" s="274"/>
      <c r="V163" s="112">
        <v>30.0</v>
      </c>
      <c r="W163" s="171">
        <v>60.0</v>
      </c>
      <c r="X163" s="171">
        <v>90.0</v>
      </c>
      <c r="Y163" s="171">
        <v>10.0</v>
      </c>
      <c r="Z163" s="171">
        <v>20.0</v>
      </c>
      <c r="AA163" s="171">
        <v>1.0</v>
      </c>
      <c r="AB163" s="171">
        <v>10.0</v>
      </c>
      <c r="AC163" s="112"/>
      <c r="AD163" s="171" t="s">
        <v>987</v>
      </c>
      <c r="AE163" s="112"/>
      <c r="AF163" s="171" t="s">
        <v>988</v>
      </c>
      <c r="AG163" s="271">
        <v>5.0</v>
      </c>
      <c r="AH163" s="112"/>
      <c r="AI163" s="12"/>
      <c r="AJ163" s="12"/>
    </row>
    <row r="164" ht="14.25" customHeight="1">
      <c r="A164" s="242" t="s">
        <v>877</v>
      </c>
      <c r="B164" s="257" t="s">
        <v>989</v>
      </c>
      <c r="C164" s="257" t="s">
        <v>990</v>
      </c>
      <c r="D164" s="257" t="s">
        <v>989</v>
      </c>
      <c r="E164" s="258">
        <v>41290.0</v>
      </c>
      <c r="F164" s="258">
        <v>41639.0</v>
      </c>
      <c r="G164" s="259" t="s">
        <v>523</v>
      </c>
      <c r="H164" s="171" t="s">
        <v>519</v>
      </c>
      <c r="I164" s="171" t="s">
        <v>520</v>
      </c>
      <c r="J164" s="112" t="s">
        <v>516</v>
      </c>
      <c r="K164" s="112" t="s">
        <v>443</v>
      </c>
      <c r="L164" s="270" t="s">
        <v>420</v>
      </c>
      <c r="M164" s="171" t="s">
        <v>475</v>
      </c>
      <c r="N164" s="171"/>
      <c r="O164" s="171">
        <v>6.0</v>
      </c>
      <c r="P164" s="270" t="s">
        <v>516</v>
      </c>
      <c r="Q164" s="270" t="s">
        <v>516</v>
      </c>
      <c r="R164" s="270" t="s">
        <v>516</v>
      </c>
      <c r="S164" s="270" t="s">
        <v>516</v>
      </c>
      <c r="T164" s="270" t="s">
        <v>516</v>
      </c>
      <c r="U164" s="171">
        <v>2.0</v>
      </c>
      <c r="V164" s="112">
        <v>18.0</v>
      </c>
      <c r="W164" s="171">
        <v>55.0</v>
      </c>
      <c r="X164" s="171">
        <v>70.0</v>
      </c>
      <c r="Y164" s="112"/>
      <c r="Z164" s="112"/>
      <c r="AA164" s="171">
        <v>7.0</v>
      </c>
      <c r="AB164" s="171">
        <v>10.0</v>
      </c>
      <c r="AC164" s="112"/>
      <c r="AD164" s="171" t="s">
        <v>991</v>
      </c>
      <c r="AE164" s="112">
        <v>400.0</v>
      </c>
      <c r="AF164" s="171" t="s">
        <v>992</v>
      </c>
      <c r="AG164" s="271">
        <v>5.0</v>
      </c>
      <c r="AH164" s="112"/>
      <c r="AI164" s="12"/>
      <c r="AJ164" s="12"/>
    </row>
    <row r="165" ht="14.25" customHeight="1">
      <c r="A165" s="242" t="s">
        <v>877</v>
      </c>
      <c r="B165" s="257" t="s">
        <v>993</v>
      </c>
      <c r="C165" s="257" t="s">
        <v>994</v>
      </c>
      <c r="D165" s="257" t="s">
        <v>993</v>
      </c>
      <c r="E165" s="258">
        <v>41456.0</v>
      </c>
      <c r="F165" s="275">
        <v>42331.0</v>
      </c>
      <c r="G165" s="259" t="s">
        <v>512</v>
      </c>
      <c r="H165" s="171" t="s">
        <v>513</v>
      </c>
      <c r="I165" s="171" t="s">
        <v>520</v>
      </c>
      <c r="J165" s="171"/>
      <c r="K165" s="171"/>
      <c r="L165" s="270"/>
      <c r="M165" s="171"/>
      <c r="N165" s="171"/>
      <c r="O165" s="171"/>
      <c r="P165" s="171"/>
      <c r="Q165" s="171"/>
      <c r="R165" s="112"/>
      <c r="S165" s="112"/>
      <c r="T165" s="112"/>
      <c r="U165" s="112"/>
      <c r="V165" s="112"/>
      <c r="W165" s="112"/>
      <c r="X165" s="112"/>
      <c r="Y165" s="112"/>
      <c r="Z165" s="112"/>
      <c r="AA165" s="112"/>
      <c r="AB165" s="112"/>
      <c r="AC165" s="112"/>
      <c r="AD165" s="112"/>
      <c r="AE165" s="112"/>
      <c r="AF165" s="112"/>
      <c r="AG165" s="271"/>
      <c r="AH165" s="112"/>
      <c r="AI165" s="12"/>
      <c r="AJ165" s="12"/>
    </row>
    <row r="166" ht="14.25" customHeight="1">
      <c r="A166" s="242" t="s">
        <v>877</v>
      </c>
      <c r="B166" s="257" t="s">
        <v>995</v>
      </c>
      <c r="C166" s="257" t="s">
        <v>996</v>
      </c>
      <c r="D166" s="257" t="s">
        <v>995</v>
      </c>
      <c r="E166" s="258">
        <v>41460.0</v>
      </c>
      <c r="F166" s="258">
        <v>42724.0</v>
      </c>
      <c r="G166" s="259" t="s">
        <v>523</v>
      </c>
      <c r="H166" s="171" t="s">
        <v>519</v>
      </c>
      <c r="I166" s="171" t="s">
        <v>520</v>
      </c>
      <c r="J166" s="171" t="s">
        <v>516</v>
      </c>
      <c r="K166" s="171" t="s">
        <v>415</v>
      </c>
      <c r="L166" s="270" t="s">
        <v>470</v>
      </c>
      <c r="M166" s="171" t="s">
        <v>475</v>
      </c>
      <c r="N166" s="171"/>
      <c r="O166" s="171">
        <v>2.0</v>
      </c>
      <c r="P166" s="270" t="s">
        <v>516</v>
      </c>
      <c r="Q166" s="270" t="s">
        <v>516</v>
      </c>
      <c r="R166" s="270" t="s">
        <v>548</v>
      </c>
      <c r="S166" s="270" t="s">
        <v>516</v>
      </c>
      <c r="T166" s="270" t="s">
        <v>516</v>
      </c>
      <c r="U166" s="171">
        <v>2.0</v>
      </c>
      <c r="V166" s="171">
        <v>30.0</v>
      </c>
      <c r="W166" s="171">
        <v>65.0</v>
      </c>
      <c r="X166" s="171">
        <v>75.0</v>
      </c>
      <c r="Y166" s="112"/>
      <c r="Z166" s="112"/>
      <c r="AA166" s="112"/>
      <c r="AB166" s="112"/>
      <c r="AC166" s="112"/>
      <c r="AD166" s="171" t="s">
        <v>997</v>
      </c>
      <c r="AE166" s="112">
        <v>400.0</v>
      </c>
      <c r="AF166" s="171" t="s">
        <v>998</v>
      </c>
      <c r="AG166" s="271">
        <v>6.0</v>
      </c>
      <c r="AH166" s="112"/>
      <c r="AI166" s="12"/>
      <c r="AJ166" s="12"/>
    </row>
    <row r="167" ht="14.25" customHeight="1">
      <c r="A167" s="242" t="s">
        <v>877</v>
      </c>
      <c r="B167" s="257" t="s">
        <v>999</v>
      </c>
      <c r="C167" s="257" t="s">
        <v>996</v>
      </c>
      <c r="D167" s="257" t="s">
        <v>999</v>
      </c>
      <c r="E167" s="258">
        <v>42667.0</v>
      </c>
      <c r="F167" s="258">
        <v>43799.0</v>
      </c>
      <c r="G167" s="259" t="s">
        <v>512</v>
      </c>
      <c r="H167" s="171" t="s">
        <v>519</v>
      </c>
      <c r="I167" s="171" t="s">
        <v>520</v>
      </c>
      <c r="J167" s="171" t="s">
        <v>516</v>
      </c>
      <c r="K167" s="171" t="s">
        <v>415</v>
      </c>
      <c r="L167" s="270" t="s">
        <v>470</v>
      </c>
      <c r="M167" s="112" t="s">
        <v>475</v>
      </c>
      <c r="N167" s="171"/>
      <c r="O167" s="171">
        <v>2.0</v>
      </c>
      <c r="P167" s="270" t="s">
        <v>516</v>
      </c>
      <c r="Q167" s="270" t="s">
        <v>516</v>
      </c>
      <c r="R167" s="270" t="s">
        <v>548</v>
      </c>
      <c r="S167" s="270" t="s">
        <v>516</v>
      </c>
      <c r="T167" s="270" t="s">
        <v>516</v>
      </c>
      <c r="U167" s="112">
        <v>2.0</v>
      </c>
      <c r="V167" s="171">
        <v>30.0</v>
      </c>
      <c r="W167" s="171">
        <v>65.0</v>
      </c>
      <c r="X167" s="171">
        <v>75.0</v>
      </c>
      <c r="Y167" s="112"/>
      <c r="Z167" s="112"/>
      <c r="AA167" s="112"/>
      <c r="AB167" s="112"/>
      <c r="AC167" s="112"/>
      <c r="AD167" s="171" t="s">
        <v>997</v>
      </c>
      <c r="AE167" s="112">
        <v>400.0</v>
      </c>
      <c r="AF167" s="171" t="s">
        <v>998</v>
      </c>
      <c r="AG167" s="271">
        <v>6.0</v>
      </c>
      <c r="AH167" s="112"/>
      <c r="AI167" s="12"/>
      <c r="AJ167" s="12"/>
    </row>
    <row r="168" ht="14.25" customHeight="1">
      <c r="A168" s="242" t="s">
        <v>877</v>
      </c>
      <c r="B168" s="257" t="s">
        <v>1000</v>
      </c>
      <c r="C168" s="257" t="s">
        <v>996</v>
      </c>
      <c r="D168" s="257" t="s">
        <v>1000</v>
      </c>
      <c r="E168" s="258">
        <v>43800.0</v>
      </c>
      <c r="F168" s="276"/>
      <c r="G168" s="259"/>
      <c r="H168" s="171" t="s">
        <v>519</v>
      </c>
      <c r="I168" s="171" t="s">
        <v>520</v>
      </c>
      <c r="J168" s="171" t="s">
        <v>548</v>
      </c>
      <c r="K168" s="171" t="s">
        <v>415</v>
      </c>
      <c r="L168" s="270" t="s">
        <v>470</v>
      </c>
      <c r="M168" s="171" t="s">
        <v>475</v>
      </c>
      <c r="N168" s="171"/>
      <c r="O168" s="171">
        <v>2.0</v>
      </c>
      <c r="P168" s="270" t="s">
        <v>516</v>
      </c>
      <c r="Q168" s="270" t="s">
        <v>516</v>
      </c>
      <c r="R168" s="270" t="s">
        <v>548</v>
      </c>
      <c r="S168" s="270" t="s">
        <v>516</v>
      </c>
      <c r="T168" s="270" t="s">
        <v>516</v>
      </c>
      <c r="U168" s="112">
        <v>3.0</v>
      </c>
      <c r="V168" s="171">
        <v>30.0</v>
      </c>
      <c r="W168" s="171">
        <v>65.0</v>
      </c>
      <c r="X168" s="171">
        <v>75.0</v>
      </c>
      <c r="Y168" s="171">
        <v>10.0</v>
      </c>
      <c r="Z168" s="112" t="s">
        <v>1001</v>
      </c>
      <c r="AA168" s="112"/>
      <c r="AB168" s="112"/>
      <c r="AC168" s="112"/>
      <c r="AD168" s="171" t="s">
        <v>997</v>
      </c>
      <c r="AE168" s="112">
        <v>400.0</v>
      </c>
      <c r="AF168" s="171" t="s">
        <v>998</v>
      </c>
      <c r="AG168" s="271">
        <v>6.0</v>
      </c>
      <c r="AH168" s="112"/>
      <c r="AI168" s="12"/>
      <c r="AJ168" s="12"/>
    </row>
    <row r="169" ht="14.25" customHeight="1">
      <c r="A169" s="242" t="s">
        <v>877</v>
      </c>
      <c r="B169" s="257" t="s">
        <v>1002</v>
      </c>
      <c r="C169" s="257" t="s">
        <v>1003</v>
      </c>
      <c r="D169" s="257" t="s">
        <v>1002</v>
      </c>
      <c r="E169" s="258">
        <v>41600.0</v>
      </c>
      <c r="F169" s="258">
        <v>42890.0</v>
      </c>
      <c r="G169" s="259" t="s">
        <v>523</v>
      </c>
      <c r="H169" s="171" t="s">
        <v>519</v>
      </c>
      <c r="I169" s="171" t="s">
        <v>520</v>
      </c>
      <c r="J169" s="171" t="s">
        <v>516</v>
      </c>
      <c r="K169" s="171" t="s">
        <v>443</v>
      </c>
      <c r="L169" s="171" t="s">
        <v>420</v>
      </c>
      <c r="M169" s="171" t="s">
        <v>475</v>
      </c>
      <c r="N169" s="171"/>
      <c r="O169" s="171">
        <v>5.0</v>
      </c>
      <c r="P169" s="270" t="s">
        <v>516</v>
      </c>
      <c r="Q169" s="270" t="s">
        <v>516</v>
      </c>
      <c r="R169" s="270" t="s">
        <v>516</v>
      </c>
      <c r="S169" s="270" t="s">
        <v>516</v>
      </c>
      <c r="T169" s="270" t="s">
        <v>516</v>
      </c>
      <c r="U169" s="112">
        <v>2.0</v>
      </c>
      <c r="V169" s="171">
        <v>18.0</v>
      </c>
      <c r="W169" s="171">
        <v>55.0</v>
      </c>
      <c r="X169" s="171">
        <v>75.0</v>
      </c>
      <c r="Y169" s="112"/>
      <c r="Z169" s="112"/>
      <c r="AA169" s="112"/>
      <c r="AB169" s="112"/>
      <c r="AC169" s="112"/>
      <c r="AD169" s="171" t="s">
        <v>1004</v>
      </c>
      <c r="AE169" s="112">
        <v>400.0</v>
      </c>
      <c r="AF169" s="171" t="s">
        <v>1005</v>
      </c>
      <c r="AG169" s="271">
        <v>5.0</v>
      </c>
      <c r="AH169" s="112"/>
      <c r="AI169" s="12"/>
      <c r="AJ169" s="12"/>
    </row>
    <row r="170" ht="14.25" customHeight="1">
      <c r="A170" s="242" t="s">
        <v>877</v>
      </c>
      <c r="B170" s="257" t="s">
        <v>1006</v>
      </c>
      <c r="C170" s="257" t="s">
        <v>1003</v>
      </c>
      <c r="D170" s="257" t="s">
        <v>1006</v>
      </c>
      <c r="E170" s="258">
        <v>42891.0</v>
      </c>
      <c r="F170" s="258">
        <v>43207.0</v>
      </c>
      <c r="G170" s="259" t="s">
        <v>512</v>
      </c>
      <c r="H170" s="171" t="s">
        <v>519</v>
      </c>
      <c r="I170" s="171" t="s">
        <v>520</v>
      </c>
      <c r="J170" s="171" t="s">
        <v>516</v>
      </c>
      <c r="K170" s="171" t="s">
        <v>443</v>
      </c>
      <c r="L170" s="171" t="s">
        <v>420</v>
      </c>
      <c r="M170" s="171" t="s">
        <v>475</v>
      </c>
      <c r="N170" s="171"/>
      <c r="O170" s="171">
        <v>5.0</v>
      </c>
      <c r="P170" s="270" t="s">
        <v>516</v>
      </c>
      <c r="Q170" s="270" t="s">
        <v>516</v>
      </c>
      <c r="R170" s="270" t="s">
        <v>516</v>
      </c>
      <c r="S170" s="270" t="s">
        <v>516</v>
      </c>
      <c r="T170" s="270" t="s">
        <v>516</v>
      </c>
      <c r="U170" s="112">
        <v>2.0</v>
      </c>
      <c r="V170" s="171">
        <v>18.0</v>
      </c>
      <c r="W170" s="171">
        <v>55.0</v>
      </c>
      <c r="X170" s="171">
        <v>70.0</v>
      </c>
      <c r="Y170" s="112"/>
      <c r="Z170" s="112"/>
      <c r="AA170" s="112"/>
      <c r="AB170" s="112"/>
      <c r="AC170" s="112"/>
      <c r="AD170" s="171" t="s">
        <v>1004</v>
      </c>
      <c r="AE170" s="112">
        <v>400.0</v>
      </c>
      <c r="AF170" s="171" t="s">
        <v>1005</v>
      </c>
      <c r="AG170" s="271">
        <v>5.0</v>
      </c>
      <c r="AH170" s="112"/>
      <c r="AI170" s="12"/>
      <c r="AJ170" s="12"/>
    </row>
    <row r="171" ht="14.25" customHeight="1">
      <c r="A171" s="242" t="s">
        <v>877</v>
      </c>
      <c r="B171" s="257" t="s">
        <v>1007</v>
      </c>
      <c r="C171" s="257" t="s">
        <v>1003</v>
      </c>
      <c r="D171" s="257" t="s">
        <v>1007</v>
      </c>
      <c r="E171" s="258">
        <v>43208.0</v>
      </c>
      <c r="F171" s="258">
        <v>43313.0</v>
      </c>
      <c r="G171" s="259" t="s">
        <v>512</v>
      </c>
      <c r="H171" s="171" t="s">
        <v>519</v>
      </c>
      <c r="I171" s="171" t="s">
        <v>520</v>
      </c>
      <c r="J171" s="171" t="s">
        <v>516</v>
      </c>
      <c r="K171" s="171" t="s">
        <v>443</v>
      </c>
      <c r="L171" s="171" t="s">
        <v>420</v>
      </c>
      <c r="M171" s="171" t="s">
        <v>475</v>
      </c>
      <c r="N171" s="171"/>
      <c r="O171" s="171">
        <v>6.0</v>
      </c>
      <c r="P171" s="270" t="s">
        <v>516</v>
      </c>
      <c r="Q171" s="270" t="s">
        <v>516</v>
      </c>
      <c r="R171" s="270" t="s">
        <v>516</v>
      </c>
      <c r="S171" s="270" t="s">
        <v>516</v>
      </c>
      <c r="T171" s="270" t="s">
        <v>516</v>
      </c>
      <c r="U171" s="112">
        <v>2.0</v>
      </c>
      <c r="V171" s="112">
        <v>18.0</v>
      </c>
      <c r="W171" s="112">
        <v>55.0</v>
      </c>
      <c r="X171" s="112">
        <v>70.0</v>
      </c>
      <c r="Y171" s="112">
        <v>15.0</v>
      </c>
      <c r="Z171" s="112"/>
      <c r="AA171" s="171">
        <v>7.0</v>
      </c>
      <c r="AB171" s="171">
        <v>10.0</v>
      </c>
      <c r="AC171" s="112"/>
      <c r="AD171" s="171" t="s">
        <v>1004</v>
      </c>
      <c r="AE171" s="112">
        <v>400.0</v>
      </c>
      <c r="AF171" s="171" t="s">
        <v>1005</v>
      </c>
      <c r="AG171" s="271">
        <v>5.0</v>
      </c>
      <c r="AH171" s="112"/>
      <c r="AI171" s="12"/>
      <c r="AJ171" s="12"/>
    </row>
    <row r="172" ht="14.25" customHeight="1">
      <c r="A172" s="242" t="s">
        <v>877</v>
      </c>
      <c r="B172" s="257" t="s">
        <v>1008</v>
      </c>
      <c r="C172" s="257" t="s">
        <v>1009</v>
      </c>
      <c r="D172" s="257" t="s">
        <v>1008</v>
      </c>
      <c r="E172" s="258">
        <v>41618.0</v>
      </c>
      <c r="F172" s="258">
        <v>42834.0</v>
      </c>
      <c r="G172" s="259" t="s">
        <v>512</v>
      </c>
      <c r="H172" s="171" t="s">
        <v>519</v>
      </c>
      <c r="I172" s="171" t="s">
        <v>520</v>
      </c>
      <c r="J172" s="171" t="s">
        <v>516</v>
      </c>
      <c r="K172" s="171" t="s">
        <v>415</v>
      </c>
      <c r="L172" s="171" t="s">
        <v>420</v>
      </c>
      <c r="M172" s="171" t="s">
        <v>475</v>
      </c>
      <c r="N172" s="171"/>
      <c r="O172" s="171">
        <v>6.0</v>
      </c>
      <c r="P172" s="270" t="s">
        <v>516</v>
      </c>
      <c r="Q172" s="270" t="s">
        <v>516</v>
      </c>
      <c r="R172" s="270" t="s">
        <v>548</v>
      </c>
      <c r="S172" s="270" t="s">
        <v>516</v>
      </c>
      <c r="T172" s="270" t="s">
        <v>516</v>
      </c>
      <c r="U172" s="112">
        <v>2.0</v>
      </c>
      <c r="V172" s="112">
        <v>18.0</v>
      </c>
      <c r="W172" s="112">
        <v>60.0</v>
      </c>
      <c r="X172" s="112">
        <v>70.0</v>
      </c>
      <c r="Y172" s="112"/>
      <c r="Z172" s="112"/>
      <c r="AA172" s="112"/>
      <c r="AB172" s="112"/>
      <c r="AC172" s="112"/>
      <c r="AD172" s="171" t="s">
        <v>1010</v>
      </c>
      <c r="AE172" s="112">
        <v>500.0</v>
      </c>
      <c r="AF172" s="171" t="s">
        <v>1011</v>
      </c>
      <c r="AG172" s="271">
        <v>7.0</v>
      </c>
      <c r="AH172" s="112"/>
      <c r="AI172" s="12"/>
      <c r="AJ172" s="12"/>
    </row>
    <row r="173" ht="14.25" customHeight="1">
      <c r="A173" s="242" t="s">
        <v>877</v>
      </c>
      <c r="B173" s="257" t="s">
        <v>1012</v>
      </c>
      <c r="C173" s="257" t="s">
        <v>1009</v>
      </c>
      <c r="D173" s="257" t="s">
        <v>1012</v>
      </c>
      <c r="E173" s="258">
        <v>42835.0</v>
      </c>
      <c r="F173" s="258">
        <v>43207.0</v>
      </c>
      <c r="G173" s="259" t="s">
        <v>512</v>
      </c>
      <c r="H173" s="171" t="s">
        <v>519</v>
      </c>
      <c r="I173" s="171" t="s">
        <v>520</v>
      </c>
      <c r="J173" s="171" t="s">
        <v>516</v>
      </c>
      <c r="K173" s="171" t="s">
        <v>415</v>
      </c>
      <c r="L173" s="171" t="s">
        <v>420</v>
      </c>
      <c r="M173" s="171" t="s">
        <v>475</v>
      </c>
      <c r="N173" s="171"/>
      <c r="O173" s="171">
        <v>6.0</v>
      </c>
      <c r="P173" s="270" t="s">
        <v>516</v>
      </c>
      <c r="Q173" s="270" t="s">
        <v>516</v>
      </c>
      <c r="R173" s="270" t="s">
        <v>548</v>
      </c>
      <c r="S173" s="270" t="s">
        <v>516</v>
      </c>
      <c r="T173" s="270" t="s">
        <v>516</v>
      </c>
      <c r="U173" s="112">
        <v>2.0</v>
      </c>
      <c r="V173" s="112">
        <v>18.0</v>
      </c>
      <c r="W173" s="112">
        <v>60.0</v>
      </c>
      <c r="X173" s="112">
        <v>70.0</v>
      </c>
      <c r="Y173" s="112"/>
      <c r="Z173" s="112"/>
      <c r="AA173" s="112"/>
      <c r="AB173" s="112"/>
      <c r="AC173" s="112"/>
      <c r="AD173" s="171" t="s">
        <v>1010</v>
      </c>
      <c r="AE173" s="112">
        <v>500.0</v>
      </c>
      <c r="AF173" s="171" t="s">
        <v>1011</v>
      </c>
      <c r="AG173" s="271">
        <v>7.0</v>
      </c>
      <c r="AH173" s="112"/>
      <c r="AI173" s="12"/>
      <c r="AJ173" s="12"/>
    </row>
    <row r="174" ht="14.25" customHeight="1">
      <c r="A174" s="242" t="s">
        <v>877</v>
      </c>
      <c r="B174" s="257" t="s">
        <v>1013</v>
      </c>
      <c r="C174" s="257" t="s">
        <v>1009</v>
      </c>
      <c r="D174" s="257" t="s">
        <v>1013</v>
      </c>
      <c r="E174" s="258">
        <v>43208.0</v>
      </c>
      <c r="F174" s="258">
        <v>43799.0</v>
      </c>
      <c r="G174" s="259" t="s">
        <v>512</v>
      </c>
      <c r="H174" s="171" t="s">
        <v>519</v>
      </c>
      <c r="I174" s="171" t="s">
        <v>520</v>
      </c>
      <c r="J174" s="171" t="s">
        <v>516</v>
      </c>
      <c r="K174" s="171" t="s">
        <v>415</v>
      </c>
      <c r="L174" s="171" t="s">
        <v>420</v>
      </c>
      <c r="M174" s="171" t="s">
        <v>475</v>
      </c>
      <c r="N174" s="171"/>
      <c r="O174" s="171">
        <v>6.0</v>
      </c>
      <c r="P174" s="270" t="s">
        <v>516</v>
      </c>
      <c r="Q174" s="270" t="s">
        <v>516</v>
      </c>
      <c r="R174" s="270" t="s">
        <v>548</v>
      </c>
      <c r="S174" s="270" t="s">
        <v>516</v>
      </c>
      <c r="T174" s="270" t="s">
        <v>516</v>
      </c>
      <c r="U174" s="112">
        <v>2.0</v>
      </c>
      <c r="V174" s="112">
        <v>18.0</v>
      </c>
      <c r="W174" s="112">
        <v>60.0</v>
      </c>
      <c r="X174" s="112">
        <v>70.0</v>
      </c>
      <c r="Y174" s="112"/>
      <c r="Z174" s="112"/>
      <c r="AA174" s="112"/>
      <c r="AB174" s="112"/>
      <c r="AC174" s="112"/>
      <c r="AD174" s="171" t="s">
        <v>1010</v>
      </c>
      <c r="AE174" s="112">
        <v>500.0</v>
      </c>
      <c r="AF174" s="171" t="s">
        <v>1011</v>
      </c>
      <c r="AG174" s="271">
        <v>7.0</v>
      </c>
      <c r="AH174" s="112"/>
      <c r="AI174" s="12"/>
      <c r="AJ174" s="12"/>
    </row>
    <row r="175" ht="14.25" customHeight="1">
      <c r="A175" s="242" t="s">
        <v>877</v>
      </c>
      <c r="B175" s="257" t="s">
        <v>1014</v>
      </c>
      <c r="C175" s="257" t="s">
        <v>1009</v>
      </c>
      <c r="D175" s="257" t="s">
        <v>1014</v>
      </c>
      <c r="E175" s="258">
        <v>43800.0</v>
      </c>
      <c r="F175" s="276"/>
      <c r="G175" s="276"/>
      <c r="H175" s="171" t="s">
        <v>519</v>
      </c>
      <c r="I175" s="171" t="s">
        <v>520</v>
      </c>
      <c r="J175" s="171" t="s">
        <v>548</v>
      </c>
      <c r="K175" s="171" t="s">
        <v>415</v>
      </c>
      <c r="L175" s="171" t="s">
        <v>420</v>
      </c>
      <c r="M175" s="171" t="s">
        <v>475</v>
      </c>
      <c r="N175" s="171"/>
      <c r="O175" s="171">
        <v>6.0</v>
      </c>
      <c r="P175" s="270" t="s">
        <v>516</v>
      </c>
      <c r="Q175" s="270" t="s">
        <v>516</v>
      </c>
      <c r="R175" s="270" t="s">
        <v>548</v>
      </c>
      <c r="S175" s="270" t="s">
        <v>516</v>
      </c>
      <c r="T175" s="270" t="s">
        <v>516</v>
      </c>
      <c r="U175" s="112">
        <v>3.0</v>
      </c>
      <c r="V175" s="112" t="s">
        <v>930</v>
      </c>
      <c r="W175" s="112">
        <v>60.0</v>
      </c>
      <c r="X175" s="112">
        <v>70.0</v>
      </c>
      <c r="Y175" s="171">
        <v>10.0</v>
      </c>
      <c r="Z175" s="171">
        <v>20.0</v>
      </c>
      <c r="AA175" s="171">
        <v>1.0</v>
      </c>
      <c r="AB175" s="171">
        <v>20.0</v>
      </c>
      <c r="AC175" s="112"/>
      <c r="AD175" s="171" t="s">
        <v>1010</v>
      </c>
      <c r="AE175" s="112">
        <v>500.0</v>
      </c>
      <c r="AF175" s="171" t="s">
        <v>1011</v>
      </c>
      <c r="AG175" s="271">
        <v>7.0</v>
      </c>
      <c r="AH175" s="112"/>
      <c r="AI175" s="12"/>
      <c r="AJ175" s="12"/>
    </row>
    <row r="176" ht="14.25" customHeight="1">
      <c r="A176" s="242" t="s">
        <v>877</v>
      </c>
      <c r="B176" s="257" t="s">
        <v>1015</v>
      </c>
      <c r="C176" s="257" t="s">
        <v>1016</v>
      </c>
      <c r="D176" s="257" t="s">
        <v>1015</v>
      </c>
      <c r="E176" s="258">
        <v>41688.0</v>
      </c>
      <c r="F176" s="258">
        <v>42834.0</v>
      </c>
      <c r="G176" s="257" t="s">
        <v>512</v>
      </c>
      <c r="H176" s="171" t="s">
        <v>519</v>
      </c>
      <c r="I176" s="171" t="s">
        <v>520</v>
      </c>
      <c r="J176" s="171" t="s">
        <v>516</v>
      </c>
      <c r="K176" s="265" t="s">
        <v>452</v>
      </c>
      <c r="L176" s="171" t="s">
        <v>420</v>
      </c>
      <c r="M176" s="171" t="s">
        <v>475</v>
      </c>
      <c r="N176" s="171"/>
      <c r="O176" s="171">
        <v>6.0</v>
      </c>
      <c r="P176" s="270" t="s">
        <v>516</v>
      </c>
      <c r="Q176" s="270" t="s">
        <v>516</v>
      </c>
      <c r="R176" s="270" t="s">
        <v>548</v>
      </c>
      <c r="S176" s="270" t="s">
        <v>516</v>
      </c>
      <c r="T176" s="270" t="s">
        <v>516</v>
      </c>
      <c r="U176" s="112">
        <v>2.0</v>
      </c>
      <c r="V176" s="112">
        <v>21.0</v>
      </c>
      <c r="W176" s="112">
        <v>50.0</v>
      </c>
      <c r="X176" s="112">
        <v>65.0</v>
      </c>
      <c r="Y176" s="112"/>
      <c r="Z176" s="112"/>
      <c r="AA176" s="112"/>
      <c r="AB176" s="112"/>
      <c r="AC176" s="112"/>
      <c r="AD176" s="171" t="s">
        <v>1017</v>
      </c>
      <c r="AE176" s="112">
        <v>500.0</v>
      </c>
      <c r="AF176" s="171" t="s">
        <v>1018</v>
      </c>
      <c r="AG176" s="271">
        <v>8.0</v>
      </c>
      <c r="AH176" s="112"/>
      <c r="AI176" s="12"/>
      <c r="AJ176" s="12"/>
    </row>
    <row r="177" ht="14.25" customHeight="1">
      <c r="A177" s="242" t="s">
        <v>877</v>
      </c>
      <c r="B177" s="257" t="s">
        <v>1019</v>
      </c>
      <c r="C177" s="257" t="s">
        <v>1016</v>
      </c>
      <c r="D177" s="257" t="s">
        <v>1019</v>
      </c>
      <c r="E177" s="258">
        <v>42835.0</v>
      </c>
      <c r="F177" s="258">
        <v>43207.0</v>
      </c>
      <c r="G177" s="259" t="s">
        <v>512</v>
      </c>
      <c r="H177" s="171" t="s">
        <v>519</v>
      </c>
      <c r="I177" s="171" t="s">
        <v>520</v>
      </c>
      <c r="J177" s="171" t="s">
        <v>516</v>
      </c>
      <c r="K177" s="265" t="s">
        <v>452</v>
      </c>
      <c r="L177" s="171" t="s">
        <v>420</v>
      </c>
      <c r="M177" s="171" t="s">
        <v>475</v>
      </c>
      <c r="N177" s="171"/>
      <c r="O177" s="171">
        <v>6.0</v>
      </c>
      <c r="P177" s="270" t="s">
        <v>516</v>
      </c>
      <c r="Q177" s="270" t="s">
        <v>516</v>
      </c>
      <c r="R177" s="270" t="s">
        <v>548</v>
      </c>
      <c r="S177" s="270" t="s">
        <v>516</v>
      </c>
      <c r="T177" s="270" t="s">
        <v>516</v>
      </c>
      <c r="U177" s="112">
        <v>2.0</v>
      </c>
      <c r="V177" s="112">
        <v>21.0</v>
      </c>
      <c r="W177" s="112">
        <v>50.0</v>
      </c>
      <c r="X177" s="112">
        <v>65.0</v>
      </c>
      <c r="Y177" s="112"/>
      <c r="Z177" s="112"/>
      <c r="AA177" s="112"/>
      <c r="AB177" s="112"/>
      <c r="AC177" s="112"/>
      <c r="AD177" s="171" t="s">
        <v>1017</v>
      </c>
      <c r="AE177" s="112">
        <v>500.0</v>
      </c>
      <c r="AF177" s="171" t="s">
        <v>1018</v>
      </c>
      <c r="AG177" s="271">
        <v>8.0</v>
      </c>
      <c r="AH177" s="112"/>
      <c r="AI177" s="12"/>
      <c r="AJ177" s="12"/>
    </row>
    <row r="178" ht="14.25" customHeight="1">
      <c r="A178" s="242" t="s">
        <v>877</v>
      </c>
      <c r="B178" s="257" t="s">
        <v>1020</v>
      </c>
      <c r="C178" s="257" t="s">
        <v>1016</v>
      </c>
      <c r="D178" s="257" t="s">
        <v>1020</v>
      </c>
      <c r="E178" s="258">
        <v>43208.0</v>
      </c>
      <c r="F178" s="258">
        <v>43799.0</v>
      </c>
      <c r="G178" s="259" t="s">
        <v>523</v>
      </c>
      <c r="H178" s="171" t="s">
        <v>519</v>
      </c>
      <c r="I178" s="171" t="s">
        <v>520</v>
      </c>
      <c r="J178" s="171" t="s">
        <v>516</v>
      </c>
      <c r="K178" s="265" t="s">
        <v>452</v>
      </c>
      <c r="L178" s="171" t="s">
        <v>420</v>
      </c>
      <c r="M178" s="171" t="s">
        <v>475</v>
      </c>
      <c r="N178" s="171"/>
      <c r="O178" s="171">
        <v>7.0</v>
      </c>
      <c r="P178" s="270" t="s">
        <v>516</v>
      </c>
      <c r="Q178" s="270" t="s">
        <v>516</v>
      </c>
      <c r="R178" s="270" t="s">
        <v>548</v>
      </c>
      <c r="S178" s="270" t="s">
        <v>516</v>
      </c>
      <c r="T178" s="270" t="s">
        <v>516</v>
      </c>
      <c r="U178" s="112">
        <v>2.0</v>
      </c>
      <c r="V178" s="112">
        <v>21.0</v>
      </c>
      <c r="W178" s="112">
        <v>50.0</v>
      </c>
      <c r="X178" s="112">
        <v>65.0</v>
      </c>
      <c r="Y178" s="112"/>
      <c r="Z178" s="112"/>
      <c r="AA178" s="112"/>
      <c r="AB178" s="112"/>
      <c r="AC178" s="112"/>
      <c r="AD178" s="171" t="s">
        <v>1017</v>
      </c>
      <c r="AE178" s="112">
        <v>500.0</v>
      </c>
      <c r="AF178" s="171" t="s">
        <v>1018</v>
      </c>
      <c r="AG178" s="271">
        <v>8.0</v>
      </c>
      <c r="AH178" s="112"/>
      <c r="AI178" s="12"/>
      <c r="AJ178" s="12"/>
    </row>
    <row r="179" ht="14.25" customHeight="1">
      <c r="A179" s="242" t="s">
        <v>877</v>
      </c>
      <c r="B179" s="257" t="s">
        <v>1021</v>
      </c>
      <c r="C179" s="257" t="s">
        <v>1016</v>
      </c>
      <c r="D179" s="257" t="s">
        <v>1021</v>
      </c>
      <c r="E179" s="258">
        <v>43800.0</v>
      </c>
      <c r="F179" s="276"/>
      <c r="G179" s="259"/>
      <c r="H179" s="171" t="s">
        <v>519</v>
      </c>
      <c r="I179" s="171" t="s">
        <v>520</v>
      </c>
      <c r="J179" s="171" t="s">
        <v>548</v>
      </c>
      <c r="K179" s="265" t="s">
        <v>452</v>
      </c>
      <c r="L179" s="171" t="s">
        <v>420</v>
      </c>
      <c r="M179" s="171" t="s">
        <v>475</v>
      </c>
      <c r="N179" s="171"/>
      <c r="O179" s="171">
        <v>6.0</v>
      </c>
      <c r="P179" s="270" t="s">
        <v>516</v>
      </c>
      <c r="Q179" s="270" t="s">
        <v>516</v>
      </c>
      <c r="R179" s="270" t="s">
        <v>548</v>
      </c>
      <c r="S179" s="270" t="s">
        <v>516</v>
      </c>
      <c r="T179" s="270" t="s">
        <v>516</v>
      </c>
      <c r="U179" s="112">
        <v>3.0</v>
      </c>
      <c r="V179" s="112">
        <v>21.0</v>
      </c>
      <c r="W179" s="112">
        <v>50.0</v>
      </c>
      <c r="X179" s="112">
        <v>65.0</v>
      </c>
      <c r="Y179" s="112">
        <v>10.0</v>
      </c>
      <c r="Z179" s="112">
        <v>25.0</v>
      </c>
      <c r="AA179" s="112">
        <v>5.0</v>
      </c>
      <c r="AB179" s="112" t="s">
        <v>917</v>
      </c>
      <c r="AC179" s="112"/>
      <c r="AD179" s="171" t="s">
        <v>1017</v>
      </c>
      <c r="AE179" s="112">
        <v>500.0</v>
      </c>
      <c r="AF179" s="171" t="s">
        <v>1018</v>
      </c>
      <c r="AG179" s="271">
        <v>8.0</v>
      </c>
      <c r="AH179" s="112"/>
      <c r="AI179" s="12"/>
      <c r="AJ179" s="12"/>
    </row>
    <row r="180" ht="14.25" customHeight="1">
      <c r="A180" s="242" t="s">
        <v>877</v>
      </c>
      <c r="B180" s="257" t="s">
        <v>1022</v>
      </c>
      <c r="C180" s="257" t="s">
        <v>1023</v>
      </c>
      <c r="D180" s="257" t="s">
        <v>1022</v>
      </c>
      <c r="E180" s="258">
        <v>41996.0</v>
      </c>
      <c r="F180" s="276"/>
      <c r="G180" s="259"/>
      <c r="H180" s="171" t="s">
        <v>513</v>
      </c>
      <c r="I180" s="171" t="s">
        <v>520</v>
      </c>
      <c r="J180" s="171"/>
      <c r="K180" s="171"/>
      <c r="L180" s="171"/>
      <c r="M180" s="171"/>
      <c r="N180" s="171"/>
      <c r="O180" s="171"/>
      <c r="P180" s="171"/>
      <c r="Q180" s="171"/>
      <c r="R180" s="112"/>
      <c r="S180" s="112"/>
      <c r="T180" s="112"/>
      <c r="U180" s="112"/>
      <c r="V180" s="112"/>
      <c r="W180" s="112"/>
      <c r="X180" s="112"/>
      <c r="Y180" s="112"/>
      <c r="Z180" s="112"/>
      <c r="AA180" s="112"/>
      <c r="AB180" s="112"/>
      <c r="AC180" s="112"/>
      <c r="AD180" s="112"/>
      <c r="AE180" s="112"/>
      <c r="AF180" s="112"/>
      <c r="AG180" s="271"/>
      <c r="AH180" s="112"/>
      <c r="AI180" s="12"/>
      <c r="AJ180" s="12"/>
    </row>
    <row r="181" ht="14.25" customHeight="1">
      <c r="A181" s="242" t="s">
        <v>877</v>
      </c>
      <c r="B181" s="267" t="s">
        <v>1024</v>
      </c>
      <c r="C181" s="267" t="s">
        <v>1025</v>
      </c>
      <c r="D181" s="267" t="s">
        <v>1024</v>
      </c>
      <c r="E181" s="268">
        <v>42206.0</v>
      </c>
      <c r="F181" s="268">
        <v>42834.0</v>
      </c>
      <c r="G181" s="269" t="s">
        <v>512</v>
      </c>
      <c r="H181" s="270" t="s">
        <v>519</v>
      </c>
      <c r="I181" s="270" t="s">
        <v>520</v>
      </c>
      <c r="J181" s="270" t="s">
        <v>516</v>
      </c>
      <c r="K181" s="270" t="s">
        <v>415</v>
      </c>
      <c r="L181" s="270" t="s">
        <v>420</v>
      </c>
      <c r="M181" s="270" t="s">
        <v>475</v>
      </c>
      <c r="N181" s="270"/>
      <c r="O181" s="270">
        <v>5.0</v>
      </c>
      <c r="P181" s="270" t="s">
        <v>516</v>
      </c>
      <c r="Q181" s="270" t="s">
        <v>516</v>
      </c>
      <c r="R181" s="270" t="s">
        <v>548</v>
      </c>
      <c r="S181" s="270" t="s">
        <v>516</v>
      </c>
      <c r="T181" s="270" t="s">
        <v>516</v>
      </c>
      <c r="U181" s="271">
        <v>2.0</v>
      </c>
      <c r="V181" s="271">
        <v>18.0</v>
      </c>
      <c r="W181" s="271">
        <v>60.0</v>
      </c>
      <c r="X181" s="271">
        <v>70.0</v>
      </c>
      <c r="Y181" s="271"/>
      <c r="Z181" s="271"/>
      <c r="AA181" s="271"/>
      <c r="AB181" s="271"/>
      <c r="AC181" s="271"/>
      <c r="AD181" s="270" t="s">
        <v>1026</v>
      </c>
      <c r="AE181" s="271"/>
      <c r="AF181" s="270" t="s">
        <v>1027</v>
      </c>
      <c r="AG181" s="271">
        <v>9.0</v>
      </c>
      <c r="AH181" s="271"/>
      <c r="AI181" s="273"/>
      <c r="AJ181" s="39"/>
    </row>
    <row r="182" ht="14.25" customHeight="1">
      <c r="A182" s="242" t="s">
        <v>877</v>
      </c>
      <c r="B182" s="257" t="s">
        <v>1028</v>
      </c>
      <c r="C182" s="257" t="s">
        <v>1025</v>
      </c>
      <c r="D182" s="257" t="s">
        <v>1028</v>
      </c>
      <c r="E182" s="258">
        <v>42835.0</v>
      </c>
      <c r="F182" s="258">
        <v>43207.0</v>
      </c>
      <c r="G182" s="259" t="s">
        <v>512</v>
      </c>
      <c r="H182" s="171" t="s">
        <v>519</v>
      </c>
      <c r="I182" s="171" t="s">
        <v>520</v>
      </c>
      <c r="J182" s="270" t="s">
        <v>516</v>
      </c>
      <c r="K182" s="270" t="s">
        <v>415</v>
      </c>
      <c r="L182" s="270" t="s">
        <v>420</v>
      </c>
      <c r="M182" s="270" t="s">
        <v>475</v>
      </c>
      <c r="N182" s="270"/>
      <c r="O182" s="270">
        <v>5.0</v>
      </c>
      <c r="P182" s="270" t="s">
        <v>516</v>
      </c>
      <c r="Q182" s="270" t="s">
        <v>516</v>
      </c>
      <c r="R182" s="270" t="s">
        <v>548</v>
      </c>
      <c r="S182" s="270" t="s">
        <v>516</v>
      </c>
      <c r="T182" s="270" t="s">
        <v>516</v>
      </c>
      <c r="U182" s="271">
        <v>2.0</v>
      </c>
      <c r="V182" s="271">
        <v>18.0</v>
      </c>
      <c r="W182" s="271">
        <v>60.0</v>
      </c>
      <c r="X182" s="271">
        <v>70.0</v>
      </c>
      <c r="Y182" s="271"/>
      <c r="Z182" s="271"/>
      <c r="AA182" s="271"/>
      <c r="AB182" s="271"/>
      <c r="AC182" s="271"/>
      <c r="AD182" s="270" t="s">
        <v>1026</v>
      </c>
      <c r="AE182" s="271"/>
      <c r="AF182" s="270" t="s">
        <v>1027</v>
      </c>
      <c r="AG182" s="271">
        <v>9.0</v>
      </c>
      <c r="AH182" s="271"/>
      <c r="AI182" s="12"/>
      <c r="AJ182" s="12"/>
    </row>
    <row r="183" ht="14.25" customHeight="1">
      <c r="A183" s="242" t="s">
        <v>877</v>
      </c>
      <c r="B183" s="257" t="s">
        <v>1029</v>
      </c>
      <c r="C183" s="257" t="s">
        <v>1025</v>
      </c>
      <c r="D183" s="257" t="s">
        <v>1029</v>
      </c>
      <c r="E183" s="258">
        <v>43208.0</v>
      </c>
      <c r="F183" s="258">
        <v>43799.0</v>
      </c>
      <c r="G183" s="259" t="s">
        <v>523</v>
      </c>
      <c r="H183" s="171" t="s">
        <v>519</v>
      </c>
      <c r="I183" s="171" t="s">
        <v>520</v>
      </c>
      <c r="J183" s="270" t="s">
        <v>516</v>
      </c>
      <c r="K183" s="270" t="s">
        <v>415</v>
      </c>
      <c r="L183" s="270" t="s">
        <v>420</v>
      </c>
      <c r="M183" s="270" t="s">
        <v>475</v>
      </c>
      <c r="N183" s="270"/>
      <c r="O183" s="270">
        <v>5.0</v>
      </c>
      <c r="P183" s="270" t="s">
        <v>516</v>
      </c>
      <c r="Q183" s="270" t="s">
        <v>516</v>
      </c>
      <c r="R183" s="270" t="s">
        <v>548</v>
      </c>
      <c r="S183" s="270" t="s">
        <v>516</v>
      </c>
      <c r="T183" s="270" t="s">
        <v>516</v>
      </c>
      <c r="U183" s="271">
        <v>2.0</v>
      </c>
      <c r="V183" s="271">
        <v>18.0</v>
      </c>
      <c r="W183" s="271">
        <v>60.0</v>
      </c>
      <c r="X183" s="271">
        <v>70.0</v>
      </c>
      <c r="Y183" s="271"/>
      <c r="Z183" s="271"/>
      <c r="AA183" s="271"/>
      <c r="AB183" s="271"/>
      <c r="AC183" s="271"/>
      <c r="AD183" s="270" t="s">
        <v>1026</v>
      </c>
      <c r="AE183" s="271"/>
      <c r="AF183" s="270" t="s">
        <v>1027</v>
      </c>
      <c r="AG183" s="271">
        <v>9.0</v>
      </c>
      <c r="AH183" s="271"/>
      <c r="AI183" s="12"/>
      <c r="AJ183" s="12"/>
    </row>
    <row r="184" ht="14.25" customHeight="1">
      <c r="A184" s="242" t="s">
        <v>877</v>
      </c>
      <c r="B184" s="257" t="s">
        <v>1030</v>
      </c>
      <c r="C184" s="257" t="s">
        <v>1025</v>
      </c>
      <c r="D184" s="257" t="s">
        <v>1030</v>
      </c>
      <c r="E184" s="258">
        <v>43800.0</v>
      </c>
      <c r="F184" s="276"/>
      <c r="G184" s="259"/>
      <c r="H184" s="171" t="s">
        <v>519</v>
      </c>
      <c r="I184" s="171" t="s">
        <v>520</v>
      </c>
      <c r="J184" s="171" t="s">
        <v>548</v>
      </c>
      <c r="K184" s="270" t="s">
        <v>415</v>
      </c>
      <c r="L184" s="270" t="s">
        <v>420</v>
      </c>
      <c r="M184" s="270" t="s">
        <v>475</v>
      </c>
      <c r="N184" s="270"/>
      <c r="O184" s="270">
        <v>6.0</v>
      </c>
      <c r="P184" s="270" t="s">
        <v>516</v>
      </c>
      <c r="Q184" s="270" t="s">
        <v>516</v>
      </c>
      <c r="R184" s="270" t="s">
        <v>548</v>
      </c>
      <c r="S184" s="270" t="s">
        <v>516</v>
      </c>
      <c r="T184" s="270" t="s">
        <v>516</v>
      </c>
      <c r="U184" s="271">
        <v>3.0</v>
      </c>
      <c r="V184" s="112" t="s">
        <v>930</v>
      </c>
      <c r="W184" s="271">
        <v>60.0</v>
      </c>
      <c r="X184" s="271">
        <v>70.0</v>
      </c>
      <c r="Y184" s="171">
        <v>10.0</v>
      </c>
      <c r="Z184" s="171">
        <v>20.0</v>
      </c>
      <c r="AA184" s="171">
        <v>1.0</v>
      </c>
      <c r="AB184" s="171">
        <v>20.0</v>
      </c>
      <c r="AC184" s="112"/>
      <c r="AD184" s="270" t="s">
        <v>1026</v>
      </c>
      <c r="AE184" s="271"/>
      <c r="AF184" s="270" t="s">
        <v>1027</v>
      </c>
      <c r="AG184" s="271">
        <v>9.0</v>
      </c>
      <c r="AH184" s="112"/>
      <c r="AI184" s="12"/>
      <c r="AJ184" s="12"/>
    </row>
    <row r="185" ht="14.25" customHeight="1">
      <c r="A185" s="242" t="s">
        <v>877</v>
      </c>
      <c r="B185" s="257" t="s">
        <v>1031</v>
      </c>
      <c r="C185" s="277" t="s">
        <v>1032</v>
      </c>
      <c r="D185" s="257" t="s">
        <v>1031</v>
      </c>
      <c r="E185" s="258">
        <v>43091.0</v>
      </c>
      <c r="F185" s="258">
        <v>43423.0</v>
      </c>
      <c r="G185" s="259" t="s">
        <v>512</v>
      </c>
      <c r="H185" s="171" t="s">
        <v>519</v>
      </c>
      <c r="I185" s="171" t="s">
        <v>520</v>
      </c>
      <c r="J185" s="171" t="s">
        <v>516</v>
      </c>
      <c r="K185" s="185"/>
      <c r="L185" s="270" t="s">
        <v>420</v>
      </c>
      <c r="M185" s="270" t="s">
        <v>475</v>
      </c>
      <c r="N185" s="171"/>
      <c r="O185" s="171">
        <v>6.0</v>
      </c>
      <c r="P185" s="270" t="s">
        <v>516</v>
      </c>
      <c r="Q185" s="270" t="s">
        <v>516</v>
      </c>
      <c r="R185" s="270" t="s">
        <v>516</v>
      </c>
      <c r="S185" s="270" t="s">
        <v>516</v>
      </c>
      <c r="T185" s="270" t="s">
        <v>516</v>
      </c>
      <c r="U185" s="271">
        <v>2.0</v>
      </c>
      <c r="V185" s="271">
        <v>18.0</v>
      </c>
      <c r="W185" s="271">
        <v>60.0</v>
      </c>
      <c r="X185" s="271">
        <v>70.0</v>
      </c>
      <c r="Y185" s="112"/>
      <c r="Z185" s="112"/>
      <c r="AA185" s="112"/>
      <c r="AB185" s="112"/>
      <c r="AC185" s="112"/>
      <c r="AD185" s="270" t="s">
        <v>423</v>
      </c>
      <c r="AE185" s="112"/>
      <c r="AF185" s="270" t="s">
        <v>423</v>
      </c>
      <c r="AG185" s="271">
        <v>5.0</v>
      </c>
      <c r="AH185" s="112"/>
      <c r="AI185" s="12"/>
      <c r="AJ185" s="12"/>
    </row>
    <row r="186" ht="14.25" customHeight="1">
      <c r="A186" s="242" t="s">
        <v>877</v>
      </c>
      <c r="B186" s="257" t="s">
        <v>1033</v>
      </c>
      <c r="C186" s="277" t="s">
        <v>1032</v>
      </c>
      <c r="D186" s="257" t="s">
        <v>1033</v>
      </c>
      <c r="E186" s="258">
        <v>43424.0</v>
      </c>
      <c r="F186" s="258">
        <v>43799.0</v>
      </c>
      <c r="G186" s="259" t="s">
        <v>523</v>
      </c>
      <c r="H186" s="171" t="s">
        <v>519</v>
      </c>
      <c r="I186" s="171" t="s">
        <v>520</v>
      </c>
      <c r="J186" s="171" t="s">
        <v>516</v>
      </c>
      <c r="K186" s="185"/>
      <c r="L186" s="270" t="s">
        <v>420</v>
      </c>
      <c r="M186" s="270" t="s">
        <v>475</v>
      </c>
      <c r="N186" s="171"/>
      <c r="O186" s="171">
        <v>6.0</v>
      </c>
      <c r="P186" s="270" t="s">
        <v>516</v>
      </c>
      <c r="Q186" s="270" t="s">
        <v>516</v>
      </c>
      <c r="R186" s="270" t="s">
        <v>516</v>
      </c>
      <c r="S186" s="270" t="s">
        <v>516</v>
      </c>
      <c r="T186" s="270" t="s">
        <v>516</v>
      </c>
      <c r="U186" s="271">
        <v>2.0</v>
      </c>
      <c r="V186" s="271">
        <v>18.0</v>
      </c>
      <c r="W186" s="271">
        <v>60.0</v>
      </c>
      <c r="X186" s="271">
        <v>85.0</v>
      </c>
      <c r="Y186" s="112"/>
      <c r="Z186" s="112"/>
      <c r="AA186" s="112"/>
      <c r="AB186" s="112"/>
      <c r="AC186" s="112"/>
      <c r="AD186" s="270" t="s">
        <v>423</v>
      </c>
      <c r="AE186" s="112"/>
      <c r="AF186" s="270" t="s">
        <v>423</v>
      </c>
      <c r="AG186" s="271">
        <v>5.0</v>
      </c>
      <c r="AH186" s="112"/>
      <c r="AI186" s="12"/>
      <c r="AJ186" s="12"/>
    </row>
    <row r="187" ht="14.25" customHeight="1">
      <c r="A187" s="242" t="s">
        <v>877</v>
      </c>
      <c r="B187" s="257" t="s">
        <v>1034</v>
      </c>
      <c r="C187" s="277" t="s">
        <v>1032</v>
      </c>
      <c r="D187" s="257" t="s">
        <v>1034</v>
      </c>
      <c r="E187" s="258">
        <v>43800.0</v>
      </c>
      <c r="F187" s="276"/>
      <c r="G187" s="259"/>
      <c r="H187" s="171" t="s">
        <v>519</v>
      </c>
      <c r="I187" s="171" t="s">
        <v>520</v>
      </c>
      <c r="J187" s="171" t="s">
        <v>516</v>
      </c>
      <c r="K187" s="185"/>
      <c r="L187" s="270" t="s">
        <v>420</v>
      </c>
      <c r="M187" s="270" t="s">
        <v>475</v>
      </c>
      <c r="N187" s="171"/>
      <c r="O187" s="171">
        <v>5.0</v>
      </c>
      <c r="P187" s="270" t="s">
        <v>516</v>
      </c>
      <c r="Q187" s="270" t="s">
        <v>516</v>
      </c>
      <c r="R187" s="270" t="s">
        <v>516</v>
      </c>
      <c r="S187" s="270" t="s">
        <v>516</v>
      </c>
      <c r="T187" s="270" t="s">
        <v>516</v>
      </c>
      <c r="U187" s="271">
        <v>3.0</v>
      </c>
      <c r="V187" s="271">
        <v>18.0</v>
      </c>
      <c r="W187" s="271">
        <v>54.0</v>
      </c>
      <c r="X187" s="271">
        <v>64.0</v>
      </c>
      <c r="Y187" s="271">
        <v>5.0</v>
      </c>
      <c r="Z187" s="271">
        <v>30.0</v>
      </c>
      <c r="AA187" s="271">
        <v>5.0</v>
      </c>
      <c r="AB187" s="271">
        <v>30.0</v>
      </c>
      <c r="AC187" s="112"/>
      <c r="AD187" s="270" t="s">
        <v>423</v>
      </c>
      <c r="AE187" s="112"/>
      <c r="AF187" s="270" t="s">
        <v>423</v>
      </c>
      <c r="AG187" s="271">
        <v>5.0</v>
      </c>
      <c r="AH187" s="112"/>
      <c r="AI187" s="12"/>
      <c r="AJ187" s="12"/>
    </row>
    <row r="188" ht="14.25" customHeight="1">
      <c r="A188" s="242" t="s">
        <v>877</v>
      </c>
      <c r="B188" s="257" t="s">
        <v>1035</v>
      </c>
      <c r="C188" s="277" t="s">
        <v>1036</v>
      </c>
      <c r="D188" s="257" t="s">
        <v>1035</v>
      </c>
      <c r="E188" s="258">
        <v>43969.0</v>
      </c>
      <c r="F188" s="276"/>
      <c r="G188" s="259"/>
      <c r="H188" s="171" t="s">
        <v>519</v>
      </c>
      <c r="I188" s="171" t="s">
        <v>520</v>
      </c>
      <c r="J188" s="171" t="s">
        <v>548</v>
      </c>
      <c r="K188" s="171" t="s">
        <v>415</v>
      </c>
      <c r="L188" s="270" t="s">
        <v>420</v>
      </c>
      <c r="M188" s="171" t="s">
        <v>475</v>
      </c>
      <c r="N188" s="171"/>
      <c r="O188" s="171"/>
      <c r="P188" s="270" t="s">
        <v>516</v>
      </c>
      <c r="Q188" s="270" t="s">
        <v>516</v>
      </c>
      <c r="R188" s="270" t="s">
        <v>548</v>
      </c>
      <c r="S188" s="270" t="s">
        <v>516</v>
      </c>
      <c r="T188" s="270" t="s">
        <v>516</v>
      </c>
      <c r="U188" s="271">
        <v>3.0</v>
      </c>
      <c r="V188" s="112" t="s">
        <v>930</v>
      </c>
      <c r="W188" s="271">
        <v>70.0</v>
      </c>
      <c r="X188" s="271">
        <v>100.0</v>
      </c>
      <c r="Y188" s="171">
        <v>10.0</v>
      </c>
      <c r="Z188" s="112" t="s">
        <v>1037</v>
      </c>
      <c r="AA188" s="171">
        <v>1.0</v>
      </c>
      <c r="AB188" s="171">
        <v>30.0</v>
      </c>
      <c r="AC188" s="112"/>
      <c r="AD188" s="171" t="s">
        <v>1038</v>
      </c>
      <c r="AE188" s="112">
        <v>500.0</v>
      </c>
      <c r="AF188" s="171" t="s">
        <v>1039</v>
      </c>
      <c r="AG188" s="271">
        <v>5.0</v>
      </c>
      <c r="AH188" s="112"/>
      <c r="AI188" s="12"/>
      <c r="AJ188" s="12"/>
    </row>
    <row r="189" ht="14.25" customHeight="1">
      <c r="A189" s="242" t="s">
        <v>1040</v>
      </c>
      <c r="B189" s="257" t="s">
        <v>1041</v>
      </c>
      <c r="C189" s="257" t="s">
        <v>1042</v>
      </c>
      <c r="D189" s="257" t="s">
        <v>1041</v>
      </c>
      <c r="E189" s="258">
        <v>36872.0</v>
      </c>
      <c r="F189" s="258">
        <v>37140.0</v>
      </c>
      <c r="G189" s="257" t="s">
        <v>512</v>
      </c>
      <c r="H189" s="257" t="s">
        <v>519</v>
      </c>
      <c r="I189" s="257" t="s">
        <v>520</v>
      </c>
      <c r="J189" s="171"/>
      <c r="K189" s="171"/>
      <c r="L189" s="171"/>
      <c r="M189" s="171"/>
      <c r="N189" s="171"/>
      <c r="O189" s="171"/>
      <c r="P189" s="270"/>
      <c r="Q189" s="270"/>
      <c r="R189" s="270"/>
      <c r="S189" s="270"/>
      <c r="T189" s="270"/>
      <c r="U189" s="112"/>
      <c r="V189" s="112"/>
      <c r="W189" s="112"/>
      <c r="X189" s="112"/>
      <c r="Y189" s="112"/>
      <c r="Z189" s="112"/>
      <c r="AA189" s="260">
        <v>1.0</v>
      </c>
      <c r="AB189" s="69"/>
      <c r="AC189" s="112"/>
      <c r="AD189" s="171" t="s">
        <v>1043</v>
      </c>
      <c r="AE189" s="112"/>
      <c r="AF189" s="112"/>
      <c r="AG189" s="271">
        <v>5.0</v>
      </c>
      <c r="AH189" s="112"/>
      <c r="AI189" s="12"/>
      <c r="AJ189" s="12"/>
    </row>
    <row r="190" ht="14.25" customHeight="1">
      <c r="A190" s="242" t="s">
        <v>1040</v>
      </c>
      <c r="B190" s="257" t="s">
        <v>1044</v>
      </c>
      <c r="C190" s="257" t="s">
        <v>1045</v>
      </c>
      <c r="D190" s="257" t="s">
        <v>1044</v>
      </c>
      <c r="E190" s="258">
        <v>37159.0</v>
      </c>
      <c r="F190" s="258">
        <v>38200.0</v>
      </c>
      <c r="G190" s="257" t="s">
        <v>512</v>
      </c>
      <c r="H190" s="257" t="s">
        <v>519</v>
      </c>
      <c r="I190" s="257" t="s">
        <v>520</v>
      </c>
      <c r="J190" s="171" t="s">
        <v>516</v>
      </c>
      <c r="K190" s="171" t="s">
        <v>415</v>
      </c>
      <c r="L190" s="171" t="s">
        <v>420</v>
      </c>
      <c r="M190" s="171"/>
      <c r="N190" s="171"/>
      <c r="O190" s="112">
        <v>4.0</v>
      </c>
      <c r="P190" s="270"/>
      <c r="Q190" s="270"/>
      <c r="R190" s="270"/>
      <c r="S190" s="270"/>
      <c r="T190" s="270"/>
      <c r="U190" s="112"/>
      <c r="V190" s="112"/>
      <c r="W190" s="112"/>
      <c r="X190" s="112"/>
      <c r="Y190" s="112"/>
      <c r="Z190" s="112"/>
      <c r="AA190" s="260">
        <v>1.0</v>
      </c>
      <c r="AB190" s="69"/>
      <c r="AC190" s="112"/>
      <c r="AD190" s="171" t="s">
        <v>1046</v>
      </c>
      <c r="AE190" s="112"/>
      <c r="AF190" s="112"/>
      <c r="AG190" s="271">
        <v>5.0</v>
      </c>
      <c r="AH190" s="112"/>
      <c r="AI190" s="12"/>
      <c r="AJ190" s="12"/>
    </row>
    <row r="191" ht="14.25" customHeight="1">
      <c r="A191" s="242" t="s">
        <v>1040</v>
      </c>
      <c r="B191" s="257" t="s">
        <v>1047</v>
      </c>
      <c r="C191" s="257" t="s">
        <v>1048</v>
      </c>
      <c r="D191" s="257" t="s">
        <v>1047</v>
      </c>
      <c r="E191" s="258">
        <v>37211.0</v>
      </c>
      <c r="F191" s="258">
        <v>38899.0</v>
      </c>
      <c r="G191" s="257" t="s">
        <v>512</v>
      </c>
      <c r="H191" s="257" t="s">
        <v>519</v>
      </c>
      <c r="I191" s="257" t="s">
        <v>520</v>
      </c>
      <c r="J191" s="112" t="s">
        <v>516</v>
      </c>
      <c r="K191" s="112" t="s">
        <v>427</v>
      </c>
      <c r="L191" s="112" t="s">
        <v>420</v>
      </c>
      <c r="M191" s="112" t="s">
        <v>938</v>
      </c>
      <c r="N191" s="171"/>
      <c r="O191" s="112">
        <v>7.0</v>
      </c>
      <c r="P191" s="271" t="s">
        <v>516</v>
      </c>
      <c r="Q191" s="271" t="s">
        <v>516</v>
      </c>
      <c r="R191" s="271" t="s">
        <v>516</v>
      </c>
      <c r="S191" s="271" t="s">
        <v>516</v>
      </c>
      <c r="T191" s="271" t="s">
        <v>548</v>
      </c>
      <c r="U191" s="112">
        <v>5.0</v>
      </c>
      <c r="V191" s="112"/>
      <c r="W191" s="112"/>
      <c r="X191" s="112">
        <v>70.0</v>
      </c>
      <c r="Y191" s="112"/>
      <c r="Z191" s="112"/>
      <c r="AA191" s="112"/>
      <c r="AB191" s="112"/>
      <c r="AC191" s="112" t="s">
        <v>1049</v>
      </c>
      <c r="AD191" s="171" t="s">
        <v>1050</v>
      </c>
      <c r="AE191" s="112"/>
      <c r="AF191" s="236"/>
      <c r="AG191" s="271">
        <v>5.0</v>
      </c>
      <c r="AH191" s="112"/>
      <c r="AI191" s="12"/>
      <c r="AJ191" s="12"/>
    </row>
    <row r="192" ht="14.25" customHeight="1">
      <c r="A192" s="242" t="s">
        <v>1040</v>
      </c>
      <c r="B192" s="257" t="s">
        <v>1051</v>
      </c>
      <c r="C192" s="257" t="s">
        <v>1052</v>
      </c>
      <c r="D192" s="257" t="s">
        <v>1051</v>
      </c>
      <c r="E192" s="258">
        <v>37293.0</v>
      </c>
      <c r="F192" s="258">
        <v>37573.0</v>
      </c>
      <c r="G192" s="257" t="s">
        <v>512</v>
      </c>
      <c r="H192" s="257" t="s">
        <v>519</v>
      </c>
      <c r="I192" s="257" t="s">
        <v>520</v>
      </c>
      <c r="J192" s="171"/>
      <c r="K192" s="171"/>
      <c r="L192" s="171"/>
      <c r="M192" s="171"/>
      <c r="N192" s="171"/>
      <c r="O192" s="171"/>
      <c r="P192" s="270"/>
      <c r="Q192" s="270"/>
      <c r="R192" s="270"/>
      <c r="S192" s="270"/>
      <c r="T192" s="270"/>
      <c r="U192" s="112"/>
      <c r="V192" s="112"/>
      <c r="W192" s="112"/>
      <c r="X192" s="112"/>
      <c r="Y192" s="112"/>
      <c r="Z192" s="112"/>
      <c r="AA192" s="112"/>
      <c r="AB192" s="112"/>
      <c r="AC192" s="112"/>
      <c r="AD192" s="112"/>
      <c r="AE192" s="112"/>
      <c r="AF192" s="112"/>
      <c r="AG192" s="271">
        <v>5.0</v>
      </c>
      <c r="AH192" s="112"/>
      <c r="AI192" s="12"/>
      <c r="AJ192" s="12"/>
    </row>
    <row r="193" ht="14.25" customHeight="1">
      <c r="A193" s="242" t="s">
        <v>1040</v>
      </c>
      <c r="B193" s="257" t="s">
        <v>1053</v>
      </c>
      <c r="C193" s="257" t="s">
        <v>1052</v>
      </c>
      <c r="D193" s="257" t="s">
        <v>1053</v>
      </c>
      <c r="E193" s="258">
        <v>37573.0</v>
      </c>
      <c r="F193" s="258">
        <v>41640.0</v>
      </c>
      <c r="G193" s="257" t="s">
        <v>512</v>
      </c>
      <c r="H193" s="257" t="s">
        <v>519</v>
      </c>
      <c r="I193" s="257" t="s">
        <v>520</v>
      </c>
      <c r="J193" s="171"/>
      <c r="K193" s="171"/>
      <c r="L193" s="171"/>
      <c r="M193" s="171"/>
      <c r="N193" s="171"/>
      <c r="O193" s="171"/>
      <c r="P193" s="270"/>
      <c r="Q193" s="270"/>
      <c r="R193" s="270"/>
      <c r="S193" s="270"/>
      <c r="T193" s="270"/>
      <c r="U193" s="112"/>
      <c r="V193" s="112"/>
      <c r="W193" s="112"/>
      <c r="X193" s="112"/>
      <c r="Y193" s="112"/>
      <c r="Z193" s="112"/>
      <c r="AA193" s="112"/>
      <c r="AB193" s="112"/>
      <c r="AC193" s="112"/>
      <c r="AD193" s="112"/>
      <c r="AE193" s="112"/>
      <c r="AF193" s="112"/>
      <c r="AG193" s="271">
        <v>5.0</v>
      </c>
      <c r="AH193" s="112"/>
      <c r="AI193" s="12"/>
      <c r="AJ193" s="12"/>
    </row>
    <row r="194" ht="14.25" customHeight="1">
      <c r="A194" s="242" t="s">
        <v>1040</v>
      </c>
      <c r="B194" s="257" t="s">
        <v>1054</v>
      </c>
      <c r="C194" s="257" t="s">
        <v>1055</v>
      </c>
      <c r="D194" s="257" t="s">
        <v>1054</v>
      </c>
      <c r="E194" s="258">
        <v>37363.0</v>
      </c>
      <c r="F194" s="258">
        <v>38200.0</v>
      </c>
      <c r="G194" s="257" t="s">
        <v>512</v>
      </c>
      <c r="H194" s="257" t="s">
        <v>519</v>
      </c>
      <c r="I194" s="257" t="s">
        <v>520</v>
      </c>
      <c r="J194" s="112" t="s">
        <v>516</v>
      </c>
      <c r="K194" s="112" t="s">
        <v>427</v>
      </c>
      <c r="L194" s="112" t="s">
        <v>420</v>
      </c>
      <c r="M194" s="112" t="s">
        <v>938</v>
      </c>
      <c r="N194" s="171"/>
      <c r="O194" s="265">
        <v>7.0</v>
      </c>
      <c r="P194" s="271" t="s">
        <v>516</v>
      </c>
      <c r="Q194" s="271" t="s">
        <v>516</v>
      </c>
      <c r="R194" s="271" t="s">
        <v>516</v>
      </c>
      <c r="S194" s="271" t="s">
        <v>516</v>
      </c>
      <c r="T194" s="271" t="s">
        <v>516</v>
      </c>
      <c r="U194" s="112">
        <v>5.0</v>
      </c>
      <c r="V194" s="112"/>
      <c r="W194" s="112"/>
      <c r="X194" s="112"/>
      <c r="Y194" s="112"/>
      <c r="Z194" s="112"/>
      <c r="AA194" s="112"/>
      <c r="AB194" s="112"/>
      <c r="AC194" s="112" t="s">
        <v>1049</v>
      </c>
      <c r="AD194" s="171" t="s">
        <v>1056</v>
      </c>
      <c r="AE194" s="112"/>
      <c r="AF194" s="236"/>
      <c r="AG194" s="271">
        <v>5.0</v>
      </c>
      <c r="AH194" s="112"/>
      <c r="AI194" s="12"/>
      <c r="AJ194" s="12"/>
    </row>
    <row r="195" ht="14.25" customHeight="1">
      <c r="A195" s="242" t="s">
        <v>1040</v>
      </c>
      <c r="B195" s="257" t="s">
        <v>1057</v>
      </c>
      <c r="C195" s="257" t="s">
        <v>1058</v>
      </c>
      <c r="D195" s="257" t="s">
        <v>1057</v>
      </c>
      <c r="E195" s="258">
        <v>37363.0</v>
      </c>
      <c r="F195" s="258">
        <v>38200.0</v>
      </c>
      <c r="G195" s="257" t="s">
        <v>512</v>
      </c>
      <c r="H195" s="257" t="s">
        <v>519</v>
      </c>
      <c r="I195" s="257" t="s">
        <v>520</v>
      </c>
      <c r="J195" s="112" t="s">
        <v>516</v>
      </c>
      <c r="K195" s="112" t="s">
        <v>427</v>
      </c>
      <c r="L195" s="112" t="s">
        <v>420</v>
      </c>
      <c r="M195" s="112" t="s">
        <v>938</v>
      </c>
      <c r="N195" s="171"/>
      <c r="O195" s="265">
        <v>7.0</v>
      </c>
      <c r="P195" s="271" t="s">
        <v>516</v>
      </c>
      <c r="Q195" s="271" t="s">
        <v>516</v>
      </c>
      <c r="R195" s="271" t="s">
        <v>516</v>
      </c>
      <c r="S195" s="271" t="s">
        <v>516</v>
      </c>
      <c r="T195" s="271" t="s">
        <v>516</v>
      </c>
      <c r="U195" s="112"/>
      <c r="V195" s="112"/>
      <c r="W195" s="112"/>
      <c r="X195" s="112"/>
      <c r="Y195" s="112"/>
      <c r="Z195" s="112"/>
      <c r="AA195" s="112"/>
      <c r="AB195" s="112"/>
      <c r="AC195" s="112" t="s">
        <v>1049</v>
      </c>
      <c r="AD195" s="171" t="s">
        <v>1059</v>
      </c>
      <c r="AE195" s="112"/>
      <c r="AF195" s="236"/>
      <c r="AG195" s="271">
        <v>5.0</v>
      </c>
      <c r="AH195" s="112"/>
      <c r="AI195" s="12"/>
      <c r="AJ195" s="12"/>
    </row>
    <row r="196" ht="14.25" customHeight="1">
      <c r="A196" s="242" t="s">
        <v>1040</v>
      </c>
      <c r="B196" s="257" t="s">
        <v>1060</v>
      </c>
      <c r="C196" s="257" t="s">
        <v>1061</v>
      </c>
      <c r="D196" s="257" t="s">
        <v>1060</v>
      </c>
      <c r="E196" s="258">
        <v>37529.0</v>
      </c>
      <c r="F196" s="258">
        <v>38899.0</v>
      </c>
      <c r="G196" s="257" t="s">
        <v>512</v>
      </c>
      <c r="H196" s="257" t="s">
        <v>513</v>
      </c>
      <c r="I196" s="257" t="s">
        <v>520</v>
      </c>
      <c r="J196" s="171"/>
      <c r="K196" s="171"/>
      <c r="L196" s="171"/>
      <c r="M196" s="171"/>
      <c r="N196" s="171"/>
      <c r="O196" s="171"/>
      <c r="P196" s="270"/>
      <c r="Q196" s="270"/>
      <c r="R196" s="270"/>
      <c r="S196" s="270"/>
      <c r="T196" s="270"/>
      <c r="U196" s="112"/>
      <c r="V196" s="112"/>
      <c r="W196" s="112"/>
      <c r="X196" s="112"/>
      <c r="Y196" s="112"/>
      <c r="Z196" s="112"/>
      <c r="AA196" s="112"/>
      <c r="AB196" s="112"/>
      <c r="AC196" s="112"/>
      <c r="AD196" s="112"/>
      <c r="AE196" s="112"/>
      <c r="AF196" s="112"/>
      <c r="AG196" s="271">
        <v>5.0</v>
      </c>
      <c r="AH196" s="112"/>
      <c r="AI196" s="12"/>
      <c r="AJ196" s="12"/>
    </row>
    <row r="197" ht="14.25" customHeight="1">
      <c r="A197" s="242" t="s">
        <v>1040</v>
      </c>
      <c r="B197" s="257" t="s">
        <v>1062</v>
      </c>
      <c r="C197" s="257" t="s">
        <v>1061</v>
      </c>
      <c r="D197" s="257" t="s">
        <v>1062</v>
      </c>
      <c r="E197" s="258">
        <v>38899.0</v>
      </c>
      <c r="F197" s="278">
        <v>40421.0</v>
      </c>
      <c r="G197" s="279" t="s">
        <v>512</v>
      </c>
      <c r="H197" s="257" t="s">
        <v>513</v>
      </c>
      <c r="I197" s="257" t="s">
        <v>520</v>
      </c>
      <c r="J197" s="171"/>
      <c r="K197" s="171"/>
      <c r="L197" s="171"/>
      <c r="M197" s="171"/>
      <c r="N197" s="171"/>
      <c r="O197" s="171"/>
      <c r="P197" s="270"/>
      <c r="Q197" s="270"/>
      <c r="R197" s="270"/>
      <c r="S197" s="270"/>
      <c r="T197" s="270"/>
      <c r="U197" s="112"/>
      <c r="V197" s="112"/>
      <c r="W197" s="112"/>
      <c r="X197" s="112"/>
      <c r="Y197" s="112"/>
      <c r="Z197" s="112"/>
      <c r="AA197" s="112"/>
      <c r="AB197" s="112"/>
      <c r="AC197" s="112"/>
      <c r="AD197" s="112"/>
      <c r="AE197" s="112"/>
      <c r="AF197" s="112"/>
      <c r="AG197" s="271">
        <v>5.0</v>
      </c>
      <c r="AH197" s="112"/>
      <c r="AI197" s="12"/>
      <c r="AJ197" s="12"/>
    </row>
    <row r="198" ht="14.25" customHeight="1">
      <c r="A198" s="242" t="s">
        <v>1040</v>
      </c>
      <c r="B198" s="257" t="s">
        <v>1063</v>
      </c>
      <c r="C198" s="257" t="s">
        <v>1061</v>
      </c>
      <c r="D198" s="257" t="s">
        <v>1063</v>
      </c>
      <c r="E198" s="258">
        <v>40571.0</v>
      </c>
      <c r="F198" s="278">
        <v>41640.0</v>
      </c>
      <c r="G198" s="279" t="s">
        <v>512</v>
      </c>
      <c r="H198" s="257" t="s">
        <v>513</v>
      </c>
      <c r="I198" s="257" t="s">
        <v>520</v>
      </c>
      <c r="J198" s="171"/>
      <c r="K198" s="171"/>
      <c r="L198" s="171"/>
      <c r="M198" s="171"/>
      <c r="N198" s="171"/>
      <c r="O198" s="171"/>
      <c r="P198" s="270"/>
      <c r="Q198" s="270"/>
      <c r="R198" s="270"/>
      <c r="S198" s="270"/>
      <c r="T198" s="270"/>
      <c r="U198" s="112"/>
      <c r="V198" s="112"/>
      <c r="W198" s="112"/>
      <c r="X198" s="112"/>
      <c r="Y198" s="112"/>
      <c r="Z198" s="112"/>
      <c r="AA198" s="112"/>
      <c r="AB198" s="112"/>
      <c r="AC198" s="112"/>
      <c r="AD198" s="112"/>
      <c r="AE198" s="112"/>
      <c r="AF198" s="112"/>
      <c r="AG198" s="271">
        <v>5.0</v>
      </c>
      <c r="AH198" s="112"/>
      <c r="AI198" s="12"/>
      <c r="AJ198" s="12"/>
    </row>
    <row r="199" ht="14.25" customHeight="1">
      <c r="A199" s="242" t="s">
        <v>1040</v>
      </c>
      <c r="B199" s="257" t="s">
        <v>1064</v>
      </c>
      <c r="C199" s="257" t="s">
        <v>1065</v>
      </c>
      <c r="D199" s="257" t="s">
        <v>1064</v>
      </c>
      <c r="E199" s="258">
        <v>37636.0</v>
      </c>
      <c r="F199" s="258">
        <v>38899.0</v>
      </c>
      <c r="G199" s="279" t="s">
        <v>512</v>
      </c>
      <c r="H199" s="257" t="s">
        <v>513</v>
      </c>
      <c r="I199" s="257" t="s">
        <v>520</v>
      </c>
      <c r="J199" s="171"/>
      <c r="K199" s="171"/>
      <c r="L199" s="171"/>
      <c r="M199" s="171"/>
      <c r="N199" s="171"/>
      <c r="O199" s="171"/>
      <c r="P199" s="270"/>
      <c r="Q199" s="270"/>
      <c r="R199" s="270"/>
      <c r="S199" s="270"/>
      <c r="T199" s="270"/>
      <c r="U199" s="112"/>
      <c r="V199" s="112"/>
      <c r="W199" s="112"/>
      <c r="X199" s="112"/>
      <c r="Y199" s="112"/>
      <c r="Z199" s="112"/>
      <c r="AA199" s="112"/>
      <c r="AB199" s="112"/>
      <c r="AC199" s="112"/>
      <c r="AD199" s="112"/>
      <c r="AE199" s="112"/>
      <c r="AF199" s="112"/>
      <c r="AG199" s="271">
        <v>5.0</v>
      </c>
      <c r="AH199" s="112"/>
      <c r="AI199" s="12"/>
      <c r="AJ199" s="12"/>
    </row>
    <row r="200" ht="14.25" customHeight="1">
      <c r="A200" s="242" t="s">
        <v>1040</v>
      </c>
      <c r="B200" s="257" t="s">
        <v>1066</v>
      </c>
      <c r="C200" s="257" t="s">
        <v>1067</v>
      </c>
      <c r="D200" s="257" t="s">
        <v>1066</v>
      </c>
      <c r="E200" s="258">
        <v>38899.0</v>
      </c>
      <c r="F200" s="278">
        <v>40421.0</v>
      </c>
      <c r="G200" s="279" t="s">
        <v>512</v>
      </c>
      <c r="H200" s="257" t="s">
        <v>513</v>
      </c>
      <c r="I200" s="257" t="s">
        <v>520</v>
      </c>
      <c r="J200" s="171"/>
      <c r="K200" s="171"/>
      <c r="L200" s="171"/>
      <c r="M200" s="171"/>
      <c r="N200" s="171"/>
      <c r="O200" s="171"/>
      <c r="P200" s="270"/>
      <c r="Q200" s="270"/>
      <c r="R200" s="270"/>
      <c r="S200" s="270" t="s">
        <v>548</v>
      </c>
      <c r="T200" s="270"/>
      <c r="U200" s="112"/>
      <c r="V200" s="112"/>
      <c r="W200" s="112"/>
      <c r="X200" s="112"/>
      <c r="Y200" s="112"/>
      <c r="Z200" s="112"/>
      <c r="AA200" s="112"/>
      <c r="AB200" s="112"/>
      <c r="AC200" s="112"/>
      <c r="AD200" s="112"/>
      <c r="AE200" s="112"/>
      <c r="AF200" s="112"/>
      <c r="AG200" s="271">
        <v>5.0</v>
      </c>
      <c r="AH200" s="112"/>
      <c r="AI200" s="12"/>
      <c r="AJ200" s="12"/>
    </row>
    <row r="201" ht="14.25" customHeight="1">
      <c r="A201" s="242" t="s">
        <v>1040</v>
      </c>
      <c r="B201" s="257" t="s">
        <v>1068</v>
      </c>
      <c r="C201" s="257" t="s">
        <v>1069</v>
      </c>
      <c r="D201" s="257" t="s">
        <v>1068</v>
      </c>
      <c r="E201" s="258">
        <v>37820.0</v>
      </c>
      <c r="F201" s="258">
        <v>38899.0</v>
      </c>
      <c r="G201" s="257" t="s">
        <v>512</v>
      </c>
      <c r="H201" s="257" t="s">
        <v>519</v>
      </c>
      <c r="I201" s="257" t="s">
        <v>520</v>
      </c>
      <c r="J201" s="171" t="s">
        <v>516</v>
      </c>
      <c r="K201" s="171"/>
      <c r="L201" s="171"/>
      <c r="M201" s="171"/>
      <c r="N201" s="171"/>
      <c r="O201" s="112">
        <v>1.0</v>
      </c>
      <c r="P201" s="270"/>
      <c r="Q201" s="270"/>
      <c r="R201" s="270"/>
      <c r="S201" s="270"/>
      <c r="T201" s="270"/>
      <c r="U201" s="171">
        <v>5.0</v>
      </c>
      <c r="V201" s="112"/>
      <c r="W201" s="112"/>
      <c r="X201" s="112"/>
      <c r="Y201" s="112"/>
      <c r="Z201" s="112"/>
      <c r="AA201" s="112"/>
      <c r="AB201" s="112"/>
      <c r="AC201" s="112"/>
      <c r="AD201" s="171" t="s">
        <v>1070</v>
      </c>
      <c r="AE201" s="112"/>
      <c r="AF201" s="171" t="s">
        <v>1071</v>
      </c>
      <c r="AG201" s="271">
        <v>5.0</v>
      </c>
      <c r="AH201" s="112"/>
      <c r="AI201" s="12"/>
      <c r="AJ201" s="12"/>
    </row>
    <row r="202" ht="14.25" customHeight="1">
      <c r="A202" s="242" t="s">
        <v>1040</v>
      </c>
      <c r="B202" s="257" t="s">
        <v>1072</v>
      </c>
      <c r="C202" s="257" t="s">
        <v>1073</v>
      </c>
      <c r="D202" s="257" t="s">
        <v>1072</v>
      </c>
      <c r="E202" s="258">
        <v>37820.0</v>
      </c>
      <c r="F202" s="258">
        <v>38899.0</v>
      </c>
      <c r="G202" s="257" t="s">
        <v>512</v>
      </c>
      <c r="H202" s="257" t="s">
        <v>519</v>
      </c>
      <c r="I202" s="257" t="s">
        <v>520</v>
      </c>
      <c r="J202" s="171" t="s">
        <v>516</v>
      </c>
      <c r="K202" s="171" t="s">
        <v>446</v>
      </c>
      <c r="L202" s="171" t="s">
        <v>470</v>
      </c>
      <c r="M202" s="171" t="s">
        <v>475</v>
      </c>
      <c r="N202" s="171"/>
      <c r="O202" s="112">
        <v>1.0</v>
      </c>
      <c r="P202" s="270" t="s">
        <v>516</v>
      </c>
      <c r="Q202" s="270" t="s">
        <v>516</v>
      </c>
      <c r="R202" s="270" t="s">
        <v>516</v>
      </c>
      <c r="S202" s="270" t="s">
        <v>516</v>
      </c>
      <c r="T202" s="270" t="s">
        <v>516</v>
      </c>
      <c r="U202" s="171">
        <v>2.0</v>
      </c>
      <c r="V202" s="112"/>
      <c r="W202" s="112"/>
      <c r="X202" s="112"/>
      <c r="Y202" s="171">
        <v>10.0</v>
      </c>
      <c r="Z202" s="171">
        <v>30.0</v>
      </c>
      <c r="AA202" s="112"/>
      <c r="AB202" s="112"/>
      <c r="AC202" s="112"/>
      <c r="AD202" s="171" t="s">
        <v>1074</v>
      </c>
      <c r="AE202" s="112"/>
      <c r="AF202" s="171" t="s">
        <v>1075</v>
      </c>
      <c r="AG202" s="271">
        <v>5.0</v>
      </c>
      <c r="AH202" s="112"/>
      <c r="AI202" s="12"/>
      <c r="AJ202" s="12"/>
    </row>
    <row r="203" ht="14.25" customHeight="1">
      <c r="A203" s="280" t="s">
        <v>1040</v>
      </c>
      <c r="B203" s="252" t="s">
        <v>1076</v>
      </c>
      <c r="C203" s="252" t="s">
        <v>1077</v>
      </c>
      <c r="D203" s="252" t="s">
        <v>1076</v>
      </c>
      <c r="E203" s="253">
        <v>37820.0</v>
      </c>
      <c r="F203" s="253">
        <v>38899.0</v>
      </c>
      <c r="G203" s="252" t="s">
        <v>512</v>
      </c>
      <c r="H203" s="252" t="s">
        <v>519</v>
      </c>
      <c r="I203" s="252" t="s">
        <v>520</v>
      </c>
      <c r="J203" s="236" t="s">
        <v>516</v>
      </c>
      <c r="K203" s="236" t="s">
        <v>418</v>
      </c>
      <c r="L203" s="236" t="s">
        <v>420</v>
      </c>
      <c r="M203" s="237" t="s">
        <v>476</v>
      </c>
      <c r="N203" s="236"/>
      <c r="O203" s="237">
        <v>1.0</v>
      </c>
      <c r="P203" s="236" t="s">
        <v>516</v>
      </c>
      <c r="Q203" s="236" t="s">
        <v>516</v>
      </c>
      <c r="R203" s="236" t="s">
        <v>516</v>
      </c>
      <c r="S203" s="236"/>
      <c r="T203" s="236" t="s">
        <v>516</v>
      </c>
      <c r="U203" s="236">
        <v>5.0</v>
      </c>
      <c r="V203" s="236"/>
      <c r="W203" s="236"/>
      <c r="X203" s="236"/>
      <c r="Y203" s="236"/>
      <c r="Z203" s="236"/>
      <c r="AA203" s="236"/>
      <c r="AB203" s="236"/>
      <c r="AC203" s="236"/>
      <c r="AD203" s="236" t="s">
        <v>1078</v>
      </c>
      <c r="AE203" s="236"/>
      <c r="AF203" s="236" t="s">
        <v>1079</v>
      </c>
      <c r="AG203" s="237">
        <v>5.0</v>
      </c>
      <c r="AH203" s="236"/>
      <c r="AI203" s="255"/>
      <c r="AJ203" s="256"/>
    </row>
    <row r="204" ht="14.25" customHeight="1">
      <c r="A204" s="242" t="s">
        <v>1040</v>
      </c>
      <c r="B204" s="257" t="s">
        <v>1080</v>
      </c>
      <c r="C204" s="257" t="s">
        <v>1081</v>
      </c>
      <c r="D204" s="257" t="s">
        <v>1080</v>
      </c>
      <c r="E204" s="258">
        <v>37876.0</v>
      </c>
      <c r="F204" s="258">
        <v>38200.0</v>
      </c>
      <c r="G204" s="257" t="s">
        <v>512</v>
      </c>
      <c r="H204" s="257" t="s">
        <v>519</v>
      </c>
      <c r="I204" s="257" t="s">
        <v>520</v>
      </c>
      <c r="J204" s="171" t="s">
        <v>516</v>
      </c>
      <c r="K204" s="171" t="s">
        <v>430</v>
      </c>
      <c r="L204" s="171" t="s">
        <v>420</v>
      </c>
      <c r="M204" s="171" t="s">
        <v>475</v>
      </c>
      <c r="N204" s="171"/>
      <c r="O204" s="112">
        <v>6.0</v>
      </c>
      <c r="P204" s="270" t="s">
        <v>516</v>
      </c>
      <c r="Q204" s="270" t="s">
        <v>516</v>
      </c>
      <c r="R204" s="270" t="s">
        <v>516</v>
      </c>
      <c r="S204" s="270"/>
      <c r="T204" s="270" t="s">
        <v>516</v>
      </c>
      <c r="U204" s="171">
        <v>5.0</v>
      </c>
      <c r="V204" s="112"/>
      <c r="W204" s="112"/>
      <c r="X204" s="112"/>
      <c r="Y204" s="112"/>
      <c r="Z204" s="112"/>
      <c r="AA204" s="112"/>
      <c r="AB204" s="112"/>
      <c r="AC204" s="112"/>
      <c r="AD204" s="171" t="s">
        <v>1082</v>
      </c>
      <c r="AE204" s="112"/>
      <c r="AF204" s="171" t="s">
        <v>1083</v>
      </c>
      <c r="AG204" s="271">
        <v>5.0</v>
      </c>
      <c r="AH204" s="112"/>
      <c r="AI204" s="12"/>
      <c r="AJ204" s="12"/>
    </row>
    <row r="205" ht="14.25" customHeight="1">
      <c r="A205" s="242" t="s">
        <v>1040</v>
      </c>
      <c r="B205" s="257" t="s">
        <v>1084</v>
      </c>
      <c r="C205" s="257" t="s">
        <v>1085</v>
      </c>
      <c r="D205" s="257" t="s">
        <v>1084</v>
      </c>
      <c r="E205" s="258">
        <v>37876.0</v>
      </c>
      <c r="F205" s="258">
        <v>38200.0</v>
      </c>
      <c r="G205" s="257" t="s">
        <v>512</v>
      </c>
      <c r="H205" s="257" t="s">
        <v>519</v>
      </c>
      <c r="I205" s="257" t="s">
        <v>520</v>
      </c>
      <c r="J205" s="171" t="s">
        <v>516</v>
      </c>
      <c r="K205" s="171" t="s">
        <v>430</v>
      </c>
      <c r="L205" s="171" t="s">
        <v>420</v>
      </c>
      <c r="M205" s="171" t="s">
        <v>475</v>
      </c>
      <c r="N205" s="171"/>
      <c r="O205" s="112">
        <v>6.0</v>
      </c>
      <c r="P205" s="270" t="s">
        <v>516</v>
      </c>
      <c r="Q205" s="270" t="s">
        <v>516</v>
      </c>
      <c r="R205" s="270" t="s">
        <v>516</v>
      </c>
      <c r="S205" s="270"/>
      <c r="T205" s="270" t="s">
        <v>516</v>
      </c>
      <c r="U205" s="112"/>
      <c r="V205" s="112"/>
      <c r="W205" s="112"/>
      <c r="X205" s="112"/>
      <c r="Y205" s="112"/>
      <c r="Z205" s="112"/>
      <c r="AA205" s="112"/>
      <c r="AB205" s="112"/>
      <c r="AC205" s="112"/>
      <c r="AD205" s="171" t="s">
        <v>1086</v>
      </c>
      <c r="AE205" s="112"/>
      <c r="AF205" s="112"/>
      <c r="AG205" s="271">
        <v>5.0</v>
      </c>
      <c r="AH205" s="112"/>
      <c r="AI205" s="12"/>
      <c r="AJ205" s="12"/>
    </row>
    <row r="206" ht="14.25" customHeight="1">
      <c r="A206" s="280" t="s">
        <v>1040</v>
      </c>
      <c r="B206" s="252" t="s">
        <v>1087</v>
      </c>
      <c r="C206" s="252" t="s">
        <v>1088</v>
      </c>
      <c r="D206" s="252" t="s">
        <v>1087</v>
      </c>
      <c r="E206" s="253">
        <v>38107.0</v>
      </c>
      <c r="F206" s="253">
        <v>38899.0</v>
      </c>
      <c r="G206" s="252" t="s">
        <v>512</v>
      </c>
      <c r="H206" s="252" t="s">
        <v>519</v>
      </c>
      <c r="I206" s="252" t="s">
        <v>520</v>
      </c>
      <c r="J206" s="236" t="s">
        <v>516</v>
      </c>
      <c r="K206" s="237" t="s">
        <v>427</v>
      </c>
      <c r="L206" s="237" t="s">
        <v>420</v>
      </c>
      <c r="M206" s="236"/>
      <c r="N206" s="236"/>
      <c r="O206" s="237">
        <v>7.0</v>
      </c>
      <c r="P206" s="236" t="s">
        <v>516</v>
      </c>
      <c r="Q206" s="236" t="s">
        <v>516</v>
      </c>
      <c r="R206" s="236" t="s">
        <v>516</v>
      </c>
      <c r="S206" s="236"/>
      <c r="T206" s="236" t="s">
        <v>516</v>
      </c>
      <c r="U206" s="236">
        <v>5.0</v>
      </c>
      <c r="V206" s="236"/>
      <c r="W206" s="236"/>
      <c r="X206" s="236"/>
      <c r="Y206" s="236"/>
      <c r="Z206" s="236"/>
      <c r="AA206" s="236"/>
      <c r="AB206" s="236"/>
      <c r="AC206" s="236"/>
      <c r="AD206" s="236" t="s">
        <v>1089</v>
      </c>
      <c r="AE206" s="236"/>
      <c r="AF206" s="236" t="s">
        <v>1090</v>
      </c>
      <c r="AG206" s="237">
        <v>5.0</v>
      </c>
      <c r="AH206" s="236"/>
      <c r="AI206" s="255"/>
      <c r="AJ206" s="256"/>
    </row>
    <row r="207" ht="14.25" customHeight="1">
      <c r="A207" s="280" t="s">
        <v>1040</v>
      </c>
      <c r="B207" s="252" t="s">
        <v>1091</v>
      </c>
      <c r="C207" s="252" t="s">
        <v>1092</v>
      </c>
      <c r="D207" s="252" t="s">
        <v>1091</v>
      </c>
      <c r="E207" s="253">
        <v>38107.0</v>
      </c>
      <c r="F207" s="253">
        <v>38899.0</v>
      </c>
      <c r="G207" s="252" t="s">
        <v>512</v>
      </c>
      <c r="H207" s="252" t="s">
        <v>519</v>
      </c>
      <c r="I207" s="252" t="s">
        <v>520</v>
      </c>
      <c r="J207" s="236" t="s">
        <v>516</v>
      </c>
      <c r="K207" s="237" t="s">
        <v>427</v>
      </c>
      <c r="L207" s="236" t="s">
        <v>420</v>
      </c>
      <c r="M207" s="236"/>
      <c r="N207" s="236"/>
      <c r="O207" s="237">
        <v>8.0</v>
      </c>
      <c r="P207" s="236" t="s">
        <v>516</v>
      </c>
      <c r="Q207" s="236" t="s">
        <v>516</v>
      </c>
      <c r="R207" s="236" t="s">
        <v>516</v>
      </c>
      <c r="S207" s="236"/>
      <c r="T207" s="236" t="s">
        <v>548</v>
      </c>
      <c r="U207" s="236">
        <v>5.0</v>
      </c>
      <c r="V207" s="236"/>
      <c r="W207" s="236"/>
      <c r="X207" s="236"/>
      <c r="Y207" s="236"/>
      <c r="Z207" s="236"/>
      <c r="AA207" s="236"/>
      <c r="AB207" s="236"/>
      <c r="AC207" s="236"/>
      <c r="AD207" s="236" t="s">
        <v>1093</v>
      </c>
      <c r="AE207" s="236"/>
      <c r="AF207" s="236" t="s">
        <v>1094</v>
      </c>
      <c r="AG207" s="237">
        <v>5.0</v>
      </c>
      <c r="AH207" s="236"/>
      <c r="AI207" s="255"/>
      <c r="AJ207" s="256"/>
    </row>
    <row r="208" ht="14.25" customHeight="1">
      <c r="A208" s="280" t="s">
        <v>1040</v>
      </c>
      <c r="B208" s="252" t="s">
        <v>1095</v>
      </c>
      <c r="C208" s="252" t="s">
        <v>1096</v>
      </c>
      <c r="D208" s="252" t="s">
        <v>1095</v>
      </c>
      <c r="E208" s="253">
        <v>38107.0</v>
      </c>
      <c r="F208" s="253">
        <v>38779.0</v>
      </c>
      <c r="G208" s="252" t="s">
        <v>512</v>
      </c>
      <c r="H208" s="252" t="s">
        <v>519</v>
      </c>
      <c r="I208" s="252" t="s">
        <v>520</v>
      </c>
      <c r="J208" s="236" t="s">
        <v>516</v>
      </c>
      <c r="K208" s="237" t="s">
        <v>427</v>
      </c>
      <c r="L208" s="236" t="s">
        <v>420</v>
      </c>
      <c r="M208" s="236"/>
      <c r="N208" s="236"/>
      <c r="O208" s="237">
        <v>6.0</v>
      </c>
      <c r="P208" s="236" t="s">
        <v>516</v>
      </c>
      <c r="Q208" s="236" t="s">
        <v>516</v>
      </c>
      <c r="R208" s="236" t="s">
        <v>516</v>
      </c>
      <c r="S208" s="236" t="s">
        <v>548</v>
      </c>
      <c r="T208" s="236" t="s">
        <v>516</v>
      </c>
      <c r="U208" s="236"/>
      <c r="V208" s="236"/>
      <c r="W208" s="236"/>
      <c r="X208" s="236"/>
      <c r="Y208" s="236"/>
      <c r="Z208" s="236"/>
      <c r="AA208" s="281">
        <v>1.0</v>
      </c>
      <c r="AB208" s="69"/>
      <c r="AC208" s="236"/>
      <c r="AD208" s="236" t="s">
        <v>1097</v>
      </c>
      <c r="AE208" s="236"/>
      <c r="AF208" s="236" t="s">
        <v>1098</v>
      </c>
      <c r="AG208" s="237">
        <v>5.0</v>
      </c>
      <c r="AH208" s="236"/>
      <c r="AI208" s="255"/>
      <c r="AJ208" s="256"/>
    </row>
    <row r="209" ht="14.25" customHeight="1">
      <c r="A209" s="280" t="s">
        <v>1040</v>
      </c>
      <c r="B209" s="252" t="s">
        <v>1099</v>
      </c>
      <c r="C209" s="252" t="s">
        <v>1100</v>
      </c>
      <c r="D209" s="252" t="s">
        <v>1099</v>
      </c>
      <c r="E209" s="253">
        <v>38107.0</v>
      </c>
      <c r="F209" s="253">
        <v>38899.0</v>
      </c>
      <c r="G209" s="252" t="s">
        <v>512</v>
      </c>
      <c r="H209" s="252" t="s">
        <v>519</v>
      </c>
      <c r="I209" s="252" t="s">
        <v>520</v>
      </c>
      <c r="J209" s="236" t="s">
        <v>516</v>
      </c>
      <c r="K209" s="236" t="s">
        <v>418</v>
      </c>
      <c r="L209" s="236" t="s">
        <v>420</v>
      </c>
      <c r="M209" s="236"/>
      <c r="N209" s="236"/>
      <c r="O209" s="237">
        <v>6.0</v>
      </c>
      <c r="P209" s="236" t="s">
        <v>516</v>
      </c>
      <c r="Q209" s="236" t="s">
        <v>516</v>
      </c>
      <c r="R209" s="236" t="s">
        <v>516</v>
      </c>
      <c r="S209" s="236" t="s">
        <v>516</v>
      </c>
      <c r="T209" s="236" t="s">
        <v>516</v>
      </c>
      <c r="U209" s="236"/>
      <c r="V209" s="236"/>
      <c r="W209" s="236"/>
      <c r="X209" s="236"/>
      <c r="Y209" s="236"/>
      <c r="Z209" s="236"/>
      <c r="AA209" s="281">
        <v>1.0</v>
      </c>
      <c r="AB209" s="69"/>
      <c r="AC209" s="236"/>
      <c r="AD209" s="236" t="s">
        <v>1101</v>
      </c>
      <c r="AE209" s="236"/>
      <c r="AF209" s="236" t="s">
        <v>1102</v>
      </c>
      <c r="AG209" s="237">
        <v>5.0</v>
      </c>
      <c r="AH209" s="236"/>
      <c r="AI209" s="255"/>
      <c r="AJ209" s="256"/>
    </row>
    <row r="210" ht="14.25" customHeight="1">
      <c r="A210" s="280" t="s">
        <v>1040</v>
      </c>
      <c r="B210" s="252" t="s">
        <v>1103</v>
      </c>
      <c r="C210" s="252" t="s">
        <v>1104</v>
      </c>
      <c r="D210" s="252" t="s">
        <v>1103</v>
      </c>
      <c r="E210" s="253">
        <v>38107.0</v>
      </c>
      <c r="F210" s="253">
        <v>38899.0</v>
      </c>
      <c r="G210" s="252" t="s">
        <v>512</v>
      </c>
      <c r="H210" s="252" t="s">
        <v>519</v>
      </c>
      <c r="I210" s="252" t="s">
        <v>520</v>
      </c>
      <c r="J210" s="236" t="s">
        <v>516</v>
      </c>
      <c r="K210" s="236" t="s">
        <v>430</v>
      </c>
      <c r="L210" s="236" t="s">
        <v>420</v>
      </c>
      <c r="M210" s="236"/>
      <c r="N210" s="236"/>
      <c r="O210" s="237">
        <v>7.0</v>
      </c>
      <c r="P210" s="236" t="s">
        <v>516</v>
      </c>
      <c r="Q210" s="236" t="s">
        <v>516</v>
      </c>
      <c r="R210" s="236" t="s">
        <v>516</v>
      </c>
      <c r="S210" s="236" t="s">
        <v>516</v>
      </c>
      <c r="T210" s="236" t="s">
        <v>516</v>
      </c>
      <c r="U210" s="236"/>
      <c r="V210" s="236"/>
      <c r="W210" s="236"/>
      <c r="X210" s="236"/>
      <c r="Y210" s="236"/>
      <c r="Z210" s="236"/>
      <c r="AA210" s="281">
        <v>1.0</v>
      </c>
      <c r="AB210" s="69"/>
      <c r="AC210" s="236"/>
      <c r="AD210" s="236" t="s">
        <v>1105</v>
      </c>
      <c r="AE210" s="236"/>
      <c r="AF210" s="236" t="s">
        <v>1106</v>
      </c>
      <c r="AG210" s="237">
        <v>5.0</v>
      </c>
      <c r="AH210" s="236"/>
      <c r="AI210" s="255"/>
      <c r="AJ210" s="256"/>
    </row>
    <row r="211" ht="14.25" customHeight="1">
      <c r="A211" s="242" t="s">
        <v>1040</v>
      </c>
      <c r="B211" s="257" t="s">
        <v>1107</v>
      </c>
      <c r="C211" s="257" t="s">
        <v>1108</v>
      </c>
      <c r="D211" s="257" t="s">
        <v>1107</v>
      </c>
      <c r="E211" s="258">
        <v>38107.0</v>
      </c>
      <c r="F211" s="258">
        <v>38899.0</v>
      </c>
      <c r="G211" s="257" t="s">
        <v>512</v>
      </c>
      <c r="H211" s="257" t="s">
        <v>519</v>
      </c>
      <c r="I211" s="257" t="s">
        <v>520</v>
      </c>
      <c r="J211" s="171"/>
      <c r="K211" s="171"/>
      <c r="L211" s="171"/>
      <c r="M211" s="171"/>
      <c r="N211" s="171"/>
      <c r="O211" s="112">
        <v>6.0</v>
      </c>
      <c r="P211" s="270"/>
      <c r="Q211" s="270"/>
      <c r="R211" s="270"/>
      <c r="S211" s="270"/>
      <c r="T211" s="270"/>
      <c r="U211" s="112"/>
      <c r="V211" s="112"/>
      <c r="W211" s="112"/>
      <c r="X211" s="112"/>
      <c r="Y211" s="112"/>
      <c r="Z211" s="112"/>
      <c r="AA211" s="112"/>
      <c r="AB211" s="112"/>
      <c r="AC211" s="112"/>
      <c r="AD211" s="112"/>
      <c r="AE211" s="112"/>
      <c r="AF211" s="112"/>
      <c r="AG211" s="271">
        <v>5.0</v>
      </c>
      <c r="AH211" s="112"/>
      <c r="AI211" s="12"/>
      <c r="AJ211" s="12"/>
    </row>
    <row r="212" ht="14.25" customHeight="1">
      <c r="A212" s="242" t="s">
        <v>1040</v>
      </c>
      <c r="B212" s="257" t="s">
        <v>1109</v>
      </c>
      <c r="C212" s="257" t="s">
        <v>1110</v>
      </c>
      <c r="D212" s="257" t="s">
        <v>1109</v>
      </c>
      <c r="E212" s="258">
        <v>38187.0</v>
      </c>
      <c r="F212" s="258">
        <v>38899.0</v>
      </c>
      <c r="G212" s="257" t="s">
        <v>512</v>
      </c>
      <c r="H212" s="257" t="s">
        <v>519</v>
      </c>
      <c r="I212" s="257" t="s">
        <v>520</v>
      </c>
      <c r="J212" s="112" t="s">
        <v>516</v>
      </c>
      <c r="K212" s="112" t="s">
        <v>427</v>
      </c>
      <c r="L212" s="112" t="s">
        <v>420</v>
      </c>
      <c r="M212" s="112" t="s">
        <v>938</v>
      </c>
      <c r="N212" s="171"/>
      <c r="O212" s="112">
        <v>7.0</v>
      </c>
      <c r="P212" s="270" t="s">
        <v>516</v>
      </c>
      <c r="Q212" s="270" t="s">
        <v>516</v>
      </c>
      <c r="R212" s="270" t="s">
        <v>516</v>
      </c>
      <c r="S212" s="270" t="s">
        <v>548</v>
      </c>
      <c r="T212" s="270" t="s">
        <v>516</v>
      </c>
      <c r="U212" s="171">
        <v>5.0</v>
      </c>
      <c r="V212" s="112"/>
      <c r="W212" s="112"/>
      <c r="X212" s="112">
        <v>75.0</v>
      </c>
      <c r="Y212" s="112"/>
      <c r="Z212" s="112"/>
      <c r="AA212" s="112">
        <v>3.0</v>
      </c>
      <c r="AB212" s="112">
        <v>10.0</v>
      </c>
      <c r="AC212" s="112"/>
      <c r="AD212" s="171" t="s">
        <v>1111</v>
      </c>
      <c r="AE212" s="112"/>
      <c r="AF212" s="171" t="s">
        <v>1112</v>
      </c>
      <c r="AG212" s="271">
        <v>5.0</v>
      </c>
      <c r="AH212" s="112"/>
      <c r="AI212" s="12"/>
      <c r="AJ212" s="12"/>
    </row>
    <row r="213" ht="14.25" customHeight="1">
      <c r="A213" s="242" t="s">
        <v>1040</v>
      </c>
      <c r="B213" s="257" t="s">
        <v>1113</v>
      </c>
      <c r="C213" s="257" t="s">
        <v>1114</v>
      </c>
      <c r="D213" s="257" t="s">
        <v>1113</v>
      </c>
      <c r="E213" s="258">
        <v>38293.0</v>
      </c>
      <c r="F213" s="258">
        <v>38899.0</v>
      </c>
      <c r="G213" s="257" t="s">
        <v>512</v>
      </c>
      <c r="H213" s="257" t="s">
        <v>513</v>
      </c>
      <c r="I213" s="257" t="s">
        <v>520</v>
      </c>
      <c r="J213" s="171"/>
      <c r="K213" s="171"/>
      <c r="L213" s="171"/>
      <c r="M213" s="171"/>
      <c r="N213" s="171"/>
      <c r="O213" s="171"/>
      <c r="P213" s="270"/>
      <c r="Q213" s="270"/>
      <c r="R213" s="270"/>
      <c r="S213" s="270"/>
      <c r="T213" s="270"/>
      <c r="U213" s="112"/>
      <c r="V213" s="112"/>
      <c r="W213" s="112"/>
      <c r="X213" s="112"/>
      <c r="Y213" s="112"/>
      <c r="Z213" s="112"/>
      <c r="AA213" s="112"/>
      <c r="AB213" s="112"/>
      <c r="AC213" s="112"/>
      <c r="AD213" s="112"/>
      <c r="AE213" s="112"/>
      <c r="AF213" s="112"/>
      <c r="AG213" s="271">
        <v>5.0</v>
      </c>
      <c r="AH213" s="112"/>
      <c r="AI213" s="12"/>
      <c r="AJ213" s="12"/>
    </row>
    <row r="214" ht="14.25" customHeight="1">
      <c r="A214" s="242" t="s">
        <v>1040</v>
      </c>
      <c r="B214" s="257" t="s">
        <v>1115</v>
      </c>
      <c r="C214" s="257" t="s">
        <v>1116</v>
      </c>
      <c r="D214" s="257" t="s">
        <v>1115</v>
      </c>
      <c r="E214" s="258">
        <v>38334.0</v>
      </c>
      <c r="F214" s="258">
        <v>38899.0</v>
      </c>
      <c r="G214" s="257" t="s">
        <v>512</v>
      </c>
      <c r="H214" s="257" t="s">
        <v>519</v>
      </c>
      <c r="I214" s="257" t="s">
        <v>520</v>
      </c>
      <c r="J214" s="112" t="s">
        <v>516</v>
      </c>
      <c r="K214" s="112" t="s">
        <v>446</v>
      </c>
      <c r="L214" s="112" t="s">
        <v>420</v>
      </c>
      <c r="M214" s="112" t="s">
        <v>938</v>
      </c>
      <c r="N214" s="171"/>
      <c r="O214" s="112">
        <v>1.0</v>
      </c>
      <c r="P214" s="271" t="s">
        <v>516</v>
      </c>
      <c r="Q214" s="271" t="s">
        <v>516</v>
      </c>
      <c r="R214" s="271" t="s">
        <v>516</v>
      </c>
      <c r="S214" s="271" t="s">
        <v>548</v>
      </c>
      <c r="T214" s="271" t="s">
        <v>516</v>
      </c>
      <c r="U214" s="112">
        <v>5.0</v>
      </c>
      <c r="V214" s="112"/>
      <c r="W214" s="112"/>
      <c r="X214" s="112"/>
      <c r="Y214" s="112"/>
      <c r="Z214" s="112"/>
      <c r="AA214" s="112"/>
      <c r="AB214" s="112"/>
      <c r="AC214" s="112"/>
      <c r="AD214" s="171" t="s">
        <v>1117</v>
      </c>
      <c r="AE214" s="112"/>
      <c r="AF214" s="171" t="s">
        <v>1118</v>
      </c>
      <c r="AG214" s="271">
        <v>5.0</v>
      </c>
      <c r="AH214" s="112"/>
      <c r="AI214" s="12"/>
      <c r="AJ214" s="12"/>
    </row>
    <row r="215" ht="14.25" customHeight="1">
      <c r="A215" s="242" t="s">
        <v>1040</v>
      </c>
      <c r="B215" s="257" t="s">
        <v>1119</v>
      </c>
      <c r="C215" s="257" t="s">
        <v>1120</v>
      </c>
      <c r="D215" s="257" t="s">
        <v>1119</v>
      </c>
      <c r="E215" s="258">
        <v>38334.0</v>
      </c>
      <c r="F215" s="258">
        <v>38899.0</v>
      </c>
      <c r="G215" s="257" t="s">
        <v>512</v>
      </c>
      <c r="H215" s="257" t="s">
        <v>519</v>
      </c>
      <c r="I215" s="257" t="s">
        <v>520</v>
      </c>
      <c r="J215" s="112" t="s">
        <v>516</v>
      </c>
      <c r="K215" s="112" t="s">
        <v>446</v>
      </c>
      <c r="L215" s="112" t="s">
        <v>420</v>
      </c>
      <c r="M215" s="112" t="s">
        <v>938</v>
      </c>
      <c r="N215" s="171"/>
      <c r="O215" s="112">
        <v>1.0</v>
      </c>
      <c r="P215" s="271" t="s">
        <v>516</v>
      </c>
      <c r="Q215" s="271" t="s">
        <v>516</v>
      </c>
      <c r="R215" s="271" t="s">
        <v>516</v>
      </c>
      <c r="S215" s="271" t="s">
        <v>548</v>
      </c>
      <c r="T215" s="271" t="s">
        <v>516</v>
      </c>
      <c r="U215" s="112">
        <v>5.0</v>
      </c>
      <c r="V215" s="112"/>
      <c r="W215" s="112"/>
      <c r="X215" s="112"/>
      <c r="Y215" s="112"/>
      <c r="Z215" s="112"/>
      <c r="AA215" s="112"/>
      <c r="AB215" s="112"/>
      <c r="AC215" s="112"/>
      <c r="AD215" s="171" t="s">
        <v>1121</v>
      </c>
      <c r="AE215" s="112"/>
      <c r="AF215" s="171" t="s">
        <v>1122</v>
      </c>
      <c r="AG215" s="271">
        <v>5.0</v>
      </c>
      <c r="AH215" s="112"/>
      <c r="AI215" s="12"/>
      <c r="AJ215" s="12"/>
    </row>
    <row r="216" ht="14.25" customHeight="1">
      <c r="A216" s="242" t="s">
        <v>1040</v>
      </c>
      <c r="B216" s="257" t="s">
        <v>1123</v>
      </c>
      <c r="C216" s="257" t="s">
        <v>1124</v>
      </c>
      <c r="D216" s="257" t="s">
        <v>1123</v>
      </c>
      <c r="E216" s="258">
        <v>38334.0</v>
      </c>
      <c r="F216" s="258">
        <v>38899.0</v>
      </c>
      <c r="G216" s="257" t="s">
        <v>512</v>
      </c>
      <c r="H216" s="257" t="s">
        <v>519</v>
      </c>
      <c r="I216" s="257" t="s">
        <v>520</v>
      </c>
      <c r="J216" s="112" t="s">
        <v>516</v>
      </c>
      <c r="K216" s="112" t="s">
        <v>446</v>
      </c>
      <c r="L216" s="112" t="s">
        <v>420</v>
      </c>
      <c r="M216" s="112" t="s">
        <v>938</v>
      </c>
      <c r="N216" s="171"/>
      <c r="O216" s="112">
        <v>1.0</v>
      </c>
      <c r="P216" s="271" t="s">
        <v>516</v>
      </c>
      <c r="Q216" s="271" t="s">
        <v>516</v>
      </c>
      <c r="R216" s="271" t="s">
        <v>516</v>
      </c>
      <c r="S216" s="271" t="s">
        <v>548</v>
      </c>
      <c r="T216" s="271" t="s">
        <v>548</v>
      </c>
      <c r="U216" s="112">
        <v>5.0</v>
      </c>
      <c r="V216" s="112"/>
      <c r="W216" s="112"/>
      <c r="X216" s="112"/>
      <c r="Y216" s="112"/>
      <c r="Z216" s="112"/>
      <c r="AA216" s="112"/>
      <c r="AB216" s="112"/>
      <c r="AC216" s="112"/>
      <c r="AD216" s="171" t="s">
        <v>1125</v>
      </c>
      <c r="AE216" s="112"/>
      <c r="AF216" s="171" t="s">
        <v>1126</v>
      </c>
      <c r="AG216" s="271">
        <v>5.0</v>
      </c>
      <c r="AH216" s="112"/>
      <c r="AI216" s="12"/>
      <c r="AJ216" s="12"/>
    </row>
    <row r="217" ht="14.25" customHeight="1">
      <c r="A217" s="242" t="s">
        <v>1040</v>
      </c>
      <c r="B217" s="257" t="s">
        <v>1127</v>
      </c>
      <c r="C217" s="257" t="s">
        <v>1128</v>
      </c>
      <c r="D217" s="257" t="s">
        <v>1127</v>
      </c>
      <c r="E217" s="258">
        <v>38334.0</v>
      </c>
      <c r="F217" s="258">
        <v>38899.0</v>
      </c>
      <c r="G217" s="257" t="s">
        <v>512</v>
      </c>
      <c r="H217" s="257" t="s">
        <v>519</v>
      </c>
      <c r="I217" s="257" t="s">
        <v>520</v>
      </c>
      <c r="J217" s="112" t="s">
        <v>516</v>
      </c>
      <c r="K217" s="112" t="s">
        <v>446</v>
      </c>
      <c r="L217" s="112" t="s">
        <v>420</v>
      </c>
      <c r="M217" s="112" t="s">
        <v>938</v>
      </c>
      <c r="N217" s="171"/>
      <c r="O217" s="112">
        <v>1.0</v>
      </c>
      <c r="P217" s="271" t="s">
        <v>516</v>
      </c>
      <c r="Q217" s="271" t="s">
        <v>516</v>
      </c>
      <c r="R217" s="271" t="s">
        <v>516</v>
      </c>
      <c r="S217" s="271" t="s">
        <v>548</v>
      </c>
      <c r="T217" s="271" t="s">
        <v>516</v>
      </c>
      <c r="U217" s="112">
        <v>5.0</v>
      </c>
      <c r="V217" s="112"/>
      <c r="W217" s="112"/>
      <c r="X217" s="112"/>
      <c r="Y217" s="112"/>
      <c r="Z217" s="112"/>
      <c r="AA217" s="112"/>
      <c r="AB217" s="112"/>
      <c r="AC217" s="112"/>
      <c r="AD217" s="171" t="s">
        <v>1129</v>
      </c>
      <c r="AE217" s="112"/>
      <c r="AF217" s="171" t="s">
        <v>1130</v>
      </c>
      <c r="AG217" s="271">
        <v>5.0</v>
      </c>
      <c r="AH217" s="112"/>
      <c r="AI217" s="12"/>
      <c r="AJ217" s="12"/>
    </row>
    <row r="218" ht="14.25" customHeight="1">
      <c r="A218" s="242" t="s">
        <v>1040</v>
      </c>
      <c r="B218" s="257" t="s">
        <v>1131</v>
      </c>
      <c r="C218" s="257" t="s">
        <v>1132</v>
      </c>
      <c r="D218" s="257" t="s">
        <v>1131</v>
      </c>
      <c r="E218" s="258">
        <v>38485.0</v>
      </c>
      <c r="F218" s="258">
        <v>38899.0</v>
      </c>
      <c r="G218" s="257" t="s">
        <v>512</v>
      </c>
      <c r="H218" s="257" t="s">
        <v>513</v>
      </c>
      <c r="I218" s="257" t="s">
        <v>520</v>
      </c>
      <c r="J218" s="171"/>
      <c r="K218" s="171"/>
      <c r="L218" s="171"/>
      <c r="M218" s="171"/>
      <c r="N218" s="171"/>
      <c r="O218" s="171"/>
      <c r="P218" s="270"/>
      <c r="Q218" s="270"/>
      <c r="R218" s="270"/>
      <c r="S218" s="270"/>
      <c r="T218" s="270"/>
      <c r="U218" s="112"/>
      <c r="V218" s="112"/>
      <c r="W218" s="112"/>
      <c r="X218" s="112"/>
      <c r="Y218" s="112"/>
      <c r="Z218" s="112"/>
      <c r="AA218" s="112"/>
      <c r="AB218" s="112"/>
      <c r="AC218" s="112"/>
      <c r="AD218" s="112"/>
      <c r="AE218" s="112"/>
      <c r="AF218" s="112"/>
      <c r="AG218" s="271">
        <v>5.0</v>
      </c>
      <c r="AH218" s="112"/>
      <c r="AI218" s="12"/>
      <c r="AJ218" s="12"/>
    </row>
    <row r="219" ht="14.25" customHeight="1">
      <c r="A219" s="242" t="s">
        <v>1040</v>
      </c>
      <c r="B219" s="257" t="s">
        <v>1133</v>
      </c>
      <c r="C219" s="257" t="s">
        <v>1132</v>
      </c>
      <c r="D219" s="257" t="s">
        <v>1133</v>
      </c>
      <c r="E219" s="258">
        <v>38899.0</v>
      </c>
      <c r="F219" s="278">
        <v>40421.0</v>
      </c>
      <c r="G219" s="279" t="s">
        <v>512</v>
      </c>
      <c r="H219" s="257" t="s">
        <v>513</v>
      </c>
      <c r="I219" s="257" t="s">
        <v>520</v>
      </c>
      <c r="J219" s="171"/>
      <c r="K219" s="171"/>
      <c r="L219" s="171"/>
      <c r="M219" s="171"/>
      <c r="N219" s="171"/>
      <c r="O219" s="171"/>
      <c r="P219" s="270"/>
      <c r="Q219" s="270"/>
      <c r="R219" s="270"/>
      <c r="S219" s="270"/>
      <c r="T219" s="270"/>
      <c r="U219" s="112"/>
      <c r="V219" s="112"/>
      <c r="W219" s="112"/>
      <c r="X219" s="112"/>
      <c r="Y219" s="112"/>
      <c r="Z219" s="112"/>
      <c r="AA219" s="112"/>
      <c r="AB219" s="112"/>
      <c r="AC219" s="112"/>
      <c r="AD219" s="112"/>
      <c r="AE219" s="112"/>
      <c r="AF219" s="112"/>
      <c r="AG219" s="271">
        <v>5.0</v>
      </c>
      <c r="AH219" s="112"/>
      <c r="AI219" s="12"/>
      <c r="AJ219" s="12"/>
    </row>
    <row r="220" ht="14.25" customHeight="1">
      <c r="A220" s="242" t="s">
        <v>1040</v>
      </c>
      <c r="B220" s="257" t="s">
        <v>1134</v>
      </c>
      <c r="C220" s="257" t="s">
        <v>1132</v>
      </c>
      <c r="D220" s="257" t="s">
        <v>1134</v>
      </c>
      <c r="E220" s="258">
        <v>40609.0</v>
      </c>
      <c r="F220" s="278">
        <v>41640.0</v>
      </c>
      <c r="G220" s="279" t="s">
        <v>512</v>
      </c>
      <c r="H220" s="257" t="s">
        <v>513</v>
      </c>
      <c r="I220" s="257" t="s">
        <v>520</v>
      </c>
      <c r="J220" s="171"/>
      <c r="K220" s="171"/>
      <c r="L220" s="171"/>
      <c r="M220" s="171"/>
      <c r="N220" s="171"/>
      <c r="O220" s="171"/>
      <c r="P220" s="270"/>
      <c r="Q220" s="270"/>
      <c r="R220" s="270"/>
      <c r="S220" s="270"/>
      <c r="T220" s="270"/>
      <c r="U220" s="112"/>
      <c r="V220" s="112"/>
      <c r="W220" s="112"/>
      <c r="X220" s="112"/>
      <c r="Y220" s="112"/>
      <c r="Z220" s="112"/>
      <c r="AA220" s="112"/>
      <c r="AB220" s="112"/>
      <c r="AC220" s="112"/>
      <c r="AD220" s="112"/>
      <c r="AE220" s="112"/>
      <c r="AF220" s="112"/>
      <c r="AG220" s="271">
        <v>5.0</v>
      </c>
      <c r="AH220" s="112"/>
      <c r="AI220" s="12"/>
      <c r="AJ220" s="12"/>
    </row>
    <row r="221" ht="14.25" customHeight="1">
      <c r="A221" s="242" t="s">
        <v>1040</v>
      </c>
      <c r="B221" s="257" t="s">
        <v>1135</v>
      </c>
      <c r="C221" s="257" t="s">
        <v>1136</v>
      </c>
      <c r="D221" s="257" t="s">
        <v>1135</v>
      </c>
      <c r="E221" s="258">
        <v>38485.0</v>
      </c>
      <c r="F221" s="258">
        <v>38899.0</v>
      </c>
      <c r="G221" s="257" t="s">
        <v>512</v>
      </c>
      <c r="H221" s="257" t="s">
        <v>513</v>
      </c>
      <c r="I221" s="257" t="s">
        <v>520</v>
      </c>
      <c r="J221" s="171"/>
      <c r="K221" s="171"/>
      <c r="L221" s="171"/>
      <c r="M221" s="171"/>
      <c r="N221" s="171"/>
      <c r="O221" s="171"/>
      <c r="P221" s="270"/>
      <c r="Q221" s="270"/>
      <c r="R221" s="270"/>
      <c r="S221" s="270"/>
      <c r="T221" s="270"/>
      <c r="U221" s="112"/>
      <c r="V221" s="112"/>
      <c r="W221" s="112"/>
      <c r="X221" s="112"/>
      <c r="Y221" s="112"/>
      <c r="Z221" s="112"/>
      <c r="AA221" s="112"/>
      <c r="AB221" s="112"/>
      <c r="AC221" s="112"/>
      <c r="AD221" s="112"/>
      <c r="AE221" s="112"/>
      <c r="AF221" s="112"/>
      <c r="AG221" s="271">
        <v>5.0</v>
      </c>
      <c r="AH221" s="112"/>
      <c r="AI221" s="12"/>
      <c r="AJ221" s="12"/>
    </row>
    <row r="222" ht="14.25" customHeight="1">
      <c r="A222" s="242" t="s">
        <v>1040</v>
      </c>
      <c r="B222" s="257" t="s">
        <v>1137</v>
      </c>
      <c r="C222" s="257" t="s">
        <v>1136</v>
      </c>
      <c r="D222" s="257" t="s">
        <v>1137</v>
      </c>
      <c r="E222" s="258">
        <v>38899.0</v>
      </c>
      <c r="F222" s="278">
        <v>40421.0</v>
      </c>
      <c r="G222" s="279" t="s">
        <v>512</v>
      </c>
      <c r="H222" s="257" t="s">
        <v>513</v>
      </c>
      <c r="I222" s="257" t="s">
        <v>520</v>
      </c>
      <c r="J222" s="171"/>
      <c r="K222" s="171"/>
      <c r="L222" s="171"/>
      <c r="M222" s="171"/>
      <c r="N222" s="171"/>
      <c r="O222" s="171"/>
      <c r="P222" s="270"/>
      <c r="Q222" s="270"/>
      <c r="R222" s="270"/>
      <c r="S222" s="270"/>
      <c r="T222" s="270"/>
      <c r="U222" s="112"/>
      <c r="V222" s="112"/>
      <c r="W222" s="112"/>
      <c r="X222" s="112"/>
      <c r="Y222" s="112"/>
      <c r="Z222" s="112"/>
      <c r="AA222" s="112"/>
      <c r="AB222" s="112"/>
      <c r="AC222" s="112"/>
      <c r="AD222" s="112"/>
      <c r="AE222" s="112"/>
      <c r="AF222" s="112"/>
      <c r="AG222" s="271">
        <v>5.0</v>
      </c>
      <c r="AH222" s="112"/>
      <c r="AI222" s="12"/>
      <c r="AJ222" s="12"/>
    </row>
    <row r="223" ht="14.25" customHeight="1">
      <c r="A223" s="242" t="s">
        <v>1040</v>
      </c>
      <c r="B223" s="257" t="s">
        <v>1138</v>
      </c>
      <c r="C223" s="257" t="s">
        <v>1136</v>
      </c>
      <c r="D223" s="257" t="s">
        <v>1138</v>
      </c>
      <c r="E223" s="258">
        <v>40609.0</v>
      </c>
      <c r="F223" s="278">
        <v>41640.0</v>
      </c>
      <c r="G223" s="279" t="s">
        <v>512</v>
      </c>
      <c r="H223" s="257" t="s">
        <v>513</v>
      </c>
      <c r="I223" s="257" t="s">
        <v>520</v>
      </c>
      <c r="J223" s="171"/>
      <c r="K223" s="171"/>
      <c r="L223" s="171"/>
      <c r="M223" s="171"/>
      <c r="N223" s="171"/>
      <c r="O223" s="171"/>
      <c r="P223" s="270"/>
      <c r="Q223" s="270"/>
      <c r="R223" s="270"/>
      <c r="S223" s="270"/>
      <c r="T223" s="270"/>
      <c r="U223" s="112"/>
      <c r="V223" s="112"/>
      <c r="W223" s="112"/>
      <c r="X223" s="112"/>
      <c r="Y223" s="112"/>
      <c r="Z223" s="112"/>
      <c r="AA223" s="112"/>
      <c r="AB223" s="112"/>
      <c r="AC223" s="112"/>
      <c r="AD223" s="112"/>
      <c r="AE223" s="112"/>
      <c r="AF223" s="112"/>
      <c r="AG223" s="271">
        <v>5.0</v>
      </c>
      <c r="AH223" s="112"/>
      <c r="AI223" s="12"/>
      <c r="AJ223" s="12"/>
    </row>
    <row r="224" ht="14.25" customHeight="1">
      <c r="A224" s="242" t="s">
        <v>1040</v>
      </c>
      <c r="B224" s="257" t="s">
        <v>1139</v>
      </c>
      <c r="C224" s="257" t="s">
        <v>1140</v>
      </c>
      <c r="D224" s="257" t="s">
        <v>1139</v>
      </c>
      <c r="E224" s="258">
        <v>38531.0</v>
      </c>
      <c r="F224" s="258">
        <v>38899.0</v>
      </c>
      <c r="G224" s="257" t="s">
        <v>512</v>
      </c>
      <c r="H224" s="257" t="s">
        <v>519</v>
      </c>
      <c r="I224" s="257" t="s">
        <v>520</v>
      </c>
      <c r="J224" s="112" t="s">
        <v>516</v>
      </c>
      <c r="K224" s="112" t="s">
        <v>427</v>
      </c>
      <c r="L224" s="112" t="s">
        <v>420</v>
      </c>
      <c r="M224" s="112" t="s">
        <v>938</v>
      </c>
      <c r="N224" s="171"/>
      <c r="O224" s="112">
        <v>7.0</v>
      </c>
      <c r="P224" s="271" t="s">
        <v>516</v>
      </c>
      <c r="Q224" s="271" t="s">
        <v>516</v>
      </c>
      <c r="R224" s="271" t="s">
        <v>516</v>
      </c>
      <c r="S224" s="271" t="s">
        <v>548</v>
      </c>
      <c r="T224" s="271" t="s">
        <v>516</v>
      </c>
      <c r="U224" s="112">
        <v>2.0</v>
      </c>
      <c r="V224" s="112"/>
      <c r="W224" s="112"/>
      <c r="X224" s="112"/>
      <c r="Y224" s="112"/>
      <c r="Z224" s="112"/>
      <c r="AA224" s="112"/>
      <c r="AB224" s="112"/>
      <c r="AC224" s="112"/>
      <c r="AD224" s="171" t="s">
        <v>1141</v>
      </c>
      <c r="AE224" s="112"/>
      <c r="AF224" s="171" t="s">
        <v>1142</v>
      </c>
      <c r="AG224" s="271">
        <v>5.0</v>
      </c>
      <c r="AH224" s="112"/>
      <c r="AI224" s="12"/>
      <c r="AJ224" s="12"/>
    </row>
    <row r="225" ht="14.25" customHeight="1">
      <c r="A225" s="242" t="s">
        <v>1040</v>
      </c>
      <c r="B225" s="257" t="s">
        <v>1143</v>
      </c>
      <c r="C225" s="257" t="s">
        <v>1144</v>
      </c>
      <c r="D225" s="257" t="s">
        <v>1143</v>
      </c>
      <c r="E225" s="258">
        <v>38574.0</v>
      </c>
      <c r="F225" s="258">
        <v>38899.0</v>
      </c>
      <c r="G225" s="257" t="s">
        <v>512</v>
      </c>
      <c r="H225" s="257" t="s">
        <v>513</v>
      </c>
      <c r="I225" s="257" t="s">
        <v>520</v>
      </c>
      <c r="J225" s="171"/>
      <c r="K225" s="171"/>
      <c r="L225" s="171"/>
      <c r="M225" s="171"/>
      <c r="N225" s="171"/>
      <c r="O225" s="171"/>
      <c r="P225" s="270"/>
      <c r="Q225" s="270"/>
      <c r="R225" s="270"/>
      <c r="S225" s="270"/>
      <c r="T225" s="270"/>
      <c r="U225" s="112"/>
      <c r="V225" s="112"/>
      <c r="W225" s="112"/>
      <c r="X225" s="112"/>
      <c r="Y225" s="112"/>
      <c r="Z225" s="112"/>
      <c r="AA225" s="112"/>
      <c r="AB225" s="112"/>
      <c r="AC225" s="112"/>
      <c r="AD225" s="112"/>
      <c r="AE225" s="112"/>
      <c r="AF225" s="112"/>
      <c r="AG225" s="271">
        <v>5.0</v>
      </c>
      <c r="AH225" s="112"/>
      <c r="AI225" s="12"/>
      <c r="AJ225" s="12"/>
    </row>
    <row r="226" ht="14.25" customHeight="1">
      <c r="A226" s="242" t="s">
        <v>1040</v>
      </c>
      <c r="B226" s="257" t="s">
        <v>1145</v>
      </c>
      <c r="C226" s="257" t="s">
        <v>1144</v>
      </c>
      <c r="D226" s="257" t="s">
        <v>1145</v>
      </c>
      <c r="E226" s="258">
        <v>38899.0</v>
      </c>
      <c r="F226" s="278">
        <v>40421.0</v>
      </c>
      <c r="G226" s="279" t="s">
        <v>512</v>
      </c>
      <c r="H226" s="257" t="s">
        <v>513</v>
      </c>
      <c r="I226" s="257" t="s">
        <v>520</v>
      </c>
      <c r="J226" s="171"/>
      <c r="K226" s="171"/>
      <c r="L226" s="171"/>
      <c r="M226" s="171"/>
      <c r="N226" s="171"/>
      <c r="O226" s="171"/>
      <c r="P226" s="270"/>
      <c r="Q226" s="270"/>
      <c r="R226" s="270"/>
      <c r="S226" s="270"/>
      <c r="T226" s="270"/>
      <c r="U226" s="112"/>
      <c r="V226" s="112"/>
      <c r="W226" s="112"/>
      <c r="X226" s="112"/>
      <c r="Y226" s="112"/>
      <c r="Z226" s="112"/>
      <c r="AA226" s="112"/>
      <c r="AB226" s="112"/>
      <c r="AC226" s="112"/>
      <c r="AD226" s="112"/>
      <c r="AE226" s="112"/>
      <c r="AF226" s="112"/>
      <c r="AG226" s="271">
        <v>5.0</v>
      </c>
      <c r="AH226" s="112"/>
      <c r="AI226" s="12"/>
      <c r="AJ226" s="12"/>
    </row>
    <row r="227" ht="14.25" customHeight="1">
      <c r="A227" s="242" t="s">
        <v>1040</v>
      </c>
      <c r="B227" s="257" t="s">
        <v>1146</v>
      </c>
      <c r="C227" s="257" t="s">
        <v>1147</v>
      </c>
      <c r="D227" s="257" t="s">
        <v>1146</v>
      </c>
      <c r="E227" s="258">
        <v>38574.0</v>
      </c>
      <c r="F227" s="258">
        <v>38899.0</v>
      </c>
      <c r="G227" s="257" t="s">
        <v>512</v>
      </c>
      <c r="H227" s="257" t="s">
        <v>513</v>
      </c>
      <c r="I227" s="257" t="s">
        <v>520</v>
      </c>
      <c r="J227" s="171"/>
      <c r="K227" s="171"/>
      <c r="L227" s="171"/>
      <c r="M227" s="171"/>
      <c r="N227" s="171"/>
      <c r="O227" s="171"/>
      <c r="P227" s="270"/>
      <c r="Q227" s="270"/>
      <c r="R227" s="270"/>
      <c r="S227" s="270"/>
      <c r="T227" s="270"/>
      <c r="U227" s="112"/>
      <c r="V227" s="112"/>
      <c r="W227" s="112"/>
      <c r="X227" s="112"/>
      <c r="Y227" s="112"/>
      <c r="Z227" s="112"/>
      <c r="AA227" s="112"/>
      <c r="AB227" s="112"/>
      <c r="AC227" s="112"/>
      <c r="AD227" s="112"/>
      <c r="AE227" s="112"/>
      <c r="AF227" s="112"/>
      <c r="AG227" s="271">
        <v>5.0</v>
      </c>
      <c r="AH227" s="112"/>
      <c r="AI227" s="12"/>
      <c r="AJ227" s="12"/>
    </row>
    <row r="228" ht="14.25" customHeight="1">
      <c r="A228" s="242" t="s">
        <v>1040</v>
      </c>
      <c r="B228" s="257" t="s">
        <v>1148</v>
      </c>
      <c r="C228" s="257" t="s">
        <v>1147</v>
      </c>
      <c r="D228" s="257" t="s">
        <v>1148</v>
      </c>
      <c r="E228" s="258">
        <v>38899.0</v>
      </c>
      <c r="F228" s="278">
        <v>40421.0</v>
      </c>
      <c r="G228" s="279" t="s">
        <v>512</v>
      </c>
      <c r="H228" s="257" t="s">
        <v>513</v>
      </c>
      <c r="I228" s="257" t="s">
        <v>520</v>
      </c>
      <c r="J228" s="171"/>
      <c r="K228" s="171"/>
      <c r="L228" s="171"/>
      <c r="M228" s="171"/>
      <c r="N228" s="171"/>
      <c r="O228" s="171"/>
      <c r="P228" s="270"/>
      <c r="Q228" s="270"/>
      <c r="R228" s="270"/>
      <c r="S228" s="270"/>
      <c r="T228" s="270"/>
      <c r="U228" s="112"/>
      <c r="V228" s="112"/>
      <c r="W228" s="112"/>
      <c r="X228" s="112"/>
      <c r="Y228" s="112"/>
      <c r="Z228" s="112"/>
      <c r="AA228" s="112"/>
      <c r="AB228" s="112"/>
      <c r="AC228" s="112"/>
      <c r="AD228" s="112"/>
      <c r="AE228" s="112"/>
      <c r="AF228" s="112"/>
      <c r="AG228" s="271">
        <v>5.0</v>
      </c>
      <c r="AH228" s="112"/>
      <c r="AI228" s="12"/>
      <c r="AJ228" s="12"/>
    </row>
    <row r="229" ht="14.25" customHeight="1">
      <c r="A229" s="242" t="s">
        <v>1040</v>
      </c>
      <c r="B229" s="257" t="s">
        <v>1149</v>
      </c>
      <c r="C229" s="257" t="s">
        <v>1150</v>
      </c>
      <c r="D229" s="257" t="s">
        <v>1149</v>
      </c>
      <c r="E229" s="258">
        <v>38899.0</v>
      </c>
      <c r="F229" s="258">
        <v>40179.0</v>
      </c>
      <c r="G229" s="257" t="s">
        <v>512</v>
      </c>
      <c r="H229" s="257" t="s">
        <v>519</v>
      </c>
      <c r="I229" s="257" t="s">
        <v>520</v>
      </c>
      <c r="J229" s="112" t="s">
        <v>516</v>
      </c>
      <c r="K229" s="112" t="s">
        <v>427</v>
      </c>
      <c r="L229" s="112" t="s">
        <v>420</v>
      </c>
      <c r="M229" s="112" t="s">
        <v>475</v>
      </c>
      <c r="N229" s="171"/>
      <c r="O229" s="112">
        <v>9.0</v>
      </c>
      <c r="P229" s="271" t="s">
        <v>516</v>
      </c>
      <c r="Q229" s="271" t="s">
        <v>516</v>
      </c>
      <c r="R229" s="271" t="s">
        <v>516</v>
      </c>
      <c r="S229" s="271" t="s">
        <v>516</v>
      </c>
      <c r="T229" s="271" t="s">
        <v>516</v>
      </c>
      <c r="U229" s="112">
        <v>2.0</v>
      </c>
      <c r="V229" s="112"/>
      <c r="W229" s="112"/>
      <c r="X229" s="112"/>
      <c r="Y229" s="112"/>
      <c r="Z229" s="112"/>
      <c r="AA229" s="112"/>
      <c r="AB229" s="112"/>
      <c r="AC229" s="112"/>
      <c r="AD229" s="171" t="s">
        <v>1151</v>
      </c>
      <c r="AE229" s="112"/>
      <c r="AF229" s="171" t="s">
        <v>1152</v>
      </c>
      <c r="AG229" s="271">
        <v>5.0</v>
      </c>
      <c r="AH229" s="112"/>
      <c r="AI229" s="12"/>
      <c r="AJ229" s="12"/>
    </row>
    <row r="230" ht="14.25" customHeight="1">
      <c r="A230" s="242" t="s">
        <v>1040</v>
      </c>
      <c r="B230" s="257" t="s">
        <v>1153</v>
      </c>
      <c r="C230" s="257" t="s">
        <v>1154</v>
      </c>
      <c r="D230" s="257" t="s">
        <v>1153</v>
      </c>
      <c r="E230" s="258">
        <v>38899.0</v>
      </c>
      <c r="F230" s="258">
        <v>40179.0</v>
      </c>
      <c r="G230" s="257" t="s">
        <v>512</v>
      </c>
      <c r="H230" s="257" t="s">
        <v>519</v>
      </c>
      <c r="I230" s="257" t="s">
        <v>520</v>
      </c>
      <c r="J230" s="112" t="s">
        <v>516</v>
      </c>
      <c r="K230" s="112" t="s">
        <v>427</v>
      </c>
      <c r="L230" s="112" t="s">
        <v>420</v>
      </c>
      <c r="M230" s="112" t="s">
        <v>475</v>
      </c>
      <c r="N230" s="171"/>
      <c r="O230" s="112">
        <v>7.0</v>
      </c>
      <c r="P230" s="271" t="s">
        <v>516</v>
      </c>
      <c r="Q230" s="271" t="s">
        <v>516</v>
      </c>
      <c r="R230" s="271" t="s">
        <v>516</v>
      </c>
      <c r="S230" s="271" t="s">
        <v>516</v>
      </c>
      <c r="T230" s="271" t="s">
        <v>548</v>
      </c>
      <c r="U230" s="112">
        <v>2.0</v>
      </c>
      <c r="V230" s="112"/>
      <c r="W230" s="112"/>
      <c r="X230" s="112"/>
      <c r="Y230" s="112"/>
      <c r="Z230" s="112"/>
      <c r="AA230" s="112"/>
      <c r="AB230" s="112"/>
      <c r="AC230" s="112"/>
      <c r="AD230" s="171" t="s">
        <v>1155</v>
      </c>
      <c r="AE230" s="112"/>
      <c r="AF230" s="171" t="s">
        <v>1156</v>
      </c>
      <c r="AG230" s="271">
        <v>5.0</v>
      </c>
      <c r="AH230" s="112"/>
      <c r="AI230" s="12"/>
      <c r="AJ230" s="12"/>
    </row>
    <row r="231" ht="14.25" customHeight="1">
      <c r="A231" s="242" t="s">
        <v>1040</v>
      </c>
      <c r="B231" s="257" t="s">
        <v>1157</v>
      </c>
      <c r="C231" s="257" t="s">
        <v>1158</v>
      </c>
      <c r="D231" s="257" t="s">
        <v>1157</v>
      </c>
      <c r="E231" s="258">
        <v>38899.0</v>
      </c>
      <c r="F231" s="258">
        <v>40179.0</v>
      </c>
      <c r="G231" s="257" t="s">
        <v>512</v>
      </c>
      <c r="H231" s="257" t="s">
        <v>519</v>
      </c>
      <c r="I231" s="257" t="s">
        <v>520</v>
      </c>
      <c r="J231" s="171"/>
      <c r="K231" s="171"/>
      <c r="L231" s="171"/>
      <c r="M231" s="171"/>
      <c r="N231" s="171"/>
      <c r="O231" s="171"/>
      <c r="P231" s="270"/>
      <c r="Q231" s="270"/>
      <c r="R231" s="270"/>
      <c r="S231" s="270"/>
      <c r="T231" s="270"/>
      <c r="U231" s="112"/>
      <c r="V231" s="112"/>
      <c r="W231" s="112"/>
      <c r="X231" s="112"/>
      <c r="Y231" s="112"/>
      <c r="Z231" s="112"/>
      <c r="AA231" s="112"/>
      <c r="AB231" s="112"/>
      <c r="AC231" s="112"/>
      <c r="AD231" s="112"/>
      <c r="AE231" s="112"/>
      <c r="AF231" s="112"/>
      <c r="AG231" s="271">
        <v>5.0</v>
      </c>
      <c r="AH231" s="112"/>
      <c r="AI231" s="12"/>
      <c r="AJ231" s="12"/>
    </row>
    <row r="232" ht="14.25" customHeight="1">
      <c r="A232" s="242" t="s">
        <v>1040</v>
      </c>
      <c r="B232" s="257" t="s">
        <v>1159</v>
      </c>
      <c r="C232" s="257" t="s">
        <v>1160</v>
      </c>
      <c r="D232" s="257" t="s">
        <v>1159</v>
      </c>
      <c r="E232" s="258">
        <v>38899.0</v>
      </c>
      <c r="F232" s="258">
        <v>40179.0</v>
      </c>
      <c r="G232" s="257" t="s">
        <v>512</v>
      </c>
      <c r="H232" s="257" t="s">
        <v>519</v>
      </c>
      <c r="I232" s="257" t="s">
        <v>520</v>
      </c>
      <c r="J232" s="112" t="s">
        <v>516</v>
      </c>
      <c r="K232" s="112" t="s">
        <v>427</v>
      </c>
      <c r="L232" s="112" t="s">
        <v>420</v>
      </c>
      <c r="M232" s="112" t="s">
        <v>475</v>
      </c>
      <c r="N232" s="171"/>
      <c r="O232" s="112">
        <v>7.0</v>
      </c>
      <c r="P232" s="271" t="s">
        <v>516</v>
      </c>
      <c r="Q232" s="271" t="s">
        <v>516</v>
      </c>
      <c r="R232" s="271" t="s">
        <v>516</v>
      </c>
      <c r="S232" s="271" t="s">
        <v>516</v>
      </c>
      <c r="T232" s="271" t="s">
        <v>516</v>
      </c>
      <c r="U232" s="112">
        <v>2.0</v>
      </c>
      <c r="V232" s="112"/>
      <c r="W232" s="112"/>
      <c r="X232" s="112"/>
      <c r="Y232" s="112"/>
      <c r="Z232" s="112"/>
      <c r="AA232" s="112"/>
      <c r="AB232" s="112"/>
      <c r="AC232" s="112"/>
      <c r="AD232" s="171" t="s">
        <v>1161</v>
      </c>
      <c r="AE232" s="112"/>
      <c r="AF232" s="112"/>
      <c r="AG232" s="271">
        <v>5.0</v>
      </c>
      <c r="AH232" s="112"/>
      <c r="AI232" s="12"/>
      <c r="AJ232" s="12"/>
    </row>
    <row r="233" ht="14.25" customHeight="1">
      <c r="A233" s="242" t="s">
        <v>1040</v>
      </c>
      <c r="B233" s="257" t="s">
        <v>1162</v>
      </c>
      <c r="C233" s="257" t="s">
        <v>1163</v>
      </c>
      <c r="D233" s="257" t="s">
        <v>1162</v>
      </c>
      <c r="E233" s="258">
        <v>38899.0</v>
      </c>
      <c r="F233" s="258">
        <v>40179.0</v>
      </c>
      <c r="G233" s="257" t="s">
        <v>512</v>
      </c>
      <c r="H233" s="257" t="s">
        <v>519</v>
      </c>
      <c r="I233" s="257" t="s">
        <v>520</v>
      </c>
      <c r="J233" s="112" t="s">
        <v>516</v>
      </c>
      <c r="K233" s="112" t="s">
        <v>418</v>
      </c>
      <c r="L233" s="112" t="s">
        <v>420</v>
      </c>
      <c r="M233" s="112" t="s">
        <v>475</v>
      </c>
      <c r="N233" s="171"/>
      <c r="O233" s="112">
        <v>8.0</v>
      </c>
      <c r="P233" s="271" t="s">
        <v>516</v>
      </c>
      <c r="Q233" s="271" t="s">
        <v>516</v>
      </c>
      <c r="R233" s="271" t="s">
        <v>516</v>
      </c>
      <c r="S233" s="271" t="s">
        <v>516</v>
      </c>
      <c r="T233" s="271" t="s">
        <v>516</v>
      </c>
      <c r="U233" s="112">
        <v>2.0</v>
      </c>
      <c r="V233" s="112"/>
      <c r="W233" s="112"/>
      <c r="X233" s="112"/>
      <c r="Y233" s="112"/>
      <c r="Z233" s="112"/>
      <c r="AA233" s="112"/>
      <c r="AB233" s="112"/>
      <c r="AC233" s="112"/>
      <c r="AD233" s="171" t="s">
        <v>1164</v>
      </c>
      <c r="AE233" s="112"/>
      <c r="AF233" s="171" t="s">
        <v>1165</v>
      </c>
      <c r="AG233" s="271">
        <v>5.0</v>
      </c>
      <c r="AH233" s="112"/>
      <c r="AI233" s="12"/>
      <c r="AJ233" s="12"/>
    </row>
    <row r="234" ht="14.25" customHeight="1">
      <c r="A234" s="242" t="s">
        <v>1040</v>
      </c>
      <c r="B234" s="257" t="s">
        <v>1166</v>
      </c>
      <c r="C234" s="257" t="s">
        <v>1167</v>
      </c>
      <c r="D234" s="257" t="s">
        <v>1166</v>
      </c>
      <c r="E234" s="258">
        <v>38899.0</v>
      </c>
      <c r="F234" s="258">
        <v>40179.0</v>
      </c>
      <c r="G234" s="257" t="s">
        <v>512</v>
      </c>
      <c r="H234" s="257" t="s">
        <v>519</v>
      </c>
      <c r="I234" s="257" t="s">
        <v>520</v>
      </c>
      <c r="J234" s="112" t="s">
        <v>516</v>
      </c>
      <c r="K234" s="112" t="s">
        <v>430</v>
      </c>
      <c r="L234" s="112" t="s">
        <v>420</v>
      </c>
      <c r="M234" s="112" t="s">
        <v>475</v>
      </c>
      <c r="N234" s="171"/>
      <c r="O234" s="112">
        <v>9.0</v>
      </c>
      <c r="P234" s="271" t="s">
        <v>516</v>
      </c>
      <c r="Q234" s="271" t="s">
        <v>516</v>
      </c>
      <c r="R234" s="271" t="s">
        <v>516</v>
      </c>
      <c r="S234" s="271" t="s">
        <v>516</v>
      </c>
      <c r="T234" s="271" t="s">
        <v>516</v>
      </c>
      <c r="U234" s="112">
        <v>2.0</v>
      </c>
      <c r="V234" s="112"/>
      <c r="W234" s="112"/>
      <c r="X234" s="112"/>
      <c r="Y234" s="112"/>
      <c r="Z234" s="112"/>
      <c r="AA234" s="112"/>
      <c r="AB234" s="112"/>
      <c r="AC234" s="112"/>
      <c r="AD234" s="171" t="s">
        <v>1168</v>
      </c>
      <c r="AE234" s="112"/>
      <c r="AF234" s="171" t="s">
        <v>1169</v>
      </c>
      <c r="AG234" s="271">
        <v>5.0</v>
      </c>
      <c r="AH234" s="112"/>
      <c r="AI234" s="12"/>
      <c r="AJ234" s="12"/>
    </row>
    <row r="235" ht="14.25" customHeight="1">
      <c r="A235" s="242" t="s">
        <v>1040</v>
      </c>
      <c r="B235" s="257" t="s">
        <v>1170</v>
      </c>
      <c r="C235" s="257" t="s">
        <v>1171</v>
      </c>
      <c r="D235" s="257" t="s">
        <v>1170</v>
      </c>
      <c r="E235" s="258">
        <v>38899.0</v>
      </c>
      <c r="F235" s="258">
        <v>40179.0</v>
      </c>
      <c r="G235" s="257" t="s">
        <v>512</v>
      </c>
      <c r="H235" s="257" t="s">
        <v>519</v>
      </c>
      <c r="I235" s="257" t="s">
        <v>520</v>
      </c>
      <c r="J235" s="112" t="s">
        <v>516</v>
      </c>
      <c r="K235" s="112" t="s">
        <v>430</v>
      </c>
      <c r="L235" s="112" t="s">
        <v>420</v>
      </c>
      <c r="M235" s="112" t="s">
        <v>475</v>
      </c>
      <c r="N235" s="171"/>
      <c r="O235" s="112">
        <v>6.0</v>
      </c>
      <c r="P235" s="271" t="s">
        <v>516</v>
      </c>
      <c r="Q235" s="271" t="s">
        <v>516</v>
      </c>
      <c r="R235" s="271" t="s">
        <v>516</v>
      </c>
      <c r="S235" s="271" t="s">
        <v>516</v>
      </c>
      <c r="T235" s="271" t="s">
        <v>516</v>
      </c>
      <c r="U235" s="112"/>
      <c r="V235" s="112"/>
      <c r="W235" s="112"/>
      <c r="X235" s="112"/>
      <c r="Y235" s="112"/>
      <c r="Z235" s="112"/>
      <c r="AA235" s="112"/>
      <c r="AB235" s="112"/>
      <c r="AC235" s="112"/>
      <c r="AD235" s="171" t="s">
        <v>1172</v>
      </c>
      <c r="AE235" s="112"/>
      <c r="AF235" s="171" t="s">
        <v>1173</v>
      </c>
      <c r="AG235" s="271">
        <v>5.0</v>
      </c>
      <c r="AH235" s="112"/>
      <c r="AI235" s="12"/>
      <c r="AJ235" s="12"/>
    </row>
    <row r="236" ht="14.25" customHeight="1">
      <c r="A236" s="242" t="s">
        <v>1040</v>
      </c>
      <c r="B236" s="257" t="s">
        <v>1174</v>
      </c>
      <c r="C236" s="257" t="s">
        <v>1175</v>
      </c>
      <c r="D236" s="257" t="s">
        <v>1174</v>
      </c>
      <c r="E236" s="258">
        <v>38899.0</v>
      </c>
      <c r="F236" s="258">
        <v>40179.0</v>
      </c>
      <c r="G236" s="257" t="s">
        <v>512</v>
      </c>
      <c r="H236" s="257" t="s">
        <v>519</v>
      </c>
      <c r="I236" s="257" t="s">
        <v>520</v>
      </c>
      <c r="J236" s="112" t="s">
        <v>516</v>
      </c>
      <c r="K236" s="112" t="s">
        <v>446</v>
      </c>
      <c r="L236" s="112" t="s">
        <v>420</v>
      </c>
      <c r="M236" s="112" t="s">
        <v>475</v>
      </c>
      <c r="N236" s="171"/>
      <c r="O236" s="112">
        <v>1.0</v>
      </c>
      <c r="P236" s="271" t="s">
        <v>516</v>
      </c>
      <c r="Q236" s="271" t="s">
        <v>516</v>
      </c>
      <c r="R236" s="271" t="s">
        <v>516</v>
      </c>
      <c r="S236" s="271" t="s">
        <v>516</v>
      </c>
      <c r="T236" s="271" t="s">
        <v>516</v>
      </c>
      <c r="U236" s="112">
        <v>2.0</v>
      </c>
      <c r="V236" s="112"/>
      <c r="W236" s="112"/>
      <c r="X236" s="112"/>
      <c r="Y236" s="112"/>
      <c r="Z236" s="112"/>
      <c r="AA236" s="112"/>
      <c r="AB236" s="112"/>
      <c r="AC236" s="112"/>
      <c r="AD236" s="171" t="s">
        <v>1074</v>
      </c>
      <c r="AE236" s="112"/>
      <c r="AF236" s="171" t="s">
        <v>1075</v>
      </c>
      <c r="AG236" s="271">
        <v>5.0</v>
      </c>
      <c r="AH236" s="112"/>
      <c r="AI236" s="12"/>
      <c r="AJ236" s="12"/>
    </row>
    <row r="237" ht="14.25" customHeight="1">
      <c r="A237" s="242" t="s">
        <v>1040</v>
      </c>
      <c r="B237" s="257" t="s">
        <v>1176</v>
      </c>
      <c r="C237" s="257" t="s">
        <v>1177</v>
      </c>
      <c r="D237" s="257" t="s">
        <v>1176</v>
      </c>
      <c r="E237" s="258">
        <v>38899.0</v>
      </c>
      <c r="F237" s="258">
        <v>40179.0</v>
      </c>
      <c r="G237" s="257" t="s">
        <v>512</v>
      </c>
      <c r="H237" s="257" t="s">
        <v>519</v>
      </c>
      <c r="I237" s="257" t="s">
        <v>520</v>
      </c>
      <c r="J237" s="112" t="s">
        <v>516</v>
      </c>
      <c r="K237" s="112" t="s">
        <v>427</v>
      </c>
      <c r="L237" s="112" t="s">
        <v>420</v>
      </c>
      <c r="M237" s="112" t="s">
        <v>475</v>
      </c>
      <c r="N237" s="171"/>
      <c r="O237" s="112">
        <v>9.0</v>
      </c>
      <c r="P237" s="271" t="s">
        <v>516</v>
      </c>
      <c r="Q237" s="271" t="s">
        <v>516</v>
      </c>
      <c r="R237" s="271" t="s">
        <v>516</v>
      </c>
      <c r="S237" s="271" t="s">
        <v>516</v>
      </c>
      <c r="T237" s="271" t="s">
        <v>516</v>
      </c>
      <c r="U237" s="112">
        <v>2.0</v>
      </c>
      <c r="V237" s="112"/>
      <c r="W237" s="112"/>
      <c r="X237" s="112"/>
      <c r="Y237" s="112"/>
      <c r="Z237" s="112"/>
      <c r="AA237" s="112"/>
      <c r="AB237" s="112"/>
      <c r="AC237" s="112"/>
      <c r="AD237" s="171" t="s">
        <v>1178</v>
      </c>
      <c r="AE237" s="112"/>
      <c r="AF237" s="171" t="s">
        <v>1179</v>
      </c>
      <c r="AG237" s="271">
        <v>5.0</v>
      </c>
      <c r="AH237" s="112"/>
      <c r="AI237" s="12"/>
      <c r="AJ237" s="12"/>
    </row>
    <row r="238" ht="14.25" customHeight="1">
      <c r="A238" s="242" t="s">
        <v>1040</v>
      </c>
      <c r="B238" s="257" t="s">
        <v>1180</v>
      </c>
      <c r="C238" s="257" t="s">
        <v>1181</v>
      </c>
      <c r="D238" s="257" t="s">
        <v>1180</v>
      </c>
      <c r="E238" s="258">
        <v>38899.0</v>
      </c>
      <c r="F238" s="258">
        <v>40179.0</v>
      </c>
      <c r="G238" s="257" t="s">
        <v>512</v>
      </c>
      <c r="H238" s="257" t="s">
        <v>519</v>
      </c>
      <c r="I238" s="257" t="s">
        <v>520</v>
      </c>
      <c r="J238" s="112" t="s">
        <v>516</v>
      </c>
      <c r="K238" s="112" t="s">
        <v>446</v>
      </c>
      <c r="L238" s="112" t="s">
        <v>420</v>
      </c>
      <c r="M238" s="112" t="s">
        <v>475</v>
      </c>
      <c r="N238" s="171"/>
      <c r="O238" s="112">
        <v>1.0</v>
      </c>
      <c r="P238" s="271" t="s">
        <v>516</v>
      </c>
      <c r="Q238" s="271" t="s">
        <v>516</v>
      </c>
      <c r="R238" s="271" t="s">
        <v>516</v>
      </c>
      <c r="S238" s="271" t="s">
        <v>516</v>
      </c>
      <c r="T238" s="271" t="s">
        <v>516</v>
      </c>
      <c r="U238" s="112">
        <v>2.0</v>
      </c>
      <c r="V238" s="112"/>
      <c r="W238" s="112"/>
      <c r="X238" s="112"/>
      <c r="Y238" s="112"/>
      <c r="Z238" s="112"/>
      <c r="AA238" s="112"/>
      <c r="AB238" s="112"/>
      <c r="AC238" s="112"/>
      <c r="AD238" s="171" t="s">
        <v>1182</v>
      </c>
      <c r="AE238" s="112"/>
      <c r="AF238" s="171" t="s">
        <v>1183</v>
      </c>
      <c r="AG238" s="271">
        <v>5.0</v>
      </c>
      <c r="AH238" s="112"/>
      <c r="AI238" s="12"/>
      <c r="AJ238" s="12"/>
    </row>
    <row r="239" ht="14.25" customHeight="1">
      <c r="A239" s="242" t="s">
        <v>1040</v>
      </c>
      <c r="B239" s="257" t="s">
        <v>1184</v>
      </c>
      <c r="C239" s="257" t="s">
        <v>1185</v>
      </c>
      <c r="D239" s="257" t="s">
        <v>1184</v>
      </c>
      <c r="E239" s="258">
        <v>38899.0</v>
      </c>
      <c r="F239" s="258">
        <v>40179.0</v>
      </c>
      <c r="G239" s="257" t="s">
        <v>512</v>
      </c>
      <c r="H239" s="257" t="s">
        <v>519</v>
      </c>
      <c r="I239" s="257" t="s">
        <v>520</v>
      </c>
      <c r="J239" s="112" t="s">
        <v>516</v>
      </c>
      <c r="K239" s="112" t="s">
        <v>446</v>
      </c>
      <c r="L239" s="112" t="s">
        <v>420</v>
      </c>
      <c r="M239" s="112" t="s">
        <v>475</v>
      </c>
      <c r="N239" s="171"/>
      <c r="O239" s="112">
        <v>1.0</v>
      </c>
      <c r="P239" s="271" t="s">
        <v>516</v>
      </c>
      <c r="Q239" s="271" t="s">
        <v>516</v>
      </c>
      <c r="R239" s="271" t="s">
        <v>516</v>
      </c>
      <c r="S239" s="271" t="s">
        <v>516</v>
      </c>
      <c r="T239" s="271" t="s">
        <v>516</v>
      </c>
      <c r="U239" s="112">
        <v>2.0</v>
      </c>
      <c r="V239" s="112"/>
      <c r="W239" s="112"/>
      <c r="X239" s="112"/>
      <c r="Y239" s="112"/>
      <c r="Z239" s="112"/>
      <c r="AA239" s="112"/>
      <c r="AB239" s="112"/>
      <c r="AC239" s="112"/>
      <c r="AD239" s="171" t="s">
        <v>1186</v>
      </c>
      <c r="AE239" s="112"/>
      <c r="AF239" s="171" t="s">
        <v>1187</v>
      </c>
      <c r="AG239" s="271">
        <v>5.0</v>
      </c>
      <c r="AH239" s="112"/>
      <c r="AI239" s="12"/>
      <c r="AJ239" s="12"/>
    </row>
    <row r="240" ht="14.25" customHeight="1">
      <c r="A240" s="242" t="s">
        <v>1040</v>
      </c>
      <c r="B240" s="257" t="s">
        <v>1188</v>
      </c>
      <c r="C240" s="257" t="s">
        <v>1189</v>
      </c>
      <c r="D240" s="257" t="s">
        <v>1188</v>
      </c>
      <c r="E240" s="258">
        <v>39149.0</v>
      </c>
      <c r="F240" s="278">
        <v>40421.0</v>
      </c>
      <c r="G240" s="279" t="s">
        <v>512</v>
      </c>
      <c r="H240" s="257" t="s">
        <v>513</v>
      </c>
      <c r="I240" s="257" t="s">
        <v>520</v>
      </c>
      <c r="J240" s="171"/>
      <c r="K240" s="171"/>
      <c r="L240" s="171"/>
      <c r="M240" s="171"/>
      <c r="N240" s="171"/>
      <c r="O240" s="171"/>
      <c r="P240" s="270"/>
      <c r="Q240" s="270"/>
      <c r="R240" s="270"/>
      <c r="S240" s="270"/>
      <c r="T240" s="270"/>
      <c r="U240" s="112"/>
      <c r="V240" s="112"/>
      <c r="W240" s="112"/>
      <c r="X240" s="112"/>
      <c r="Y240" s="112"/>
      <c r="Z240" s="112"/>
      <c r="AA240" s="112"/>
      <c r="AB240" s="112"/>
      <c r="AC240" s="112"/>
      <c r="AD240" s="112"/>
      <c r="AE240" s="112"/>
      <c r="AF240" s="112"/>
      <c r="AG240" s="271">
        <v>5.0</v>
      </c>
      <c r="AH240" s="112"/>
      <c r="AI240" s="12"/>
      <c r="AJ240" s="12"/>
    </row>
    <row r="241" ht="14.25" customHeight="1">
      <c r="A241" s="242" t="s">
        <v>1040</v>
      </c>
      <c r="B241" s="257" t="s">
        <v>1190</v>
      </c>
      <c r="C241" s="257" t="s">
        <v>1191</v>
      </c>
      <c r="D241" s="257" t="s">
        <v>1190</v>
      </c>
      <c r="E241" s="258">
        <v>39149.0</v>
      </c>
      <c r="F241" s="278">
        <v>40421.0</v>
      </c>
      <c r="G241" s="279" t="s">
        <v>512</v>
      </c>
      <c r="H241" s="257" t="s">
        <v>513</v>
      </c>
      <c r="I241" s="257" t="s">
        <v>520</v>
      </c>
      <c r="J241" s="171"/>
      <c r="K241" s="171"/>
      <c r="L241" s="171"/>
      <c r="M241" s="171"/>
      <c r="N241" s="171"/>
      <c r="O241" s="171"/>
      <c r="P241" s="270"/>
      <c r="Q241" s="270"/>
      <c r="R241" s="270"/>
      <c r="S241" s="270"/>
      <c r="T241" s="270"/>
      <c r="U241" s="112"/>
      <c r="V241" s="112"/>
      <c r="W241" s="112"/>
      <c r="X241" s="112"/>
      <c r="Y241" s="112"/>
      <c r="Z241" s="112"/>
      <c r="AA241" s="112"/>
      <c r="AB241" s="112"/>
      <c r="AC241" s="112"/>
      <c r="AD241" s="112"/>
      <c r="AE241" s="112"/>
      <c r="AF241" s="112"/>
      <c r="AG241" s="271">
        <v>5.0</v>
      </c>
      <c r="AH241" s="112"/>
      <c r="AI241" s="12"/>
      <c r="AJ241" s="12"/>
    </row>
    <row r="242" ht="14.25" customHeight="1">
      <c r="A242" s="242" t="s">
        <v>1040</v>
      </c>
      <c r="B242" s="257" t="s">
        <v>1192</v>
      </c>
      <c r="C242" s="257" t="s">
        <v>1193</v>
      </c>
      <c r="D242" s="257" t="s">
        <v>1192</v>
      </c>
      <c r="E242" s="258">
        <v>39149.0</v>
      </c>
      <c r="F242" s="278">
        <v>40421.0</v>
      </c>
      <c r="G242" s="279" t="s">
        <v>512</v>
      </c>
      <c r="H242" s="257" t="s">
        <v>513</v>
      </c>
      <c r="I242" s="257" t="s">
        <v>520</v>
      </c>
      <c r="J242" s="171"/>
      <c r="K242" s="171"/>
      <c r="L242" s="171"/>
      <c r="M242" s="171"/>
      <c r="N242" s="171"/>
      <c r="O242" s="171"/>
      <c r="P242" s="270"/>
      <c r="Q242" s="270"/>
      <c r="R242" s="270"/>
      <c r="S242" s="270"/>
      <c r="T242" s="270"/>
      <c r="U242" s="112"/>
      <c r="V242" s="112"/>
      <c r="W242" s="112"/>
      <c r="X242" s="112"/>
      <c r="Y242" s="112"/>
      <c r="Z242" s="112"/>
      <c r="AA242" s="112"/>
      <c r="AB242" s="112"/>
      <c r="AC242" s="112"/>
      <c r="AD242" s="112"/>
      <c r="AE242" s="112"/>
      <c r="AF242" s="112"/>
      <c r="AG242" s="271">
        <v>5.0</v>
      </c>
      <c r="AH242" s="112"/>
      <c r="AI242" s="12"/>
      <c r="AJ242" s="12"/>
    </row>
    <row r="243" ht="14.25" customHeight="1">
      <c r="A243" s="242" t="s">
        <v>1040</v>
      </c>
      <c r="B243" s="257" t="s">
        <v>1194</v>
      </c>
      <c r="C243" s="257" t="s">
        <v>1195</v>
      </c>
      <c r="D243" s="257" t="s">
        <v>1194</v>
      </c>
      <c r="E243" s="258">
        <v>39302.0</v>
      </c>
      <c r="F243" s="258">
        <v>40179.0</v>
      </c>
      <c r="G243" s="257" t="s">
        <v>512</v>
      </c>
      <c r="H243" s="257" t="s">
        <v>519</v>
      </c>
      <c r="I243" s="257" t="s">
        <v>520</v>
      </c>
      <c r="J243" s="171"/>
      <c r="K243" s="171"/>
      <c r="L243" s="171"/>
      <c r="M243" s="171"/>
      <c r="N243" s="171"/>
      <c r="O243" s="171"/>
      <c r="P243" s="270"/>
      <c r="Q243" s="270"/>
      <c r="R243" s="270"/>
      <c r="S243" s="270"/>
      <c r="T243" s="270"/>
      <c r="U243" s="112"/>
      <c r="V243" s="112"/>
      <c r="W243" s="112"/>
      <c r="X243" s="112"/>
      <c r="Y243" s="112"/>
      <c r="Z243" s="112"/>
      <c r="AA243" s="112"/>
      <c r="AB243" s="112"/>
      <c r="AC243" s="112"/>
      <c r="AD243" s="112"/>
      <c r="AE243" s="112"/>
      <c r="AF243" s="112"/>
      <c r="AG243" s="271">
        <v>5.0</v>
      </c>
      <c r="AH243" s="112"/>
      <c r="AI243" s="12"/>
      <c r="AJ243" s="12"/>
    </row>
    <row r="244" ht="14.25" customHeight="1">
      <c r="A244" s="242" t="s">
        <v>1040</v>
      </c>
      <c r="B244" s="257" t="s">
        <v>1196</v>
      </c>
      <c r="C244" s="257" t="s">
        <v>1197</v>
      </c>
      <c r="D244" s="257" t="s">
        <v>1196</v>
      </c>
      <c r="E244" s="258">
        <v>39364.0</v>
      </c>
      <c r="F244" s="258">
        <v>40179.0</v>
      </c>
      <c r="G244" s="257" t="s">
        <v>512</v>
      </c>
      <c r="H244" s="257" t="s">
        <v>519</v>
      </c>
      <c r="I244" s="257" t="s">
        <v>520</v>
      </c>
      <c r="J244" s="112" t="s">
        <v>516</v>
      </c>
      <c r="K244" s="112" t="s">
        <v>427</v>
      </c>
      <c r="L244" s="112" t="s">
        <v>420</v>
      </c>
      <c r="M244" s="112" t="s">
        <v>938</v>
      </c>
      <c r="N244" s="171"/>
      <c r="O244" s="112">
        <v>12.0</v>
      </c>
      <c r="P244" s="271" t="s">
        <v>548</v>
      </c>
      <c r="Q244" s="271" t="s">
        <v>516</v>
      </c>
      <c r="R244" s="271" t="s">
        <v>516</v>
      </c>
      <c r="S244" s="271" t="s">
        <v>516</v>
      </c>
      <c r="T244" s="271" t="s">
        <v>516</v>
      </c>
      <c r="U244" s="112">
        <v>5.0</v>
      </c>
      <c r="V244" s="112">
        <v>18.0</v>
      </c>
      <c r="W244" s="112">
        <v>70.0</v>
      </c>
      <c r="X244" s="112">
        <v>80.0</v>
      </c>
      <c r="Y244" s="112">
        <v>10.0</v>
      </c>
      <c r="Z244" s="112"/>
      <c r="AA244" s="112">
        <v>3.0</v>
      </c>
      <c r="AB244" s="112">
        <v>5.0</v>
      </c>
      <c r="AC244" s="112"/>
      <c r="AD244" s="171" t="s">
        <v>1198</v>
      </c>
      <c r="AE244" s="112"/>
      <c r="AF244" s="171" t="s">
        <v>1199</v>
      </c>
      <c r="AG244" s="271">
        <v>5.0</v>
      </c>
      <c r="AH244" s="112"/>
      <c r="AI244" s="12"/>
      <c r="AJ244" s="12"/>
    </row>
    <row r="245" ht="14.25" customHeight="1">
      <c r="A245" s="242" t="s">
        <v>1040</v>
      </c>
      <c r="B245" s="257" t="s">
        <v>1200</v>
      </c>
      <c r="C245" s="257" t="s">
        <v>1201</v>
      </c>
      <c r="D245" s="257" t="s">
        <v>1200</v>
      </c>
      <c r="E245" s="258">
        <v>39393.0</v>
      </c>
      <c r="F245" s="258">
        <v>40179.0</v>
      </c>
      <c r="G245" s="257" t="s">
        <v>512</v>
      </c>
      <c r="H245" s="257" t="s">
        <v>519</v>
      </c>
      <c r="I245" s="257" t="s">
        <v>520</v>
      </c>
      <c r="J245" s="112" t="s">
        <v>516</v>
      </c>
      <c r="K245" s="112" t="s">
        <v>418</v>
      </c>
      <c r="L245" s="112" t="s">
        <v>420</v>
      </c>
      <c r="M245" s="112" t="s">
        <v>475</v>
      </c>
      <c r="N245" s="171"/>
      <c r="O245" s="112">
        <v>9.0</v>
      </c>
      <c r="P245" s="271" t="s">
        <v>516</v>
      </c>
      <c r="Q245" s="271" t="s">
        <v>516</v>
      </c>
      <c r="R245" s="271" t="s">
        <v>516</v>
      </c>
      <c r="S245" s="271" t="s">
        <v>516</v>
      </c>
      <c r="T245" s="271" t="s">
        <v>516</v>
      </c>
      <c r="U245" s="112">
        <v>2.0</v>
      </c>
      <c r="V245" s="112"/>
      <c r="W245" s="112"/>
      <c r="X245" s="112"/>
      <c r="Y245" s="112"/>
      <c r="Z245" s="112"/>
      <c r="AA245" s="112"/>
      <c r="AB245" s="112"/>
      <c r="AC245" s="112"/>
      <c r="AD245" s="112" t="s">
        <v>423</v>
      </c>
      <c r="AE245" s="112"/>
      <c r="AF245" s="171" t="s">
        <v>1202</v>
      </c>
      <c r="AG245" s="271">
        <v>5.0</v>
      </c>
      <c r="AH245" s="112"/>
      <c r="AI245" s="12"/>
      <c r="AJ245" s="12"/>
    </row>
    <row r="246" ht="14.25" customHeight="1">
      <c r="A246" s="242" t="s">
        <v>1040</v>
      </c>
      <c r="B246" s="257" t="s">
        <v>1203</v>
      </c>
      <c r="C246" s="257" t="s">
        <v>1204</v>
      </c>
      <c r="D246" s="257" t="s">
        <v>1203</v>
      </c>
      <c r="E246" s="258">
        <v>39394.0</v>
      </c>
      <c r="F246" s="258">
        <v>40179.0</v>
      </c>
      <c r="G246" s="257" t="s">
        <v>512</v>
      </c>
      <c r="H246" s="257" t="s">
        <v>519</v>
      </c>
      <c r="I246" s="257" t="s">
        <v>520</v>
      </c>
      <c r="J246" s="112" t="s">
        <v>516</v>
      </c>
      <c r="K246" s="112" t="s">
        <v>424</v>
      </c>
      <c r="L246" s="112" t="s">
        <v>420</v>
      </c>
      <c r="M246" s="112" t="s">
        <v>475</v>
      </c>
      <c r="N246" s="171"/>
      <c r="O246" s="112">
        <v>8.0</v>
      </c>
      <c r="P246" s="271" t="s">
        <v>516</v>
      </c>
      <c r="Q246" s="271" t="s">
        <v>516</v>
      </c>
      <c r="R246" s="271" t="s">
        <v>516</v>
      </c>
      <c r="S246" s="271" t="s">
        <v>516</v>
      </c>
      <c r="T246" s="271" t="s">
        <v>516</v>
      </c>
      <c r="U246" s="112">
        <v>2.0</v>
      </c>
      <c r="V246" s="112"/>
      <c r="W246" s="112"/>
      <c r="X246" s="112"/>
      <c r="Y246" s="112"/>
      <c r="Z246" s="112"/>
      <c r="AA246" s="112"/>
      <c r="AB246" s="112"/>
      <c r="AC246" s="112"/>
      <c r="AD246" s="112" t="s">
        <v>1205</v>
      </c>
      <c r="AE246" s="112"/>
      <c r="AF246" s="171" t="s">
        <v>423</v>
      </c>
      <c r="AG246" s="271">
        <v>5.0</v>
      </c>
      <c r="AH246" s="112"/>
      <c r="AI246" s="12"/>
      <c r="AJ246" s="12"/>
    </row>
    <row r="247" ht="14.25" customHeight="1">
      <c r="A247" s="242" t="s">
        <v>1040</v>
      </c>
      <c r="B247" s="257" t="s">
        <v>1206</v>
      </c>
      <c r="C247" s="257" t="s">
        <v>1207</v>
      </c>
      <c r="D247" s="257" t="s">
        <v>1206</v>
      </c>
      <c r="E247" s="258">
        <v>39504.0</v>
      </c>
      <c r="F247" s="278">
        <v>40421.0</v>
      </c>
      <c r="G247" s="257" t="s">
        <v>512</v>
      </c>
      <c r="H247" s="257" t="s">
        <v>513</v>
      </c>
      <c r="I247" s="257" t="s">
        <v>520</v>
      </c>
      <c r="J247" s="171"/>
      <c r="K247" s="171"/>
      <c r="L247" s="171"/>
      <c r="M247" s="171"/>
      <c r="N247" s="171"/>
      <c r="O247" s="171"/>
      <c r="P247" s="270"/>
      <c r="Q247" s="270"/>
      <c r="R247" s="270"/>
      <c r="S247" s="270"/>
      <c r="T247" s="270"/>
      <c r="U247" s="112"/>
      <c r="V247" s="112"/>
      <c r="W247" s="112"/>
      <c r="X247" s="112"/>
      <c r="Y247" s="112"/>
      <c r="Z247" s="112"/>
      <c r="AA247" s="112"/>
      <c r="AB247" s="112"/>
      <c r="AC247" s="112"/>
      <c r="AD247" s="112"/>
      <c r="AE247" s="112"/>
      <c r="AF247" s="112"/>
      <c r="AG247" s="271"/>
      <c r="AH247" s="112"/>
      <c r="AI247" s="12"/>
      <c r="AJ247" s="12"/>
    </row>
    <row r="248" ht="14.25" customHeight="1">
      <c r="A248" s="242" t="s">
        <v>1040</v>
      </c>
      <c r="B248" s="257" t="s">
        <v>1208</v>
      </c>
      <c r="C248" s="257" t="s">
        <v>1207</v>
      </c>
      <c r="D248" s="257" t="s">
        <v>1208</v>
      </c>
      <c r="E248" s="258">
        <v>40571.0</v>
      </c>
      <c r="F248" s="278">
        <v>41640.0</v>
      </c>
      <c r="G248" s="279" t="s">
        <v>512</v>
      </c>
      <c r="H248" s="257" t="s">
        <v>513</v>
      </c>
      <c r="I248" s="257" t="s">
        <v>520</v>
      </c>
      <c r="J248" s="171"/>
      <c r="K248" s="171"/>
      <c r="L248" s="171"/>
      <c r="M248" s="171"/>
      <c r="N248" s="171"/>
      <c r="O248" s="171"/>
      <c r="P248" s="270"/>
      <c r="Q248" s="270"/>
      <c r="R248" s="270"/>
      <c r="S248" s="270"/>
      <c r="T248" s="270"/>
      <c r="U248" s="112"/>
      <c r="V248" s="112"/>
      <c r="W248" s="112"/>
      <c r="X248" s="112"/>
      <c r="Y248" s="112"/>
      <c r="Z248" s="112"/>
      <c r="AA248" s="112"/>
      <c r="AB248" s="112"/>
      <c r="AC248" s="112"/>
      <c r="AD248" s="112"/>
      <c r="AE248" s="112"/>
      <c r="AF248" s="112"/>
      <c r="AG248" s="271"/>
      <c r="AH248" s="112"/>
      <c r="AI248" s="12"/>
      <c r="AJ248" s="12"/>
    </row>
    <row r="249" ht="14.25" customHeight="1">
      <c r="A249" s="242" t="s">
        <v>1040</v>
      </c>
      <c r="B249" s="257" t="s">
        <v>1209</v>
      </c>
      <c r="C249" s="257" t="s">
        <v>1210</v>
      </c>
      <c r="D249" s="257" t="s">
        <v>1209</v>
      </c>
      <c r="E249" s="258">
        <v>39504.0</v>
      </c>
      <c r="F249" s="278">
        <v>40421.0</v>
      </c>
      <c r="G249" s="279" t="s">
        <v>512</v>
      </c>
      <c r="H249" s="257" t="s">
        <v>513</v>
      </c>
      <c r="I249" s="257" t="s">
        <v>520</v>
      </c>
      <c r="J249" s="171"/>
      <c r="K249" s="171"/>
      <c r="L249" s="171"/>
      <c r="M249" s="171"/>
      <c r="N249" s="171"/>
      <c r="O249" s="171"/>
      <c r="P249" s="270"/>
      <c r="Q249" s="270"/>
      <c r="R249" s="270"/>
      <c r="S249" s="270"/>
      <c r="T249" s="270"/>
      <c r="U249" s="112"/>
      <c r="V249" s="112"/>
      <c r="W249" s="112"/>
      <c r="X249" s="112"/>
      <c r="Y249" s="112"/>
      <c r="Z249" s="112"/>
      <c r="AA249" s="112"/>
      <c r="AB249" s="112"/>
      <c r="AC249" s="112"/>
      <c r="AD249" s="112"/>
      <c r="AE249" s="112"/>
      <c r="AF249" s="112"/>
      <c r="AG249" s="271"/>
      <c r="AH249" s="112"/>
      <c r="AI249" s="12"/>
      <c r="AJ249" s="12"/>
    </row>
    <row r="250" ht="14.25" customHeight="1">
      <c r="A250" s="242" t="s">
        <v>1040</v>
      </c>
      <c r="B250" s="257" t="s">
        <v>1211</v>
      </c>
      <c r="C250" s="257" t="s">
        <v>1210</v>
      </c>
      <c r="D250" s="257" t="s">
        <v>1211</v>
      </c>
      <c r="E250" s="258">
        <v>40609.0</v>
      </c>
      <c r="F250" s="278">
        <v>41640.0</v>
      </c>
      <c r="G250" s="279" t="s">
        <v>512</v>
      </c>
      <c r="H250" s="257" t="s">
        <v>513</v>
      </c>
      <c r="I250" s="257" t="s">
        <v>520</v>
      </c>
      <c r="J250" s="171"/>
      <c r="K250" s="171"/>
      <c r="L250" s="171"/>
      <c r="M250" s="171"/>
      <c r="N250" s="171"/>
      <c r="O250" s="171"/>
      <c r="P250" s="270"/>
      <c r="Q250" s="270"/>
      <c r="R250" s="270"/>
      <c r="S250" s="270"/>
      <c r="T250" s="270"/>
      <c r="U250" s="112"/>
      <c r="V250" s="112"/>
      <c r="W250" s="112"/>
      <c r="X250" s="112"/>
      <c r="Y250" s="112"/>
      <c r="Z250" s="112"/>
      <c r="AA250" s="112"/>
      <c r="AB250" s="112"/>
      <c r="AC250" s="112"/>
      <c r="AD250" s="112"/>
      <c r="AE250" s="112"/>
      <c r="AF250" s="112"/>
      <c r="AG250" s="271"/>
      <c r="AH250" s="112"/>
      <c r="AI250" s="12"/>
      <c r="AJ250" s="12"/>
    </row>
    <row r="251" ht="14.25" customHeight="1">
      <c r="A251" s="242" t="s">
        <v>1040</v>
      </c>
      <c r="B251" s="257" t="s">
        <v>1212</v>
      </c>
      <c r="C251" s="257" t="s">
        <v>1213</v>
      </c>
      <c r="D251" s="257" t="s">
        <v>1212</v>
      </c>
      <c r="E251" s="258">
        <v>39695.0</v>
      </c>
      <c r="F251" s="258">
        <v>40179.0</v>
      </c>
      <c r="G251" s="257" t="s">
        <v>512</v>
      </c>
      <c r="H251" s="257" t="s">
        <v>519</v>
      </c>
      <c r="I251" s="257" t="s">
        <v>520</v>
      </c>
      <c r="J251" s="112" t="s">
        <v>516</v>
      </c>
      <c r="K251" s="112" t="s">
        <v>424</v>
      </c>
      <c r="L251" s="112" t="s">
        <v>472</v>
      </c>
      <c r="M251" s="112" t="s">
        <v>938</v>
      </c>
      <c r="N251" s="171"/>
      <c r="O251" s="112">
        <v>7.0</v>
      </c>
      <c r="P251" s="271" t="s">
        <v>516</v>
      </c>
      <c r="Q251" s="271" t="s">
        <v>516</v>
      </c>
      <c r="R251" s="271" t="s">
        <v>516</v>
      </c>
      <c r="S251" s="271" t="s">
        <v>516</v>
      </c>
      <c r="T251" s="271" t="s">
        <v>516</v>
      </c>
      <c r="U251" s="112">
        <v>2.0</v>
      </c>
      <c r="V251" s="112"/>
      <c r="W251" s="112"/>
      <c r="X251" s="112"/>
      <c r="Y251" s="112"/>
      <c r="Z251" s="112"/>
      <c r="AA251" s="112"/>
      <c r="AB251" s="112"/>
      <c r="AC251" s="112"/>
      <c r="AD251" s="171" t="s">
        <v>1214</v>
      </c>
      <c r="AE251" s="112"/>
      <c r="AF251" s="171" t="s">
        <v>1215</v>
      </c>
      <c r="AG251" s="271">
        <v>5.0</v>
      </c>
      <c r="AH251" s="112"/>
      <c r="AI251" s="12"/>
      <c r="AJ251" s="12"/>
    </row>
    <row r="252" ht="14.25" customHeight="1">
      <c r="A252" s="242" t="s">
        <v>1040</v>
      </c>
      <c r="B252" s="257" t="s">
        <v>1216</v>
      </c>
      <c r="C252" s="257" t="s">
        <v>1217</v>
      </c>
      <c r="D252" s="257" t="s">
        <v>1216</v>
      </c>
      <c r="E252" s="258">
        <v>39757.0</v>
      </c>
      <c r="F252" s="258">
        <v>40179.0</v>
      </c>
      <c r="G252" s="257" t="s">
        <v>512</v>
      </c>
      <c r="H252" s="257" t="s">
        <v>519</v>
      </c>
      <c r="I252" s="257" t="s">
        <v>520</v>
      </c>
      <c r="J252" s="112" t="s">
        <v>516</v>
      </c>
      <c r="K252" s="112" t="s">
        <v>427</v>
      </c>
      <c r="L252" s="271" t="s">
        <v>420</v>
      </c>
      <c r="M252" s="112" t="s">
        <v>475</v>
      </c>
      <c r="N252" s="171"/>
      <c r="O252" s="112">
        <v>7.0</v>
      </c>
      <c r="P252" s="271" t="s">
        <v>516</v>
      </c>
      <c r="Q252" s="271" t="s">
        <v>516</v>
      </c>
      <c r="R252" s="271" t="s">
        <v>516</v>
      </c>
      <c r="S252" s="271" t="s">
        <v>516</v>
      </c>
      <c r="T252" s="271" t="s">
        <v>516</v>
      </c>
      <c r="U252" s="112">
        <v>2.0</v>
      </c>
      <c r="V252" s="112"/>
      <c r="W252" s="112"/>
      <c r="X252" s="112"/>
      <c r="Y252" s="112"/>
      <c r="Z252" s="112"/>
      <c r="AA252" s="282">
        <v>1.0</v>
      </c>
      <c r="AB252" s="69"/>
      <c r="AC252" s="112"/>
      <c r="AD252" s="112" t="s">
        <v>1218</v>
      </c>
      <c r="AE252" s="112"/>
      <c r="AF252" s="171" t="s">
        <v>1219</v>
      </c>
      <c r="AG252" s="271">
        <v>5.0</v>
      </c>
      <c r="AH252" s="112"/>
      <c r="AI252" s="12"/>
      <c r="AJ252" s="12"/>
    </row>
    <row r="253" ht="14.25" customHeight="1">
      <c r="A253" s="242" t="s">
        <v>1040</v>
      </c>
      <c r="B253" s="257" t="s">
        <v>1220</v>
      </c>
      <c r="C253" s="257" t="s">
        <v>1221</v>
      </c>
      <c r="D253" s="257" t="s">
        <v>1220</v>
      </c>
      <c r="E253" s="258">
        <v>39777.0</v>
      </c>
      <c r="F253" s="278">
        <v>40421.0</v>
      </c>
      <c r="G253" s="279" t="s">
        <v>512</v>
      </c>
      <c r="H253" s="257" t="s">
        <v>519</v>
      </c>
      <c r="I253" s="257" t="s">
        <v>520</v>
      </c>
      <c r="J253" s="112" t="s">
        <v>516</v>
      </c>
      <c r="K253" s="112" t="s">
        <v>449</v>
      </c>
      <c r="L253" s="112" t="s">
        <v>473</v>
      </c>
      <c r="M253" s="112" t="s">
        <v>475</v>
      </c>
      <c r="N253" s="171"/>
      <c r="O253" s="265">
        <v>1.0</v>
      </c>
      <c r="P253" s="271" t="s">
        <v>516</v>
      </c>
      <c r="Q253" s="271" t="s">
        <v>516</v>
      </c>
      <c r="R253" s="271" t="s">
        <v>516</v>
      </c>
      <c r="S253" s="271" t="s">
        <v>516</v>
      </c>
      <c r="T253" s="271" t="s">
        <v>516</v>
      </c>
      <c r="U253" s="112">
        <v>2.0</v>
      </c>
      <c r="V253" s="112"/>
      <c r="W253" s="112"/>
      <c r="X253" s="112"/>
      <c r="Y253" s="112"/>
      <c r="Z253" s="112"/>
      <c r="AA253" s="112"/>
      <c r="AB253" s="112"/>
      <c r="AC253" s="112"/>
      <c r="AD253" s="171" t="s">
        <v>1222</v>
      </c>
      <c r="AE253" s="112"/>
      <c r="AF253" s="171" t="s">
        <v>1223</v>
      </c>
      <c r="AG253" s="271">
        <v>5.0</v>
      </c>
      <c r="AH253" s="112"/>
      <c r="AI253" s="12"/>
      <c r="AJ253" s="12"/>
    </row>
    <row r="254" ht="14.25" customHeight="1">
      <c r="A254" s="242" t="s">
        <v>1040</v>
      </c>
      <c r="B254" s="257" t="s">
        <v>1224</v>
      </c>
      <c r="C254" s="257" t="s">
        <v>1225</v>
      </c>
      <c r="D254" s="257" t="s">
        <v>1224</v>
      </c>
      <c r="E254" s="258">
        <v>39798.0</v>
      </c>
      <c r="F254" s="278">
        <v>41640.0</v>
      </c>
      <c r="G254" s="279" t="s">
        <v>512</v>
      </c>
      <c r="H254" s="257" t="s">
        <v>519</v>
      </c>
      <c r="I254" s="257" t="s">
        <v>520</v>
      </c>
      <c r="J254" s="171"/>
      <c r="K254" s="171"/>
      <c r="L254" s="171"/>
      <c r="M254" s="171"/>
      <c r="N254" s="171"/>
      <c r="O254" s="112"/>
      <c r="P254" s="112"/>
      <c r="Q254" s="270"/>
      <c r="R254" s="270"/>
      <c r="S254" s="270"/>
      <c r="T254" s="270"/>
      <c r="U254" s="112"/>
      <c r="V254" s="112"/>
      <c r="W254" s="112"/>
      <c r="X254" s="112"/>
      <c r="Y254" s="112"/>
      <c r="Z254" s="112"/>
      <c r="AA254" s="112"/>
      <c r="AB254" s="112"/>
      <c r="AC254" s="112"/>
      <c r="AD254" s="112"/>
      <c r="AE254" s="112"/>
      <c r="AF254" s="112"/>
      <c r="AG254" s="271"/>
      <c r="AH254" s="112"/>
      <c r="AI254" s="12"/>
      <c r="AJ254" s="12"/>
    </row>
    <row r="255" ht="14.25" customHeight="1">
      <c r="A255" s="242" t="s">
        <v>1040</v>
      </c>
      <c r="B255" s="257" t="s">
        <v>1226</v>
      </c>
      <c r="C255" s="257" t="s">
        <v>1227</v>
      </c>
      <c r="D255" s="257" t="s">
        <v>1226</v>
      </c>
      <c r="E255" s="258">
        <v>39853.0</v>
      </c>
      <c r="F255" s="258">
        <v>40179.0</v>
      </c>
      <c r="G255" s="257" t="s">
        <v>512</v>
      </c>
      <c r="H255" s="257" t="s">
        <v>519</v>
      </c>
      <c r="I255" s="257" t="s">
        <v>520</v>
      </c>
      <c r="J255" s="112" t="s">
        <v>516</v>
      </c>
      <c r="K255" s="112" t="s">
        <v>424</v>
      </c>
      <c r="L255" s="112" t="s">
        <v>470</v>
      </c>
      <c r="M255" s="112" t="s">
        <v>475</v>
      </c>
      <c r="N255" s="171"/>
      <c r="O255" s="112">
        <v>2.0</v>
      </c>
      <c r="P255" s="271" t="s">
        <v>516</v>
      </c>
      <c r="Q255" s="271" t="s">
        <v>516</v>
      </c>
      <c r="R255" s="271" t="s">
        <v>516</v>
      </c>
      <c r="S255" s="271" t="s">
        <v>516</v>
      </c>
      <c r="T255" s="271" t="s">
        <v>516</v>
      </c>
      <c r="U255" s="112"/>
      <c r="V255" s="112"/>
      <c r="W255" s="112"/>
      <c r="X255" s="112"/>
      <c r="Y255" s="112"/>
      <c r="Z255" s="112"/>
      <c r="AA255" s="112"/>
      <c r="AB255" s="112"/>
      <c r="AC255" s="112"/>
      <c r="AD255" s="171" t="s">
        <v>1228</v>
      </c>
      <c r="AE255" s="112"/>
      <c r="AF255" s="171" t="s">
        <v>1229</v>
      </c>
      <c r="AG255" s="271">
        <v>5.0</v>
      </c>
      <c r="AH255" s="112"/>
      <c r="AI255" s="12"/>
      <c r="AJ255" s="12"/>
    </row>
    <row r="256" ht="14.25" customHeight="1">
      <c r="A256" s="280" t="s">
        <v>1040</v>
      </c>
      <c r="B256" s="252" t="s">
        <v>1230</v>
      </c>
      <c r="C256" s="252" t="s">
        <v>1231</v>
      </c>
      <c r="D256" s="252" t="s">
        <v>1230</v>
      </c>
      <c r="E256" s="253">
        <v>39974.0</v>
      </c>
      <c r="F256" s="253">
        <v>40179.0</v>
      </c>
      <c r="G256" s="252" t="s">
        <v>512</v>
      </c>
      <c r="H256" s="252" t="s">
        <v>519</v>
      </c>
      <c r="I256" s="252" t="s">
        <v>520</v>
      </c>
      <c r="J256" s="237" t="s">
        <v>548</v>
      </c>
      <c r="K256" s="237" t="s">
        <v>424</v>
      </c>
      <c r="L256" s="236"/>
      <c r="M256" s="236"/>
      <c r="N256" s="236"/>
      <c r="O256" s="237">
        <v>7.0</v>
      </c>
      <c r="P256" s="237" t="s">
        <v>548</v>
      </c>
      <c r="Q256" s="237" t="s">
        <v>548</v>
      </c>
      <c r="R256" s="237" t="s">
        <v>548</v>
      </c>
      <c r="S256" s="237" t="s">
        <v>516</v>
      </c>
      <c r="T256" s="237" t="s">
        <v>516</v>
      </c>
      <c r="U256" s="237">
        <v>2.0</v>
      </c>
      <c r="V256" s="237">
        <v>18.0</v>
      </c>
      <c r="W256" s="237">
        <v>70.0</v>
      </c>
      <c r="X256" s="237">
        <v>80.0</v>
      </c>
      <c r="Y256" s="237">
        <v>10.0</v>
      </c>
      <c r="Z256" s="237">
        <v>62.0</v>
      </c>
      <c r="AA256" s="236"/>
      <c r="AB256" s="236"/>
      <c r="AC256" s="236"/>
      <c r="AD256" s="237" t="s">
        <v>423</v>
      </c>
      <c r="AE256" s="236"/>
      <c r="AF256" s="236" t="s">
        <v>1232</v>
      </c>
      <c r="AG256" s="265">
        <v>31.0</v>
      </c>
      <c r="AH256" s="236"/>
      <c r="AI256" s="255"/>
      <c r="AJ256" s="256"/>
    </row>
    <row r="257" ht="14.25" customHeight="1">
      <c r="A257" s="242" t="s">
        <v>1040</v>
      </c>
      <c r="B257" s="257" t="s">
        <v>1233</v>
      </c>
      <c r="C257" s="257" t="s">
        <v>1234</v>
      </c>
      <c r="D257" s="257" t="s">
        <v>1233</v>
      </c>
      <c r="E257" s="258">
        <v>40007.0</v>
      </c>
      <c r="F257" s="258">
        <v>40179.0</v>
      </c>
      <c r="G257" s="257" t="s">
        <v>512</v>
      </c>
      <c r="H257" s="257" t="s">
        <v>519</v>
      </c>
      <c r="I257" s="257" t="s">
        <v>520</v>
      </c>
      <c r="J257" s="112" t="s">
        <v>548</v>
      </c>
      <c r="K257" s="112" t="s">
        <v>427</v>
      </c>
      <c r="L257" s="112" t="s">
        <v>472</v>
      </c>
      <c r="M257" s="112" t="s">
        <v>938</v>
      </c>
      <c r="N257" s="171"/>
      <c r="O257" s="112">
        <v>7.0</v>
      </c>
      <c r="P257" s="271" t="s">
        <v>516</v>
      </c>
      <c r="Q257" s="271" t="s">
        <v>516</v>
      </c>
      <c r="R257" s="271" t="s">
        <v>516</v>
      </c>
      <c r="S257" s="271" t="s">
        <v>516</v>
      </c>
      <c r="T257" s="271" t="s">
        <v>516</v>
      </c>
      <c r="U257" s="112">
        <v>2.0</v>
      </c>
      <c r="V257" s="112">
        <v>0.0</v>
      </c>
      <c r="W257" s="112">
        <v>60.0</v>
      </c>
      <c r="X257" s="112">
        <v>75.0</v>
      </c>
      <c r="Y257" s="112">
        <v>15.0</v>
      </c>
      <c r="Z257" s="112">
        <v>30.0</v>
      </c>
      <c r="AA257" s="112"/>
      <c r="AB257" s="112"/>
      <c r="AC257" s="112"/>
      <c r="AD257" s="171" t="s">
        <v>1235</v>
      </c>
      <c r="AE257" s="112"/>
      <c r="AF257" s="171" t="s">
        <v>1236</v>
      </c>
      <c r="AG257" s="271">
        <v>5.0</v>
      </c>
      <c r="AH257" s="112"/>
      <c r="AI257" s="12"/>
      <c r="AJ257" s="12"/>
    </row>
    <row r="258" ht="14.25" customHeight="1">
      <c r="A258" s="242" t="s">
        <v>1040</v>
      </c>
      <c r="B258" s="257" t="s">
        <v>1237</v>
      </c>
      <c r="C258" s="257" t="s">
        <v>1238</v>
      </c>
      <c r="D258" s="257" t="s">
        <v>1237</v>
      </c>
      <c r="E258" s="258">
        <v>40015.0</v>
      </c>
      <c r="F258" s="258">
        <v>40179.0</v>
      </c>
      <c r="G258" s="257" t="s">
        <v>512</v>
      </c>
      <c r="H258" s="257" t="s">
        <v>519</v>
      </c>
      <c r="I258" s="257" t="s">
        <v>520</v>
      </c>
      <c r="J258" s="112" t="s">
        <v>516</v>
      </c>
      <c r="K258" s="112" t="s">
        <v>418</v>
      </c>
      <c r="L258" s="112" t="s">
        <v>420</v>
      </c>
      <c r="M258" s="112" t="s">
        <v>938</v>
      </c>
      <c r="N258" s="171"/>
      <c r="O258" s="112">
        <v>8.0</v>
      </c>
      <c r="P258" s="271" t="s">
        <v>516</v>
      </c>
      <c r="Q258" s="271" t="s">
        <v>516</v>
      </c>
      <c r="R258" s="271" t="s">
        <v>516</v>
      </c>
      <c r="S258" s="271" t="s">
        <v>516</v>
      </c>
      <c r="T258" s="271" t="s">
        <v>516</v>
      </c>
      <c r="U258" s="112">
        <v>5.0</v>
      </c>
      <c r="V258" s="112"/>
      <c r="W258" s="112"/>
      <c r="X258" s="112"/>
      <c r="Y258" s="112"/>
      <c r="Z258" s="112"/>
      <c r="AA258" s="112"/>
      <c r="AB258" s="112"/>
      <c r="AC258" s="112"/>
      <c r="AD258" s="171" t="s">
        <v>1239</v>
      </c>
      <c r="AE258" s="112"/>
      <c r="AF258" s="171" t="s">
        <v>1240</v>
      </c>
      <c r="AG258" s="271">
        <v>5.0</v>
      </c>
      <c r="AH258" s="112"/>
      <c r="AI258" s="12"/>
      <c r="AJ258" s="12"/>
    </row>
    <row r="259" ht="14.25" customHeight="1">
      <c r="A259" s="242" t="s">
        <v>1040</v>
      </c>
      <c r="B259" s="257" t="s">
        <v>1241</v>
      </c>
      <c r="C259" s="257" t="s">
        <v>1242</v>
      </c>
      <c r="D259" s="257" t="s">
        <v>1241</v>
      </c>
      <c r="E259" s="258">
        <v>40099.0</v>
      </c>
      <c r="F259" s="278">
        <v>40421.0</v>
      </c>
      <c r="G259" s="279" t="s">
        <v>512</v>
      </c>
      <c r="H259" s="257" t="s">
        <v>519</v>
      </c>
      <c r="I259" s="257" t="s">
        <v>520</v>
      </c>
      <c r="J259" s="112" t="s">
        <v>548</v>
      </c>
      <c r="K259" s="112" t="s">
        <v>427</v>
      </c>
      <c r="L259" s="112" t="s">
        <v>470</v>
      </c>
      <c r="M259" s="112" t="s">
        <v>475</v>
      </c>
      <c r="N259" s="171"/>
      <c r="O259" s="112">
        <v>1.0</v>
      </c>
      <c r="P259" s="271" t="s">
        <v>516</v>
      </c>
      <c r="Q259" s="271" t="s">
        <v>516</v>
      </c>
      <c r="R259" s="271" t="s">
        <v>516</v>
      </c>
      <c r="S259" s="271" t="s">
        <v>516</v>
      </c>
      <c r="T259" s="271" t="s">
        <v>516</v>
      </c>
      <c r="U259" s="112"/>
      <c r="V259" s="112">
        <v>8.0</v>
      </c>
      <c r="W259" s="112">
        <v>65.0</v>
      </c>
      <c r="X259" s="112">
        <v>75.0</v>
      </c>
      <c r="Y259" s="282">
        <v>10.0</v>
      </c>
      <c r="Z259" s="69"/>
      <c r="AA259" s="282">
        <v>3.0</v>
      </c>
      <c r="AB259" s="69"/>
      <c r="AC259" s="112"/>
      <c r="AD259" s="171" t="s">
        <v>1243</v>
      </c>
      <c r="AE259" s="112"/>
      <c r="AF259" s="171" t="s">
        <v>1244</v>
      </c>
      <c r="AG259" s="271">
        <v>5.0</v>
      </c>
      <c r="AH259" s="112"/>
      <c r="AI259" s="12"/>
      <c r="AJ259" s="12"/>
    </row>
    <row r="260" ht="14.25" customHeight="1">
      <c r="A260" s="242" t="s">
        <v>1040</v>
      </c>
      <c r="B260" s="257" t="s">
        <v>1245</v>
      </c>
      <c r="C260" s="257" t="s">
        <v>1246</v>
      </c>
      <c r="D260" s="257" t="s">
        <v>1245</v>
      </c>
      <c r="E260" s="258">
        <v>40120.0</v>
      </c>
      <c r="F260" s="278">
        <v>40421.0</v>
      </c>
      <c r="G260" s="279" t="s">
        <v>512</v>
      </c>
      <c r="H260" s="257" t="s">
        <v>519</v>
      </c>
      <c r="I260" s="257" t="s">
        <v>520</v>
      </c>
      <c r="J260" s="112" t="s">
        <v>516</v>
      </c>
      <c r="K260" s="112" t="s">
        <v>427</v>
      </c>
      <c r="L260" s="112" t="s">
        <v>420</v>
      </c>
      <c r="M260" s="112" t="s">
        <v>475</v>
      </c>
      <c r="N260" s="171"/>
      <c r="O260" s="112">
        <v>7.0</v>
      </c>
      <c r="P260" s="271" t="s">
        <v>516</v>
      </c>
      <c r="Q260" s="271" t="s">
        <v>516</v>
      </c>
      <c r="R260" s="271" t="s">
        <v>516</v>
      </c>
      <c r="S260" s="271" t="s">
        <v>516</v>
      </c>
      <c r="T260" s="271" t="s">
        <v>516</v>
      </c>
      <c r="U260" s="112">
        <v>2.0</v>
      </c>
      <c r="V260" s="112"/>
      <c r="W260" s="112"/>
      <c r="X260" s="112"/>
      <c r="Y260" s="112"/>
      <c r="Z260" s="112"/>
      <c r="AA260" s="112"/>
      <c r="AB260" s="112"/>
      <c r="AC260" s="112"/>
      <c r="AD260" s="171" t="s">
        <v>1247</v>
      </c>
      <c r="AE260" s="112"/>
      <c r="AF260" s="171" t="s">
        <v>1248</v>
      </c>
      <c r="AG260" s="271">
        <v>5.0</v>
      </c>
      <c r="AH260" s="112"/>
      <c r="AI260" s="12"/>
      <c r="AJ260" s="12"/>
    </row>
    <row r="261" ht="14.25" customHeight="1">
      <c r="A261" s="242" t="s">
        <v>1040</v>
      </c>
      <c r="B261" s="257" t="s">
        <v>1249</v>
      </c>
      <c r="C261" s="257" t="s">
        <v>1250</v>
      </c>
      <c r="D261" s="257" t="s">
        <v>1249</v>
      </c>
      <c r="E261" s="258">
        <v>40163.0</v>
      </c>
      <c r="F261" s="278">
        <v>40421.0</v>
      </c>
      <c r="G261" s="279" t="s">
        <v>512</v>
      </c>
      <c r="H261" s="257" t="s">
        <v>519</v>
      </c>
      <c r="I261" s="257" t="s">
        <v>520</v>
      </c>
      <c r="J261" s="112" t="s">
        <v>548</v>
      </c>
      <c r="K261" s="112" t="s">
        <v>427</v>
      </c>
      <c r="L261" s="112" t="s">
        <v>420</v>
      </c>
      <c r="M261" s="112" t="s">
        <v>475</v>
      </c>
      <c r="N261" s="171"/>
      <c r="O261" s="112">
        <v>8.0</v>
      </c>
      <c r="P261" s="271" t="s">
        <v>516</v>
      </c>
      <c r="Q261" s="271" t="s">
        <v>516</v>
      </c>
      <c r="R261" s="271" t="s">
        <v>516</v>
      </c>
      <c r="S261" s="271" t="s">
        <v>516</v>
      </c>
      <c r="T261" s="271" t="s">
        <v>516</v>
      </c>
      <c r="U261" s="112">
        <v>2.0</v>
      </c>
      <c r="V261" s="112">
        <v>0.0</v>
      </c>
      <c r="W261" s="112">
        <v>65.0</v>
      </c>
      <c r="X261" s="112">
        <v>75.0</v>
      </c>
      <c r="Y261" s="112">
        <v>10.0</v>
      </c>
      <c r="Z261" s="112">
        <v>30.0</v>
      </c>
      <c r="AA261" s="112"/>
      <c r="AB261" s="112"/>
      <c r="AC261" s="112"/>
      <c r="AD261" s="171" t="s">
        <v>1251</v>
      </c>
      <c r="AE261" s="112"/>
      <c r="AF261" s="171" t="s">
        <v>1252</v>
      </c>
      <c r="AG261" s="271">
        <v>5.0</v>
      </c>
      <c r="AH261" s="112"/>
      <c r="AI261" s="12"/>
      <c r="AJ261" s="12"/>
    </row>
    <row r="262" ht="14.25" customHeight="1">
      <c r="A262" s="280" t="s">
        <v>1040</v>
      </c>
      <c r="B262" s="252" t="s">
        <v>1253</v>
      </c>
      <c r="C262" s="252" t="s">
        <v>1254</v>
      </c>
      <c r="D262" s="252" t="s">
        <v>1253</v>
      </c>
      <c r="E262" s="253">
        <v>40163.0</v>
      </c>
      <c r="F262" s="283">
        <v>40421.0</v>
      </c>
      <c r="G262" s="284" t="s">
        <v>512</v>
      </c>
      <c r="H262" s="252" t="s">
        <v>519</v>
      </c>
      <c r="I262" s="252" t="s">
        <v>520</v>
      </c>
      <c r="J262" s="237" t="s">
        <v>516</v>
      </c>
      <c r="K262" s="237" t="s">
        <v>427</v>
      </c>
      <c r="L262" s="237" t="s">
        <v>469</v>
      </c>
      <c r="M262" s="237" t="s">
        <v>938</v>
      </c>
      <c r="N262" s="236"/>
      <c r="O262" s="237">
        <v>7.0</v>
      </c>
      <c r="P262" s="237" t="s">
        <v>516</v>
      </c>
      <c r="Q262" s="237" t="s">
        <v>548</v>
      </c>
      <c r="R262" s="237" t="s">
        <v>516</v>
      </c>
      <c r="S262" s="237" t="s">
        <v>516</v>
      </c>
      <c r="T262" s="237" t="s">
        <v>516</v>
      </c>
      <c r="U262" s="237">
        <v>2.0</v>
      </c>
      <c r="V262" s="236"/>
      <c r="W262" s="236"/>
      <c r="X262" s="236"/>
      <c r="Y262" s="236"/>
      <c r="Z262" s="236"/>
      <c r="AA262" s="236"/>
      <c r="AB262" s="236"/>
      <c r="AC262" s="236"/>
      <c r="AD262" s="236" t="s">
        <v>1255</v>
      </c>
      <c r="AE262" s="236"/>
      <c r="AF262" s="236" t="s">
        <v>1256</v>
      </c>
      <c r="AG262" s="237"/>
      <c r="AH262" s="236"/>
      <c r="AI262" s="255"/>
      <c r="AJ262" s="256"/>
    </row>
    <row r="263" ht="14.25" customHeight="1">
      <c r="A263" s="242" t="s">
        <v>1040</v>
      </c>
      <c r="B263" s="257" t="s">
        <v>1257</v>
      </c>
      <c r="C263" s="257" t="s">
        <v>1258</v>
      </c>
      <c r="D263" s="257" t="s">
        <v>1257</v>
      </c>
      <c r="E263" s="258">
        <v>40163.0</v>
      </c>
      <c r="F263" s="278">
        <v>40421.0</v>
      </c>
      <c r="G263" s="279" t="s">
        <v>512</v>
      </c>
      <c r="H263" s="257" t="s">
        <v>519</v>
      </c>
      <c r="I263" s="257" t="s">
        <v>520</v>
      </c>
      <c r="J263" s="112" t="s">
        <v>516</v>
      </c>
      <c r="K263" s="112" t="s">
        <v>418</v>
      </c>
      <c r="L263" s="112" t="s">
        <v>420</v>
      </c>
      <c r="M263" s="112" t="s">
        <v>475</v>
      </c>
      <c r="N263" s="171"/>
      <c r="O263" s="112">
        <v>7.0</v>
      </c>
      <c r="P263" s="270" t="s">
        <v>516</v>
      </c>
      <c r="Q263" s="270" t="s">
        <v>516</v>
      </c>
      <c r="R263" s="271" t="s">
        <v>548</v>
      </c>
      <c r="S263" s="271" t="s">
        <v>516</v>
      </c>
      <c r="T263" s="271" t="s">
        <v>516</v>
      </c>
      <c r="U263" s="112">
        <v>5.0</v>
      </c>
      <c r="V263" s="112"/>
      <c r="W263" s="112"/>
      <c r="X263" s="112"/>
      <c r="Y263" s="112"/>
      <c r="Z263" s="112"/>
      <c r="AA263" s="112"/>
      <c r="AB263" s="112"/>
      <c r="AC263" s="112"/>
      <c r="AD263" s="171" t="s">
        <v>1259</v>
      </c>
      <c r="AE263" s="112"/>
      <c r="AF263" s="171" t="s">
        <v>1260</v>
      </c>
      <c r="AG263" s="265">
        <v>27.0</v>
      </c>
      <c r="AH263" s="112"/>
      <c r="AI263" s="12"/>
      <c r="AJ263" s="12"/>
    </row>
    <row r="264" ht="14.25" customHeight="1">
      <c r="A264" s="242" t="s">
        <v>1040</v>
      </c>
      <c r="B264" s="257" t="s">
        <v>1261</v>
      </c>
      <c r="C264" s="257" t="s">
        <v>1262</v>
      </c>
      <c r="D264" s="257" t="s">
        <v>1261</v>
      </c>
      <c r="E264" s="258">
        <v>40166.0</v>
      </c>
      <c r="F264" s="278">
        <v>40421.0</v>
      </c>
      <c r="G264" s="279" t="s">
        <v>512</v>
      </c>
      <c r="H264" s="257" t="s">
        <v>519</v>
      </c>
      <c r="I264" s="257" t="s">
        <v>520</v>
      </c>
      <c r="J264" s="112" t="s">
        <v>516</v>
      </c>
      <c r="K264" s="112" t="s">
        <v>427</v>
      </c>
      <c r="L264" s="112" t="s">
        <v>420</v>
      </c>
      <c r="M264" s="112" t="s">
        <v>475</v>
      </c>
      <c r="N264" s="171"/>
      <c r="O264" s="112">
        <v>8.0</v>
      </c>
      <c r="P264" s="270" t="s">
        <v>516</v>
      </c>
      <c r="Q264" s="270" t="s">
        <v>516</v>
      </c>
      <c r="R264" s="271" t="s">
        <v>516</v>
      </c>
      <c r="S264" s="271" t="s">
        <v>516</v>
      </c>
      <c r="T264" s="271" t="s">
        <v>516</v>
      </c>
      <c r="U264" s="112">
        <v>2.0</v>
      </c>
      <c r="V264" s="112"/>
      <c r="W264" s="112"/>
      <c r="X264" s="112"/>
      <c r="Y264" s="112"/>
      <c r="Z264" s="112"/>
      <c r="AA264" s="112"/>
      <c r="AB264" s="112"/>
      <c r="AC264" s="112"/>
      <c r="AD264" s="112" t="s">
        <v>423</v>
      </c>
      <c r="AE264" s="112"/>
      <c r="AF264" s="171" t="s">
        <v>1263</v>
      </c>
      <c r="AG264" s="265">
        <v>5.0</v>
      </c>
      <c r="AH264" s="112"/>
      <c r="AI264" s="12"/>
      <c r="AJ264" s="12"/>
    </row>
    <row r="265" ht="14.25" customHeight="1">
      <c r="A265" s="242" t="s">
        <v>1040</v>
      </c>
      <c r="B265" s="257" t="s">
        <v>1264</v>
      </c>
      <c r="C265" s="257" t="s">
        <v>1265</v>
      </c>
      <c r="D265" s="257" t="s">
        <v>1264</v>
      </c>
      <c r="E265" s="258">
        <v>40166.0</v>
      </c>
      <c r="F265" s="278">
        <v>40421.0</v>
      </c>
      <c r="G265" s="279" t="s">
        <v>512</v>
      </c>
      <c r="H265" s="257" t="s">
        <v>519</v>
      </c>
      <c r="I265" s="257" t="s">
        <v>520</v>
      </c>
      <c r="J265" s="112" t="s">
        <v>516</v>
      </c>
      <c r="K265" s="112" t="s">
        <v>427</v>
      </c>
      <c r="L265" s="112" t="s">
        <v>420</v>
      </c>
      <c r="M265" s="112" t="s">
        <v>475</v>
      </c>
      <c r="N265" s="171"/>
      <c r="O265" s="112">
        <v>8.0</v>
      </c>
      <c r="P265" s="270" t="s">
        <v>516</v>
      </c>
      <c r="Q265" s="270" t="s">
        <v>516</v>
      </c>
      <c r="R265" s="271" t="s">
        <v>548</v>
      </c>
      <c r="S265" s="271" t="s">
        <v>516</v>
      </c>
      <c r="T265" s="271" t="s">
        <v>516</v>
      </c>
      <c r="U265" s="112">
        <v>2.0</v>
      </c>
      <c r="V265" s="112"/>
      <c r="W265" s="112"/>
      <c r="X265" s="112"/>
      <c r="Y265" s="112"/>
      <c r="Z265" s="112"/>
      <c r="AA265" s="112"/>
      <c r="AB265" s="112"/>
      <c r="AC265" s="112"/>
      <c r="AD265" s="171" t="s">
        <v>1266</v>
      </c>
      <c r="AE265" s="112"/>
      <c r="AF265" s="171" t="s">
        <v>1267</v>
      </c>
      <c r="AG265" s="265">
        <v>26.0</v>
      </c>
      <c r="AH265" s="112"/>
      <c r="AI265" s="12"/>
      <c r="AJ265" s="12"/>
    </row>
    <row r="266" ht="14.25" customHeight="1">
      <c r="A266" s="242" t="s">
        <v>1040</v>
      </c>
      <c r="B266" s="257" t="s">
        <v>1268</v>
      </c>
      <c r="C266" s="257" t="s">
        <v>1269</v>
      </c>
      <c r="D266" s="257" t="s">
        <v>1268</v>
      </c>
      <c r="E266" s="258">
        <v>40169.0</v>
      </c>
      <c r="F266" s="278">
        <v>40421.0</v>
      </c>
      <c r="G266" s="279" t="s">
        <v>512</v>
      </c>
      <c r="H266" s="257" t="s">
        <v>519</v>
      </c>
      <c r="I266" s="257" t="s">
        <v>520</v>
      </c>
      <c r="J266" s="112" t="s">
        <v>516</v>
      </c>
      <c r="K266" s="112" t="s">
        <v>424</v>
      </c>
      <c r="L266" s="112" t="s">
        <v>420</v>
      </c>
      <c r="M266" s="112" t="s">
        <v>938</v>
      </c>
      <c r="N266" s="171"/>
      <c r="O266" s="112">
        <v>7.0</v>
      </c>
      <c r="P266" s="270" t="s">
        <v>516</v>
      </c>
      <c r="Q266" s="270" t="s">
        <v>516</v>
      </c>
      <c r="R266" s="271" t="s">
        <v>516</v>
      </c>
      <c r="S266" s="271" t="s">
        <v>516</v>
      </c>
      <c r="T266" s="271" t="s">
        <v>516</v>
      </c>
      <c r="U266" s="112">
        <v>2.0</v>
      </c>
      <c r="V266" s="112"/>
      <c r="W266" s="112"/>
      <c r="X266" s="112"/>
      <c r="Y266" s="112"/>
      <c r="Z266" s="112"/>
      <c r="AA266" s="112"/>
      <c r="AB266" s="112"/>
      <c r="AC266" s="112"/>
      <c r="AD266" s="171" t="s">
        <v>1270</v>
      </c>
      <c r="AE266" s="112"/>
      <c r="AF266" s="171" t="s">
        <v>1271</v>
      </c>
      <c r="AG266" s="265">
        <v>5.0</v>
      </c>
      <c r="AH266" s="112"/>
      <c r="AI266" s="12"/>
      <c r="AJ266" s="12"/>
    </row>
    <row r="267" ht="14.25" customHeight="1">
      <c r="A267" s="242" t="s">
        <v>1040</v>
      </c>
      <c r="B267" s="257" t="s">
        <v>1272</v>
      </c>
      <c r="C267" s="257" t="s">
        <v>1273</v>
      </c>
      <c r="D267" s="257" t="s">
        <v>1272</v>
      </c>
      <c r="E267" s="258">
        <v>40178.0</v>
      </c>
      <c r="F267" s="278">
        <v>40421.0</v>
      </c>
      <c r="G267" s="279" t="s">
        <v>512</v>
      </c>
      <c r="H267" s="257" t="s">
        <v>519</v>
      </c>
      <c r="I267" s="257" t="s">
        <v>520</v>
      </c>
      <c r="J267" s="112" t="s">
        <v>516</v>
      </c>
      <c r="K267" s="112" t="s">
        <v>427</v>
      </c>
      <c r="L267" s="112" t="s">
        <v>420</v>
      </c>
      <c r="M267" s="112" t="s">
        <v>475</v>
      </c>
      <c r="N267" s="171"/>
      <c r="O267" s="112">
        <v>8.0</v>
      </c>
      <c r="P267" s="270" t="s">
        <v>516</v>
      </c>
      <c r="Q267" s="270" t="s">
        <v>516</v>
      </c>
      <c r="R267" s="271" t="s">
        <v>516</v>
      </c>
      <c r="S267" s="271" t="s">
        <v>516</v>
      </c>
      <c r="T267" s="271" t="s">
        <v>516</v>
      </c>
      <c r="U267" s="112">
        <v>2.0</v>
      </c>
      <c r="V267" s="112"/>
      <c r="W267" s="112"/>
      <c r="X267" s="112"/>
      <c r="Y267" s="112"/>
      <c r="Z267" s="112"/>
      <c r="AA267" s="112"/>
      <c r="AB267" s="112"/>
      <c r="AC267" s="112"/>
      <c r="AD267" s="112" t="s">
        <v>423</v>
      </c>
      <c r="AE267" s="112"/>
      <c r="AF267" s="171" t="s">
        <v>1274</v>
      </c>
      <c r="AG267" s="265">
        <v>5.0</v>
      </c>
      <c r="AH267" s="112"/>
      <c r="AI267" s="12"/>
      <c r="AJ267" s="12"/>
    </row>
    <row r="268" ht="14.25" customHeight="1">
      <c r="A268" s="242" t="s">
        <v>1040</v>
      </c>
      <c r="B268" s="257" t="s">
        <v>1275</v>
      </c>
      <c r="C268" s="257" t="s">
        <v>1276</v>
      </c>
      <c r="D268" s="257" t="s">
        <v>1275</v>
      </c>
      <c r="E268" s="258">
        <v>40179.0</v>
      </c>
      <c r="F268" s="278">
        <v>40421.0</v>
      </c>
      <c r="G268" s="279" t="s">
        <v>512</v>
      </c>
      <c r="H268" s="257" t="s">
        <v>519</v>
      </c>
      <c r="I268" s="257" t="s">
        <v>520</v>
      </c>
      <c r="J268" s="112" t="s">
        <v>548</v>
      </c>
      <c r="K268" s="112" t="s">
        <v>430</v>
      </c>
      <c r="L268" s="112" t="s">
        <v>420</v>
      </c>
      <c r="M268" s="112" t="s">
        <v>475</v>
      </c>
      <c r="N268" s="171"/>
      <c r="O268" s="112">
        <v>8.0</v>
      </c>
      <c r="P268" s="270" t="s">
        <v>516</v>
      </c>
      <c r="Q268" s="270" t="s">
        <v>516</v>
      </c>
      <c r="R268" s="271" t="s">
        <v>516</v>
      </c>
      <c r="S268" s="271" t="s">
        <v>516</v>
      </c>
      <c r="T268" s="271" t="s">
        <v>548</v>
      </c>
      <c r="U268" s="112">
        <v>2.0</v>
      </c>
      <c r="V268" s="112">
        <v>20.0</v>
      </c>
      <c r="W268" s="112">
        <v>60.0</v>
      </c>
      <c r="X268" s="112">
        <v>75.0</v>
      </c>
      <c r="Y268" s="112">
        <v>10.0</v>
      </c>
      <c r="Z268" s="112">
        <v>25.0</v>
      </c>
      <c r="AA268" s="112"/>
      <c r="AB268" s="112"/>
      <c r="AC268" s="112"/>
      <c r="AD268" s="171" t="s">
        <v>1277</v>
      </c>
      <c r="AE268" s="112"/>
      <c r="AF268" s="171" t="s">
        <v>1278</v>
      </c>
      <c r="AG268" s="265">
        <v>5.0</v>
      </c>
      <c r="AH268" s="112"/>
      <c r="AI268" s="12"/>
      <c r="AJ268" s="12"/>
    </row>
    <row r="269" ht="14.25" customHeight="1">
      <c r="A269" s="242" t="s">
        <v>1040</v>
      </c>
      <c r="B269" s="257" t="s">
        <v>1279</v>
      </c>
      <c r="C269" s="257" t="s">
        <v>1280</v>
      </c>
      <c r="D269" s="257" t="s">
        <v>1279</v>
      </c>
      <c r="E269" s="258">
        <v>40183.0</v>
      </c>
      <c r="F269" s="278">
        <v>40421.0</v>
      </c>
      <c r="G269" s="279" t="s">
        <v>512</v>
      </c>
      <c r="H269" s="257" t="s">
        <v>519</v>
      </c>
      <c r="I269" s="257" t="s">
        <v>520</v>
      </c>
      <c r="J269" s="112" t="s">
        <v>516</v>
      </c>
      <c r="K269" s="112" t="s">
        <v>427</v>
      </c>
      <c r="L269" s="112" t="s">
        <v>420</v>
      </c>
      <c r="M269" s="112" t="s">
        <v>475</v>
      </c>
      <c r="N269" s="171"/>
      <c r="O269" s="112">
        <v>8.0</v>
      </c>
      <c r="P269" s="270" t="s">
        <v>516</v>
      </c>
      <c r="Q269" s="270" t="s">
        <v>516</v>
      </c>
      <c r="R269" s="271" t="s">
        <v>548</v>
      </c>
      <c r="S269" s="271" t="s">
        <v>516</v>
      </c>
      <c r="T269" s="271" t="s">
        <v>516</v>
      </c>
      <c r="U269" s="112">
        <v>2.0</v>
      </c>
      <c r="V269" s="112"/>
      <c r="W269" s="112"/>
      <c r="X269" s="112"/>
      <c r="Y269" s="112"/>
      <c r="Z269" s="112"/>
      <c r="AA269" s="112"/>
      <c r="AB269" s="112"/>
      <c r="AC269" s="112"/>
      <c r="AD269" s="112" t="s">
        <v>423</v>
      </c>
      <c r="AE269" s="112"/>
      <c r="AF269" s="171" t="s">
        <v>1281</v>
      </c>
      <c r="AG269" s="265">
        <v>25.0</v>
      </c>
      <c r="AH269" s="112"/>
      <c r="AI269" s="12"/>
      <c r="AJ269" s="12"/>
    </row>
    <row r="270" ht="14.25" customHeight="1">
      <c r="A270" s="242" t="s">
        <v>1040</v>
      </c>
      <c r="B270" s="257" t="s">
        <v>1282</v>
      </c>
      <c r="C270" s="257" t="s">
        <v>1283</v>
      </c>
      <c r="D270" s="257" t="s">
        <v>1282</v>
      </c>
      <c r="E270" s="258">
        <v>40184.0</v>
      </c>
      <c r="F270" s="278">
        <v>40421.0</v>
      </c>
      <c r="G270" s="279" t="s">
        <v>512</v>
      </c>
      <c r="H270" s="257" t="s">
        <v>519</v>
      </c>
      <c r="I270" s="257" t="s">
        <v>520</v>
      </c>
      <c r="J270" s="112" t="s">
        <v>516</v>
      </c>
      <c r="K270" s="112" t="s">
        <v>430</v>
      </c>
      <c r="L270" s="112" t="s">
        <v>420</v>
      </c>
      <c r="M270" s="112" t="s">
        <v>938</v>
      </c>
      <c r="N270" s="171"/>
      <c r="O270" s="112">
        <v>7.0</v>
      </c>
      <c r="P270" s="270" t="s">
        <v>516</v>
      </c>
      <c r="Q270" s="270" t="s">
        <v>516</v>
      </c>
      <c r="R270" s="271" t="s">
        <v>516</v>
      </c>
      <c r="S270" s="271" t="s">
        <v>516</v>
      </c>
      <c r="T270" s="271" t="s">
        <v>548</v>
      </c>
      <c r="U270" s="112">
        <v>2.0</v>
      </c>
      <c r="V270" s="112"/>
      <c r="W270" s="112"/>
      <c r="X270" s="112"/>
      <c r="Y270" s="112"/>
      <c r="Z270" s="112"/>
      <c r="AA270" s="112"/>
      <c r="AB270" s="112"/>
      <c r="AC270" s="112"/>
      <c r="AD270" s="171" t="s">
        <v>1284</v>
      </c>
      <c r="AE270" s="112"/>
      <c r="AF270" s="171" t="s">
        <v>1285</v>
      </c>
      <c r="AG270" s="265">
        <v>5.0</v>
      </c>
      <c r="AH270" s="112"/>
      <c r="AI270" s="12"/>
      <c r="AJ270" s="12"/>
    </row>
    <row r="271" ht="14.25" customHeight="1">
      <c r="A271" s="242" t="s">
        <v>1040</v>
      </c>
      <c r="B271" s="257" t="s">
        <v>1286</v>
      </c>
      <c r="C271" s="257" t="s">
        <v>1287</v>
      </c>
      <c r="D271" s="257" t="s">
        <v>1286</v>
      </c>
      <c r="E271" s="258">
        <v>40421.0</v>
      </c>
      <c r="F271" s="258">
        <v>41640.0</v>
      </c>
      <c r="G271" s="257" t="s">
        <v>512</v>
      </c>
      <c r="H271" s="257" t="s">
        <v>519</v>
      </c>
      <c r="I271" s="257" t="s">
        <v>520</v>
      </c>
      <c r="J271" s="112" t="s">
        <v>548</v>
      </c>
      <c r="K271" s="112" t="s">
        <v>427</v>
      </c>
      <c r="L271" s="112" t="s">
        <v>420</v>
      </c>
      <c r="M271" s="112" t="s">
        <v>938</v>
      </c>
      <c r="N271" s="171"/>
      <c r="O271" s="112">
        <v>8.0</v>
      </c>
      <c r="P271" s="270" t="s">
        <v>516</v>
      </c>
      <c r="Q271" s="270" t="s">
        <v>516</v>
      </c>
      <c r="R271" s="270" t="s">
        <v>548</v>
      </c>
      <c r="S271" s="270" t="s">
        <v>516</v>
      </c>
      <c r="T271" s="270" t="s">
        <v>516</v>
      </c>
      <c r="U271" s="112"/>
      <c r="V271" s="112">
        <v>0.0</v>
      </c>
      <c r="W271" s="112">
        <v>60.0</v>
      </c>
      <c r="X271" s="112">
        <v>70.0</v>
      </c>
      <c r="Y271" s="112">
        <v>10.0</v>
      </c>
      <c r="Z271" s="112">
        <v>30.0</v>
      </c>
      <c r="AA271" s="260">
        <v>1.0</v>
      </c>
      <c r="AB271" s="69"/>
      <c r="AC271" s="112"/>
      <c r="AD271" s="171" t="s">
        <v>1288</v>
      </c>
      <c r="AE271" s="112"/>
      <c r="AF271" s="171" t="s">
        <v>1289</v>
      </c>
      <c r="AG271" s="265">
        <v>23.0</v>
      </c>
      <c r="AH271" s="112"/>
      <c r="AI271" s="12"/>
      <c r="AJ271" s="12"/>
    </row>
    <row r="272" ht="14.25" customHeight="1">
      <c r="A272" s="242" t="s">
        <v>1040</v>
      </c>
      <c r="B272" s="257" t="s">
        <v>1290</v>
      </c>
      <c r="C272" s="257" t="s">
        <v>1291</v>
      </c>
      <c r="D272" s="257" t="s">
        <v>1290</v>
      </c>
      <c r="E272" s="258">
        <v>40421.0</v>
      </c>
      <c r="F272" s="258">
        <v>40999.0</v>
      </c>
      <c r="G272" s="257" t="s">
        <v>512</v>
      </c>
      <c r="H272" s="257" t="s">
        <v>519</v>
      </c>
      <c r="I272" s="257" t="s">
        <v>520</v>
      </c>
      <c r="J272" s="112" t="s">
        <v>516</v>
      </c>
      <c r="K272" s="112" t="s">
        <v>443</v>
      </c>
      <c r="L272" s="112" t="s">
        <v>420</v>
      </c>
      <c r="M272" s="112" t="s">
        <v>938</v>
      </c>
      <c r="N272" s="171"/>
      <c r="O272" s="112">
        <v>8.0</v>
      </c>
      <c r="P272" s="270" t="s">
        <v>516</v>
      </c>
      <c r="Q272" s="270" t="s">
        <v>516</v>
      </c>
      <c r="R272" s="270" t="s">
        <v>548</v>
      </c>
      <c r="S272" s="270" t="s">
        <v>516</v>
      </c>
      <c r="T272" s="270" t="s">
        <v>516</v>
      </c>
      <c r="U272" s="112"/>
      <c r="V272" s="112"/>
      <c r="W272" s="112"/>
      <c r="X272" s="112"/>
      <c r="Y272" s="112"/>
      <c r="Z272" s="112"/>
      <c r="AA272" s="112"/>
      <c r="AB272" s="112"/>
      <c r="AC272" s="112"/>
      <c r="AD272" s="171" t="s">
        <v>1292</v>
      </c>
      <c r="AE272" s="112"/>
      <c r="AF272" s="171" t="s">
        <v>423</v>
      </c>
      <c r="AG272" s="265">
        <v>24.0</v>
      </c>
      <c r="AH272" s="112"/>
      <c r="AI272" s="12"/>
      <c r="AJ272" s="12"/>
    </row>
    <row r="273" ht="14.25" customHeight="1">
      <c r="A273" s="242" t="s">
        <v>1040</v>
      </c>
      <c r="B273" s="257" t="s">
        <v>1293</v>
      </c>
      <c r="C273" s="257" t="s">
        <v>1291</v>
      </c>
      <c r="D273" s="257" t="s">
        <v>1293</v>
      </c>
      <c r="E273" s="258">
        <v>40998.0</v>
      </c>
      <c r="F273" s="258">
        <v>41640.0</v>
      </c>
      <c r="G273" s="257" t="s">
        <v>512</v>
      </c>
      <c r="H273" s="257" t="s">
        <v>519</v>
      </c>
      <c r="I273" s="257" t="s">
        <v>520</v>
      </c>
      <c r="J273" s="112" t="s">
        <v>548</v>
      </c>
      <c r="K273" s="112" t="s">
        <v>443</v>
      </c>
      <c r="L273" s="112" t="s">
        <v>420</v>
      </c>
      <c r="M273" s="112" t="s">
        <v>938</v>
      </c>
      <c r="N273" s="171"/>
      <c r="O273" s="112">
        <v>8.0</v>
      </c>
      <c r="P273" s="270" t="s">
        <v>516</v>
      </c>
      <c r="Q273" s="270" t="s">
        <v>516</v>
      </c>
      <c r="R273" s="270" t="s">
        <v>548</v>
      </c>
      <c r="S273" s="270" t="s">
        <v>516</v>
      </c>
      <c r="T273" s="270" t="s">
        <v>516</v>
      </c>
      <c r="U273" s="112">
        <v>2.0</v>
      </c>
      <c r="V273" s="112">
        <v>7.0</v>
      </c>
      <c r="W273" s="112">
        <v>65.0</v>
      </c>
      <c r="X273" s="112">
        <v>75.0</v>
      </c>
      <c r="Y273" s="112">
        <v>10.0</v>
      </c>
      <c r="Z273" s="112">
        <v>30.0</v>
      </c>
      <c r="AA273" s="112">
        <v>5.0</v>
      </c>
      <c r="AB273" s="112">
        <v>30.0</v>
      </c>
      <c r="AC273" s="112"/>
      <c r="AD273" s="171" t="s">
        <v>1294</v>
      </c>
      <c r="AE273" s="112"/>
      <c r="AF273" s="171" t="s">
        <v>423</v>
      </c>
      <c r="AG273" s="265">
        <v>24.0</v>
      </c>
      <c r="AH273" s="112"/>
      <c r="AI273" s="12"/>
      <c r="AJ273" s="12"/>
    </row>
    <row r="274" ht="14.25" customHeight="1">
      <c r="A274" s="242" t="s">
        <v>1040</v>
      </c>
      <c r="B274" s="257" t="s">
        <v>1295</v>
      </c>
      <c r="C274" s="257" t="s">
        <v>1296</v>
      </c>
      <c r="D274" s="257" t="s">
        <v>1295</v>
      </c>
      <c r="E274" s="258">
        <v>40427.0</v>
      </c>
      <c r="F274" s="258">
        <v>40909.0</v>
      </c>
      <c r="G274" s="257" t="s">
        <v>512</v>
      </c>
      <c r="H274" s="257" t="s">
        <v>519</v>
      </c>
      <c r="I274" s="257" t="s">
        <v>520</v>
      </c>
      <c r="J274" s="112" t="s">
        <v>516</v>
      </c>
      <c r="K274" s="112" t="s">
        <v>418</v>
      </c>
      <c r="L274" s="112" t="s">
        <v>420</v>
      </c>
      <c r="M274" s="112" t="s">
        <v>938</v>
      </c>
      <c r="N274" s="171"/>
      <c r="O274" s="112">
        <v>1.0</v>
      </c>
      <c r="P274" s="270" t="s">
        <v>516</v>
      </c>
      <c r="Q274" s="270" t="s">
        <v>516</v>
      </c>
      <c r="R274" s="270" t="s">
        <v>548</v>
      </c>
      <c r="S274" s="270" t="s">
        <v>516</v>
      </c>
      <c r="T274" s="270" t="s">
        <v>516</v>
      </c>
      <c r="U274" s="112" t="s">
        <v>423</v>
      </c>
      <c r="V274" s="112"/>
      <c r="W274" s="112"/>
      <c r="X274" s="112"/>
      <c r="Y274" s="112"/>
      <c r="Z274" s="112"/>
      <c r="AA274" s="112"/>
      <c r="AB274" s="112"/>
      <c r="AC274" s="112"/>
      <c r="AD274" s="171" t="s">
        <v>1297</v>
      </c>
      <c r="AE274" s="112"/>
      <c r="AF274" s="171" t="s">
        <v>1298</v>
      </c>
      <c r="AG274" s="265">
        <v>23.0</v>
      </c>
      <c r="AH274" s="112"/>
      <c r="AI274" s="12"/>
      <c r="AJ274" s="12"/>
    </row>
    <row r="275" ht="14.25" customHeight="1">
      <c r="A275" s="242" t="s">
        <v>1040</v>
      </c>
      <c r="B275" s="257" t="s">
        <v>1299</v>
      </c>
      <c r="C275" s="257" t="s">
        <v>1300</v>
      </c>
      <c r="D275" s="257" t="s">
        <v>1299</v>
      </c>
      <c r="E275" s="258">
        <v>40471.0</v>
      </c>
      <c r="F275" s="258">
        <v>40998.0</v>
      </c>
      <c r="G275" s="257" t="s">
        <v>523</v>
      </c>
      <c r="H275" s="257" t="s">
        <v>519</v>
      </c>
      <c r="I275" s="257" t="s">
        <v>520</v>
      </c>
      <c r="J275" s="112" t="s">
        <v>516</v>
      </c>
      <c r="K275" s="171" t="s">
        <v>443</v>
      </c>
      <c r="L275" s="112" t="s">
        <v>470</v>
      </c>
      <c r="M275" s="171" t="s">
        <v>938</v>
      </c>
      <c r="N275" s="171"/>
      <c r="O275" s="112">
        <v>1.0</v>
      </c>
      <c r="P275" s="270" t="s">
        <v>516</v>
      </c>
      <c r="Q275" s="270" t="s">
        <v>516</v>
      </c>
      <c r="R275" s="270" t="s">
        <v>548</v>
      </c>
      <c r="S275" s="270" t="s">
        <v>516</v>
      </c>
      <c r="T275" s="270" t="s">
        <v>516</v>
      </c>
      <c r="U275" s="112"/>
      <c r="V275" s="112"/>
      <c r="W275" s="112"/>
      <c r="X275" s="112"/>
      <c r="Y275" s="260">
        <v>10.0</v>
      </c>
      <c r="Z275" s="69"/>
      <c r="AA275" s="260">
        <v>5.0</v>
      </c>
      <c r="AB275" s="69"/>
      <c r="AC275" s="112"/>
      <c r="AD275" s="171" t="s">
        <v>1301</v>
      </c>
      <c r="AE275" s="112">
        <v>500.0</v>
      </c>
      <c r="AF275" s="171" t="s">
        <v>1302</v>
      </c>
      <c r="AG275" s="271">
        <v>14.0</v>
      </c>
      <c r="AH275" s="112"/>
      <c r="AI275" s="12"/>
      <c r="AJ275" s="12"/>
    </row>
    <row r="276" ht="14.25" customHeight="1">
      <c r="A276" s="242" t="s">
        <v>1040</v>
      </c>
      <c r="B276" s="257" t="s">
        <v>1303</v>
      </c>
      <c r="C276" s="257" t="s">
        <v>1300</v>
      </c>
      <c r="D276" s="257" t="s">
        <v>1303</v>
      </c>
      <c r="E276" s="258">
        <v>40998.0</v>
      </c>
      <c r="F276" s="258">
        <v>41640.0</v>
      </c>
      <c r="G276" s="257" t="s">
        <v>512</v>
      </c>
      <c r="H276" s="257" t="s">
        <v>519</v>
      </c>
      <c r="I276" s="257" t="s">
        <v>520</v>
      </c>
      <c r="J276" s="112" t="s">
        <v>548</v>
      </c>
      <c r="K276" s="171" t="s">
        <v>443</v>
      </c>
      <c r="L276" s="112" t="s">
        <v>470</v>
      </c>
      <c r="M276" s="171" t="s">
        <v>938</v>
      </c>
      <c r="N276" s="171"/>
      <c r="O276" s="112">
        <v>1.0</v>
      </c>
      <c r="P276" s="270" t="s">
        <v>516</v>
      </c>
      <c r="Q276" s="270" t="s">
        <v>516</v>
      </c>
      <c r="R276" s="270" t="s">
        <v>548</v>
      </c>
      <c r="S276" s="270" t="s">
        <v>516</v>
      </c>
      <c r="T276" s="270" t="s">
        <v>516</v>
      </c>
      <c r="U276" s="112"/>
      <c r="V276" s="112">
        <v>8.0</v>
      </c>
      <c r="W276" s="112">
        <v>65.0</v>
      </c>
      <c r="X276" s="112">
        <v>75.0</v>
      </c>
      <c r="Y276" s="260">
        <v>10.0</v>
      </c>
      <c r="Z276" s="69"/>
      <c r="AA276" s="260">
        <v>5.0</v>
      </c>
      <c r="AB276" s="69"/>
      <c r="AC276" s="112"/>
      <c r="AD276" s="171" t="s">
        <v>1301</v>
      </c>
      <c r="AE276" s="112">
        <v>500.0</v>
      </c>
      <c r="AF276" s="171" t="s">
        <v>1302</v>
      </c>
      <c r="AG276" s="271">
        <v>14.0</v>
      </c>
      <c r="AH276" s="112"/>
      <c r="AI276" s="12"/>
      <c r="AJ276" s="12"/>
    </row>
    <row r="277" ht="14.25" customHeight="1">
      <c r="A277" s="242" t="s">
        <v>1040</v>
      </c>
      <c r="B277" s="257" t="s">
        <v>1304</v>
      </c>
      <c r="C277" s="257" t="s">
        <v>1305</v>
      </c>
      <c r="D277" s="257" t="s">
        <v>1304</v>
      </c>
      <c r="E277" s="258">
        <v>40490.0</v>
      </c>
      <c r="F277" s="258">
        <v>40999.0</v>
      </c>
      <c r="G277" s="257" t="s">
        <v>512</v>
      </c>
      <c r="H277" s="257" t="s">
        <v>519</v>
      </c>
      <c r="I277" s="257" t="s">
        <v>520</v>
      </c>
      <c r="J277" s="171" t="s">
        <v>516</v>
      </c>
      <c r="K277" s="171" t="s">
        <v>443</v>
      </c>
      <c r="L277" s="171" t="s">
        <v>420</v>
      </c>
      <c r="M277" s="171" t="s">
        <v>938</v>
      </c>
      <c r="N277" s="171"/>
      <c r="O277" s="171">
        <v>9.0</v>
      </c>
      <c r="P277" s="270" t="s">
        <v>516</v>
      </c>
      <c r="Q277" s="270" t="s">
        <v>516</v>
      </c>
      <c r="R277" s="270" t="s">
        <v>548</v>
      </c>
      <c r="S277" s="270" t="s">
        <v>516</v>
      </c>
      <c r="T277" s="270" t="s">
        <v>516</v>
      </c>
      <c r="U277" s="171">
        <v>2.0</v>
      </c>
      <c r="V277" s="112"/>
      <c r="W277" s="112"/>
      <c r="X277" s="112"/>
      <c r="Y277" s="112"/>
      <c r="Z277" s="112"/>
      <c r="AA277" s="112"/>
      <c r="AB277" s="112"/>
      <c r="AC277" s="112"/>
      <c r="AD277" s="171" t="s">
        <v>1306</v>
      </c>
      <c r="AE277" s="112"/>
      <c r="AF277" s="171" t="s">
        <v>1307</v>
      </c>
      <c r="AG277" s="265">
        <v>20.0</v>
      </c>
      <c r="AH277" s="112"/>
      <c r="AI277" s="12"/>
      <c r="AJ277" s="12"/>
    </row>
    <row r="278" ht="14.25" customHeight="1">
      <c r="A278" s="242" t="s">
        <v>1040</v>
      </c>
      <c r="B278" s="257" t="s">
        <v>1308</v>
      </c>
      <c r="C278" s="257" t="s">
        <v>1305</v>
      </c>
      <c r="D278" s="257" t="s">
        <v>1308</v>
      </c>
      <c r="E278" s="258">
        <v>40998.0</v>
      </c>
      <c r="F278" s="258">
        <v>41640.0</v>
      </c>
      <c r="G278" s="257" t="s">
        <v>512</v>
      </c>
      <c r="H278" s="257" t="s">
        <v>519</v>
      </c>
      <c r="I278" s="257" t="s">
        <v>520</v>
      </c>
      <c r="J278" s="171" t="s">
        <v>548</v>
      </c>
      <c r="K278" s="171" t="s">
        <v>443</v>
      </c>
      <c r="L278" s="171" t="s">
        <v>420</v>
      </c>
      <c r="M278" s="171" t="s">
        <v>938</v>
      </c>
      <c r="N278" s="171"/>
      <c r="O278" s="171">
        <v>8.0</v>
      </c>
      <c r="P278" s="270" t="s">
        <v>516</v>
      </c>
      <c r="Q278" s="270" t="s">
        <v>516</v>
      </c>
      <c r="R278" s="270" t="s">
        <v>548</v>
      </c>
      <c r="S278" s="270" t="s">
        <v>516</v>
      </c>
      <c r="T278" s="270" t="s">
        <v>516</v>
      </c>
      <c r="U278" s="171">
        <v>2.0</v>
      </c>
      <c r="V278" s="171">
        <v>7.0</v>
      </c>
      <c r="W278" s="171">
        <v>65.0</v>
      </c>
      <c r="X278" s="171">
        <v>75.0</v>
      </c>
      <c r="Y278" s="171">
        <v>10.0</v>
      </c>
      <c r="Z278" s="171">
        <v>30.0</v>
      </c>
      <c r="AA278" s="171">
        <v>5.0</v>
      </c>
      <c r="AB278" s="171">
        <v>30.0</v>
      </c>
      <c r="AC278" s="112"/>
      <c r="AD278" s="171" t="s">
        <v>1306</v>
      </c>
      <c r="AE278" s="112"/>
      <c r="AF278" s="171" t="s">
        <v>1307</v>
      </c>
      <c r="AG278" s="265">
        <v>20.0</v>
      </c>
      <c r="AH278" s="112"/>
      <c r="AI278" s="12"/>
      <c r="AJ278" s="12"/>
    </row>
    <row r="279" ht="14.25" customHeight="1">
      <c r="A279" s="242" t="s">
        <v>1040</v>
      </c>
      <c r="B279" s="257" t="s">
        <v>1309</v>
      </c>
      <c r="C279" s="257" t="s">
        <v>1310</v>
      </c>
      <c r="D279" s="257" t="s">
        <v>1309</v>
      </c>
      <c r="E279" s="258">
        <v>40598.0</v>
      </c>
      <c r="F279" s="258">
        <v>41640.0</v>
      </c>
      <c r="G279" s="257" t="s">
        <v>512</v>
      </c>
      <c r="H279" s="257" t="s">
        <v>519</v>
      </c>
      <c r="I279" s="257" t="s">
        <v>520</v>
      </c>
      <c r="J279" s="171" t="s">
        <v>516</v>
      </c>
      <c r="K279" s="265" t="s">
        <v>433</v>
      </c>
      <c r="L279" s="171" t="s">
        <v>420</v>
      </c>
      <c r="M279" s="112" t="s">
        <v>938</v>
      </c>
      <c r="N279" s="171"/>
      <c r="O279" s="171">
        <v>9.0</v>
      </c>
      <c r="P279" s="270" t="s">
        <v>516</v>
      </c>
      <c r="Q279" s="270" t="s">
        <v>516</v>
      </c>
      <c r="R279" s="270" t="s">
        <v>516</v>
      </c>
      <c r="S279" s="270" t="s">
        <v>516</v>
      </c>
      <c r="T279" s="271" t="s">
        <v>548</v>
      </c>
      <c r="U279" s="112">
        <v>2.0</v>
      </c>
      <c r="V279" s="171">
        <v>20.0</v>
      </c>
      <c r="W279" s="171">
        <v>60.0</v>
      </c>
      <c r="X279" s="171">
        <v>70.0</v>
      </c>
      <c r="Y279" s="171">
        <v>10.0</v>
      </c>
      <c r="Z279" s="171">
        <v>25.0</v>
      </c>
      <c r="AA279" s="171">
        <v>5.0</v>
      </c>
      <c r="AB279" s="171">
        <v>25.0</v>
      </c>
      <c r="AC279" s="112"/>
      <c r="AD279" s="171" t="s">
        <v>1311</v>
      </c>
      <c r="AE279" s="112"/>
      <c r="AF279" s="171" t="s">
        <v>1312</v>
      </c>
      <c r="AG279" s="265">
        <v>24.0</v>
      </c>
      <c r="AH279" s="112"/>
      <c r="AI279" s="12"/>
      <c r="AJ279" s="12"/>
    </row>
    <row r="280" ht="14.25" customHeight="1">
      <c r="A280" s="242" t="s">
        <v>1040</v>
      </c>
      <c r="B280" s="257" t="s">
        <v>1313</v>
      </c>
      <c r="C280" s="257" t="s">
        <v>1314</v>
      </c>
      <c r="D280" s="257" t="s">
        <v>1313</v>
      </c>
      <c r="E280" s="258">
        <v>40610.0</v>
      </c>
      <c r="F280" s="258">
        <v>40933.0</v>
      </c>
      <c r="G280" s="257" t="s">
        <v>512</v>
      </c>
      <c r="H280" s="257" t="s">
        <v>519</v>
      </c>
      <c r="I280" s="257" t="s">
        <v>520</v>
      </c>
      <c r="J280" s="171" t="s">
        <v>516</v>
      </c>
      <c r="K280" s="171" t="s">
        <v>443</v>
      </c>
      <c r="L280" s="171" t="s">
        <v>420</v>
      </c>
      <c r="M280" s="171" t="s">
        <v>938</v>
      </c>
      <c r="N280" s="171"/>
      <c r="O280" s="171">
        <v>11.0</v>
      </c>
      <c r="P280" s="270" t="s">
        <v>516</v>
      </c>
      <c r="Q280" s="270" t="s">
        <v>516</v>
      </c>
      <c r="R280" s="270" t="s">
        <v>548</v>
      </c>
      <c r="S280" s="270" t="s">
        <v>516</v>
      </c>
      <c r="T280" s="270" t="s">
        <v>516</v>
      </c>
      <c r="U280" s="112">
        <v>2.0</v>
      </c>
      <c r="V280" s="112">
        <v>8.0</v>
      </c>
      <c r="W280" s="112">
        <v>70.0</v>
      </c>
      <c r="X280" s="112">
        <v>80.0</v>
      </c>
      <c r="Y280" s="260">
        <v>10.0</v>
      </c>
      <c r="Z280" s="69"/>
      <c r="AA280" s="112">
        <v>1.0</v>
      </c>
      <c r="AB280" s="112">
        <v>5.0</v>
      </c>
      <c r="AC280" s="112"/>
      <c r="AD280" s="171" t="s">
        <v>1315</v>
      </c>
      <c r="AE280" s="112">
        <v>500.0</v>
      </c>
      <c r="AF280" s="171" t="s">
        <v>1316</v>
      </c>
      <c r="AG280" s="265">
        <v>14.0</v>
      </c>
      <c r="AH280" s="112"/>
      <c r="AI280" s="12"/>
      <c r="AJ280" s="12"/>
    </row>
    <row r="281" ht="14.25" customHeight="1">
      <c r="A281" s="242" t="s">
        <v>1040</v>
      </c>
      <c r="B281" s="257" t="s">
        <v>1317</v>
      </c>
      <c r="C281" s="257" t="s">
        <v>1314</v>
      </c>
      <c r="D281" s="257" t="s">
        <v>1317</v>
      </c>
      <c r="E281" s="258">
        <v>40933.0</v>
      </c>
      <c r="F281" s="258">
        <v>40999.0</v>
      </c>
      <c r="G281" s="257" t="s">
        <v>523</v>
      </c>
      <c r="H281" s="257" t="s">
        <v>519</v>
      </c>
      <c r="I281" s="257" t="s">
        <v>520</v>
      </c>
      <c r="J281" s="171" t="s">
        <v>516</v>
      </c>
      <c r="K281" s="171" t="s">
        <v>443</v>
      </c>
      <c r="L281" s="171" t="s">
        <v>420</v>
      </c>
      <c r="M281" s="171" t="s">
        <v>938</v>
      </c>
      <c r="N281" s="171"/>
      <c r="O281" s="171">
        <v>9.0</v>
      </c>
      <c r="P281" s="270" t="s">
        <v>516</v>
      </c>
      <c r="Q281" s="270" t="s">
        <v>516</v>
      </c>
      <c r="R281" s="270" t="s">
        <v>548</v>
      </c>
      <c r="S281" s="270" t="s">
        <v>516</v>
      </c>
      <c r="T281" s="270" t="s">
        <v>516</v>
      </c>
      <c r="U281" s="171">
        <v>2.0</v>
      </c>
      <c r="V281" s="112">
        <v>8.0</v>
      </c>
      <c r="W281" s="112">
        <v>70.0</v>
      </c>
      <c r="X281" s="112">
        <v>80.0</v>
      </c>
      <c r="Y281" s="260">
        <v>10.0</v>
      </c>
      <c r="Z281" s="69"/>
      <c r="AA281" s="112">
        <v>1.0</v>
      </c>
      <c r="AB281" s="112">
        <v>5.0</v>
      </c>
      <c r="AC281" s="112"/>
      <c r="AD281" s="171" t="s">
        <v>1315</v>
      </c>
      <c r="AE281" s="112">
        <v>500.0</v>
      </c>
      <c r="AF281" s="171" t="s">
        <v>1316</v>
      </c>
      <c r="AG281" s="265">
        <v>14.0</v>
      </c>
      <c r="AH281" s="112"/>
      <c r="AI281" s="12"/>
      <c r="AJ281" s="12"/>
    </row>
    <row r="282" ht="14.25" customHeight="1">
      <c r="A282" s="242" t="s">
        <v>1040</v>
      </c>
      <c r="B282" s="257" t="s">
        <v>1318</v>
      </c>
      <c r="C282" s="257" t="s">
        <v>1314</v>
      </c>
      <c r="D282" s="257" t="s">
        <v>1318</v>
      </c>
      <c r="E282" s="258">
        <v>40998.0</v>
      </c>
      <c r="F282" s="258">
        <v>41640.0</v>
      </c>
      <c r="G282" s="257" t="s">
        <v>512</v>
      </c>
      <c r="H282" s="257" t="s">
        <v>519</v>
      </c>
      <c r="I282" s="257" t="s">
        <v>520</v>
      </c>
      <c r="J282" s="171" t="s">
        <v>548</v>
      </c>
      <c r="K282" s="171" t="s">
        <v>443</v>
      </c>
      <c r="L282" s="171" t="s">
        <v>420</v>
      </c>
      <c r="M282" s="171" t="s">
        <v>938</v>
      </c>
      <c r="N282" s="171"/>
      <c r="O282" s="171">
        <v>13.0</v>
      </c>
      <c r="P282" s="270" t="s">
        <v>516</v>
      </c>
      <c r="Q282" s="270" t="s">
        <v>516</v>
      </c>
      <c r="R282" s="270" t="s">
        <v>548</v>
      </c>
      <c r="S282" s="270" t="s">
        <v>516</v>
      </c>
      <c r="T282" s="270" t="s">
        <v>516</v>
      </c>
      <c r="U282" s="171">
        <v>2.0</v>
      </c>
      <c r="V282" s="171">
        <v>8.0</v>
      </c>
      <c r="W282" s="171">
        <v>70.0</v>
      </c>
      <c r="X282" s="171">
        <v>80.0</v>
      </c>
      <c r="Y282" s="260">
        <v>10.0</v>
      </c>
      <c r="Z282" s="69"/>
      <c r="AA282" s="171">
        <v>1.0</v>
      </c>
      <c r="AB282" s="171">
        <v>5.0</v>
      </c>
      <c r="AC282" s="112"/>
      <c r="AD282" s="171" t="s">
        <v>1315</v>
      </c>
      <c r="AE282" s="112">
        <v>500.0</v>
      </c>
      <c r="AF282" s="171" t="s">
        <v>1316</v>
      </c>
      <c r="AG282" s="265">
        <v>14.0</v>
      </c>
      <c r="AH282" s="112"/>
      <c r="AI282" s="12"/>
      <c r="AJ282" s="12"/>
    </row>
    <row r="283" ht="14.25" customHeight="1">
      <c r="A283" s="242" t="s">
        <v>1040</v>
      </c>
      <c r="B283" s="257" t="s">
        <v>1319</v>
      </c>
      <c r="C283" s="257" t="s">
        <v>1320</v>
      </c>
      <c r="D283" s="257" t="s">
        <v>1319</v>
      </c>
      <c r="E283" s="258">
        <v>40773.0</v>
      </c>
      <c r="F283" s="258">
        <v>41640.0</v>
      </c>
      <c r="G283" s="257" t="s">
        <v>512</v>
      </c>
      <c r="H283" s="257" t="s">
        <v>519</v>
      </c>
      <c r="I283" s="257" t="s">
        <v>520</v>
      </c>
      <c r="J283" s="171" t="s">
        <v>548</v>
      </c>
      <c r="K283" s="171" t="s">
        <v>427</v>
      </c>
      <c r="L283" s="171" t="s">
        <v>420</v>
      </c>
      <c r="M283" s="171" t="s">
        <v>938</v>
      </c>
      <c r="N283" s="171"/>
      <c r="O283" s="171">
        <v>8.0</v>
      </c>
      <c r="P283" s="270" t="s">
        <v>516</v>
      </c>
      <c r="Q283" s="270" t="s">
        <v>516</v>
      </c>
      <c r="R283" s="270" t="s">
        <v>548</v>
      </c>
      <c r="S283" s="270" t="s">
        <v>516</v>
      </c>
      <c r="T283" s="270" t="s">
        <v>516</v>
      </c>
      <c r="U283" s="112"/>
      <c r="V283" s="112"/>
      <c r="W283" s="112"/>
      <c r="X283" s="112"/>
      <c r="Y283" s="112"/>
      <c r="Z283" s="112"/>
      <c r="AA283" s="112"/>
      <c r="AB283" s="112"/>
      <c r="AC283" s="112"/>
      <c r="AD283" s="171" t="s">
        <v>1321</v>
      </c>
      <c r="AE283" s="112">
        <v>500.0</v>
      </c>
      <c r="AF283" s="171" t="s">
        <v>1322</v>
      </c>
      <c r="AG283" s="265">
        <v>20.0</v>
      </c>
      <c r="AH283" s="112"/>
      <c r="AI283" s="12"/>
      <c r="AJ283" s="12"/>
    </row>
    <row r="284" ht="14.25" customHeight="1">
      <c r="A284" s="242" t="s">
        <v>1040</v>
      </c>
      <c r="B284" s="257" t="s">
        <v>1323</v>
      </c>
      <c r="C284" s="257" t="s">
        <v>1324</v>
      </c>
      <c r="D284" s="257" t="s">
        <v>1323</v>
      </c>
      <c r="E284" s="258">
        <v>40773.0</v>
      </c>
      <c r="F284" s="258">
        <v>40999.0</v>
      </c>
      <c r="G284" s="257" t="s">
        <v>512</v>
      </c>
      <c r="H284" s="257" t="s">
        <v>519</v>
      </c>
      <c r="I284" s="257" t="s">
        <v>520</v>
      </c>
      <c r="J284" s="171" t="s">
        <v>548</v>
      </c>
      <c r="K284" s="171" t="s">
        <v>427</v>
      </c>
      <c r="L284" s="171" t="s">
        <v>420</v>
      </c>
      <c r="M284" s="171" t="s">
        <v>938</v>
      </c>
      <c r="N284" s="171"/>
      <c r="O284" s="171">
        <v>8.0</v>
      </c>
      <c r="P284" s="270" t="s">
        <v>516</v>
      </c>
      <c r="Q284" s="270" t="s">
        <v>516</v>
      </c>
      <c r="R284" s="270" t="s">
        <v>548</v>
      </c>
      <c r="S284" s="270" t="s">
        <v>516</v>
      </c>
      <c r="T284" s="270" t="s">
        <v>516</v>
      </c>
      <c r="U284" s="112">
        <v>2.0</v>
      </c>
      <c r="V284" s="112"/>
      <c r="W284" s="112"/>
      <c r="X284" s="112"/>
      <c r="Y284" s="112">
        <v>10.0</v>
      </c>
      <c r="Z284" s="112">
        <v>30.0</v>
      </c>
      <c r="AA284" s="112">
        <v>1.0</v>
      </c>
      <c r="AB284" s="112">
        <v>5.0</v>
      </c>
      <c r="AC284" s="112"/>
      <c r="AD284" s="171" t="s">
        <v>1325</v>
      </c>
      <c r="AE284" s="112"/>
      <c r="AF284" s="171" t="s">
        <v>1326</v>
      </c>
      <c r="AG284" s="265">
        <v>20.0</v>
      </c>
      <c r="AH284" s="112"/>
      <c r="AI284" s="12"/>
      <c r="AJ284" s="12"/>
    </row>
    <row r="285" ht="14.25" customHeight="1">
      <c r="A285" s="242" t="s">
        <v>1040</v>
      </c>
      <c r="B285" s="257" t="s">
        <v>1327</v>
      </c>
      <c r="C285" s="257" t="s">
        <v>1324</v>
      </c>
      <c r="D285" s="257" t="s">
        <v>1327</v>
      </c>
      <c r="E285" s="258">
        <v>40998.0</v>
      </c>
      <c r="F285" s="258">
        <v>41640.0</v>
      </c>
      <c r="G285" s="257" t="s">
        <v>512</v>
      </c>
      <c r="H285" s="257" t="s">
        <v>519</v>
      </c>
      <c r="I285" s="257" t="s">
        <v>520</v>
      </c>
      <c r="J285" s="171" t="s">
        <v>548</v>
      </c>
      <c r="K285" s="171" t="s">
        <v>427</v>
      </c>
      <c r="L285" s="171" t="s">
        <v>420</v>
      </c>
      <c r="M285" s="171" t="s">
        <v>938</v>
      </c>
      <c r="N285" s="171"/>
      <c r="O285" s="171">
        <v>8.0</v>
      </c>
      <c r="P285" s="270" t="s">
        <v>516</v>
      </c>
      <c r="Q285" s="270" t="s">
        <v>516</v>
      </c>
      <c r="R285" s="270" t="s">
        <v>548</v>
      </c>
      <c r="S285" s="270" t="s">
        <v>516</v>
      </c>
      <c r="T285" s="270" t="s">
        <v>516</v>
      </c>
      <c r="U285" s="171">
        <v>2.0</v>
      </c>
      <c r="V285" s="171">
        <v>0.0</v>
      </c>
      <c r="W285" s="171">
        <v>70.0</v>
      </c>
      <c r="X285" s="112">
        <v>80.0</v>
      </c>
      <c r="Y285" s="112">
        <v>10.0</v>
      </c>
      <c r="Z285" s="112">
        <v>30.0</v>
      </c>
      <c r="AA285" s="112">
        <v>1.0</v>
      </c>
      <c r="AB285" s="112">
        <v>5.0</v>
      </c>
      <c r="AC285" s="112"/>
      <c r="AD285" s="171" t="s">
        <v>1325</v>
      </c>
      <c r="AE285" s="112"/>
      <c r="AF285" s="171" t="s">
        <v>1326</v>
      </c>
      <c r="AG285" s="265">
        <v>20.0</v>
      </c>
      <c r="AH285" s="112"/>
      <c r="AI285" s="12"/>
      <c r="AJ285" s="12"/>
    </row>
    <row r="286" ht="14.25" customHeight="1">
      <c r="A286" s="242" t="s">
        <v>1040</v>
      </c>
      <c r="B286" s="257" t="s">
        <v>1328</v>
      </c>
      <c r="C286" s="257" t="s">
        <v>1329</v>
      </c>
      <c r="D286" s="257" t="s">
        <v>1328</v>
      </c>
      <c r="E286" s="258">
        <v>40773.0</v>
      </c>
      <c r="F286" s="258">
        <v>40999.0</v>
      </c>
      <c r="G286" s="257" t="s">
        <v>512</v>
      </c>
      <c r="H286" s="257" t="s">
        <v>519</v>
      </c>
      <c r="I286" s="257" t="s">
        <v>520</v>
      </c>
      <c r="J286" s="171" t="s">
        <v>548</v>
      </c>
      <c r="K286" s="171" t="s">
        <v>427</v>
      </c>
      <c r="L286" s="171" t="s">
        <v>420</v>
      </c>
      <c r="M286" s="171" t="s">
        <v>938</v>
      </c>
      <c r="N286" s="171"/>
      <c r="O286" s="171">
        <v>8.0</v>
      </c>
      <c r="P286" s="270" t="s">
        <v>516</v>
      </c>
      <c r="Q286" s="270" t="s">
        <v>516</v>
      </c>
      <c r="R286" s="270" t="s">
        <v>548</v>
      </c>
      <c r="S286" s="270" t="s">
        <v>516</v>
      </c>
      <c r="T286" s="270" t="s">
        <v>516</v>
      </c>
      <c r="U286" s="171">
        <v>2.0</v>
      </c>
      <c r="V286" s="112"/>
      <c r="W286" s="112"/>
      <c r="X286" s="112"/>
      <c r="Y286" s="112">
        <v>10.0</v>
      </c>
      <c r="Z286" s="112">
        <v>30.0</v>
      </c>
      <c r="AA286" s="112">
        <v>1.0</v>
      </c>
      <c r="AB286" s="112">
        <v>5.0</v>
      </c>
      <c r="AC286" s="112"/>
      <c r="AD286" s="171" t="s">
        <v>1330</v>
      </c>
      <c r="AE286" s="112"/>
      <c r="AF286" s="171" t="s">
        <v>1331</v>
      </c>
      <c r="AG286" s="265">
        <v>20.0</v>
      </c>
      <c r="AH286" s="112"/>
      <c r="AI286" s="12"/>
      <c r="AJ286" s="12"/>
    </row>
    <row r="287" ht="14.25" customHeight="1">
      <c r="A287" s="242" t="s">
        <v>1040</v>
      </c>
      <c r="B287" s="257" t="s">
        <v>1332</v>
      </c>
      <c r="C287" s="257" t="s">
        <v>1329</v>
      </c>
      <c r="D287" s="257" t="s">
        <v>1332</v>
      </c>
      <c r="E287" s="258">
        <v>40998.0</v>
      </c>
      <c r="F287" s="258">
        <v>41640.0</v>
      </c>
      <c r="G287" s="257" t="s">
        <v>512</v>
      </c>
      <c r="H287" s="257" t="s">
        <v>519</v>
      </c>
      <c r="I287" s="257" t="s">
        <v>520</v>
      </c>
      <c r="J287" s="171" t="s">
        <v>548</v>
      </c>
      <c r="K287" s="171" t="s">
        <v>427</v>
      </c>
      <c r="L287" s="171" t="s">
        <v>420</v>
      </c>
      <c r="M287" s="171" t="s">
        <v>938</v>
      </c>
      <c r="N287" s="171"/>
      <c r="O287" s="171">
        <v>8.0</v>
      </c>
      <c r="P287" s="270" t="s">
        <v>516</v>
      </c>
      <c r="Q287" s="270" t="s">
        <v>516</v>
      </c>
      <c r="R287" s="270" t="s">
        <v>548</v>
      </c>
      <c r="S287" s="270" t="s">
        <v>516</v>
      </c>
      <c r="T287" s="270" t="s">
        <v>516</v>
      </c>
      <c r="U287" s="171">
        <v>2.0</v>
      </c>
      <c r="V287" s="171">
        <v>0.0</v>
      </c>
      <c r="W287" s="171">
        <v>70.0</v>
      </c>
      <c r="X287" s="171">
        <v>80.0</v>
      </c>
      <c r="Y287" s="171">
        <v>10.0</v>
      </c>
      <c r="Z287" s="171">
        <v>30.0</v>
      </c>
      <c r="AA287" s="171">
        <v>1.0</v>
      </c>
      <c r="AB287" s="171">
        <v>5.0</v>
      </c>
      <c r="AC287" s="112"/>
      <c r="AD287" s="171" t="s">
        <v>1330</v>
      </c>
      <c r="AE287" s="112"/>
      <c r="AF287" s="171" t="s">
        <v>1331</v>
      </c>
      <c r="AG287" s="265">
        <v>20.0</v>
      </c>
      <c r="AH287" s="112"/>
      <c r="AI287" s="12"/>
      <c r="AJ287" s="12"/>
    </row>
    <row r="288" ht="14.25" customHeight="1">
      <c r="A288" s="242" t="s">
        <v>1040</v>
      </c>
      <c r="B288" s="257" t="s">
        <v>1333</v>
      </c>
      <c r="C288" s="257" t="s">
        <v>1334</v>
      </c>
      <c r="D288" s="257" t="s">
        <v>1333</v>
      </c>
      <c r="E288" s="258">
        <v>41163.0</v>
      </c>
      <c r="F288" s="258">
        <v>41640.0</v>
      </c>
      <c r="G288" s="257" t="s">
        <v>512</v>
      </c>
      <c r="H288" s="257" t="s">
        <v>519</v>
      </c>
      <c r="I288" s="257" t="s">
        <v>520</v>
      </c>
      <c r="J288" s="171" t="s">
        <v>548</v>
      </c>
      <c r="K288" s="171" t="s">
        <v>443</v>
      </c>
      <c r="L288" s="171" t="s">
        <v>420</v>
      </c>
      <c r="M288" s="171" t="s">
        <v>938</v>
      </c>
      <c r="N288" s="171"/>
      <c r="O288" s="171">
        <v>7.0</v>
      </c>
      <c r="P288" s="270" t="s">
        <v>516</v>
      </c>
      <c r="Q288" s="270" t="s">
        <v>516</v>
      </c>
      <c r="R288" s="270" t="s">
        <v>548</v>
      </c>
      <c r="S288" s="270" t="s">
        <v>516</v>
      </c>
      <c r="T288" s="270" t="s">
        <v>516</v>
      </c>
      <c r="U288" s="171">
        <v>2.0</v>
      </c>
      <c r="V288" s="171">
        <v>0.0</v>
      </c>
      <c r="W288" s="171">
        <v>65.0</v>
      </c>
      <c r="X288" s="171">
        <v>75.0</v>
      </c>
      <c r="Y288" s="171">
        <v>10.0</v>
      </c>
      <c r="Z288" s="171">
        <v>30.0</v>
      </c>
      <c r="AA288" s="171">
        <v>5.0</v>
      </c>
      <c r="AB288" s="171">
        <v>30.0</v>
      </c>
      <c r="AC288" s="112"/>
      <c r="AD288" s="171" t="s">
        <v>1335</v>
      </c>
      <c r="AE288" s="112">
        <v>500.0</v>
      </c>
      <c r="AF288" s="171" t="s">
        <v>1336</v>
      </c>
      <c r="AG288" s="265">
        <v>21.0</v>
      </c>
      <c r="AH288" s="112"/>
      <c r="AI288" s="12"/>
      <c r="AJ288" s="12"/>
    </row>
    <row r="289" ht="14.25" customHeight="1">
      <c r="A289" s="242" t="s">
        <v>1040</v>
      </c>
      <c r="B289" s="257" t="s">
        <v>1337</v>
      </c>
      <c r="C289" s="257" t="s">
        <v>1338</v>
      </c>
      <c r="D289" s="257" t="s">
        <v>1337</v>
      </c>
      <c r="E289" s="258">
        <v>41260.0</v>
      </c>
      <c r="F289" s="258">
        <v>41640.0</v>
      </c>
      <c r="G289" s="257" t="s">
        <v>512</v>
      </c>
      <c r="H289" s="257" t="s">
        <v>519</v>
      </c>
      <c r="I289" s="257" t="s">
        <v>520</v>
      </c>
      <c r="J289" s="171" t="s">
        <v>548</v>
      </c>
      <c r="K289" s="171" t="s">
        <v>440</v>
      </c>
      <c r="L289" s="171" t="s">
        <v>471</v>
      </c>
      <c r="M289" s="171" t="s">
        <v>938</v>
      </c>
      <c r="N289" s="171"/>
      <c r="O289" s="171">
        <v>1.0</v>
      </c>
      <c r="P289" s="270" t="s">
        <v>548</v>
      </c>
      <c r="Q289" s="270" t="s">
        <v>516</v>
      </c>
      <c r="R289" s="270" t="s">
        <v>548</v>
      </c>
      <c r="S289" s="270" t="s">
        <v>516</v>
      </c>
      <c r="T289" s="270" t="s">
        <v>516</v>
      </c>
      <c r="U289" s="270" t="s">
        <v>423</v>
      </c>
      <c r="V289" s="171">
        <v>35.0</v>
      </c>
      <c r="W289" s="171">
        <v>70.0</v>
      </c>
      <c r="X289" s="171">
        <v>80.0</v>
      </c>
      <c r="Y289" s="171">
        <v>10.0</v>
      </c>
      <c r="Z289" s="171">
        <v>30.0</v>
      </c>
      <c r="AA289" s="171">
        <v>5.0</v>
      </c>
      <c r="AB289" s="171">
        <v>10.0</v>
      </c>
      <c r="AC289" s="112"/>
      <c r="AD289" s="264" t="s">
        <v>1339</v>
      </c>
      <c r="AE289" s="112"/>
      <c r="AF289" s="171" t="s">
        <v>1340</v>
      </c>
      <c r="AG289" s="265">
        <v>22.0</v>
      </c>
      <c r="AH289" s="112"/>
      <c r="AI289" s="12"/>
      <c r="AJ289" s="12"/>
    </row>
    <row r="290" ht="14.25" customHeight="1">
      <c r="A290" s="242" t="s">
        <v>1040</v>
      </c>
      <c r="B290" s="257" t="s">
        <v>1341</v>
      </c>
      <c r="C290" s="285" t="s">
        <v>1342</v>
      </c>
      <c r="D290" s="257" t="s">
        <v>1341</v>
      </c>
      <c r="E290" s="258">
        <v>41327.0</v>
      </c>
      <c r="F290" s="276"/>
      <c r="G290" s="257"/>
      <c r="H290" s="257" t="s">
        <v>519</v>
      </c>
      <c r="I290" s="257" t="s">
        <v>520</v>
      </c>
      <c r="J290" s="171" t="s">
        <v>548</v>
      </c>
      <c r="K290" s="171" t="s">
        <v>440</v>
      </c>
      <c r="L290" s="171" t="s">
        <v>471</v>
      </c>
      <c r="M290" s="171" t="s">
        <v>938</v>
      </c>
      <c r="N290" s="171"/>
      <c r="O290" s="171">
        <v>2.0</v>
      </c>
      <c r="P290" s="270" t="s">
        <v>548</v>
      </c>
      <c r="Q290" s="270" t="s">
        <v>516</v>
      </c>
      <c r="R290" s="270" t="s">
        <v>548</v>
      </c>
      <c r="S290" s="270" t="s">
        <v>516</v>
      </c>
      <c r="T290" s="270" t="s">
        <v>516</v>
      </c>
      <c r="U290" s="270" t="s">
        <v>423</v>
      </c>
      <c r="V290" s="171">
        <v>35.0</v>
      </c>
      <c r="W290" s="171">
        <v>80.0</v>
      </c>
      <c r="X290" s="171">
        <v>90.0</v>
      </c>
      <c r="Y290" s="171">
        <v>10.0</v>
      </c>
      <c r="Z290" s="171">
        <v>30.0</v>
      </c>
      <c r="AA290" s="260">
        <v>1.0</v>
      </c>
      <c r="AB290" s="69"/>
      <c r="AC290" s="112"/>
      <c r="AD290" s="264" t="s">
        <v>1339</v>
      </c>
      <c r="AE290" s="112"/>
      <c r="AF290" s="171" t="s">
        <v>1340</v>
      </c>
      <c r="AG290" s="265">
        <v>22.0</v>
      </c>
      <c r="AH290" s="112"/>
      <c r="AI290" s="12"/>
      <c r="AJ290" s="12"/>
    </row>
    <row r="291" ht="14.25" customHeight="1">
      <c r="A291" s="242" t="s">
        <v>1040</v>
      </c>
      <c r="B291" s="257" t="s">
        <v>1343</v>
      </c>
      <c r="C291" s="257" t="s">
        <v>1344</v>
      </c>
      <c r="D291" s="257" t="s">
        <v>1343</v>
      </c>
      <c r="E291" s="258">
        <v>41456.0</v>
      </c>
      <c r="F291" s="276"/>
      <c r="G291" s="257"/>
      <c r="H291" s="257" t="s">
        <v>519</v>
      </c>
      <c r="I291" s="257" t="s">
        <v>520</v>
      </c>
      <c r="J291" s="171" t="s">
        <v>548</v>
      </c>
      <c r="K291" s="171" t="s">
        <v>415</v>
      </c>
      <c r="L291" s="171" t="s">
        <v>471</v>
      </c>
      <c r="M291" s="171" t="s">
        <v>938</v>
      </c>
      <c r="N291" s="171"/>
      <c r="O291" s="171">
        <v>2.0</v>
      </c>
      <c r="P291" s="270" t="s">
        <v>548</v>
      </c>
      <c r="Q291" s="270" t="s">
        <v>516</v>
      </c>
      <c r="R291" s="270" t="s">
        <v>548</v>
      </c>
      <c r="S291" s="270" t="s">
        <v>516</v>
      </c>
      <c r="T291" s="270" t="s">
        <v>516</v>
      </c>
      <c r="U291" s="112">
        <v>2.0</v>
      </c>
      <c r="V291" s="112">
        <v>18.0</v>
      </c>
      <c r="W291" s="112">
        <v>70.0</v>
      </c>
      <c r="X291" s="112">
        <v>80.0</v>
      </c>
      <c r="Y291" s="112">
        <v>10.0</v>
      </c>
      <c r="Z291" s="112">
        <v>30.0</v>
      </c>
      <c r="AA291" s="112">
        <v>5.0</v>
      </c>
      <c r="AB291" s="112">
        <v>30.0</v>
      </c>
      <c r="AC291" s="112"/>
      <c r="AD291" s="171" t="s">
        <v>1345</v>
      </c>
      <c r="AE291" s="112">
        <v>500.0</v>
      </c>
      <c r="AF291" s="171" t="s">
        <v>1346</v>
      </c>
      <c r="AG291" s="265">
        <v>28.0</v>
      </c>
      <c r="AH291" s="112"/>
      <c r="AI291" s="12"/>
      <c r="AJ291" s="12"/>
    </row>
    <row r="292" ht="14.25" customHeight="1">
      <c r="A292" s="242" t="s">
        <v>1040</v>
      </c>
      <c r="B292" s="257" t="s">
        <v>1347</v>
      </c>
      <c r="C292" s="257" t="s">
        <v>1344</v>
      </c>
      <c r="D292" s="257" t="s">
        <v>1347</v>
      </c>
      <c r="E292" s="258">
        <v>42521.0</v>
      </c>
      <c r="F292" s="258">
        <v>43862.0</v>
      </c>
      <c r="G292" s="257" t="s">
        <v>512</v>
      </c>
      <c r="H292" s="257" t="s">
        <v>519</v>
      </c>
      <c r="I292" s="257" t="s">
        <v>520</v>
      </c>
      <c r="J292" s="171" t="s">
        <v>548</v>
      </c>
      <c r="K292" s="171" t="s">
        <v>415</v>
      </c>
      <c r="L292" s="171" t="s">
        <v>471</v>
      </c>
      <c r="M292" s="171" t="s">
        <v>938</v>
      </c>
      <c r="N292" s="171"/>
      <c r="O292" s="171">
        <v>2.0</v>
      </c>
      <c r="P292" s="270" t="s">
        <v>548</v>
      </c>
      <c r="Q292" s="270" t="s">
        <v>516</v>
      </c>
      <c r="R292" s="270" t="s">
        <v>548</v>
      </c>
      <c r="S292" s="270" t="s">
        <v>516</v>
      </c>
      <c r="T292" s="270" t="s">
        <v>516</v>
      </c>
      <c r="U292" s="112">
        <v>2.0</v>
      </c>
      <c r="V292" s="112">
        <v>18.0</v>
      </c>
      <c r="W292" s="112">
        <v>70.0</v>
      </c>
      <c r="X292" s="112">
        <v>80.0</v>
      </c>
      <c r="Y292" s="112">
        <v>10.0</v>
      </c>
      <c r="Z292" s="112">
        <v>30.0</v>
      </c>
      <c r="AA292" s="112">
        <v>5.0</v>
      </c>
      <c r="AB292" s="112">
        <v>30.0</v>
      </c>
      <c r="AC292" s="112"/>
      <c r="AD292" s="171" t="s">
        <v>1345</v>
      </c>
      <c r="AE292" s="112">
        <v>500.0</v>
      </c>
      <c r="AF292" s="171" t="s">
        <v>1346</v>
      </c>
      <c r="AG292" s="265">
        <v>28.0</v>
      </c>
      <c r="AH292" s="112"/>
      <c r="AI292" s="12"/>
      <c r="AJ292" s="12"/>
    </row>
    <row r="293" ht="14.25" customHeight="1">
      <c r="A293" s="242" t="s">
        <v>1040</v>
      </c>
      <c r="B293" s="257" t="s">
        <v>1348</v>
      </c>
      <c r="C293" s="257" t="s">
        <v>1344</v>
      </c>
      <c r="D293" s="257" t="s">
        <v>1348</v>
      </c>
      <c r="E293" s="258">
        <v>43862.0</v>
      </c>
      <c r="F293" s="276"/>
      <c r="G293" s="257"/>
      <c r="H293" s="257" t="s">
        <v>519</v>
      </c>
      <c r="I293" s="257" t="s">
        <v>520</v>
      </c>
      <c r="J293" s="171" t="s">
        <v>548</v>
      </c>
      <c r="K293" s="171" t="s">
        <v>415</v>
      </c>
      <c r="L293" s="171" t="s">
        <v>471</v>
      </c>
      <c r="M293" s="171" t="s">
        <v>938</v>
      </c>
      <c r="N293" s="171"/>
      <c r="O293" s="171">
        <v>2.0</v>
      </c>
      <c r="P293" s="270" t="s">
        <v>548</v>
      </c>
      <c r="Q293" s="270" t="s">
        <v>516</v>
      </c>
      <c r="R293" s="270" t="s">
        <v>548</v>
      </c>
      <c r="S293" s="270" t="s">
        <v>516</v>
      </c>
      <c r="T293" s="270" t="s">
        <v>516</v>
      </c>
      <c r="U293" s="171">
        <v>3.0</v>
      </c>
      <c r="V293" s="171">
        <v>18.0</v>
      </c>
      <c r="W293" s="171">
        <v>70.0</v>
      </c>
      <c r="X293" s="171">
        <v>80.0</v>
      </c>
      <c r="Y293" s="171">
        <v>10.0</v>
      </c>
      <c r="Z293" s="171">
        <v>30.0</v>
      </c>
      <c r="AA293" s="171">
        <v>5.0</v>
      </c>
      <c r="AB293" s="171">
        <v>30.0</v>
      </c>
      <c r="AC293" s="112"/>
      <c r="AD293" s="171" t="s">
        <v>1345</v>
      </c>
      <c r="AE293" s="112">
        <v>500.0</v>
      </c>
      <c r="AF293" s="171" t="s">
        <v>1346</v>
      </c>
      <c r="AG293" s="265">
        <v>28.0</v>
      </c>
      <c r="AH293" s="112"/>
      <c r="AI293" s="12"/>
      <c r="AJ293" s="12"/>
    </row>
    <row r="294" ht="14.25" customHeight="1">
      <c r="A294" s="242" t="s">
        <v>1040</v>
      </c>
      <c r="B294" s="257" t="s">
        <v>1349</v>
      </c>
      <c r="C294" s="257" t="s">
        <v>1350</v>
      </c>
      <c r="D294" s="257" t="s">
        <v>1349</v>
      </c>
      <c r="E294" s="258">
        <v>41523.0</v>
      </c>
      <c r="F294" s="258">
        <v>43805.0</v>
      </c>
      <c r="G294" s="257" t="s">
        <v>512</v>
      </c>
      <c r="H294" s="257" t="s">
        <v>513</v>
      </c>
      <c r="I294" s="257" t="s">
        <v>520</v>
      </c>
      <c r="J294" s="171"/>
      <c r="K294" s="171"/>
      <c r="L294" s="171"/>
      <c r="M294" s="171"/>
      <c r="N294" s="171"/>
      <c r="O294" s="171"/>
      <c r="P294" s="270"/>
      <c r="Q294" s="270"/>
      <c r="R294" s="270"/>
      <c r="S294" s="270"/>
      <c r="T294" s="270"/>
      <c r="U294" s="112"/>
      <c r="V294" s="112"/>
      <c r="W294" s="112"/>
      <c r="X294" s="112"/>
      <c r="Y294" s="112"/>
      <c r="Z294" s="112"/>
      <c r="AA294" s="112"/>
      <c r="AB294" s="112"/>
      <c r="AC294" s="112"/>
      <c r="AD294" s="112"/>
      <c r="AE294" s="112"/>
      <c r="AF294" s="112"/>
      <c r="AG294" s="265"/>
      <c r="AH294" s="112"/>
      <c r="AI294" s="12"/>
      <c r="AJ294" s="12"/>
    </row>
    <row r="295" ht="14.25" customHeight="1">
      <c r="A295" s="242" t="s">
        <v>1040</v>
      </c>
      <c r="B295" s="257" t="s">
        <v>1351</v>
      </c>
      <c r="C295" s="257" t="s">
        <v>1350</v>
      </c>
      <c r="D295" s="257" t="s">
        <v>1351</v>
      </c>
      <c r="E295" s="258">
        <v>43805.0</v>
      </c>
      <c r="F295" s="276"/>
      <c r="G295" s="257"/>
      <c r="H295" s="257" t="s">
        <v>513</v>
      </c>
      <c r="I295" s="257" t="s">
        <v>520</v>
      </c>
      <c r="J295" s="171"/>
      <c r="K295" s="171"/>
      <c r="L295" s="171"/>
      <c r="M295" s="171"/>
      <c r="N295" s="171"/>
      <c r="O295" s="171"/>
      <c r="P295" s="270"/>
      <c r="Q295" s="270"/>
      <c r="R295" s="270"/>
      <c r="S295" s="270"/>
      <c r="T295" s="270"/>
      <c r="U295" s="112"/>
      <c r="V295" s="112"/>
      <c r="W295" s="112"/>
      <c r="X295" s="112"/>
      <c r="Y295" s="112"/>
      <c r="Z295" s="112"/>
      <c r="AA295" s="112"/>
      <c r="AB295" s="112"/>
      <c r="AC295" s="112"/>
      <c r="AD295" s="112"/>
      <c r="AE295" s="112"/>
      <c r="AF295" s="112"/>
      <c r="AG295" s="265"/>
      <c r="AH295" s="112"/>
      <c r="AI295" s="12"/>
      <c r="AJ295" s="12"/>
    </row>
    <row r="296" ht="14.25" customHeight="1">
      <c r="A296" s="242" t="s">
        <v>1040</v>
      </c>
      <c r="B296" s="257" t="s">
        <v>1352</v>
      </c>
      <c r="C296" s="257" t="s">
        <v>1353</v>
      </c>
      <c r="D296" s="257" t="s">
        <v>1352</v>
      </c>
      <c r="E296" s="258">
        <v>41523.0</v>
      </c>
      <c r="F296" s="258">
        <v>43805.0</v>
      </c>
      <c r="G296" s="257" t="s">
        <v>512</v>
      </c>
      <c r="H296" s="257" t="s">
        <v>513</v>
      </c>
      <c r="I296" s="257" t="s">
        <v>520</v>
      </c>
      <c r="J296" s="171"/>
      <c r="K296" s="171"/>
      <c r="L296" s="171"/>
      <c r="M296" s="171"/>
      <c r="N296" s="171"/>
      <c r="O296" s="171"/>
      <c r="P296" s="270"/>
      <c r="Q296" s="270"/>
      <c r="R296" s="270"/>
      <c r="S296" s="270"/>
      <c r="T296" s="270"/>
      <c r="U296" s="112"/>
      <c r="V296" s="112"/>
      <c r="W296" s="112"/>
      <c r="X296" s="112"/>
      <c r="Y296" s="112"/>
      <c r="Z296" s="112"/>
      <c r="AA296" s="112"/>
      <c r="AB296" s="112"/>
      <c r="AC296" s="112"/>
      <c r="AD296" s="112"/>
      <c r="AE296" s="112"/>
      <c r="AF296" s="112"/>
      <c r="AG296" s="265"/>
      <c r="AH296" s="112"/>
      <c r="AI296" s="12"/>
      <c r="AJ296" s="12"/>
    </row>
    <row r="297" ht="14.25" customHeight="1">
      <c r="A297" s="242" t="s">
        <v>1040</v>
      </c>
      <c r="B297" s="257" t="s">
        <v>1354</v>
      </c>
      <c r="C297" s="257" t="s">
        <v>1353</v>
      </c>
      <c r="D297" s="257" t="s">
        <v>1354</v>
      </c>
      <c r="E297" s="258">
        <v>43805.0</v>
      </c>
      <c r="F297" s="276"/>
      <c r="G297" s="257"/>
      <c r="H297" s="257" t="s">
        <v>513</v>
      </c>
      <c r="I297" s="257" t="s">
        <v>520</v>
      </c>
      <c r="J297" s="171"/>
      <c r="K297" s="171"/>
      <c r="L297" s="171"/>
      <c r="M297" s="171"/>
      <c r="N297" s="171"/>
      <c r="O297" s="171"/>
      <c r="P297" s="270"/>
      <c r="Q297" s="270"/>
      <c r="R297" s="270"/>
      <c r="S297" s="270"/>
      <c r="T297" s="270"/>
      <c r="U297" s="112"/>
      <c r="V297" s="112"/>
      <c r="W297" s="112"/>
      <c r="X297" s="112"/>
      <c r="Y297" s="112"/>
      <c r="Z297" s="112"/>
      <c r="AA297" s="112"/>
      <c r="AB297" s="112"/>
      <c r="AC297" s="112"/>
      <c r="AD297" s="112"/>
      <c r="AE297" s="112"/>
      <c r="AF297" s="112"/>
      <c r="AG297" s="265"/>
      <c r="AH297" s="112"/>
      <c r="AI297" s="12"/>
      <c r="AJ297" s="12"/>
    </row>
    <row r="298" ht="14.25" customHeight="1">
      <c r="A298" s="242" t="s">
        <v>1040</v>
      </c>
      <c r="B298" s="257" t="s">
        <v>1355</v>
      </c>
      <c r="C298" s="257" t="s">
        <v>1356</v>
      </c>
      <c r="D298" s="257" t="s">
        <v>1355</v>
      </c>
      <c r="E298" s="258">
        <v>41607.0</v>
      </c>
      <c r="F298" s="276"/>
      <c r="G298" s="257"/>
      <c r="H298" s="257" t="s">
        <v>519</v>
      </c>
      <c r="I298" s="257" t="s">
        <v>520</v>
      </c>
      <c r="J298" s="171" t="s">
        <v>548</v>
      </c>
      <c r="K298" s="171" t="s">
        <v>415</v>
      </c>
      <c r="L298" s="171" t="s">
        <v>471</v>
      </c>
      <c r="M298" s="171" t="s">
        <v>938</v>
      </c>
      <c r="N298" s="171"/>
      <c r="O298" s="171">
        <v>2.0</v>
      </c>
      <c r="P298" s="270" t="s">
        <v>548</v>
      </c>
      <c r="Q298" s="270" t="s">
        <v>516</v>
      </c>
      <c r="R298" s="270" t="s">
        <v>548</v>
      </c>
      <c r="S298" s="270" t="s">
        <v>516</v>
      </c>
      <c r="T298" s="270" t="s">
        <v>516</v>
      </c>
      <c r="U298" s="112" t="s">
        <v>423</v>
      </c>
      <c r="V298" s="112">
        <v>35.0</v>
      </c>
      <c r="W298" s="112">
        <v>80.0</v>
      </c>
      <c r="X298" s="112">
        <v>90.0</v>
      </c>
      <c r="Y298" s="112">
        <v>10.0</v>
      </c>
      <c r="Z298" s="112">
        <v>30.0</v>
      </c>
      <c r="AA298" s="260">
        <v>1.0</v>
      </c>
      <c r="AB298" s="69"/>
      <c r="AC298" s="112"/>
      <c r="AD298" s="171" t="s">
        <v>423</v>
      </c>
      <c r="AE298" s="112">
        <v>500.0</v>
      </c>
      <c r="AF298" s="171" t="s">
        <v>1357</v>
      </c>
      <c r="AG298" s="265">
        <v>13.0</v>
      </c>
      <c r="AH298" s="112"/>
      <c r="AI298" s="12"/>
      <c r="AJ298" s="12"/>
    </row>
    <row r="299" ht="14.25" customHeight="1">
      <c r="A299" s="242" t="s">
        <v>1040</v>
      </c>
      <c r="B299" s="257" t="s">
        <v>1358</v>
      </c>
      <c r="C299" s="257" t="s">
        <v>1356</v>
      </c>
      <c r="D299" s="257" t="s">
        <v>1358</v>
      </c>
      <c r="E299" s="258">
        <v>42521.0</v>
      </c>
      <c r="F299" s="258">
        <v>43862.0</v>
      </c>
      <c r="G299" s="257" t="s">
        <v>512</v>
      </c>
      <c r="H299" s="257" t="s">
        <v>519</v>
      </c>
      <c r="I299" s="257" t="s">
        <v>520</v>
      </c>
      <c r="J299" s="171" t="s">
        <v>548</v>
      </c>
      <c r="K299" s="171" t="s">
        <v>415</v>
      </c>
      <c r="L299" s="171" t="s">
        <v>471</v>
      </c>
      <c r="M299" s="171" t="s">
        <v>938</v>
      </c>
      <c r="N299" s="171"/>
      <c r="O299" s="171">
        <v>2.0</v>
      </c>
      <c r="P299" s="270" t="s">
        <v>548</v>
      </c>
      <c r="Q299" s="270" t="s">
        <v>516</v>
      </c>
      <c r="R299" s="270" t="s">
        <v>548</v>
      </c>
      <c r="S299" s="270" t="s">
        <v>516</v>
      </c>
      <c r="T299" s="270" t="s">
        <v>516</v>
      </c>
      <c r="U299" s="112" t="s">
        <v>423</v>
      </c>
      <c r="V299" s="112">
        <v>35.0</v>
      </c>
      <c r="W299" s="112">
        <v>80.0</v>
      </c>
      <c r="X299" s="112">
        <v>90.0</v>
      </c>
      <c r="Y299" s="112">
        <v>10.0</v>
      </c>
      <c r="Z299" s="112">
        <v>30.0</v>
      </c>
      <c r="AA299" s="260">
        <v>1.0</v>
      </c>
      <c r="AB299" s="69"/>
      <c r="AC299" s="112"/>
      <c r="AD299" s="171" t="s">
        <v>423</v>
      </c>
      <c r="AE299" s="112">
        <v>500.0</v>
      </c>
      <c r="AF299" s="171" t="s">
        <v>1357</v>
      </c>
      <c r="AG299" s="265">
        <v>13.0</v>
      </c>
      <c r="AH299" s="112"/>
      <c r="AI299" s="12"/>
      <c r="AJ299" s="12"/>
    </row>
    <row r="300" ht="14.25" customHeight="1">
      <c r="A300" s="242" t="s">
        <v>1040</v>
      </c>
      <c r="B300" s="257" t="s">
        <v>1359</v>
      </c>
      <c r="C300" s="257" t="s">
        <v>1356</v>
      </c>
      <c r="D300" s="257" t="s">
        <v>1359</v>
      </c>
      <c r="E300" s="258">
        <v>43862.0</v>
      </c>
      <c r="F300" s="276"/>
      <c r="G300" s="257"/>
      <c r="H300" s="257" t="s">
        <v>519</v>
      </c>
      <c r="I300" s="257" t="s">
        <v>520</v>
      </c>
      <c r="J300" s="171" t="s">
        <v>548</v>
      </c>
      <c r="K300" s="171" t="s">
        <v>415</v>
      </c>
      <c r="L300" s="171" t="s">
        <v>471</v>
      </c>
      <c r="M300" s="171" t="s">
        <v>938</v>
      </c>
      <c r="N300" s="171"/>
      <c r="O300" s="171">
        <v>2.0</v>
      </c>
      <c r="P300" s="270" t="s">
        <v>548</v>
      </c>
      <c r="Q300" s="270" t="s">
        <v>516</v>
      </c>
      <c r="R300" s="270" t="s">
        <v>548</v>
      </c>
      <c r="S300" s="270" t="s">
        <v>516</v>
      </c>
      <c r="T300" s="270" t="s">
        <v>516</v>
      </c>
      <c r="U300" s="112" t="s">
        <v>423</v>
      </c>
      <c r="V300" s="171">
        <v>35.0</v>
      </c>
      <c r="W300" s="171">
        <v>80.0</v>
      </c>
      <c r="X300" s="171">
        <v>90.0</v>
      </c>
      <c r="Y300" s="171">
        <v>10.0</v>
      </c>
      <c r="Z300" s="171">
        <v>30.0</v>
      </c>
      <c r="AA300" s="260">
        <v>1.0</v>
      </c>
      <c r="AB300" s="69"/>
      <c r="AC300" s="112"/>
      <c r="AD300" s="171" t="s">
        <v>423</v>
      </c>
      <c r="AE300" s="112">
        <v>500.0</v>
      </c>
      <c r="AF300" s="171" t="s">
        <v>1357</v>
      </c>
      <c r="AG300" s="265">
        <v>13.0</v>
      </c>
      <c r="AH300" s="112"/>
      <c r="AI300" s="12"/>
      <c r="AJ300" s="12"/>
    </row>
    <row r="301" ht="14.25" customHeight="1">
      <c r="A301" s="242" t="s">
        <v>1040</v>
      </c>
      <c r="B301" s="257" t="s">
        <v>1360</v>
      </c>
      <c r="C301" s="285" t="s">
        <v>1361</v>
      </c>
      <c r="D301" s="257" t="s">
        <v>1360</v>
      </c>
      <c r="E301" s="258">
        <v>41632.0</v>
      </c>
      <c r="F301" s="276"/>
      <c r="G301" s="257"/>
      <c r="H301" s="257" t="s">
        <v>519</v>
      </c>
      <c r="I301" s="257" t="s">
        <v>520</v>
      </c>
      <c r="J301" s="171" t="s">
        <v>548</v>
      </c>
      <c r="K301" s="171" t="s">
        <v>415</v>
      </c>
      <c r="L301" s="171" t="s">
        <v>420</v>
      </c>
      <c r="M301" s="171" t="s">
        <v>938</v>
      </c>
      <c r="N301" s="171"/>
      <c r="O301" s="171">
        <v>7.0</v>
      </c>
      <c r="P301" s="270" t="s">
        <v>516</v>
      </c>
      <c r="Q301" s="270" t="s">
        <v>516</v>
      </c>
      <c r="R301" s="270" t="s">
        <v>548</v>
      </c>
      <c r="S301" s="270" t="s">
        <v>516</v>
      </c>
      <c r="T301" s="270" t="s">
        <v>516</v>
      </c>
      <c r="U301" s="171">
        <v>2.0</v>
      </c>
      <c r="V301" s="171">
        <v>0.0</v>
      </c>
      <c r="W301" s="171">
        <v>65.0</v>
      </c>
      <c r="X301" s="171">
        <v>75.0</v>
      </c>
      <c r="Y301" s="171">
        <v>10.0</v>
      </c>
      <c r="Z301" s="171">
        <v>25.0</v>
      </c>
      <c r="AA301" s="171">
        <v>1.0</v>
      </c>
      <c r="AB301" s="171">
        <v>25.0</v>
      </c>
      <c r="AC301" s="112"/>
      <c r="AD301" s="171" t="s">
        <v>1335</v>
      </c>
      <c r="AE301" s="112">
        <v>500.0</v>
      </c>
      <c r="AF301" s="171" t="s">
        <v>1362</v>
      </c>
      <c r="AG301" s="265">
        <v>18.0</v>
      </c>
      <c r="AH301" s="112"/>
      <c r="AI301" s="12"/>
      <c r="AJ301" s="12"/>
    </row>
    <row r="302" ht="14.25" customHeight="1">
      <c r="A302" s="242" t="s">
        <v>1040</v>
      </c>
      <c r="B302" s="257" t="s">
        <v>1363</v>
      </c>
      <c r="C302" s="257" t="s">
        <v>1364</v>
      </c>
      <c r="D302" s="257" t="s">
        <v>1363</v>
      </c>
      <c r="E302" s="258">
        <v>41632.0</v>
      </c>
      <c r="F302" s="276"/>
      <c r="G302" s="257"/>
      <c r="H302" s="257" t="s">
        <v>519</v>
      </c>
      <c r="I302" s="257" t="s">
        <v>520</v>
      </c>
      <c r="J302" s="171" t="s">
        <v>548</v>
      </c>
      <c r="K302" s="171" t="s">
        <v>415</v>
      </c>
      <c r="L302" s="171" t="s">
        <v>420</v>
      </c>
      <c r="M302" s="171" t="s">
        <v>938</v>
      </c>
      <c r="N302" s="171"/>
      <c r="O302" s="112">
        <v>7.0</v>
      </c>
      <c r="P302" s="270" t="s">
        <v>516</v>
      </c>
      <c r="Q302" s="270" t="s">
        <v>516</v>
      </c>
      <c r="R302" s="270" t="s">
        <v>548</v>
      </c>
      <c r="S302" s="270" t="s">
        <v>516</v>
      </c>
      <c r="T302" s="270" t="s">
        <v>516</v>
      </c>
      <c r="U302" s="171">
        <v>2.0</v>
      </c>
      <c r="V302" s="171">
        <v>0.0</v>
      </c>
      <c r="W302" s="171">
        <v>70.0</v>
      </c>
      <c r="X302" s="171">
        <v>75.0</v>
      </c>
      <c r="Y302" s="112">
        <v>10.0</v>
      </c>
      <c r="Z302" s="112">
        <v>30.0</v>
      </c>
      <c r="AA302" s="112">
        <v>1.0</v>
      </c>
      <c r="AB302" s="112">
        <v>30.0</v>
      </c>
      <c r="AC302" s="112"/>
      <c r="AD302" s="171" t="s">
        <v>1365</v>
      </c>
      <c r="AE302" s="112"/>
      <c r="AF302" s="171" t="s">
        <v>1366</v>
      </c>
      <c r="AG302" s="265">
        <v>19.0</v>
      </c>
      <c r="AH302" s="112"/>
      <c r="AI302" s="12"/>
      <c r="AJ302" s="12"/>
    </row>
    <row r="303" ht="14.25" customHeight="1">
      <c r="A303" s="242" t="s">
        <v>1040</v>
      </c>
      <c r="B303" s="257" t="s">
        <v>1367</v>
      </c>
      <c r="C303" s="257" t="s">
        <v>1368</v>
      </c>
      <c r="D303" s="257" t="s">
        <v>1367</v>
      </c>
      <c r="E303" s="258">
        <v>41632.0</v>
      </c>
      <c r="F303" s="276"/>
      <c r="G303" s="257"/>
      <c r="H303" s="257" t="s">
        <v>519</v>
      </c>
      <c r="I303" s="257" t="s">
        <v>520</v>
      </c>
      <c r="J303" s="171" t="s">
        <v>548</v>
      </c>
      <c r="K303" s="171" t="s">
        <v>415</v>
      </c>
      <c r="L303" s="171" t="s">
        <v>420</v>
      </c>
      <c r="M303" s="171" t="s">
        <v>938</v>
      </c>
      <c r="N303" s="171"/>
      <c r="O303" s="171">
        <v>7.0</v>
      </c>
      <c r="P303" s="270" t="s">
        <v>516</v>
      </c>
      <c r="Q303" s="270" t="s">
        <v>516</v>
      </c>
      <c r="R303" s="270" t="s">
        <v>548</v>
      </c>
      <c r="S303" s="270" t="s">
        <v>516</v>
      </c>
      <c r="T303" s="270" t="s">
        <v>516</v>
      </c>
      <c r="U303" s="171">
        <v>2.0</v>
      </c>
      <c r="V303" s="171">
        <v>0.0</v>
      </c>
      <c r="W303" s="171">
        <v>69.0</v>
      </c>
      <c r="X303" s="171">
        <v>79.0</v>
      </c>
      <c r="Y303" s="171">
        <v>10.0</v>
      </c>
      <c r="Z303" s="171">
        <v>30.0</v>
      </c>
      <c r="AA303" s="171">
        <v>1.0</v>
      </c>
      <c r="AB303" s="171">
        <v>30.0</v>
      </c>
      <c r="AC303" s="112"/>
      <c r="AD303" s="171" t="s">
        <v>1369</v>
      </c>
      <c r="AE303" s="112"/>
      <c r="AF303" s="171" t="s">
        <v>1370</v>
      </c>
      <c r="AG303" s="265">
        <v>12.0</v>
      </c>
      <c r="AH303" s="112"/>
      <c r="AI303" s="12"/>
      <c r="AJ303" s="12"/>
    </row>
    <row r="304" ht="14.25" customHeight="1">
      <c r="A304" s="242" t="s">
        <v>1040</v>
      </c>
      <c r="B304" s="257" t="s">
        <v>1371</v>
      </c>
      <c r="C304" s="257" t="s">
        <v>1372</v>
      </c>
      <c r="D304" s="257" t="s">
        <v>1371</v>
      </c>
      <c r="E304" s="258">
        <v>41687.0</v>
      </c>
      <c r="F304" s="258">
        <v>43861.0</v>
      </c>
      <c r="G304" s="257" t="s">
        <v>512</v>
      </c>
      <c r="H304" s="257" t="s">
        <v>519</v>
      </c>
      <c r="I304" s="257" t="s">
        <v>520</v>
      </c>
      <c r="J304" s="171" t="s">
        <v>548</v>
      </c>
      <c r="K304" s="171" t="s">
        <v>415</v>
      </c>
      <c r="L304" s="171" t="s">
        <v>471</v>
      </c>
      <c r="M304" s="171" t="s">
        <v>938</v>
      </c>
      <c r="N304" s="171"/>
      <c r="O304" s="171">
        <v>2.0</v>
      </c>
      <c r="P304" s="270" t="s">
        <v>516</v>
      </c>
      <c r="Q304" s="270" t="s">
        <v>516</v>
      </c>
      <c r="R304" s="270" t="s">
        <v>548</v>
      </c>
      <c r="S304" s="270" t="s">
        <v>516</v>
      </c>
      <c r="T304" s="270" t="s">
        <v>516</v>
      </c>
      <c r="U304" s="171">
        <v>2.0</v>
      </c>
      <c r="V304" s="171">
        <v>8.0</v>
      </c>
      <c r="W304" s="171">
        <v>70.0</v>
      </c>
      <c r="X304" s="171">
        <v>80.0</v>
      </c>
      <c r="Y304" s="260">
        <v>10.0</v>
      </c>
      <c r="Z304" s="69"/>
      <c r="AA304" s="171">
        <v>1.0</v>
      </c>
      <c r="AB304" s="171">
        <v>5.0</v>
      </c>
      <c r="AC304" s="112"/>
      <c r="AD304" s="171" t="s">
        <v>1373</v>
      </c>
      <c r="AE304" s="112">
        <v>500.0</v>
      </c>
      <c r="AF304" s="171" t="s">
        <v>1374</v>
      </c>
      <c r="AG304" s="265">
        <v>18.0</v>
      </c>
      <c r="AH304" s="112"/>
      <c r="AI304" s="12"/>
      <c r="AJ304" s="12"/>
    </row>
    <row r="305" ht="14.25" customHeight="1">
      <c r="A305" s="242" t="s">
        <v>1040</v>
      </c>
      <c r="B305" s="257" t="s">
        <v>1375</v>
      </c>
      <c r="C305" s="257" t="s">
        <v>1372</v>
      </c>
      <c r="D305" s="257" t="s">
        <v>1375</v>
      </c>
      <c r="E305" s="258">
        <v>43890.0</v>
      </c>
      <c r="F305" s="276"/>
      <c r="G305" s="257"/>
      <c r="H305" s="257" t="s">
        <v>519</v>
      </c>
      <c r="I305" s="257" t="s">
        <v>520</v>
      </c>
      <c r="J305" s="171" t="s">
        <v>548</v>
      </c>
      <c r="K305" s="171" t="s">
        <v>415</v>
      </c>
      <c r="L305" s="171" t="s">
        <v>471</v>
      </c>
      <c r="M305" s="171" t="s">
        <v>938</v>
      </c>
      <c r="N305" s="171"/>
      <c r="O305" s="171">
        <v>2.0</v>
      </c>
      <c r="P305" s="270" t="s">
        <v>516</v>
      </c>
      <c r="Q305" s="270" t="s">
        <v>516</v>
      </c>
      <c r="R305" s="270" t="s">
        <v>548</v>
      </c>
      <c r="S305" s="270" t="s">
        <v>516</v>
      </c>
      <c r="T305" s="270" t="s">
        <v>516</v>
      </c>
      <c r="U305" s="171">
        <v>3.0</v>
      </c>
      <c r="V305" s="171">
        <v>8.0</v>
      </c>
      <c r="W305" s="171">
        <v>70.0</v>
      </c>
      <c r="X305" s="171">
        <v>80.0</v>
      </c>
      <c r="Y305" s="171">
        <v>10.0</v>
      </c>
      <c r="Z305" s="171">
        <v>12.0</v>
      </c>
      <c r="AA305" s="171">
        <v>1.0</v>
      </c>
      <c r="AB305" s="171">
        <v>7.0</v>
      </c>
      <c r="AC305" s="112"/>
      <c r="AD305" s="171" t="s">
        <v>1373</v>
      </c>
      <c r="AE305" s="112">
        <v>500.0</v>
      </c>
      <c r="AF305" s="171" t="s">
        <v>1374</v>
      </c>
      <c r="AG305" s="265">
        <v>18.0</v>
      </c>
      <c r="AH305" s="112"/>
      <c r="AI305" s="12"/>
      <c r="AJ305" s="12"/>
    </row>
    <row r="306" ht="14.25" customHeight="1">
      <c r="A306" s="242" t="s">
        <v>1040</v>
      </c>
      <c r="B306" s="257" t="s">
        <v>1376</v>
      </c>
      <c r="C306" s="257" t="s">
        <v>1377</v>
      </c>
      <c r="D306" s="257" t="s">
        <v>1376</v>
      </c>
      <c r="E306" s="258">
        <v>42046.0</v>
      </c>
      <c r="F306" s="258">
        <v>43292.0</v>
      </c>
      <c r="G306" s="257" t="s">
        <v>512</v>
      </c>
      <c r="H306" s="257" t="s">
        <v>519</v>
      </c>
      <c r="I306" s="257" t="s">
        <v>520</v>
      </c>
      <c r="J306" s="171" t="s">
        <v>548</v>
      </c>
      <c r="K306" s="265" t="s">
        <v>433</v>
      </c>
      <c r="L306" s="171" t="s">
        <v>420</v>
      </c>
      <c r="M306" s="171" t="s">
        <v>938</v>
      </c>
      <c r="N306" s="171"/>
      <c r="O306" s="171">
        <v>8.0</v>
      </c>
      <c r="P306" s="270" t="s">
        <v>516</v>
      </c>
      <c r="Q306" s="270" t="s">
        <v>516</v>
      </c>
      <c r="R306" s="270" t="s">
        <v>548</v>
      </c>
      <c r="S306" s="270" t="s">
        <v>516</v>
      </c>
      <c r="T306" s="270" t="s">
        <v>516</v>
      </c>
      <c r="U306" s="112">
        <v>3.0</v>
      </c>
      <c r="V306" s="112">
        <v>20.0</v>
      </c>
      <c r="W306" s="112">
        <v>54.0</v>
      </c>
      <c r="X306" s="112">
        <v>64.0</v>
      </c>
      <c r="Y306" s="112">
        <v>10.0</v>
      </c>
      <c r="Z306" s="112">
        <v>25.0</v>
      </c>
      <c r="AA306" s="112">
        <v>1.0</v>
      </c>
      <c r="AB306" s="112">
        <v>25.0</v>
      </c>
      <c r="AC306" s="112"/>
      <c r="AD306" s="171" t="s">
        <v>1378</v>
      </c>
      <c r="AE306" s="112">
        <v>500.0</v>
      </c>
      <c r="AF306" s="171" t="s">
        <v>1379</v>
      </c>
      <c r="AG306" s="265">
        <v>11.0</v>
      </c>
      <c r="AH306" s="112"/>
      <c r="AI306" s="12"/>
      <c r="AJ306" s="12"/>
    </row>
    <row r="307" ht="14.25" customHeight="1">
      <c r="A307" s="242" t="s">
        <v>1040</v>
      </c>
      <c r="B307" s="257" t="s">
        <v>1380</v>
      </c>
      <c r="C307" s="257" t="s">
        <v>1377</v>
      </c>
      <c r="D307" s="257" t="s">
        <v>1380</v>
      </c>
      <c r="E307" s="258">
        <v>43292.0</v>
      </c>
      <c r="F307" s="258">
        <v>43427.0</v>
      </c>
      <c r="G307" s="257" t="s">
        <v>512</v>
      </c>
      <c r="H307" s="257" t="s">
        <v>519</v>
      </c>
      <c r="I307" s="257" t="s">
        <v>520</v>
      </c>
      <c r="J307" s="171" t="s">
        <v>548</v>
      </c>
      <c r="K307" s="265" t="s">
        <v>433</v>
      </c>
      <c r="L307" s="171" t="s">
        <v>420</v>
      </c>
      <c r="M307" s="171" t="s">
        <v>938</v>
      </c>
      <c r="N307" s="171"/>
      <c r="O307" s="171">
        <v>11.0</v>
      </c>
      <c r="P307" s="270" t="s">
        <v>516</v>
      </c>
      <c r="Q307" s="270" t="s">
        <v>516</v>
      </c>
      <c r="R307" s="270" t="s">
        <v>548</v>
      </c>
      <c r="S307" s="270" t="s">
        <v>516</v>
      </c>
      <c r="T307" s="270" t="s">
        <v>516</v>
      </c>
      <c r="U307" s="112">
        <v>2.0</v>
      </c>
      <c r="V307" s="171">
        <v>20.0</v>
      </c>
      <c r="W307" s="171">
        <v>54.0</v>
      </c>
      <c r="X307" s="112"/>
      <c r="Y307" s="112"/>
      <c r="Z307" s="112"/>
      <c r="AA307" s="112"/>
      <c r="AB307" s="112"/>
      <c r="AC307" s="112"/>
      <c r="AD307" s="171" t="s">
        <v>1378</v>
      </c>
      <c r="AE307" s="112">
        <v>500.0</v>
      </c>
      <c r="AF307" s="171" t="s">
        <v>1379</v>
      </c>
      <c r="AG307" s="265">
        <v>11.0</v>
      </c>
      <c r="AH307" s="112"/>
      <c r="AI307" s="12"/>
      <c r="AJ307" s="12"/>
    </row>
    <row r="308" ht="14.25" customHeight="1">
      <c r="A308" s="242" t="s">
        <v>1040</v>
      </c>
      <c r="B308" s="257" t="s">
        <v>1381</v>
      </c>
      <c r="C308" s="257" t="s">
        <v>1377</v>
      </c>
      <c r="D308" s="257" t="s">
        <v>1381</v>
      </c>
      <c r="E308" s="258">
        <v>43427.0</v>
      </c>
      <c r="F308" s="258">
        <v>43539.0</v>
      </c>
      <c r="G308" s="257" t="s">
        <v>512</v>
      </c>
      <c r="H308" s="257" t="s">
        <v>519</v>
      </c>
      <c r="I308" s="257" t="s">
        <v>520</v>
      </c>
      <c r="J308" s="171" t="s">
        <v>548</v>
      </c>
      <c r="K308" s="265" t="s">
        <v>433</v>
      </c>
      <c r="L308" s="171" t="s">
        <v>420</v>
      </c>
      <c r="M308" s="171" t="s">
        <v>938</v>
      </c>
      <c r="N308" s="171"/>
      <c r="O308" s="171">
        <v>12.0</v>
      </c>
      <c r="P308" s="270" t="s">
        <v>516</v>
      </c>
      <c r="Q308" s="270" t="s">
        <v>516</v>
      </c>
      <c r="R308" s="270" t="s">
        <v>548</v>
      </c>
      <c r="S308" s="270" t="s">
        <v>516</v>
      </c>
      <c r="T308" s="270" t="s">
        <v>516</v>
      </c>
      <c r="U308" s="112">
        <v>2.0</v>
      </c>
      <c r="V308" s="112">
        <v>20.0</v>
      </c>
      <c r="W308" s="112">
        <v>54.0</v>
      </c>
      <c r="X308" s="112"/>
      <c r="Y308" s="112"/>
      <c r="Z308" s="112"/>
      <c r="AA308" s="112"/>
      <c r="AB308" s="112"/>
      <c r="AC308" s="112"/>
      <c r="AD308" s="171" t="s">
        <v>1378</v>
      </c>
      <c r="AE308" s="112">
        <v>500.0</v>
      </c>
      <c r="AF308" s="171" t="s">
        <v>1379</v>
      </c>
      <c r="AG308" s="265">
        <v>11.0</v>
      </c>
      <c r="AH308" s="112"/>
      <c r="AI308" s="12"/>
      <c r="AJ308" s="12"/>
    </row>
    <row r="309" ht="14.25" customHeight="1">
      <c r="A309" s="242" t="s">
        <v>1040</v>
      </c>
      <c r="B309" s="257" t="s">
        <v>1382</v>
      </c>
      <c r="C309" s="257" t="s">
        <v>1377</v>
      </c>
      <c r="D309" s="257" t="s">
        <v>1382</v>
      </c>
      <c r="E309" s="258">
        <v>43539.0</v>
      </c>
      <c r="F309" s="258">
        <v>43775.0</v>
      </c>
      <c r="G309" s="257" t="s">
        <v>512</v>
      </c>
      <c r="H309" s="257" t="s">
        <v>519</v>
      </c>
      <c r="I309" s="257" t="s">
        <v>520</v>
      </c>
      <c r="J309" s="171" t="s">
        <v>548</v>
      </c>
      <c r="K309" s="265" t="s">
        <v>433</v>
      </c>
      <c r="L309" s="171" t="s">
        <v>420</v>
      </c>
      <c r="M309" s="171" t="s">
        <v>938</v>
      </c>
      <c r="N309" s="171"/>
      <c r="O309" s="171">
        <v>13.0</v>
      </c>
      <c r="P309" s="270" t="s">
        <v>516</v>
      </c>
      <c r="Q309" s="270" t="s">
        <v>516</v>
      </c>
      <c r="R309" s="270" t="s">
        <v>548</v>
      </c>
      <c r="S309" s="270" t="s">
        <v>516</v>
      </c>
      <c r="T309" s="270" t="s">
        <v>516</v>
      </c>
      <c r="U309" s="112">
        <v>2.0</v>
      </c>
      <c r="V309" s="112">
        <v>20.0</v>
      </c>
      <c r="W309" s="112">
        <v>54.0</v>
      </c>
      <c r="X309" s="112"/>
      <c r="Y309" s="112"/>
      <c r="Z309" s="112"/>
      <c r="AA309" s="112"/>
      <c r="AB309" s="112"/>
      <c r="AC309" s="112"/>
      <c r="AD309" s="171" t="s">
        <v>1378</v>
      </c>
      <c r="AE309" s="112">
        <v>500.0</v>
      </c>
      <c r="AF309" s="171" t="s">
        <v>1379</v>
      </c>
      <c r="AG309" s="265">
        <v>11.0</v>
      </c>
      <c r="AH309" s="112"/>
      <c r="AI309" s="12"/>
      <c r="AJ309" s="12"/>
    </row>
    <row r="310" ht="14.25" customHeight="1">
      <c r="A310" s="242" t="s">
        <v>1040</v>
      </c>
      <c r="B310" s="257" t="s">
        <v>1383</v>
      </c>
      <c r="C310" s="257" t="s">
        <v>1377</v>
      </c>
      <c r="D310" s="257" t="s">
        <v>1383</v>
      </c>
      <c r="E310" s="258">
        <v>43775.0</v>
      </c>
      <c r="F310" s="276"/>
      <c r="G310" s="257"/>
      <c r="H310" s="257" t="s">
        <v>519</v>
      </c>
      <c r="I310" s="257" t="s">
        <v>520</v>
      </c>
      <c r="J310" s="171" t="s">
        <v>548</v>
      </c>
      <c r="K310" s="265" t="s">
        <v>433</v>
      </c>
      <c r="L310" s="171" t="s">
        <v>420</v>
      </c>
      <c r="M310" s="171" t="s">
        <v>938</v>
      </c>
      <c r="N310" s="171"/>
      <c r="O310" s="171">
        <v>13.0</v>
      </c>
      <c r="P310" s="270" t="s">
        <v>516</v>
      </c>
      <c r="Q310" s="270" t="s">
        <v>516</v>
      </c>
      <c r="R310" s="270" t="s">
        <v>548</v>
      </c>
      <c r="S310" s="270" t="s">
        <v>516</v>
      </c>
      <c r="T310" s="270" t="s">
        <v>516</v>
      </c>
      <c r="U310" s="171">
        <v>3.0</v>
      </c>
      <c r="V310" s="171">
        <v>20.0</v>
      </c>
      <c r="W310" s="171">
        <v>54.0</v>
      </c>
      <c r="X310" s="171">
        <v>64.0</v>
      </c>
      <c r="Y310" s="171">
        <v>10.0</v>
      </c>
      <c r="Z310" s="171">
        <v>25.0</v>
      </c>
      <c r="AA310" s="171">
        <v>1.0</v>
      </c>
      <c r="AB310" s="171">
        <v>25.0</v>
      </c>
      <c r="AC310" s="112"/>
      <c r="AD310" s="171" t="s">
        <v>1378</v>
      </c>
      <c r="AE310" s="112">
        <v>500.0</v>
      </c>
      <c r="AF310" s="171" t="s">
        <v>1379</v>
      </c>
      <c r="AG310" s="265">
        <v>11.0</v>
      </c>
      <c r="AH310" s="112"/>
      <c r="AI310" s="12"/>
      <c r="AJ310" s="12"/>
    </row>
    <row r="311" ht="14.25" customHeight="1">
      <c r="A311" s="242" t="s">
        <v>1040</v>
      </c>
      <c r="B311" s="257" t="s">
        <v>1384</v>
      </c>
      <c r="C311" s="257" t="s">
        <v>1385</v>
      </c>
      <c r="D311" s="257" t="s">
        <v>1384</v>
      </c>
      <c r="E311" s="258">
        <v>42866.0</v>
      </c>
      <c r="F311" s="258">
        <v>43292.0</v>
      </c>
      <c r="G311" s="257" t="s">
        <v>512</v>
      </c>
      <c r="H311" s="257" t="s">
        <v>519</v>
      </c>
      <c r="I311" s="257" t="s">
        <v>520</v>
      </c>
      <c r="J311" s="171" t="s">
        <v>516</v>
      </c>
      <c r="K311" s="171" t="s">
        <v>415</v>
      </c>
      <c r="L311" s="171" t="s">
        <v>420</v>
      </c>
      <c r="M311" s="171" t="s">
        <v>475</v>
      </c>
      <c r="N311" s="171"/>
      <c r="O311" s="171">
        <v>9.0</v>
      </c>
      <c r="P311" s="270" t="s">
        <v>516</v>
      </c>
      <c r="Q311" s="270" t="s">
        <v>516</v>
      </c>
      <c r="R311" s="270" t="s">
        <v>548</v>
      </c>
      <c r="S311" s="270" t="s">
        <v>516</v>
      </c>
      <c r="T311" s="270" t="s">
        <v>516</v>
      </c>
      <c r="U311" s="112">
        <v>2.0</v>
      </c>
      <c r="V311" s="112">
        <v>0.0</v>
      </c>
      <c r="W311" s="112">
        <v>75.0</v>
      </c>
      <c r="X311" s="112">
        <v>80.0</v>
      </c>
      <c r="Y311" s="112">
        <v>5.0</v>
      </c>
      <c r="Z311" s="112">
        <v>25.0</v>
      </c>
      <c r="AA311" s="112">
        <v>1.0</v>
      </c>
      <c r="AB311" s="112">
        <v>25.0</v>
      </c>
      <c r="AC311" s="112"/>
      <c r="AD311" s="171" t="s">
        <v>1386</v>
      </c>
      <c r="AE311" s="112">
        <v>500.0</v>
      </c>
      <c r="AF311" s="171" t="s">
        <v>1387</v>
      </c>
      <c r="AG311" s="265">
        <v>15.0</v>
      </c>
      <c r="AH311" s="112"/>
      <c r="AI311" s="12"/>
      <c r="AJ311" s="12"/>
    </row>
    <row r="312" ht="14.25" customHeight="1">
      <c r="A312" s="242" t="s">
        <v>1040</v>
      </c>
      <c r="B312" s="257" t="s">
        <v>1388</v>
      </c>
      <c r="C312" s="257" t="s">
        <v>1385</v>
      </c>
      <c r="D312" s="257" t="s">
        <v>1388</v>
      </c>
      <c r="E312" s="258">
        <v>43292.0</v>
      </c>
      <c r="F312" s="258">
        <v>43539.0</v>
      </c>
      <c r="G312" s="257" t="s">
        <v>512</v>
      </c>
      <c r="H312" s="257" t="s">
        <v>519</v>
      </c>
      <c r="I312" s="257" t="s">
        <v>520</v>
      </c>
      <c r="J312" s="171" t="s">
        <v>516</v>
      </c>
      <c r="K312" s="171" t="s">
        <v>415</v>
      </c>
      <c r="L312" s="171" t="s">
        <v>420</v>
      </c>
      <c r="M312" s="171" t="s">
        <v>475</v>
      </c>
      <c r="N312" s="171"/>
      <c r="O312" s="171">
        <v>11.0</v>
      </c>
      <c r="P312" s="270" t="s">
        <v>516</v>
      </c>
      <c r="Q312" s="270" t="s">
        <v>516</v>
      </c>
      <c r="R312" s="270" t="s">
        <v>548</v>
      </c>
      <c r="S312" s="270" t="s">
        <v>516</v>
      </c>
      <c r="T312" s="270" t="s">
        <v>516</v>
      </c>
      <c r="U312" s="112">
        <v>2.0</v>
      </c>
      <c r="V312" s="112">
        <v>0.0</v>
      </c>
      <c r="W312" s="112">
        <v>75.0</v>
      </c>
      <c r="X312" s="112">
        <v>80.0</v>
      </c>
      <c r="Y312" s="112">
        <v>5.0</v>
      </c>
      <c r="Z312" s="112">
        <v>25.0</v>
      </c>
      <c r="AA312" s="112">
        <v>1.0</v>
      </c>
      <c r="AB312" s="112">
        <v>25.0</v>
      </c>
      <c r="AC312" s="112"/>
      <c r="AD312" s="171" t="s">
        <v>1386</v>
      </c>
      <c r="AE312" s="112">
        <v>500.0</v>
      </c>
      <c r="AF312" s="171" t="s">
        <v>1387</v>
      </c>
      <c r="AG312" s="265">
        <v>15.0</v>
      </c>
      <c r="AH312" s="112"/>
      <c r="AI312" s="12"/>
      <c r="AJ312" s="12"/>
    </row>
    <row r="313" ht="14.25" customHeight="1">
      <c r="A313" s="242" t="s">
        <v>1040</v>
      </c>
      <c r="B313" s="257" t="s">
        <v>1389</v>
      </c>
      <c r="C313" s="257" t="s">
        <v>1385</v>
      </c>
      <c r="D313" s="257" t="s">
        <v>1389</v>
      </c>
      <c r="E313" s="258">
        <v>43539.0</v>
      </c>
      <c r="F313" s="258">
        <v>43775.0</v>
      </c>
      <c r="G313" s="257" t="s">
        <v>512</v>
      </c>
      <c r="H313" s="257" t="s">
        <v>519</v>
      </c>
      <c r="I313" s="257" t="s">
        <v>520</v>
      </c>
      <c r="J313" s="171" t="s">
        <v>516</v>
      </c>
      <c r="K313" s="171" t="s">
        <v>415</v>
      </c>
      <c r="L313" s="171" t="s">
        <v>420</v>
      </c>
      <c r="M313" s="171" t="s">
        <v>475</v>
      </c>
      <c r="N313" s="171"/>
      <c r="O313" s="171">
        <v>13.0</v>
      </c>
      <c r="P313" s="270" t="s">
        <v>516</v>
      </c>
      <c r="Q313" s="270" t="s">
        <v>516</v>
      </c>
      <c r="R313" s="270" t="s">
        <v>548</v>
      </c>
      <c r="S313" s="270" t="s">
        <v>516</v>
      </c>
      <c r="T313" s="270" t="s">
        <v>516</v>
      </c>
      <c r="U313" s="171">
        <v>2.0</v>
      </c>
      <c r="V313" s="112">
        <v>0.0</v>
      </c>
      <c r="W313" s="112">
        <v>75.0</v>
      </c>
      <c r="X313" s="112">
        <v>80.0</v>
      </c>
      <c r="Y313" s="112">
        <v>5.0</v>
      </c>
      <c r="Z313" s="112">
        <v>25.0</v>
      </c>
      <c r="AA313" s="112">
        <v>1.0</v>
      </c>
      <c r="AB313" s="112">
        <v>25.0</v>
      </c>
      <c r="AC313" s="112"/>
      <c r="AD313" s="171" t="s">
        <v>1386</v>
      </c>
      <c r="AE313" s="112">
        <v>500.0</v>
      </c>
      <c r="AF313" s="171" t="s">
        <v>1387</v>
      </c>
      <c r="AG313" s="265">
        <v>15.0</v>
      </c>
      <c r="AH313" s="112"/>
      <c r="AI313" s="12"/>
      <c r="AJ313" s="12"/>
    </row>
    <row r="314" ht="14.25" customHeight="1">
      <c r="A314" s="242" t="s">
        <v>1040</v>
      </c>
      <c r="B314" s="257" t="s">
        <v>1390</v>
      </c>
      <c r="C314" s="257" t="s">
        <v>1385</v>
      </c>
      <c r="D314" s="257" t="s">
        <v>1390</v>
      </c>
      <c r="E314" s="258">
        <v>43775.0</v>
      </c>
      <c r="F314" s="276"/>
      <c r="G314" s="257"/>
      <c r="H314" s="257" t="s">
        <v>519</v>
      </c>
      <c r="I314" s="257" t="s">
        <v>520</v>
      </c>
      <c r="J314" s="112" t="s">
        <v>548</v>
      </c>
      <c r="K314" s="171" t="s">
        <v>415</v>
      </c>
      <c r="L314" s="171" t="s">
        <v>420</v>
      </c>
      <c r="M314" s="171" t="s">
        <v>475</v>
      </c>
      <c r="N314" s="171"/>
      <c r="O314" s="171">
        <v>13.0</v>
      </c>
      <c r="P314" s="270" t="s">
        <v>516</v>
      </c>
      <c r="Q314" s="270" t="s">
        <v>516</v>
      </c>
      <c r="R314" s="270" t="s">
        <v>548</v>
      </c>
      <c r="S314" s="270" t="s">
        <v>516</v>
      </c>
      <c r="T314" s="270" t="s">
        <v>516</v>
      </c>
      <c r="U314" s="171">
        <v>3.0</v>
      </c>
      <c r="V314" s="171">
        <v>0.0</v>
      </c>
      <c r="W314" s="171">
        <v>75.0</v>
      </c>
      <c r="X314" s="171">
        <v>80.0</v>
      </c>
      <c r="Y314" s="171">
        <v>5.0</v>
      </c>
      <c r="Z314" s="171">
        <v>25.0</v>
      </c>
      <c r="AA314" s="171">
        <v>1.0</v>
      </c>
      <c r="AB314" s="171">
        <v>25.0</v>
      </c>
      <c r="AC314" s="112"/>
      <c r="AD314" s="171" t="s">
        <v>1386</v>
      </c>
      <c r="AE314" s="112">
        <v>500.0</v>
      </c>
      <c r="AF314" s="171" t="s">
        <v>1387</v>
      </c>
      <c r="AG314" s="265">
        <v>15.0</v>
      </c>
      <c r="AH314" s="112"/>
      <c r="AI314" s="12"/>
      <c r="AJ314" s="12"/>
    </row>
    <row r="315" ht="14.25" customHeight="1">
      <c r="A315" s="242" t="s">
        <v>1040</v>
      </c>
      <c r="B315" s="257" t="s">
        <v>1391</v>
      </c>
      <c r="C315" s="257" t="s">
        <v>1392</v>
      </c>
      <c r="D315" s="257" t="s">
        <v>1391</v>
      </c>
      <c r="E315" s="258">
        <v>42879.0</v>
      </c>
      <c r="F315" s="258">
        <v>43292.0</v>
      </c>
      <c r="G315" s="257" t="s">
        <v>512</v>
      </c>
      <c r="H315" s="257" t="s">
        <v>519</v>
      </c>
      <c r="I315" s="257" t="s">
        <v>520</v>
      </c>
      <c r="J315" s="171" t="s">
        <v>516</v>
      </c>
      <c r="K315" s="171" t="s">
        <v>415</v>
      </c>
      <c r="L315" s="171" t="s">
        <v>420</v>
      </c>
      <c r="M315" s="171" t="s">
        <v>475</v>
      </c>
      <c r="N315" s="171"/>
      <c r="O315" s="171">
        <v>9.0</v>
      </c>
      <c r="P315" s="270" t="s">
        <v>516</v>
      </c>
      <c r="Q315" s="270" t="s">
        <v>516</v>
      </c>
      <c r="R315" s="270" t="s">
        <v>548</v>
      </c>
      <c r="S315" s="270" t="s">
        <v>516</v>
      </c>
      <c r="T315" s="270" t="s">
        <v>516</v>
      </c>
      <c r="U315" s="112">
        <v>2.0</v>
      </c>
      <c r="V315" s="112">
        <v>0.0</v>
      </c>
      <c r="W315" s="112">
        <v>75.0</v>
      </c>
      <c r="X315" s="112">
        <v>80.0</v>
      </c>
      <c r="Y315" s="112">
        <v>5.0</v>
      </c>
      <c r="Z315" s="112">
        <v>30.0</v>
      </c>
      <c r="AA315" s="112">
        <v>1.0</v>
      </c>
      <c r="AB315" s="112">
        <v>30.0</v>
      </c>
      <c r="AC315" s="112"/>
      <c r="AD315" s="171" t="s">
        <v>1393</v>
      </c>
      <c r="AE315" s="112"/>
      <c r="AF315" s="171" t="s">
        <v>1394</v>
      </c>
      <c r="AG315" s="265">
        <v>16.0</v>
      </c>
      <c r="AH315" s="112"/>
      <c r="AI315" s="12"/>
      <c r="AJ315" s="12"/>
    </row>
    <row r="316" ht="14.25" customHeight="1">
      <c r="A316" s="242" t="s">
        <v>1040</v>
      </c>
      <c r="B316" s="257" t="s">
        <v>1395</v>
      </c>
      <c r="C316" s="257" t="s">
        <v>1392</v>
      </c>
      <c r="D316" s="257" t="s">
        <v>1395</v>
      </c>
      <c r="E316" s="258">
        <v>43292.0</v>
      </c>
      <c r="F316" s="258">
        <v>43539.0</v>
      </c>
      <c r="G316" s="257" t="s">
        <v>512</v>
      </c>
      <c r="H316" s="257" t="s">
        <v>519</v>
      </c>
      <c r="I316" s="257" t="s">
        <v>520</v>
      </c>
      <c r="J316" s="171" t="s">
        <v>548</v>
      </c>
      <c r="K316" s="171" t="s">
        <v>415</v>
      </c>
      <c r="L316" s="171" t="s">
        <v>420</v>
      </c>
      <c r="M316" s="171" t="s">
        <v>475</v>
      </c>
      <c r="N316" s="171"/>
      <c r="O316" s="171">
        <v>11.0</v>
      </c>
      <c r="P316" s="270" t="s">
        <v>516</v>
      </c>
      <c r="Q316" s="270" t="s">
        <v>516</v>
      </c>
      <c r="R316" s="270" t="s">
        <v>548</v>
      </c>
      <c r="S316" s="270" t="s">
        <v>516</v>
      </c>
      <c r="T316" s="270" t="s">
        <v>516</v>
      </c>
      <c r="U316" s="112">
        <v>2.0</v>
      </c>
      <c r="V316" s="112">
        <v>0.0</v>
      </c>
      <c r="W316" s="112">
        <v>75.0</v>
      </c>
      <c r="X316" s="112">
        <v>80.0</v>
      </c>
      <c r="Y316" s="112">
        <v>5.0</v>
      </c>
      <c r="Z316" s="112">
        <v>30.0</v>
      </c>
      <c r="AA316" s="112">
        <v>1.0</v>
      </c>
      <c r="AB316" s="112">
        <v>30.0</v>
      </c>
      <c r="AC316" s="112"/>
      <c r="AD316" s="171" t="s">
        <v>1393</v>
      </c>
      <c r="AE316" s="112"/>
      <c r="AF316" s="171" t="s">
        <v>1394</v>
      </c>
      <c r="AG316" s="265">
        <v>16.0</v>
      </c>
      <c r="AH316" s="112"/>
      <c r="AI316" s="12"/>
      <c r="AJ316" s="12"/>
    </row>
    <row r="317" ht="14.25" customHeight="1">
      <c r="A317" s="242" t="s">
        <v>1040</v>
      </c>
      <c r="B317" s="257" t="s">
        <v>1396</v>
      </c>
      <c r="C317" s="257" t="s">
        <v>1392</v>
      </c>
      <c r="D317" s="257" t="s">
        <v>1396</v>
      </c>
      <c r="E317" s="258">
        <v>43539.0</v>
      </c>
      <c r="F317" s="276"/>
      <c r="G317" s="257"/>
      <c r="H317" s="257" t="s">
        <v>519</v>
      </c>
      <c r="I317" s="257" t="s">
        <v>520</v>
      </c>
      <c r="J317" s="171" t="s">
        <v>548</v>
      </c>
      <c r="K317" s="171" t="s">
        <v>415</v>
      </c>
      <c r="L317" s="171" t="s">
        <v>420</v>
      </c>
      <c r="M317" s="171" t="s">
        <v>475</v>
      </c>
      <c r="N317" s="171"/>
      <c r="O317" s="171">
        <v>13.0</v>
      </c>
      <c r="P317" s="270" t="s">
        <v>516</v>
      </c>
      <c r="Q317" s="270" t="s">
        <v>516</v>
      </c>
      <c r="R317" s="270" t="s">
        <v>548</v>
      </c>
      <c r="S317" s="270" t="s">
        <v>516</v>
      </c>
      <c r="T317" s="270" t="s">
        <v>516</v>
      </c>
      <c r="U317" s="171">
        <v>2.0</v>
      </c>
      <c r="V317" s="171">
        <v>0.0</v>
      </c>
      <c r="W317" s="171">
        <v>75.0</v>
      </c>
      <c r="X317" s="171">
        <v>80.0</v>
      </c>
      <c r="Y317" s="171">
        <v>5.0</v>
      </c>
      <c r="Z317" s="171">
        <v>30.0</v>
      </c>
      <c r="AA317" s="171">
        <v>1.0</v>
      </c>
      <c r="AB317" s="171">
        <v>30.0</v>
      </c>
      <c r="AC317" s="112"/>
      <c r="AD317" s="171" t="s">
        <v>1393</v>
      </c>
      <c r="AE317" s="112"/>
      <c r="AF317" s="171" t="s">
        <v>1394</v>
      </c>
      <c r="AG317" s="265">
        <v>16.0</v>
      </c>
      <c r="AH317" s="112"/>
      <c r="AI317" s="12"/>
      <c r="AJ317" s="12"/>
    </row>
    <row r="318" ht="14.25" customHeight="1">
      <c r="A318" s="242" t="s">
        <v>1040</v>
      </c>
      <c r="B318" s="257" t="s">
        <v>1397</v>
      </c>
      <c r="C318" s="257" t="s">
        <v>1398</v>
      </c>
      <c r="D318" s="257" t="s">
        <v>1397</v>
      </c>
      <c r="E318" s="258">
        <v>42879.0</v>
      </c>
      <c r="F318" s="258">
        <v>43292.0</v>
      </c>
      <c r="G318" s="257" t="s">
        <v>512</v>
      </c>
      <c r="H318" s="257" t="s">
        <v>519</v>
      </c>
      <c r="I318" s="257" t="s">
        <v>520</v>
      </c>
      <c r="J318" s="171" t="s">
        <v>548</v>
      </c>
      <c r="K318" s="171" t="s">
        <v>415</v>
      </c>
      <c r="L318" s="171" t="s">
        <v>420</v>
      </c>
      <c r="M318" s="171" t="s">
        <v>475</v>
      </c>
      <c r="N318" s="171"/>
      <c r="O318" s="171">
        <v>10.0</v>
      </c>
      <c r="P318" s="270" t="s">
        <v>516</v>
      </c>
      <c r="Q318" s="270" t="s">
        <v>516</v>
      </c>
      <c r="R318" s="270" t="s">
        <v>548</v>
      </c>
      <c r="S318" s="270" t="s">
        <v>516</v>
      </c>
      <c r="T318" s="270" t="s">
        <v>516</v>
      </c>
      <c r="U318" s="112">
        <v>2.0</v>
      </c>
      <c r="V318" s="112">
        <v>0.0</v>
      </c>
      <c r="W318" s="112">
        <v>75.0</v>
      </c>
      <c r="X318" s="112">
        <v>80.0</v>
      </c>
      <c r="Y318" s="112">
        <v>5.0</v>
      </c>
      <c r="Z318" s="112">
        <v>30.0</v>
      </c>
      <c r="AA318" s="112">
        <v>1.0</v>
      </c>
      <c r="AB318" s="112">
        <v>30.0</v>
      </c>
      <c r="AC318" s="112"/>
      <c r="AD318" s="171" t="s">
        <v>1399</v>
      </c>
      <c r="AE318" s="112"/>
      <c r="AF318" s="171" t="s">
        <v>1400</v>
      </c>
      <c r="AG318" s="265">
        <v>17.0</v>
      </c>
      <c r="AH318" s="112"/>
      <c r="AI318" s="12"/>
      <c r="AJ318" s="12"/>
    </row>
    <row r="319" ht="14.25" customHeight="1">
      <c r="A319" s="242" t="s">
        <v>1040</v>
      </c>
      <c r="B319" s="257" t="s">
        <v>1401</v>
      </c>
      <c r="C319" s="257" t="s">
        <v>1398</v>
      </c>
      <c r="D319" s="257" t="s">
        <v>1401</v>
      </c>
      <c r="E319" s="258">
        <v>43292.0</v>
      </c>
      <c r="F319" s="258">
        <v>43539.0</v>
      </c>
      <c r="G319" s="257" t="s">
        <v>512</v>
      </c>
      <c r="H319" s="257" t="s">
        <v>519</v>
      </c>
      <c r="I319" s="257" t="s">
        <v>520</v>
      </c>
      <c r="J319" s="171" t="s">
        <v>548</v>
      </c>
      <c r="K319" s="171" t="s">
        <v>415</v>
      </c>
      <c r="L319" s="171" t="s">
        <v>420</v>
      </c>
      <c r="M319" s="171" t="s">
        <v>475</v>
      </c>
      <c r="N319" s="171"/>
      <c r="O319" s="171">
        <v>11.0</v>
      </c>
      <c r="P319" s="270" t="s">
        <v>516</v>
      </c>
      <c r="Q319" s="270" t="s">
        <v>516</v>
      </c>
      <c r="R319" s="270" t="s">
        <v>548</v>
      </c>
      <c r="S319" s="270" t="s">
        <v>516</v>
      </c>
      <c r="T319" s="270" t="s">
        <v>516</v>
      </c>
      <c r="U319" s="112">
        <v>2.0</v>
      </c>
      <c r="V319" s="112">
        <v>0.0</v>
      </c>
      <c r="W319" s="112">
        <v>75.0</v>
      </c>
      <c r="X319" s="112">
        <v>80.0</v>
      </c>
      <c r="Y319" s="112">
        <v>5.0</v>
      </c>
      <c r="Z319" s="112">
        <v>30.0</v>
      </c>
      <c r="AA319" s="112">
        <v>1.0</v>
      </c>
      <c r="AB319" s="112">
        <v>30.0</v>
      </c>
      <c r="AC319" s="112"/>
      <c r="AD319" s="171" t="s">
        <v>1399</v>
      </c>
      <c r="AE319" s="112"/>
      <c r="AF319" s="171" t="s">
        <v>1400</v>
      </c>
      <c r="AG319" s="265">
        <v>17.0</v>
      </c>
      <c r="AH319" s="112"/>
      <c r="AI319" s="12"/>
      <c r="AJ319" s="12"/>
    </row>
    <row r="320" ht="14.25" customHeight="1">
      <c r="A320" s="242" t="s">
        <v>1040</v>
      </c>
      <c r="B320" s="257" t="s">
        <v>1402</v>
      </c>
      <c r="C320" s="257" t="s">
        <v>1398</v>
      </c>
      <c r="D320" s="257" t="s">
        <v>1402</v>
      </c>
      <c r="E320" s="258">
        <v>43539.0</v>
      </c>
      <c r="F320" s="276"/>
      <c r="G320" s="257"/>
      <c r="H320" s="257" t="s">
        <v>519</v>
      </c>
      <c r="I320" s="257" t="s">
        <v>520</v>
      </c>
      <c r="J320" s="171" t="s">
        <v>548</v>
      </c>
      <c r="K320" s="171" t="s">
        <v>415</v>
      </c>
      <c r="L320" s="171" t="s">
        <v>420</v>
      </c>
      <c r="M320" s="171" t="s">
        <v>475</v>
      </c>
      <c r="N320" s="171"/>
      <c r="O320" s="171">
        <v>13.0</v>
      </c>
      <c r="P320" s="270" t="s">
        <v>516</v>
      </c>
      <c r="Q320" s="270" t="s">
        <v>516</v>
      </c>
      <c r="R320" s="270" t="s">
        <v>548</v>
      </c>
      <c r="S320" s="270" t="s">
        <v>516</v>
      </c>
      <c r="T320" s="270" t="s">
        <v>516</v>
      </c>
      <c r="U320" s="171">
        <v>2.0</v>
      </c>
      <c r="V320" s="171">
        <v>0.0</v>
      </c>
      <c r="W320" s="171">
        <v>75.0</v>
      </c>
      <c r="X320" s="171">
        <v>80.0</v>
      </c>
      <c r="Y320" s="171">
        <v>5.0</v>
      </c>
      <c r="Z320" s="171">
        <v>30.0</v>
      </c>
      <c r="AA320" s="171">
        <v>1.0</v>
      </c>
      <c r="AB320" s="171">
        <v>30.0</v>
      </c>
      <c r="AC320" s="112"/>
      <c r="AD320" s="171" t="s">
        <v>1399</v>
      </c>
      <c r="AE320" s="112"/>
      <c r="AF320" s="171" t="s">
        <v>1400</v>
      </c>
      <c r="AG320" s="265">
        <v>17.0</v>
      </c>
      <c r="AH320" s="112"/>
      <c r="AI320" s="12"/>
      <c r="AJ320" s="12"/>
    </row>
    <row r="321" ht="14.25" customHeight="1">
      <c r="A321" s="242" t="s">
        <v>1040</v>
      </c>
      <c r="B321" s="257" t="s">
        <v>1403</v>
      </c>
      <c r="C321" s="257" t="s">
        <v>1404</v>
      </c>
      <c r="D321" s="257" t="s">
        <v>1403</v>
      </c>
      <c r="E321" s="258">
        <v>43285.0</v>
      </c>
      <c r="F321" s="258">
        <v>43775.0</v>
      </c>
      <c r="G321" s="257" t="s">
        <v>512</v>
      </c>
      <c r="H321" s="257" t="s">
        <v>519</v>
      </c>
      <c r="I321" s="257" t="s">
        <v>520</v>
      </c>
      <c r="J321" s="171" t="s">
        <v>516</v>
      </c>
      <c r="K321" s="171" t="s">
        <v>415</v>
      </c>
      <c r="L321" s="171" t="s">
        <v>420</v>
      </c>
      <c r="M321" s="171" t="s">
        <v>475</v>
      </c>
      <c r="N321" s="171"/>
      <c r="O321" s="171">
        <v>7.0</v>
      </c>
      <c r="P321" s="270" t="s">
        <v>516</v>
      </c>
      <c r="Q321" s="270" t="s">
        <v>516</v>
      </c>
      <c r="R321" s="270" t="s">
        <v>516</v>
      </c>
      <c r="S321" s="270" t="s">
        <v>516</v>
      </c>
      <c r="T321" s="270" t="s">
        <v>516</v>
      </c>
      <c r="U321" s="112"/>
      <c r="V321" s="112"/>
      <c r="W321" s="112"/>
      <c r="X321" s="112"/>
      <c r="Y321" s="171">
        <v>5.0</v>
      </c>
      <c r="Z321" s="171">
        <v>10.0</v>
      </c>
      <c r="AA321" s="260">
        <v>1.0</v>
      </c>
      <c r="AB321" s="69"/>
      <c r="AC321" s="112"/>
      <c r="AD321" s="171" t="s">
        <v>423</v>
      </c>
      <c r="AE321" s="112"/>
      <c r="AF321" s="171" t="s">
        <v>423</v>
      </c>
      <c r="AG321" s="265">
        <v>5.0</v>
      </c>
      <c r="AH321" s="112"/>
      <c r="AI321" s="12"/>
      <c r="AJ321" s="12"/>
    </row>
    <row r="322" ht="14.25" customHeight="1">
      <c r="A322" s="242" t="s">
        <v>1040</v>
      </c>
      <c r="B322" s="257" t="s">
        <v>1405</v>
      </c>
      <c r="C322" s="257" t="s">
        <v>1404</v>
      </c>
      <c r="D322" s="257" t="s">
        <v>1405</v>
      </c>
      <c r="E322" s="258">
        <v>43775.0</v>
      </c>
      <c r="F322" s="276"/>
      <c r="G322" s="257"/>
      <c r="H322" s="257" t="s">
        <v>519</v>
      </c>
      <c r="I322" s="257" t="s">
        <v>520</v>
      </c>
      <c r="J322" s="171" t="s">
        <v>548</v>
      </c>
      <c r="K322" s="171" t="s">
        <v>415</v>
      </c>
      <c r="L322" s="171" t="s">
        <v>420</v>
      </c>
      <c r="M322" s="171" t="s">
        <v>475</v>
      </c>
      <c r="N322" s="171"/>
      <c r="O322" s="171">
        <v>7.0</v>
      </c>
      <c r="P322" s="270" t="s">
        <v>516</v>
      </c>
      <c r="Q322" s="270" t="s">
        <v>516</v>
      </c>
      <c r="R322" s="270" t="s">
        <v>516</v>
      </c>
      <c r="S322" s="270" t="s">
        <v>516</v>
      </c>
      <c r="T322" s="270" t="s">
        <v>516</v>
      </c>
      <c r="U322" s="112" t="s">
        <v>423</v>
      </c>
      <c r="V322" s="171">
        <v>8.0</v>
      </c>
      <c r="W322" s="171">
        <v>60.0</v>
      </c>
      <c r="X322" s="171">
        <v>70.0</v>
      </c>
      <c r="Y322" s="171">
        <v>5.0</v>
      </c>
      <c r="Z322" s="171">
        <v>10.0</v>
      </c>
      <c r="AA322" s="260">
        <v>1.0</v>
      </c>
      <c r="AB322" s="69"/>
      <c r="AC322" s="112"/>
      <c r="AD322" s="171" t="s">
        <v>423</v>
      </c>
      <c r="AE322" s="112"/>
      <c r="AF322" s="171" t="s">
        <v>423</v>
      </c>
      <c r="AG322" s="265">
        <v>5.0</v>
      </c>
      <c r="AH322" s="112"/>
      <c r="AI322" s="12"/>
      <c r="AJ322" s="12"/>
    </row>
    <row r="323" ht="14.25" customHeight="1">
      <c r="A323" s="242" t="s">
        <v>1040</v>
      </c>
      <c r="B323" s="257" t="s">
        <v>1406</v>
      </c>
      <c r="C323" s="257" t="s">
        <v>1407</v>
      </c>
      <c r="D323" s="257" t="s">
        <v>1406</v>
      </c>
      <c r="E323" s="258">
        <v>43531.0</v>
      </c>
      <c r="F323" s="258">
        <v>43775.0</v>
      </c>
      <c r="G323" s="257" t="s">
        <v>512</v>
      </c>
      <c r="H323" s="257" t="s">
        <v>519</v>
      </c>
      <c r="I323" s="257" t="s">
        <v>520</v>
      </c>
      <c r="J323" s="171" t="s">
        <v>548</v>
      </c>
      <c r="K323" s="171" t="s">
        <v>415</v>
      </c>
      <c r="L323" s="171" t="s">
        <v>420</v>
      </c>
      <c r="M323" s="171" t="s">
        <v>475</v>
      </c>
      <c r="N323" s="171"/>
      <c r="O323" s="112">
        <v>13.0</v>
      </c>
      <c r="P323" s="270" t="s">
        <v>516</v>
      </c>
      <c r="Q323" s="270" t="s">
        <v>516</v>
      </c>
      <c r="R323" s="270" t="s">
        <v>516</v>
      </c>
      <c r="S323" s="270" t="s">
        <v>516</v>
      </c>
      <c r="T323" s="270" t="s">
        <v>516</v>
      </c>
      <c r="U323" s="171">
        <v>2.0</v>
      </c>
      <c r="V323" s="171">
        <v>0.0</v>
      </c>
      <c r="W323" s="171">
        <v>65.0</v>
      </c>
      <c r="X323" s="112" t="s">
        <v>1408</v>
      </c>
      <c r="Y323" s="171">
        <v>10.0</v>
      </c>
      <c r="Z323" s="112" t="s">
        <v>1409</v>
      </c>
      <c r="AA323" s="171">
        <v>1.0</v>
      </c>
      <c r="AB323" s="171">
        <v>30.0</v>
      </c>
      <c r="AC323" s="112"/>
      <c r="AD323" s="171" t="s">
        <v>1410</v>
      </c>
      <c r="AE323" s="112">
        <v>500.0</v>
      </c>
      <c r="AF323" s="171" t="s">
        <v>1411</v>
      </c>
      <c r="AG323" s="265">
        <v>5.0</v>
      </c>
      <c r="AH323" s="112"/>
      <c r="AI323" s="12"/>
      <c r="AJ323" s="12"/>
    </row>
    <row r="324" ht="14.25" customHeight="1">
      <c r="A324" s="242" t="s">
        <v>1040</v>
      </c>
      <c r="B324" s="257" t="s">
        <v>1412</v>
      </c>
      <c r="C324" s="257" t="s">
        <v>1407</v>
      </c>
      <c r="D324" s="257" t="s">
        <v>1412</v>
      </c>
      <c r="E324" s="258">
        <v>43775.0</v>
      </c>
      <c r="F324" s="276"/>
      <c r="G324" s="257"/>
      <c r="H324" s="257" t="s">
        <v>519</v>
      </c>
      <c r="I324" s="257" t="s">
        <v>520</v>
      </c>
      <c r="J324" s="171" t="s">
        <v>548</v>
      </c>
      <c r="K324" s="171" t="s">
        <v>415</v>
      </c>
      <c r="L324" s="171" t="s">
        <v>420</v>
      </c>
      <c r="M324" s="171" t="s">
        <v>475</v>
      </c>
      <c r="N324" s="171"/>
      <c r="O324" s="171">
        <v>13.0</v>
      </c>
      <c r="P324" s="270" t="s">
        <v>516</v>
      </c>
      <c r="Q324" s="270" t="s">
        <v>516</v>
      </c>
      <c r="R324" s="270" t="s">
        <v>516</v>
      </c>
      <c r="S324" s="270" t="s">
        <v>516</v>
      </c>
      <c r="T324" s="270" t="s">
        <v>516</v>
      </c>
      <c r="U324" s="171">
        <v>3.0</v>
      </c>
      <c r="V324" s="171">
        <v>0.0</v>
      </c>
      <c r="W324" s="171">
        <v>60.0</v>
      </c>
      <c r="X324" s="112" t="s">
        <v>1413</v>
      </c>
      <c r="Y324" s="171">
        <v>10.0</v>
      </c>
      <c r="Z324" s="112" t="s">
        <v>1409</v>
      </c>
      <c r="AA324" s="171">
        <v>5.0</v>
      </c>
      <c r="AB324" s="171">
        <v>30.0</v>
      </c>
      <c r="AC324" s="112"/>
      <c r="AD324" s="171" t="s">
        <v>423</v>
      </c>
      <c r="AE324" s="112"/>
      <c r="AF324" s="171" t="s">
        <v>1414</v>
      </c>
      <c r="AG324" s="265">
        <v>5.0</v>
      </c>
      <c r="AH324" s="112"/>
      <c r="AI324" s="12"/>
      <c r="AJ324" s="12"/>
    </row>
    <row r="325" ht="14.25" customHeight="1">
      <c r="A325" s="286" t="s">
        <v>1415</v>
      </c>
      <c r="B325" s="287"/>
      <c r="C325" s="286" t="s">
        <v>1416</v>
      </c>
      <c r="D325" s="286" t="s">
        <v>1417</v>
      </c>
      <c r="E325" s="288">
        <v>37901.0</v>
      </c>
      <c r="F325" s="289">
        <v>38899.0</v>
      </c>
      <c r="G325" s="290" t="s">
        <v>512</v>
      </c>
      <c r="H325" s="286" t="s">
        <v>519</v>
      </c>
      <c r="I325" s="286" t="s">
        <v>520</v>
      </c>
      <c r="J325" s="291" t="s">
        <v>516</v>
      </c>
      <c r="K325" s="291"/>
      <c r="L325" s="291"/>
      <c r="M325" s="291"/>
      <c r="N325" s="291"/>
      <c r="O325" s="291"/>
      <c r="P325" s="292"/>
      <c r="Q325" s="292"/>
      <c r="R325" s="292"/>
      <c r="S325" s="292"/>
      <c r="T325" s="292"/>
      <c r="U325" s="287"/>
      <c r="V325" s="287"/>
      <c r="W325" s="287"/>
      <c r="X325" s="287"/>
      <c r="Y325" s="287"/>
      <c r="Z325" s="287"/>
      <c r="AA325" s="287"/>
      <c r="AB325" s="287"/>
      <c r="AC325" s="287"/>
      <c r="AD325" s="291"/>
      <c r="AE325" s="287"/>
      <c r="AF325" s="291"/>
      <c r="AG325" s="293"/>
      <c r="AH325" s="287"/>
      <c r="AI325" s="294"/>
      <c r="AJ325" s="294"/>
    </row>
    <row r="326" ht="14.25" customHeight="1">
      <c r="A326" s="286" t="s">
        <v>1415</v>
      </c>
      <c r="B326" s="287"/>
      <c r="C326" s="286" t="s">
        <v>1418</v>
      </c>
      <c r="D326" s="286" t="s">
        <v>1419</v>
      </c>
      <c r="E326" s="288">
        <v>37901.0</v>
      </c>
      <c r="F326" s="289">
        <v>38899.0</v>
      </c>
      <c r="G326" s="290" t="s">
        <v>512</v>
      </c>
      <c r="H326" s="286" t="s">
        <v>519</v>
      </c>
      <c r="I326" s="286" t="s">
        <v>520</v>
      </c>
      <c r="J326" s="291" t="s">
        <v>516</v>
      </c>
      <c r="K326" s="291"/>
      <c r="L326" s="291"/>
      <c r="M326" s="291"/>
      <c r="N326" s="291"/>
      <c r="O326" s="291"/>
      <c r="P326" s="292"/>
      <c r="Q326" s="292"/>
      <c r="R326" s="292"/>
      <c r="S326" s="292"/>
      <c r="T326" s="292"/>
      <c r="U326" s="287"/>
      <c r="V326" s="287"/>
      <c r="W326" s="287"/>
      <c r="X326" s="287"/>
      <c r="Y326" s="287"/>
      <c r="Z326" s="287"/>
      <c r="AA326" s="287"/>
      <c r="AB326" s="287"/>
      <c r="AC326" s="287"/>
      <c r="AD326" s="291"/>
      <c r="AE326" s="287"/>
      <c r="AF326" s="291"/>
      <c r="AG326" s="293"/>
      <c r="AH326" s="287"/>
      <c r="AI326" s="294"/>
      <c r="AJ326" s="294"/>
    </row>
    <row r="327" ht="14.25" customHeight="1">
      <c r="A327" s="286" t="s">
        <v>1415</v>
      </c>
      <c r="B327" s="287"/>
      <c r="C327" s="286" t="s">
        <v>1420</v>
      </c>
      <c r="D327" s="286" t="s">
        <v>1421</v>
      </c>
      <c r="E327" s="288">
        <v>37904.0</v>
      </c>
      <c r="F327" s="289">
        <v>38899.0</v>
      </c>
      <c r="G327" s="290" t="s">
        <v>512</v>
      </c>
      <c r="H327" s="286" t="s">
        <v>519</v>
      </c>
      <c r="I327" s="286" t="s">
        <v>520</v>
      </c>
      <c r="J327" s="291" t="s">
        <v>516</v>
      </c>
      <c r="K327" s="291"/>
      <c r="L327" s="291"/>
      <c r="M327" s="291"/>
      <c r="N327" s="291"/>
      <c r="O327" s="291"/>
      <c r="P327" s="292"/>
      <c r="Q327" s="292"/>
      <c r="R327" s="292"/>
      <c r="S327" s="292"/>
      <c r="T327" s="292"/>
      <c r="U327" s="287"/>
      <c r="V327" s="287"/>
      <c r="W327" s="287"/>
      <c r="X327" s="287"/>
      <c r="Y327" s="287"/>
      <c r="Z327" s="287"/>
      <c r="AA327" s="287"/>
      <c r="AB327" s="287"/>
      <c r="AC327" s="287"/>
      <c r="AD327" s="291"/>
      <c r="AE327" s="287"/>
      <c r="AF327" s="291"/>
      <c r="AG327" s="293"/>
      <c r="AH327" s="287"/>
      <c r="AI327" s="294"/>
      <c r="AJ327" s="294"/>
    </row>
    <row r="328" ht="14.25" customHeight="1">
      <c r="A328" s="286" t="s">
        <v>1415</v>
      </c>
      <c r="B328" s="287"/>
      <c r="C328" s="286" t="s">
        <v>1422</v>
      </c>
      <c r="D328" s="286" t="s">
        <v>1423</v>
      </c>
      <c r="E328" s="288">
        <v>38895.0</v>
      </c>
      <c r="F328" s="289">
        <v>40179.0</v>
      </c>
      <c r="G328" s="290" t="s">
        <v>512</v>
      </c>
      <c r="H328" s="286" t="s">
        <v>519</v>
      </c>
      <c r="I328" s="286" t="s">
        <v>520</v>
      </c>
      <c r="J328" s="291" t="s">
        <v>516</v>
      </c>
      <c r="K328" s="291" t="s">
        <v>427</v>
      </c>
      <c r="L328" s="291" t="s">
        <v>420</v>
      </c>
      <c r="M328" s="291" t="s">
        <v>475</v>
      </c>
      <c r="N328" s="291"/>
      <c r="O328" s="291">
        <v>1.0</v>
      </c>
      <c r="P328" s="292" t="s">
        <v>516</v>
      </c>
      <c r="Q328" s="292" t="s">
        <v>516</v>
      </c>
      <c r="R328" s="292" t="s">
        <v>516</v>
      </c>
      <c r="S328" s="292" t="s">
        <v>516</v>
      </c>
      <c r="T328" s="292" t="s">
        <v>516</v>
      </c>
      <c r="U328" s="287">
        <v>2.0</v>
      </c>
      <c r="V328" s="287"/>
      <c r="W328" s="287"/>
      <c r="X328" s="287"/>
      <c r="Y328" s="287"/>
      <c r="Z328" s="287"/>
      <c r="AA328" s="287"/>
      <c r="AB328" s="287"/>
      <c r="AC328" s="287"/>
      <c r="AD328" s="291" t="s">
        <v>1424</v>
      </c>
      <c r="AE328" s="287"/>
      <c r="AF328" s="291" t="s">
        <v>1425</v>
      </c>
      <c r="AG328" s="293">
        <v>5.0</v>
      </c>
      <c r="AH328" s="287"/>
      <c r="AI328" s="294"/>
      <c r="AJ328" s="294"/>
    </row>
    <row r="329" ht="14.25" customHeight="1">
      <c r="A329" s="286" t="s">
        <v>1415</v>
      </c>
      <c r="B329" s="287"/>
      <c r="C329" s="286" t="s">
        <v>1426</v>
      </c>
      <c r="D329" s="286" t="s">
        <v>1427</v>
      </c>
      <c r="E329" s="288">
        <v>38898.0</v>
      </c>
      <c r="F329" s="289">
        <v>40421.0</v>
      </c>
      <c r="G329" s="290" t="s">
        <v>512</v>
      </c>
      <c r="H329" s="286" t="s">
        <v>519</v>
      </c>
      <c r="I329" s="286" t="s">
        <v>520</v>
      </c>
      <c r="J329" s="291"/>
      <c r="K329" s="291"/>
      <c r="L329" s="291"/>
      <c r="M329" s="291"/>
      <c r="N329" s="291"/>
      <c r="O329" s="291"/>
      <c r="P329" s="292"/>
      <c r="Q329" s="292"/>
      <c r="R329" s="292"/>
      <c r="S329" s="292"/>
      <c r="T329" s="292"/>
      <c r="U329" s="287"/>
      <c r="V329" s="287"/>
      <c r="W329" s="287"/>
      <c r="X329" s="287"/>
      <c r="Y329" s="287"/>
      <c r="Z329" s="287"/>
      <c r="AA329" s="287"/>
      <c r="AB329" s="287"/>
      <c r="AC329" s="287"/>
      <c r="AD329" s="291"/>
      <c r="AE329" s="287"/>
      <c r="AF329" s="291"/>
      <c r="AG329" s="293"/>
      <c r="AH329" s="287"/>
      <c r="AI329" s="294"/>
      <c r="AJ329" s="294"/>
    </row>
    <row r="330" ht="14.25" customHeight="1">
      <c r="A330" s="286" t="s">
        <v>1415</v>
      </c>
      <c r="B330" s="287"/>
      <c r="C330" s="286" t="s">
        <v>1428</v>
      </c>
      <c r="D330" s="286" t="s">
        <v>1429</v>
      </c>
      <c r="E330" s="288">
        <v>38898.0</v>
      </c>
      <c r="F330" s="289">
        <v>40421.0</v>
      </c>
      <c r="G330" s="290" t="s">
        <v>512</v>
      </c>
      <c r="H330" s="286" t="s">
        <v>519</v>
      </c>
      <c r="I330" s="286" t="s">
        <v>520</v>
      </c>
      <c r="J330" s="291"/>
      <c r="K330" s="291"/>
      <c r="L330" s="291"/>
      <c r="M330" s="291"/>
      <c r="N330" s="291"/>
      <c r="O330" s="291"/>
      <c r="P330" s="292"/>
      <c r="Q330" s="292"/>
      <c r="R330" s="292"/>
      <c r="S330" s="292"/>
      <c r="T330" s="292"/>
      <c r="U330" s="287"/>
      <c r="V330" s="287"/>
      <c r="W330" s="287"/>
      <c r="X330" s="287"/>
      <c r="Y330" s="287"/>
      <c r="Z330" s="287"/>
      <c r="AA330" s="287"/>
      <c r="AB330" s="287"/>
      <c r="AC330" s="287"/>
      <c r="AD330" s="291"/>
      <c r="AE330" s="287"/>
      <c r="AF330" s="291"/>
      <c r="AG330" s="293"/>
      <c r="AH330" s="287"/>
      <c r="AI330" s="294"/>
      <c r="AJ330" s="294"/>
    </row>
    <row r="331" ht="14.25" customHeight="1">
      <c r="A331" s="286" t="s">
        <v>1415</v>
      </c>
      <c r="B331" s="287"/>
      <c r="C331" s="286" t="s">
        <v>1430</v>
      </c>
      <c r="D331" s="286" t="s">
        <v>1431</v>
      </c>
      <c r="E331" s="288">
        <v>38898.0</v>
      </c>
      <c r="F331" s="289">
        <v>40179.0</v>
      </c>
      <c r="G331" s="290" t="s">
        <v>512</v>
      </c>
      <c r="H331" s="286" t="s">
        <v>519</v>
      </c>
      <c r="I331" s="286" t="s">
        <v>520</v>
      </c>
      <c r="J331" s="291" t="s">
        <v>516</v>
      </c>
      <c r="K331" s="291" t="s">
        <v>427</v>
      </c>
      <c r="L331" s="291" t="s">
        <v>420</v>
      </c>
      <c r="M331" s="291" t="s">
        <v>475</v>
      </c>
      <c r="N331" s="291"/>
      <c r="O331" s="291">
        <v>1.0</v>
      </c>
      <c r="P331" s="292" t="s">
        <v>516</v>
      </c>
      <c r="Q331" s="292" t="s">
        <v>516</v>
      </c>
      <c r="R331" s="292" t="s">
        <v>516</v>
      </c>
      <c r="S331" s="292" t="s">
        <v>516</v>
      </c>
      <c r="T331" s="292" t="s">
        <v>516</v>
      </c>
      <c r="U331" s="287">
        <v>2.0</v>
      </c>
      <c r="V331" s="287"/>
      <c r="W331" s="287"/>
      <c r="X331" s="287"/>
      <c r="Y331" s="287"/>
      <c r="Z331" s="287"/>
      <c r="AA331" s="287"/>
      <c r="AB331" s="287"/>
      <c r="AC331" s="287"/>
      <c r="AD331" s="291" t="s">
        <v>1432</v>
      </c>
      <c r="AE331" s="287"/>
      <c r="AF331" s="291" t="s">
        <v>1433</v>
      </c>
      <c r="AG331" s="293">
        <v>5.0</v>
      </c>
      <c r="AH331" s="287"/>
      <c r="AI331" s="294"/>
      <c r="AJ331" s="294"/>
    </row>
    <row r="332" ht="14.25" customHeight="1">
      <c r="A332" s="286" t="s">
        <v>1415</v>
      </c>
      <c r="B332" s="287"/>
      <c r="C332" s="286" t="s">
        <v>1434</v>
      </c>
      <c r="D332" s="286" t="s">
        <v>1435</v>
      </c>
      <c r="E332" s="288">
        <v>39001.0</v>
      </c>
      <c r="F332" s="289">
        <v>40179.0</v>
      </c>
      <c r="G332" s="290" t="s">
        <v>512</v>
      </c>
      <c r="H332" s="286" t="s">
        <v>519</v>
      </c>
      <c r="I332" s="286" t="s">
        <v>520</v>
      </c>
      <c r="J332" s="291" t="s">
        <v>516</v>
      </c>
      <c r="K332" s="291" t="s">
        <v>427</v>
      </c>
      <c r="L332" s="291" t="s">
        <v>420</v>
      </c>
      <c r="M332" s="291" t="s">
        <v>475</v>
      </c>
      <c r="N332" s="291"/>
      <c r="O332" s="291">
        <v>1.0</v>
      </c>
      <c r="P332" s="292" t="s">
        <v>516</v>
      </c>
      <c r="Q332" s="292" t="s">
        <v>516</v>
      </c>
      <c r="R332" s="292" t="s">
        <v>516</v>
      </c>
      <c r="S332" s="292" t="s">
        <v>516</v>
      </c>
      <c r="T332" s="292" t="s">
        <v>516</v>
      </c>
      <c r="U332" s="287">
        <v>2.0</v>
      </c>
      <c r="V332" s="287"/>
      <c r="W332" s="287"/>
      <c r="X332" s="287"/>
      <c r="Y332" s="287"/>
      <c r="Z332" s="287"/>
      <c r="AA332" s="287"/>
      <c r="AB332" s="287"/>
      <c r="AC332" s="287"/>
      <c r="AD332" s="291" t="s">
        <v>1436</v>
      </c>
      <c r="AE332" s="287"/>
      <c r="AF332" s="291" t="s">
        <v>1437</v>
      </c>
      <c r="AG332" s="293">
        <v>5.0</v>
      </c>
      <c r="AH332" s="287"/>
      <c r="AI332" s="294"/>
      <c r="AJ332" s="294"/>
    </row>
    <row r="333" ht="14.25" customHeight="1">
      <c r="A333" s="286" t="s">
        <v>1415</v>
      </c>
      <c r="B333" s="287"/>
      <c r="C333" s="286" t="s">
        <v>1438</v>
      </c>
      <c r="D333" s="286" t="s">
        <v>1439</v>
      </c>
      <c r="E333" s="288">
        <v>39258.0</v>
      </c>
      <c r="F333" s="289">
        <v>40421.0</v>
      </c>
      <c r="G333" s="290" t="s">
        <v>512</v>
      </c>
      <c r="H333" s="286" t="s">
        <v>513</v>
      </c>
      <c r="I333" s="286" t="s">
        <v>520</v>
      </c>
      <c r="J333" s="291"/>
      <c r="K333" s="291"/>
      <c r="L333" s="291"/>
      <c r="M333" s="291"/>
      <c r="N333" s="291"/>
      <c r="O333" s="291"/>
      <c r="P333" s="292"/>
      <c r="Q333" s="292"/>
      <c r="R333" s="292"/>
      <c r="S333" s="292"/>
      <c r="T333" s="292"/>
      <c r="U333" s="287"/>
      <c r="V333" s="287"/>
      <c r="W333" s="287"/>
      <c r="X333" s="287"/>
      <c r="Y333" s="287"/>
      <c r="Z333" s="287"/>
      <c r="AA333" s="287"/>
      <c r="AB333" s="287"/>
      <c r="AC333" s="287"/>
      <c r="AD333" s="291"/>
      <c r="AE333" s="287"/>
      <c r="AF333" s="291"/>
      <c r="AG333" s="293"/>
      <c r="AH333" s="287"/>
      <c r="AI333" s="294"/>
      <c r="AJ333" s="294"/>
    </row>
    <row r="334" ht="14.25" customHeight="1">
      <c r="A334" s="286" t="s">
        <v>1415</v>
      </c>
      <c r="B334" s="287"/>
      <c r="C334" s="286" t="s">
        <v>1438</v>
      </c>
      <c r="D334" s="286" t="s">
        <v>1440</v>
      </c>
      <c r="E334" s="288">
        <v>40556.0</v>
      </c>
      <c r="F334" s="289">
        <v>41487.0</v>
      </c>
      <c r="G334" s="290" t="s">
        <v>512</v>
      </c>
      <c r="H334" s="286" t="s">
        <v>513</v>
      </c>
      <c r="I334" s="286" t="s">
        <v>520</v>
      </c>
      <c r="J334" s="291"/>
      <c r="K334" s="291"/>
      <c r="L334" s="291"/>
      <c r="M334" s="291"/>
      <c r="N334" s="291"/>
      <c r="O334" s="291"/>
      <c r="P334" s="292"/>
      <c r="Q334" s="292"/>
      <c r="R334" s="292"/>
      <c r="S334" s="292"/>
      <c r="T334" s="292"/>
      <c r="U334" s="287"/>
      <c r="V334" s="287"/>
      <c r="W334" s="287"/>
      <c r="X334" s="287"/>
      <c r="Y334" s="287"/>
      <c r="Z334" s="287"/>
      <c r="AA334" s="287"/>
      <c r="AB334" s="287"/>
      <c r="AC334" s="287"/>
      <c r="AD334" s="291"/>
      <c r="AE334" s="287"/>
      <c r="AF334" s="291"/>
      <c r="AG334" s="293"/>
      <c r="AH334" s="287"/>
      <c r="AI334" s="294"/>
      <c r="AJ334" s="294"/>
    </row>
    <row r="335" ht="14.25" customHeight="1">
      <c r="A335" s="286" t="s">
        <v>1415</v>
      </c>
      <c r="B335" s="287"/>
      <c r="C335" s="286" t="s">
        <v>1441</v>
      </c>
      <c r="D335" s="286" t="s">
        <v>1442</v>
      </c>
      <c r="E335" s="288">
        <v>39258.0</v>
      </c>
      <c r="F335" s="289">
        <v>40421.0</v>
      </c>
      <c r="G335" s="290" t="s">
        <v>512</v>
      </c>
      <c r="H335" s="286" t="s">
        <v>513</v>
      </c>
      <c r="I335" s="286" t="s">
        <v>520</v>
      </c>
      <c r="J335" s="291"/>
      <c r="K335" s="291"/>
      <c r="L335" s="291"/>
      <c r="M335" s="291"/>
      <c r="N335" s="291"/>
      <c r="O335" s="291"/>
      <c r="P335" s="292"/>
      <c r="Q335" s="292"/>
      <c r="R335" s="292"/>
      <c r="S335" s="292"/>
      <c r="T335" s="292"/>
      <c r="U335" s="287"/>
      <c r="V335" s="287"/>
      <c r="W335" s="287"/>
      <c r="X335" s="287"/>
      <c r="Y335" s="287"/>
      <c r="Z335" s="287"/>
      <c r="AA335" s="287"/>
      <c r="AB335" s="287"/>
      <c r="AC335" s="287"/>
      <c r="AD335" s="291"/>
      <c r="AE335" s="287"/>
      <c r="AF335" s="291"/>
      <c r="AG335" s="293"/>
      <c r="AH335" s="287"/>
      <c r="AI335" s="294"/>
      <c r="AJ335" s="294"/>
    </row>
    <row r="336" ht="14.25" customHeight="1">
      <c r="A336" s="286" t="s">
        <v>1415</v>
      </c>
      <c r="B336" s="287"/>
      <c r="C336" s="286" t="s">
        <v>1443</v>
      </c>
      <c r="D336" s="286" t="s">
        <v>1444</v>
      </c>
      <c r="E336" s="288">
        <v>39335.0</v>
      </c>
      <c r="F336" s="289">
        <v>40179.0</v>
      </c>
      <c r="G336" s="290" t="s">
        <v>512</v>
      </c>
      <c r="H336" s="286" t="s">
        <v>519</v>
      </c>
      <c r="I336" s="286" t="s">
        <v>520</v>
      </c>
      <c r="J336" s="291" t="s">
        <v>516</v>
      </c>
      <c r="K336" s="291" t="s">
        <v>427</v>
      </c>
      <c r="L336" s="291" t="s">
        <v>420</v>
      </c>
      <c r="M336" s="291" t="s">
        <v>475</v>
      </c>
      <c r="N336" s="291"/>
      <c r="O336" s="291">
        <v>1.0</v>
      </c>
      <c r="P336" s="292" t="s">
        <v>516</v>
      </c>
      <c r="Q336" s="292" t="s">
        <v>516</v>
      </c>
      <c r="R336" s="292" t="s">
        <v>516</v>
      </c>
      <c r="S336" s="292" t="s">
        <v>516</v>
      </c>
      <c r="T336" s="292" t="s">
        <v>516</v>
      </c>
      <c r="U336" s="287">
        <v>2.0</v>
      </c>
      <c r="V336" s="287"/>
      <c r="W336" s="287"/>
      <c r="X336" s="287"/>
      <c r="Y336" s="287"/>
      <c r="Z336" s="287"/>
      <c r="AA336" s="287"/>
      <c r="AB336" s="287"/>
      <c r="AC336" s="287"/>
      <c r="AD336" s="291" t="s">
        <v>1445</v>
      </c>
      <c r="AE336" s="287"/>
      <c r="AF336" s="291" t="s">
        <v>1446</v>
      </c>
      <c r="AG336" s="293">
        <v>5.0</v>
      </c>
      <c r="AH336" s="287"/>
      <c r="AI336" s="294"/>
      <c r="AJ336" s="294"/>
    </row>
    <row r="337" ht="14.25" customHeight="1">
      <c r="A337" s="286" t="s">
        <v>1415</v>
      </c>
      <c r="B337" s="287"/>
      <c r="C337" s="286" t="s">
        <v>1447</v>
      </c>
      <c r="D337" s="286" t="s">
        <v>1448</v>
      </c>
      <c r="E337" s="288">
        <v>39401.0</v>
      </c>
      <c r="F337" s="289">
        <v>40179.0</v>
      </c>
      <c r="G337" s="290" t="s">
        <v>512</v>
      </c>
      <c r="H337" s="286" t="s">
        <v>519</v>
      </c>
      <c r="I337" s="286" t="s">
        <v>520</v>
      </c>
      <c r="J337" s="291" t="s">
        <v>516</v>
      </c>
      <c r="K337" s="291" t="s">
        <v>427</v>
      </c>
      <c r="L337" s="291" t="s">
        <v>420</v>
      </c>
      <c r="M337" s="291" t="s">
        <v>475</v>
      </c>
      <c r="N337" s="291"/>
      <c r="O337" s="291">
        <v>1.0</v>
      </c>
      <c r="P337" s="292" t="s">
        <v>516</v>
      </c>
      <c r="Q337" s="292" t="s">
        <v>516</v>
      </c>
      <c r="R337" s="292" t="s">
        <v>516</v>
      </c>
      <c r="S337" s="292" t="s">
        <v>516</v>
      </c>
      <c r="T337" s="292" t="s">
        <v>516</v>
      </c>
      <c r="U337" s="287">
        <v>2.0</v>
      </c>
      <c r="V337" s="287"/>
      <c r="W337" s="287"/>
      <c r="X337" s="287"/>
      <c r="Y337" s="287"/>
      <c r="Z337" s="287"/>
      <c r="AA337" s="287"/>
      <c r="AB337" s="287"/>
      <c r="AC337" s="287"/>
      <c r="AD337" s="291" t="s">
        <v>1449</v>
      </c>
      <c r="AE337" s="287"/>
      <c r="AF337" s="291" t="s">
        <v>1450</v>
      </c>
      <c r="AG337" s="293">
        <v>5.0</v>
      </c>
      <c r="AH337" s="287"/>
      <c r="AI337" s="294"/>
      <c r="AJ337" s="294"/>
    </row>
    <row r="338" ht="14.25" customHeight="1">
      <c r="A338" s="286" t="s">
        <v>1415</v>
      </c>
      <c r="B338" s="287"/>
      <c r="C338" s="286" t="s">
        <v>1451</v>
      </c>
      <c r="D338" s="286" t="s">
        <v>1452</v>
      </c>
      <c r="E338" s="288">
        <v>39423.0</v>
      </c>
      <c r="F338" s="289">
        <v>40179.0</v>
      </c>
      <c r="G338" s="290" t="s">
        <v>512</v>
      </c>
      <c r="H338" s="286" t="s">
        <v>519</v>
      </c>
      <c r="I338" s="286" t="s">
        <v>520</v>
      </c>
      <c r="J338" s="291" t="s">
        <v>516</v>
      </c>
      <c r="K338" s="291" t="s">
        <v>418</v>
      </c>
      <c r="L338" s="291" t="s">
        <v>420</v>
      </c>
      <c r="M338" s="291" t="s">
        <v>475</v>
      </c>
      <c r="N338" s="291"/>
      <c r="O338" s="295"/>
      <c r="P338" s="292" t="s">
        <v>516</v>
      </c>
      <c r="Q338" s="292" t="s">
        <v>516</v>
      </c>
      <c r="R338" s="292" t="s">
        <v>516</v>
      </c>
      <c r="S338" s="292" t="s">
        <v>516</v>
      </c>
      <c r="T338" s="292" t="s">
        <v>516</v>
      </c>
      <c r="U338" s="287"/>
      <c r="V338" s="287"/>
      <c r="W338" s="287"/>
      <c r="X338" s="287"/>
      <c r="Y338" s="287"/>
      <c r="Z338" s="287"/>
      <c r="AA338" s="287"/>
      <c r="AB338" s="287"/>
      <c r="AC338" s="287"/>
      <c r="AD338" s="291" t="s">
        <v>1453</v>
      </c>
      <c r="AE338" s="287"/>
      <c r="AF338" s="291" t="s">
        <v>1454</v>
      </c>
      <c r="AG338" s="293">
        <v>5.0</v>
      </c>
      <c r="AH338" s="287"/>
      <c r="AI338" s="294"/>
      <c r="AJ338" s="294"/>
    </row>
    <row r="339" ht="14.25" customHeight="1">
      <c r="A339" s="286" t="s">
        <v>1415</v>
      </c>
      <c r="B339" s="287"/>
      <c r="C339" s="286" t="s">
        <v>1455</v>
      </c>
      <c r="D339" s="286" t="s">
        <v>1456</v>
      </c>
      <c r="E339" s="288">
        <v>39423.0</v>
      </c>
      <c r="F339" s="289">
        <v>40179.0</v>
      </c>
      <c r="G339" s="290" t="s">
        <v>512</v>
      </c>
      <c r="H339" s="286" t="s">
        <v>519</v>
      </c>
      <c r="I339" s="286" t="s">
        <v>520</v>
      </c>
      <c r="J339" s="291" t="s">
        <v>516</v>
      </c>
      <c r="K339" s="291" t="s">
        <v>427</v>
      </c>
      <c r="L339" s="291" t="s">
        <v>420</v>
      </c>
      <c r="M339" s="291" t="s">
        <v>475</v>
      </c>
      <c r="N339" s="291"/>
      <c r="O339" s="291"/>
      <c r="P339" s="292" t="s">
        <v>516</v>
      </c>
      <c r="Q339" s="292" t="s">
        <v>516</v>
      </c>
      <c r="R339" s="292" t="s">
        <v>516</v>
      </c>
      <c r="S339" s="292" t="s">
        <v>516</v>
      </c>
      <c r="T339" s="292" t="s">
        <v>548</v>
      </c>
      <c r="U339" s="287">
        <v>2.0</v>
      </c>
      <c r="V339" s="287"/>
      <c r="W339" s="287"/>
      <c r="X339" s="287"/>
      <c r="Y339" s="287"/>
      <c r="Z339" s="287"/>
      <c r="AA339" s="287"/>
      <c r="AB339" s="287"/>
      <c r="AC339" s="287"/>
      <c r="AD339" s="291" t="s">
        <v>1457</v>
      </c>
      <c r="AE339" s="287"/>
      <c r="AF339" s="291" t="s">
        <v>1458</v>
      </c>
      <c r="AG339" s="293">
        <v>5.0</v>
      </c>
      <c r="AH339" s="287"/>
      <c r="AI339" s="294"/>
      <c r="AJ339" s="294"/>
    </row>
    <row r="340" ht="14.25" customHeight="1">
      <c r="A340" s="286" t="s">
        <v>1415</v>
      </c>
      <c r="B340" s="287"/>
      <c r="C340" s="286" t="s">
        <v>1459</v>
      </c>
      <c r="D340" s="286" t="s">
        <v>1460</v>
      </c>
      <c r="E340" s="288">
        <v>39695.0</v>
      </c>
      <c r="F340" s="289">
        <v>40179.0</v>
      </c>
      <c r="G340" s="290" t="s">
        <v>512</v>
      </c>
      <c r="H340" s="286" t="s">
        <v>519</v>
      </c>
      <c r="I340" s="286" t="s">
        <v>520</v>
      </c>
      <c r="J340" s="291" t="s">
        <v>516</v>
      </c>
      <c r="K340" s="291" t="s">
        <v>418</v>
      </c>
      <c r="L340" s="295" t="s">
        <v>420</v>
      </c>
      <c r="M340" s="291" t="s">
        <v>475</v>
      </c>
      <c r="N340" s="291"/>
      <c r="O340" s="291"/>
      <c r="P340" s="292" t="s">
        <v>516</v>
      </c>
      <c r="Q340" s="292" t="s">
        <v>516</v>
      </c>
      <c r="R340" s="292" t="s">
        <v>516</v>
      </c>
      <c r="S340" s="292" t="s">
        <v>516</v>
      </c>
      <c r="T340" s="292" t="s">
        <v>548</v>
      </c>
      <c r="U340" s="287">
        <v>2.0</v>
      </c>
      <c r="V340" s="287"/>
      <c r="W340" s="287"/>
      <c r="X340" s="287"/>
      <c r="Y340" s="287"/>
      <c r="Z340" s="287"/>
      <c r="AA340" s="287"/>
      <c r="AB340" s="287"/>
      <c r="AC340" s="287"/>
      <c r="AD340" s="291" t="s">
        <v>1461</v>
      </c>
      <c r="AE340" s="287"/>
      <c r="AF340" s="291" t="s">
        <v>1462</v>
      </c>
      <c r="AG340" s="293">
        <v>5.0</v>
      </c>
      <c r="AH340" s="287"/>
      <c r="AI340" s="294"/>
      <c r="AJ340" s="294"/>
    </row>
    <row r="341" ht="14.25" customHeight="1">
      <c r="A341" s="286" t="s">
        <v>1415</v>
      </c>
      <c r="B341" s="287"/>
      <c r="C341" s="286" t="s">
        <v>1463</v>
      </c>
      <c r="D341" s="286" t="s">
        <v>1464</v>
      </c>
      <c r="E341" s="288">
        <v>39707.0</v>
      </c>
      <c r="F341" s="289">
        <v>40179.0</v>
      </c>
      <c r="G341" s="290" t="s">
        <v>512</v>
      </c>
      <c r="H341" s="286" t="s">
        <v>519</v>
      </c>
      <c r="I341" s="286" t="s">
        <v>520</v>
      </c>
      <c r="J341" s="291" t="s">
        <v>516</v>
      </c>
      <c r="K341" s="295"/>
      <c r="L341" s="295"/>
      <c r="M341" s="291" t="s">
        <v>475</v>
      </c>
      <c r="N341" s="291"/>
      <c r="O341" s="291"/>
      <c r="P341" s="292" t="s">
        <v>516</v>
      </c>
      <c r="Q341" s="292"/>
      <c r="R341" s="292" t="s">
        <v>516</v>
      </c>
      <c r="S341" s="292" t="s">
        <v>516</v>
      </c>
      <c r="T341" s="292" t="s">
        <v>516</v>
      </c>
      <c r="U341" s="287">
        <v>2.0</v>
      </c>
      <c r="V341" s="287"/>
      <c r="W341" s="287"/>
      <c r="X341" s="287"/>
      <c r="Y341" s="287"/>
      <c r="Z341" s="287"/>
      <c r="AA341" s="287"/>
      <c r="AB341" s="287"/>
      <c r="AC341" s="287"/>
      <c r="AD341" s="291" t="s">
        <v>1465</v>
      </c>
      <c r="AE341" s="287"/>
      <c r="AF341" s="291" t="s">
        <v>1466</v>
      </c>
      <c r="AG341" s="293">
        <v>5.0</v>
      </c>
      <c r="AH341" s="287"/>
      <c r="AI341" s="294"/>
      <c r="AJ341" s="294"/>
    </row>
    <row r="342" ht="14.25" customHeight="1">
      <c r="A342" s="286" t="s">
        <v>1415</v>
      </c>
      <c r="B342" s="287"/>
      <c r="C342" s="286" t="s">
        <v>1467</v>
      </c>
      <c r="D342" s="286" t="s">
        <v>1468</v>
      </c>
      <c r="E342" s="288">
        <v>39742.0</v>
      </c>
      <c r="F342" s="289">
        <v>40179.0</v>
      </c>
      <c r="G342" s="290" t="s">
        <v>512</v>
      </c>
      <c r="H342" s="286" t="s">
        <v>519</v>
      </c>
      <c r="I342" s="286" t="s">
        <v>520</v>
      </c>
      <c r="J342" s="291"/>
      <c r="K342" s="291"/>
      <c r="L342" s="291"/>
      <c r="M342" s="291"/>
      <c r="N342" s="291"/>
      <c r="O342" s="291"/>
      <c r="P342" s="292"/>
      <c r="Q342" s="292"/>
      <c r="R342" s="292"/>
      <c r="S342" s="292"/>
      <c r="T342" s="292"/>
      <c r="U342" s="287"/>
      <c r="V342" s="287"/>
      <c r="W342" s="287"/>
      <c r="X342" s="287"/>
      <c r="Y342" s="287"/>
      <c r="Z342" s="287"/>
      <c r="AA342" s="287"/>
      <c r="AB342" s="287"/>
      <c r="AC342" s="287"/>
      <c r="AD342" s="291"/>
      <c r="AE342" s="287"/>
      <c r="AF342" s="291"/>
      <c r="AG342" s="293"/>
      <c r="AH342" s="287"/>
      <c r="AI342" s="294"/>
      <c r="AJ342" s="294"/>
    </row>
    <row r="343" ht="14.25" customHeight="1">
      <c r="A343" s="286" t="s">
        <v>1415</v>
      </c>
      <c r="B343" s="287"/>
      <c r="C343" s="286" t="s">
        <v>1469</v>
      </c>
      <c r="D343" s="286" t="s">
        <v>1470</v>
      </c>
      <c r="E343" s="288">
        <v>39815.0</v>
      </c>
      <c r="F343" s="289">
        <v>40179.0</v>
      </c>
      <c r="G343" s="290" t="s">
        <v>512</v>
      </c>
      <c r="H343" s="286" t="s">
        <v>519</v>
      </c>
      <c r="I343" s="286" t="s">
        <v>520</v>
      </c>
      <c r="J343" s="291"/>
      <c r="K343" s="291"/>
      <c r="L343" s="291"/>
      <c r="M343" s="291"/>
      <c r="N343" s="291"/>
      <c r="O343" s="291"/>
      <c r="P343" s="292"/>
      <c r="Q343" s="292"/>
      <c r="R343" s="292"/>
      <c r="S343" s="292"/>
      <c r="T343" s="292"/>
      <c r="U343" s="287"/>
      <c r="V343" s="287"/>
      <c r="W343" s="287"/>
      <c r="X343" s="287"/>
      <c r="Y343" s="287"/>
      <c r="Z343" s="287"/>
      <c r="AA343" s="287"/>
      <c r="AB343" s="287"/>
      <c r="AC343" s="287"/>
      <c r="AD343" s="291"/>
      <c r="AE343" s="287"/>
      <c r="AF343" s="291"/>
      <c r="AG343" s="293"/>
      <c r="AH343" s="287"/>
      <c r="AI343" s="294"/>
      <c r="AJ343" s="294"/>
    </row>
    <row r="344" ht="14.25" customHeight="1">
      <c r="A344" s="286" t="s">
        <v>1415</v>
      </c>
      <c r="B344" s="287"/>
      <c r="C344" s="286" t="s">
        <v>1471</v>
      </c>
      <c r="D344" s="286" t="s">
        <v>1472</v>
      </c>
      <c r="E344" s="288">
        <v>39840.0</v>
      </c>
      <c r="F344" s="289">
        <v>40179.0</v>
      </c>
      <c r="G344" s="290" t="s">
        <v>512</v>
      </c>
      <c r="H344" s="286" t="s">
        <v>519</v>
      </c>
      <c r="I344" s="286" t="s">
        <v>520</v>
      </c>
      <c r="J344" s="291"/>
      <c r="K344" s="291"/>
      <c r="L344" s="291"/>
      <c r="M344" s="291"/>
      <c r="N344" s="291"/>
      <c r="O344" s="291"/>
      <c r="P344" s="292"/>
      <c r="Q344" s="292"/>
      <c r="R344" s="292"/>
      <c r="S344" s="292"/>
      <c r="T344" s="292"/>
      <c r="U344" s="287"/>
      <c r="V344" s="287"/>
      <c r="W344" s="287"/>
      <c r="X344" s="287"/>
      <c r="Y344" s="287"/>
      <c r="Z344" s="287"/>
      <c r="AA344" s="287"/>
      <c r="AB344" s="287"/>
      <c r="AC344" s="287"/>
      <c r="AD344" s="291"/>
      <c r="AE344" s="287"/>
      <c r="AF344" s="291"/>
      <c r="AG344" s="293"/>
      <c r="AH344" s="287"/>
      <c r="AI344" s="294"/>
      <c r="AJ344" s="294"/>
    </row>
    <row r="345" ht="14.25" customHeight="1">
      <c r="A345" s="286" t="s">
        <v>1415</v>
      </c>
      <c r="B345" s="287"/>
      <c r="C345" s="286" t="s">
        <v>1473</v>
      </c>
      <c r="D345" s="286" t="s">
        <v>1474</v>
      </c>
      <c r="E345" s="288">
        <v>39854.0</v>
      </c>
      <c r="F345" s="289">
        <v>40179.0</v>
      </c>
      <c r="G345" s="290" t="s">
        <v>512</v>
      </c>
      <c r="H345" s="286" t="s">
        <v>519</v>
      </c>
      <c r="I345" s="286" t="s">
        <v>520</v>
      </c>
      <c r="J345" s="291" t="s">
        <v>516</v>
      </c>
      <c r="K345" s="291" t="s">
        <v>427</v>
      </c>
      <c r="L345" s="291" t="s">
        <v>470</v>
      </c>
      <c r="M345" s="291" t="s">
        <v>475</v>
      </c>
      <c r="N345" s="291"/>
      <c r="O345" s="291"/>
      <c r="P345" s="292" t="s">
        <v>516</v>
      </c>
      <c r="Q345" s="292" t="s">
        <v>516</v>
      </c>
      <c r="R345" s="292" t="s">
        <v>516</v>
      </c>
      <c r="S345" s="292" t="s">
        <v>516</v>
      </c>
      <c r="T345" s="292" t="s">
        <v>516</v>
      </c>
      <c r="U345" s="287">
        <v>2.0</v>
      </c>
      <c r="V345" s="287"/>
      <c r="W345" s="287"/>
      <c r="X345" s="287"/>
      <c r="Y345" s="287"/>
      <c r="Z345" s="287"/>
      <c r="AA345" s="287"/>
      <c r="AB345" s="287"/>
      <c r="AC345" s="287"/>
      <c r="AD345" s="291" t="s">
        <v>1475</v>
      </c>
      <c r="AE345" s="287"/>
      <c r="AF345" s="291" t="s">
        <v>1476</v>
      </c>
      <c r="AG345" s="293">
        <v>5.0</v>
      </c>
      <c r="AH345" s="287"/>
      <c r="AI345" s="294"/>
      <c r="AJ345" s="294"/>
    </row>
    <row r="346" ht="14.25" customHeight="1">
      <c r="A346" s="286" t="s">
        <v>1415</v>
      </c>
      <c r="B346" s="287"/>
      <c r="C346" s="286" t="s">
        <v>1477</v>
      </c>
      <c r="D346" s="286" t="s">
        <v>1478</v>
      </c>
      <c r="E346" s="296">
        <v>39955.0</v>
      </c>
      <c r="F346" s="289">
        <v>40179.0</v>
      </c>
      <c r="G346" s="290" t="s">
        <v>512</v>
      </c>
      <c r="H346" s="286" t="s">
        <v>519</v>
      </c>
      <c r="I346" s="286" t="s">
        <v>520</v>
      </c>
      <c r="J346" s="291" t="s">
        <v>516</v>
      </c>
      <c r="K346" s="291" t="s">
        <v>427</v>
      </c>
      <c r="L346" s="291" t="s">
        <v>420</v>
      </c>
      <c r="M346" s="291" t="s">
        <v>475</v>
      </c>
      <c r="N346" s="291"/>
      <c r="O346" s="291"/>
      <c r="P346" s="292" t="s">
        <v>516</v>
      </c>
      <c r="Q346" s="292" t="s">
        <v>516</v>
      </c>
      <c r="R346" s="292" t="s">
        <v>516</v>
      </c>
      <c r="S346" s="292" t="s">
        <v>516</v>
      </c>
      <c r="T346" s="292" t="s">
        <v>516</v>
      </c>
      <c r="U346" s="287">
        <v>2.0</v>
      </c>
      <c r="V346" s="287"/>
      <c r="W346" s="287"/>
      <c r="X346" s="287"/>
      <c r="Y346" s="287"/>
      <c r="Z346" s="287"/>
      <c r="AA346" s="287"/>
      <c r="AB346" s="287"/>
      <c r="AC346" s="287"/>
      <c r="AD346" s="291" t="s">
        <v>1479</v>
      </c>
      <c r="AE346" s="287"/>
      <c r="AF346" s="291" t="s">
        <v>1480</v>
      </c>
      <c r="AG346" s="293">
        <v>5.0</v>
      </c>
      <c r="AH346" s="287"/>
      <c r="AI346" s="294"/>
      <c r="AJ346" s="294"/>
    </row>
    <row r="347" ht="14.25" customHeight="1">
      <c r="A347" s="286" t="s">
        <v>1415</v>
      </c>
      <c r="B347" s="287"/>
      <c r="C347" s="286" t="s">
        <v>1481</v>
      </c>
      <c r="D347" s="286" t="s">
        <v>1482</v>
      </c>
      <c r="E347" s="288">
        <v>40091.0</v>
      </c>
      <c r="F347" s="289">
        <v>40421.0</v>
      </c>
      <c r="G347" s="290" t="s">
        <v>512</v>
      </c>
      <c r="H347" s="286" t="s">
        <v>519</v>
      </c>
      <c r="I347" s="286" t="s">
        <v>520</v>
      </c>
      <c r="J347" s="291" t="s">
        <v>516</v>
      </c>
      <c r="K347" s="291" t="s">
        <v>427</v>
      </c>
      <c r="L347" s="295" t="s">
        <v>420</v>
      </c>
      <c r="M347" s="291" t="s">
        <v>475</v>
      </c>
      <c r="N347" s="291"/>
      <c r="O347" s="291"/>
      <c r="P347" s="292" t="s">
        <v>516</v>
      </c>
      <c r="Q347" s="292" t="s">
        <v>516</v>
      </c>
      <c r="R347" s="292" t="s">
        <v>516</v>
      </c>
      <c r="S347" s="292" t="s">
        <v>516</v>
      </c>
      <c r="T347" s="292" t="s">
        <v>516</v>
      </c>
      <c r="U347" s="287">
        <v>2.0</v>
      </c>
      <c r="V347" s="287"/>
      <c r="W347" s="287"/>
      <c r="X347" s="287"/>
      <c r="Y347" s="287"/>
      <c r="Z347" s="287"/>
      <c r="AA347" s="287"/>
      <c r="AB347" s="287"/>
      <c r="AC347" s="287"/>
      <c r="AD347" s="291"/>
      <c r="AE347" s="287"/>
      <c r="AF347" s="291" t="s">
        <v>1483</v>
      </c>
      <c r="AG347" s="293">
        <v>5.0</v>
      </c>
      <c r="AH347" s="287"/>
      <c r="AI347" s="294"/>
      <c r="AJ347" s="294"/>
    </row>
    <row r="348" ht="14.25" customHeight="1">
      <c r="A348" s="286" t="s">
        <v>1415</v>
      </c>
      <c r="B348" s="287"/>
      <c r="C348" s="286" t="s">
        <v>1484</v>
      </c>
      <c r="D348" s="286" t="s">
        <v>1485</v>
      </c>
      <c r="E348" s="288">
        <v>40130.0</v>
      </c>
      <c r="F348" s="289">
        <v>40421.0</v>
      </c>
      <c r="G348" s="290" t="s">
        <v>512</v>
      </c>
      <c r="H348" s="286" t="s">
        <v>519</v>
      </c>
      <c r="I348" s="286" t="s">
        <v>520</v>
      </c>
      <c r="J348" s="291" t="s">
        <v>516</v>
      </c>
      <c r="K348" s="291" t="s">
        <v>430</v>
      </c>
      <c r="L348" s="295" t="s">
        <v>420</v>
      </c>
      <c r="M348" s="291" t="s">
        <v>475</v>
      </c>
      <c r="N348" s="291"/>
      <c r="O348" s="291"/>
      <c r="P348" s="292" t="s">
        <v>516</v>
      </c>
      <c r="Q348" s="292" t="s">
        <v>516</v>
      </c>
      <c r="R348" s="292" t="s">
        <v>516</v>
      </c>
      <c r="S348" s="292" t="s">
        <v>516</v>
      </c>
      <c r="T348" s="292" t="s">
        <v>548</v>
      </c>
      <c r="U348" s="287">
        <v>2.0</v>
      </c>
      <c r="V348" s="287"/>
      <c r="W348" s="287"/>
      <c r="X348" s="287"/>
      <c r="Y348" s="287"/>
      <c r="Z348" s="287"/>
      <c r="AA348" s="287"/>
      <c r="AB348" s="287"/>
      <c r="AC348" s="287"/>
      <c r="AD348" s="291" t="s">
        <v>1486</v>
      </c>
      <c r="AE348" s="287"/>
      <c r="AF348" s="291" t="s">
        <v>1487</v>
      </c>
      <c r="AG348" s="293">
        <v>5.0</v>
      </c>
      <c r="AH348" s="287"/>
      <c r="AI348" s="294"/>
      <c r="AJ348" s="294"/>
    </row>
    <row r="349" ht="14.25" customHeight="1">
      <c r="A349" s="286" t="s">
        <v>1415</v>
      </c>
      <c r="B349" s="287"/>
      <c r="C349" s="286" t="s">
        <v>1488</v>
      </c>
      <c r="D349" s="286" t="s">
        <v>1489</v>
      </c>
      <c r="E349" s="288">
        <v>40156.0</v>
      </c>
      <c r="F349" s="289">
        <v>40421.0</v>
      </c>
      <c r="G349" s="290" t="s">
        <v>512</v>
      </c>
      <c r="H349" s="286" t="s">
        <v>519</v>
      </c>
      <c r="I349" s="286" t="s">
        <v>520</v>
      </c>
      <c r="J349" s="291" t="s">
        <v>516</v>
      </c>
      <c r="K349" s="291" t="s">
        <v>427</v>
      </c>
      <c r="L349" s="295" t="s">
        <v>420</v>
      </c>
      <c r="M349" s="291" t="s">
        <v>475</v>
      </c>
      <c r="N349" s="291"/>
      <c r="O349" s="291">
        <v>2.0</v>
      </c>
      <c r="P349" s="292" t="s">
        <v>516</v>
      </c>
      <c r="Q349" s="292" t="s">
        <v>516</v>
      </c>
      <c r="R349" s="292" t="s">
        <v>516</v>
      </c>
      <c r="S349" s="292" t="s">
        <v>516</v>
      </c>
      <c r="T349" s="292" t="s">
        <v>516</v>
      </c>
      <c r="U349" s="287">
        <v>2.0</v>
      </c>
      <c r="V349" s="287"/>
      <c r="W349" s="287"/>
      <c r="X349" s="287"/>
      <c r="Y349" s="287"/>
      <c r="Z349" s="287"/>
      <c r="AA349" s="287"/>
      <c r="AB349" s="287"/>
      <c r="AC349" s="287"/>
      <c r="AD349" s="291" t="s">
        <v>1490</v>
      </c>
      <c r="AE349" s="287"/>
      <c r="AF349" s="291" t="s">
        <v>1491</v>
      </c>
      <c r="AG349" s="293">
        <v>5.0</v>
      </c>
      <c r="AH349" s="287"/>
      <c r="AI349" s="294"/>
      <c r="AJ349" s="294"/>
    </row>
    <row r="350" ht="14.25" customHeight="1">
      <c r="A350" s="286" t="s">
        <v>1415</v>
      </c>
      <c r="B350" s="287"/>
      <c r="C350" s="286" t="s">
        <v>1492</v>
      </c>
      <c r="D350" s="286" t="s">
        <v>1493</v>
      </c>
      <c r="E350" s="288">
        <v>40156.0</v>
      </c>
      <c r="F350" s="289">
        <v>40421.0</v>
      </c>
      <c r="G350" s="290" t="s">
        <v>512</v>
      </c>
      <c r="H350" s="286" t="s">
        <v>519</v>
      </c>
      <c r="I350" s="286" t="s">
        <v>520</v>
      </c>
      <c r="J350" s="291" t="s">
        <v>516</v>
      </c>
      <c r="K350" s="291" t="s">
        <v>418</v>
      </c>
      <c r="L350" s="291" t="s">
        <v>420</v>
      </c>
      <c r="M350" s="291" t="s">
        <v>475</v>
      </c>
      <c r="N350" s="291"/>
      <c r="O350" s="291">
        <v>2.0</v>
      </c>
      <c r="P350" s="292" t="s">
        <v>516</v>
      </c>
      <c r="Q350" s="292" t="s">
        <v>516</v>
      </c>
      <c r="R350" s="292" t="s">
        <v>516</v>
      </c>
      <c r="S350" s="292" t="s">
        <v>516</v>
      </c>
      <c r="T350" s="292" t="s">
        <v>516</v>
      </c>
      <c r="U350" s="287">
        <v>2.0</v>
      </c>
      <c r="V350" s="287"/>
      <c r="W350" s="287"/>
      <c r="X350" s="287"/>
      <c r="Y350" s="287"/>
      <c r="Z350" s="287"/>
      <c r="AA350" s="287"/>
      <c r="AB350" s="287"/>
      <c r="AC350" s="287"/>
      <c r="AD350" s="291" t="s">
        <v>1494</v>
      </c>
      <c r="AE350" s="287"/>
      <c r="AF350" s="291" t="s">
        <v>1495</v>
      </c>
      <c r="AG350" s="293">
        <v>5.0</v>
      </c>
      <c r="AH350" s="287"/>
      <c r="AI350" s="294"/>
      <c r="AJ350" s="294"/>
    </row>
    <row r="351" ht="14.25" customHeight="1">
      <c r="A351" s="286" t="s">
        <v>1415</v>
      </c>
      <c r="B351" s="287"/>
      <c r="C351" s="286" t="s">
        <v>1496</v>
      </c>
      <c r="D351" s="286" t="s">
        <v>1497</v>
      </c>
      <c r="E351" s="288">
        <v>40162.0</v>
      </c>
      <c r="F351" s="289">
        <v>40421.0</v>
      </c>
      <c r="G351" s="290" t="s">
        <v>512</v>
      </c>
      <c r="H351" s="286" t="s">
        <v>519</v>
      </c>
      <c r="I351" s="286" t="s">
        <v>520</v>
      </c>
      <c r="J351" s="291" t="s">
        <v>516</v>
      </c>
      <c r="K351" s="291" t="s">
        <v>427</v>
      </c>
      <c r="L351" s="291" t="s">
        <v>420</v>
      </c>
      <c r="M351" s="291" t="s">
        <v>475</v>
      </c>
      <c r="N351" s="291"/>
      <c r="O351" s="291"/>
      <c r="P351" s="292" t="s">
        <v>516</v>
      </c>
      <c r="Q351" s="292" t="s">
        <v>516</v>
      </c>
      <c r="R351" s="292" t="s">
        <v>516</v>
      </c>
      <c r="S351" s="292" t="s">
        <v>516</v>
      </c>
      <c r="T351" s="292" t="s">
        <v>516</v>
      </c>
      <c r="U351" s="287">
        <v>2.0</v>
      </c>
      <c r="V351" s="287"/>
      <c r="W351" s="287"/>
      <c r="X351" s="287"/>
      <c r="Y351" s="287"/>
      <c r="Z351" s="287"/>
      <c r="AA351" s="287"/>
      <c r="AB351" s="287"/>
      <c r="AC351" s="287"/>
      <c r="AD351" s="291" t="s">
        <v>1498</v>
      </c>
      <c r="AE351" s="287"/>
      <c r="AF351" s="291" t="s">
        <v>1499</v>
      </c>
      <c r="AG351" s="293">
        <v>5.0</v>
      </c>
      <c r="AH351" s="287"/>
      <c r="AI351" s="294"/>
      <c r="AJ351" s="294"/>
    </row>
    <row r="352" ht="14.25" customHeight="1">
      <c r="A352" s="286" t="s">
        <v>1415</v>
      </c>
      <c r="B352" s="287"/>
      <c r="C352" s="286" t="s">
        <v>1500</v>
      </c>
      <c r="D352" s="286" t="s">
        <v>1501</v>
      </c>
      <c r="E352" s="288">
        <v>40162.0</v>
      </c>
      <c r="F352" s="289">
        <v>40421.0</v>
      </c>
      <c r="G352" s="290" t="s">
        <v>512</v>
      </c>
      <c r="H352" s="286" t="s">
        <v>519</v>
      </c>
      <c r="I352" s="286" t="s">
        <v>520</v>
      </c>
      <c r="J352" s="291" t="s">
        <v>516</v>
      </c>
      <c r="K352" s="291" t="s">
        <v>427</v>
      </c>
      <c r="L352" s="295" t="s">
        <v>420</v>
      </c>
      <c r="M352" s="291" t="s">
        <v>475</v>
      </c>
      <c r="N352" s="291"/>
      <c r="O352" s="291">
        <v>2.0</v>
      </c>
      <c r="P352" s="292" t="s">
        <v>516</v>
      </c>
      <c r="Q352" s="292" t="s">
        <v>516</v>
      </c>
      <c r="R352" s="292" t="s">
        <v>516</v>
      </c>
      <c r="S352" s="292" t="s">
        <v>516</v>
      </c>
      <c r="T352" s="292" t="s">
        <v>516</v>
      </c>
      <c r="U352" s="287">
        <v>2.0</v>
      </c>
      <c r="V352" s="287"/>
      <c r="W352" s="287"/>
      <c r="X352" s="287"/>
      <c r="Y352" s="287"/>
      <c r="Z352" s="287"/>
      <c r="AA352" s="287"/>
      <c r="AB352" s="287"/>
      <c r="AC352" s="287"/>
      <c r="AD352" s="291" t="s">
        <v>1502</v>
      </c>
      <c r="AE352" s="287"/>
      <c r="AF352" s="291" t="s">
        <v>1503</v>
      </c>
      <c r="AG352" s="293">
        <v>5.0</v>
      </c>
      <c r="AH352" s="287"/>
      <c r="AI352" s="294"/>
      <c r="AJ352" s="294"/>
    </row>
    <row r="353" ht="14.25" customHeight="1">
      <c r="A353" s="286" t="s">
        <v>1415</v>
      </c>
      <c r="B353" s="287"/>
      <c r="C353" s="286" t="s">
        <v>1504</v>
      </c>
      <c r="D353" s="286" t="s">
        <v>1505</v>
      </c>
      <c r="E353" s="288">
        <v>40168.0</v>
      </c>
      <c r="F353" s="289">
        <v>40421.0</v>
      </c>
      <c r="G353" s="290" t="s">
        <v>512</v>
      </c>
      <c r="H353" s="286" t="s">
        <v>519</v>
      </c>
      <c r="I353" s="286" t="s">
        <v>520</v>
      </c>
      <c r="J353" s="291" t="s">
        <v>516</v>
      </c>
      <c r="K353" s="291" t="s">
        <v>427</v>
      </c>
      <c r="L353" s="295" t="s">
        <v>420</v>
      </c>
      <c r="M353" s="291" t="s">
        <v>475</v>
      </c>
      <c r="N353" s="291"/>
      <c r="O353" s="291"/>
      <c r="P353" s="292" t="s">
        <v>516</v>
      </c>
      <c r="Q353" s="292" t="s">
        <v>516</v>
      </c>
      <c r="R353" s="292" t="s">
        <v>516</v>
      </c>
      <c r="S353" s="292" t="s">
        <v>516</v>
      </c>
      <c r="T353" s="292" t="s">
        <v>516</v>
      </c>
      <c r="U353" s="287">
        <v>2.0</v>
      </c>
      <c r="V353" s="287"/>
      <c r="W353" s="287"/>
      <c r="X353" s="287"/>
      <c r="Y353" s="287"/>
      <c r="Z353" s="287"/>
      <c r="AA353" s="287"/>
      <c r="AB353" s="287"/>
      <c r="AC353" s="287"/>
      <c r="AD353" s="291" t="s">
        <v>1506</v>
      </c>
      <c r="AE353" s="287"/>
      <c r="AF353" s="291" t="s">
        <v>1507</v>
      </c>
      <c r="AG353" s="293">
        <v>5.0</v>
      </c>
      <c r="AH353" s="287"/>
      <c r="AI353" s="294"/>
      <c r="AJ353" s="294"/>
    </row>
    <row r="354" ht="14.25" customHeight="1">
      <c r="A354" s="286" t="s">
        <v>1415</v>
      </c>
      <c r="B354" s="287"/>
      <c r="C354" s="286" t="s">
        <v>1508</v>
      </c>
      <c r="D354" s="286" t="s">
        <v>1509</v>
      </c>
      <c r="E354" s="288">
        <v>40176.0</v>
      </c>
      <c r="F354" s="289">
        <v>40421.0</v>
      </c>
      <c r="G354" s="290" t="s">
        <v>512</v>
      </c>
      <c r="H354" s="286" t="s">
        <v>519</v>
      </c>
      <c r="I354" s="286" t="s">
        <v>520</v>
      </c>
      <c r="J354" s="291"/>
      <c r="K354" s="291"/>
      <c r="L354" s="291"/>
      <c r="M354" s="291"/>
      <c r="N354" s="291"/>
      <c r="O354" s="291"/>
      <c r="P354" s="292"/>
      <c r="Q354" s="292"/>
      <c r="R354" s="292"/>
      <c r="S354" s="292"/>
      <c r="T354" s="292"/>
      <c r="U354" s="287"/>
      <c r="V354" s="287"/>
      <c r="W354" s="287"/>
      <c r="X354" s="287"/>
      <c r="Y354" s="287"/>
      <c r="Z354" s="287"/>
      <c r="AA354" s="287"/>
      <c r="AB354" s="287"/>
      <c r="AC354" s="287"/>
      <c r="AD354" s="291"/>
      <c r="AE354" s="287"/>
      <c r="AF354" s="291"/>
      <c r="AG354" s="293">
        <v>5.0</v>
      </c>
      <c r="AH354" s="287"/>
      <c r="AI354" s="294"/>
      <c r="AJ354" s="294"/>
    </row>
    <row r="355" ht="14.25" customHeight="1">
      <c r="A355" s="286" t="s">
        <v>1415</v>
      </c>
      <c r="B355" s="287"/>
      <c r="C355" s="286" t="s">
        <v>1510</v>
      </c>
      <c r="D355" s="286" t="s">
        <v>1511</v>
      </c>
      <c r="E355" s="288">
        <v>40176.0</v>
      </c>
      <c r="F355" s="289">
        <v>40421.0</v>
      </c>
      <c r="G355" s="290" t="s">
        <v>512</v>
      </c>
      <c r="H355" s="286" t="s">
        <v>519</v>
      </c>
      <c r="I355" s="286" t="s">
        <v>520</v>
      </c>
      <c r="J355" s="291" t="s">
        <v>516</v>
      </c>
      <c r="K355" s="291" t="s">
        <v>427</v>
      </c>
      <c r="L355" s="295" t="s">
        <v>470</v>
      </c>
      <c r="M355" s="291" t="s">
        <v>475</v>
      </c>
      <c r="N355" s="291"/>
      <c r="O355" s="291"/>
      <c r="P355" s="292" t="s">
        <v>516</v>
      </c>
      <c r="Q355" s="292" t="s">
        <v>516</v>
      </c>
      <c r="R355" s="292" t="s">
        <v>516</v>
      </c>
      <c r="S355" s="292" t="s">
        <v>516</v>
      </c>
      <c r="T355" s="292" t="s">
        <v>516</v>
      </c>
      <c r="U355" s="287">
        <v>2.0</v>
      </c>
      <c r="V355" s="287"/>
      <c r="W355" s="287"/>
      <c r="X355" s="287"/>
      <c r="Y355" s="287"/>
      <c r="Z355" s="287"/>
      <c r="AA355" s="287"/>
      <c r="AB355" s="287"/>
      <c r="AC355" s="287"/>
      <c r="AD355" s="291" t="s">
        <v>1512</v>
      </c>
      <c r="AE355" s="287"/>
      <c r="AF355" s="291" t="s">
        <v>1513</v>
      </c>
      <c r="AG355" s="293">
        <v>5.0</v>
      </c>
      <c r="AH355" s="287"/>
      <c r="AI355" s="294"/>
      <c r="AJ355" s="294"/>
    </row>
    <row r="356" ht="14.25" customHeight="1">
      <c r="A356" s="286" t="s">
        <v>1415</v>
      </c>
      <c r="B356" s="287"/>
      <c r="C356" s="286" t="s">
        <v>1514</v>
      </c>
      <c r="D356" s="286" t="s">
        <v>1515</v>
      </c>
      <c r="E356" s="288">
        <v>40177.0</v>
      </c>
      <c r="F356" s="289">
        <v>40421.0</v>
      </c>
      <c r="G356" s="290" t="s">
        <v>512</v>
      </c>
      <c r="H356" s="286" t="s">
        <v>519</v>
      </c>
      <c r="I356" s="286" t="s">
        <v>520</v>
      </c>
      <c r="J356" s="291" t="s">
        <v>516</v>
      </c>
      <c r="K356" s="291" t="s">
        <v>437</v>
      </c>
      <c r="L356" s="291" t="s">
        <v>420</v>
      </c>
      <c r="M356" s="291" t="s">
        <v>475</v>
      </c>
      <c r="N356" s="291"/>
      <c r="O356" s="291"/>
      <c r="P356" s="292" t="s">
        <v>516</v>
      </c>
      <c r="Q356" s="292" t="s">
        <v>516</v>
      </c>
      <c r="R356" s="292" t="s">
        <v>516</v>
      </c>
      <c r="S356" s="292" t="s">
        <v>516</v>
      </c>
      <c r="T356" s="292" t="s">
        <v>516</v>
      </c>
      <c r="U356" s="287">
        <v>2.0</v>
      </c>
      <c r="V356" s="287"/>
      <c r="W356" s="287"/>
      <c r="X356" s="287"/>
      <c r="Y356" s="287"/>
      <c r="Z356" s="287"/>
      <c r="AA356" s="287"/>
      <c r="AB356" s="287"/>
      <c r="AC356" s="287"/>
      <c r="AD356" s="291"/>
      <c r="AE356" s="287"/>
      <c r="AF356" s="291" t="s">
        <v>1516</v>
      </c>
      <c r="AG356" s="293">
        <v>5.0</v>
      </c>
      <c r="AH356" s="287"/>
      <c r="AI356" s="294"/>
      <c r="AJ356" s="294"/>
    </row>
    <row r="357" ht="14.25" customHeight="1">
      <c r="A357" s="286" t="s">
        <v>1415</v>
      </c>
      <c r="B357" s="287"/>
      <c r="C357" s="286" t="s">
        <v>1517</v>
      </c>
      <c r="D357" s="286" t="s">
        <v>1518</v>
      </c>
      <c r="E357" s="288">
        <v>40177.0</v>
      </c>
      <c r="F357" s="289">
        <v>40421.0</v>
      </c>
      <c r="G357" s="290" t="s">
        <v>512</v>
      </c>
      <c r="H357" s="286" t="s">
        <v>519</v>
      </c>
      <c r="I357" s="286" t="s">
        <v>520</v>
      </c>
      <c r="J357" s="291" t="s">
        <v>516</v>
      </c>
      <c r="K357" s="291" t="s">
        <v>437</v>
      </c>
      <c r="L357" s="291" t="s">
        <v>420</v>
      </c>
      <c r="M357" s="291" t="s">
        <v>475</v>
      </c>
      <c r="N357" s="291"/>
      <c r="O357" s="291"/>
      <c r="P357" s="292" t="s">
        <v>516</v>
      </c>
      <c r="Q357" s="292" t="s">
        <v>516</v>
      </c>
      <c r="R357" s="292" t="s">
        <v>516</v>
      </c>
      <c r="S357" s="292" t="s">
        <v>516</v>
      </c>
      <c r="T357" s="292" t="s">
        <v>516</v>
      </c>
      <c r="U357" s="287">
        <v>2.0</v>
      </c>
      <c r="V357" s="287"/>
      <c r="W357" s="287"/>
      <c r="X357" s="287"/>
      <c r="Y357" s="287"/>
      <c r="Z357" s="287"/>
      <c r="AA357" s="287"/>
      <c r="AB357" s="287"/>
      <c r="AC357" s="287"/>
      <c r="AD357" s="291"/>
      <c r="AE357" s="287"/>
      <c r="AF357" s="291" t="s">
        <v>1519</v>
      </c>
      <c r="AG357" s="293">
        <v>5.0</v>
      </c>
      <c r="AH357" s="287"/>
      <c r="AI357" s="294"/>
      <c r="AJ357" s="294"/>
    </row>
    <row r="358" ht="14.25" customHeight="1">
      <c r="A358" s="286" t="s">
        <v>1415</v>
      </c>
      <c r="B358" s="287"/>
      <c r="C358" s="286" t="s">
        <v>1520</v>
      </c>
      <c r="D358" s="286" t="s">
        <v>1521</v>
      </c>
      <c r="E358" s="288">
        <v>40177.0</v>
      </c>
      <c r="F358" s="289">
        <v>40421.0</v>
      </c>
      <c r="G358" s="290" t="s">
        <v>512</v>
      </c>
      <c r="H358" s="286" t="s">
        <v>519</v>
      </c>
      <c r="I358" s="286" t="s">
        <v>520</v>
      </c>
      <c r="J358" s="291" t="s">
        <v>516</v>
      </c>
      <c r="K358" s="291" t="s">
        <v>437</v>
      </c>
      <c r="L358" s="291" t="s">
        <v>420</v>
      </c>
      <c r="M358" s="291" t="s">
        <v>475</v>
      </c>
      <c r="N358" s="291"/>
      <c r="O358" s="291"/>
      <c r="P358" s="292" t="s">
        <v>516</v>
      </c>
      <c r="Q358" s="292" t="s">
        <v>516</v>
      </c>
      <c r="R358" s="292" t="s">
        <v>516</v>
      </c>
      <c r="S358" s="292" t="s">
        <v>516</v>
      </c>
      <c r="T358" s="292" t="s">
        <v>516</v>
      </c>
      <c r="U358" s="287">
        <v>2.0</v>
      </c>
      <c r="V358" s="287"/>
      <c r="W358" s="287"/>
      <c r="X358" s="287"/>
      <c r="Y358" s="287"/>
      <c r="Z358" s="287"/>
      <c r="AA358" s="287"/>
      <c r="AB358" s="287"/>
      <c r="AC358" s="287"/>
      <c r="AD358" s="291"/>
      <c r="AE358" s="287"/>
      <c r="AF358" s="291" t="s">
        <v>1522</v>
      </c>
      <c r="AG358" s="293">
        <v>5.0</v>
      </c>
      <c r="AH358" s="287"/>
      <c r="AI358" s="294"/>
      <c r="AJ358" s="294"/>
    </row>
    <row r="359" ht="14.25" customHeight="1">
      <c r="A359" s="286" t="s">
        <v>1415</v>
      </c>
      <c r="B359" s="287"/>
      <c r="C359" s="286" t="s">
        <v>1523</v>
      </c>
      <c r="D359" s="286" t="s">
        <v>1524</v>
      </c>
      <c r="E359" s="288">
        <v>40177.0</v>
      </c>
      <c r="F359" s="289">
        <v>40421.0</v>
      </c>
      <c r="G359" s="290" t="s">
        <v>512</v>
      </c>
      <c r="H359" s="286" t="s">
        <v>519</v>
      </c>
      <c r="I359" s="286" t="s">
        <v>520</v>
      </c>
      <c r="J359" s="291" t="s">
        <v>516</v>
      </c>
      <c r="K359" s="291" t="s">
        <v>427</v>
      </c>
      <c r="L359" s="295" t="s">
        <v>420</v>
      </c>
      <c r="M359" s="291" t="s">
        <v>475</v>
      </c>
      <c r="N359" s="291"/>
      <c r="O359" s="291">
        <v>2.0</v>
      </c>
      <c r="P359" s="292" t="s">
        <v>516</v>
      </c>
      <c r="Q359" s="292" t="s">
        <v>516</v>
      </c>
      <c r="R359" s="292" t="s">
        <v>516</v>
      </c>
      <c r="S359" s="292" t="s">
        <v>516</v>
      </c>
      <c r="T359" s="292" t="s">
        <v>516</v>
      </c>
      <c r="U359" s="287">
        <v>2.0</v>
      </c>
      <c r="V359" s="287"/>
      <c r="W359" s="287"/>
      <c r="X359" s="287"/>
      <c r="Y359" s="287"/>
      <c r="Z359" s="287"/>
      <c r="AA359" s="287"/>
      <c r="AB359" s="287"/>
      <c r="AC359" s="287"/>
      <c r="AD359" s="295"/>
      <c r="AE359" s="287"/>
      <c r="AF359" s="291" t="s">
        <v>1525</v>
      </c>
      <c r="AG359" s="293">
        <v>5.0</v>
      </c>
      <c r="AH359" s="287"/>
      <c r="AI359" s="294"/>
      <c r="AJ359" s="294"/>
    </row>
    <row r="360" ht="14.25" customHeight="1">
      <c r="A360" s="286" t="s">
        <v>1415</v>
      </c>
      <c r="B360" s="287"/>
      <c r="C360" s="286" t="s">
        <v>1526</v>
      </c>
      <c r="D360" s="286" t="s">
        <v>1527</v>
      </c>
      <c r="E360" s="288">
        <v>40177.0</v>
      </c>
      <c r="F360" s="289">
        <v>40421.0</v>
      </c>
      <c r="G360" s="290" t="s">
        <v>512</v>
      </c>
      <c r="H360" s="286" t="s">
        <v>519</v>
      </c>
      <c r="I360" s="286" t="s">
        <v>520</v>
      </c>
      <c r="J360" s="291" t="s">
        <v>516</v>
      </c>
      <c r="K360" s="291" t="s">
        <v>437</v>
      </c>
      <c r="L360" s="291" t="s">
        <v>420</v>
      </c>
      <c r="M360" s="291" t="s">
        <v>475</v>
      </c>
      <c r="N360" s="291"/>
      <c r="O360" s="291">
        <v>2.0</v>
      </c>
      <c r="P360" s="292" t="s">
        <v>516</v>
      </c>
      <c r="Q360" s="292" t="s">
        <v>516</v>
      </c>
      <c r="R360" s="292" t="s">
        <v>516</v>
      </c>
      <c r="S360" s="292" t="s">
        <v>516</v>
      </c>
      <c r="T360" s="292" t="s">
        <v>516</v>
      </c>
      <c r="U360" s="287">
        <v>2.0</v>
      </c>
      <c r="V360" s="287"/>
      <c r="W360" s="287"/>
      <c r="X360" s="287"/>
      <c r="Y360" s="287"/>
      <c r="Z360" s="287"/>
      <c r="AA360" s="287"/>
      <c r="AB360" s="287"/>
      <c r="AC360" s="287"/>
      <c r="AD360" s="291"/>
      <c r="AE360" s="287"/>
      <c r="AF360" s="291" t="s">
        <v>1528</v>
      </c>
      <c r="AG360" s="293">
        <v>5.0</v>
      </c>
      <c r="AH360" s="287"/>
      <c r="AI360" s="294"/>
      <c r="AJ360" s="294"/>
    </row>
    <row r="361" ht="14.25" customHeight="1">
      <c r="A361" s="286" t="s">
        <v>1415</v>
      </c>
      <c r="B361" s="287"/>
      <c r="C361" s="286" t="s">
        <v>1529</v>
      </c>
      <c r="D361" s="286" t="s">
        <v>1530</v>
      </c>
      <c r="E361" s="288">
        <v>40177.0</v>
      </c>
      <c r="F361" s="289">
        <v>40421.0</v>
      </c>
      <c r="G361" s="290" t="s">
        <v>512</v>
      </c>
      <c r="H361" s="286" t="s">
        <v>519</v>
      </c>
      <c r="I361" s="286" t="s">
        <v>520</v>
      </c>
      <c r="J361" s="291" t="s">
        <v>516</v>
      </c>
      <c r="K361" s="291" t="s">
        <v>427</v>
      </c>
      <c r="L361" s="295" t="s">
        <v>420</v>
      </c>
      <c r="M361" s="291" t="s">
        <v>475</v>
      </c>
      <c r="N361" s="291"/>
      <c r="O361" s="291"/>
      <c r="P361" s="292" t="s">
        <v>516</v>
      </c>
      <c r="Q361" s="292" t="s">
        <v>516</v>
      </c>
      <c r="R361" s="292" t="s">
        <v>516</v>
      </c>
      <c r="S361" s="292" t="s">
        <v>516</v>
      </c>
      <c r="T361" s="292" t="s">
        <v>516</v>
      </c>
      <c r="U361" s="287"/>
      <c r="V361" s="287"/>
      <c r="W361" s="287"/>
      <c r="X361" s="287"/>
      <c r="Y361" s="287"/>
      <c r="Z361" s="287"/>
      <c r="AA361" s="287"/>
      <c r="AB361" s="287"/>
      <c r="AC361" s="287"/>
      <c r="AD361" s="291" t="s">
        <v>1531</v>
      </c>
      <c r="AE361" s="287"/>
      <c r="AF361" s="291" t="s">
        <v>1532</v>
      </c>
      <c r="AG361" s="293">
        <v>5.0</v>
      </c>
      <c r="AH361" s="287"/>
      <c r="AI361" s="294"/>
      <c r="AJ361" s="294"/>
    </row>
    <row r="362" ht="14.25" customHeight="1">
      <c r="A362" s="286" t="s">
        <v>1415</v>
      </c>
      <c r="B362" s="287"/>
      <c r="C362" s="286" t="s">
        <v>1533</v>
      </c>
      <c r="D362" s="286" t="s">
        <v>1534</v>
      </c>
      <c r="E362" s="288">
        <v>40177.0</v>
      </c>
      <c r="F362" s="289">
        <v>40421.0</v>
      </c>
      <c r="G362" s="290" t="s">
        <v>512</v>
      </c>
      <c r="H362" s="286" t="s">
        <v>519</v>
      </c>
      <c r="I362" s="286" t="s">
        <v>520</v>
      </c>
      <c r="J362" s="291"/>
      <c r="K362" s="291"/>
      <c r="L362" s="291"/>
      <c r="M362" s="291"/>
      <c r="N362" s="291"/>
      <c r="O362" s="291"/>
      <c r="P362" s="292"/>
      <c r="Q362" s="292"/>
      <c r="R362" s="292"/>
      <c r="S362" s="292"/>
      <c r="T362" s="292"/>
      <c r="U362" s="287"/>
      <c r="V362" s="287"/>
      <c r="W362" s="287"/>
      <c r="X362" s="287"/>
      <c r="Y362" s="287"/>
      <c r="Z362" s="287"/>
      <c r="AA362" s="287"/>
      <c r="AB362" s="287"/>
      <c r="AC362" s="287"/>
      <c r="AD362" s="291"/>
      <c r="AE362" s="287"/>
      <c r="AF362" s="291"/>
      <c r="AG362" s="293"/>
      <c r="AH362" s="287"/>
      <c r="AI362" s="294"/>
      <c r="AJ362" s="294"/>
    </row>
    <row r="363" ht="14.25" customHeight="1">
      <c r="A363" s="286" t="s">
        <v>1415</v>
      </c>
      <c r="B363" s="287"/>
      <c r="C363" s="286" t="s">
        <v>1535</v>
      </c>
      <c r="D363" s="286" t="s">
        <v>1536</v>
      </c>
      <c r="E363" s="288">
        <v>40179.0</v>
      </c>
      <c r="F363" s="289">
        <v>40421.0</v>
      </c>
      <c r="G363" s="290" t="s">
        <v>512</v>
      </c>
      <c r="H363" s="286" t="s">
        <v>519</v>
      </c>
      <c r="I363" s="286" t="s">
        <v>520</v>
      </c>
      <c r="J363" s="291" t="s">
        <v>516</v>
      </c>
      <c r="K363" s="291" t="s">
        <v>427</v>
      </c>
      <c r="L363" s="291" t="s">
        <v>420</v>
      </c>
      <c r="M363" s="291" t="s">
        <v>475</v>
      </c>
      <c r="N363" s="291"/>
      <c r="O363" s="291">
        <v>2.0</v>
      </c>
      <c r="P363" s="292" t="s">
        <v>516</v>
      </c>
      <c r="Q363" s="292" t="s">
        <v>516</v>
      </c>
      <c r="R363" s="292" t="s">
        <v>516</v>
      </c>
      <c r="S363" s="292" t="s">
        <v>516</v>
      </c>
      <c r="T363" s="292" t="s">
        <v>516</v>
      </c>
      <c r="U363" s="287">
        <v>2.0</v>
      </c>
      <c r="V363" s="287"/>
      <c r="W363" s="287"/>
      <c r="X363" s="287"/>
      <c r="Y363" s="287"/>
      <c r="Z363" s="287"/>
      <c r="AA363" s="287"/>
      <c r="AB363" s="287"/>
      <c r="AC363" s="287"/>
      <c r="AD363" s="291" t="s">
        <v>1537</v>
      </c>
      <c r="AE363" s="287"/>
      <c r="AF363" s="291" t="s">
        <v>1538</v>
      </c>
      <c r="AG363" s="293">
        <v>5.0</v>
      </c>
      <c r="AH363" s="287"/>
      <c r="AI363" s="294"/>
      <c r="AJ363" s="294"/>
    </row>
    <row r="364" ht="14.25" customHeight="1">
      <c r="A364" s="286" t="s">
        <v>1415</v>
      </c>
      <c r="B364" s="287"/>
      <c r="C364" s="286" t="s">
        <v>1539</v>
      </c>
      <c r="D364" s="286" t="s">
        <v>1540</v>
      </c>
      <c r="E364" s="288">
        <v>40179.0</v>
      </c>
      <c r="F364" s="289">
        <v>40421.0</v>
      </c>
      <c r="G364" s="290" t="s">
        <v>512</v>
      </c>
      <c r="H364" s="286" t="s">
        <v>519</v>
      </c>
      <c r="I364" s="286" t="s">
        <v>520</v>
      </c>
      <c r="J364" s="291" t="s">
        <v>516</v>
      </c>
      <c r="K364" s="291" t="s">
        <v>430</v>
      </c>
      <c r="L364" s="295" t="s">
        <v>420</v>
      </c>
      <c r="M364" s="291" t="s">
        <v>475</v>
      </c>
      <c r="N364" s="291"/>
      <c r="O364" s="291"/>
      <c r="P364" s="292" t="s">
        <v>516</v>
      </c>
      <c r="Q364" s="292" t="s">
        <v>516</v>
      </c>
      <c r="R364" s="292" t="s">
        <v>516</v>
      </c>
      <c r="S364" s="292" t="s">
        <v>516</v>
      </c>
      <c r="T364" s="292" t="s">
        <v>548</v>
      </c>
      <c r="U364" s="287">
        <v>2.0</v>
      </c>
      <c r="V364" s="287"/>
      <c r="W364" s="287"/>
      <c r="X364" s="287"/>
      <c r="Y364" s="287"/>
      <c r="Z364" s="287"/>
      <c r="AA364" s="287"/>
      <c r="AB364" s="287"/>
      <c r="AC364" s="287"/>
      <c r="AD364" s="291" t="s">
        <v>1541</v>
      </c>
      <c r="AE364" s="287"/>
      <c r="AF364" s="291" t="s">
        <v>1542</v>
      </c>
      <c r="AG364" s="293">
        <v>5.0</v>
      </c>
      <c r="AH364" s="287"/>
      <c r="AI364" s="294"/>
      <c r="AJ364" s="294"/>
    </row>
    <row r="365" ht="14.25" customHeight="1">
      <c r="A365" s="286" t="s">
        <v>1415</v>
      </c>
      <c r="B365" s="287"/>
      <c r="C365" s="286" t="s">
        <v>1543</v>
      </c>
      <c r="D365" s="286" t="s">
        <v>1544</v>
      </c>
      <c r="E365" s="288">
        <v>40421.0</v>
      </c>
      <c r="F365" s="289">
        <v>41640.0</v>
      </c>
      <c r="G365" s="290" t="s">
        <v>512</v>
      </c>
      <c r="H365" s="286" t="s">
        <v>519</v>
      </c>
      <c r="I365" s="286" t="s">
        <v>520</v>
      </c>
      <c r="J365" s="291" t="s">
        <v>516</v>
      </c>
      <c r="K365" s="291" t="s">
        <v>427</v>
      </c>
      <c r="L365" s="291" t="s">
        <v>420</v>
      </c>
      <c r="M365" s="291" t="s">
        <v>475</v>
      </c>
      <c r="N365" s="291"/>
      <c r="O365" s="291">
        <v>7.0</v>
      </c>
      <c r="P365" s="292" t="s">
        <v>516</v>
      </c>
      <c r="Q365" s="292" t="s">
        <v>516</v>
      </c>
      <c r="R365" s="292" t="s">
        <v>516</v>
      </c>
      <c r="S365" s="292" t="s">
        <v>516</v>
      </c>
      <c r="T365" s="292" t="s">
        <v>516</v>
      </c>
      <c r="U365" s="287">
        <v>2.0</v>
      </c>
      <c r="V365" s="287">
        <v>4.0</v>
      </c>
      <c r="W365" s="287">
        <v>60.0</v>
      </c>
      <c r="X365" s="287">
        <v>75.0</v>
      </c>
      <c r="Y365" s="287">
        <v>15.0</v>
      </c>
      <c r="Z365" s="287">
        <v>40.0</v>
      </c>
      <c r="AA365" s="287">
        <v>15.0</v>
      </c>
      <c r="AB365" s="287">
        <v>40.0</v>
      </c>
      <c r="AC365" s="287"/>
      <c r="AD365" s="291" t="s">
        <v>1545</v>
      </c>
      <c r="AE365" s="287">
        <v>500.0</v>
      </c>
      <c r="AF365" s="291" t="s">
        <v>1546</v>
      </c>
      <c r="AG365" s="293">
        <v>5.0</v>
      </c>
      <c r="AH365" s="287"/>
      <c r="AI365" s="294"/>
      <c r="AJ365" s="294"/>
    </row>
    <row r="366" ht="14.25" customHeight="1">
      <c r="A366" s="286" t="s">
        <v>1415</v>
      </c>
      <c r="B366" s="287"/>
      <c r="C366" s="286" t="s">
        <v>1547</v>
      </c>
      <c r="D366" s="286" t="s">
        <v>1548</v>
      </c>
      <c r="E366" s="288">
        <v>40421.0</v>
      </c>
      <c r="F366" s="289">
        <v>41640.0</v>
      </c>
      <c r="G366" s="290" t="s">
        <v>512</v>
      </c>
      <c r="H366" s="286" t="s">
        <v>519</v>
      </c>
      <c r="I366" s="286" t="s">
        <v>520</v>
      </c>
      <c r="J366" s="291" t="s">
        <v>516</v>
      </c>
      <c r="K366" s="291" t="s">
        <v>415</v>
      </c>
      <c r="L366" s="291" t="s">
        <v>420</v>
      </c>
      <c r="M366" s="291" t="s">
        <v>475</v>
      </c>
      <c r="N366" s="291"/>
      <c r="O366" s="291">
        <v>7.0</v>
      </c>
      <c r="P366" s="292" t="s">
        <v>516</v>
      </c>
      <c r="Q366" s="292" t="s">
        <v>516</v>
      </c>
      <c r="R366" s="292" t="s">
        <v>516</v>
      </c>
      <c r="S366" s="292" t="s">
        <v>516</v>
      </c>
      <c r="T366" s="292" t="s">
        <v>516</v>
      </c>
      <c r="U366" s="287">
        <v>2.0</v>
      </c>
      <c r="V366" s="287">
        <v>4.0</v>
      </c>
      <c r="W366" s="287">
        <v>55.0</v>
      </c>
      <c r="X366" s="287">
        <v>75.0</v>
      </c>
      <c r="Y366" s="287">
        <v>20.0</v>
      </c>
      <c r="Z366" s="287">
        <v>30.0</v>
      </c>
      <c r="AA366" s="287">
        <v>20.0</v>
      </c>
      <c r="AB366" s="287">
        <v>30.0</v>
      </c>
      <c r="AC366" s="287"/>
      <c r="AD366" s="291" t="s">
        <v>1549</v>
      </c>
      <c r="AE366" s="287"/>
      <c r="AF366" s="291" t="s">
        <v>1550</v>
      </c>
      <c r="AG366" s="293">
        <v>5.0</v>
      </c>
      <c r="AH366" s="287"/>
      <c r="AI366" s="294"/>
      <c r="AJ366" s="294"/>
    </row>
    <row r="367" ht="14.25" customHeight="1">
      <c r="A367" s="286" t="s">
        <v>1415</v>
      </c>
      <c r="B367" s="287"/>
      <c r="C367" s="286" t="s">
        <v>1551</v>
      </c>
      <c r="D367" s="286" t="s">
        <v>1552</v>
      </c>
      <c r="E367" s="288">
        <v>40455.0</v>
      </c>
      <c r="F367" s="289">
        <v>41640.0</v>
      </c>
      <c r="G367" s="290" t="s">
        <v>512</v>
      </c>
      <c r="H367" s="286" t="s">
        <v>519</v>
      </c>
      <c r="I367" s="286" t="s">
        <v>520</v>
      </c>
      <c r="J367" s="291" t="s">
        <v>516</v>
      </c>
      <c r="K367" s="291" t="s">
        <v>415</v>
      </c>
      <c r="L367" s="291" t="s">
        <v>420</v>
      </c>
      <c r="M367" s="291" t="s">
        <v>475</v>
      </c>
      <c r="N367" s="291"/>
      <c r="O367" s="291">
        <v>7.0</v>
      </c>
      <c r="P367" s="292" t="s">
        <v>516</v>
      </c>
      <c r="Q367" s="292" t="s">
        <v>516</v>
      </c>
      <c r="R367" s="292" t="s">
        <v>516</v>
      </c>
      <c r="S367" s="292" t="s">
        <v>516</v>
      </c>
      <c r="T367" s="292" t="s">
        <v>516</v>
      </c>
      <c r="U367" s="287">
        <v>2.0</v>
      </c>
      <c r="V367" s="287">
        <v>4.0</v>
      </c>
      <c r="W367" s="287">
        <v>50.0</v>
      </c>
      <c r="X367" s="287">
        <v>70.0</v>
      </c>
      <c r="Y367" s="287">
        <v>20.0</v>
      </c>
      <c r="Z367" s="287">
        <v>30.0</v>
      </c>
      <c r="AA367" s="287">
        <v>20.0</v>
      </c>
      <c r="AB367" s="287">
        <v>30.0</v>
      </c>
      <c r="AC367" s="287"/>
      <c r="AD367" s="291" t="s">
        <v>1553</v>
      </c>
      <c r="AE367" s="287"/>
      <c r="AF367" s="291" t="s">
        <v>1554</v>
      </c>
      <c r="AG367" s="293">
        <v>5.0</v>
      </c>
      <c r="AH367" s="287"/>
      <c r="AI367" s="294"/>
      <c r="AJ367" s="294"/>
    </row>
    <row r="368" ht="14.25" customHeight="1">
      <c r="A368" s="286" t="s">
        <v>1415</v>
      </c>
      <c r="B368" s="287"/>
      <c r="C368" s="286" t="s">
        <v>1555</v>
      </c>
      <c r="D368" s="286" t="s">
        <v>1556</v>
      </c>
      <c r="E368" s="288">
        <v>40546.0</v>
      </c>
      <c r="F368" s="289">
        <v>41557.0</v>
      </c>
      <c r="G368" s="290" t="s">
        <v>512</v>
      </c>
      <c r="H368" s="286" t="s">
        <v>519</v>
      </c>
      <c r="I368" s="286" t="s">
        <v>520</v>
      </c>
      <c r="J368" s="291" t="s">
        <v>516</v>
      </c>
      <c r="K368" s="291" t="s">
        <v>430</v>
      </c>
      <c r="L368" s="291" t="s">
        <v>420</v>
      </c>
      <c r="M368" s="291" t="s">
        <v>475</v>
      </c>
      <c r="N368" s="291"/>
      <c r="O368" s="291">
        <v>7.0</v>
      </c>
      <c r="P368" s="292" t="s">
        <v>516</v>
      </c>
      <c r="Q368" s="292" t="s">
        <v>516</v>
      </c>
      <c r="R368" s="292" t="s">
        <v>516</v>
      </c>
      <c r="S368" s="292" t="s">
        <v>516</v>
      </c>
      <c r="T368" s="292" t="s">
        <v>516</v>
      </c>
      <c r="U368" s="287">
        <v>2.0</v>
      </c>
      <c r="V368" s="287">
        <v>18.0</v>
      </c>
      <c r="W368" s="287">
        <v>50.0</v>
      </c>
      <c r="X368" s="287">
        <v>65.0</v>
      </c>
      <c r="Y368" s="287">
        <v>15.0</v>
      </c>
      <c r="Z368" s="287">
        <v>25.0</v>
      </c>
      <c r="AA368" s="287">
        <v>15.0</v>
      </c>
      <c r="AB368" s="287">
        <v>25.0</v>
      </c>
      <c r="AC368" s="287"/>
      <c r="AD368" s="291" t="s">
        <v>1557</v>
      </c>
      <c r="AE368" s="287"/>
      <c r="AF368" s="291"/>
      <c r="AG368" s="293">
        <v>5.0</v>
      </c>
      <c r="AH368" s="287"/>
      <c r="AI368" s="294"/>
      <c r="AJ368" s="294"/>
    </row>
    <row r="369" ht="14.25" customHeight="1">
      <c r="A369" s="286" t="s">
        <v>1415</v>
      </c>
      <c r="B369" s="287"/>
      <c r="C369" s="286" t="s">
        <v>1558</v>
      </c>
      <c r="D369" s="286" t="s">
        <v>1559</v>
      </c>
      <c r="E369" s="288">
        <v>40548.0</v>
      </c>
      <c r="F369" s="289">
        <v>41548.0</v>
      </c>
      <c r="G369" s="290" t="s">
        <v>512</v>
      </c>
      <c r="H369" s="286" t="s">
        <v>519</v>
      </c>
      <c r="I369" s="286" t="s">
        <v>520</v>
      </c>
      <c r="J369" s="291" t="s">
        <v>516</v>
      </c>
      <c r="K369" s="291" t="s">
        <v>415</v>
      </c>
      <c r="L369" s="295" t="s">
        <v>470</v>
      </c>
      <c r="M369" s="291" t="s">
        <v>475</v>
      </c>
      <c r="N369" s="291"/>
      <c r="O369" s="291">
        <v>2.0</v>
      </c>
      <c r="P369" s="292" t="s">
        <v>516</v>
      </c>
      <c r="Q369" s="292" t="s">
        <v>516</v>
      </c>
      <c r="R369" s="292" t="s">
        <v>516</v>
      </c>
      <c r="S369" s="292" t="s">
        <v>516</v>
      </c>
      <c r="T369" s="292" t="s">
        <v>516</v>
      </c>
      <c r="U369" s="287">
        <v>2.0</v>
      </c>
      <c r="V369" s="287">
        <v>18.0</v>
      </c>
      <c r="W369" s="287">
        <v>65.0</v>
      </c>
      <c r="X369" s="287">
        <v>75.0</v>
      </c>
      <c r="Y369" s="287">
        <v>10.0</v>
      </c>
      <c r="Z369" s="287">
        <v>10.0</v>
      </c>
      <c r="AA369" s="287">
        <v>5.0</v>
      </c>
      <c r="AB369" s="287">
        <v>5.0</v>
      </c>
      <c r="AC369" s="287"/>
      <c r="AD369" s="291" t="s">
        <v>1560</v>
      </c>
      <c r="AE369" s="287">
        <v>500.0</v>
      </c>
      <c r="AF369" s="291" t="s">
        <v>1561</v>
      </c>
      <c r="AG369" s="293">
        <v>5.0</v>
      </c>
      <c r="AH369" s="287"/>
      <c r="AI369" s="294"/>
      <c r="AJ369" s="294"/>
    </row>
    <row r="370" ht="14.25" customHeight="1">
      <c r="A370" s="286" t="s">
        <v>1415</v>
      </c>
      <c r="B370" s="287"/>
      <c r="C370" s="286" t="s">
        <v>1562</v>
      </c>
      <c r="D370" s="286" t="s">
        <v>1563</v>
      </c>
      <c r="E370" s="288">
        <v>40584.0</v>
      </c>
      <c r="F370" s="289">
        <v>41640.0</v>
      </c>
      <c r="G370" s="290" t="s">
        <v>512</v>
      </c>
      <c r="H370" s="286" t="s">
        <v>519</v>
      </c>
      <c r="I370" s="286" t="s">
        <v>520</v>
      </c>
      <c r="J370" s="291" t="s">
        <v>516</v>
      </c>
      <c r="K370" s="291" t="s">
        <v>415</v>
      </c>
      <c r="L370" s="291" t="s">
        <v>420</v>
      </c>
      <c r="M370" s="291" t="s">
        <v>475</v>
      </c>
      <c r="N370" s="291"/>
      <c r="O370" s="291">
        <v>7.0</v>
      </c>
      <c r="P370" s="292" t="s">
        <v>516</v>
      </c>
      <c r="Q370" s="292" t="s">
        <v>516</v>
      </c>
      <c r="R370" s="292" t="s">
        <v>516</v>
      </c>
      <c r="S370" s="292" t="s">
        <v>516</v>
      </c>
      <c r="T370" s="292" t="s">
        <v>516</v>
      </c>
      <c r="U370" s="287">
        <v>5.0</v>
      </c>
      <c r="V370" s="287">
        <v>51.0</v>
      </c>
      <c r="W370" s="287">
        <v>70.0</v>
      </c>
      <c r="X370" s="287">
        <v>80.0</v>
      </c>
      <c r="Y370" s="287">
        <v>10.0</v>
      </c>
      <c r="Z370" s="287">
        <v>10.0</v>
      </c>
      <c r="AA370" s="287">
        <v>1.0</v>
      </c>
      <c r="AB370" s="287">
        <v>1.0</v>
      </c>
      <c r="AC370" s="287"/>
      <c r="AD370" s="291" t="s">
        <v>1564</v>
      </c>
      <c r="AE370" s="287">
        <v>500.0</v>
      </c>
      <c r="AF370" s="291" t="s">
        <v>1565</v>
      </c>
      <c r="AG370" s="293">
        <v>5.0</v>
      </c>
      <c r="AH370" s="287"/>
      <c r="AI370" s="294"/>
      <c r="AJ370" s="294"/>
    </row>
    <row r="371" ht="14.25" customHeight="1">
      <c r="A371" s="286" t="s">
        <v>1415</v>
      </c>
      <c r="B371" s="287"/>
      <c r="C371" s="286" t="s">
        <v>1566</v>
      </c>
      <c r="D371" s="286" t="s">
        <v>1567</v>
      </c>
      <c r="E371" s="288">
        <v>40618.0</v>
      </c>
      <c r="F371" s="289">
        <v>41640.0</v>
      </c>
      <c r="G371" s="290" t="s">
        <v>512</v>
      </c>
      <c r="H371" s="286" t="s">
        <v>519</v>
      </c>
      <c r="I371" s="286" t="s">
        <v>520</v>
      </c>
      <c r="J371" s="291" t="s">
        <v>516</v>
      </c>
      <c r="K371" s="291" t="s">
        <v>415</v>
      </c>
      <c r="L371" s="291" t="s">
        <v>420</v>
      </c>
      <c r="M371" s="291" t="s">
        <v>475</v>
      </c>
      <c r="N371" s="291"/>
      <c r="O371" s="291">
        <v>7.0</v>
      </c>
      <c r="P371" s="292" t="s">
        <v>516</v>
      </c>
      <c r="Q371" s="292" t="s">
        <v>516</v>
      </c>
      <c r="R371" s="292" t="s">
        <v>548</v>
      </c>
      <c r="S371" s="292" t="s">
        <v>548</v>
      </c>
      <c r="T371" s="292" t="s">
        <v>516</v>
      </c>
      <c r="U371" s="287">
        <v>5.0</v>
      </c>
      <c r="V371" s="287">
        <v>4.0</v>
      </c>
      <c r="W371" s="287">
        <v>60.0</v>
      </c>
      <c r="X371" s="287">
        <v>100.0</v>
      </c>
      <c r="Y371" s="287" t="s">
        <v>1037</v>
      </c>
      <c r="Z371" s="287" t="s">
        <v>1037</v>
      </c>
      <c r="AA371" s="287">
        <v>5.0</v>
      </c>
      <c r="AB371" s="287">
        <v>7.0</v>
      </c>
      <c r="AC371" s="287"/>
      <c r="AD371" s="291" t="s">
        <v>1568</v>
      </c>
      <c r="AE371" s="287">
        <v>500.0</v>
      </c>
      <c r="AF371" s="291" t="s">
        <v>1569</v>
      </c>
      <c r="AG371" s="293">
        <v>32.0</v>
      </c>
      <c r="AH371" s="287"/>
      <c r="AI371" s="294"/>
      <c r="AJ371" s="294"/>
    </row>
    <row r="372" ht="14.25" customHeight="1">
      <c r="A372" s="286" t="s">
        <v>1415</v>
      </c>
      <c r="B372" s="287"/>
      <c r="C372" s="286" t="s">
        <v>1570</v>
      </c>
      <c r="D372" s="286" t="s">
        <v>1571</v>
      </c>
      <c r="E372" s="288">
        <v>40651.0</v>
      </c>
      <c r="F372" s="289">
        <v>41640.0</v>
      </c>
      <c r="G372" s="290" t="s">
        <v>512</v>
      </c>
      <c r="H372" s="286" t="s">
        <v>519</v>
      </c>
      <c r="I372" s="286" t="s">
        <v>520</v>
      </c>
      <c r="J372" s="291" t="s">
        <v>516</v>
      </c>
      <c r="K372" s="291" t="s">
        <v>415</v>
      </c>
      <c r="L372" s="291" t="s">
        <v>420</v>
      </c>
      <c r="M372" s="291" t="s">
        <v>475</v>
      </c>
      <c r="N372" s="291"/>
      <c r="O372" s="291">
        <v>7.0</v>
      </c>
      <c r="P372" s="292" t="s">
        <v>516</v>
      </c>
      <c r="Q372" s="292" t="s">
        <v>516</v>
      </c>
      <c r="R372" s="292" t="s">
        <v>548</v>
      </c>
      <c r="S372" s="292" t="s">
        <v>548</v>
      </c>
      <c r="T372" s="292" t="s">
        <v>516</v>
      </c>
      <c r="U372" s="287">
        <v>5.0</v>
      </c>
      <c r="V372" s="287">
        <v>4.0</v>
      </c>
      <c r="W372" s="287">
        <v>55.0</v>
      </c>
      <c r="X372" s="287">
        <v>75.0</v>
      </c>
      <c r="Y372" s="287">
        <v>20.0</v>
      </c>
      <c r="Z372" s="287">
        <v>40.0</v>
      </c>
      <c r="AA372" s="287">
        <v>5.0</v>
      </c>
      <c r="AB372" s="287">
        <v>7.0</v>
      </c>
      <c r="AC372" s="287"/>
      <c r="AD372" s="291" t="s">
        <v>1572</v>
      </c>
      <c r="AE372" s="287">
        <v>500.0</v>
      </c>
      <c r="AF372" s="291" t="s">
        <v>1573</v>
      </c>
      <c r="AG372" s="293">
        <v>32.0</v>
      </c>
      <c r="AH372" s="287"/>
      <c r="AI372" s="294"/>
      <c r="AJ372" s="294"/>
    </row>
    <row r="373" ht="14.25" customHeight="1">
      <c r="A373" s="286" t="s">
        <v>1415</v>
      </c>
      <c r="B373" s="287"/>
      <c r="C373" s="286" t="s">
        <v>1574</v>
      </c>
      <c r="D373" s="286" t="s">
        <v>1575</v>
      </c>
      <c r="E373" s="296">
        <v>40668.0</v>
      </c>
      <c r="F373" s="289">
        <v>41557.0</v>
      </c>
      <c r="G373" s="290" t="s">
        <v>512</v>
      </c>
      <c r="H373" s="286" t="s">
        <v>519</v>
      </c>
      <c r="I373" s="286" t="s">
        <v>520</v>
      </c>
      <c r="J373" s="291" t="s">
        <v>516</v>
      </c>
      <c r="K373" s="291" t="s">
        <v>430</v>
      </c>
      <c r="L373" s="295" t="s">
        <v>420</v>
      </c>
      <c r="M373" s="291" t="s">
        <v>475</v>
      </c>
      <c r="N373" s="291"/>
      <c r="O373" s="291">
        <v>7.0</v>
      </c>
      <c r="P373" s="292" t="s">
        <v>516</v>
      </c>
      <c r="Q373" s="292" t="s">
        <v>516</v>
      </c>
      <c r="R373" s="292" t="s">
        <v>516</v>
      </c>
      <c r="S373" s="292" t="s">
        <v>516</v>
      </c>
      <c r="T373" s="292" t="s">
        <v>548</v>
      </c>
      <c r="U373" s="287">
        <v>2.0</v>
      </c>
      <c r="V373" s="287">
        <v>18.0</v>
      </c>
      <c r="W373" s="287">
        <v>50.0</v>
      </c>
      <c r="X373" s="287">
        <v>65.0</v>
      </c>
      <c r="Y373" s="287">
        <v>15.0</v>
      </c>
      <c r="Z373" s="287">
        <v>25.0</v>
      </c>
      <c r="AA373" s="287">
        <v>15.0</v>
      </c>
      <c r="AB373" s="287">
        <v>25.0</v>
      </c>
      <c r="AC373" s="287"/>
      <c r="AD373" s="291" t="s">
        <v>1576</v>
      </c>
      <c r="AE373" s="287">
        <v>500.0</v>
      </c>
      <c r="AF373" s="291" t="s">
        <v>1577</v>
      </c>
      <c r="AG373" s="293">
        <v>5.0</v>
      </c>
      <c r="AH373" s="287"/>
      <c r="AI373" s="294"/>
      <c r="AJ373" s="294"/>
    </row>
    <row r="374" ht="14.25" customHeight="1">
      <c r="A374" s="286" t="s">
        <v>1415</v>
      </c>
      <c r="B374" s="287"/>
      <c r="C374" s="286" t="s">
        <v>1578</v>
      </c>
      <c r="D374" s="286" t="s">
        <v>1579</v>
      </c>
      <c r="E374" s="296">
        <v>40668.0</v>
      </c>
      <c r="F374" s="289">
        <v>41640.0</v>
      </c>
      <c r="G374" s="290" t="s">
        <v>512</v>
      </c>
      <c r="H374" s="286" t="s">
        <v>519</v>
      </c>
      <c r="I374" s="286" t="s">
        <v>520</v>
      </c>
      <c r="J374" s="291" t="s">
        <v>516</v>
      </c>
      <c r="K374" s="291" t="s">
        <v>415</v>
      </c>
      <c r="L374" s="291" t="s">
        <v>420</v>
      </c>
      <c r="M374" s="291" t="s">
        <v>475</v>
      </c>
      <c r="N374" s="291"/>
      <c r="O374" s="291">
        <v>7.0</v>
      </c>
      <c r="P374" s="292" t="s">
        <v>516</v>
      </c>
      <c r="Q374" s="292" t="s">
        <v>516</v>
      </c>
      <c r="R374" s="292" t="s">
        <v>516</v>
      </c>
      <c r="S374" s="292" t="s">
        <v>516</v>
      </c>
      <c r="T374" s="292" t="s">
        <v>516</v>
      </c>
      <c r="U374" s="287">
        <v>5.0</v>
      </c>
      <c r="V374" s="287">
        <v>50.0</v>
      </c>
      <c r="W374" s="287">
        <v>65.0</v>
      </c>
      <c r="X374" s="287">
        <v>80.0</v>
      </c>
      <c r="Y374" s="287">
        <v>10.0</v>
      </c>
      <c r="Z374" s="287">
        <v>30.0</v>
      </c>
      <c r="AA374" s="287">
        <v>5.0</v>
      </c>
      <c r="AB374" s="287">
        <v>30.0</v>
      </c>
      <c r="AC374" s="287"/>
      <c r="AD374" s="291" t="s">
        <v>1580</v>
      </c>
      <c r="AE374" s="287">
        <v>500.0</v>
      </c>
      <c r="AF374" s="291" t="s">
        <v>1581</v>
      </c>
      <c r="AG374" s="293">
        <v>5.0</v>
      </c>
      <c r="AH374" s="287"/>
      <c r="AI374" s="294"/>
      <c r="AJ374" s="294"/>
    </row>
    <row r="375" ht="14.25" customHeight="1">
      <c r="A375" s="286" t="s">
        <v>1415</v>
      </c>
      <c r="B375" s="287"/>
      <c r="C375" s="286" t="s">
        <v>1582</v>
      </c>
      <c r="D375" s="286" t="s">
        <v>1583</v>
      </c>
      <c r="E375" s="288">
        <v>41093.0</v>
      </c>
      <c r="F375" s="289">
        <v>41557.0</v>
      </c>
      <c r="G375" s="290" t="s">
        <v>512</v>
      </c>
      <c r="H375" s="286" t="s">
        <v>519</v>
      </c>
      <c r="I375" s="286" t="s">
        <v>520</v>
      </c>
      <c r="J375" s="291" t="s">
        <v>516</v>
      </c>
      <c r="K375" s="291" t="s">
        <v>424</v>
      </c>
      <c r="L375" s="291" t="s">
        <v>420</v>
      </c>
      <c r="M375" s="291" t="s">
        <v>475</v>
      </c>
      <c r="N375" s="291"/>
      <c r="O375" s="291">
        <v>8.0</v>
      </c>
      <c r="P375" s="292" t="s">
        <v>516</v>
      </c>
      <c r="Q375" s="292" t="s">
        <v>516</v>
      </c>
      <c r="R375" s="292" t="s">
        <v>516</v>
      </c>
      <c r="S375" s="292" t="s">
        <v>516</v>
      </c>
      <c r="T375" s="292" t="s">
        <v>548</v>
      </c>
      <c r="U375" s="287">
        <v>2.0</v>
      </c>
      <c r="V375" s="287">
        <v>18.0</v>
      </c>
      <c r="W375" s="287">
        <v>50.0</v>
      </c>
      <c r="X375" s="287">
        <v>65.0</v>
      </c>
      <c r="Y375" s="287">
        <v>15.0</v>
      </c>
      <c r="Z375" s="287">
        <v>40.0</v>
      </c>
      <c r="AA375" s="287">
        <v>15.0</v>
      </c>
      <c r="AB375" s="287">
        <v>40.0</v>
      </c>
      <c r="AC375" s="287"/>
      <c r="AD375" s="291" t="s">
        <v>1584</v>
      </c>
      <c r="AE375" s="287">
        <v>500.0</v>
      </c>
      <c r="AF375" s="291" t="s">
        <v>1585</v>
      </c>
      <c r="AG375" s="293">
        <v>5.0</v>
      </c>
      <c r="AH375" s="287"/>
      <c r="AI375" s="294"/>
      <c r="AJ375" s="294"/>
    </row>
    <row r="376" ht="14.25" customHeight="1">
      <c r="A376" s="286" t="s">
        <v>1415</v>
      </c>
      <c r="B376" s="287"/>
      <c r="C376" s="286" t="s">
        <v>1586</v>
      </c>
      <c r="D376" s="286" t="s">
        <v>1587</v>
      </c>
      <c r="E376" s="288">
        <v>41150.0</v>
      </c>
      <c r="F376" s="289">
        <v>41640.0</v>
      </c>
      <c r="G376" s="290" t="s">
        <v>512</v>
      </c>
      <c r="H376" s="286" t="s">
        <v>519</v>
      </c>
      <c r="I376" s="286" t="s">
        <v>520</v>
      </c>
      <c r="J376" s="291" t="s">
        <v>516</v>
      </c>
      <c r="K376" s="291" t="s">
        <v>424</v>
      </c>
      <c r="L376" s="291" t="s">
        <v>420</v>
      </c>
      <c r="M376" s="291" t="s">
        <v>475</v>
      </c>
      <c r="N376" s="291"/>
      <c r="O376" s="291">
        <v>7.0</v>
      </c>
      <c r="P376" s="292" t="s">
        <v>516</v>
      </c>
      <c r="Q376" s="292" t="s">
        <v>516</v>
      </c>
      <c r="R376" s="292" t="s">
        <v>516</v>
      </c>
      <c r="S376" s="292" t="s">
        <v>516</v>
      </c>
      <c r="T376" s="292" t="s">
        <v>516</v>
      </c>
      <c r="U376" s="287">
        <v>2.0</v>
      </c>
      <c r="V376" s="287"/>
      <c r="W376" s="287"/>
      <c r="X376" s="287"/>
      <c r="Y376" s="287"/>
      <c r="Z376" s="287"/>
      <c r="AA376" s="287"/>
      <c r="AB376" s="287"/>
      <c r="AC376" s="287"/>
      <c r="AD376" s="291" t="s">
        <v>1588</v>
      </c>
      <c r="AE376" s="287">
        <v>500.0</v>
      </c>
      <c r="AF376" s="291" t="s">
        <v>1589</v>
      </c>
      <c r="AG376" s="293">
        <v>5.0</v>
      </c>
      <c r="AH376" s="287"/>
      <c r="AI376" s="294"/>
      <c r="AJ376" s="294"/>
    </row>
    <row r="377" ht="14.25" customHeight="1">
      <c r="A377" s="286" t="s">
        <v>1415</v>
      </c>
      <c r="B377" s="287"/>
      <c r="C377" s="286" t="s">
        <v>1590</v>
      </c>
      <c r="D377" s="286" t="s">
        <v>1591</v>
      </c>
      <c r="E377" s="288">
        <v>41925.0</v>
      </c>
      <c r="F377" s="289">
        <v>42896.0</v>
      </c>
      <c r="G377" s="290" t="s">
        <v>512</v>
      </c>
      <c r="H377" s="286" t="s">
        <v>519</v>
      </c>
      <c r="I377" s="286" t="s">
        <v>520</v>
      </c>
      <c r="J377" s="291" t="s">
        <v>516</v>
      </c>
      <c r="K377" s="291" t="s">
        <v>415</v>
      </c>
      <c r="L377" s="291" t="s">
        <v>420</v>
      </c>
      <c r="M377" s="291" t="s">
        <v>475</v>
      </c>
      <c r="N377" s="291"/>
      <c r="O377" s="291">
        <v>11.0</v>
      </c>
      <c r="P377" s="292" t="s">
        <v>516</v>
      </c>
      <c r="Q377" s="292" t="s">
        <v>516</v>
      </c>
      <c r="R377" s="292" t="s">
        <v>548</v>
      </c>
      <c r="S377" s="292" t="s">
        <v>516</v>
      </c>
      <c r="T377" s="292" t="s">
        <v>516</v>
      </c>
      <c r="U377" s="287">
        <v>3.0</v>
      </c>
      <c r="V377" s="287" t="s">
        <v>779</v>
      </c>
      <c r="W377" s="287">
        <v>60.0</v>
      </c>
      <c r="X377" s="287">
        <v>75.0</v>
      </c>
      <c r="Y377" s="287">
        <v>15.0</v>
      </c>
      <c r="Z377" s="287">
        <v>40.0</v>
      </c>
      <c r="AA377" s="287">
        <v>15.0</v>
      </c>
      <c r="AB377" s="287">
        <v>20.0</v>
      </c>
      <c r="AC377" s="287"/>
      <c r="AD377" s="291" t="s">
        <v>1592</v>
      </c>
      <c r="AE377" s="287">
        <v>500.0</v>
      </c>
      <c r="AF377" s="291" t="s">
        <v>1593</v>
      </c>
      <c r="AG377" s="293">
        <v>33.0</v>
      </c>
      <c r="AH377" s="287"/>
      <c r="AI377" s="294"/>
      <c r="AJ377" s="294"/>
    </row>
    <row r="378" ht="14.25" customHeight="1">
      <c r="A378" s="286" t="s">
        <v>1415</v>
      </c>
      <c r="B378" s="287"/>
      <c r="C378" s="286" t="s">
        <v>1590</v>
      </c>
      <c r="D378" s="286" t="s">
        <v>1594</v>
      </c>
      <c r="E378" s="288">
        <v>42898.0</v>
      </c>
      <c r="F378" s="289">
        <v>43861.0</v>
      </c>
      <c r="G378" s="290" t="s">
        <v>512</v>
      </c>
      <c r="H378" s="286" t="s">
        <v>519</v>
      </c>
      <c r="I378" s="286" t="s">
        <v>520</v>
      </c>
      <c r="J378" s="291" t="s">
        <v>516</v>
      </c>
      <c r="K378" s="291" t="s">
        <v>415</v>
      </c>
      <c r="L378" s="291" t="s">
        <v>420</v>
      </c>
      <c r="M378" s="291" t="s">
        <v>475</v>
      </c>
      <c r="N378" s="291"/>
      <c r="O378" s="291">
        <v>11.0</v>
      </c>
      <c r="P378" s="292" t="s">
        <v>516</v>
      </c>
      <c r="Q378" s="292" t="s">
        <v>516</v>
      </c>
      <c r="R378" s="292" t="s">
        <v>548</v>
      </c>
      <c r="S378" s="292" t="s">
        <v>516</v>
      </c>
      <c r="T378" s="292" t="s">
        <v>516</v>
      </c>
      <c r="U378" s="287">
        <v>3.0</v>
      </c>
      <c r="V378" s="287" t="s">
        <v>779</v>
      </c>
      <c r="W378" s="287">
        <v>60.0</v>
      </c>
      <c r="X378" s="287">
        <v>75.0</v>
      </c>
      <c r="Y378" s="287">
        <v>15.0</v>
      </c>
      <c r="Z378" s="287">
        <v>40.0</v>
      </c>
      <c r="AA378" s="287">
        <v>15.0</v>
      </c>
      <c r="AB378" s="287">
        <v>20.0</v>
      </c>
      <c r="AC378" s="287"/>
      <c r="AD378" s="291" t="s">
        <v>1592</v>
      </c>
      <c r="AE378" s="287">
        <v>500.0</v>
      </c>
      <c r="AF378" s="291" t="s">
        <v>1593</v>
      </c>
      <c r="AG378" s="293">
        <v>33.0</v>
      </c>
      <c r="AH378" s="287"/>
      <c r="AI378" s="294"/>
      <c r="AJ378" s="294"/>
    </row>
    <row r="379" ht="14.25" customHeight="1">
      <c r="A379" s="286" t="s">
        <v>1415</v>
      </c>
      <c r="B379" s="287"/>
      <c r="C379" s="286" t="s">
        <v>1590</v>
      </c>
      <c r="D379" s="286" t="s">
        <v>1595</v>
      </c>
      <c r="E379" s="288">
        <v>43862.0</v>
      </c>
      <c r="F379" s="290"/>
      <c r="G379" s="290"/>
      <c r="H379" s="286" t="s">
        <v>519</v>
      </c>
      <c r="I379" s="286" t="s">
        <v>520</v>
      </c>
      <c r="J379" s="291" t="s">
        <v>548</v>
      </c>
      <c r="K379" s="291" t="s">
        <v>415</v>
      </c>
      <c r="L379" s="291" t="s">
        <v>420</v>
      </c>
      <c r="M379" s="291" t="s">
        <v>475</v>
      </c>
      <c r="N379" s="291"/>
      <c r="O379" s="291">
        <v>11.0</v>
      </c>
      <c r="P379" s="292" t="s">
        <v>516</v>
      </c>
      <c r="Q379" s="292" t="s">
        <v>516</v>
      </c>
      <c r="R379" s="292" t="s">
        <v>548</v>
      </c>
      <c r="S379" s="292" t="s">
        <v>516</v>
      </c>
      <c r="T379" s="292" t="s">
        <v>516</v>
      </c>
      <c r="U379" s="287">
        <v>3.0</v>
      </c>
      <c r="V379" s="287" t="s">
        <v>779</v>
      </c>
      <c r="W379" s="287">
        <v>60.0</v>
      </c>
      <c r="X379" s="287">
        <v>75.0</v>
      </c>
      <c r="Y379" s="287">
        <v>15.0</v>
      </c>
      <c r="Z379" s="287">
        <v>40.0</v>
      </c>
      <c r="AA379" s="287">
        <v>15.0</v>
      </c>
      <c r="AB379" s="287">
        <v>20.0</v>
      </c>
      <c r="AC379" s="287"/>
      <c r="AD379" s="291" t="s">
        <v>1592</v>
      </c>
      <c r="AE379" s="287">
        <v>500.0</v>
      </c>
      <c r="AF379" s="291" t="s">
        <v>1593</v>
      </c>
      <c r="AG379" s="293">
        <v>33.0</v>
      </c>
      <c r="AH379" s="287"/>
      <c r="AI379" s="294"/>
      <c r="AJ379" s="294"/>
    </row>
    <row r="380" ht="14.25" customHeight="1">
      <c r="A380" s="286" t="s">
        <v>1415</v>
      </c>
      <c r="B380" s="287"/>
      <c r="C380" s="286" t="s">
        <v>1596</v>
      </c>
      <c r="D380" s="286" t="s">
        <v>1597</v>
      </c>
      <c r="E380" s="288">
        <v>41925.0</v>
      </c>
      <c r="F380" s="289">
        <v>42896.0</v>
      </c>
      <c r="G380" s="290" t="s">
        <v>512</v>
      </c>
      <c r="H380" s="286" t="s">
        <v>519</v>
      </c>
      <c r="I380" s="286" t="s">
        <v>520</v>
      </c>
      <c r="J380" s="291" t="s">
        <v>516</v>
      </c>
      <c r="K380" s="291" t="s">
        <v>415</v>
      </c>
      <c r="L380" s="291" t="s">
        <v>420</v>
      </c>
      <c r="M380" s="291" t="s">
        <v>475</v>
      </c>
      <c r="N380" s="291"/>
      <c r="O380" s="291">
        <v>6.0</v>
      </c>
      <c r="P380" s="292" t="s">
        <v>516</v>
      </c>
      <c r="Q380" s="292" t="s">
        <v>516</v>
      </c>
      <c r="R380" s="292" t="s">
        <v>548</v>
      </c>
      <c r="S380" s="292" t="s">
        <v>516</v>
      </c>
      <c r="T380" s="292" t="s">
        <v>548</v>
      </c>
      <c r="U380" s="287">
        <v>3.0</v>
      </c>
      <c r="V380" s="287" t="s">
        <v>779</v>
      </c>
      <c r="W380" s="287">
        <v>59.0</v>
      </c>
      <c r="X380" s="287">
        <v>75.0</v>
      </c>
      <c r="Y380" s="287">
        <v>15.0</v>
      </c>
      <c r="Z380" s="287">
        <v>40.0</v>
      </c>
      <c r="AA380" s="287">
        <v>15.0</v>
      </c>
      <c r="AB380" s="287">
        <v>20.0</v>
      </c>
      <c r="AC380" s="287"/>
      <c r="AD380" s="291" t="s">
        <v>1598</v>
      </c>
      <c r="AE380" s="287">
        <v>500.0</v>
      </c>
      <c r="AF380" s="291" t="s">
        <v>1599</v>
      </c>
      <c r="AG380" s="293">
        <v>33.0</v>
      </c>
      <c r="AH380" s="287"/>
      <c r="AI380" s="294"/>
      <c r="AJ380" s="294"/>
    </row>
    <row r="381" ht="14.25" customHeight="1">
      <c r="A381" s="286" t="s">
        <v>1415</v>
      </c>
      <c r="B381" s="287"/>
      <c r="C381" s="286" t="s">
        <v>1596</v>
      </c>
      <c r="D381" s="286" t="s">
        <v>1600</v>
      </c>
      <c r="E381" s="288">
        <v>42898.0</v>
      </c>
      <c r="F381" s="288">
        <v>43861.0</v>
      </c>
      <c r="G381" s="290" t="s">
        <v>512</v>
      </c>
      <c r="H381" s="286" t="s">
        <v>519</v>
      </c>
      <c r="I381" s="286" t="s">
        <v>520</v>
      </c>
      <c r="J381" s="291" t="s">
        <v>548</v>
      </c>
      <c r="K381" s="291" t="s">
        <v>415</v>
      </c>
      <c r="L381" s="291" t="s">
        <v>420</v>
      </c>
      <c r="M381" s="291" t="s">
        <v>475</v>
      </c>
      <c r="N381" s="291"/>
      <c r="O381" s="291">
        <v>11.0</v>
      </c>
      <c r="P381" s="292" t="s">
        <v>516</v>
      </c>
      <c r="Q381" s="292" t="s">
        <v>516</v>
      </c>
      <c r="R381" s="292" t="s">
        <v>548</v>
      </c>
      <c r="S381" s="292" t="s">
        <v>516</v>
      </c>
      <c r="T381" s="292" t="s">
        <v>548</v>
      </c>
      <c r="U381" s="287">
        <v>3.0</v>
      </c>
      <c r="V381" s="287" t="s">
        <v>779</v>
      </c>
      <c r="W381" s="287">
        <v>59.0</v>
      </c>
      <c r="X381" s="287">
        <v>75.0</v>
      </c>
      <c r="Y381" s="287">
        <v>15.0</v>
      </c>
      <c r="Z381" s="287">
        <v>40.0</v>
      </c>
      <c r="AA381" s="287">
        <v>15.0</v>
      </c>
      <c r="AB381" s="287">
        <v>20.0</v>
      </c>
      <c r="AC381" s="287"/>
      <c r="AD381" s="291" t="s">
        <v>1598</v>
      </c>
      <c r="AE381" s="287">
        <v>500.0</v>
      </c>
      <c r="AF381" s="291" t="s">
        <v>1599</v>
      </c>
      <c r="AG381" s="293">
        <v>33.0</v>
      </c>
      <c r="AH381" s="287"/>
      <c r="AI381" s="294"/>
      <c r="AJ381" s="294"/>
    </row>
    <row r="382" ht="14.25" customHeight="1">
      <c r="A382" s="286" t="s">
        <v>1415</v>
      </c>
      <c r="B382" s="287"/>
      <c r="C382" s="286" t="s">
        <v>1596</v>
      </c>
      <c r="D382" s="286" t="s">
        <v>1601</v>
      </c>
      <c r="E382" s="288">
        <v>43862.0</v>
      </c>
      <c r="F382" s="289">
        <v>44349.0</v>
      </c>
      <c r="G382" s="290" t="s">
        <v>512</v>
      </c>
      <c r="H382" s="286" t="s">
        <v>519</v>
      </c>
      <c r="I382" s="286" t="s">
        <v>520</v>
      </c>
      <c r="J382" s="291" t="s">
        <v>548</v>
      </c>
      <c r="K382" s="291" t="s">
        <v>415</v>
      </c>
      <c r="L382" s="291" t="s">
        <v>420</v>
      </c>
      <c r="M382" s="291" t="s">
        <v>475</v>
      </c>
      <c r="N382" s="291"/>
      <c r="O382" s="291">
        <v>11.0</v>
      </c>
      <c r="P382" s="292" t="s">
        <v>516</v>
      </c>
      <c r="Q382" s="292" t="s">
        <v>516</v>
      </c>
      <c r="R382" s="292" t="s">
        <v>548</v>
      </c>
      <c r="S382" s="292" t="s">
        <v>516</v>
      </c>
      <c r="T382" s="292" t="s">
        <v>548</v>
      </c>
      <c r="U382" s="287">
        <v>3.0</v>
      </c>
      <c r="V382" s="287" t="s">
        <v>779</v>
      </c>
      <c r="W382" s="287">
        <v>59.0</v>
      </c>
      <c r="X382" s="287">
        <v>75.0</v>
      </c>
      <c r="Y382" s="287">
        <v>15.0</v>
      </c>
      <c r="Z382" s="287">
        <v>40.0</v>
      </c>
      <c r="AA382" s="287">
        <v>15.0</v>
      </c>
      <c r="AB382" s="287">
        <v>20.0</v>
      </c>
      <c r="AC382" s="287"/>
      <c r="AD382" s="291" t="s">
        <v>1598</v>
      </c>
      <c r="AE382" s="287">
        <v>500.0</v>
      </c>
      <c r="AF382" s="291" t="s">
        <v>1599</v>
      </c>
      <c r="AG382" s="293">
        <v>33.0</v>
      </c>
      <c r="AH382" s="287"/>
      <c r="AI382" s="294"/>
      <c r="AJ382" s="294"/>
    </row>
    <row r="383" ht="14.25" customHeight="1">
      <c r="A383" s="286" t="s">
        <v>1415</v>
      </c>
      <c r="B383" s="287"/>
      <c r="C383" s="286" t="s">
        <v>1596</v>
      </c>
      <c r="D383" s="286" t="s">
        <v>1602</v>
      </c>
      <c r="E383" s="289">
        <v>44349.0</v>
      </c>
      <c r="F383" s="290"/>
      <c r="G383" s="290"/>
      <c r="H383" s="286" t="s">
        <v>519</v>
      </c>
      <c r="I383" s="286" t="s">
        <v>520</v>
      </c>
      <c r="J383" s="291" t="s">
        <v>548</v>
      </c>
      <c r="K383" s="291" t="s">
        <v>415</v>
      </c>
      <c r="L383" s="291" t="s">
        <v>420</v>
      </c>
      <c r="M383" s="291" t="s">
        <v>475</v>
      </c>
      <c r="N383" s="291"/>
      <c r="O383" s="291">
        <v>11.0</v>
      </c>
      <c r="P383" s="292" t="s">
        <v>516</v>
      </c>
      <c r="Q383" s="292" t="s">
        <v>516</v>
      </c>
      <c r="R383" s="292" t="s">
        <v>548</v>
      </c>
      <c r="S383" s="292" t="s">
        <v>516</v>
      </c>
      <c r="T383" s="292" t="s">
        <v>548</v>
      </c>
      <c r="U383" s="287">
        <v>3.0</v>
      </c>
      <c r="V383" s="287" t="s">
        <v>779</v>
      </c>
      <c r="W383" s="287">
        <v>59.0</v>
      </c>
      <c r="X383" s="287">
        <v>75.0</v>
      </c>
      <c r="Y383" s="287">
        <v>15.0</v>
      </c>
      <c r="Z383" s="287">
        <v>40.0</v>
      </c>
      <c r="AA383" s="287">
        <v>15.0</v>
      </c>
      <c r="AB383" s="287">
        <v>20.0</v>
      </c>
      <c r="AC383" s="287"/>
      <c r="AD383" s="291" t="s">
        <v>1598</v>
      </c>
      <c r="AE383" s="287">
        <v>500.0</v>
      </c>
      <c r="AF383" s="291" t="s">
        <v>1599</v>
      </c>
      <c r="AG383" s="293">
        <v>33.0</v>
      </c>
      <c r="AH383" s="287"/>
      <c r="AI383" s="294"/>
      <c r="AJ383" s="294"/>
    </row>
    <row r="384" ht="14.25" customHeight="1">
      <c r="A384" s="286" t="s">
        <v>1415</v>
      </c>
      <c r="B384" s="287"/>
      <c r="C384" s="286" t="s">
        <v>1603</v>
      </c>
      <c r="D384" s="286" t="s">
        <v>1604</v>
      </c>
      <c r="E384" s="288">
        <v>41925.0</v>
      </c>
      <c r="F384" s="289">
        <v>42896.0</v>
      </c>
      <c r="G384" s="290" t="s">
        <v>512</v>
      </c>
      <c r="H384" s="286" t="s">
        <v>519</v>
      </c>
      <c r="I384" s="286" t="s">
        <v>520</v>
      </c>
      <c r="J384" s="291" t="s">
        <v>516</v>
      </c>
      <c r="K384" s="291" t="s">
        <v>415</v>
      </c>
      <c r="L384" s="291" t="s">
        <v>420</v>
      </c>
      <c r="M384" s="291" t="s">
        <v>475</v>
      </c>
      <c r="N384" s="291"/>
      <c r="O384" s="291">
        <v>6.0</v>
      </c>
      <c r="P384" s="292" t="s">
        <v>516</v>
      </c>
      <c r="Q384" s="292" t="s">
        <v>516</v>
      </c>
      <c r="R384" s="292" t="s">
        <v>548</v>
      </c>
      <c r="S384" s="292" t="s">
        <v>516</v>
      </c>
      <c r="T384" s="292" t="s">
        <v>548</v>
      </c>
      <c r="U384" s="287">
        <v>3.0</v>
      </c>
      <c r="V384" s="287" t="s">
        <v>779</v>
      </c>
      <c r="W384" s="287">
        <v>60.0</v>
      </c>
      <c r="X384" s="287">
        <v>100.0</v>
      </c>
      <c r="Y384" s="287" t="s">
        <v>1037</v>
      </c>
      <c r="Z384" s="287" t="s">
        <v>1037</v>
      </c>
      <c r="AA384" s="287">
        <v>7.0</v>
      </c>
      <c r="AB384" s="287">
        <v>20.0</v>
      </c>
      <c r="AC384" s="287"/>
      <c r="AD384" s="291" t="s">
        <v>1605</v>
      </c>
      <c r="AE384" s="287">
        <v>500.0</v>
      </c>
      <c r="AF384" s="291" t="s">
        <v>1606</v>
      </c>
      <c r="AG384" s="293">
        <v>33.0</v>
      </c>
      <c r="AH384" s="287"/>
      <c r="AI384" s="294"/>
      <c r="AJ384" s="294"/>
    </row>
    <row r="385" ht="14.25" customHeight="1">
      <c r="A385" s="286" t="s">
        <v>1415</v>
      </c>
      <c r="B385" s="287"/>
      <c r="C385" s="286" t="s">
        <v>1603</v>
      </c>
      <c r="D385" s="286" t="s">
        <v>1607</v>
      </c>
      <c r="E385" s="288">
        <v>42898.0</v>
      </c>
      <c r="F385" s="288">
        <v>43861.0</v>
      </c>
      <c r="G385" s="290" t="s">
        <v>512</v>
      </c>
      <c r="H385" s="286" t="s">
        <v>519</v>
      </c>
      <c r="I385" s="286" t="s">
        <v>520</v>
      </c>
      <c r="J385" s="291" t="s">
        <v>516</v>
      </c>
      <c r="K385" s="291" t="s">
        <v>415</v>
      </c>
      <c r="L385" s="291" t="s">
        <v>420</v>
      </c>
      <c r="M385" s="291" t="s">
        <v>475</v>
      </c>
      <c r="N385" s="291"/>
      <c r="O385" s="291">
        <v>11.0</v>
      </c>
      <c r="P385" s="292" t="s">
        <v>516</v>
      </c>
      <c r="Q385" s="292" t="s">
        <v>516</v>
      </c>
      <c r="R385" s="292" t="s">
        <v>548</v>
      </c>
      <c r="S385" s="292" t="s">
        <v>516</v>
      </c>
      <c r="T385" s="292" t="s">
        <v>548</v>
      </c>
      <c r="U385" s="287">
        <v>3.0</v>
      </c>
      <c r="V385" s="287" t="s">
        <v>779</v>
      </c>
      <c r="W385" s="287">
        <v>60.0</v>
      </c>
      <c r="X385" s="287">
        <v>100.0</v>
      </c>
      <c r="Y385" s="287" t="s">
        <v>1037</v>
      </c>
      <c r="Z385" s="287" t="s">
        <v>1037</v>
      </c>
      <c r="AA385" s="287">
        <v>7.0</v>
      </c>
      <c r="AB385" s="287">
        <v>20.0</v>
      </c>
      <c r="AC385" s="287"/>
      <c r="AD385" s="291" t="s">
        <v>1605</v>
      </c>
      <c r="AE385" s="287">
        <v>500.0</v>
      </c>
      <c r="AF385" s="291" t="s">
        <v>1606</v>
      </c>
      <c r="AG385" s="293">
        <v>33.0</v>
      </c>
      <c r="AH385" s="287"/>
      <c r="AI385" s="294"/>
      <c r="AJ385" s="294"/>
    </row>
    <row r="386" ht="14.25" customHeight="1">
      <c r="A386" s="286" t="s">
        <v>1415</v>
      </c>
      <c r="B386" s="287"/>
      <c r="C386" s="286" t="s">
        <v>1603</v>
      </c>
      <c r="D386" s="286" t="s">
        <v>1608</v>
      </c>
      <c r="E386" s="288">
        <v>43862.0</v>
      </c>
      <c r="F386" s="290"/>
      <c r="G386" s="290"/>
      <c r="H386" s="286" t="s">
        <v>519</v>
      </c>
      <c r="I386" s="286" t="s">
        <v>520</v>
      </c>
      <c r="J386" s="291" t="s">
        <v>548</v>
      </c>
      <c r="K386" s="291" t="s">
        <v>415</v>
      </c>
      <c r="L386" s="291" t="s">
        <v>420</v>
      </c>
      <c r="M386" s="291" t="s">
        <v>475</v>
      </c>
      <c r="N386" s="291"/>
      <c r="O386" s="291">
        <v>11.0</v>
      </c>
      <c r="P386" s="292" t="s">
        <v>516</v>
      </c>
      <c r="Q386" s="292" t="s">
        <v>516</v>
      </c>
      <c r="R386" s="292" t="s">
        <v>548</v>
      </c>
      <c r="S386" s="292" t="s">
        <v>516</v>
      </c>
      <c r="T386" s="292" t="s">
        <v>548</v>
      </c>
      <c r="U386" s="287">
        <v>3.0</v>
      </c>
      <c r="V386" s="287" t="s">
        <v>779</v>
      </c>
      <c r="W386" s="287">
        <v>60.0</v>
      </c>
      <c r="X386" s="287">
        <v>100.0</v>
      </c>
      <c r="Y386" s="287" t="s">
        <v>1037</v>
      </c>
      <c r="Z386" s="287" t="s">
        <v>1037</v>
      </c>
      <c r="AA386" s="287">
        <v>7.0</v>
      </c>
      <c r="AB386" s="287">
        <v>20.0</v>
      </c>
      <c r="AC386" s="287"/>
      <c r="AD386" s="291" t="s">
        <v>1605</v>
      </c>
      <c r="AE386" s="287">
        <v>500.0</v>
      </c>
      <c r="AF386" s="291" t="s">
        <v>1606</v>
      </c>
      <c r="AG386" s="293">
        <v>33.0</v>
      </c>
      <c r="AH386" s="287"/>
      <c r="AI386" s="294"/>
      <c r="AJ386" s="294"/>
    </row>
    <row r="387" ht="14.25" customHeight="1">
      <c r="A387" s="286" t="s">
        <v>1415</v>
      </c>
      <c r="B387" s="287"/>
      <c r="C387" s="286" t="s">
        <v>1609</v>
      </c>
      <c r="D387" s="286" t="s">
        <v>1610</v>
      </c>
      <c r="E387" s="288">
        <v>41925.0</v>
      </c>
      <c r="F387" s="289">
        <v>42896.0</v>
      </c>
      <c r="G387" s="290" t="s">
        <v>512</v>
      </c>
      <c r="H387" s="286" t="s">
        <v>519</v>
      </c>
      <c r="I387" s="286" t="s">
        <v>520</v>
      </c>
      <c r="J387" s="291" t="s">
        <v>516</v>
      </c>
      <c r="K387" s="291" t="s">
        <v>415</v>
      </c>
      <c r="L387" s="291" t="s">
        <v>420</v>
      </c>
      <c r="M387" s="291" t="s">
        <v>475</v>
      </c>
      <c r="N387" s="291"/>
      <c r="O387" s="291">
        <v>11.0</v>
      </c>
      <c r="P387" s="292" t="s">
        <v>516</v>
      </c>
      <c r="Q387" s="292" t="s">
        <v>516</v>
      </c>
      <c r="R387" s="292" t="s">
        <v>548</v>
      </c>
      <c r="S387" s="292" t="s">
        <v>516</v>
      </c>
      <c r="T387" s="292" t="s">
        <v>548</v>
      </c>
      <c r="U387" s="287">
        <v>2.0</v>
      </c>
      <c r="V387" s="287" t="s">
        <v>779</v>
      </c>
      <c r="W387" s="287">
        <v>60.0</v>
      </c>
      <c r="X387" s="287">
        <v>100.0</v>
      </c>
      <c r="Y387" s="287" t="s">
        <v>1037</v>
      </c>
      <c r="Z387" s="287" t="s">
        <v>1037</v>
      </c>
      <c r="AA387" s="287">
        <v>7.0</v>
      </c>
      <c r="AB387" s="287">
        <v>20.0</v>
      </c>
      <c r="AC387" s="287"/>
      <c r="AD387" s="291" t="s">
        <v>1611</v>
      </c>
      <c r="AE387" s="287">
        <v>500.0</v>
      </c>
      <c r="AF387" s="291" t="s">
        <v>1612</v>
      </c>
      <c r="AG387" s="293">
        <v>33.0</v>
      </c>
      <c r="AH387" s="287"/>
      <c r="AI387" s="294"/>
      <c r="AJ387" s="294"/>
    </row>
    <row r="388" ht="14.25" customHeight="1">
      <c r="A388" s="286" t="s">
        <v>1415</v>
      </c>
      <c r="B388" s="287"/>
      <c r="C388" s="286" t="s">
        <v>1609</v>
      </c>
      <c r="D388" s="286" t="s">
        <v>1613</v>
      </c>
      <c r="E388" s="288">
        <v>42898.0</v>
      </c>
      <c r="F388" s="288">
        <v>43861.0</v>
      </c>
      <c r="G388" s="290" t="s">
        <v>512</v>
      </c>
      <c r="H388" s="286" t="s">
        <v>519</v>
      </c>
      <c r="I388" s="286" t="s">
        <v>520</v>
      </c>
      <c r="J388" s="291" t="s">
        <v>548</v>
      </c>
      <c r="K388" s="291" t="s">
        <v>415</v>
      </c>
      <c r="L388" s="291" t="s">
        <v>420</v>
      </c>
      <c r="M388" s="291" t="s">
        <v>475</v>
      </c>
      <c r="N388" s="291"/>
      <c r="O388" s="291">
        <v>11.0</v>
      </c>
      <c r="P388" s="292" t="s">
        <v>516</v>
      </c>
      <c r="Q388" s="292" t="s">
        <v>516</v>
      </c>
      <c r="R388" s="292" t="s">
        <v>548</v>
      </c>
      <c r="S388" s="292" t="s">
        <v>516</v>
      </c>
      <c r="T388" s="292" t="s">
        <v>548</v>
      </c>
      <c r="U388" s="287">
        <v>2.0</v>
      </c>
      <c r="V388" s="287" t="s">
        <v>779</v>
      </c>
      <c r="W388" s="287">
        <v>60.0</v>
      </c>
      <c r="X388" s="287">
        <v>100.0</v>
      </c>
      <c r="Y388" s="287" t="s">
        <v>1037</v>
      </c>
      <c r="Z388" s="287" t="s">
        <v>1037</v>
      </c>
      <c r="AA388" s="287">
        <v>7.0</v>
      </c>
      <c r="AB388" s="287">
        <v>20.0</v>
      </c>
      <c r="AC388" s="287"/>
      <c r="AD388" s="291" t="s">
        <v>1611</v>
      </c>
      <c r="AE388" s="287">
        <v>500.0</v>
      </c>
      <c r="AF388" s="291" t="s">
        <v>1612</v>
      </c>
      <c r="AG388" s="293">
        <v>33.0</v>
      </c>
      <c r="AH388" s="287"/>
      <c r="AI388" s="294"/>
      <c r="AJ388" s="294"/>
    </row>
    <row r="389" ht="14.25" customHeight="1">
      <c r="A389" s="286" t="s">
        <v>1415</v>
      </c>
      <c r="B389" s="287"/>
      <c r="C389" s="286" t="s">
        <v>1609</v>
      </c>
      <c r="D389" s="286" t="s">
        <v>1614</v>
      </c>
      <c r="E389" s="288">
        <v>43862.0</v>
      </c>
      <c r="F389" s="290"/>
      <c r="G389" s="290"/>
      <c r="H389" s="286" t="s">
        <v>519</v>
      </c>
      <c r="I389" s="286" t="s">
        <v>520</v>
      </c>
      <c r="J389" s="291" t="s">
        <v>548</v>
      </c>
      <c r="K389" s="291" t="s">
        <v>415</v>
      </c>
      <c r="L389" s="291" t="s">
        <v>420</v>
      </c>
      <c r="M389" s="291" t="s">
        <v>475</v>
      </c>
      <c r="N389" s="291"/>
      <c r="O389" s="291">
        <v>11.0</v>
      </c>
      <c r="P389" s="292" t="s">
        <v>516</v>
      </c>
      <c r="Q389" s="292" t="s">
        <v>516</v>
      </c>
      <c r="R389" s="292" t="s">
        <v>548</v>
      </c>
      <c r="S389" s="292" t="s">
        <v>516</v>
      </c>
      <c r="T389" s="292" t="s">
        <v>548</v>
      </c>
      <c r="U389" s="287">
        <v>2.0</v>
      </c>
      <c r="V389" s="287" t="s">
        <v>779</v>
      </c>
      <c r="W389" s="287">
        <v>60.0</v>
      </c>
      <c r="X389" s="287">
        <v>100.0</v>
      </c>
      <c r="Y389" s="287" t="s">
        <v>1037</v>
      </c>
      <c r="Z389" s="287" t="s">
        <v>1037</v>
      </c>
      <c r="AA389" s="287">
        <v>7.0</v>
      </c>
      <c r="AB389" s="287">
        <v>20.0</v>
      </c>
      <c r="AC389" s="287"/>
      <c r="AD389" s="291" t="s">
        <v>1611</v>
      </c>
      <c r="AE389" s="287">
        <v>500.0</v>
      </c>
      <c r="AF389" s="291" t="s">
        <v>1612</v>
      </c>
      <c r="AG389" s="293">
        <v>33.0</v>
      </c>
      <c r="AH389" s="287"/>
      <c r="AI389" s="294"/>
      <c r="AJ389" s="294"/>
    </row>
    <row r="390" ht="14.25" customHeight="1">
      <c r="A390" s="286" t="s">
        <v>1415</v>
      </c>
      <c r="B390" s="287"/>
      <c r="C390" s="286" t="s">
        <v>1615</v>
      </c>
      <c r="D390" s="286" t="s">
        <v>1616</v>
      </c>
      <c r="E390" s="288">
        <v>42174.0</v>
      </c>
      <c r="F390" s="288">
        <v>43861.0</v>
      </c>
      <c r="G390" s="290" t="s">
        <v>512</v>
      </c>
      <c r="H390" s="286" t="s">
        <v>519</v>
      </c>
      <c r="I390" s="286" t="s">
        <v>520</v>
      </c>
      <c r="J390" s="291" t="s">
        <v>548</v>
      </c>
      <c r="K390" s="291" t="s">
        <v>415</v>
      </c>
      <c r="L390" s="291" t="s">
        <v>420</v>
      </c>
      <c r="M390" s="291" t="s">
        <v>475</v>
      </c>
      <c r="N390" s="291"/>
      <c r="O390" s="291">
        <v>8.0</v>
      </c>
      <c r="P390" s="292" t="s">
        <v>516</v>
      </c>
      <c r="Q390" s="292" t="s">
        <v>516</v>
      </c>
      <c r="R390" s="292" t="s">
        <v>548</v>
      </c>
      <c r="S390" s="292" t="s">
        <v>516</v>
      </c>
      <c r="T390" s="292" t="s">
        <v>516</v>
      </c>
      <c r="U390" s="287">
        <v>2.0</v>
      </c>
      <c r="V390" s="287" t="s">
        <v>779</v>
      </c>
      <c r="W390" s="287">
        <v>60.0</v>
      </c>
      <c r="X390" s="287">
        <v>75.0</v>
      </c>
      <c r="Y390" s="287">
        <v>15.0</v>
      </c>
      <c r="Z390" s="287">
        <v>30.0</v>
      </c>
      <c r="AA390" s="287">
        <v>1.0</v>
      </c>
      <c r="AB390" s="287">
        <v>1.0</v>
      </c>
      <c r="AC390" s="287"/>
      <c r="AD390" s="291" t="s">
        <v>1617</v>
      </c>
      <c r="AE390" s="287">
        <v>500.0</v>
      </c>
      <c r="AF390" s="291" t="s">
        <v>1618</v>
      </c>
      <c r="AG390" s="293">
        <v>34.0</v>
      </c>
      <c r="AH390" s="287"/>
      <c r="AI390" s="294"/>
      <c r="AJ390" s="294"/>
    </row>
    <row r="391" ht="14.25" customHeight="1">
      <c r="A391" s="286" t="s">
        <v>1415</v>
      </c>
      <c r="B391" s="287"/>
      <c r="C391" s="286" t="s">
        <v>1619</v>
      </c>
      <c r="D391" s="286" t="s">
        <v>1620</v>
      </c>
      <c r="E391" s="288">
        <v>42237.0</v>
      </c>
      <c r="F391" s="288">
        <v>43861.0</v>
      </c>
      <c r="G391" s="290" t="s">
        <v>512</v>
      </c>
      <c r="H391" s="286" t="s">
        <v>519</v>
      </c>
      <c r="I391" s="286" t="s">
        <v>520</v>
      </c>
      <c r="J391" s="291" t="s">
        <v>548</v>
      </c>
      <c r="K391" s="295"/>
      <c r="L391" s="295" t="s">
        <v>420</v>
      </c>
      <c r="M391" s="291" t="s">
        <v>475</v>
      </c>
      <c r="N391" s="291"/>
      <c r="O391" s="291">
        <v>8.0</v>
      </c>
      <c r="P391" s="292" t="s">
        <v>516</v>
      </c>
      <c r="Q391" s="292" t="s">
        <v>516</v>
      </c>
      <c r="R391" s="292" t="s">
        <v>516</v>
      </c>
      <c r="S391" s="292" t="s">
        <v>516</v>
      </c>
      <c r="T391" s="292" t="s">
        <v>516</v>
      </c>
      <c r="U391" s="287">
        <v>2.0</v>
      </c>
      <c r="V391" s="287">
        <v>25.0</v>
      </c>
      <c r="W391" s="287">
        <v>50.0</v>
      </c>
      <c r="X391" s="287">
        <v>70.0</v>
      </c>
      <c r="Y391" s="287">
        <v>10.0</v>
      </c>
      <c r="Z391" s="287">
        <v>20.0</v>
      </c>
      <c r="AA391" s="287">
        <v>10.0</v>
      </c>
      <c r="AB391" s="287">
        <v>10.0</v>
      </c>
      <c r="AC391" s="287"/>
      <c r="AD391" s="291" t="s">
        <v>1621</v>
      </c>
      <c r="AE391" s="287">
        <v>500.0</v>
      </c>
      <c r="AF391" s="291" t="s">
        <v>1622</v>
      </c>
      <c r="AG391" s="293">
        <v>5.0</v>
      </c>
      <c r="AH391" s="287"/>
      <c r="AI391" s="294"/>
      <c r="AJ391" s="294"/>
    </row>
    <row r="392" ht="14.25" customHeight="1">
      <c r="A392" s="286" t="s">
        <v>1415</v>
      </c>
      <c r="B392" s="287"/>
      <c r="C392" s="286" t="s">
        <v>1623</v>
      </c>
      <c r="D392" s="286" t="s">
        <v>1624</v>
      </c>
      <c r="E392" s="288">
        <v>43481.0</v>
      </c>
      <c r="F392" s="289">
        <v>43861.0</v>
      </c>
      <c r="G392" s="290" t="s">
        <v>512</v>
      </c>
      <c r="H392" s="286"/>
      <c r="I392" s="286" t="s">
        <v>520</v>
      </c>
      <c r="J392" s="291"/>
      <c r="K392" s="291"/>
      <c r="L392" s="291"/>
      <c r="M392" s="291"/>
      <c r="N392" s="291"/>
      <c r="O392" s="291"/>
      <c r="P392" s="292"/>
      <c r="Q392" s="292"/>
      <c r="R392" s="292"/>
      <c r="S392" s="292"/>
      <c r="T392" s="292"/>
      <c r="U392" s="287"/>
      <c r="V392" s="287"/>
      <c r="W392" s="287"/>
      <c r="X392" s="287"/>
      <c r="Y392" s="287"/>
      <c r="Z392" s="287"/>
      <c r="AA392" s="287"/>
      <c r="AB392" s="287"/>
      <c r="AC392" s="287"/>
      <c r="AD392" s="291"/>
      <c r="AE392" s="287"/>
      <c r="AF392" s="291"/>
      <c r="AG392" s="293"/>
      <c r="AH392" s="287"/>
      <c r="AI392" s="294"/>
      <c r="AJ392" s="294"/>
    </row>
    <row r="393" ht="14.25" customHeight="1">
      <c r="A393" s="286" t="s">
        <v>1415</v>
      </c>
      <c r="B393" s="287"/>
      <c r="C393" s="286" t="s">
        <v>1623</v>
      </c>
      <c r="D393" s="286" t="s">
        <v>1625</v>
      </c>
      <c r="E393" s="288">
        <v>43890.0</v>
      </c>
      <c r="F393" s="290"/>
      <c r="G393" s="290"/>
      <c r="H393" s="286"/>
      <c r="I393" s="286" t="s">
        <v>520</v>
      </c>
      <c r="J393" s="291"/>
      <c r="K393" s="291"/>
      <c r="L393" s="291"/>
      <c r="M393" s="291"/>
      <c r="N393" s="291"/>
      <c r="O393" s="291"/>
      <c r="P393" s="292"/>
      <c r="Q393" s="292"/>
      <c r="R393" s="292"/>
      <c r="S393" s="292"/>
      <c r="T393" s="292"/>
      <c r="U393" s="287"/>
      <c r="V393" s="287"/>
      <c r="W393" s="287"/>
      <c r="X393" s="287"/>
      <c r="Y393" s="287"/>
      <c r="Z393" s="287"/>
      <c r="AA393" s="287"/>
      <c r="AB393" s="287"/>
      <c r="AC393" s="287"/>
      <c r="AD393" s="291"/>
      <c r="AE393" s="287"/>
      <c r="AF393" s="291"/>
      <c r="AG393" s="293"/>
      <c r="AH393" s="287"/>
      <c r="AI393" s="294"/>
      <c r="AJ393" s="294"/>
    </row>
    <row r="394" ht="14.25" customHeight="1">
      <c r="A394" s="286" t="s">
        <v>1415</v>
      </c>
      <c r="B394" s="287"/>
      <c r="C394" s="286" t="s">
        <v>1626</v>
      </c>
      <c r="D394" s="286" t="s">
        <v>1627</v>
      </c>
      <c r="E394" s="288">
        <v>44145.0</v>
      </c>
      <c r="F394" s="290"/>
      <c r="G394" s="290"/>
      <c r="H394" s="286" t="s">
        <v>519</v>
      </c>
      <c r="I394" s="286" t="s">
        <v>520</v>
      </c>
      <c r="J394" s="291" t="s">
        <v>548</v>
      </c>
      <c r="K394" s="291" t="s">
        <v>415</v>
      </c>
      <c r="L394" s="291" t="s">
        <v>420</v>
      </c>
      <c r="M394" s="291" t="s">
        <v>475</v>
      </c>
      <c r="N394" s="291"/>
      <c r="O394" s="291">
        <v>11.0</v>
      </c>
      <c r="P394" s="292" t="s">
        <v>516</v>
      </c>
      <c r="Q394" s="292" t="s">
        <v>516</v>
      </c>
      <c r="R394" s="292" t="s">
        <v>516</v>
      </c>
      <c r="S394" s="292" t="s">
        <v>516</v>
      </c>
      <c r="T394" s="292" t="s">
        <v>516</v>
      </c>
      <c r="U394" s="287">
        <v>3.0</v>
      </c>
      <c r="V394" s="287">
        <v>18.0</v>
      </c>
      <c r="W394" s="287">
        <v>60.0</v>
      </c>
      <c r="X394" s="287">
        <v>100.0</v>
      </c>
      <c r="Y394" s="287">
        <v>30.0</v>
      </c>
      <c r="Z394" s="287">
        <v>40.0</v>
      </c>
      <c r="AA394" s="287">
        <v>5.0</v>
      </c>
      <c r="AB394" s="287">
        <v>40.0</v>
      </c>
      <c r="AC394" s="287"/>
      <c r="AD394" s="291" t="s">
        <v>1628</v>
      </c>
      <c r="AE394" s="287"/>
      <c r="AF394" s="291" t="s">
        <v>1629</v>
      </c>
      <c r="AG394" s="293">
        <v>5.0</v>
      </c>
      <c r="AH394" s="287"/>
      <c r="AI394" s="294"/>
      <c r="AJ394" s="294"/>
    </row>
    <row r="395" ht="14.25" customHeight="1">
      <c r="A395" s="286" t="s">
        <v>1415</v>
      </c>
      <c r="B395" s="287"/>
      <c r="C395" s="286" t="s">
        <v>1626</v>
      </c>
      <c r="D395" s="286" t="s">
        <v>1630</v>
      </c>
      <c r="E395" s="296">
        <v>44323.0</v>
      </c>
      <c r="F395" s="290"/>
      <c r="G395" s="290"/>
      <c r="H395" s="286" t="s">
        <v>519</v>
      </c>
      <c r="I395" s="286" t="s">
        <v>520</v>
      </c>
      <c r="J395" s="291" t="s">
        <v>548</v>
      </c>
      <c r="K395" s="291" t="s">
        <v>415</v>
      </c>
      <c r="L395" s="291" t="s">
        <v>420</v>
      </c>
      <c r="M395" s="291" t="s">
        <v>475</v>
      </c>
      <c r="N395" s="291"/>
      <c r="O395" s="291">
        <v>11.0</v>
      </c>
      <c r="P395" s="292" t="s">
        <v>516</v>
      </c>
      <c r="Q395" s="292" t="s">
        <v>516</v>
      </c>
      <c r="R395" s="292" t="s">
        <v>516</v>
      </c>
      <c r="S395" s="292" t="s">
        <v>516</v>
      </c>
      <c r="T395" s="292" t="s">
        <v>516</v>
      </c>
      <c r="U395" s="287">
        <v>3.0</v>
      </c>
      <c r="V395" s="287">
        <v>18.0</v>
      </c>
      <c r="W395" s="287">
        <v>60.0</v>
      </c>
      <c r="X395" s="287">
        <v>100.0</v>
      </c>
      <c r="Y395" s="287">
        <v>30.0</v>
      </c>
      <c r="Z395" s="287">
        <v>40.0</v>
      </c>
      <c r="AA395" s="287">
        <v>5.0</v>
      </c>
      <c r="AB395" s="287">
        <v>40.0</v>
      </c>
      <c r="AC395" s="287"/>
      <c r="AD395" s="291" t="s">
        <v>1628</v>
      </c>
      <c r="AE395" s="287"/>
      <c r="AF395" s="291" t="s">
        <v>1629</v>
      </c>
      <c r="AG395" s="293">
        <v>5.0</v>
      </c>
      <c r="AH395" s="287"/>
      <c r="AI395" s="297"/>
      <c r="AJ395" s="297"/>
    </row>
    <row r="396" ht="14.25" customHeight="1">
      <c r="A396" s="222" t="s">
        <v>1631</v>
      </c>
      <c r="B396" s="222" t="s">
        <v>1631</v>
      </c>
      <c r="C396" s="298" t="s">
        <v>1632</v>
      </c>
      <c r="D396" s="242" t="s">
        <v>1633</v>
      </c>
      <c r="E396" s="299">
        <v>38142.0</v>
      </c>
      <c r="F396" s="299">
        <v>38899.0</v>
      </c>
      <c r="G396" s="300" t="s">
        <v>512</v>
      </c>
      <c r="H396" s="242" t="s">
        <v>519</v>
      </c>
      <c r="I396" s="286" t="s">
        <v>520</v>
      </c>
      <c r="J396" s="171" t="s">
        <v>516</v>
      </c>
      <c r="K396" s="171"/>
      <c r="L396" s="171"/>
      <c r="M396" s="171"/>
      <c r="N396" s="171"/>
      <c r="O396" s="171"/>
      <c r="P396" s="270"/>
      <c r="Q396" s="270"/>
      <c r="R396" s="270"/>
      <c r="S396" s="270"/>
      <c r="T396" s="270"/>
      <c r="U396" s="112"/>
      <c r="V396" s="112"/>
      <c r="W396" s="112"/>
      <c r="X396" s="112"/>
      <c r="Y396" s="112"/>
      <c r="Z396" s="112"/>
      <c r="AA396" s="112"/>
      <c r="AB396" s="112"/>
      <c r="AC396" s="112"/>
      <c r="AD396" s="112"/>
      <c r="AE396" s="112"/>
      <c r="AF396" s="112"/>
      <c r="AG396" s="265"/>
      <c r="AH396" s="112"/>
      <c r="AI396" s="12"/>
      <c r="AJ396" s="12"/>
    </row>
    <row r="397" ht="14.25" customHeight="1">
      <c r="A397" s="222" t="s">
        <v>1631</v>
      </c>
      <c r="B397" s="222" t="s">
        <v>1631</v>
      </c>
      <c r="C397" s="298" t="s">
        <v>1634</v>
      </c>
      <c r="D397" s="242" t="s">
        <v>1635</v>
      </c>
      <c r="E397" s="299">
        <v>38317.0</v>
      </c>
      <c r="F397" s="299">
        <v>38899.0</v>
      </c>
      <c r="G397" s="300" t="s">
        <v>512</v>
      </c>
      <c r="H397" s="242" t="s">
        <v>519</v>
      </c>
      <c r="I397" s="286" t="s">
        <v>520</v>
      </c>
      <c r="J397" s="171" t="s">
        <v>516</v>
      </c>
      <c r="K397" s="171" t="s">
        <v>427</v>
      </c>
      <c r="L397" s="171" t="s">
        <v>420</v>
      </c>
      <c r="M397" s="171" t="s">
        <v>475</v>
      </c>
      <c r="N397" s="171"/>
      <c r="O397" s="171">
        <v>6.0</v>
      </c>
      <c r="P397" s="270" t="s">
        <v>516</v>
      </c>
      <c r="Q397" s="270" t="s">
        <v>516</v>
      </c>
      <c r="R397" s="270" t="s">
        <v>516</v>
      </c>
      <c r="S397" s="270" t="s">
        <v>516</v>
      </c>
      <c r="T397" s="270" t="s">
        <v>516</v>
      </c>
      <c r="U397" s="171">
        <v>3.0</v>
      </c>
      <c r="V397" s="112"/>
      <c r="W397" s="112"/>
      <c r="X397" s="112"/>
      <c r="Y397" s="112"/>
      <c r="Z397" s="112"/>
      <c r="AA397" s="112"/>
      <c r="AB397" s="112"/>
      <c r="AC397" s="112"/>
      <c r="AD397" s="171" t="s">
        <v>1636</v>
      </c>
      <c r="AE397" s="112"/>
      <c r="AF397" s="171" t="s">
        <v>1637</v>
      </c>
      <c r="AG397" s="265">
        <v>5.0</v>
      </c>
      <c r="AH397" s="112"/>
      <c r="AI397" s="12"/>
      <c r="AJ397" s="12"/>
    </row>
    <row r="398" ht="14.25" customHeight="1">
      <c r="A398" s="222" t="s">
        <v>1631</v>
      </c>
      <c r="B398" s="222" t="s">
        <v>1631</v>
      </c>
      <c r="C398" s="298" t="s">
        <v>1638</v>
      </c>
      <c r="D398" s="242" t="s">
        <v>1639</v>
      </c>
      <c r="E398" s="299">
        <v>38364.0</v>
      </c>
      <c r="F398" s="299">
        <v>38899.0</v>
      </c>
      <c r="G398" s="300" t="s">
        <v>512</v>
      </c>
      <c r="H398" s="242" t="s">
        <v>519</v>
      </c>
      <c r="I398" s="286" t="s">
        <v>520</v>
      </c>
      <c r="J398" s="171"/>
      <c r="K398" s="171"/>
      <c r="L398" s="171"/>
      <c r="M398" s="171"/>
      <c r="N398" s="171"/>
      <c r="O398" s="171"/>
      <c r="P398" s="270"/>
      <c r="Q398" s="270"/>
      <c r="R398" s="270"/>
      <c r="S398" s="270"/>
      <c r="T398" s="270"/>
      <c r="U398" s="112"/>
      <c r="V398" s="112"/>
      <c r="W398" s="112"/>
      <c r="X398" s="112"/>
      <c r="Y398" s="112"/>
      <c r="Z398" s="112"/>
      <c r="AA398" s="112"/>
      <c r="AB398" s="112"/>
      <c r="AC398" s="112"/>
      <c r="AD398" s="112"/>
      <c r="AE398" s="112"/>
      <c r="AF398" s="112"/>
      <c r="AG398" s="265"/>
      <c r="AH398" s="112"/>
      <c r="AI398" s="12"/>
      <c r="AJ398" s="12"/>
    </row>
    <row r="399" ht="14.25" customHeight="1">
      <c r="A399" s="222" t="s">
        <v>1631</v>
      </c>
      <c r="B399" s="222" t="s">
        <v>1631</v>
      </c>
      <c r="C399" s="298" t="s">
        <v>1640</v>
      </c>
      <c r="D399" s="242" t="s">
        <v>1641</v>
      </c>
      <c r="E399" s="299">
        <v>38895.0</v>
      </c>
      <c r="F399" s="299">
        <v>40179.0</v>
      </c>
      <c r="G399" s="300" t="s">
        <v>512</v>
      </c>
      <c r="H399" s="242" t="s">
        <v>519</v>
      </c>
      <c r="I399" s="286" t="s">
        <v>520</v>
      </c>
      <c r="J399" s="171" t="s">
        <v>516</v>
      </c>
      <c r="K399" s="171" t="s">
        <v>427</v>
      </c>
      <c r="L399" s="171" t="s">
        <v>420</v>
      </c>
      <c r="M399" s="171" t="s">
        <v>475</v>
      </c>
      <c r="N399" s="171"/>
      <c r="O399" s="171">
        <v>7.0</v>
      </c>
      <c r="P399" s="270" t="s">
        <v>516</v>
      </c>
      <c r="Q399" s="270" t="s">
        <v>516</v>
      </c>
      <c r="R399" s="270" t="s">
        <v>516</v>
      </c>
      <c r="S399" s="270" t="s">
        <v>516</v>
      </c>
      <c r="T399" s="270" t="s">
        <v>516</v>
      </c>
      <c r="U399" s="171">
        <v>2.0</v>
      </c>
      <c r="V399" s="112"/>
      <c r="W399" s="112"/>
      <c r="X399" s="112"/>
      <c r="Y399" s="112"/>
      <c r="Z399" s="112"/>
      <c r="AA399" s="112"/>
      <c r="AB399" s="112"/>
      <c r="AC399" s="112"/>
      <c r="AD399" s="171" t="s">
        <v>1642</v>
      </c>
      <c r="AE399" s="112"/>
      <c r="AF399" s="171" t="s">
        <v>1643</v>
      </c>
      <c r="AG399" s="265">
        <v>5.0</v>
      </c>
      <c r="AH399" s="112"/>
      <c r="AI399" s="12"/>
      <c r="AJ399" s="12"/>
    </row>
    <row r="400" ht="14.25" customHeight="1">
      <c r="A400" s="222" t="s">
        <v>1631</v>
      </c>
      <c r="B400" s="222" t="s">
        <v>1631</v>
      </c>
      <c r="C400" s="298" t="s">
        <v>1644</v>
      </c>
      <c r="D400" s="242" t="s">
        <v>1645</v>
      </c>
      <c r="E400" s="299">
        <v>38895.0</v>
      </c>
      <c r="F400" s="299">
        <v>40179.0</v>
      </c>
      <c r="G400" s="300" t="s">
        <v>512</v>
      </c>
      <c r="H400" s="242" t="s">
        <v>519</v>
      </c>
      <c r="I400" s="286" t="s">
        <v>520</v>
      </c>
      <c r="J400" s="171" t="s">
        <v>516</v>
      </c>
      <c r="K400" s="171" t="s">
        <v>424</v>
      </c>
      <c r="L400" s="171" t="s">
        <v>420</v>
      </c>
      <c r="M400" s="171" t="s">
        <v>475</v>
      </c>
      <c r="N400" s="171"/>
      <c r="O400" s="171">
        <v>7.0</v>
      </c>
      <c r="P400" s="270" t="s">
        <v>516</v>
      </c>
      <c r="Q400" s="270" t="s">
        <v>516</v>
      </c>
      <c r="R400" s="270" t="s">
        <v>516</v>
      </c>
      <c r="S400" s="270" t="s">
        <v>516</v>
      </c>
      <c r="T400" s="270" t="s">
        <v>516</v>
      </c>
      <c r="U400" s="171">
        <v>2.0</v>
      </c>
      <c r="V400" s="112"/>
      <c r="W400" s="112"/>
      <c r="X400" s="112"/>
      <c r="Y400" s="112"/>
      <c r="Z400" s="112"/>
      <c r="AA400" s="112"/>
      <c r="AB400" s="112"/>
      <c r="AC400" s="112"/>
      <c r="AD400" s="171" t="s">
        <v>1646</v>
      </c>
      <c r="AE400" s="112"/>
      <c r="AF400" s="171" t="s">
        <v>1647</v>
      </c>
      <c r="AG400" s="265">
        <v>5.0</v>
      </c>
      <c r="AH400" s="112"/>
      <c r="AI400" s="12"/>
      <c r="AJ400" s="12"/>
    </row>
    <row r="401" ht="14.25" customHeight="1">
      <c r="A401" s="222" t="s">
        <v>1631</v>
      </c>
      <c r="B401" s="222" t="s">
        <v>1631</v>
      </c>
      <c r="C401" s="298" t="s">
        <v>1648</v>
      </c>
      <c r="D401" s="242" t="s">
        <v>1649</v>
      </c>
      <c r="E401" s="299">
        <v>38898.0</v>
      </c>
      <c r="F401" s="299">
        <v>40179.0</v>
      </c>
      <c r="G401" s="300" t="s">
        <v>512</v>
      </c>
      <c r="H401" s="242" t="s">
        <v>519</v>
      </c>
      <c r="I401" s="286" t="s">
        <v>520</v>
      </c>
      <c r="J401" s="171" t="s">
        <v>516</v>
      </c>
      <c r="K401" s="171" t="s">
        <v>418</v>
      </c>
      <c r="L401" s="171" t="s">
        <v>420</v>
      </c>
      <c r="M401" s="171" t="s">
        <v>475</v>
      </c>
      <c r="N401" s="171"/>
      <c r="O401" s="171">
        <v>7.0</v>
      </c>
      <c r="P401" s="270" t="s">
        <v>516</v>
      </c>
      <c r="Q401" s="270" t="s">
        <v>516</v>
      </c>
      <c r="R401" s="270" t="s">
        <v>516</v>
      </c>
      <c r="S401" s="270" t="s">
        <v>516</v>
      </c>
      <c r="T401" s="270" t="s">
        <v>516</v>
      </c>
      <c r="U401" s="171">
        <v>2.0</v>
      </c>
      <c r="V401" s="112"/>
      <c r="W401" s="112"/>
      <c r="X401" s="112"/>
      <c r="Y401" s="112"/>
      <c r="Z401" s="112"/>
      <c r="AA401" s="112"/>
      <c r="AB401" s="112"/>
      <c r="AC401" s="112"/>
      <c r="AD401" s="171" t="s">
        <v>1650</v>
      </c>
      <c r="AE401" s="112"/>
      <c r="AF401" s="171" t="s">
        <v>1651</v>
      </c>
      <c r="AG401" s="265">
        <v>5.0</v>
      </c>
      <c r="AH401" s="112"/>
      <c r="AI401" s="12"/>
      <c r="AJ401" s="12"/>
    </row>
    <row r="402" ht="14.25" customHeight="1">
      <c r="A402" s="222" t="s">
        <v>1631</v>
      </c>
      <c r="B402" s="222" t="s">
        <v>1631</v>
      </c>
      <c r="C402" s="298" t="s">
        <v>1652</v>
      </c>
      <c r="D402" s="242" t="s">
        <v>1653</v>
      </c>
      <c r="E402" s="299">
        <v>38925.0</v>
      </c>
      <c r="F402" s="299">
        <v>40179.0</v>
      </c>
      <c r="G402" s="300" t="s">
        <v>512</v>
      </c>
      <c r="H402" s="242" t="s">
        <v>519</v>
      </c>
      <c r="I402" s="286" t="s">
        <v>520</v>
      </c>
      <c r="J402" s="171" t="s">
        <v>516</v>
      </c>
      <c r="K402" s="171" t="s">
        <v>427</v>
      </c>
      <c r="L402" s="171" t="s">
        <v>420</v>
      </c>
      <c r="M402" s="171" t="s">
        <v>475</v>
      </c>
      <c r="N402" s="171"/>
      <c r="O402" s="171">
        <v>7.0</v>
      </c>
      <c r="P402" s="270" t="s">
        <v>516</v>
      </c>
      <c r="Q402" s="270" t="s">
        <v>516</v>
      </c>
      <c r="R402" s="270" t="s">
        <v>516</v>
      </c>
      <c r="S402" s="270" t="s">
        <v>516</v>
      </c>
      <c r="T402" s="270" t="s">
        <v>516</v>
      </c>
      <c r="U402" s="171">
        <v>2.0</v>
      </c>
      <c r="V402" s="112"/>
      <c r="W402" s="112"/>
      <c r="X402" s="112"/>
      <c r="Y402" s="112"/>
      <c r="Z402" s="112"/>
      <c r="AA402" s="112"/>
      <c r="AB402" s="112"/>
      <c r="AC402" s="112"/>
      <c r="AD402" s="171" t="s">
        <v>1654</v>
      </c>
      <c r="AE402" s="112"/>
      <c r="AF402" s="112"/>
      <c r="AG402" s="265">
        <v>5.0</v>
      </c>
      <c r="AH402" s="112"/>
      <c r="AI402" s="12"/>
      <c r="AJ402" s="12"/>
    </row>
    <row r="403" ht="14.25" customHeight="1">
      <c r="A403" s="222" t="s">
        <v>1631</v>
      </c>
      <c r="B403" s="222" t="s">
        <v>1631</v>
      </c>
      <c r="C403" s="298" t="s">
        <v>1655</v>
      </c>
      <c r="D403" s="242" t="s">
        <v>1656</v>
      </c>
      <c r="E403" s="299">
        <v>38925.0</v>
      </c>
      <c r="F403" s="299">
        <v>40179.0</v>
      </c>
      <c r="G403" s="300" t="s">
        <v>512</v>
      </c>
      <c r="H403" s="242" t="s">
        <v>519</v>
      </c>
      <c r="I403" s="286" t="s">
        <v>520</v>
      </c>
      <c r="J403" s="171" t="s">
        <v>516</v>
      </c>
      <c r="K403" s="171" t="s">
        <v>424</v>
      </c>
      <c r="L403" s="171" t="s">
        <v>420</v>
      </c>
      <c r="M403" s="171" t="s">
        <v>475</v>
      </c>
      <c r="N403" s="171"/>
      <c r="O403" s="171">
        <v>7.0</v>
      </c>
      <c r="P403" s="270" t="s">
        <v>516</v>
      </c>
      <c r="Q403" s="270" t="s">
        <v>516</v>
      </c>
      <c r="R403" s="270" t="s">
        <v>516</v>
      </c>
      <c r="S403" s="270" t="s">
        <v>516</v>
      </c>
      <c r="T403" s="270" t="s">
        <v>516</v>
      </c>
      <c r="U403" s="171">
        <v>2.0</v>
      </c>
      <c r="V403" s="112"/>
      <c r="W403" s="112"/>
      <c r="X403" s="112"/>
      <c r="Y403" s="112"/>
      <c r="Z403" s="112"/>
      <c r="AA403" s="112"/>
      <c r="AB403" s="112"/>
      <c r="AC403" s="112"/>
      <c r="AD403" s="171" t="s">
        <v>1657</v>
      </c>
      <c r="AE403" s="112"/>
      <c r="AF403" s="112"/>
      <c r="AG403" s="265">
        <v>5.0</v>
      </c>
      <c r="AH403" s="112"/>
      <c r="AI403" s="12"/>
      <c r="AJ403" s="12"/>
    </row>
    <row r="404" ht="14.25" customHeight="1">
      <c r="A404" s="222" t="s">
        <v>1631</v>
      </c>
      <c r="B404" s="222" t="s">
        <v>1631</v>
      </c>
      <c r="C404" s="298" t="s">
        <v>1658</v>
      </c>
      <c r="D404" s="242" t="s">
        <v>1659</v>
      </c>
      <c r="E404" s="299">
        <v>39300.0</v>
      </c>
      <c r="F404" s="299">
        <v>40179.0</v>
      </c>
      <c r="G404" s="300" t="s">
        <v>512</v>
      </c>
      <c r="H404" s="242" t="s">
        <v>519</v>
      </c>
      <c r="I404" s="286" t="s">
        <v>520</v>
      </c>
      <c r="J404" s="171" t="s">
        <v>516</v>
      </c>
      <c r="K404" s="171" t="s">
        <v>427</v>
      </c>
      <c r="L404" s="171" t="s">
        <v>420</v>
      </c>
      <c r="M404" s="171" t="s">
        <v>475</v>
      </c>
      <c r="N404" s="171"/>
      <c r="O404" s="171">
        <v>5.0</v>
      </c>
      <c r="P404" s="270" t="s">
        <v>516</v>
      </c>
      <c r="Q404" s="270" t="s">
        <v>516</v>
      </c>
      <c r="R404" s="270" t="s">
        <v>548</v>
      </c>
      <c r="S404" s="270" t="s">
        <v>516</v>
      </c>
      <c r="T404" s="270" t="s">
        <v>516</v>
      </c>
      <c r="U404" s="171">
        <v>2.0</v>
      </c>
      <c r="V404" s="112"/>
      <c r="W404" s="112"/>
      <c r="X404" s="112"/>
      <c r="Y404" s="112"/>
      <c r="Z404" s="112"/>
      <c r="AA404" s="112"/>
      <c r="AB404" s="112"/>
      <c r="AC404" s="112"/>
      <c r="AD404" s="171" t="s">
        <v>1660</v>
      </c>
      <c r="AE404" s="112"/>
      <c r="AF404" s="171" t="s">
        <v>1661</v>
      </c>
      <c r="AG404" s="265">
        <v>35.0</v>
      </c>
      <c r="AH404" s="112"/>
      <c r="AI404" s="12"/>
      <c r="AJ404" s="12"/>
    </row>
    <row r="405" ht="14.25" customHeight="1">
      <c r="A405" s="222" t="s">
        <v>1631</v>
      </c>
      <c r="B405" s="222" t="s">
        <v>1631</v>
      </c>
      <c r="C405" s="298" t="s">
        <v>1662</v>
      </c>
      <c r="D405" s="242" t="s">
        <v>1663</v>
      </c>
      <c r="E405" s="299">
        <v>39264.0</v>
      </c>
      <c r="F405" s="299">
        <v>39832.0</v>
      </c>
      <c r="G405" s="300" t="s">
        <v>512</v>
      </c>
      <c r="H405" s="242" t="s">
        <v>513</v>
      </c>
      <c r="I405" s="286" t="s">
        <v>520</v>
      </c>
      <c r="J405" s="171"/>
      <c r="K405" s="171"/>
      <c r="L405" s="171"/>
      <c r="M405" s="171"/>
      <c r="N405" s="171"/>
      <c r="O405" s="171"/>
      <c r="P405" s="270"/>
      <c r="Q405" s="270"/>
      <c r="R405" s="270"/>
      <c r="S405" s="270"/>
      <c r="T405" s="270"/>
      <c r="U405" s="112"/>
      <c r="V405" s="112"/>
      <c r="W405" s="112"/>
      <c r="X405" s="112"/>
      <c r="Y405" s="112"/>
      <c r="Z405" s="112"/>
      <c r="AA405" s="112"/>
      <c r="AB405" s="112"/>
      <c r="AC405" s="112"/>
      <c r="AD405" s="112"/>
      <c r="AE405" s="112"/>
      <c r="AF405" s="112"/>
      <c r="AG405" s="265"/>
      <c r="AH405" s="112"/>
      <c r="AI405" s="12"/>
      <c r="AJ405" s="12"/>
    </row>
    <row r="406" ht="14.25" customHeight="1">
      <c r="A406" s="222" t="s">
        <v>1631</v>
      </c>
      <c r="B406" s="222" t="s">
        <v>1631</v>
      </c>
      <c r="C406" s="298" t="s">
        <v>1662</v>
      </c>
      <c r="D406" s="242" t="s">
        <v>1664</v>
      </c>
      <c r="E406" s="299">
        <v>39832.0</v>
      </c>
      <c r="F406" s="299">
        <v>40421.0</v>
      </c>
      <c r="G406" s="300" t="s">
        <v>512</v>
      </c>
      <c r="H406" s="242" t="s">
        <v>513</v>
      </c>
      <c r="I406" s="286" t="s">
        <v>520</v>
      </c>
      <c r="J406" s="171"/>
      <c r="K406" s="171"/>
      <c r="L406" s="171"/>
      <c r="M406" s="171"/>
      <c r="N406" s="171"/>
      <c r="O406" s="171"/>
      <c r="P406" s="270"/>
      <c r="Q406" s="270"/>
      <c r="R406" s="270"/>
      <c r="S406" s="270"/>
      <c r="T406" s="270"/>
      <c r="U406" s="112"/>
      <c r="V406" s="112"/>
      <c r="W406" s="112"/>
      <c r="X406" s="112"/>
      <c r="Y406" s="112"/>
      <c r="Z406" s="112"/>
      <c r="AA406" s="112"/>
      <c r="AB406" s="112"/>
      <c r="AC406" s="112"/>
      <c r="AD406" s="112"/>
      <c r="AE406" s="112"/>
      <c r="AF406" s="112"/>
      <c r="AG406" s="265"/>
      <c r="AH406" s="112"/>
      <c r="AI406" s="12"/>
      <c r="AJ406" s="12"/>
    </row>
    <row r="407" ht="14.25" customHeight="1">
      <c r="A407" s="222" t="s">
        <v>1631</v>
      </c>
      <c r="B407" s="222" t="s">
        <v>1631</v>
      </c>
      <c r="C407" s="298" t="s">
        <v>1662</v>
      </c>
      <c r="D407" s="242" t="s">
        <v>1665</v>
      </c>
      <c r="E407" s="299">
        <v>40582.0</v>
      </c>
      <c r="F407" s="299">
        <v>41487.0</v>
      </c>
      <c r="G407" s="300" t="s">
        <v>512</v>
      </c>
      <c r="H407" s="242" t="s">
        <v>513</v>
      </c>
      <c r="I407" s="286" t="s">
        <v>520</v>
      </c>
      <c r="J407" s="171"/>
      <c r="K407" s="171"/>
      <c r="L407" s="171"/>
      <c r="M407" s="171"/>
      <c r="N407" s="171"/>
      <c r="O407" s="171"/>
      <c r="P407" s="270"/>
      <c r="Q407" s="270"/>
      <c r="R407" s="270"/>
      <c r="S407" s="270"/>
      <c r="T407" s="270"/>
      <c r="U407" s="112"/>
      <c r="V407" s="112"/>
      <c r="W407" s="112"/>
      <c r="X407" s="112"/>
      <c r="Y407" s="112"/>
      <c r="Z407" s="112"/>
      <c r="AA407" s="112"/>
      <c r="AB407" s="112"/>
      <c r="AC407" s="112"/>
      <c r="AD407" s="112"/>
      <c r="AE407" s="112"/>
      <c r="AF407" s="112"/>
      <c r="AG407" s="265"/>
      <c r="AH407" s="112"/>
      <c r="AI407" s="12"/>
      <c r="AJ407" s="12"/>
    </row>
    <row r="408" ht="14.25" customHeight="1">
      <c r="A408" s="222" t="s">
        <v>1631</v>
      </c>
      <c r="B408" s="222" t="s">
        <v>1631</v>
      </c>
      <c r="C408" s="298" t="s">
        <v>1666</v>
      </c>
      <c r="D408" s="242" t="s">
        <v>1667</v>
      </c>
      <c r="E408" s="299">
        <v>39330.0</v>
      </c>
      <c r="F408" s="299">
        <v>40179.0</v>
      </c>
      <c r="G408" s="300" t="s">
        <v>512</v>
      </c>
      <c r="H408" s="242" t="s">
        <v>519</v>
      </c>
      <c r="I408" s="286" t="s">
        <v>520</v>
      </c>
      <c r="J408" s="171" t="s">
        <v>516</v>
      </c>
      <c r="K408" s="171" t="s">
        <v>427</v>
      </c>
      <c r="L408" s="171" t="s">
        <v>420</v>
      </c>
      <c r="M408" s="171" t="s">
        <v>475</v>
      </c>
      <c r="N408" s="171"/>
      <c r="O408" s="171">
        <v>4.0</v>
      </c>
      <c r="P408" s="270" t="s">
        <v>516</v>
      </c>
      <c r="Q408" s="270" t="s">
        <v>516</v>
      </c>
      <c r="R408" s="270" t="s">
        <v>548</v>
      </c>
      <c r="S408" s="270" t="s">
        <v>516</v>
      </c>
      <c r="T408" s="270" t="s">
        <v>516</v>
      </c>
      <c r="U408" s="171">
        <v>2.0</v>
      </c>
      <c r="V408" s="112"/>
      <c r="W408" s="112"/>
      <c r="X408" s="112"/>
      <c r="Y408" s="171">
        <v>10.0</v>
      </c>
      <c r="Z408" s="171">
        <v>20.0</v>
      </c>
      <c r="AA408" s="171">
        <v>3.0</v>
      </c>
      <c r="AB408" s="171">
        <v>20.0</v>
      </c>
      <c r="AC408" s="112"/>
      <c r="AD408" s="171" t="s">
        <v>1668</v>
      </c>
      <c r="AE408" s="112"/>
      <c r="AF408" s="171" t="s">
        <v>1669</v>
      </c>
      <c r="AG408" s="265">
        <v>36.0</v>
      </c>
      <c r="AH408" s="112"/>
      <c r="AI408" s="12"/>
      <c r="AJ408" s="12"/>
    </row>
    <row r="409" ht="14.25" customHeight="1">
      <c r="A409" s="233" t="s">
        <v>1631</v>
      </c>
      <c r="B409" s="233" t="s">
        <v>1631</v>
      </c>
      <c r="C409" s="301" t="s">
        <v>1670</v>
      </c>
      <c r="D409" s="280" t="s">
        <v>1671</v>
      </c>
      <c r="E409" s="302">
        <v>39737.0</v>
      </c>
      <c r="F409" s="302">
        <v>40179.0</v>
      </c>
      <c r="G409" s="303" t="s">
        <v>512</v>
      </c>
      <c r="H409" s="280" t="s">
        <v>519</v>
      </c>
      <c r="I409" s="304" t="s">
        <v>520</v>
      </c>
      <c r="J409" s="236" t="s">
        <v>516</v>
      </c>
      <c r="K409" s="236" t="s">
        <v>427</v>
      </c>
      <c r="L409" s="236" t="s">
        <v>420</v>
      </c>
      <c r="M409" s="236" t="s">
        <v>475</v>
      </c>
      <c r="N409" s="236"/>
      <c r="O409" s="236">
        <v>5.0</v>
      </c>
      <c r="P409" s="236" t="s">
        <v>516</v>
      </c>
      <c r="Q409" s="236" t="s">
        <v>516</v>
      </c>
      <c r="R409" s="236" t="s">
        <v>548</v>
      </c>
      <c r="S409" s="236" t="s">
        <v>516</v>
      </c>
      <c r="T409" s="236" t="s">
        <v>516</v>
      </c>
      <c r="U409" s="236">
        <v>2.0</v>
      </c>
      <c r="V409" s="236"/>
      <c r="W409" s="236"/>
      <c r="X409" s="236"/>
      <c r="Y409" s="236">
        <v>15.0</v>
      </c>
      <c r="Z409" s="236">
        <v>30.0</v>
      </c>
      <c r="AA409" s="236"/>
      <c r="AB409" s="236"/>
      <c r="AC409" s="236"/>
      <c r="AD409" s="236" t="s">
        <v>1672</v>
      </c>
      <c r="AE409" s="236"/>
      <c r="AF409" s="236" t="s">
        <v>1673</v>
      </c>
      <c r="AG409" s="237">
        <v>37.0</v>
      </c>
      <c r="AH409" s="236"/>
      <c r="AI409" s="255"/>
      <c r="AJ409" s="256"/>
    </row>
    <row r="410" ht="14.25" customHeight="1">
      <c r="A410" s="222" t="s">
        <v>1631</v>
      </c>
      <c r="B410" s="222" t="s">
        <v>1631</v>
      </c>
      <c r="C410" s="298" t="s">
        <v>1674</v>
      </c>
      <c r="D410" s="242" t="s">
        <v>1675</v>
      </c>
      <c r="E410" s="299">
        <v>39797.0</v>
      </c>
      <c r="F410" s="299">
        <v>40179.0</v>
      </c>
      <c r="G410" s="300" t="s">
        <v>512</v>
      </c>
      <c r="H410" s="242" t="s">
        <v>519</v>
      </c>
      <c r="I410" s="286" t="s">
        <v>520</v>
      </c>
      <c r="J410" s="171" t="s">
        <v>516</v>
      </c>
      <c r="K410" s="171" t="s">
        <v>430</v>
      </c>
      <c r="L410" s="171" t="s">
        <v>420</v>
      </c>
      <c r="M410" s="171" t="s">
        <v>475</v>
      </c>
      <c r="N410" s="171"/>
      <c r="O410" s="171">
        <v>5.0</v>
      </c>
      <c r="P410" s="270" t="s">
        <v>516</v>
      </c>
      <c r="Q410" s="270" t="s">
        <v>516</v>
      </c>
      <c r="R410" s="270" t="s">
        <v>548</v>
      </c>
      <c r="S410" s="270" t="s">
        <v>516</v>
      </c>
      <c r="T410" s="270" t="s">
        <v>548</v>
      </c>
      <c r="U410" s="171">
        <v>2.0</v>
      </c>
      <c r="V410" s="112"/>
      <c r="W410" s="112"/>
      <c r="X410" s="112"/>
      <c r="Y410" s="112"/>
      <c r="Z410" s="112"/>
      <c r="AA410" s="112"/>
      <c r="AB410" s="112"/>
      <c r="AC410" s="112"/>
      <c r="AD410" s="171" t="s">
        <v>1676</v>
      </c>
      <c r="AE410" s="112"/>
      <c r="AF410" s="171" t="s">
        <v>1677</v>
      </c>
      <c r="AG410" s="265">
        <v>38.0</v>
      </c>
      <c r="AH410" s="112"/>
      <c r="AI410" s="12"/>
      <c r="AJ410" s="12"/>
    </row>
    <row r="411" ht="14.25" customHeight="1">
      <c r="A411" s="233" t="s">
        <v>1631</v>
      </c>
      <c r="B411" s="233" t="s">
        <v>1631</v>
      </c>
      <c r="C411" s="301" t="s">
        <v>1678</v>
      </c>
      <c r="D411" s="280" t="s">
        <v>1679</v>
      </c>
      <c r="E411" s="302">
        <v>39815.0</v>
      </c>
      <c r="F411" s="302">
        <v>40179.0</v>
      </c>
      <c r="G411" s="303" t="s">
        <v>512</v>
      </c>
      <c r="H411" s="280" t="s">
        <v>519</v>
      </c>
      <c r="I411" s="304" t="s">
        <v>520</v>
      </c>
      <c r="J411" s="236" t="s">
        <v>516</v>
      </c>
      <c r="K411" s="236" t="s">
        <v>430</v>
      </c>
      <c r="L411" s="236" t="s">
        <v>420</v>
      </c>
      <c r="M411" s="236" t="s">
        <v>475</v>
      </c>
      <c r="N411" s="236"/>
      <c r="O411" s="236">
        <v>5.0</v>
      </c>
      <c r="P411" s="236" t="s">
        <v>516</v>
      </c>
      <c r="Q411" s="236" t="s">
        <v>516</v>
      </c>
      <c r="R411" s="236" t="s">
        <v>548</v>
      </c>
      <c r="S411" s="236" t="s">
        <v>516</v>
      </c>
      <c r="T411" s="236" t="s">
        <v>516</v>
      </c>
      <c r="U411" s="236">
        <v>2.0</v>
      </c>
      <c r="V411" s="236"/>
      <c r="W411" s="236"/>
      <c r="X411" s="236"/>
      <c r="Y411" s="236">
        <v>10.0</v>
      </c>
      <c r="Z411" s="236">
        <v>25.0</v>
      </c>
      <c r="AA411" s="236"/>
      <c r="AB411" s="236"/>
      <c r="AC411" s="236"/>
      <c r="AD411" s="236" t="s">
        <v>1680</v>
      </c>
      <c r="AE411" s="236"/>
      <c r="AF411" s="236" t="s">
        <v>1681</v>
      </c>
      <c r="AG411" s="237">
        <v>39.0</v>
      </c>
      <c r="AH411" s="236"/>
      <c r="AI411" s="255"/>
      <c r="AJ411" s="256"/>
    </row>
    <row r="412" ht="14.25" customHeight="1">
      <c r="A412" s="222" t="s">
        <v>1631</v>
      </c>
      <c r="B412" s="222" t="s">
        <v>1631</v>
      </c>
      <c r="C412" s="298" t="s">
        <v>1682</v>
      </c>
      <c r="D412" s="242" t="s">
        <v>1683</v>
      </c>
      <c r="E412" s="299">
        <v>40029.0</v>
      </c>
      <c r="F412" s="231"/>
      <c r="G412" s="231" t="s">
        <v>1684</v>
      </c>
      <c r="H412" s="242" t="s">
        <v>519</v>
      </c>
      <c r="I412" s="286" t="s">
        <v>520</v>
      </c>
      <c r="J412" s="171"/>
      <c r="K412" s="171"/>
      <c r="L412" s="171"/>
      <c r="M412" s="171"/>
      <c r="N412" s="171"/>
      <c r="O412" s="171"/>
      <c r="P412" s="270"/>
      <c r="Q412" s="270"/>
      <c r="R412" s="270"/>
      <c r="S412" s="270"/>
      <c r="T412" s="270"/>
      <c r="U412" s="112"/>
      <c r="V412" s="112"/>
      <c r="W412" s="112"/>
      <c r="X412" s="112"/>
      <c r="Y412" s="112"/>
      <c r="Z412" s="112"/>
      <c r="AA412" s="112"/>
      <c r="AB412" s="112"/>
      <c r="AC412" s="112"/>
      <c r="AD412" s="112"/>
      <c r="AE412" s="112"/>
      <c r="AF412" s="112"/>
      <c r="AG412" s="265"/>
      <c r="AH412" s="112"/>
      <c r="AI412" s="12"/>
      <c r="AJ412" s="12"/>
    </row>
    <row r="413" ht="14.25" customHeight="1">
      <c r="A413" s="222" t="s">
        <v>1631</v>
      </c>
      <c r="B413" s="222" t="s">
        <v>1631</v>
      </c>
      <c r="C413" s="298" t="s">
        <v>1685</v>
      </c>
      <c r="D413" s="242" t="s">
        <v>1686</v>
      </c>
      <c r="E413" s="299">
        <v>40119.0</v>
      </c>
      <c r="F413" s="299">
        <v>40421.0</v>
      </c>
      <c r="G413" s="300" t="s">
        <v>512</v>
      </c>
      <c r="H413" s="242" t="s">
        <v>519</v>
      </c>
      <c r="I413" s="286" t="s">
        <v>520</v>
      </c>
      <c r="J413" s="171" t="s">
        <v>516</v>
      </c>
      <c r="K413" s="171" t="s">
        <v>427</v>
      </c>
      <c r="L413" s="171" t="s">
        <v>420</v>
      </c>
      <c r="M413" s="171" t="s">
        <v>475</v>
      </c>
      <c r="N413" s="171"/>
      <c r="O413" s="171"/>
      <c r="P413" s="270"/>
      <c r="Q413" s="270"/>
      <c r="R413" s="270"/>
      <c r="S413" s="270"/>
      <c r="T413" s="270"/>
      <c r="U413" s="112"/>
      <c r="V413" s="171" t="s">
        <v>1687</v>
      </c>
      <c r="W413" s="171">
        <v>60.0</v>
      </c>
      <c r="X413" s="171">
        <v>80.0</v>
      </c>
      <c r="Y413" s="171">
        <v>20.0</v>
      </c>
      <c r="Z413" s="171">
        <v>30.0</v>
      </c>
      <c r="AA413" s="171">
        <v>20.0</v>
      </c>
      <c r="AB413" s="171">
        <v>30.0</v>
      </c>
      <c r="AC413" s="112"/>
      <c r="AD413" s="112"/>
      <c r="AE413" s="112"/>
      <c r="AF413" s="112"/>
      <c r="AG413" s="265">
        <v>5.0</v>
      </c>
      <c r="AH413" s="112"/>
      <c r="AI413" s="12"/>
      <c r="AJ413" s="12"/>
    </row>
    <row r="414" ht="14.25" customHeight="1">
      <c r="A414" s="222" t="s">
        <v>1631</v>
      </c>
      <c r="B414" s="222" t="s">
        <v>1631</v>
      </c>
      <c r="C414" s="298" t="s">
        <v>1688</v>
      </c>
      <c r="D414" s="242" t="s">
        <v>1689</v>
      </c>
      <c r="E414" s="299">
        <v>40121.0</v>
      </c>
      <c r="F414" s="299">
        <v>40421.0</v>
      </c>
      <c r="G414" s="300" t="s">
        <v>512</v>
      </c>
      <c r="H414" s="242" t="s">
        <v>519</v>
      </c>
      <c r="I414" s="286" t="s">
        <v>520</v>
      </c>
      <c r="J414" s="171" t="s">
        <v>516</v>
      </c>
      <c r="K414" s="171" t="s">
        <v>427</v>
      </c>
      <c r="L414" s="171" t="s">
        <v>420</v>
      </c>
      <c r="M414" s="171" t="s">
        <v>475</v>
      </c>
      <c r="N414" s="171"/>
      <c r="O414" s="171"/>
      <c r="P414" s="270"/>
      <c r="Q414" s="270"/>
      <c r="R414" s="270"/>
      <c r="S414" s="270"/>
      <c r="T414" s="270"/>
      <c r="U414" s="112"/>
      <c r="V414" s="112"/>
      <c r="W414" s="112"/>
      <c r="X414" s="112"/>
      <c r="Y414" s="112"/>
      <c r="Z414" s="112"/>
      <c r="AA414" s="112"/>
      <c r="AB414" s="112"/>
      <c r="AC414" s="112"/>
      <c r="AD414" s="112"/>
      <c r="AE414" s="112"/>
      <c r="AF414" s="112"/>
      <c r="AG414" s="265"/>
      <c r="AH414" s="112"/>
      <c r="AI414" s="12"/>
      <c r="AJ414" s="12"/>
    </row>
    <row r="415" ht="14.25" customHeight="1">
      <c r="A415" s="222" t="s">
        <v>1631</v>
      </c>
      <c r="B415" s="222" t="s">
        <v>1631</v>
      </c>
      <c r="C415" s="298" t="s">
        <v>1690</v>
      </c>
      <c r="D415" s="242" t="s">
        <v>1691</v>
      </c>
      <c r="E415" s="299">
        <v>40158.0</v>
      </c>
      <c r="F415" s="299">
        <v>40421.0</v>
      </c>
      <c r="G415" s="300" t="s">
        <v>512</v>
      </c>
      <c r="H415" s="242" t="s">
        <v>519</v>
      </c>
      <c r="I415" s="286" t="s">
        <v>520</v>
      </c>
      <c r="J415" s="171" t="s">
        <v>516</v>
      </c>
      <c r="K415" s="171" t="s">
        <v>427</v>
      </c>
      <c r="L415" s="171" t="s">
        <v>420</v>
      </c>
      <c r="M415" s="171" t="s">
        <v>475</v>
      </c>
      <c r="N415" s="171"/>
      <c r="O415" s="171"/>
      <c r="P415" s="270" t="s">
        <v>516</v>
      </c>
      <c r="Q415" s="270" t="s">
        <v>516</v>
      </c>
      <c r="R415" s="270" t="s">
        <v>548</v>
      </c>
      <c r="S415" s="270" t="s">
        <v>516</v>
      </c>
      <c r="T415" s="270" t="s">
        <v>516</v>
      </c>
      <c r="U415" s="171">
        <v>2.0</v>
      </c>
      <c r="V415" s="171" t="s">
        <v>1687</v>
      </c>
      <c r="W415" s="171">
        <v>55.0</v>
      </c>
      <c r="X415" s="171">
        <v>75.0</v>
      </c>
      <c r="Y415" s="171">
        <v>20.0</v>
      </c>
      <c r="Z415" s="171">
        <v>25.0</v>
      </c>
      <c r="AA415" s="171">
        <v>20.0</v>
      </c>
      <c r="AB415" s="171">
        <v>25.0</v>
      </c>
      <c r="AC415" s="112"/>
      <c r="AD415" s="171" t="s">
        <v>1692</v>
      </c>
      <c r="AE415" s="112"/>
      <c r="AF415" s="171" t="s">
        <v>1693</v>
      </c>
      <c r="AG415" s="265">
        <v>43.0</v>
      </c>
      <c r="AH415" s="112"/>
      <c r="AI415" s="12"/>
      <c r="AJ415" s="12"/>
    </row>
    <row r="416" ht="14.25" customHeight="1">
      <c r="A416" s="222" t="s">
        <v>1631</v>
      </c>
      <c r="B416" s="222" t="s">
        <v>1631</v>
      </c>
      <c r="C416" s="298" t="s">
        <v>1694</v>
      </c>
      <c r="D416" s="242" t="s">
        <v>1695</v>
      </c>
      <c r="E416" s="299">
        <v>40176.0</v>
      </c>
      <c r="F416" s="299">
        <v>40421.0</v>
      </c>
      <c r="G416" s="300" t="s">
        <v>512</v>
      </c>
      <c r="H416" s="242" t="s">
        <v>519</v>
      </c>
      <c r="I416" s="286" t="s">
        <v>520</v>
      </c>
      <c r="J416" s="171"/>
      <c r="K416" s="171"/>
      <c r="L416" s="171"/>
      <c r="M416" s="171"/>
      <c r="N416" s="171"/>
      <c r="O416" s="171"/>
      <c r="P416" s="270"/>
      <c r="Q416" s="270"/>
      <c r="R416" s="270"/>
      <c r="S416" s="270"/>
      <c r="T416" s="270"/>
      <c r="U416" s="112"/>
      <c r="V416" s="112"/>
      <c r="W416" s="112"/>
      <c r="X416" s="112"/>
      <c r="Y416" s="112"/>
      <c r="Z416" s="112"/>
      <c r="AA416" s="112"/>
      <c r="AB416" s="112"/>
      <c r="AC416" s="112"/>
      <c r="AD416" s="112"/>
      <c r="AE416" s="112"/>
      <c r="AF416" s="112"/>
      <c r="AG416" s="265"/>
      <c r="AH416" s="112"/>
      <c r="AI416" s="12"/>
      <c r="AJ416" s="12"/>
    </row>
    <row r="417" ht="14.25" customHeight="1">
      <c r="A417" s="222" t="s">
        <v>1631</v>
      </c>
      <c r="B417" s="222" t="s">
        <v>1631</v>
      </c>
      <c r="C417" s="298" t="s">
        <v>1696</v>
      </c>
      <c r="D417" s="242" t="s">
        <v>1697</v>
      </c>
      <c r="E417" s="299">
        <v>40210.0</v>
      </c>
      <c r="F417" s="299">
        <v>40421.0</v>
      </c>
      <c r="G417" s="300" t="s">
        <v>512</v>
      </c>
      <c r="H417" s="242" t="s">
        <v>519</v>
      </c>
      <c r="I417" s="286" t="s">
        <v>520</v>
      </c>
      <c r="J417" s="171" t="s">
        <v>516</v>
      </c>
      <c r="K417" s="171" t="s">
        <v>418</v>
      </c>
      <c r="L417" s="171" t="s">
        <v>468</v>
      </c>
      <c r="M417" s="171" t="s">
        <v>475</v>
      </c>
      <c r="N417" s="171"/>
      <c r="O417" s="171">
        <v>6.0</v>
      </c>
      <c r="P417" s="270" t="s">
        <v>516</v>
      </c>
      <c r="Q417" s="270" t="s">
        <v>516</v>
      </c>
      <c r="R417" s="270" t="s">
        <v>548</v>
      </c>
      <c r="S417" s="270" t="s">
        <v>516</v>
      </c>
      <c r="T417" s="270" t="s">
        <v>516</v>
      </c>
      <c r="U417" s="171">
        <v>2.0</v>
      </c>
      <c r="V417" s="112"/>
      <c r="W417" s="112"/>
      <c r="X417" s="112"/>
      <c r="Y417" s="112"/>
      <c r="Z417" s="112"/>
      <c r="AA417" s="112"/>
      <c r="AB417" s="112"/>
      <c r="AC417" s="112"/>
      <c r="AD417" s="171" t="s">
        <v>1698</v>
      </c>
      <c r="AE417" s="112"/>
      <c r="AF417" s="171" t="s">
        <v>1699</v>
      </c>
      <c r="AG417" s="265">
        <v>40.0</v>
      </c>
      <c r="AH417" s="112"/>
      <c r="AI417" s="12"/>
      <c r="AJ417" s="12"/>
    </row>
    <row r="418" ht="14.25" customHeight="1">
      <c r="A418" s="222" t="s">
        <v>1631</v>
      </c>
      <c r="B418" s="222" t="s">
        <v>1631</v>
      </c>
      <c r="C418" s="298" t="s">
        <v>1700</v>
      </c>
      <c r="D418" s="242" t="s">
        <v>1701</v>
      </c>
      <c r="E418" s="299">
        <v>40213.0</v>
      </c>
      <c r="F418" s="299">
        <v>40421.0</v>
      </c>
      <c r="G418" s="300" t="s">
        <v>512</v>
      </c>
      <c r="H418" s="242" t="s">
        <v>519</v>
      </c>
      <c r="I418" s="286" t="s">
        <v>520</v>
      </c>
      <c r="J418" s="171" t="s">
        <v>516</v>
      </c>
      <c r="K418" s="171" t="s">
        <v>427</v>
      </c>
      <c r="L418" s="171" t="s">
        <v>420</v>
      </c>
      <c r="M418" s="171" t="s">
        <v>475</v>
      </c>
      <c r="N418" s="171"/>
      <c r="O418" s="171"/>
      <c r="P418" s="270" t="s">
        <v>516</v>
      </c>
      <c r="Q418" s="270" t="s">
        <v>516</v>
      </c>
      <c r="R418" s="270" t="s">
        <v>516</v>
      </c>
      <c r="S418" s="270" t="s">
        <v>516</v>
      </c>
      <c r="T418" s="270" t="s">
        <v>516</v>
      </c>
      <c r="U418" s="171">
        <v>2.0</v>
      </c>
      <c r="V418" s="171">
        <v>18.0</v>
      </c>
      <c r="W418" s="171">
        <v>69.0</v>
      </c>
      <c r="X418" s="171">
        <v>75.0</v>
      </c>
      <c r="Y418" s="112"/>
      <c r="Z418" s="112"/>
      <c r="AA418" s="112"/>
      <c r="AB418" s="112"/>
      <c r="AC418" s="112"/>
      <c r="AD418" s="112"/>
      <c r="AE418" s="112"/>
      <c r="AF418" s="112"/>
      <c r="AG418" s="265"/>
      <c r="AH418" s="112"/>
      <c r="AI418" s="12"/>
      <c r="AJ418" s="12"/>
    </row>
    <row r="419" ht="14.25" customHeight="1">
      <c r="A419" s="222" t="s">
        <v>1631</v>
      </c>
      <c r="B419" s="222" t="s">
        <v>1631</v>
      </c>
      <c r="C419" s="298" t="s">
        <v>1702</v>
      </c>
      <c r="D419" s="242" t="s">
        <v>1703</v>
      </c>
      <c r="E419" s="299">
        <v>40227.0</v>
      </c>
      <c r="F419" s="299">
        <v>40421.0</v>
      </c>
      <c r="G419" s="300" t="s">
        <v>512</v>
      </c>
      <c r="H419" s="242" t="s">
        <v>519</v>
      </c>
      <c r="I419" s="286" t="s">
        <v>520</v>
      </c>
      <c r="J419" s="171" t="s">
        <v>516</v>
      </c>
      <c r="K419" s="171" t="s">
        <v>427</v>
      </c>
      <c r="L419" s="171" t="s">
        <v>420</v>
      </c>
      <c r="M419" s="171" t="s">
        <v>475</v>
      </c>
      <c r="N419" s="171"/>
      <c r="O419" s="171"/>
      <c r="P419" s="270" t="s">
        <v>516</v>
      </c>
      <c r="Q419" s="270" t="s">
        <v>516</v>
      </c>
      <c r="R419" s="270" t="s">
        <v>516</v>
      </c>
      <c r="S419" s="270" t="s">
        <v>516</v>
      </c>
      <c r="T419" s="270" t="s">
        <v>516</v>
      </c>
      <c r="U419" s="171">
        <v>2.0</v>
      </c>
      <c r="V419" s="112"/>
      <c r="W419" s="112"/>
      <c r="X419" s="112"/>
      <c r="Y419" s="112"/>
      <c r="Z419" s="112"/>
      <c r="AA419" s="112"/>
      <c r="AB419" s="112"/>
      <c r="AC419" s="112"/>
      <c r="AD419" s="112"/>
      <c r="AE419" s="112"/>
      <c r="AF419" s="112"/>
      <c r="AG419" s="265"/>
      <c r="AH419" s="112"/>
      <c r="AI419" s="12"/>
      <c r="AJ419" s="12"/>
    </row>
    <row r="420" ht="14.25" customHeight="1">
      <c r="A420" s="222" t="s">
        <v>1631</v>
      </c>
      <c r="B420" s="222" t="s">
        <v>1631</v>
      </c>
      <c r="C420" s="298" t="s">
        <v>1704</v>
      </c>
      <c r="D420" s="242" t="s">
        <v>1705</v>
      </c>
      <c r="E420" s="299">
        <v>40234.0</v>
      </c>
      <c r="F420" s="299">
        <v>40421.0</v>
      </c>
      <c r="G420" s="300" t="s">
        <v>512</v>
      </c>
      <c r="H420" s="242" t="s">
        <v>519</v>
      </c>
      <c r="I420" s="286" t="s">
        <v>520</v>
      </c>
      <c r="J420" s="171" t="s">
        <v>516</v>
      </c>
      <c r="K420" s="171"/>
      <c r="L420" s="171"/>
      <c r="M420" s="171"/>
      <c r="N420" s="171"/>
      <c r="O420" s="171"/>
      <c r="P420" s="270"/>
      <c r="Q420" s="270"/>
      <c r="R420" s="270"/>
      <c r="S420" s="270"/>
      <c r="T420" s="270"/>
      <c r="U420" s="112"/>
      <c r="V420" s="112"/>
      <c r="W420" s="112"/>
      <c r="X420" s="112"/>
      <c r="Y420" s="112"/>
      <c r="Z420" s="112"/>
      <c r="AA420" s="112"/>
      <c r="AB420" s="112"/>
      <c r="AC420" s="112"/>
      <c r="AD420" s="112"/>
      <c r="AE420" s="112"/>
      <c r="AF420" s="112"/>
      <c r="AG420" s="265"/>
      <c r="AH420" s="112"/>
      <c r="AI420" s="12"/>
      <c r="AJ420" s="12"/>
    </row>
    <row r="421" ht="14.25" customHeight="1">
      <c r="A421" s="222" t="s">
        <v>1631</v>
      </c>
      <c r="B421" s="222" t="s">
        <v>1631</v>
      </c>
      <c r="C421" s="298" t="s">
        <v>1706</v>
      </c>
      <c r="D421" s="242" t="s">
        <v>1707</v>
      </c>
      <c r="E421" s="299">
        <v>40420.0</v>
      </c>
      <c r="F421" s="299">
        <v>41608.0</v>
      </c>
      <c r="G421" s="225" t="s">
        <v>512</v>
      </c>
      <c r="H421" s="242" t="s">
        <v>519</v>
      </c>
      <c r="I421" s="286" t="s">
        <v>520</v>
      </c>
      <c r="J421" s="171" t="s">
        <v>516</v>
      </c>
      <c r="K421" s="171" t="s">
        <v>415</v>
      </c>
      <c r="L421" s="171" t="s">
        <v>420</v>
      </c>
      <c r="M421" s="171" t="s">
        <v>475</v>
      </c>
      <c r="N421" s="171"/>
      <c r="O421" s="171">
        <v>6.0</v>
      </c>
      <c r="P421" s="270" t="s">
        <v>516</v>
      </c>
      <c r="Q421" s="270" t="s">
        <v>516</v>
      </c>
      <c r="R421" s="270" t="s">
        <v>516</v>
      </c>
      <c r="S421" s="270" t="s">
        <v>516</v>
      </c>
      <c r="T421" s="270" t="s">
        <v>516</v>
      </c>
      <c r="U421" s="171">
        <v>2.0</v>
      </c>
      <c r="V421" s="171">
        <v>7.0</v>
      </c>
      <c r="W421" s="171">
        <v>70.0</v>
      </c>
      <c r="X421" s="171">
        <v>100.0</v>
      </c>
      <c r="Y421" s="229" t="s">
        <v>1708</v>
      </c>
      <c r="Z421" s="69"/>
      <c r="AA421" s="171">
        <v>5.0</v>
      </c>
      <c r="AB421" s="171" t="s">
        <v>1037</v>
      </c>
      <c r="AC421" s="112"/>
      <c r="AD421" s="171" t="s">
        <v>1709</v>
      </c>
      <c r="AE421" s="112"/>
      <c r="AF421" s="171" t="s">
        <v>1710</v>
      </c>
      <c r="AG421" s="265">
        <v>5.0</v>
      </c>
      <c r="AH421" s="112"/>
      <c r="AI421" s="12"/>
      <c r="AJ421" s="12"/>
    </row>
    <row r="422" ht="14.25" customHeight="1">
      <c r="A422" s="222" t="s">
        <v>1631</v>
      </c>
      <c r="B422" s="222" t="s">
        <v>1631</v>
      </c>
      <c r="C422" s="298" t="s">
        <v>1711</v>
      </c>
      <c r="D422" s="242" t="s">
        <v>1712</v>
      </c>
      <c r="E422" s="299">
        <v>41519.0</v>
      </c>
      <c r="F422" s="299">
        <v>43792.0</v>
      </c>
      <c r="G422" s="225" t="s">
        <v>512</v>
      </c>
      <c r="H422" s="242" t="s">
        <v>519</v>
      </c>
      <c r="I422" s="286" t="s">
        <v>520</v>
      </c>
      <c r="J422" s="171" t="s">
        <v>548</v>
      </c>
      <c r="K422" s="171" t="s">
        <v>415</v>
      </c>
      <c r="L422" s="171" t="s">
        <v>420</v>
      </c>
      <c r="M422" s="171" t="s">
        <v>475</v>
      </c>
      <c r="N422" s="171"/>
      <c r="O422" s="171">
        <v>6.0</v>
      </c>
      <c r="P422" s="270" t="s">
        <v>516</v>
      </c>
      <c r="Q422" s="270" t="s">
        <v>516</v>
      </c>
      <c r="R422" s="270" t="s">
        <v>516</v>
      </c>
      <c r="S422" s="270" t="s">
        <v>516</v>
      </c>
      <c r="T422" s="270" t="s">
        <v>516</v>
      </c>
      <c r="U422" s="171">
        <v>2.0</v>
      </c>
      <c r="V422" s="171">
        <v>7.0</v>
      </c>
      <c r="W422" s="171">
        <v>70.0</v>
      </c>
      <c r="X422" s="171">
        <v>100.0</v>
      </c>
      <c r="Y422" s="229" t="s">
        <v>1708</v>
      </c>
      <c r="Z422" s="69"/>
      <c r="AA422" s="171">
        <v>5.0</v>
      </c>
      <c r="AB422" s="171" t="s">
        <v>1037</v>
      </c>
      <c r="AC422" s="112"/>
      <c r="AD422" s="171" t="s">
        <v>1709</v>
      </c>
      <c r="AE422" s="112"/>
      <c r="AF422" s="171" t="s">
        <v>1710</v>
      </c>
      <c r="AG422" s="265">
        <v>5.0</v>
      </c>
      <c r="AH422" s="112"/>
      <c r="AI422" s="12"/>
      <c r="AJ422" s="12"/>
    </row>
    <row r="423" ht="14.25" customHeight="1">
      <c r="A423" s="222" t="s">
        <v>1631</v>
      </c>
      <c r="B423" s="222" t="s">
        <v>1631</v>
      </c>
      <c r="C423" s="298" t="s">
        <v>1711</v>
      </c>
      <c r="D423" s="242" t="s">
        <v>1713</v>
      </c>
      <c r="E423" s="299">
        <v>43792.0</v>
      </c>
      <c r="F423" s="231"/>
      <c r="G423" s="225"/>
      <c r="H423" s="242" t="s">
        <v>519</v>
      </c>
      <c r="I423" s="286" t="s">
        <v>520</v>
      </c>
      <c r="J423" s="171" t="s">
        <v>548</v>
      </c>
      <c r="K423" s="171" t="s">
        <v>415</v>
      </c>
      <c r="L423" s="171" t="s">
        <v>420</v>
      </c>
      <c r="M423" s="171" t="s">
        <v>475</v>
      </c>
      <c r="N423" s="171"/>
      <c r="O423" s="171">
        <v>6.0</v>
      </c>
      <c r="P423" s="270" t="s">
        <v>516</v>
      </c>
      <c r="Q423" s="270" t="s">
        <v>516</v>
      </c>
      <c r="R423" s="270" t="s">
        <v>516</v>
      </c>
      <c r="S423" s="270" t="s">
        <v>516</v>
      </c>
      <c r="T423" s="270" t="s">
        <v>516</v>
      </c>
      <c r="U423" s="171">
        <v>2.0</v>
      </c>
      <c r="V423" s="171">
        <v>7.0</v>
      </c>
      <c r="W423" s="171">
        <v>70.0</v>
      </c>
      <c r="X423" s="171">
        <v>100.0</v>
      </c>
      <c r="Y423" s="229" t="s">
        <v>1708</v>
      </c>
      <c r="Z423" s="69"/>
      <c r="AA423" s="171">
        <v>5.0</v>
      </c>
      <c r="AB423" s="171" t="s">
        <v>1037</v>
      </c>
      <c r="AC423" s="112"/>
      <c r="AD423" s="171" t="s">
        <v>1709</v>
      </c>
      <c r="AE423" s="112"/>
      <c r="AF423" s="171" t="s">
        <v>1710</v>
      </c>
      <c r="AG423" s="265">
        <v>5.0</v>
      </c>
      <c r="AH423" s="112"/>
      <c r="AI423" s="12"/>
      <c r="AJ423" s="12"/>
    </row>
    <row r="424" ht="14.25" customHeight="1">
      <c r="A424" s="222" t="s">
        <v>1631</v>
      </c>
      <c r="B424" s="222" t="s">
        <v>1631</v>
      </c>
      <c r="C424" s="298" t="s">
        <v>1714</v>
      </c>
      <c r="D424" s="242" t="s">
        <v>1715</v>
      </c>
      <c r="E424" s="299">
        <v>40491.0</v>
      </c>
      <c r="F424" s="299">
        <v>41608.0</v>
      </c>
      <c r="G424" s="225" t="s">
        <v>512</v>
      </c>
      <c r="H424" s="171" t="s">
        <v>519</v>
      </c>
      <c r="I424" s="286" t="s">
        <v>520</v>
      </c>
      <c r="J424" s="171" t="s">
        <v>516</v>
      </c>
      <c r="K424" s="171" t="s">
        <v>415</v>
      </c>
      <c r="L424" s="171" t="s">
        <v>420</v>
      </c>
      <c r="M424" s="171" t="s">
        <v>475</v>
      </c>
      <c r="N424" s="171"/>
      <c r="O424" s="171">
        <v>6.0</v>
      </c>
      <c r="P424" s="270" t="s">
        <v>516</v>
      </c>
      <c r="Q424" s="270" t="s">
        <v>516</v>
      </c>
      <c r="R424" s="270" t="s">
        <v>548</v>
      </c>
      <c r="S424" s="270" t="s">
        <v>516</v>
      </c>
      <c r="T424" s="270" t="s">
        <v>516</v>
      </c>
      <c r="U424" s="171">
        <v>2.0</v>
      </c>
      <c r="V424" s="171" t="s">
        <v>1716</v>
      </c>
      <c r="W424" s="171">
        <v>65.0</v>
      </c>
      <c r="X424" s="171">
        <v>75.0</v>
      </c>
      <c r="Y424" s="171">
        <v>10.0</v>
      </c>
      <c r="Z424" s="171">
        <v>20.0</v>
      </c>
      <c r="AA424" s="171">
        <v>1.0</v>
      </c>
      <c r="AB424" s="171">
        <v>1.0</v>
      </c>
      <c r="AC424" s="112"/>
      <c r="AD424" s="171" t="s">
        <v>1717</v>
      </c>
      <c r="AE424" s="112"/>
      <c r="AF424" s="171" t="s">
        <v>1718</v>
      </c>
      <c r="AG424" s="265">
        <v>41.0</v>
      </c>
      <c r="AH424" s="112"/>
      <c r="AI424" s="12"/>
      <c r="AJ424" s="12"/>
    </row>
    <row r="425" ht="14.25" customHeight="1">
      <c r="A425" s="222" t="s">
        <v>1631</v>
      </c>
      <c r="B425" s="222" t="s">
        <v>1631</v>
      </c>
      <c r="C425" s="298" t="s">
        <v>1719</v>
      </c>
      <c r="D425" s="242" t="s">
        <v>1720</v>
      </c>
      <c r="E425" s="299">
        <v>41519.0</v>
      </c>
      <c r="F425" s="299">
        <v>43861.0</v>
      </c>
      <c r="G425" s="225" t="s">
        <v>512</v>
      </c>
      <c r="H425" s="171" t="s">
        <v>519</v>
      </c>
      <c r="I425" s="286" t="s">
        <v>520</v>
      </c>
      <c r="J425" s="171" t="s">
        <v>548</v>
      </c>
      <c r="K425" s="171" t="s">
        <v>415</v>
      </c>
      <c r="L425" s="171" t="s">
        <v>420</v>
      </c>
      <c r="M425" s="171" t="s">
        <v>475</v>
      </c>
      <c r="N425" s="171"/>
      <c r="O425" s="171">
        <v>6.0</v>
      </c>
      <c r="P425" s="270" t="s">
        <v>516</v>
      </c>
      <c r="Q425" s="270" t="s">
        <v>516</v>
      </c>
      <c r="R425" s="270" t="s">
        <v>548</v>
      </c>
      <c r="S425" s="270" t="s">
        <v>516</v>
      </c>
      <c r="T425" s="270" t="s">
        <v>516</v>
      </c>
      <c r="U425" s="171">
        <v>2.0</v>
      </c>
      <c r="V425" s="171" t="s">
        <v>1716</v>
      </c>
      <c r="W425" s="171">
        <v>65.0</v>
      </c>
      <c r="X425" s="171">
        <v>75.0</v>
      </c>
      <c r="Y425" s="171">
        <v>10.0</v>
      </c>
      <c r="Z425" s="171">
        <v>20.0</v>
      </c>
      <c r="AA425" s="171">
        <v>1.0</v>
      </c>
      <c r="AB425" s="171">
        <v>1.0</v>
      </c>
      <c r="AC425" s="112"/>
      <c r="AD425" s="171" t="s">
        <v>1717</v>
      </c>
      <c r="AE425" s="112"/>
      <c r="AF425" s="171" t="s">
        <v>1718</v>
      </c>
      <c r="AG425" s="265">
        <v>41.0</v>
      </c>
      <c r="AH425" s="112"/>
      <c r="AI425" s="12"/>
      <c r="AJ425" s="12"/>
    </row>
    <row r="426" ht="14.25" customHeight="1">
      <c r="A426" s="222" t="s">
        <v>1631</v>
      </c>
      <c r="B426" s="222" t="s">
        <v>1631</v>
      </c>
      <c r="C426" s="298" t="s">
        <v>1721</v>
      </c>
      <c r="D426" s="242" t="s">
        <v>1722</v>
      </c>
      <c r="E426" s="299">
        <v>40548.0</v>
      </c>
      <c r="F426" s="299">
        <v>41608.0</v>
      </c>
      <c r="G426" s="225" t="s">
        <v>512</v>
      </c>
      <c r="H426" s="171" t="s">
        <v>519</v>
      </c>
      <c r="I426" s="286" t="s">
        <v>520</v>
      </c>
      <c r="J426" s="171" t="s">
        <v>516</v>
      </c>
      <c r="K426" s="171" t="s">
        <v>415</v>
      </c>
      <c r="L426" s="171" t="s">
        <v>420</v>
      </c>
      <c r="M426" s="171" t="s">
        <v>475</v>
      </c>
      <c r="N426" s="171"/>
      <c r="O426" s="171">
        <v>6.0</v>
      </c>
      <c r="P426" s="270" t="s">
        <v>516</v>
      </c>
      <c r="Q426" s="270" t="s">
        <v>516</v>
      </c>
      <c r="R426" s="270" t="s">
        <v>516</v>
      </c>
      <c r="S426" s="270" t="s">
        <v>548</v>
      </c>
      <c r="T426" s="270" t="s">
        <v>516</v>
      </c>
      <c r="U426" s="171">
        <v>2.0</v>
      </c>
      <c r="V426" s="171">
        <v>18.0</v>
      </c>
      <c r="W426" s="171">
        <v>60.0</v>
      </c>
      <c r="X426" s="171">
        <v>75.0</v>
      </c>
      <c r="Y426" s="171">
        <v>15.0</v>
      </c>
      <c r="Z426" s="171">
        <v>20.0</v>
      </c>
      <c r="AA426" s="171">
        <v>15.0</v>
      </c>
      <c r="AB426" s="171">
        <v>20.0</v>
      </c>
      <c r="AC426" s="112"/>
      <c r="AD426" s="171" t="s">
        <v>1723</v>
      </c>
      <c r="AE426" s="112"/>
      <c r="AF426" s="112"/>
      <c r="AG426" s="265">
        <v>5.0</v>
      </c>
      <c r="AH426" s="112"/>
      <c r="AI426" s="12"/>
      <c r="AJ426" s="12"/>
    </row>
    <row r="427" ht="14.25" customHeight="1">
      <c r="A427" s="222" t="s">
        <v>1631</v>
      </c>
      <c r="B427" s="222" t="s">
        <v>1631</v>
      </c>
      <c r="C427" s="298" t="s">
        <v>1724</v>
      </c>
      <c r="D427" s="242" t="s">
        <v>1725</v>
      </c>
      <c r="E427" s="299">
        <v>41519.0</v>
      </c>
      <c r="F427" s="299">
        <v>43166.0</v>
      </c>
      <c r="G427" s="225" t="s">
        <v>512</v>
      </c>
      <c r="H427" s="171" t="s">
        <v>519</v>
      </c>
      <c r="I427" s="286" t="s">
        <v>520</v>
      </c>
      <c r="J427" s="171" t="s">
        <v>548</v>
      </c>
      <c r="K427" s="171" t="s">
        <v>415</v>
      </c>
      <c r="L427" s="171" t="s">
        <v>420</v>
      </c>
      <c r="M427" s="171" t="s">
        <v>475</v>
      </c>
      <c r="N427" s="171"/>
      <c r="O427" s="171">
        <v>6.0</v>
      </c>
      <c r="P427" s="270" t="s">
        <v>516</v>
      </c>
      <c r="Q427" s="270" t="s">
        <v>516</v>
      </c>
      <c r="R427" s="270" t="s">
        <v>516</v>
      </c>
      <c r="S427" s="270" t="s">
        <v>548</v>
      </c>
      <c r="T427" s="270" t="s">
        <v>516</v>
      </c>
      <c r="U427" s="171">
        <v>2.0</v>
      </c>
      <c r="V427" s="171">
        <v>18.0</v>
      </c>
      <c r="W427" s="171">
        <v>60.0</v>
      </c>
      <c r="X427" s="171">
        <v>75.0</v>
      </c>
      <c r="Y427" s="171">
        <v>15.0</v>
      </c>
      <c r="Z427" s="171">
        <v>20.0</v>
      </c>
      <c r="AA427" s="171">
        <v>15.0</v>
      </c>
      <c r="AB427" s="171">
        <v>20.0</v>
      </c>
      <c r="AC427" s="112"/>
      <c r="AD427" s="171" t="s">
        <v>1723</v>
      </c>
      <c r="AE427" s="112"/>
      <c r="AF427" s="112"/>
      <c r="AG427" s="265">
        <v>5.0</v>
      </c>
      <c r="AH427" s="112"/>
      <c r="AI427" s="12"/>
      <c r="AJ427" s="12"/>
    </row>
    <row r="428" ht="14.25" customHeight="1">
      <c r="A428" s="222" t="s">
        <v>1631</v>
      </c>
      <c r="B428" s="222" t="s">
        <v>1631</v>
      </c>
      <c r="C428" s="298" t="s">
        <v>1726</v>
      </c>
      <c r="D428" s="242" t="s">
        <v>1727</v>
      </c>
      <c r="E428" s="299">
        <v>40851.0</v>
      </c>
      <c r="F428" s="299">
        <v>41608.0</v>
      </c>
      <c r="G428" s="225" t="s">
        <v>512</v>
      </c>
      <c r="H428" s="171" t="s">
        <v>519</v>
      </c>
      <c r="I428" s="286" t="s">
        <v>520</v>
      </c>
      <c r="J428" s="171" t="s">
        <v>516</v>
      </c>
      <c r="K428" s="171" t="s">
        <v>433</v>
      </c>
      <c r="L428" s="171" t="s">
        <v>420</v>
      </c>
      <c r="M428" s="171" t="s">
        <v>475</v>
      </c>
      <c r="N428" s="171"/>
      <c r="O428" s="171">
        <v>6.0</v>
      </c>
      <c r="P428" s="270" t="s">
        <v>516</v>
      </c>
      <c r="Q428" s="270" t="s">
        <v>516</v>
      </c>
      <c r="R428" s="270" t="s">
        <v>548</v>
      </c>
      <c r="S428" s="270" t="s">
        <v>516</v>
      </c>
      <c r="T428" s="270" t="s">
        <v>516</v>
      </c>
      <c r="U428" s="171">
        <v>2.0</v>
      </c>
      <c r="V428" s="171">
        <v>18.0</v>
      </c>
      <c r="W428" s="171">
        <v>55.0</v>
      </c>
      <c r="X428" s="171">
        <v>75.0</v>
      </c>
      <c r="Y428" s="171">
        <v>10.0</v>
      </c>
      <c r="Z428" s="171">
        <v>20.0</v>
      </c>
      <c r="AA428" s="171">
        <v>10.0</v>
      </c>
      <c r="AB428" s="171">
        <v>20.0</v>
      </c>
      <c r="AC428" s="112"/>
      <c r="AD428" s="171" t="s">
        <v>1728</v>
      </c>
      <c r="AE428" s="112"/>
      <c r="AF428" s="171" t="s">
        <v>1729</v>
      </c>
      <c r="AG428" s="265">
        <v>42.0</v>
      </c>
      <c r="AH428" s="112"/>
      <c r="AI428" s="12"/>
      <c r="AJ428" s="12"/>
    </row>
    <row r="429" ht="14.25" customHeight="1">
      <c r="A429" s="222" t="s">
        <v>1631</v>
      </c>
      <c r="B429" s="222" t="s">
        <v>1631</v>
      </c>
      <c r="C429" s="298" t="s">
        <v>1730</v>
      </c>
      <c r="D429" s="242" t="s">
        <v>1731</v>
      </c>
      <c r="E429" s="299">
        <v>41519.0</v>
      </c>
      <c r="F429" s="299">
        <v>43861.0</v>
      </c>
      <c r="G429" s="225" t="s">
        <v>512</v>
      </c>
      <c r="H429" s="171" t="s">
        <v>519</v>
      </c>
      <c r="I429" s="286" t="s">
        <v>520</v>
      </c>
      <c r="J429" s="171" t="s">
        <v>548</v>
      </c>
      <c r="K429" s="171" t="s">
        <v>433</v>
      </c>
      <c r="L429" s="171" t="s">
        <v>420</v>
      </c>
      <c r="M429" s="171" t="s">
        <v>475</v>
      </c>
      <c r="N429" s="171"/>
      <c r="O429" s="171">
        <v>6.0</v>
      </c>
      <c r="P429" s="270" t="s">
        <v>516</v>
      </c>
      <c r="Q429" s="270" t="s">
        <v>516</v>
      </c>
      <c r="R429" s="270" t="s">
        <v>548</v>
      </c>
      <c r="S429" s="270" t="s">
        <v>516</v>
      </c>
      <c r="T429" s="270" t="s">
        <v>516</v>
      </c>
      <c r="U429" s="171">
        <v>2.0</v>
      </c>
      <c r="V429" s="171">
        <v>18.0</v>
      </c>
      <c r="W429" s="171">
        <v>55.0</v>
      </c>
      <c r="X429" s="171">
        <v>75.0</v>
      </c>
      <c r="Y429" s="171">
        <v>10.0</v>
      </c>
      <c r="Z429" s="171">
        <v>20.0</v>
      </c>
      <c r="AA429" s="171">
        <v>10.0</v>
      </c>
      <c r="AB429" s="171">
        <v>20.0</v>
      </c>
      <c r="AC429" s="112"/>
      <c r="AD429" s="171" t="s">
        <v>1728</v>
      </c>
      <c r="AE429" s="112"/>
      <c r="AF429" s="171" t="s">
        <v>1729</v>
      </c>
      <c r="AG429" s="265">
        <v>42.0</v>
      </c>
      <c r="AH429" s="112"/>
      <c r="AI429" s="12"/>
      <c r="AJ429" s="12"/>
    </row>
    <row r="430" ht="14.25" customHeight="1">
      <c r="A430" s="222" t="s">
        <v>1631</v>
      </c>
      <c r="B430" s="222" t="s">
        <v>1631</v>
      </c>
      <c r="C430" s="298" t="s">
        <v>1732</v>
      </c>
      <c r="D430" s="242" t="s">
        <v>1733</v>
      </c>
      <c r="E430" s="299">
        <v>41114.0</v>
      </c>
      <c r="F430" s="299">
        <v>41608.0</v>
      </c>
      <c r="G430" s="225" t="s">
        <v>512</v>
      </c>
      <c r="H430" s="171" t="s">
        <v>519</v>
      </c>
      <c r="I430" s="286" t="s">
        <v>520</v>
      </c>
      <c r="J430" s="171" t="s">
        <v>516</v>
      </c>
      <c r="K430" s="171" t="s">
        <v>415</v>
      </c>
      <c r="L430" s="171" t="s">
        <v>420</v>
      </c>
      <c r="M430" s="171" t="s">
        <v>475</v>
      </c>
      <c r="N430" s="171"/>
      <c r="O430" s="171">
        <v>6.0</v>
      </c>
      <c r="P430" s="270" t="s">
        <v>516</v>
      </c>
      <c r="Q430" s="270" t="s">
        <v>516</v>
      </c>
      <c r="R430" s="270" t="s">
        <v>548</v>
      </c>
      <c r="S430" s="270" t="s">
        <v>516</v>
      </c>
      <c r="T430" s="270" t="s">
        <v>516</v>
      </c>
      <c r="U430" s="171">
        <v>2.0</v>
      </c>
      <c r="V430" s="171">
        <v>8.0</v>
      </c>
      <c r="W430" s="171">
        <v>65.0</v>
      </c>
      <c r="X430" s="171">
        <v>75.0</v>
      </c>
      <c r="Y430" s="171">
        <v>10.0</v>
      </c>
      <c r="Z430" s="171">
        <v>10.0</v>
      </c>
      <c r="AA430" s="171">
        <v>1.0</v>
      </c>
      <c r="AB430" s="171">
        <v>1.0</v>
      </c>
      <c r="AC430" s="112"/>
      <c r="AD430" s="171" t="s">
        <v>1734</v>
      </c>
      <c r="AE430" s="112"/>
      <c r="AF430" s="171" t="s">
        <v>1735</v>
      </c>
      <c r="AG430" s="265">
        <v>44.0</v>
      </c>
      <c r="AH430" s="112"/>
      <c r="AI430" s="12"/>
      <c r="AJ430" s="12"/>
    </row>
    <row r="431" ht="14.25" customHeight="1">
      <c r="A431" s="222" t="s">
        <v>1631</v>
      </c>
      <c r="B431" s="222" t="s">
        <v>1631</v>
      </c>
      <c r="C431" s="298" t="s">
        <v>1736</v>
      </c>
      <c r="D431" s="242" t="s">
        <v>1737</v>
      </c>
      <c r="E431" s="299">
        <v>41519.0</v>
      </c>
      <c r="F431" s="299">
        <v>43861.0</v>
      </c>
      <c r="G431" s="225" t="s">
        <v>512</v>
      </c>
      <c r="H431" s="171" t="s">
        <v>519</v>
      </c>
      <c r="I431" s="286" t="s">
        <v>520</v>
      </c>
      <c r="J431" s="171" t="s">
        <v>516</v>
      </c>
      <c r="K431" s="171" t="s">
        <v>415</v>
      </c>
      <c r="L431" s="171" t="s">
        <v>420</v>
      </c>
      <c r="M431" s="171" t="s">
        <v>475</v>
      </c>
      <c r="N431" s="171"/>
      <c r="O431" s="171">
        <v>6.0</v>
      </c>
      <c r="P431" s="270" t="s">
        <v>516</v>
      </c>
      <c r="Q431" s="270" t="s">
        <v>516</v>
      </c>
      <c r="R431" s="270" t="s">
        <v>548</v>
      </c>
      <c r="S431" s="270" t="s">
        <v>516</v>
      </c>
      <c r="T431" s="270" t="s">
        <v>516</v>
      </c>
      <c r="U431" s="171">
        <v>2.0</v>
      </c>
      <c r="V431" s="171">
        <v>8.0</v>
      </c>
      <c r="W431" s="171">
        <v>65.0</v>
      </c>
      <c r="X431" s="171">
        <v>75.0</v>
      </c>
      <c r="Y431" s="171">
        <v>10.0</v>
      </c>
      <c r="Z431" s="171">
        <v>10.0</v>
      </c>
      <c r="AA431" s="171">
        <v>1.0</v>
      </c>
      <c r="AB431" s="171">
        <v>1.0</v>
      </c>
      <c r="AC431" s="112"/>
      <c r="AD431" s="171" t="s">
        <v>1734</v>
      </c>
      <c r="AE431" s="112"/>
      <c r="AF431" s="171" t="s">
        <v>1735</v>
      </c>
      <c r="AG431" s="265">
        <v>44.0</v>
      </c>
      <c r="AH431" s="112"/>
      <c r="AI431" s="12"/>
      <c r="AJ431" s="12"/>
    </row>
    <row r="432" ht="14.25" customHeight="1">
      <c r="A432" s="222" t="s">
        <v>1631</v>
      </c>
      <c r="B432" s="222" t="s">
        <v>1631</v>
      </c>
      <c r="C432" s="298" t="s">
        <v>1738</v>
      </c>
      <c r="D432" s="242" t="s">
        <v>1739</v>
      </c>
      <c r="E432" s="299">
        <v>41661.0</v>
      </c>
      <c r="F432" s="299">
        <v>42293.0</v>
      </c>
      <c r="G432" s="225" t="s">
        <v>512</v>
      </c>
      <c r="H432" s="171" t="s">
        <v>513</v>
      </c>
      <c r="I432" s="286" t="s">
        <v>520</v>
      </c>
      <c r="J432" s="171"/>
      <c r="K432" s="171"/>
      <c r="L432" s="171"/>
      <c r="M432" s="171"/>
      <c r="N432" s="171"/>
      <c r="O432" s="171"/>
      <c r="P432" s="270"/>
      <c r="Q432" s="270"/>
      <c r="R432" s="270"/>
      <c r="S432" s="270"/>
      <c r="T432" s="270"/>
      <c r="U432" s="112"/>
      <c r="V432" s="112"/>
      <c r="W432" s="112"/>
      <c r="X432" s="112"/>
      <c r="Y432" s="112"/>
      <c r="Z432" s="112"/>
      <c r="AA432" s="112"/>
      <c r="AB432" s="112"/>
      <c r="AC432" s="112"/>
      <c r="AD432" s="112"/>
      <c r="AE432" s="112"/>
      <c r="AF432" s="112"/>
      <c r="AG432" s="265"/>
      <c r="AH432" s="112"/>
      <c r="AI432" s="12"/>
      <c r="AJ432" s="12"/>
    </row>
    <row r="433" ht="14.25" customHeight="1">
      <c r="A433" s="222" t="s">
        <v>1631</v>
      </c>
      <c r="B433" s="222" t="s">
        <v>1631</v>
      </c>
      <c r="C433" s="298" t="s">
        <v>1738</v>
      </c>
      <c r="D433" s="242" t="s">
        <v>1740</v>
      </c>
      <c r="E433" s="299">
        <v>42202.0</v>
      </c>
      <c r="F433" s="299">
        <v>42873.0</v>
      </c>
      <c r="G433" s="225" t="s">
        <v>512</v>
      </c>
      <c r="H433" s="171" t="s">
        <v>513</v>
      </c>
      <c r="I433" s="286" t="s">
        <v>520</v>
      </c>
      <c r="J433" s="171"/>
      <c r="K433" s="171"/>
      <c r="L433" s="171"/>
      <c r="M433" s="171"/>
      <c r="N433" s="171"/>
      <c r="O433" s="171"/>
      <c r="P433" s="270"/>
      <c r="Q433" s="270"/>
      <c r="R433" s="270"/>
      <c r="S433" s="270"/>
      <c r="T433" s="270"/>
      <c r="U433" s="112"/>
      <c r="V433" s="112"/>
      <c r="W433" s="112"/>
      <c r="X433" s="112"/>
      <c r="Y433" s="112"/>
      <c r="Z433" s="112"/>
      <c r="AA433" s="112"/>
      <c r="AB433" s="112"/>
      <c r="AC433" s="112"/>
      <c r="AD433" s="112"/>
      <c r="AE433" s="112"/>
      <c r="AF433" s="112"/>
      <c r="AG433" s="265"/>
      <c r="AH433" s="112"/>
      <c r="AI433" s="12"/>
      <c r="AJ433" s="12"/>
    </row>
    <row r="434" ht="14.25" customHeight="1">
      <c r="A434" s="222" t="s">
        <v>1631</v>
      </c>
      <c r="B434" s="222" t="s">
        <v>1631</v>
      </c>
      <c r="C434" s="298" t="s">
        <v>1738</v>
      </c>
      <c r="D434" s="242" t="s">
        <v>1741</v>
      </c>
      <c r="E434" s="299">
        <v>42874.0</v>
      </c>
      <c r="F434" s="231"/>
      <c r="G434" s="225"/>
      <c r="H434" s="171" t="s">
        <v>513</v>
      </c>
      <c r="I434" s="286" t="s">
        <v>520</v>
      </c>
      <c r="J434" s="171"/>
      <c r="K434" s="171"/>
      <c r="L434" s="171"/>
      <c r="M434" s="171"/>
      <c r="N434" s="171"/>
      <c r="O434" s="171"/>
      <c r="P434" s="270"/>
      <c r="Q434" s="270"/>
      <c r="R434" s="270"/>
      <c r="S434" s="270"/>
      <c r="T434" s="270"/>
      <c r="U434" s="112"/>
      <c r="V434" s="112"/>
      <c r="W434" s="112"/>
      <c r="X434" s="112"/>
      <c r="Y434" s="112"/>
      <c r="Z434" s="112"/>
      <c r="AA434" s="112"/>
      <c r="AB434" s="112"/>
      <c r="AC434" s="112"/>
      <c r="AD434" s="112"/>
      <c r="AE434" s="112"/>
      <c r="AF434" s="112"/>
      <c r="AG434" s="265"/>
      <c r="AH434" s="112"/>
      <c r="AI434" s="12"/>
      <c r="AJ434" s="12"/>
    </row>
    <row r="435" ht="14.25" customHeight="1">
      <c r="A435" s="222" t="s">
        <v>1631</v>
      </c>
      <c r="B435" s="222" t="s">
        <v>1631</v>
      </c>
      <c r="C435" s="298" t="s">
        <v>1742</v>
      </c>
      <c r="D435" s="242" t="s">
        <v>1743</v>
      </c>
      <c r="E435" s="299">
        <v>42488.0</v>
      </c>
      <c r="F435" s="299">
        <v>43861.0</v>
      </c>
      <c r="G435" s="231" t="s">
        <v>512</v>
      </c>
      <c r="H435" s="171" t="s">
        <v>519</v>
      </c>
      <c r="I435" s="286" t="s">
        <v>520</v>
      </c>
      <c r="J435" s="171" t="s">
        <v>548</v>
      </c>
      <c r="K435" s="171" t="s">
        <v>415</v>
      </c>
      <c r="L435" s="171" t="s">
        <v>420</v>
      </c>
      <c r="M435" s="171" t="s">
        <v>475</v>
      </c>
      <c r="N435" s="171"/>
      <c r="O435" s="171">
        <v>10.0</v>
      </c>
      <c r="P435" s="270" t="s">
        <v>516</v>
      </c>
      <c r="Q435" s="270" t="s">
        <v>516</v>
      </c>
      <c r="R435" s="270" t="s">
        <v>548</v>
      </c>
      <c r="S435" s="270" t="s">
        <v>516</v>
      </c>
      <c r="T435" s="270" t="s">
        <v>516</v>
      </c>
      <c r="U435" s="171">
        <v>3.0</v>
      </c>
      <c r="V435" s="171" t="s">
        <v>779</v>
      </c>
      <c r="W435" s="171">
        <v>60.0</v>
      </c>
      <c r="X435" s="171">
        <v>80.0</v>
      </c>
      <c r="Y435" s="171">
        <v>10.0</v>
      </c>
      <c r="Z435" s="171">
        <v>30.0</v>
      </c>
      <c r="AA435" s="171">
        <v>1.0</v>
      </c>
      <c r="AB435" s="171">
        <v>30.0</v>
      </c>
      <c r="AC435" s="112"/>
      <c r="AD435" s="171" t="s">
        <v>1744</v>
      </c>
      <c r="AE435" s="171">
        <v>600.0</v>
      </c>
      <c r="AF435" s="171" t="s">
        <v>1745</v>
      </c>
      <c r="AG435" s="274"/>
      <c r="AH435" s="112"/>
      <c r="AI435" s="12"/>
      <c r="AJ435" s="12"/>
    </row>
    <row r="436" ht="14.25" customHeight="1">
      <c r="A436" s="222" t="s">
        <v>1631</v>
      </c>
      <c r="B436" s="222" t="s">
        <v>1631</v>
      </c>
      <c r="C436" s="298" t="s">
        <v>1742</v>
      </c>
      <c r="D436" s="242" t="s">
        <v>1746</v>
      </c>
      <c r="E436" s="299">
        <v>43882.0</v>
      </c>
      <c r="F436" s="231"/>
      <c r="G436" s="231"/>
      <c r="H436" s="171" t="s">
        <v>519</v>
      </c>
      <c r="I436" s="286" t="s">
        <v>520</v>
      </c>
      <c r="J436" s="171" t="s">
        <v>548</v>
      </c>
      <c r="K436" s="171" t="s">
        <v>415</v>
      </c>
      <c r="L436" s="171" t="s">
        <v>420</v>
      </c>
      <c r="M436" s="171" t="s">
        <v>475</v>
      </c>
      <c r="N436" s="171"/>
      <c r="O436" s="171">
        <v>10.0</v>
      </c>
      <c r="P436" s="270" t="s">
        <v>516</v>
      </c>
      <c r="Q436" s="270" t="s">
        <v>516</v>
      </c>
      <c r="R436" s="270" t="s">
        <v>548</v>
      </c>
      <c r="S436" s="270" t="s">
        <v>516</v>
      </c>
      <c r="T436" s="270" t="s">
        <v>516</v>
      </c>
      <c r="U436" s="171">
        <v>3.0</v>
      </c>
      <c r="V436" s="171" t="s">
        <v>779</v>
      </c>
      <c r="W436" s="171">
        <v>60.0</v>
      </c>
      <c r="X436" s="171">
        <v>80.0</v>
      </c>
      <c r="Y436" s="171">
        <v>10.0</v>
      </c>
      <c r="Z436" s="171">
        <v>30.0</v>
      </c>
      <c r="AA436" s="171">
        <v>1.0</v>
      </c>
      <c r="AB436" s="171">
        <v>30.0</v>
      </c>
      <c r="AC436" s="112"/>
      <c r="AD436" s="171" t="s">
        <v>1744</v>
      </c>
      <c r="AE436" s="171">
        <v>600.0</v>
      </c>
      <c r="AF436" s="171" t="s">
        <v>1745</v>
      </c>
      <c r="AG436" s="274"/>
      <c r="AH436" s="112"/>
      <c r="AI436" s="12"/>
      <c r="AJ436" s="12"/>
    </row>
    <row r="437" ht="14.25" customHeight="1">
      <c r="A437" s="222" t="s">
        <v>1631</v>
      </c>
      <c r="B437" s="222" t="s">
        <v>1631</v>
      </c>
      <c r="C437" s="298" t="s">
        <v>1747</v>
      </c>
      <c r="D437" s="242" t="s">
        <v>1748</v>
      </c>
      <c r="E437" s="299">
        <v>43166.0</v>
      </c>
      <c r="F437" s="299">
        <v>43861.0</v>
      </c>
      <c r="G437" s="231" t="s">
        <v>512</v>
      </c>
      <c r="H437" s="171" t="s">
        <v>519</v>
      </c>
      <c r="I437" s="286" t="s">
        <v>520</v>
      </c>
      <c r="J437" s="171" t="s">
        <v>516</v>
      </c>
      <c r="K437" s="171" t="s">
        <v>415</v>
      </c>
      <c r="L437" s="171" t="s">
        <v>420</v>
      </c>
      <c r="M437" s="171" t="s">
        <v>475</v>
      </c>
      <c r="N437" s="171"/>
      <c r="O437" s="171">
        <v>11.0</v>
      </c>
      <c r="P437" s="270" t="s">
        <v>516</v>
      </c>
      <c r="Q437" s="270" t="s">
        <v>516</v>
      </c>
      <c r="R437" s="270" t="s">
        <v>516</v>
      </c>
      <c r="S437" s="270" t="s">
        <v>516</v>
      </c>
      <c r="T437" s="270" t="s">
        <v>548</v>
      </c>
      <c r="U437" s="171">
        <v>2.0</v>
      </c>
      <c r="V437" s="171" t="s">
        <v>779</v>
      </c>
      <c r="W437" s="171">
        <v>65.0</v>
      </c>
      <c r="X437" s="171">
        <v>99.0</v>
      </c>
      <c r="Y437" s="229" t="s">
        <v>599</v>
      </c>
      <c r="Z437" s="69"/>
      <c r="AA437" s="171">
        <v>8.0</v>
      </c>
      <c r="AB437" s="171">
        <v>25.0</v>
      </c>
      <c r="AC437" s="112"/>
      <c r="AD437" s="171" t="s">
        <v>1749</v>
      </c>
      <c r="AE437" s="171">
        <v>600.0</v>
      </c>
      <c r="AF437" s="171" t="s">
        <v>1750</v>
      </c>
      <c r="AG437" s="265">
        <v>5.0</v>
      </c>
      <c r="AH437" s="112"/>
      <c r="AI437" s="12"/>
      <c r="AJ437" s="12"/>
    </row>
    <row r="438" ht="14.25" customHeight="1">
      <c r="A438" s="222" t="s">
        <v>1631</v>
      </c>
      <c r="B438" s="222" t="s">
        <v>1631</v>
      </c>
      <c r="C438" s="298" t="s">
        <v>1751</v>
      </c>
      <c r="D438" s="242" t="s">
        <v>1752</v>
      </c>
      <c r="E438" s="299">
        <v>43998.0</v>
      </c>
      <c r="F438" s="231"/>
      <c r="G438" s="231"/>
      <c r="H438" s="171" t="s">
        <v>519</v>
      </c>
      <c r="I438" s="286" t="s">
        <v>520</v>
      </c>
      <c r="J438" s="171" t="s">
        <v>548</v>
      </c>
      <c r="K438" s="171" t="s">
        <v>415</v>
      </c>
      <c r="L438" s="171" t="s">
        <v>420</v>
      </c>
      <c r="M438" s="171" t="s">
        <v>475</v>
      </c>
      <c r="N438" s="171"/>
      <c r="O438" s="171">
        <v>11.0</v>
      </c>
      <c r="P438" s="270" t="s">
        <v>516</v>
      </c>
      <c r="Q438" s="270" t="s">
        <v>516</v>
      </c>
      <c r="R438" s="270" t="s">
        <v>516</v>
      </c>
      <c r="S438" s="270" t="s">
        <v>516</v>
      </c>
      <c r="T438" s="270" t="s">
        <v>548</v>
      </c>
      <c r="U438" s="171">
        <v>3.0</v>
      </c>
      <c r="V438" s="171" t="s">
        <v>779</v>
      </c>
      <c r="W438" s="171">
        <v>70.0</v>
      </c>
      <c r="X438" s="171">
        <v>99.0</v>
      </c>
      <c r="Y438" s="229" t="s">
        <v>599</v>
      </c>
      <c r="Z438" s="69"/>
      <c r="AA438" s="171">
        <v>1.0</v>
      </c>
      <c r="AB438" s="171">
        <v>99.0</v>
      </c>
      <c r="AC438" s="112"/>
      <c r="AD438" s="171" t="s">
        <v>1753</v>
      </c>
      <c r="AE438" s="171">
        <v>600.0</v>
      </c>
      <c r="AF438" s="171" t="s">
        <v>1754</v>
      </c>
      <c r="AG438" s="265">
        <v>5.0</v>
      </c>
      <c r="AH438" s="112"/>
      <c r="AI438" s="12"/>
      <c r="AJ438" s="12"/>
    </row>
    <row r="439" ht="14.25" customHeight="1">
      <c r="A439" s="242" t="s">
        <v>1755</v>
      </c>
      <c r="B439" s="242" t="s">
        <v>1756</v>
      </c>
      <c r="C439" s="298" t="s">
        <v>1757</v>
      </c>
      <c r="D439" s="242" t="s">
        <v>1756</v>
      </c>
      <c r="E439" s="300">
        <v>38933.0</v>
      </c>
      <c r="F439" s="300">
        <v>40166.0</v>
      </c>
      <c r="G439" s="225" t="s">
        <v>523</v>
      </c>
      <c r="H439" s="171" t="s">
        <v>1758</v>
      </c>
      <c r="I439" s="286" t="s">
        <v>520</v>
      </c>
      <c r="J439" s="112" t="s">
        <v>516</v>
      </c>
      <c r="K439" s="171" t="s">
        <v>427</v>
      </c>
      <c r="L439" s="171" t="s">
        <v>420</v>
      </c>
      <c r="M439" s="171" t="s">
        <v>475</v>
      </c>
      <c r="N439" s="112"/>
      <c r="O439" s="112">
        <v>5.0</v>
      </c>
      <c r="P439" s="112"/>
      <c r="Q439" s="112"/>
      <c r="R439" s="112" t="s">
        <v>548</v>
      </c>
      <c r="S439" s="112"/>
      <c r="T439" s="112"/>
      <c r="U439" s="112">
        <v>2.0</v>
      </c>
      <c r="V439" s="112"/>
      <c r="W439" s="112"/>
      <c r="X439" s="112"/>
      <c r="Y439" s="112"/>
      <c r="Z439" s="112"/>
      <c r="AA439" s="112"/>
      <c r="AB439" s="112"/>
      <c r="AC439" s="112"/>
      <c r="AD439" s="112" t="s">
        <v>1759</v>
      </c>
      <c r="AE439" s="112"/>
      <c r="AF439" s="112" t="s">
        <v>1760</v>
      </c>
      <c r="AG439" s="265">
        <v>45.0</v>
      </c>
      <c r="AH439" s="112"/>
      <c r="AI439" s="12"/>
      <c r="AJ439" s="12"/>
    </row>
    <row r="440" ht="14.25" customHeight="1">
      <c r="A440" s="242" t="s">
        <v>1755</v>
      </c>
      <c r="B440" s="242" t="s">
        <v>1761</v>
      </c>
      <c r="C440" s="298" t="s">
        <v>1757</v>
      </c>
      <c r="D440" s="242" t="s">
        <v>1761</v>
      </c>
      <c r="E440" s="300">
        <v>40166.0</v>
      </c>
      <c r="F440" s="300">
        <v>40421.0</v>
      </c>
      <c r="G440" s="225" t="s">
        <v>523</v>
      </c>
      <c r="H440" s="171" t="s">
        <v>1758</v>
      </c>
      <c r="I440" s="286" t="s">
        <v>520</v>
      </c>
      <c r="J440" s="112" t="s">
        <v>516</v>
      </c>
      <c r="K440" s="171" t="s">
        <v>427</v>
      </c>
      <c r="L440" s="171" t="s">
        <v>420</v>
      </c>
      <c r="M440" s="171" t="s">
        <v>475</v>
      </c>
      <c r="N440" s="112"/>
      <c r="O440" s="112">
        <v>6.0</v>
      </c>
      <c r="P440" s="112"/>
      <c r="Q440" s="112" t="s">
        <v>516</v>
      </c>
      <c r="R440" s="112" t="s">
        <v>548</v>
      </c>
      <c r="S440" s="305"/>
      <c r="T440" s="112"/>
      <c r="U440" s="112">
        <v>2.0</v>
      </c>
      <c r="V440" s="112"/>
      <c r="W440" s="112"/>
      <c r="X440" s="112"/>
      <c r="Y440" s="112"/>
      <c r="Z440" s="112"/>
      <c r="AA440" s="112"/>
      <c r="AB440" s="112"/>
      <c r="AC440" s="112"/>
      <c r="AD440" s="112" t="s">
        <v>1759</v>
      </c>
      <c r="AE440" s="112"/>
      <c r="AF440" s="112" t="s">
        <v>1760</v>
      </c>
      <c r="AG440" s="265">
        <v>45.0</v>
      </c>
      <c r="AH440" s="112"/>
      <c r="AI440" s="12"/>
      <c r="AJ440" s="12"/>
    </row>
    <row r="441" ht="14.25" customHeight="1">
      <c r="A441" s="242" t="s">
        <v>1755</v>
      </c>
      <c r="B441" s="242" t="s">
        <v>1762</v>
      </c>
      <c r="C441" s="298" t="s">
        <v>1763</v>
      </c>
      <c r="D441" s="242" t="s">
        <v>1762</v>
      </c>
      <c r="E441" s="300">
        <v>38943.0</v>
      </c>
      <c r="F441" s="300">
        <v>40179.0</v>
      </c>
      <c r="G441" s="225" t="s">
        <v>523</v>
      </c>
      <c r="H441" s="171" t="s">
        <v>1758</v>
      </c>
      <c r="I441" s="286" t="s">
        <v>520</v>
      </c>
      <c r="J441" s="112" t="s">
        <v>548</v>
      </c>
      <c r="K441" s="171" t="s">
        <v>427</v>
      </c>
      <c r="L441" s="171" t="s">
        <v>420</v>
      </c>
      <c r="M441" s="171" t="s">
        <v>477</v>
      </c>
      <c r="N441" s="112"/>
      <c r="O441" s="112">
        <v>4.0</v>
      </c>
      <c r="P441" s="112"/>
      <c r="Q441" s="112" t="s">
        <v>516</v>
      </c>
      <c r="R441" s="112" t="s">
        <v>548</v>
      </c>
      <c r="S441" s="112"/>
      <c r="T441" s="112"/>
      <c r="U441" s="112">
        <v>2.0</v>
      </c>
      <c r="V441" s="112">
        <v>0.0</v>
      </c>
      <c r="W441" s="112">
        <v>60.0</v>
      </c>
      <c r="X441" s="112">
        <v>70.0</v>
      </c>
      <c r="Y441" s="112"/>
      <c r="Z441" s="112" t="s">
        <v>1764</v>
      </c>
      <c r="AA441" s="112"/>
      <c r="AB441" s="112"/>
      <c r="AC441" s="112"/>
      <c r="AD441" s="112" t="s">
        <v>1765</v>
      </c>
      <c r="AE441" s="112"/>
      <c r="AF441" s="112" t="s">
        <v>1766</v>
      </c>
      <c r="AG441" s="265">
        <v>46.0</v>
      </c>
      <c r="AH441" s="112"/>
      <c r="AI441" s="12"/>
      <c r="AJ441" s="12"/>
    </row>
    <row r="442" ht="14.25" customHeight="1">
      <c r="A442" s="242" t="s">
        <v>1755</v>
      </c>
      <c r="B442" s="242" t="s">
        <v>1767</v>
      </c>
      <c r="C442" s="298" t="s">
        <v>1768</v>
      </c>
      <c r="D442" s="242" t="s">
        <v>1767</v>
      </c>
      <c r="E442" s="300">
        <v>38943.0</v>
      </c>
      <c r="F442" s="300">
        <v>40179.0</v>
      </c>
      <c r="G442" s="225" t="s">
        <v>523</v>
      </c>
      <c r="H442" s="171" t="s">
        <v>1758</v>
      </c>
      <c r="I442" s="286" t="s">
        <v>520</v>
      </c>
      <c r="J442" s="112" t="s">
        <v>516</v>
      </c>
      <c r="K442" s="171" t="s">
        <v>424</v>
      </c>
      <c r="L442" s="171" t="s">
        <v>420</v>
      </c>
      <c r="M442" s="171" t="s">
        <v>475</v>
      </c>
      <c r="N442" s="112"/>
      <c r="O442" s="112">
        <v>5.0</v>
      </c>
      <c r="P442" s="112"/>
      <c r="Q442" s="112"/>
      <c r="R442" s="112" t="s">
        <v>548</v>
      </c>
      <c r="S442" s="112"/>
      <c r="T442" s="112"/>
      <c r="U442" s="112">
        <v>2.0</v>
      </c>
      <c r="V442" s="112"/>
      <c r="W442" s="112"/>
      <c r="X442" s="112"/>
      <c r="Y442" s="112"/>
      <c r="Z442" s="112"/>
      <c r="AA442" s="112"/>
      <c r="AB442" s="112"/>
      <c r="AC442" s="112"/>
      <c r="AD442" s="112" t="s">
        <v>1769</v>
      </c>
      <c r="AE442" s="112"/>
      <c r="AF442" s="112" t="s">
        <v>1770</v>
      </c>
      <c r="AG442" s="112">
        <v>46.0</v>
      </c>
      <c r="AH442" s="112"/>
      <c r="AI442" s="12"/>
      <c r="AJ442" s="12"/>
    </row>
    <row r="443" ht="14.25" customHeight="1">
      <c r="A443" s="242" t="s">
        <v>1755</v>
      </c>
      <c r="B443" s="242" t="s">
        <v>1771</v>
      </c>
      <c r="C443" s="298" t="s">
        <v>1772</v>
      </c>
      <c r="D443" s="242" t="s">
        <v>1771</v>
      </c>
      <c r="E443" s="300">
        <v>39119.0</v>
      </c>
      <c r="F443" s="300">
        <v>40179.0</v>
      </c>
      <c r="G443" s="225" t="s">
        <v>523</v>
      </c>
      <c r="H443" s="171" t="s">
        <v>1758</v>
      </c>
      <c r="I443" s="286" t="s">
        <v>520</v>
      </c>
      <c r="J443" s="112" t="s">
        <v>516</v>
      </c>
      <c r="K443" s="171" t="s">
        <v>427</v>
      </c>
      <c r="L443" s="171" t="s">
        <v>420</v>
      </c>
      <c r="M443" s="171" t="s">
        <v>475</v>
      </c>
      <c r="N443" s="112"/>
      <c r="O443" s="112">
        <v>5.0</v>
      </c>
      <c r="P443" s="112"/>
      <c r="Q443" s="112" t="s">
        <v>516</v>
      </c>
      <c r="R443" s="112" t="s">
        <v>548</v>
      </c>
      <c r="S443" s="112"/>
      <c r="T443" s="112"/>
      <c r="U443" s="112"/>
      <c r="V443" s="112"/>
      <c r="W443" s="112"/>
      <c r="X443" s="112"/>
      <c r="Y443" s="112"/>
      <c r="Z443" s="112"/>
      <c r="AA443" s="112"/>
      <c r="AB443" s="112"/>
      <c r="AC443" s="112"/>
      <c r="AD443" s="112" t="s">
        <v>1773</v>
      </c>
      <c r="AE443" s="112"/>
      <c r="AF443" s="112" t="s">
        <v>1774</v>
      </c>
      <c r="AG443" s="112">
        <v>47.0</v>
      </c>
      <c r="AH443" s="112"/>
      <c r="AI443" s="12"/>
      <c r="AJ443" s="12"/>
    </row>
    <row r="444" ht="14.25" customHeight="1">
      <c r="A444" s="242" t="s">
        <v>1755</v>
      </c>
      <c r="B444" s="242" t="s">
        <v>1775</v>
      </c>
      <c r="C444" s="298" t="s">
        <v>1776</v>
      </c>
      <c r="D444" s="242" t="s">
        <v>1775</v>
      </c>
      <c r="E444" s="300">
        <v>39289.0</v>
      </c>
      <c r="F444" s="300">
        <v>40179.0</v>
      </c>
      <c r="G444" s="225" t="s">
        <v>523</v>
      </c>
      <c r="H444" s="171" t="s">
        <v>1758</v>
      </c>
      <c r="I444" s="286" t="s">
        <v>520</v>
      </c>
      <c r="J444" s="112" t="s">
        <v>516</v>
      </c>
      <c r="K444" s="171" t="s">
        <v>427</v>
      </c>
      <c r="L444" s="171" t="s">
        <v>469</v>
      </c>
      <c r="M444" s="171" t="s">
        <v>475</v>
      </c>
      <c r="N444" s="112"/>
      <c r="O444" s="112">
        <v>5.0</v>
      </c>
      <c r="P444" s="112"/>
      <c r="Q444" s="112" t="s">
        <v>548</v>
      </c>
      <c r="R444" s="112"/>
      <c r="S444" s="112"/>
      <c r="T444" s="112"/>
      <c r="U444" s="112">
        <v>2.0</v>
      </c>
      <c r="V444" s="112"/>
      <c r="W444" s="112"/>
      <c r="X444" s="112"/>
      <c r="Y444" s="112"/>
      <c r="Z444" s="112"/>
      <c r="AA444" s="112"/>
      <c r="AB444" s="112"/>
      <c r="AC444" s="112"/>
      <c r="AD444" s="112" t="s">
        <v>1777</v>
      </c>
      <c r="AE444" s="112"/>
      <c r="AF444" s="112" t="s">
        <v>1778</v>
      </c>
      <c r="AG444" s="265">
        <v>5.0</v>
      </c>
      <c r="AH444" s="112"/>
      <c r="AI444" s="12"/>
      <c r="AJ444" s="12"/>
    </row>
    <row r="445" ht="14.25" customHeight="1">
      <c r="A445" s="242" t="s">
        <v>1755</v>
      </c>
      <c r="B445" s="242" t="s">
        <v>1779</v>
      </c>
      <c r="C445" s="298" t="s">
        <v>1780</v>
      </c>
      <c r="D445" s="242" t="s">
        <v>1779</v>
      </c>
      <c r="E445" s="300">
        <v>39419.0</v>
      </c>
      <c r="F445" s="300">
        <v>40179.0</v>
      </c>
      <c r="G445" s="225" t="s">
        <v>523</v>
      </c>
      <c r="H445" s="171" t="s">
        <v>1758</v>
      </c>
      <c r="I445" s="286" t="s">
        <v>520</v>
      </c>
      <c r="J445" s="112" t="s">
        <v>516</v>
      </c>
      <c r="K445" s="171" t="s">
        <v>418</v>
      </c>
      <c r="L445" s="171" t="s">
        <v>420</v>
      </c>
      <c r="M445" s="171" t="s">
        <v>475</v>
      </c>
      <c r="N445" s="112"/>
      <c r="O445" s="112">
        <v>5.0</v>
      </c>
      <c r="P445" s="112"/>
      <c r="Q445" s="112"/>
      <c r="R445" s="112" t="s">
        <v>548</v>
      </c>
      <c r="S445" s="112"/>
      <c r="T445" s="112"/>
      <c r="U445" s="112">
        <v>2.0</v>
      </c>
      <c r="V445" s="112"/>
      <c r="W445" s="112"/>
      <c r="X445" s="112"/>
      <c r="Y445" s="112"/>
      <c r="Z445" s="112"/>
      <c r="AA445" s="112"/>
      <c r="AB445" s="112"/>
      <c r="AC445" s="112"/>
      <c r="AD445" s="112" t="s">
        <v>1781</v>
      </c>
      <c r="AE445" s="112"/>
      <c r="AF445" s="112" t="s">
        <v>1782</v>
      </c>
      <c r="AG445" s="112">
        <v>48.0</v>
      </c>
      <c r="AH445" s="112"/>
      <c r="AI445" s="12"/>
      <c r="AJ445" s="12"/>
    </row>
    <row r="446" ht="14.25" customHeight="1">
      <c r="A446" s="242" t="s">
        <v>1755</v>
      </c>
      <c r="B446" s="242" t="s">
        <v>1783</v>
      </c>
      <c r="C446" s="298" t="s">
        <v>1784</v>
      </c>
      <c r="D446" s="242" t="s">
        <v>1783</v>
      </c>
      <c r="E446" s="300">
        <v>39710.0</v>
      </c>
      <c r="F446" s="300">
        <v>40179.0</v>
      </c>
      <c r="G446" s="225" t="s">
        <v>523</v>
      </c>
      <c r="H446" s="171" t="s">
        <v>1758</v>
      </c>
      <c r="I446" s="286" t="s">
        <v>520</v>
      </c>
      <c r="J446" s="112" t="s">
        <v>548</v>
      </c>
      <c r="K446" s="171" t="s">
        <v>427</v>
      </c>
      <c r="L446" s="171" t="s">
        <v>469</v>
      </c>
      <c r="M446" s="171" t="s">
        <v>475</v>
      </c>
      <c r="N446" s="112"/>
      <c r="O446" s="112">
        <v>4.0</v>
      </c>
      <c r="P446" s="112"/>
      <c r="Q446" s="112" t="s">
        <v>548</v>
      </c>
      <c r="R446" s="112" t="s">
        <v>516</v>
      </c>
      <c r="S446" s="112"/>
      <c r="T446" s="112"/>
      <c r="U446" s="112">
        <v>2.0</v>
      </c>
      <c r="V446" s="112">
        <v>5.0</v>
      </c>
      <c r="W446" s="112">
        <v>55.0</v>
      </c>
      <c r="X446" s="112">
        <v>70.0</v>
      </c>
      <c r="Y446" s="112"/>
      <c r="Z446" s="112"/>
      <c r="AA446" s="112"/>
      <c r="AB446" s="112"/>
      <c r="AC446" s="112"/>
      <c r="AD446" s="112" t="s">
        <v>1785</v>
      </c>
      <c r="AE446" s="112"/>
      <c r="AF446" s="112" t="s">
        <v>1786</v>
      </c>
      <c r="AG446" s="265">
        <v>5.0</v>
      </c>
      <c r="AH446" s="112"/>
      <c r="AI446" s="12"/>
      <c r="AJ446" s="12"/>
    </row>
    <row r="447" ht="14.25" customHeight="1">
      <c r="A447" s="242" t="s">
        <v>1755</v>
      </c>
      <c r="B447" s="242" t="s">
        <v>1787</v>
      </c>
      <c r="C447" s="298" t="s">
        <v>1788</v>
      </c>
      <c r="D447" s="242" t="s">
        <v>1787</v>
      </c>
      <c r="E447" s="300">
        <v>39773.0</v>
      </c>
      <c r="F447" s="300">
        <v>40179.0</v>
      </c>
      <c r="G447" s="225" t="s">
        <v>523</v>
      </c>
      <c r="H447" s="171" t="s">
        <v>1758</v>
      </c>
      <c r="I447" s="286" t="s">
        <v>520</v>
      </c>
      <c r="J447" s="112" t="s">
        <v>516</v>
      </c>
      <c r="K447" s="171" t="s">
        <v>430</v>
      </c>
      <c r="L447" s="171" t="s">
        <v>420</v>
      </c>
      <c r="M447" s="171" t="s">
        <v>475</v>
      </c>
      <c r="N447" s="112"/>
      <c r="O447" s="112">
        <v>5.0</v>
      </c>
      <c r="P447" s="112"/>
      <c r="Q447" s="112"/>
      <c r="R447" s="112" t="s">
        <v>548</v>
      </c>
      <c r="S447" s="112"/>
      <c r="T447" s="112"/>
      <c r="U447" s="112">
        <v>2.0</v>
      </c>
      <c r="V447" s="112"/>
      <c r="W447" s="112"/>
      <c r="X447" s="112"/>
      <c r="Y447" s="112"/>
      <c r="Z447" s="112"/>
      <c r="AA447" s="112"/>
      <c r="AB447" s="112"/>
      <c r="AC447" s="112"/>
      <c r="AD447" s="112" t="s">
        <v>1789</v>
      </c>
      <c r="AE447" s="112"/>
      <c r="AF447" s="112" t="s">
        <v>1790</v>
      </c>
      <c r="AG447" s="265">
        <v>49.0</v>
      </c>
      <c r="AH447" s="112"/>
      <c r="AI447" s="12"/>
      <c r="AJ447" s="12"/>
    </row>
    <row r="448" ht="14.25" customHeight="1">
      <c r="A448" s="242" t="s">
        <v>1755</v>
      </c>
      <c r="B448" s="242" t="s">
        <v>1791</v>
      </c>
      <c r="C448" s="298" t="s">
        <v>1792</v>
      </c>
      <c r="D448" s="242" t="s">
        <v>1791</v>
      </c>
      <c r="E448" s="300">
        <v>39934.0</v>
      </c>
      <c r="F448" s="300">
        <v>40179.0</v>
      </c>
      <c r="G448" s="225" t="s">
        <v>523</v>
      </c>
      <c r="H448" s="171" t="s">
        <v>1758</v>
      </c>
      <c r="I448" s="286" t="s">
        <v>520</v>
      </c>
      <c r="J448" s="112" t="s">
        <v>516</v>
      </c>
      <c r="K448" s="171" t="s">
        <v>424</v>
      </c>
      <c r="L448" s="171" t="s">
        <v>470</v>
      </c>
      <c r="M448" s="171" t="s">
        <v>475</v>
      </c>
      <c r="N448" s="112"/>
      <c r="O448" s="112">
        <v>6.0</v>
      </c>
      <c r="P448" s="112"/>
      <c r="Q448" s="112"/>
      <c r="R448" s="112" t="s">
        <v>548</v>
      </c>
      <c r="S448" s="112"/>
      <c r="T448" s="112"/>
      <c r="U448" s="112">
        <v>2.0</v>
      </c>
      <c r="V448" s="112"/>
      <c r="W448" s="112"/>
      <c r="X448" s="112"/>
      <c r="Y448" s="112"/>
      <c r="Z448" s="112"/>
      <c r="AA448" s="112"/>
      <c r="AB448" s="112"/>
      <c r="AC448" s="112"/>
      <c r="AD448" s="112" t="s">
        <v>1793</v>
      </c>
      <c r="AE448" s="112"/>
      <c r="AF448" s="112" t="s">
        <v>1794</v>
      </c>
      <c r="AG448" s="112">
        <v>50.0</v>
      </c>
      <c r="AH448" s="112"/>
      <c r="AI448" s="12"/>
      <c r="AJ448" s="12"/>
    </row>
    <row r="449" ht="14.25" customHeight="1">
      <c r="A449" s="242" t="s">
        <v>1755</v>
      </c>
      <c r="B449" s="242" t="s">
        <v>1795</v>
      </c>
      <c r="C449" s="298" t="s">
        <v>1796</v>
      </c>
      <c r="D449" s="242" t="s">
        <v>1795</v>
      </c>
      <c r="E449" s="300">
        <v>39934.0</v>
      </c>
      <c r="F449" s="300">
        <v>40168.0</v>
      </c>
      <c r="G449" s="225" t="s">
        <v>523</v>
      </c>
      <c r="H449" s="171" t="s">
        <v>1758</v>
      </c>
      <c r="I449" s="286" t="s">
        <v>520</v>
      </c>
      <c r="J449" s="112" t="s">
        <v>516</v>
      </c>
      <c r="K449" s="171" t="s">
        <v>424</v>
      </c>
      <c r="L449" s="171" t="s">
        <v>470</v>
      </c>
      <c r="M449" s="171" t="s">
        <v>475</v>
      </c>
      <c r="N449" s="112"/>
      <c r="O449" s="112">
        <v>6.0</v>
      </c>
      <c r="P449" s="112"/>
      <c r="Q449" s="112"/>
      <c r="R449" s="112" t="s">
        <v>548</v>
      </c>
      <c r="S449" s="112"/>
      <c r="T449" s="112"/>
      <c r="U449" s="112">
        <v>2.0</v>
      </c>
      <c r="V449" s="112"/>
      <c r="W449" s="112"/>
      <c r="X449" s="112"/>
      <c r="Y449" s="112"/>
      <c r="Z449" s="112"/>
      <c r="AA449" s="112"/>
      <c r="AB449" s="112"/>
      <c r="AC449" s="112"/>
      <c r="AD449" s="112" t="s">
        <v>1797</v>
      </c>
      <c r="AE449" s="112"/>
      <c r="AF449" s="112" t="s">
        <v>1798</v>
      </c>
      <c r="AG449" s="265">
        <v>50.0</v>
      </c>
      <c r="AH449" s="112"/>
      <c r="AI449" s="12"/>
      <c r="AJ449" s="12"/>
    </row>
    <row r="450" ht="14.25" customHeight="1">
      <c r="A450" s="242" t="s">
        <v>1755</v>
      </c>
      <c r="B450" s="242" t="s">
        <v>1799</v>
      </c>
      <c r="C450" s="298" t="s">
        <v>1796</v>
      </c>
      <c r="D450" s="242" t="s">
        <v>1799</v>
      </c>
      <c r="E450" s="300">
        <v>40168.0</v>
      </c>
      <c r="F450" s="300">
        <v>40421.0</v>
      </c>
      <c r="G450" s="225" t="s">
        <v>523</v>
      </c>
      <c r="H450" s="171" t="s">
        <v>1758</v>
      </c>
      <c r="I450" s="286" t="s">
        <v>520</v>
      </c>
      <c r="J450" s="112" t="s">
        <v>516</v>
      </c>
      <c r="K450" s="171" t="s">
        <v>424</v>
      </c>
      <c r="L450" s="171" t="s">
        <v>470</v>
      </c>
      <c r="M450" s="171" t="s">
        <v>475</v>
      </c>
      <c r="N450" s="112"/>
      <c r="O450" s="112">
        <v>6.0</v>
      </c>
      <c r="P450" s="112"/>
      <c r="Q450" s="112"/>
      <c r="R450" s="112" t="s">
        <v>548</v>
      </c>
      <c r="S450" s="112"/>
      <c r="T450" s="112"/>
      <c r="U450" s="112">
        <v>2.0</v>
      </c>
      <c r="V450" s="112"/>
      <c r="W450" s="112"/>
      <c r="X450" s="112"/>
      <c r="Y450" s="112"/>
      <c r="Z450" s="112"/>
      <c r="AA450" s="112"/>
      <c r="AB450" s="112"/>
      <c r="AC450" s="112"/>
      <c r="AD450" s="112" t="s">
        <v>1797</v>
      </c>
      <c r="AE450" s="112"/>
      <c r="AF450" s="112" t="s">
        <v>1798</v>
      </c>
      <c r="AG450" s="112">
        <v>51.0</v>
      </c>
      <c r="AH450" s="112"/>
      <c r="AI450" s="12"/>
      <c r="AJ450" s="12"/>
    </row>
    <row r="451" ht="14.25" customHeight="1">
      <c r="A451" s="242" t="s">
        <v>1755</v>
      </c>
      <c r="B451" s="242" t="s">
        <v>1800</v>
      </c>
      <c r="C451" s="306" t="s">
        <v>1801</v>
      </c>
      <c r="D451" s="242" t="s">
        <v>1800</v>
      </c>
      <c r="E451" s="300">
        <v>39980.0</v>
      </c>
      <c r="F451" s="300">
        <v>40179.0</v>
      </c>
      <c r="G451" s="225" t="s">
        <v>523</v>
      </c>
      <c r="H451" s="171" t="s">
        <v>1758</v>
      </c>
      <c r="I451" s="286" t="s">
        <v>520</v>
      </c>
      <c r="J451" s="112" t="s">
        <v>516</v>
      </c>
      <c r="K451" s="185" t="s">
        <v>427</v>
      </c>
      <c r="L451" s="171" t="s">
        <v>420</v>
      </c>
      <c r="M451" s="171" t="s">
        <v>475</v>
      </c>
      <c r="N451" s="112"/>
      <c r="O451" s="112">
        <v>5.0</v>
      </c>
      <c r="P451" s="112"/>
      <c r="Q451" s="112" t="s">
        <v>548</v>
      </c>
      <c r="R451" s="112" t="s">
        <v>548</v>
      </c>
      <c r="S451" s="112"/>
      <c r="T451" s="112"/>
      <c r="U451" s="112">
        <v>2.0</v>
      </c>
      <c r="V451" s="112"/>
      <c r="W451" s="112"/>
      <c r="X451" s="112"/>
      <c r="Y451" s="112"/>
      <c r="Z451" s="112"/>
      <c r="AA451" s="112"/>
      <c r="AB451" s="112"/>
      <c r="AC451" s="112"/>
      <c r="AD451" s="112" t="s">
        <v>1802</v>
      </c>
      <c r="AE451" s="112"/>
      <c r="AF451" s="112" t="s">
        <v>1803</v>
      </c>
      <c r="AG451" s="112">
        <v>52.0</v>
      </c>
      <c r="AH451" s="112"/>
      <c r="AI451" s="12"/>
      <c r="AJ451" s="12"/>
    </row>
    <row r="452" ht="14.25" customHeight="1">
      <c r="A452" s="242" t="s">
        <v>1755</v>
      </c>
      <c r="B452" s="242" t="s">
        <v>1804</v>
      </c>
      <c r="C452" s="298" t="s">
        <v>1805</v>
      </c>
      <c r="D452" s="242" t="s">
        <v>1804</v>
      </c>
      <c r="E452" s="300">
        <v>40142.0</v>
      </c>
      <c r="F452" s="300">
        <v>40421.0</v>
      </c>
      <c r="G452" s="225" t="s">
        <v>523</v>
      </c>
      <c r="H452" s="171" t="s">
        <v>1758</v>
      </c>
      <c r="I452" s="286" t="s">
        <v>520</v>
      </c>
      <c r="J452" s="112" t="s">
        <v>516</v>
      </c>
      <c r="K452" s="171" t="s">
        <v>418</v>
      </c>
      <c r="L452" s="171" t="s">
        <v>420</v>
      </c>
      <c r="M452" s="171" t="s">
        <v>475</v>
      </c>
      <c r="N452" s="112"/>
      <c r="O452" s="112">
        <v>6.0</v>
      </c>
      <c r="P452" s="112"/>
      <c r="Q452" s="112"/>
      <c r="R452" s="112" t="s">
        <v>548</v>
      </c>
      <c r="S452" s="112"/>
      <c r="T452" s="112"/>
      <c r="U452" s="112">
        <v>2.0</v>
      </c>
      <c r="V452" s="112"/>
      <c r="W452" s="112"/>
      <c r="X452" s="112"/>
      <c r="Y452" s="112"/>
      <c r="Z452" s="112"/>
      <c r="AA452" s="112"/>
      <c r="AB452" s="112"/>
      <c r="AC452" s="112"/>
      <c r="AD452" s="112" t="s">
        <v>1806</v>
      </c>
      <c r="AE452" s="112"/>
      <c r="AF452" s="112" t="s">
        <v>1807</v>
      </c>
      <c r="AG452" s="112">
        <v>53.0</v>
      </c>
      <c r="AH452" s="112"/>
      <c r="AI452" s="12"/>
      <c r="AJ452" s="12"/>
    </row>
    <row r="453" ht="14.25" customHeight="1">
      <c r="A453" s="242" t="s">
        <v>1755</v>
      </c>
      <c r="B453" s="242" t="s">
        <v>1808</v>
      </c>
      <c r="C453" s="306" t="s">
        <v>1809</v>
      </c>
      <c r="D453" s="242" t="s">
        <v>1808</v>
      </c>
      <c r="E453" s="300">
        <v>40155.0</v>
      </c>
      <c r="F453" s="300">
        <v>40421.0</v>
      </c>
      <c r="G453" s="225" t="s">
        <v>523</v>
      </c>
      <c r="H453" s="171" t="s">
        <v>1758</v>
      </c>
      <c r="I453" s="286" t="s">
        <v>520</v>
      </c>
      <c r="J453" s="112" t="s">
        <v>516</v>
      </c>
      <c r="K453" s="185" t="s">
        <v>427</v>
      </c>
      <c r="L453" s="171" t="s">
        <v>420</v>
      </c>
      <c r="M453" s="171" t="s">
        <v>475</v>
      </c>
      <c r="N453" s="112"/>
      <c r="O453" s="112">
        <v>6.0</v>
      </c>
      <c r="P453" s="112"/>
      <c r="Q453" s="112" t="s">
        <v>548</v>
      </c>
      <c r="R453" s="274" t="s">
        <v>548</v>
      </c>
      <c r="S453" s="112"/>
      <c r="T453" s="112"/>
      <c r="U453" s="112">
        <v>2.0</v>
      </c>
      <c r="V453" s="112"/>
      <c r="W453" s="112"/>
      <c r="X453" s="112"/>
      <c r="Y453" s="112"/>
      <c r="Z453" s="112"/>
      <c r="AA453" s="112"/>
      <c r="AB453" s="112"/>
      <c r="AC453" s="112"/>
      <c r="AD453" s="112" t="s">
        <v>1810</v>
      </c>
      <c r="AE453" s="112"/>
      <c r="AF453" s="112" t="s">
        <v>1811</v>
      </c>
      <c r="AG453" s="265">
        <v>54.0</v>
      </c>
      <c r="AH453" s="112"/>
      <c r="AI453" s="12"/>
      <c r="AJ453" s="12"/>
    </row>
    <row r="454" ht="14.25" customHeight="1">
      <c r="A454" s="242" t="s">
        <v>1755</v>
      </c>
      <c r="B454" s="242" t="s">
        <v>1812</v>
      </c>
      <c r="C454" s="306" t="s">
        <v>1813</v>
      </c>
      <c r="D454" s="242" t="s">
        <v>1812</v>
      </c>
      <c r="E454" s="300">
        <v>40155.0</v>
      </c>
      <c r="F454" s="300">
        <v>40421.0</v>
      </c>
      <c r="G454" s="225" t="s">
        <v>523</v>
      </c>
      <c r="H454" s="171" t="s">
        <v>1758</v>
      </c>
      <c r="I454" s="286" t="s">
        <v>520</v>
      </c>
      <c r="J454" s="112" t="s">
        <v>516</v>
      </c>
      <c r="K454" s="171"/>
      <c r="L454" s="171" t="s">
        <v>420</v>
      </c>
      <c r="M454" s="171" t="s">
        <v>475</v>
      </c>
      <c r="N454" s="112"/>
      <c r="O454" s="112">
        <v>6.0</v>
      </c>
      <c r="P454" s="112"/>
      <c r="Q454" s="112"/>
      <c r="R454" s="274"/>
      <c r="S454" s="112"/>
      <c r="T454" s="112"/>
      <c r="U454" s="112">
        <v>2.0</v>
      </c>
      <c r="V454" s="112"/>
      <c r="W454" s="112"/>
      <c r="X454" s="112"/>
      <c r="Y454" s="112"/>
      <c r="Z454" s="112"/>
      <c r="AA454" s="112"/>
      <c r="AB454" s="112"/>
      <c r="AC454" s="112"/>
      <c r="AD454" s="112" t="s">
        <v>1814</v>
      </c>
      <c r="AE454" s="112"/>
      <c r="AF454" s="112" t="s">
        <v>1815</v>
      </c>
      <c r="AG454" s="265">
        <v>5.0</v>
      </c>
      <c r="AH454" s="112"/>
      <c r="AI454" s="12"/>
      <c r="AJ454" s="12"/>
    </row>
    <row r="455" ht="14.25" customHeight="1">
      <c r="A455" s="242" t="s">
        <v>1755</v>
      </c>
      <c r="B455" s="242" t="s">
        <v>1816</v>
      </c>
      <c r="C455" s="298" t="s">
        <v>1817</v>
      </c>
      <c r="D455" s="242" t="s">
        <v>1816</v>
      </c>
      <c r="E455" s="300">
        <v>40156.0</v>
      </c>
      <c r="F455" s="300">
        <v>40421.0</v>
      </c>
      <c r="G455" s="225" t="s">
        <v>523</v>
      </c>
      <c r="H455" s="171" t="s">
        <v>1758</v>
      </c>
      <c r="I455" s="286" t="s">
        <v>520</v>
      </c>
      <c r="J455" s="112" t="s">
        <v>516</v>
      </c>
      <c r="K455" s="171" t="s">
        <v>430</v>
      </c>
      <c r="L455" s="171" t="s">
        <v>420</v>
      </c>
      <c r="M455" s="171" t="s">
        <v>475</v>
      </c>
      <c r="N455" s="112"/>
      <c r="O455" s="112">
        <v>6.0</v>
      </c>
      <c r="P455" s="112"/>
      <c r="Q455" s="112"/>
      <c r="R455" s="112" t="s">
        <v>548</v>
      </c>
      <c r="S455" s="112"/>
      <c r="T455" s="112"/>
      <c r="U455" s="112">
        <v>2.0</v>
      </c>
      <c r="V455" s="112"/>
      <c r="W455" s="112"/>
      <c r="X455" s="112"/>
      <c r="Y455" s="112"/>
      <c r="Z455" s="112"/>
      <c r="AA455" s="112"/>
      <c r="AB455" s="112"/>
      <c r="AC455" s="112"/>
      <c r="AD455" s="112" t="s">
        <v>1818</v>
      </c>
      <c r="AE455" s="112"/>
      <c r="AF455" s="112" t="s">
        <v>1819</v>
      </c>
      <c r="AG455" s="265">
        <v>55.0</v>
      </c>
      <c r="AH455" s="112"/>
      <c r="AI455" s="12"/>
      <c r="AJ455" s="12"/>
    </row>
    <row r="456" ht="14.25" customHeight="1">
      <c r="A456" s="242" t="s">
        <v>1755</v>
      </c>
      <c r="B456" s="242" t="s">
        <v>1820</v>
      </c>
      <c r="C456" s="306" t="s">
        <v>1821</v>
      </c>
      <c r="D456" s="242" t="s">
        <v>1820</v>
      </c>
      <c r="E456" s="300">
        <v>40171.0</v>
      </c>
      <c r="F456" s="300">
        <v>40421.0</v>
      </c>
      <c r="G456" s="225" t="s">
        <v>523</v>
      </c>
      <c r="H456" s="171" t="s">
        <v>1758</v>
      </c>
      <c r="I456" s="286" t="s">
        <v>520</v>
      </c>
      <c r="J456" s="112" t="s">
        <v>516</v>
      </c>
      <c r="K456" s="185" t="s">
        <v>427</v>
      </c>
      <c r="L456" s="171" t="s">
        <v>420</v>
      </c>
      <c r="M456" s="171" t="s">
        <v>475</v>
      </c>
      <c r="N456" s="112"/>
      <c r="O456" s="112">
        <v>6.0</v>
      </c>
      <c r="P456" s="112"/>
      <c r="Q456" s="112" t="s">
        <v>548</v>
      </c>
      <c r="R456" s="112" t="s">
        <v>548</v>
      </c>
      <c r="S456" s="112"/>
      <c r="T456" s="112"/>
      <c r="U456" s="112">
        <v>2.0</v>
      </c>
      <c r="V456" s="112"/>
      <c r="W456" s="112"/>
      <c r="X456" s="112"/>
      <c r="Y456" s="112"/>
      <c r="Z456" s="112"/>
      <c r="AA456" s="112"/>
      <c r="AB456" s="112"/>
      <c r="AC456" s="112"/>
      <c r="AD456" s="112" t="s">
        <v>1822</v>
      </c>
      <c r="AE456" s="112"/>
      <c r="AF456" s="112" t="s">
        <v>1823</v>
      </c>
      <c r="AG456" s="112">
        <v>56.0</v>
      </c>
      <c r="AH456" s="112"/>
      <c r="AI456" s="12"/>
      <c r="AJ456" s="12"/>
    </row>
    <row r="457" ht="14.25" customHeight="1">
      <c r="A457" s="242" t="s">
        <v>1755</v>
      </c>
      <c r="B457" s="242" t="s">
        <v>1824</v>
      </c>
      <c r="C457" s="298" t="s">
        <v>1825</v>
      </c>
      <c r="D457" s="242" t="s">
        <v>1824</v>
      </c>
      <c r="E457" s="300">
        <v>40177.0</v>
      </c>
      <c r="F457" s="300">
        <v>40421.0</v>
      </c>
      <c r="G457" s="225" t="s">
        <v>523</v>
      </c>
      <c r="H457" s="171" t="s">
        <v>1758</v>
      </c>
      <c r="I457" s="286" t="s">
        <v>520</v>
      </c>
      <c r="J457" s="112" t="s">
        <v>548</v>
      </c>
      <c r="K457" s="171" t="s">
        <v>418</v>
      </c>
      <c r="L457" s="171" t="s">
        <v>420</v>
      </c>
      <c r="M457" s="171" t="s">
        <v>475</v>
      </c>
      <c r="N457" s="112"/>
      <c r="O457" s="112">
        <v>6.0</v>
      </c>
      <c r="P457" s="112"/>
      <c r="Q457" s="112"/>
      <c r="R457" s="112" t="s">
        <v>548</v>
      </c>
      <c r="S457" s="112"/>
      <c r="T457" s="112"/>
      <c r="U457" s="112">
        <v>2.0</v>
      </c>
      <c r="V457" s="112">
        <v>18.0</v>
      </c>
      <c r="W457" s="112">
        <v>75.0</v>
      </c>
      <c r="X457" s="112">
        <v>90.0</v>
      </c>
      <c r="Y457" s="112">
        <v>10.0</v>
      </c>
      <c r="Z457" s="112"/>
      <c r="AA457" s="112"/>
      <c r="AB457" s="112"/>
      <c r="AC457" s="112"/>
      <c r="AD457" s="112" t="s">
        <v>1826</v>
      </c>
      <c r="AE457" s="112"/>
      <c r="AF457" s="112" t="s">
        <v>1827</v>
      </c>
      <c r="AG457" s="112">
        <v>57.0</v>
      </c>
      <c r="AH457" s="112"/>
      <c r="AI457" s="12"/>
      <c r="AJ457" s="12"/>
    </row>
    <row r="458" ht="14.25" customHeight="1">
      <c r="A458" s="242" t="s">
        <v>1755</v>
      </c>
      <c r="B458" s="242" t="s">
        <v>1828</v>
      </c>
      <c r="C458" s="298" t="s">
        <v>1829</v>
      </c>
      <c r="D458" s="242" t="s">
        <v>1828</v>
      </c>
      <c r="E458" s="300">
        <v>40184.0</v>
      </c>
      <c r="F458" s="300">
        <v>40421.0</v>
      </c>
      <c r="G458" s="225" t="s">
        <v>523</v>
      </c>
      <c r="H458" s="171" t="s">
        <v>1758</v>
      </c>
      <c r="I458" s="286" t="s">
        <v>520</v>
      </c>
      <c r="J458" s="112" t="s">
        <v>516</v>
      </c>
      <c r="K458" s="171" t="s">
        <v>430</v>
      </c>
      <c r="L458" s="171" t="s">
        <v>420</v>
      </c>
      <c r="M458" s="171" t="s">
        <v>475</v>
      </c>
      <c r="N458" s="112"/>
      <c r="O458" s="112">
        <v>1.0</v>
      </c>
      <c r="P458" s="112"/>
      <c r="Q458" s="112" t="s">
        <v>548</v>
      </c>
      <c r="R458" s="112" t="s">
        <v>548</v>
      </c>
      <c r="S458" s="112"/>
      <c r="T458" s="112"/>
      <c r="U458" s="112">
        <v>2.0</v>
      </c>
      <c r="V458" s="112"/>
      <c r="W458" s="112"/>
      <c r="X458" s="112"/>
      <c r="Y458" s="112"/>
      <c r="Z458" s="112"/>
      <c r="AA458" s="112"/>
      <c r="AB458" s="112"/>
      <c r="AC458" s="112"/>
      <c r="AD458" s="112" t="s">
        <v>1830</v>
      </c>
      <c r="AE458" s="112"/>
      <c r="AF458" s="112" t="s">
        <v>1831</v>
      </c>
      <c r="AG458" s="112">
        <v>58.0</v>
      </c>
      <c r="AH458" s="112"/>
      <c r="AI458" s="12"/>
      <c r="AJ458" s="12"/>
    </row>
    <row r="459" ht="14.25" customHeight="1">
      <c r="A459" s="242" t="s">
        <v>1755</v>
      </c>
      <c r="B459" s="242" t="s">
        <v>1832</v>
      </c>
      <c r="C459" s="298" t="s">
        <v>1833</v>
      </c>
      <c r="D459" s="242" t="s">
        <v>1832</v>
      </c>
      <c r="E459" s="300">
        <v>40234.0</v>
      </c>
      <c r="F459" s="300">
        <v>40421.0</v>
      </c>
      <c r="G459" s="225" t="s">
        <v>523</v>
      </c>
      <c r="H459" s="171" t="s">
        <v>1758</v>
      </c>
      <c r="I459" s="286" t="s">
        <v>520</v>
      </c>
      <c r="J459" s="112" t="s">
        <v>516</v>
      </c>
      <c r="K459" s="171" t="s">
        <v>418</v>
      </c>
      <c r="L459" s="171" t="s">
        <v>420</v>
      </c>
      <c r="M459" s="171" t="s">
        <v>477</v>
      </c>
      <c r="N459" s="112"/>
      <c r="O459" s="112">
        <v>6.0</v>
      </c>
      <c r="P459" s="112"/>
      <c r="Q459" s="112"/>
      <c r="R459" s="112" t="s">
        <v>548</v>
      </c>
      <c r="S459" s="112"/>
      <c r="T459" s="112"/>
      <c r="U459" s="112">
        <v>4.0</v>
      </c>
      <c r="V459" s="112"/>
      <c r="W459" s="112"/>
      <c r="X459" s="112"/>
      <c r="Y459" s="112"/>
      <c r="Z459" s="112"/>
      <c r="AA459" s="112"/>
      <c r="AB459" s="112"/>
      <c r="AC459" s="112"/>
      <c r="AD459" s="112" t="s">
        <v>1834</v>
      </c>
      <c r="AE459" s="112"/>
      <c r="AF459" s="112" t="s">
        <v>1835</v>
      </c>
      <c r="AG459" s="112">
        <v>59.0</v>
      </c>
      <c r="AH459" s="112"/>
      <c r="AI459" s="12"/>
      <c r="AJ459" s="12"/>
    </row>
    <row r="460" ht="14.25" customHeight="1">
      <c r="A460" s="242" t="s">
        <v>1755</v>
      </c>
      <c r="B460" s="242" t="s">
        <v>1836</v>
      </c>
      <c r="C460" s="298" t="s">
        <v>1837</v>
      </c>
      <c r="D460" s="242" t="s">
        <v>1836</v>
      </c>
      <c r="E460" s="300">
        <v>40417.0</v>
      </c>
      <c r="F460" s="300">
        <v>41639.0</v>
      </c>
      <c r="G460" s="225" t="s">
        <v>523</v>
      </c>
      <c r="H460" s="171" t="s">
        <v>1758</v>
      </c>
      <c r="I460" s="286" t="s">
        <v>520</v>
      </c>
      <c r="J460" s="112" t="s">
        <v>516</v>
      </c>
      <c r="K460" s="171" t="s">
        <v>424</v>
      </c>
      <c r="L460" s="171" t="s">
        <v>420</v>
      </c>
      <c r="M460" s="171" t="s">
        <v>475</v>
      </c>
      <c r="N460" s="112"/>
      <c r="O460" s="112">
        <v>6.0</v>
      </c>
      <c r="P460" s="112"/>
      <c r="Q460" s="112"/>
      <c r="R460" s="112"/>
      <c r="S460" s="112"/>
      <c r="T460" s="112"/>
      <c r="U460" s="112"/>
      <c r="V460" s="112"/>
      <c r="W460" s="112"/>
      <c r="X460" s="112"/>
      <c r="Y460" s="112"/>
      <c r="Z460" s="112"/>
      <c r="AA460" s="112"/>
      <c r="AB460" s="112"/>
      <c r="AC460" s="112"/>
      <c r="AD460" s="112" t="s">
        <v>1838</v>
      </c>
      <c r="AE460" s="112">
        <v>416.6667</v>
      </c>
      <c r="AF460" s="112" t="s">
        <v>1839</v>
      </c>
      <c r="AG460" s="265">
        <v>5.0</v>
      </c>
      <c r="AH460" s="112"/>
      <c r="AI460" s="12"/>
      <c r="AJ460" s="12"/>
    </row>
    <row r="461" ht="14.25" customHeight="1">
      <c r="A461" s="242" t="s">
        <v>1755</v>
      </c>
      <c r="B461" s="242" t="s">
        <v>1840</v>
      </c>
      <c r="C461" s="306" t="s">
        <v>1841</v>
      </c>
      <c r="D461" s="242" t="s">
        <v>1840</v>
      </c>
      <c r="E461" s="300">
        <v>40417.0</v>
      </c>
      <c r="F461" s="300">
        <v>41470.0</v>
      </c>
      <c r="G461" s="225" t="s">
        <v>523</v>
      </c>
      <c r="H461" s="171" t="s">
        <v>1758</v>
      </c>
      <c r="I461" s="286" t="s">
        <v>520</v>
      </c>
      <c r="J461" s="112" t="s">
        <v>516</v>
      </c>
      <c r="K461" s="171" t="s">
        <v>424</v>
      </c>
      <c r="L461" s="185" t="s">
        <v>420</v>
      </c>
      <c r="M461" s="171" t="s">
        <v>475</v>
      </c>
      <c r="N461" s="112"/>
      <c r="O461" s="112">
        <v>1.0</v>
      </c>
      <c r="P461" s="112"/>
      <c r="Q461" s="112"/>
      <c r="R461" s="112"/>
      <c r="S461" s="112"/>
      <c r="T461" s="112"/>
      <c r="U461" s="112"/>
      <c r="V461" s="112"/>
      <c r="W461" s="112"/>
      <c r="X461" s="112"/>
      <c r="Y461" s="112"/>
      <c r="Z461" s="112"/>
      <c r="AA461" s="112"/>
      <c r="AB461" s="112"/>
      <c r="AC461" s="112"/>
      <c r="AD461" s="112" t="s">
        <v>1842</v>
      </c>
      <c r="AE461" s="112">
        <v>416.66667</v>
      </c>
      <c r="AF461" s="112" t="s">
        <v>1843</v>
      </c>
      <c r="AG461" s="265">
        <v>5.0</v>
      </c>
      <c r="AH461" s="112"/>
      <c r="AI461" s="12"/>
      <c r="AJ461" s="12"/>
    </row>
    <row r="462" ht="14.25" customHeight="1">
      <c r="A462" s="242" t="s">
        <v>1755</v>
      </c>
      <c r="B462" s="242" t="s">
        <v>1844</v>
      </c>
      <c r="C462" s="298" t="s">
        <v>1845</v>
      </c>
      <c r="D462" s="242" t="s">
        <v>1844</v>
      </c>
      <c r="E462" s="300">
        <v>40533.0</v>
      </c>
      <c r="F462" s="300">
        <v>41639.0</v>
      </c>
      <c r="G462" s="225" t="s">
        <v>523</v>
      </c>
      <c r="H462" s="171" t="s">
        <v>1758</v>
      </c>
      <c r="I462" s="286" t="s">
        <v>520</v>
      </c>
      <c r="J462" s="112" t="s">
        <v>516</v>
      </c>
      <c r="K462" s="171" t="s">
        <v>427</v>
      </c>
      <c r="L462" s="171" t="s">
        <v>420</v>
      </c>
      <c r="M462" s="171" t="s">
        <v>477</v>
      </c>
      <c r="N462" s="112"/>
      <c r="O462" s="112">
        <v>6.0</v>
      </c>
      <c r="P462" s="112"/>
      <c r="Q462" s="112"/>
      <c r="R462" s="112"/>
      <c r="S462" s="112"/>
      <c r="T462" s="112"/>
      <c r="U462" s="112"/>
      <c r="V462" s="112"/>
      <c r="W462" s="112"/>
      <c r="X462" s="112"/>
      <c r="Y462" s="112"/>
      <c r="Z462" s="112"/>
      <c r="AA462" s="112"/>
      <c r="AB462" s="112"/>
      <c r="AC462" s="112"/>
      <c r="AD462" s="112"/>
      <c r="AE462" s="112"/>
      <c r="AF462" s="112" t="s">
        <v>1846</v>
      </c>
      <c r="AG462" s="265">
        <v>5.0</v>
      </c>
      <c r="AH462" s="112"/>
      <c r="AI462" s="12"/>
      <c r="AJ462" s="12"/>
    </row>
    <row r="463" ht="14.25" customHeight="1">
      <c r="A463" s="242" t="s">
        <v>1755</v>
      </c>
      <c r="B463" s="242" t="s">
        <v>1847</v>
      </c>
      <c r="C463" s="298" t="s">
        <v>1848</v>
      </c>
      <c r="D463" s="242" t="s">
        <v>1847</v>
      </c>
      <c r="E463" s="300">
        <v>40689.0</v>
      </c>
      <c r="F463" s="300">
        <v>41394.0</v>
      </c>
      <c r="G463" s="225" t="s">
        <v>523</v>
      </c>
      <c r="H463" s="171" t="s">
        <v>1758</v>
      </c>
      <c r="I463" s="286" t="s">
        <v>520</v>
      </c>
      <c r="J463" s="112" t="s">
        <v>516</v>
      </c>
      <c r="K463" s="171" t="s">
        <v>424</v>
      </c>
      <c r="L463" s="171" t="s">
        <v>420</v>
      </c>
      <c r="M463" s="171" t="s">
        <v>475</v>
      </c>
      <c r="N463" s="112"/>
      <c r="O463" s="112">
        <v>6.0</v>
      </c>
      <c r="P463" s="112"/>
      <c r="Q463" s="112"/>
      <c r="R463" s="112"/>
      <c r="S463" s="112"/>
      <c r="T463" s="112"/>
      <c r="U463" s="112"/>
      <c r="V463" s="112"/>
      <c r="W463" s="112"/>
      <c r="X463" s="112"/>
      <c r="Y463" s="112"/>
      <c r="Z463" s="112"/>
      <c r="AA463" s="112"/>
      <c r="AB463" s="112"/>
      <c r="AC463" s="112"/>
      <c r="AD463" s="112" t="s">
        <v>1849</v>
      </c>
      <c r="AE463" s="112">
        <v>500.0</v>
      </c>
      <c r="AF463" s="112" t="s">
        <v>1850</v>
      </c>
      <c r="AG463" s="265">
        <v>5.0</v>
      </c>
      <c r="AH463" s="112"/>
      <c r="AI463" s="12"/>
      <c r="AJ463" s="12"/>
    </row>
    <row r="464" ht="14.25" customHeight="1">
      <c r="A464" s="242" t="s">
        <v>1755</v>
      </c>
      <c r="B464" s="242" t="s">
        <v>1851</v>
      </c>
      <c r="C464" s="306" t="s">
        <v>1852</v>
      </c>
      <c r="D464" s="242" t="s">
        <v>1851</v>
      </c>
      <c r="E464" s="300">
        <v>40829.0</v>
      </c>
      <c r="F464" s="300">
        <v>41639.0</v>
      </c>
      <c r="G464" s="225" t="s">
        <v>523</v>
      </c>
      <c r="H464" s="171" t="s">
        <v>1758</v>
      </c>
      <c r="I464" s="286" t="s">
        <v>520</v>
      </c>
      <c r="J464" s="112" t="s">
        <v>516</v>
      </c>
      <c r="K464" s="185"/>
      <c r="L464" s="171" t="s">
        <v>420</v>
      </c>
      <c r="M464" s="171" t="s">
        <v>475</v>
      </c>
      <c r="N464" s="112"/>
      <c r="O464" s="112">
        <v>6.0</v>
      </c>
      <c r="P464" s="112"/>
      <c r="Q464" s="112"/>
      <c r="R464" s="112" t="s">
        <v>548</v>
      </c>
      <c r="S464" s="112"/>
      <c r="T464" s="112"/>
      <c r="U464" s="112"/>
      <c r="V464" s="112"/>
      <c r="W464" s="112"/>
      <c r="X464" s="112"/>
      <c r="Y464" s="112"/>
      <c r="Z464" s="112"/>
      <c r="AA464" s="112"/>
      <c r="AB464" s="112"/>
      <c r="AC464" s="112"/>
      <c r="AD464" s="112" t="s">
        <v>1853</v>
      </c>
      <c r="AE464" s="112"/>
      <c r="AF464" s="112" t="s">
        <v>1854</v>
      </c>
      <c r="AG464" s="112">
        <v>62.0</v>
      </c>
      <c r="AH464" s="112"/>
      <c r="AI464" s="12"/>
      <c r="AJ464" s="12"/>
    </row>
    <row r="465" ht="14.25" customHeight="1">
      <c r="A465" s="242" t="s">
        <v>1755</v>
      </c>
      <c r="B465" s="242" t="s">
        <v>1855</v>
      </c>
      <c r="C465" s="306" t="s">
        <v>1856</v>
      </c>
      <c r="D465" s="242" t="s">
        <v>1855</v>
      </c>
      <c r="E465" s="300">
        <v>40851.0</v>
      </c>
      <c r="F465" s="300">
        <v>41015.0</v>
      </c>
      <c r="G465" s="225" t="s">
        <v>523</v>
      </c>
      <c r="H465" s="171" t="s">
        <v>1758</v>
      </c>
      <c r="I465" s="286" t="s">
        <v>520</v>
      </c>
      <c r="J465" s="112" t="s">
        <v>516</v>
      </c>
      <c r="K465" s="185" t="s">
        <v>427</v>
      </c>
      <c r="L465" s="171" t="s">
        <v>420</v>
      </c>
      <c r="M465" s="171" t="s">
        <v>475</v>
      </c>
      <c r="N465" s="112"/>
      <c r="O465" s="112">
        <v>6.0</v>
      </c>
      <c r="P465" s="112"/>
      <c r="Q465" s="112"/>
      <c r="R465" s="112"/>
      <c r="S465" s="112"/>
      <c r="T465" s="112"/>
      <c r="U465" s="112"/>
      <c r="V465" s="112"/>
      <c r="W465" s="112"/>
      <c r="X465" s="112"/>
      <c r="Y465" s="112"/>
      <c r="Z465" s="112"/>
      <c r="AA465" s="112"/>
      <c r="AB465" s="112"/>
      <c r="AC465" s="112"/>
      <c r="AD465" s="112"/>
      <c r="AE465" s="112">
        <v>500.0</v>
      </c>
      <c r="AF465" s="112" t="s">
        <v>1857</v>
      </c>
      <c r="AG465" s="171">
        <v>5.0</v>
      </c>
      <c r="AH465" s="112"/>
      <c r="AI465" s="12"/>
      <c r="AJ465" s="12"/>
    </row>
    <row r="466" ht="14.25" customHeight="1">
      <c r="A466" s="242" t="s">
        <v>1755</v>
      </c>
      <c r="B466" s="242" t="s">
        <v>1858</v>
      </c>
      <c r="C466" s="298" t="s">
        <v>1856</v>
      </c>
      <c r="D466" s="242" t="s">
        <v>1858</v>
      </c>
      <c r="E466" s="300">
        <v>41015.0</v>
      </c>
      <c r="F466" s="300">
        <v>41639.0</v>
      </c>
      <c r="G466" s="225" t="s">
        <v>523</v>
      </c>
      <c r="H466" s="171"/>
      <c r="I466" s="286" t="s">
        <v>520</v>
      </c>
      <c r="J466" s="112"/>
      <c r="K466" s="171"/>
      <c r="L466" s="171"/>
      <c r="M466" s="171"/>
      <c r="N466" s="112"/>
      <c r="O466" s="112"/>
      <c r="P466" s="112"/>
      <c r="Q466" s="112"/>
      <c r="R466" s="112"/>
      <c r="S466" s="112"/>
      <c r="T466" s="112"/>
      <c r="U466" s="112"/>
      <c r="V466" s="112"/>
      <c r="W466" s="112"/>
      <c r="X466" s="112"/>
      <c r="Y466" s="112"/>
      <c r="Z466" s="112"/>
      <c r="AA466" s="112"/>
      <c r="AB466" s="112"/>
      <c r="AC466" s="112"/>
      <c r="AD466" s="112"/>
      <c r="AE466" s="112"/>
      <c r="AF466" s="112"/>
      <c r="AG466" s="171"/>
      <c r="AH466" s="112"/>
      <c r="AI466" s="12"/>
      <c r="AJ466" s="12"/>
    </row>
    <row r="467" ht="14.25" customHeight="1">
      <c r="A467" s="242" t="s">
        <v>1755</v>
      </c>
      <c r="B467" s="242" t="s">
        <v>1859</v>
      </c>
      <c r="C467" s="298" t="s">
        <v>1856</v>
      </c>
      <c r="D467" s="242" t="s">
        <v>1859</v>
      </c>
      <c r="E467" s="300">
        <v>41698.0</v>
      </c>
      <c r="F467" s="300">
        <v>43830.0</v>
      </c>
      <c r="G467" s="225" t="s">
        <v>523</v>
      </c>
      <c r="H467" s="171" t="s">
        <v>1758</v>
      </c>
      <c r="I467" s="286" t="s">
        <v>520</v>
      </c>
      <c r="J467" s="112" t="s">
        <v>516</v>
      </c>
      <c r="K467" s="171" t="s">
        <v>415</v>
      </c>
      <c r="L467" s="171" t="s">
        <v>420</v>
      </c>
      <c r="M467" s="171" t="s">
        <v>475</v>
      </c>
      <c r="N467" s="112"/>
      <c r="O467" s="112">
        <v>6.0</v>
      </c>
      <c r="P467" s="112"/>
      <c r="Q467" s="112"/>
      <c r="R467" s="112"/>
      <c r="S467" s="112"/>
      <c r="T467" s="112"/>
      <c r="U467" s="112">
        <v>2.0</v>
      </c>
      <c r="V467" s="112"/>
      <c r="W467" s="112"/>
      <c r="X467" s="112"/>
      <c r="Y467" s="112"/>
      <c r="Z467" s="112"/>
      <c r="AA467" s="112"/>
      <c r="AB467" s="112"/>
      <c r="AC467" s="112"/>
      <c r="AD467" s="112" t="s">
        <v>1860</v>
      </c>
      <c r="AE467" s="112">
        <v>500.0</v>
      </c>
      <c r="AF467" s="112" t="s">
        <v>1857</v>
      </c>
      <c r="AG467" s="171">
        <v>5.0</v>
      </c>
      <c r="AH467" s="112"/>
      <c r="AI467" s="12"/>
      <c r="AJ467" s="12"/>
    </row>
    <row r="468" ht="14.25" customHeight="1">
      <c r="A468" s="242" t="s">
        <v>1755</v>
      </c>
      <c r="B468" s="242" t="s">
        <v>1861</v>
      </c>
      <c r="C468" s="298" t="s">
        <v>1856</v>
      </c>
      <c r="D468" s="242" t="s">
        <v>1861</v>
      </c>
      <c r="E468" s="300">
        <v>43831.0</v>
      </c>
      <c r="F468" s="300"/>
      <c r="G468" s="225"/>
      <c r="H468" s="171" t="s">
        <v>1758</v>
      </c>
      <c r="I468" s="286" t="s">
        <v>520</v>
      </c>
      <c r="J468" s="112" t="s">
        <v>548</v>
      </c>
      <c r="K468" s="171" t="s">
        <v>415</v>
      </c>
      <c r="L468" s="171" t="s">
        <v>420</v>
      </c>
      <c r="M468" s="171" t="s">
        <v>475</v>
      </c>
      <c r="N468" s="112"/>
      <c r="O468" s="112">
        <v>6.0</v>
      </c>
      <c r="P468" s="112"/>
      <c r="Q468" s="112"/>
      <c r="R468" s="112"/>
      <c r="S468" s="112"/>
      <c r="T468" s="112"/>
      <c r="U468" s="112">
        <v>3.0</v>
      </c>
      <c r="V468" s="112">
        <v>18.0</v>
      </c>
      <c r="W468" s="112">
        <v>59.0</v>
      </c>
      <c r="X468" s="112">
        <v>69.0</v>
      </c>
      <c r="Y468" s="112"/>
      <c r="Z468" s="112">
        <v>10.0</v>
      </c>
      <c r="AA468" s="112">
        <v>1.0</v>
      </c>
      <c r="AB468" s="112">
        <v>5.0</v>
      </c>
      <c r="AC468" s="112"/>
      <c r="AD468" s="112" t="s">
        <v>1860</v>
      </c>
      <c r="AE468" s="112">
        <v>500.0</v>
      </c>
      <c r="AF468" s="112" t="s">
        <v>1857</v>
      </c>
      <c r="AG468" s="171">
        <v>5.0</v>
      </c>
      <c r="AH468" s="112"/>
      <c r="AI468" s="12"/>
      <c r="AJ468" s="12"/>
    </row>
    <row r="469" ht="14.25" customHeight="1">
      <c r="A469" s="242" t="s">
        <v>1755</v>
      </c>
      <c r="B469" s="242" t="s">
        <v>1862</v>
      </c>
      <c r="C469" s="242" t="s">
        <v>1863</v>
      </c>
      <c r="D469" s="242" t="s">
        <v>1862</v>
      </c>
      <c r="E469" s="300">
        <v>42095.0</v>
      </c>
      <c r="F469" s="300">
        <v>43830.0</v>
      </c>
      <c r="G469" s="225" t="s">
        <v>523</v>
      </c>
      <c r="H469" s="171" t="s">
        <v>1758</v>
      </c>
      <c r="I469" s="286" t="s">
        <v>520</v>
      </c>
      <c r="J469" s="112" t="s">
        <v>516</v>
      </c>
      <c r="K469" s="171" t="s">
        <v>415</v>
      </c>
      <c r="L469" s="171" t="s">
        <v>420</v>
      </c>
      <c r="M469" s="171" t="s">
        <v>475</v>
      </c>
      <c r="N469" s="112"/>
      <c r="O469" s="112">
        <v>6.0</v>
      </c>
      <c r="P469" s="112"/>
      <c r="Q469" s="112"/>
      <c r="R469" s="112"/>
      <c r="S469" s="112" t="s">
        <v>548</v>
      </c>
      <c r="T469" s="112"/>
      <c r="U469" s="112">
        <v>2.0</v>
      </c>
      <c r="V469" s="112"/>
      <c r="W469" s="112"/>
      <c r="X469" s="112"/>
      <c r="Y469" s="112"/>
      <c r="Z469" s="112"/>
      <c r="AA469" s="112"/>
      <c r="AB469" s="112"/>
      <c r="AC469" s="112"/>
      <c r="AD469" s="112"/>
      <c r="AE469" s="112">
        <v>500.0</v>
      </c>
      <c r="AF469" s="112" t="s">
        <v>1864</v>
      </c>
      <c r="AG469" s="171">
        <v>5.0</v>
      </c>
      <c r="AH469" s="112"/>
      <c r="AI469" s="12"/>
      <c r="AJ469" s="12"/>
    </row>
    <row r="470" ht="14.25" customHeight="1">
      <c r="A470" s="242" t="s">
        <v>1755</v>
      </c>
      <c r="B470" s="242" t="s">
        <v>1865</v>
      </c>
      <c r="C470" s="242" t="s">
        <v>1863</v>
      </c>
      <c r="D470" s="242" t="s">
        <v>1865</v>
      </c>
      <c r="E470" s="300">
        <v>43831.0</v>
      </c>
      <c r="F470" s="300"/>
      <c r="G470" s="225"/>
      <c r="H470" s="171" t="s">
        <v>1758</v>
      </c>
      <c r="I470" s="286" t="s">
        <v>520</v>
      </c>
      <c r="J470" s="112" t="s">
        <v>548</v>
      </c>
      <c r="K470" s="171" t="s">
        <v>415</v>
      </c>
      <c r="L470" s="171" t="s">
        <v>420</v>
      </c>
      <c r="M470" s="171" t="s">
        <v>475</v>
      </c>
      <c r="N470" s="112"/>
      <c r="O470" s="112">
        <v>6.0</v>
      </c>
      <c r="P470" s="112"/>
      <c r="Q470" s="112"/>
      <c r="R470" s="112"/>
      <c r="S470" s="112"/>
      <c r="T470" s="112"/>
      <c r="U470" s="112">
        <v>3.0</v>
      </c>
      <c r="V470" s="112">
        <v>18.0</v>
      </c>
      <c r="W470" s="112">
        <v>60.0</v>
      </c>
      <c r="X470" s="112">
        <v>70.0</v>
      </c>
      <c r="Y470" s="112"/>
      <c r="Z470" s="112">
        <v>10.0</v>
      </c>
      <c r="AA470" s="112">
        <v>1.0</v>
      </c>
      <c r="AB470" s="112">
        <v>5.0</v>
      </c>
      <c r="AC470" s="112"/>
      <c r="AD470" s="112" t="s">
        <v>1860</v>
      </c>
      <c r="AE470" s="112">
        <v>500.0</v>
      </c>
      <c r="AF470" s="112" t="s">
        <v>1864</v>
      </c>
      <c r="AG470" s="171">
        <v>5.0</v>
      </c>
      <c r="AH470" s="112"/>
      <c r="AI470" s="12"/>
      <c r="AJ470" s="12"/>
    </row>
    <row r="471" ht="14.25" customHeight="1">
      <c r="A471" s="242" t="s">
        <v>1755</v>
      </c>
      <c r="B471" s="242" t="s">
        <v>1866</v>
      </c>
      <c r="C471" s="242" t="s">
        <v>1867</v>
      </c>
      <c r="D471" s="242" t="s">
        <v>1866</v>
      </c>
      <c r="E471" s="300">
        <v>43066.0</v>
      </c>
      <c r="F471" s="300">
        <v>43830.0</v>
      </c>
      <c r="G471" s="225" t="s">
        <v>523</v>
      </c>
      <c r="H471" s="171"/>
      <c r="I471" s="286" t="s">
        <v>520</v>
      </c>
      <c r="J471" s="112"/>
      <c r="K471" s="171"/>
      <c r="L471" s="171"/>
      <c r="M471" s="171"/>
      <c r="N471" s="112"/>
      <c r="O471" s="112"/>
      <c r="P471" s="112"/>
      <c r="Q471" s="112"/>
      <c r="R471" s="112"/>
      <c r="S471" s="112"/>
      <c r="T471" s="112"/>
      <c r="U471" s="112"/>
      <c r="V471" s="112"/>
      <c r="W471" s="112"/>
      <c r="X471" s="112"/>
      <c r="Y471" s="112"/>
      <c r="Z471" s="112"/>
      <c r="AA471" s="112"/>
      <c r="AB471" s="112"/>
      <c r="AC471" s="112"/>
      <c r="AD471" s="112"/>
      <c r="AE471" s="112"/>
      <c r="AF471" s="112"/>
      <c r="AG471" s="171"/>
      <c r="AH471" s="112"/>
      <c r="AI471" s="12"/>
      <c r="AJ471" s="12"/>
    </row>
    <row r="472" ht="14.25" customHeight="1">
      <c r="A472" s="242" t="s">
        <v>1755</v>
      </c>
      <c r="B472" s="242" t="s">
        <v>1868</v>
      </c>
      <c r="C472" s="242" t="s">
        <v>1867</v>
      </c>
      <c r="D472" s="242" t="s">
        <v>1868</v>
      </c>
      <c r="E472" s="300">
        <v>43831.0</v>
      </c>
      <c r="F472" s="300"/>
      <c r="G472" s="225"/>
      <c r="H472" s="171"/>
      <c r="I472" s="286" t="s">
        <v>520</v>
      </c>
      <c r="J472" s="112"/>
      <c r="K472" s="171"/>
      <c r="L472" s="171"/>
      <c r="M472" s="112"/>
      <c r="N472" s="112"/>
      <c r="O472" s="112"/>
      <c r="P472" s="112"/>
      <c r="Q472" s="112"/>
      <c r="R472" s="112"/>
      <c r="S472" s="112"/>
      <c r="T472" s="112"/>
      <c r="U472" s="112"/>
      <c r="V472" s="112"/>
      <c r="W472" s="112"/>
      <c r="X472" s="112"/>
      <c r="Y472" s="112"/>
      <c r="Z472" s="112"/>
      <c r="AA472" s="112"/>
      <c r="AB472" s="112"/>
      <c r="AC472" s="112"/>
      <c r="AD472" s="112"/>
      <c r="AE472" s="112"/>
      <c r="AF472" s="112"/>
      <c r="AG472" s="171"/>
      <c r="AH472" s="112"/>
      <c r="AI472" s="12"/>
      <c r="AJ472" s="12"/>
    </row>
    <row r="473" ht="14.25" customHeight="1">
      <c r="A473" s="242" t="s">
        <v>1755</v>
      </c>
      <c r="B473" s="242" t="s">
        <v>1869</v>
      </c>
      <c r="C473" s="242" t="s">
        <v>1870</v>
      </c>
      <c r="D473" s="242" t="s">
        <v>1869</v>
      </c>
      <c r="E473" s="300">
        <v>42996.0</v>
      </c>
      <c r="F473" s="300">
        <v>43830.0</v>
      </c>
      <c r="G473" s="225" t="s">
        <v>523</v>
      </c>
      <c r="H473" s="171" t="s">
        <v>1758</v>
      </c>
      <c r="I473" s="286" t="s">
        <v>520</v>
      </c>
      <c r="J473" s="112" t="s">
        <v>516</v>
      </c>
      <c r="K473" s="171" t="s">
        <v>415</v>
      </c>
      <c r="L473" s="171" t="s">
        <v>420</v>
      </c>
      <c r="M473" s="112" t="s">
        <v>475</v>
      </c>
      <c r="N473" s="112"/>
      <c r="O473" s="112">
        <v>7.0</v>
      </c>
      <c r="P473" s="112"/>
      <c r="Q473" s="112"/>
      <c r="R473" s="112" t="s">
        <v>548</v>
      </c>
      <c r="S473" s="112" t="s">
        <v>548</v>
      </c>
      <c r="T473" s="112"/>
      <c r="U473" s="112">
        <v>2.0</v>
      </c>
      <c r="V473" s="112"/>
      <c r="W473" s="112"/>
      <c r="X473" s="112"/>
      <c r="Y473" s="112"/>
      <c r="Z473" s="112"/>
      <c r="AA473" s="112"/>
      <c r="AB473" s="112"/>
      <c r="AC473" s="112"/>
      <c r="AD473" s="112"/>
      <c r="AE473" s="112">
        <v>500.0</v>
      </c>
      <c r="AF473" s="112" t="s">
        <v>1871</v>
      </c>
      <c r="AG473" s="171">
        <v>60.0</v>
      </c>
      <c r="AH473" s="112"/>
      <c r="AI473" s="12"/>
      <c r="AJ473" s="12"/>
    </row>
    <row r="474" ht="14.25" customHeight="1">
      <c r="A474" s="242" t="s">
        <v>1755</v>
      </c>
      <c r="B474" s="242" t="s">
        <v>1872</v>
      </c>
      <c r="C474" s="242" t="s">
        <v>1870</v>
      </c>
      <c r="D474" s="242" t="s">
        <v>1872</v>
      </c>
      <c r="E474" s="300">
        <v>43831.0</v>
      </c>
      <c r="F474" s="300">
        <v>44122.0</v>
      </c>
      <c r="G474" s="225" t="s">
        <v>523</v>
      </c>
      <c r="H474" s="171" t="s">
        <v>1758</v>
      </c>
      <c r="I474" s="286" t="s">
        <v>520</v>
      </c>
      <c r="J474" s="112" t="s">
        <v>516</v>
      </c>
      <c r="K474" s="171" t="s">
        <v>415</v>
      </c>
      <c r="L474" s="171" t="s">
        <v>420</v>
      </c>
      <c r="M474" s="112" t="s">
        <v>475</v>
      </c>
      <c r="N474" s="112"/>
      <c r="O474" s="112">
        <v>7.0</v>
      </c>
      <c r="P474" s="112"/>
      <c r="Q474" s="112"/>
      <c r="R474" s="112" t="s">
        <v>548</v>
      </c>
      <c r="S474" s="112" t="s">
        <v>548</v>
      </c>
      <c r="T474" s="112"/>
      <c r="U474" s="112">
        <v>3.0</v>
      </c>
      <c r="V474" s="112"/>
      <c r="W474" s="112"/>
      <c r="X474" s="112"/>
      <c r="Y474" s="112"/>
      <c r="Z474" s="112"/>
      <c r="AA474" s="112"/>
      <c r="AB474" s="112"/>
      <c r="AC474" s="112"/>
      <c r="AD474" s="112"/>
      <c r="AE474" s="112">
        <v>500.0</v>
      </c>
      <c r="AF474" s="112" t="s">
        <v>1871</v>
      </c>
      <c r="AG474" s="171">
        <v>60.0</v>
      </c>
      <c r="AH474" s="112"/>
      <c r="AI474" s="12"/>
      <c r="AJ474" s="12"/>
    </row>
    <row r="475" ht="14.25" customHeight="1">
      <c r="A475" s="242" t="s">
        <v>1755</v>
      </c>
      <c r="B475" s="242" t="s">
        <v>1873</v>
      </c>
      <c r="C475" s="242" t="s">
        <v>1870</v>
      </c>
      <c r="D475" s="242" t="s">
        <v>1873</v>
      </c>
      <c r="E475" s="300">
        <v>44088.0</v>
      </c>
      <c r="F475" s="300"/>
      <c r="G475" s="225"/>
      <c r="H475" s="171" t="s">
        <v>1758</v>
      </c>
      <c r="I475" s="286" t="s">
        <v>520</v>
      </c>
      <c r="J475" s="112" t="s">
        <v>548</v>
      </c>
      <c r="K475" s="171" t="s">
        <v>415</v>
      </c>
      <c r="L475" s="171" t="s">
        <v>420</v>
      </c>
      <c r="M475" s="112" t="s">
        <v>475</v>
      </c>
      <c r="N475" s="112"/>
      <c r="O475" s="112">
        <v>7.0</v>
      </c>
      <c r="P475" s="112"/>
      <c r="Q475" s="112"/>
      <c r="R475" s="112" t="s">
        <v>548</v>
      </c>
      <c r="S475" s="112"/>
      <c r="T475" s="112"/>
      <c r="U475" s="112">
        <v>3.0</v>
      </c>
      <c r="V475" s="112" t="s">
        <v>930</v>
      </c>
      <c r="W475" s="112">
        <v>64.0</v>
      </c>
      <c r="X475" s="112">
        <v>70.0</v>
      </c>
      <c r="Y475" s="112">
        <v>5.0</v>
      </c>
      <c r="Z475" s="112">
        <v>20.0</v>
      </c>
      <c r="AA475" s="112">
        <v>1.0</v>
      </c>
      <c r="AB475" s="112">
        <v>20.0</v>
      </c>
      <c r="AC475" s="112"/>
      <c r="AD475" s="112" t="s">
        <v>1860</v>
      </c>
      <c r="AE475" s="112">
        <v>500.0</v>
      </c>
      <c r="AF475" s="112" t="s">
        <v>1871</v>
      </c>
      <c r="AG475" s="171">
        <v>60.0</v>
      </c>
      <c r="AH475" s="112"/>
      <c r="AI475" s="12"/>
      <c r="AJ475" s="12"/>
    </row>
    <row r="476" ht="14.25" customHeight="1">
      <c r="A476" s="242" t="s">
        <v>1755</v>
      </c>
      <c r="B476" s="242" t="s">
        <v>1874</v>
      </c>
      <c r="C476" s="242" t="s">
        <v>1875</v>
      </c>
      <c r="D476" s="242" t="s">
        <v>1874</v>
      </c>
      <c r="E476" s="300">
        <v>44039.0</v>
      </c>
      <c r="F476" s="300"/>
      <c r="G476" s="225"/>
      <c r="H476" s="171" t="s">
        <v>1758</v>
      </c>
      <c r="I476" s="286" t="s">
        <v>520</v>
      </c>
      <c r="J476" s="112" t="s">
        <v>548</v>
      </c>
      <c r="K476" s="171" t="s">
        <v>415</v>
      </c>
      <c r="L476" s="171" t="s">
        <v>420</v>
      </c>
      <c r="M476" s="112" t="s">
        <v>475</v>
      </c>
      <c r="N476" s="112"/>
      <c r="O476" s="112">
        <v>7.0</v>
      </c>
      <c r="P476" s="112"/>
      <c r="Q476" s="112"/>
      <c r="R476" s="112" t="s">
        <v>548</v>
      </c>
      <c r="S476" s="112" t="s">
        <v>516</v>
      </c>
      <c r="T476" s="112"/>
      <c r="U476" s="112">
        <v>3.0</v>
      </c>
      <c r="V476" s="112" t="s">
        <v>930</v>
      </c>
      <c r="W476" s="112">
        <v>65.0</v>
      </c>
      <c r="X476" s="112">
        <v>75.0</v>
      </c>
      <c r="Y476" s="112">
        <v>10.0</v>
      </c>
      <c r="Z476" s="112">
        <v>20.0</v>
      </c>
      <c r="AA476" s="112"/>
      <c r="AB476" s="112">
        <v>20.0</v>
      </c>
      <c r="AC476" s="112" t="s">
        <v>1876</v>
      </c>
      <c r="AD476" s="112" t="s">
        <v>1877</v>
      </c>
      <c r="AE476" s="112">
        <v>500.0</v>
      </c>
      <c r="AF476" s="112" t="s">
        <v>1878</v>
      </c>
      <c r="AG476" s="171">
        <v>63.0</v>
      </c>
      <c r="AH476" s="112"/>
      <c r="AI476" s="12"/>
      <c r="AJ476" s="12"/>
    </row>
    <row r="477" ht="14.25" customHeight="1">
      <c r="A477" s="242" t="s">
        <v>1755</v>
      </c>
      <c r="B477" s="242" t="s">
        <v>1874</v>
      </c>
      <c r="C477" s="242" t="s">
        <v>1875</v>
      </c>
      <c r="D477" s="242" t="s">
        <v>1874</v>
      </c>
      <c r="E477" s="300">
        <v>44039.0</v>
      </c>
      <c r="F477" s="300"/>
      <c r="G477" s="225"/>
      <c r="H477" s="171" t="s">
        <v>1758</v>
      </c>
      <c r="I477" s="112" t="s">
        <v>520</v>
      </c>
      <c r="J477" s="112" t="s">
        <v>548</v>
      </c>
      <c r="K477" s="171" t="s">
        <v>415</v>
      </c>
      <c r="L477" s="171" t="s">
        <v>420</v>
      </c>
      <c r="M477" s="112" t="s">
        <v>475</v>
      </c>
      <c r="N477" s="112"/>
      <c r="O477" s="112">
        <v>7.0</v>
      </c>
      <c r="P477" s="112"/>
      <c r="Q477" s="112"/>
      <c r="R477" s="112" t="s">
        <v>548</v>
      </c>
      <c r="S477" s="112" t="s">
        <v>516</v>
      </c>
      <c r="T477" s="112"/>
      <c r="U477" s="112">
        <v>3.0</v>
      </c>
      <c r="V477" s="112" t="s">
        <v>930</v>
      </c>
      <c r="W477" s="112">
        <v>65.0</v>
      </c>
      <c r="X477" s="112">
        <v>99.0</v>
      </c>
      <c r="Y477" s="112"/>
      <c r="Z477" s="112" t="s">
        <v>1879</v>
      </c>
      <c r="AA477" s="112"/>
      <c r="AB477" s="112" t="s">
        <v>1880</v>
      </c>
      <c r="AC477" s="112" t="s">
        <v>1881</v>
      </c>
      <c r="AD477" s="112" t="s">
        <v>1877</v>
      </c>
      <c r="AE477" s="112">
        <v>500.0</v>
      </c>
      <c r="AF477" s="112" t="s">
        <v>1878</v>
      </c>
      <c r="AG477" s="171">
        <v>61.0</v>
      </c>
      <c r="AH477" s="112"/>
      <c r="AI477" s="12"/>
      <c r="AJ477" s="12"/>
    </row>
    <row r="478" ht="14.25" customHeight="1">
      <c r="A478" s="307" t="s">
        <v>1882</v>
      </c>
      <c r="B478" s="12"/>
      <c r="C478" s="242" t="s">
        <v>1883</v>
      </c>
      <c r="D478" s="308" t="s">
        <v>1884</v>
      </c>
      <c r="E478" s="309">
        <v>39841.0</v>
      </c>
      <c r="F478" s="309">
        <v>40179.0</v>
      </c>
      <c r="G478" s="308" t="s">
        <v>523</v>
      </c>
      <c r="H478" s="12"/>
      <c r="I478" s="12"/>
      <c r="J478" s="12"/>
      <c r="K478" s="36"/>
      <c r="L478" s="36"/>
      <c r="M478" s="12"/>
      <c r="N478" s="12"/>
      <c r="O478" s="12"/>
      <c r="P478" s="12"/>
      <c r="Q478" s="12"/>
      <c r="R478" s="12"/>
      <c r="S478" s="12"/>
      <c r="T478" s="12"/>
      <c r="U478" s="12"/>
      <c r="V478" s="12"/>
      <c r="W478" s="12"/>
      <c r="X478" s="12"/>
      <c r="Y478" s="12"/>
      <c r="Z478" s="12"/>
      <c r="AA478" s="12"/>
      <c r="AB478" s="12"/>
      <c r="AC478" s="12"/>
      <c r="AD478" s="12"/>
      <c r="AE478" s="12"/>
      <c r="AF478" s="12"/>
      <c r="AG478" s="36"/>
      <c r="AH478" s="12"/>
      <c r="AI478" s="12"/>
      <c r="AJ478" s="12"/>
    </row>
    <row r="479" ht="14.25" customHeight="1">
      <c r="A479" s="307" t="s">
        <v>1882</v>
      </c>
      <c r="B479" s="12"/>
      <c r="C479" s="310" t="s">
        <v>1885</v>
      </c>
      <c r="D479" s="311" t="s">
        <v>1886</v>
      </c>
      <c r="E479" s="312">
        <v>39841.0</v>
      </c>
      <c r="F479" s="312">
        <v>40179.0</v>
      </c>
      <c r="G479" s="311" t="s">
        <v>523</v>
      </c>
      <c r="H479" s="12"/>
      <c r="I479" s="12"/>
      <c r="J479" s="12"/>
      <c r="K479" s="36"/>
      <c r="L479" s="36"/>
      <c r="M479" s="12"/>
      <c r="N479" s="12"/>
      <c r="O479" s="12"/>
      <c r="P479" s="12"/>
      <c r="Q479" s="12"/>
      <c r="R479" s="12"/>
      <c r="S479" s="12"/>
      <c r="T479" s="12"/>
      <c r="U479" s="12"/>
      <c r="V479" s="12"/>
      <c r="W479" s="12"/>
      <c r="X479" s="12"/>
      <c r="Y479" s="12"/>
      <c r="Z479" s="12"/>
      <c r="AA479" s="12"/>
      <c r="AB479" s="12"/>
      <c r="AC479" s="12"/>
      <c r="AD479" s="12"/>
      <c r="AE479" s="12"/>
      <c r="AF479" s="12"/>
      <c r="AG479" s="36"/>
      <c r="AH479" s="12"/>
      <c r="AI479" s="12"/>
      <c r="AJ479" s="12"/>
    </row>
    <row r="480" ht="14.25" customHeight="1">
      <c r="A480" s="307" t="s">
        <v>1882</v>
      </c>
      <c r="B480" s="12"/>
      <c r="C480" s="242" t="s">
        <v>1887</v>
      </c>
      <c r="D480" s="308" t="s">
        <v>1888</v>
      </c>
      <c r="E480" s="309">
        <v>39885.0</v>
      </c>
      <c r="F480" s="309">
        <v>40179.0</v>
      </c>
      <c r="G480" s="308" t="s">
        <v>523</v>
      </c>
      <c r="H480" s="12"/>
      <c r="I480" s="12"/>
      <c r="J480" s="12"/>
      <c r="K480" s="36"/>
      <c r="L480" s="36"/>
      <c r="M480" s="12"/>
      <c r="N480" s="12"/>
      <c r="O480" s="12"/>
      <c r="P480" s="12"/>
      <c r="Q480" s="12"/>
      <c r="R480" s="12"/>
      <c r="S480" s="12"/>
      <c r="T480" s="12"/>
      <c r="U480" s="12"/>
      <c r="V480" s="12"/>
      <c r="W480" s="12"/>
      <c r="X480" s="12"/>
      <c r="Y480" s="12"/>
      <c r="Z480" s="12"/>
      <c r="AA480" s="12"/>
      <c r="AB480" s="12"/>
      <c r="AC480" s="12"/>
      <c r="AD480" s="12"/>
      <c r="AE480" s="12"/>
      <c r="AF480" s="12"/>
      <c r="AG480" s="36"/>
      <c r="AH480" s="12"/>
      <c r="AI480" s="12"/>
      <c r="AJ480" s="12"/>
    </row>
    <row r="481" ht="14.25" customHeight="1">
      <c r="A481" s="307" t="s">
        <v>1882</v>
      </c>
      <c r="B481" s="12"/>
      <c r="C481" s="242" t="s">
        <v>1889</v>
      </c>
      <c r="D481" s="308" t="s">
        <v>1890</v>
      </c>
      <c r="E481" s="309">
        <v>39903.0</v>
      </c>
      <c r="F481" s="309">
        <v>40179.0</v>
      </c>
      <c r="G481" s="308" t="s">
        <v>523</v>
      </c>
      <c r="H481" s="12"/>
      <c r="I481" s="12"/>
      <c r="J481" s="12"/>
      <c r="K481" s="36"/>
      <c r="L481" s="36"/>
      <c r="M481" s="12"/>
      <c r="N481" s="12"/>
      <c r="O481" s="12"/>
      <c r="P481" s="12"/>
      <c r="Q481" s="12"/>
      <c r="R481" s="12"/>
      <c r="S481" s="12"/>
      <c r="T481" s="12"/>
      <c r="U481" s="12"/>
      <c r="V481" s="12"/>
      <c r="W481" s="12"/>
      <c r="X481" s="12"/>
      <c r="Y481" s="12"/>
      <c r="Z481" s="12"/>
      <c r="AA481" s="12"/>
      <c r="AB481" s="12"/>
      <c r="AC481" s="12"/>
      <c r="AD481" s="12"/>
      <c r="AE481" s="12"/>
      <c r="AF481" s="12"/>
      <c r="AG481" s="36"/>
      <c r="AH481" s="12"/>
      <c r="AI481" s="12"/>
      <c r="AJ481" s="12"/>
    </row>
    <row r="482" ht="14.25" customHeight="1">
      <c r="A482" s="307" t="s">
        <v>1882</v>
      </c>
      <c r="B482" s="12"/>
      <c r="C482" s="242" t="s">
        <v>1891</v>
      </c>
      <c r="D482" s="308" t="s">
        <v>1892</v>
      </c>
      <c r="E482" s="309">
        <v>40169.0</v>
      </c>
      <c r="F482" s="309">
        <v>40421.0</v>
      </c>
      <c r="G482" s="308" t="s">
        <v>523</v>
      </c>
      <c r="H482" s="12"/>
      <c r="I482" s="12"/>
      <c r="J482" s="12"/>
      <c r="K482" s="36"/>
      <c r="L482" s="36"/>
      <c r="M482" s="12"/>
      <c r="N482" s="12"/>
      <c r="O482" s="12"/>
      <c r="P482" s="12"/>
      <c r="Q482" s="12"/>
      <c r="R482" s="12"/>
      <c r="S482" s="12"/>
      <c r="T482" s="12"/>
      <c r="U482" s="12"/>
      <c r="V482" s="12"/>
      <c r="W482" s="12"/>
      <c r="X482" s="12"/>
      <c r="Y482" s="12"/>
      <c r="Z482" s="12"/>
      <c r="AA482" s="12"/>
      <c r="AB482" s="12"/>
      <c r="AC482" s="12"/>
      <c r="AD482" s="12"/>
      <c r="AE482" s="12"/>
      <c r="AF482" s="12"/>
      <c r="AG482" s="36"/>
      <c r="AH482" s="12"/>
      <c r="AI482" s="12"/>
      <c r="AJ482" s="12"/>
    </row>
    <row r="483" ht="14.25" customHeight="1">
      <c r="A483" s="307" t="s">
        <v>1882</v>
      </c>
      <c r="B483" s="12"/>
      <c r="C483" s="242" t="s">
        <v>1893</v>
      </c>
      <c r="D483" s="308" t="s">
        <v>1894</v>
      </c>
      <c r="E483" s="309">
        <v>40169.0</v>
      </c>
      <c r="F483" s="309">
        <v>40421.0</v>
      </c>
      <c r="G483" s="308" t="s">
        <v>523</v>
      </c>
      <c r="H483" s="12"/>
      <c r="I483" s="12"/>
      <c r="J483" s="12"/>
      <c r="K483" s="36"/>
      <c r="L483" s="36"/>
      <c r="M483" s="12"/>
      <c r="N483" s="12"/>
      <c r="O483" s="12"/>
      <c r="P483" s="12"/>
      <c r="Q483" s="12"/>
      <c r="R483" s="12"/>
      <c r="S483" s="12"/>
      <c r="T483" s="12"/>
      <c r="U483" s="12"/>
      <c r="V483" s="12"/>
      <c r="W483" s="12"/>
      <c r="X483" s="12"/>
      <c r="Y483" s="12"/>
      <c r="Z483" s="12"/>
      <c r="AA483" s="12"/>
      <c r="AB483" s="12"/>
      <c r="AC483" s="12"/>
      <c r="AD483" s="12"/>
      <c r="AE483" s="12"/>
      <c r="AF483" s="12"/>
      <c r="AG483" s="36"/>
      <c r="AH483" s="12"/>
      <c r="AI483" s="12"/>
      <c r="AJ483" s="12"/>
    </row>
    <row r="484" ht="14.25" customHeight="1">
      <c r="A484" s="307" t="s">
        <v>1882</v>
      </c>
      <c r="B484" s="12"/>
      <c r="C484" s="310" t="s">
        <v>1895</v>
      </c>
      <c r="D484" s="311" t="s">
        <v>1896</v>
      </c>
      <c r="E484" s="312">
        <v>40177.0</v>
      </c>
      <c r="F484" s="312">
        <v>40421.0</v>
      </c>
      <c r="G484" s="311" t="s">
        <v>523</v>
      </c>
      <c r="H484" s="12"/>
      <c r="I484" s="12"/>
      <c r="J484" s="12"/>
      <c r="K484" s="36"/>
      <c r="L484" s="36"/>
      <c r="M484" s="12"/>
      <c r="N484" s="12"/>
      <c r="O484" s="12"/>
      <c r="P484" s="12"/>
      <c r="Q484" s="12"/>
      <c r="R484" s="12"/>
      <c r="S484" s="12"/>
      <c r="T484" s="12"/>
      <c r="U484" s="12"/>
      <c r="V484" s="12"/>
      <c r="W484" s="12"/>
      <c r="X484" s="12"/>
      <c r="Y484" s="12"/>
      <c r="Z484" s="12"/>
      <c r="AA484" s="12"/>
      <c r="AB484" s="12"/>
      <c r="AC484" s="12"/>
      <c r="AD484" s="12"/>
      <c r="AE484" s="12"/>
      <c r="AF484" s="12"/>
      <c r="AG484" s="36"/>
      <c r="AH484" s="12"/>
      <c r="AI484" s="12"/>
      <c r="AJ484" s="12"/>
    </row>
    <row r="485" ht="14.25" customHeight="1">
      <c r="A485" s="307" t="s">
        <v>1882</v>
      </c>
      <c r="B485" s="12"/>
      <c r="C485" s="310" t="s">
        <v>1897</v>
      </c>
      <c r="D485" s="311" t="s">
        <v>1898</v>
      </c>
      <c r="E485" s="312">
        <v>40177.0</v>
      </c>
      <c r="F485" s="312">
        <v>40421.0</v>
      </c>
      <c r="G485" s="311" t="s">
        <v>523</v>
      </c>
      <c r="H485" s="12"/>
      <c r="I485" s="12"/>
      <c r="J485" s="12"/>
      <c r="K485" s="36"/>
      <c r="L485" s="36"/>
      <c r="M485" s="12"/>
      <c r="N485" s="12"/>
      <c r="O485" s="12"/>
      <c r="P485" s="12"/>
      <c r="Q485" s="12"/>
      <c r="R485" s="12"/>
      <c r="S485" s="12"/>
      <c r="T485" s="12"/>
      <c r="U485" s="12"/>
      <c r="V485" s="12"/>
      <c r="W485" s="12"/>
      <c r="X485" s="12"/>
      <c r="Y485" s="12"/>
      <c r="Z485" s="12"/>
      <c r="AA485" s="12"/>
      <c r="AB485" s="12"/>
      <c r="AC485" s="12"/>
      <c r="AD485" s="12"/>
      <c r="AE485" s="12"/>
      <c r="AF485" s="12"/>
      <c r="AG485" s="36"/>
      <c r="AH485" s="12"/>
      <c r="AI485" s="12"/>
      <c r="AJ485" s="12"/>
    </row>
    <row r="486" ht="14.25" customHeight="1">
      <c r="A486" s="307" t="s">
        <v>1882</v>
      </c>
      <c r="B486" s="12"/>
      <c r="C486" s="242" t="s">
        <v>1899</v>
      </c>
      <c r="D486" s="308" t="s">
        <v>1900</v>
      </c>
      <c r="E486" s="309">
        <v>40417.0</v>
      </c>
      <c r="F486" s="309">
        <v>41639.0</v>
      </c>
      <c r="G486" s="308" t="s">
        <v>523</v>
      </c>
      <c r="H486" s="12"/>
      <c r="I486" s="12"/>
      <c r="J486" s="12"/>
      <c r="K486" s="36"/>
      <c r="L486" s="36"/>
      <c r="M486" s="12"/>
      <c r="N486" s="12"/>
      <c r="O486" s="12"/>
      <c r="P486" s="12"/>
      <c r="Q486" s="12"/>
      <c r="R486" s="12"/>
      <c r="S486" s="12"/>
      <c r="T486" s="12"/>
      <c r="U486" s="12"/>
      <c r="V486" s="12"/>
      <c r="W486" s="12"/>
      <c r="X486" s="12"/>
      <c r="Y486" s="12"/>
      <c r="Z486" s="12"/>
      <c r="AA486" s="12"/>
      <c r="AB486" s="12"/>
      <c r="AC486" s="12"/>
      <c r="AD486" s="12"/>
      <c r="AE486" s="12"/>
      <c r="AF486" s="12"/>
      <c r="AG486" s="36"/>
      <c r="AH486" s="12"/>
      <c r="AI486" s="12"/>
      <c r="AJ486" s="12"/>
    </row>
    <row r="487" ht="14.25" customHeight="1">
      <c r="A487" s="307" t="s">
        <v>1882</v>
      </c>
      <c r="B487" s="12"/>
      <c r="C487" s="310" t="s">
        <v>1901</v>
      </c>
      <c r="D487" s="311" t="s">
        <v>1902</v>
      </c>
      <c r="E487" s="312">
        <v>40417.0</v>
      </c>
      <c r="F487" s="312">
        <v>41639.0</v>
      </c>
      <c r="G487" s="311" t="s">
        <v>523</v>
      </c>
      <c r="H487" s="12"/>
      <c r="I487" s="12"/>
      <c r="J487" s="12"/>
      <c r="K487" s="36"/>
      <c r="L487" s="36"/>
      <c r="M487" s="12"/>
      <c r="N487" s="12"/>
      <c r="O487" s="12"/>
      <c r="P487" s="12"/>
      <c r="Q487" s="12"/>
      <c r="R487" s="12"/>
      <c r="S487" s="12"/>
      <c r="T487" s="12"/>
      <c r="U487" s="12"/>
      <c r="V487" s="12"/>
      <c r="W487" s="12"/>
      <c r="X487" s="12"/>
      <c r="Y487" s="12"/>
      <c r="Z487" s="12"/>
      <c r="AA487" s="12"/>
      <c r="AB487" s="12"/>
      <c r="AC487" s="12"/>
      <c r="AD487" s="12"/>
      <c r="AE487" s="12"/>
      <c r="AF487" s="12"/>
      <c r="AG487" s="36"/>
      <c r="AH487" s="12"/>
      <c r="AI487" s="12"/>
      <c r="AJ487" s="12"/>
    </row>
    <row r="488" ht="14.25" customHeight="1">
      <c r="A488" s="307" t="s">
        <v>1882</v>
      </c>
      <c r="B488" s="12"/>
      <c r="C488" s="310" t="s">
        <v>1903</v>
      </c>
      <c r="D488" s="311" t="s">
        <v>1904</v>
      </c>
      <c r="E488" s="312">
        <v>40519.0</v>
      </c>
      <c r="F488" s="312">
        <v>41639.0</v>
      </c>
      <c r="G488" s="311" t="s">
        <v>523</v>
      </c>
      <c r="H488" s="12"/>
      <c r="I488" s="12"/>
      <c r="J488" s="12"/>
      <c r="K488" s="36"/>
      <c r="L488" s="36"/>
      <c r="M488" s="12"/>
      <c r="N488" s="12"/>
      <c r="O488" s="12"/>
      <c r="P488" s="12"/>
      <c r="Q488" s="12"/>
      <c r="R488" s="12"/>
      <c r="S488" s="12"/>
      <c r="T488" s="12"/>
      <c r="U488" s="12"/>
      <c r="V488" s="12"/>
      <c r="W488" s="12"/>
      <c r="X488" s="12"/>
      <c r="Y488" s="12"/>
      <c r="Z488" s="12"/>
      <c r="AA488" s="12"/>
      <c r="AB488" s="12"/>
      <c r="AC488" s="12"/>
      <c r="AD488" s="12"/>
      <c r="AE488" s="12"/>
      <c r="AF488" s="12"/>
      <c r="AG488" s="36"/>
      <c r="AH488" s="12"/>
      <c r="AI488" s="12"/>
      <c r="AJ488" s="12"/>
    </row>
    <row r="489" ht="14.25" customHeight="1">
      <c r="A489" s="307" t="s">
        <v>1882</v>
      </c>
      <c r="B489" s="12"/>
      <c r="C489" s="310" t="s">
        <v>1905</v>
      </c>
      <c r="D489" s="311" t="s">
        <v>1906</v>
      </c>
      <c r="E489" s="312">
        <v>40630.0</v>
      </c>
      <c r="F489" s="312">
        <v>41639.0</v>
      </c>
      <c r="G489" s="311" t="s">
        <v>523</v>
      </c>
      <c r="H489" s="12"/>
      <c r="I489" s="12"/>
      <c r="J489" s="12"/>
      <c r="K489" s="36"/>
      <c r="L489" s="36"/>
      <c r="M489" s="12"/>
      <c r="N489" s="12"/>
      <c r="O489" s="12"/>
      <c r="P489" s="12"/>
      <c r="Q489" s="12"/>
      <c r="R489" s="12"/>
      <c r="S489" s="12"/>
      <c r="T489" s="12"/>
      <c r="U489" s="12"/>
      <c r="V489" s="12"/>
      <c r="W489" s="12"/>
      <c r="X489" s="12"/>
      <c r="Y489" s="12"/>
      <c r="Z489" s="12"/>
      <c r="AA489" s="12"/>
      <c r="AB489" s="12"/>
      <c r="AC489" s="12"/>
      <c r="AD489" s="12"/>
      <c r="AE489" s="12"/>
      <c r="AF489" s="12"/>
      <c r="AG489" s="36"/>
      <c r="AH489" s="12"/>
      <c r="AI489" s="12"/>
      <c r="AJ489" s="12"/>
    </row>
    <row r="490" ht="14.25" customHeight="1">
      <c r="A490" s="307" t="s">
        <v>1882</v>
      </c>
      <c r="B490" s="12"/>
      <c r="C490" s="313" t="s">
        <v>1907</v>
      </c>
      <c r="D490" s="314" t="s">
        <v>1908</v>
      </c>
      <c r="E490" s="315">
        <v>41662.0</v>
      </c>
      <c r="F490" s="315">
        <v>43861.0</v>
      </c>
      <c r="G490" s="316" t="s">
        <v>523</v>
      </c>
      <c r="H490" s="12"/>
      <c r="I490" s="12"/>
      <c r="J490" s="12"/>
      <c r="K490" s="36"/>
      <c r="L490" s="36"/>
      <c r="M490" s="12"/>
      <c r="N490" s="12"/>
      <c r="O490" s="12"/>
      <c r="P490" s="12"/>
      <c r="Q490" s="12"/>
      <c r="R490" s="12"/>
      <c r="S490" s="12"/>
      <c r="T490" s="12"/>
      <c r="U490" s="12"/>
      <c r="V490" s="12"/>
      <c r="W490" s="12"/>
      <c r="X490" s="12"/>
      <c r="Y490" s="12"/>
      <c r="Z490" s="12"/>
      <c r="AA490" s="12"/>
      <c r="AB490" s="12"/>
      <c r="AC490" s="12"/>
      <c r="AD490" s="12"/>
      <c r="AE490" s="12"/>
      <c r="AF490" s="12"/>
      <c r="AG490" s="36"/>
      <c r="AH490" s="12"/>
      <c r="AI490" s="12"/>
      <c r="AJ490" s="12"/>
    </row>
    <row r="491" ht="14.25" customHeight="1">
      <c r="A491" s="307" t="s">
        <v>1882</v>
      </c>
      <c r="B491" s="12"/>
      <c r="C491" s="313" t="s">
        <v>1909</v>
      </c>
      <c r="D491" s="314" t="s">
        <v>1910</v>
      </c>
      <c r="E491" s="315">
        <v>41662.0</v>
      </c>
      <c r="F491" s="317">
        <v>43861.0</v>
      </c>
      <c r="G491" s="316" t="s">
        <v>523</v>
      </c>
      <c r="H491" s="12"/>
      <c r="I491" s="12"/>
      <c r="J491" s="12"/>
      <c r="K491" s="36"/>
      <c r="L491" s="36"/>
      <c r="M491" s="12"/>
      <c r="N491" s="12"/>
      <c r="O491" s="12"/>
      <c r="P491" s="12"/>
      <c r="Q491" s="12"/>
      <c r="R491" s="12"/>
      <c r="S491" s="12"/>
      <c r="T491" s="12"/>
      <c r="U491" s="12"/>
      <c r="V491" s="12"/>
      <c r="W491" s="12"/>
      <c r="X491" s="12"/>
      <c r="Y491" s="12"/>
      <c r="Z491" s="12"/>
      <c r="AA491" s="12"/>
      <c r="AB491" s="12"/>
      <c r="AC491" s="12"/>
      <c r="AD491" s="12"/>
      <c r="AE491" s="12"/>
      <c r="AF491" s="12"/>
      <c r="AG491" s="36"/>
      <c r="AH491" s="12"/>
      <c r="AI491" s="12"/>
      <c r="AJ491" s="12"/>
    </row>
    <row r="492" ht="14.25" customHeight="1">
      <c r="A492" s="307" t="s">
        <v>1882</v>
      </c>
      <c r="B492" s="12"/>
      <c r="C492" s="313" t="s">
        <v>1909</v>
      </c>
      <c r="D492" s="314" t="s">
        <v>1911</v>
      </c>
      <c r="E492" s="318">
        <v>43862.0</v>
      </c>
      <c r="F492" s="316"/>
      <c r="G492" s="316"/>
      <c r="H492" s="12"/>
      <c r="I492" s="12"/>
      <c r="J492" s="12"/>
      <c r="K492" s="36"/>
      <c r="L492" s="36"/>
      <c r="M492" s="12"/>
      <c r="N492" s="12"/>
      <c r="O492" s="12"/>
      <c r="P492" s="12"/>
      <c r="Q492" s="12"/>
      <c r="R492" s="12"/>
      <c r="S492" s="12"/>
      <c r="T492" s="12"/>
      <c r="U492" s="12"/>
      <c r="V492" s="12"/>
      <c r="W492" s="12"/>
      <c r="X492" s="12"/>
      <c r="Y492" s="12"/>
      <c r="Z492" s="12"/>
      <c r="AA492" s="12"/>
      <c r="AB492" s="12"/>
      <c r="AC492" s="12"/>
      <c r="AD492" s="12"/>
      <c r="AE492" s="12"/>
      <c r="AF492" s="12"/>
      <c r="AG492" s="36"/>
      <c r="AH492" s="12"/>
      <c r="AI492" s="12"/>
      <c r="AJ492" s="12"/>
    </row>
    <row r="493" ht="14.25" customHeight="1">
      <c r="A493" s="307" t="s">
        <v>1882</v>
      </c>
      <c r="B493" s="12"/>
      <c r="C493" s="313" t="s">
        <v>1912</v>
      </c>
      <c r="D493" s="314" t="s">
        <v>1913</v>
      </c>
      <c r="E493" s="318">
        <v>42222.0</v>
      </c>
      <c r="F493" s="316"/>
      <c r="G493" s="316"/>
      <c r="H493" s="12"/>
      <c r="I493" s="12"/>
      <c r="J493" s="12"/>
      <c r="K493" s="36"/>
      <c r="L493" s="36"/>
      <c r="M493" s="12"/>
      <c r="N493" s="12"/>
      <c r="O493" s="12"/>
      <c r="P493" s="12"/>
      <c r="Q493" s="12"/>
      <c r="R493" s="12"/>
      <c r="S493" s="12"/>
      <c r="T493" s="12"/>
      <c r="U493" s="12"/>
      <c r="V493" s="12"/>
      <c r="W493" s="12"/>
      <c r="X493" s="12"/>
      <c r="Y493" s="12"/>
      <c r="Z493" s="12"/>
      <c r="AA493" s="12"/>
      <c r="AB493" s="12"/>
      <c r="AC493" s="12"/>
      <c r="AD493" s="12"/>
      <c r="AE493" s="12"/>
      <c r="AF493" s="12"/>
      <c r="AG493" s="36"/>
      <c r="AH493" s="12"/>
      <c r="AI493" s="12"/>
      <c r="AJ493" s="12"/>
    </row>
    <row r="494" ht="14.25" customHeight="1">
      <c r="A494" s="307" t="s">
        <v>1882</v>
      </c>
      <c r="B494" s="12"/>
      <c r="C494" s="313" t="s">
        <v>1914</v>
      </c>
      <c r="D494" s="314" t="s">
        <v>1915</v>
      </c>
      <c r="E494" s="315">
        <v>43853.0</v>
      </c>
      <c r="F494" s="316"/>
      <c r="G494" s="316"/>
      <c r="H494" s="12"/>
      <c r="I494" s="12"/>
      <c r="J494" s="12"/>
      <c r="K494" s="36"/>
      <c r="L494" s="36"/>
      <c r="M494" s="12"/>
      <c r="N494" s="12"/>
      <c r="O494" s="12"/>
      <c r="P494" s="12"/>
      <c r="Q494" s="12"/>
      <c r="R494" s="12"/>
      <c r="S494" s="12"/>
      <c r="T494" s="12"/>
      <c r="U494" s="12"/>
      <c r="V494" s="12"/>
      <c r="W494" s="12"/>
      <c r="X494" s="12"/>
      <c r="Y494" s="12"/>
      <c r="Z494" s="12"/>
      <c r="AA494" s="12"/>
      <c r="AB494" s="12"/>
      <c r="AC494" s="12"/>
      <c r="AD494" s="12"/>
      <c r="AE494" s="12"/>
      <c r="AF494" s="12"/>
      <c r="AG494" s="36"/>
      <c r="AH494" s="12"/>
      <c r="AI494" s="12"/>
      <c r="AJ494" s="12"/>
    </row>
    <row r="495" ht="14.25" customHeight="1">
      <c r="A495" s="12"/>
      <c r="B495" s="12"/>
      <c r="C495" s="12"/>
      <c r="D495" s="12"/>
      <c r="E495" s="12"/>
      <c r="F495" s="12"/>
      <c r="G495" s="12"/>
      <c r="H495" s="12"/>
      <c r="I495" s="12"/>
      <c r="J495" s="12"/>
      <c r="K495" s="36"/>
      <c r="L495" s="36"/>
      <c r="M495" s="12"/>
      <c r="N495" s="12"/>
      <c r="O495" s="12"/>
      <c r="P495" s="12"/>
      <c r="Q495" s="12"/>
      <c r="R495" s="12"/>
      <c r="S495" s="12"/>
      <c r="T495" s="12"/>
      <c r="U495" s="12"/>
      <c r="V495" s="12"/>
      <c r="W495" s="12"/>
      <c r="X495" s="12"/>
      <c r="Y495" s="12"/>
      <c r="Z495" s="12"/>
      <c r="AA495" s="12"/>
      <c r="AB495" s="12"/>
      <c r="AC495" s="12"/>
      <c r="AD495" s="12"/>
      <c r="AE495" s="12"/>
      <c r="AF495" s="12"/>
      <c r="AG495" s="36"/>
      <c r="AH495" s="12"/>
      <c r="AI495" s="12"/>
      <c r="AJ495" s="12"/>
    </row>
    <row r="496" ht="14.25" customHeight="1">
      <c r="A496" s="12"/>
      <c r="B496" s="12"/>
      <c r="C496" s="12"/>
      <c r="D496" s="12"/>
      <c r="E496" s="12"/>
      <c r="F496" s="12"/>
      <c r="G496" s="12"/>
      <c r="H496" s="12"/>
      <c r="I496" s="12"/>
      <c r="J496" s="12"/>
      <c r="K496" s="36"/>
      <c r="L496" s="36"/>
      <c r="M496" s="12"/>
      <c r="N496" s="12"/>
      <c r="O496" s="12"/>
      <c r="P496" s="12"/>
      <c r="Q496" s="12"/>
      <c r="R496" s="12"/>
      <c r="S496" s="12"/>
      <c r="T496" s="12"/>
      <c r="U496" s="12"/>
      <c r="V496" s="12"/>
      <c r="W496" s="12"/>
      <c r="X496" s="12"/>
      <c r="Y496" s="12"/>
      <c r="Z496" s="12"/>
      <c r="AA496" s="12"/>
      <c r="AB496" s="12"/>
      <c r="AC496" s="12"/>
      <c r="AD496" s="12"/>
      <c r="AE496" s="12"/>
      <c r="AF496" s="12"/>
      <c r="AG496" s="36"/>
      <c r="AH496" s="12"/>
      <c r="AI496" s="12"/>
      <c r="AJ496" s="12"/>
    </row>
    <row r="497" ht="14.25" customHeight="1">
      <c r="A497" s="12"/>
      <c r="B497" s="12"/>
      <c r="C497" s="12"/>
      <c r="D497" s="12"/>
      <c r="E497" s="12"/>
      <c r="F497" s="12"/>
      <c r="G497" s="12"/>
      <c r="H497" s="12"/>
      <c r="I497" s="12"/>
      <c r="J497" s="12"/>
      <c r="K497" s="36"/>
      <c r="L497" s="36"/>
      <c r="M497" s="12"/>
      <c r="N497" s="12"/>
      <c r="O497" s="12"/>
      <c r="P497" s="12"/>
      <c r="Q497" s="12"/>
      <c r="R497" s="12"/>
      <c r="S497" s="12"/>
      <c r="T497" s="12"/>
      <c r="U497" s="12"/>
      <c r="V497" s="12"/>
      <c r="W497" s="12"/>
      <c r="X497" s="12"/>
      <c r="Y497" s="12"/>
      <c r="Z497" s="12"/>
      <c r="AA497" s="12"/>
      <c r="AB497" s="12"/>
      <c r="AC497" s="12"/>
      <c r="AD497" s="12"/>
      <c r="AE497" s="12"/>
      <c r="AF497" s="12"/>
      <c r="AG497" s="36"/>
      <c r="AH497" s="12"/>
      <c r="AI497" s="12"/>
      <c r="AJ497" s="12"/>
    </row>
    <row r="498" ht="14.25" customHeight="1">
      <c r="A498" s="12"/>
      <c r="B498" s="12"/>
      <c r="C498" s="12"/>
      <c r="D498" s="12"/>
      <c r="E498" s="12"/>
      <c r="F498" s="12"/>
      <c r="G498" s="12"/>
      <c r="H498" s="12"/>
      <c r="I498" s="12"/>
      <c r="J498" s="12"/>
      <c r="K498" s="36"/>
      <c r="L498" s="36"/>
      <c r="M498" s="12"/>
      <c r="N498" s="12"/>
      <c r="O498" s="12"/>
      <c r="P498" s="12"/>
      <c r="Q498" s="12"/>
      <c r="R498" s="12"/>
      <c r="S498" s="12"/>
      <c r="T498" s="12"/>
      <c r="U498" s="12"/>
      <c r="V498" s="12"/>
      <c r="W498" s="12"/>
      <c r="X498" s="12"/>
      <c r="Y498" s="12"/>
      <c r="Z498" s="12"/>
      <c r="AA498" s="12"/>
      <c r="AB498" s="12"/>
      <c r="AC498" s="12"/>
      <c r="AD498" s="12"/>
      <c r="AE498" s="12"/>
      <c r="AF498" s="12"/>
      <c r="AG498" s="36"/>
      <c r="AH498" s="12"/>
      <c r="AI498" s="12"/>
      <c r="AJ498" s="12"/>
    </row>
    <row r="499" ht="14.25" customHeight="1">
      <c r="A499" s="12"/>
      <c r="B499" s="12"/>
      <c r="C499" s="12"/>
      <c r="D499" s="12"/>
      <c r="E499" s="12"/>
      <c r="F499" s="12"/>
      <c r="G499" s="12"/>
      <c r="H499" s="12"/>
      <c r="I499" s="12"/>
      <c r="J499" s="12"/>
      <c r="K499" s="36"/>
      <c r="L499" s="36"/>
      <c r="M499" s="12"/>
      <c r="N499" s="12"/>
      <c r="O499" s="12"/>
      <c r="P499" s="12"/>
      <c r="Q499" s="12"/>
      <c r="R499" s="12"/>
      <c r="S499" s="12"/>
      <c r="T499" s="12"/>
      <c r="U499" s="12"/>
      <c r="V499" s="12"/>
      <c r="W499" s="12"/>
      <c r="X499" s="12"/>
      <c r="Y499" s="12"/>
      <c r="Z499" s="12"/>
      <c r="AA499" s="12"/>
      <c r="AB499" s="12"/>
      <c r="AC499" s="12"/>
      <c r="AD499" s="12"/>
      <c r="AE499" s="12"/>
      <c r="AF499" s="12"/>
      <c r="AG499" s="36"/>
      <c r="AH499" s="12"/>
      <c r="AI499" s="12"/>
      <c r="AJ499" s="12"/>
    </row>
    <row r="500" ht="14.25" customHeight="1">
      <c r="A500" s="12"/>
      <c r="B500" s="12"/>
      <c r="C500" s="12"/>
      <c r="D500" s="12"/>
      <c r="E500" s="12"/>
      <c r="F500" s="12"/>
      <c r="G500" s="12"/>
      <c r="H500" s="12"/>
      <c r="I500" s="12"/>
      <c r="J500" s="12"/>
      <c r="K500" s="36"/>
      <c r="L500" s="36"/>
      <c r="M500" s="12"/>
      <c r="N500" s="12"/>
      <c r="O500" s="12"/>
      <c r="P500" s="12"/>
      <c r="Q500" s="12"/>
      <c r="R500" s="12"/>
      <c r="S500" s="12"/>
      <c r="T500" s="12"/>
      <c r="U500" s="12"/>
      <c r="V500" s="12"/>
      <c r="W500" s="12"/>
      <c r="X500" s="12"/>
      <c r="Y500" s="12"/>
      <c r="Z500" s="12"/>
      <c r="AA500" s="12"/>
      <c r="AB500" s="12"/>
      <c r="AC500" s="12"/>
      <c r="AD500" s="12"/>
      <c r="AE500" s="12"/>
      <c r="AF500" s="12"/>
      <c r="AG500" s="36"/>
      <c r="AH500" s="12"/>
      <c r="AI500" s="12"/>
      <c r="AJ500" s="12"/>
    </row>
    <row r="501" ht="14.25" customHeight="1">
      <c r="A501" s="12"/>
      <c r="B501" s="12"/>
      <c r="C501" s="12"/>
      <c r="D501" s="12"/>
      <c r="E501" s="12"/>
      <c r="F501" s="12"/>
      <c r="G501" s="12"/>
      <c r="H501" s="12"/>
      <c r="I501" s="12"/>
      <c r="J501" s="12"/>
      <c r="K501" s="36"/>
      <c r="L501" s="36"/>
      <c r="M501" s="12"/>
      <c r="N501" s="12"/>
      <c r="O501" s="12"/>
      <c r="P501" s="12"/>
      <c r="Q501" s="12"/>
      <c r="R501" s="12"/>
      <c r="S501" s="12"/>
      <c r="T501" s="12"/>
      <c r="U501" s="12"/>
      <c r="V501" s="12"/>
      <c r="W501" s="12"/>
      <c r="X501" s="12"/>
      <c r="Y501" s="12"/>
      <c r="Z501" s="12"/>
      <c r="AA501" s="12"/>
      <c r="AB501" s="12"/>
      <c r="AC501" s="12"/>
      <c r="AD501" s="12"/>
      <c r="AE501" s="12"/>
      <c r="AF501" s="12"/>
      <c r="AG501" s="36"/>
      <c r="AH501" s="12"/>
      <c r="AI501" s="12"/>
      <c r="AJ501" s="12"/>
    </row>
    <row r="502" ht="14.25" customHeight="1">
      <c r="A502" s="12"/>
      <c r="B502" s="12"/>
      <c r="C502" s="12"/>
      <c r="D502" s="12"/>
      <c r="E502" s="12"/>
      <c r="F502" s="12"/>
      <c r="G502" s="12"/>
      <c r="H502" s="12"/>
      <c r="I502" s="12"/>
      <c r="J502" s="12"/>
      <c r="K502" s="36"/>
      <c r="L502" s="36"/>
      <c r="M502" s="12"/>
      <c r="N502" s="12"/>
      <c r="O502" s="12"/>
      <c r="P502" s="12"/>
      <c r="Q502" s="12"/>
      <c r="R502" s="12"/>
      <c r="S502" s="12"/>
      <c r="T502" s="12"/>
      <c r="U502" s="12"/>
      <c r="V502" s="12"/>
      <c r="W502" s="12"/>
      <c r="X502" s="12"/>
      <c r="Y502" s="12"/>
      <c r="Z502" s="12"/>
      <c r="AA502" s="12"/>
      <c r="AB502" s="12"/>
      <c r="AC502" s="12"/>
      <c r="AD502" s="12"/>
      <c r="AE502" s="12"/>
      <c r="AF502" s="12"/>
      <c r="AG502" s="36"/>
      <c r="AH502" s="12"/>
      <c r="AI502" s="12"/>
      <c r="AJ502" s="12"/>
    </row>
    <row r="503" ht="14.25" customHeight="1">
      <c r="A503" s="12"/>
      <c r="B503" s="12"/>
      <c r="C503" s="12"/>
      <c r="D503" s="12"/>
      <c r="E503" s="12"/>
      <c r="F503" s="12"/>
      <c r="G503" s="12"/>
      <c r="H503" s="12"/>
      <c r="I503" s="12"/>
      <c r="J503" s="12"/>
      <c r="K503" s="36"/>
      <c r="L503" s="36"/>
      <c r="M503" s="12"/>
      <c r="N503" s="12"/>
      <c r="O503" s="12"/>
      <c r="P503" s="12"/>
      <c r="Q503" s="12"/>
      <c r="R503" s="12"/>
      <c r="S503" s="12"/>
      <c r="T503" s="12"/>
      <c r="U503" s="12"/>
      <c r="V503" s="12"/>
      <c r="W503" s="12"/>
      <c r="X503" s="12"/>
      <c r="Y503" s="12"/>
      <c r="Z503" s="12"/>
      <c r="AA503" s="12"/>
      <c r="AB503" s="12"/>
      <c r="AC503" s="12"/>
      <c r="AD503" s="12"/>
      <c r="AE503" s="12"/>
      <c r="AF503" s="12"/>
      <c r="AG503" s="36"/>
      <c r="AH503" s="12"/>
      <c r="AI503" s="12"/>
      <c r="AJ503" s="12"/>
    </row>
    <row r="504" ht="14.25" customHeight="1">
      <c r="A504" s="12"/>
      <c r="B504" s="12"/>
      <c r="C504" s="12"/>
      <c r="D504" s="12"/>
      <c r="E504" s="12"/>
      <c r="F504" s="12"/>
      <c r="G504" s="12"/>
      <c r="H504" s="12"/>
      <c r="I504" s="12"/>
      <c r="J504" s="12"/>
      <c r="K504" s="36"/>
      <c r="L504" s="36"/>
      <c r="M504" s="12"/>
      <c r="N504" s="12"/>
      <c r="O504" s="12"/>
      <c r="P504" s="12"/>
      <c r="Q504" s="12"/>
      <c r="R504" s="12"/>
      <c r="S504" s="12"/>
      <c r="T504" s="12"/>
      <c r="U504" s="12"/>
      <c r="V504" s="12"/>
      <c r="W504" s="12"/>
      <c r="X504" s="12"/>
      <c r="Y504" s="12"/>
      <c r="Z504" s="12"/>
      <c r="AA504" s="12"/>
      <c r="AB504" s="12"/>
      <c r="AC504" s="12"/>
      <c r="AD504" s="12"/>
      <c r="AE504" s="12"/>
      <c r="AF504" s="12"/>
      <c r="AG504" s="36"/>
      <c r="AH504" s="12"/>
      <c r="AI504" s="12"/>
      <c r="AJ504" s="12"/>
    </row>
    <row r="505" ht="14.25" customHeight="1">
      <c r="A505" s="12"/>
      <c r="B505" s="12"/>
      <c r="C505" s="12"/>
      <c r="D505" s="12"/>
      <c r="E505" s="12"/>
      <c r="F505" s="12"/>
      <c r="G505" s="12"/>
      <c r="H505" s="12"/>
      <c r="I505" s="12"/>
      <c r="J505" s="12"/>
      <c r="K505" s="36"/>
      <c r="L505" s="36"/>
      <c r="M505" s="12"/>
      <c r="N505" s="12"/>
      <c r="O505" s="12"/>
      <c r="P505" s="12"/>
      <c r="Q505" s="12"/>
      <c r="R505" s="12"/>
      <c r="S505" s="12"/>
      <c r="T505" s="12"/>
      <c r="U505" s="12"/>
      <c r="V505" s="12"/>
      <c r="W505" s="12"/>
      <c r="X505" s="12"/>
      <c r="Y505" s="12"/>
      <c r="Z505" s="12"/>
      <c r="AA505" s="12"/>
      <c r="AB505" s="12"/>
      <c r="AC505" s="12"/>
      <c r="AD505" s="12"/>
      <c r="AE505" s="12"/>
      <c r="AF505" s="12"/>
      <c r="AG505" s="36"/>
      <c r="AH505" s="12"/>
      <c r="AI505" s="12"/>
      <c r="AJ505" s="12"/>
    </row>
    <row r="506" ht="14.25" customHeight="1">
      <c r="A506" s="12"/>
      <c r="B506" s="12"/>
      <c r="C506" s="12"/>
      <c r="D506" s="12"/>
      <c r="E506" s="12"/>
      <c r="F506" s="12"/>
      <c r="G506" s="12"/>
      <c r="H506" s="12"/>
      <c r="I506" s="12"/>
      <c r="J506" s="12"/>
      <c r="K506" s="36"/>
      <c r="L506" s="36"/>
      <c r="M506" s="12"/>
      <c r="N506" s="12"/>
      <c r="O506" s="12"/>
      <c r="P506" s="12"/>
      <c r="Q506" s="12"/>
      <c r="R506" s="12"/>
      <c r="S506" s="12"/>
      <c r="T506" s="12"/>
      <c r="U506" s="12"/>
      <c r="V506" s="12"/>
      <c r="W506" s="12"/>
      <c r="X506" s="12"/>
      <c r="Y506" s="12"/>
      <c r="Z506" s="12"/>
      <c r="AA506" s="12"/>
      <c r="AB506" s="12"/>
      <c r="AC506" s="12"/>
      <c r="AD506" s="12"/>
      <c r="AE506" s="12"/>
      <c r="AF506" s="12"/>
      <c r="AG506" s="36"/>
      <c r="AH506" s="12"/>
      <c r="AI506" s="12"/>
      <c r="AJ506" s="12"/>
    </row>
    <row r="507" ht="14.25" customHeight="1">
      <c r="A507" s="12"/>
      <c r="B507" s="12"/>
      <c r="C507" s="12"/>
      <c r="D507" s="12"/>
      <c r="E507" s="12"/>
      <c r="F507" s="12"/>
      <c r="G507" s="12"/>
      <c r="H507" s="12"/>
      <c r="I507" s="12"/>
      <c r="J507" s="12"/>
      <c r="K507" s="36"/>
      <c r="L507" s="36"/>
      <c r="M507" s="12"/>
      <c r="N507" s="12"/>
      <c r="O507" s="12"/>
      <c r="P507" s="12"/>
      <c r="Q507" s="12"/>
      <c r="R507" s="12"/>
      <c r="S507" s="12"/>
      <c r="T507" s="12"/>
      <c r="U507" s="12"/>
      <c r="V507" s="12"/>
      <c r="W507" s="12"/>
      <c r="X507" s="12"/>
      <c r="Y507" s="12"/>
      <c r="Z507" s="12"/>
      <c r="AA507" s="12"/>
      <c r="AB507" s="12"/>
      <c r="AC507" s="12"/>
      <c r="AD507" s="12"/>
      <c r="AE507" s="12"/>
      <c r="AF507" s="12"/>
      <c r="AG507" s="36"/>
      <c r="AH507" s="12"/>
      <c r="AI507" s="12"/>
      <c r="AJ507" s="12"/>
    </row>
    <row r="508" ht="14.25" customHeight="1">
      <c r="A508" s="12"/>
      <c r="B508" s="12"/>
      <c r="C508" s="12"/>
      <c r="D508" s="12"/>
      <c r="E508" s="12"/>
      <c r="F508" s="12"/>
      <c r="G508" s="12"/>
      <c r="H508" s="12"/>
      <c r="I508" s="12"/>
      <c r="J508" s="12"/>
      <c r="K508" s="36"/>
      <c r="L508" s="36"/>
      <c r="M508" s="12"/>
      <c r="N508" s="12"/>
      <c r="O508" s="12"/>
      <c r="P508" s="12"/>
      <c r="Q508" s="12"/>
      <c r="R508" s="12"/>
      <c r="S508" s="12"/>
      <c r="T508" s="12"/>
      <c r="U508" s="12"/>
      <c r="V508" s="12"/>
      <c r="W508" s="12"/>
      <c r="X508" s="12"/>
      <c r="Y508" s="12"/>
      <c r="Z508" s="12"/>
      <c r="AA508" s="12"/>
      <c r="AB508" s="12"/>
      <c r="AC508" s="12"/>
      <c r="AD508" s="12"/>
      <c r="AE508" s="12"/>
      <c r="AF508" s="12"/>
      <c r="AG508" s="36"/>
      <c r="AH508" s="12"/>
      <c r="AI508" s="12"/>
      <c r="AJ508" s="12"/>
    </row>
    <row r="509" ht="14.25" customHeight="1">
      <c r="A509" s="12"/>
      <c r="B509" s="12"/>
      <c r="C509" s="12"/>
      <c r="D509" s="12"/>
      <c r="E509" s="12"/>
      <c r="F509" s="12"/>
      <c r="G509" s="12"/>
      <c r="H509" s="12"/>
      <c r="I509" s="12"/>
      <c r="J509" s="12"/>
      <c r="K509" s="36"/>
      <c r="L509" s="36"/>
      <c r="M509" s="12"/>
      <c r="N509" s="12"/>
      <c r="O509" s="12"/>
      <c r="P509" s="12"/>
      <c r="Q509" s="12"/>
      <c r="R509" s="12"/>
      <c r="S509" s="12"/>
      <c r="T509" s="12"/>
      <c r="U509" s="12"/>
      <c r="V509" s="12"/>
      <c r="W509" s="12"/>
      <c r="X509" s="12"/>
      <c r="Y509" s="12"/>
      <c r="Z509" s="12"/>
      <c r="AA509" s="12"/>
      <c r="AB509" s="12"/>
      <c r="AC509" s="12"/>
      <c r="AD509" s="12"/>
      <c r="AE509" s="12"/>
      <c r="AF509" s="12"/>
      <c r="AG509" s="36"/>
      <c r="AH509" s="12"/>
      <c r="AI509" s="12"/>
      <c r="AJ509" s="12"/>
    </row>
    <row r="510" ht="14.25" customHeight="1">
      <c r="A510" s="12"/>
      <c r="B510" s="12"/>
      <c r="C510" s="12"/>
      <c r="D510" s="12"/>
      <c r="E510" s="12"/>
      <c r="F510" s="12"/>
      <c r="G510" s="12"/>
      <c r="H510" s="12"/>
      <c r="I510" s="12"/>
      <c r="J510" s="12"/>
      <c r="K510" s="36"/>
      <c r="L510" s="36"/>
      <c r="M510" s="12"/>
      <c r="N510" s="12"/>
      <c r="O510" s="12"/>
      <c r="P510" s="12"/>
      <c r="Q510" s="12"/>
      <c r="R510" s="12"/>
      <c r="S510" s="12"/>
      <c r="T510" s="12"/>
      <c r="U510" s="12"/>
      <c r="V510" s="12"/>
      <c r="W510" s="12"/>
      <c r="X510" s="12"/>
      <c r="Y510" s="12"/>
      <c r="Z510" s="12"/>
      <c r="AA510" s="12"/>
      <c r="AB510" s="12"/>
      <c r="AC510" s="12"/>
      <c r="AD510" s="12"/>
      <c r="AE510" s="12"/>
      <c r="AF510" s="12"/>
      <c r="AG510" s="36"/>
      <c r="AH510" s="12"/>
      <c r="AI510" s="12"/>
      <c r="AJ510" s="12"/>
    </row>
    <row r="511" ht="14.25" customHeight="1">
      <c r="A511" s="12"/>
      <c r="B511" s="12"/>
      <c r="C511" s="12"/>
      <c r="D511" s="12"/>
      <c r="E511" s="12"/>
      <c r="F511" s="12"/>
      <c r="G511" s="12"/>
      <c r="H511" s="12"/>
      <c r="I511" s="12"/>
      <c r="J511" s="12"/>
      <c r="K511" s="36"/>
      <c r="L511" s="36"/>
      <c r="M511" s="12"/>
      <c r="N511" s="12"/>
      <c r="O511" s="12"/>
      <c r="P511" s="12"/>
      <c r="Q511" s="12"/>
      <c r="R511" s="12"/>
      <c r="S511" s="12"/>
      <c r="T511" s="12"/>
      <c r="U511" s="12"/>
      <c r="V511" s="12"/>
      <c r="W511" s="12"/>
      <c r="X511" s="12"/>
      <c r="Y511" s="12"/>
      <c r="Z511" s="12"/>
      <c r="AA511" s="12"/>
      <c r="AB511" s="12"/>
      <c r="AC511" s="12"/>
      <c r="AD511" s="12"/>
      <c r="AE511" s="12"/>
      <c r="AF511" s="12"/>
      <c r="AG511" s="36"/>
      <c r="AH511" s="12"/>
      <c r="AI511" s="12"/>
      <c r="AJ511" s="12"/>
    </row>
    <row r="512" ht="14.25" customHeight="1">
      <c r="A512" s="12"/>
      <c r="B512" s="12"/>
      <c r="C512" s="12"/>
      <c r="D512" s="12"/>
      <c r="E512" s="12"/>
      <c r="F512" s="12"/>
      <c r="G512" s="12"/>
      <c r="H512" s="12"/>
      <c r="I512" s="12"/>
      <c r="J512" s="12"/>
      <c r="K512" s="36"/>
      <c r="L512" s="36"/>
      <c r="M512" s="12"/>
      <c r="N512" s="12"/>
      <c r="O512" s="12"/>
      <c r="P512" s="12"/>
      <c r="Q512" s="12"/>
      <c r="R512" s="12"/>
      <c r="S512" s="12"/>
      <c r="T512" s="12"/>
      <c r="U512" s="12"/>
      <c r="V512" s="12"/>
      <c r="W512" s="12"/>
      <c r="X512" s="12"/>
      <c r="Y512" s="12"/>
      <c r="Z512" s="12"/>
      <c r="AA512" s="12"/>
      <c r="AB512" s="12"/>
      <c r="AC512" s="12"/>
      <c r="AD512" s="12"/>
      <c r="AE512" s="12"/>
      <c r="AF512" s="12"/>
      <c r="AG512" s="36"/>
      <c r="AH512" s="12"/>
      <c r="AI512" s="12"/>
      <c r="AJ512" s="12"/>
    </row>
    <row r="513" ht="14.25" customHeight="1">
      <c r="A513" s="12"/>
      <c r="B513" s="12"/>
      <c r="C513" s="12"/>
      <c r="D513" s="12"/>
      <c r="E513" s="12"/>
      <c r="F513" s="12"/>
      <c r="G513" s="12"/>
      <c r="H513" s="12"/>
      <c r="I513" s="12"/>
      <c r="J513" s="12"/>
      <c r="K513" s="36"/>
      <c r="L513" s="36"/>
      <c r="M513" s="12"/>
      <c r="N513" s="12"/>
      <c r="O513" s="12"/>
      <c r="P513" s="12"/>
      <c r="Q513" s="12"/>
      <c r="R513" s="12"/>
      <c r="S513" s="12"/>
      <c r="T513" s="12"/>
      <c r="U513" s="12"/>
      <c r="V513" s="12"/>
      <c r="W513" s="12"/>
      <c r="X513" s="12"/>
      <c r="Y513" s="12"/>
      <c r="Z513" s="12"/>
      <c r="AA513" s="12"/>
      <c r="AB513" s="12"/>
      <c r="AC513" s="12"/>
      <c r="AD513" s="12"/>
      <c r="AE513" s="12"/>
      <c r="AF513" s="12"/>
      <c r="AG513" s="36"/>
      <c r="AH513" s="12"/>
      <c r="AI513" s="12"/>
      <c r="AJ513" s="12"/>
    </row>
    <row r="514" ht="14.25" customHeight="1">
      <c r="A514" s="12"/>
      <c r="B514" s="12"/>
      <c r="C514" s="12"/>
      <c r="D514" s="12"/>
      <c r="E514" s="12"/>
      <c r="F514" s="12"/>
      <c r="G514" s="12"/>
      <c r="H514" s="12"/>
      <c r="I514" s="12"/>
      <c r="J514" s="12"/>
      <c r="K514" s="36"/>
      <c r="L514" s="36"/>
      <c r="M514" s="12"/>
      <c r="N514" s="12"/>
      <c r="O514" s="12"/>
      <c r="P514" s="12"/>
      <c r="Q514" s="12"/>
      <c r="R514" s="12"/>
      <c r="S514" s="12"/>
      <c r="T514" s="12"/>
      <c r="U514" s="12"/>
      <c r="V514" s="12"/>
      <c r="W514" s="12"/>
      <c r="X514" s="12"/>
      <c r="Y514" s="12"/>
      <c r="Z514" s="12"/>
      <c r="AA514" s="12"/>
      <c r="AB514" s="12"/>
      <c r="AC514" s="12"/>
      <c r="AD514" s="12"/>
      <c r="AE514" s="12"/>
      <c r="AF514" s="12"/>
      <c r="AG514" s="36"/>
      <c r="AH514" s="12"/>
      <c r="AI514" s="12"/>
      <c r="AJ514" s="12"/>
    </row>
    <row r="515" ht="14.25" customHeight="1">
      <c r="A515" s="12"/>
      <c r="B515" s="12"/>
      <c r="C515" s="12"/>
      <c r="D515" s="12"/>
      <c r="E515" s="12"/>
      <c r="F515" s="12"/>
      <c r="G515" s="12"/>
      <c r="H515" s="12"/>
      <c r="I515" s="12"/>
      <c r="J515" s="12"/>
      <c r="K515" s="36"/>
      <c r="L515" s="36"/>
      <c r="M515" s="12"/>
      <c r="N515" s="12"/>
      <c r="O515" s="12"/>
      <c r="P515" s="12"/>
      <c r="Q515" s="12"/>
      <c r="R515" s="12"/>
      <c r="S515" s="12"/>
      <c r="T515" s="12"/>
      <c r="U515" s="12"/>
      <c r="V515" s="12"/>
      <c r="W515" s="12"/>
      <c r="X515" s="12"/>
      <c r="Y515" s="12"/>
      <c r="Z515" s="12"/>
      <c r="AA515" s="12"/>
      <c r="AB515" s="12"/>
      <c r="AC515" s="12"/>
      <c r="AD515" s="12"/>
      <c r="AE515" s="12"/>
      <c r="AF515" s="12"/>
      <c r="AG515" s="36"/>
      <c r="AH515" s="12"/>
      <c r="AI515" s="12"/>
      <c r="AJ515" s="12"/>
    </row>
    <row r="516" ht="14.25" customHeight="1">
      <c r="A516" s="12"/>
      <c r="B516" s="12"/>
      <c r="C516" s="12"/>
      <c r="D516" s="12"/>
      <c r="E516" s="12"/>
      <c r="F516" s="12"/>
      <c r="G516" s="12"/>
      <c r="H516" s="12"/>
      <c r="I516" s="12"/>
      <c r="J516" s="12"/>
      <c r="K516" s="36"/>
      <c r="L516" s="36"/>
      <c r="M516" s="12"/>
      <c r="N516" s="12"/>
      <c r="O516" s="12"/>
      <c r="P516" s="12"/>
      <c r="Q516" s="12"/>
      <c r="R516" s="12"/>
      <c r="S516" s="12"/>
      <c r="T516" s="12"/>
      <c r="U516" s="12"/>
      <c r="V516" s="12"/>
      <c r="W516" s="12"/>
      <c r="X516" s="12"/>
      <c r="Y516" s="12"/>
      <c r="Z516" s="12"/>
      <c r="AA516" s="12"/>
      <c r="AB516" s="12"/>
      <c r="AC516" s="12"/>
      <c r="AD516" s="12"/>
      <c r="AE516" s="12"/>
      <c r="AF516" s="12"/>
      <c r="AG516" s="36"/>
      <c r="AH516" s="12"/>
      <c r="AI516" s="12"/>
      <c r="AJ516" s="12"/>
    </row>
    <row r="517" ht="14.25" customHeight="1">
      <c r="A517" s="12"/>
      <c r="B517" s="12"/>
      <c r="C517" s="12"/>
      <c r="D517" s="12"/>
      <c r="E517" s="12"/>
      <c r="F517" s="12"/>
      <c r="G517" s="12"/>
      <c r="H517" s="12"/>
      <c r="I517" s="12"/>
      <c r="J517" s="12"/>
      <c r="K517" s="36"/>
      <c r="L517" s="36"/>
      <c r="M517" s="12"/>
      <c r="N517" s="12"/>
      <c r="O517" s="12"/>
      <c r="P517" s="12"/>
      <c r="Q517" s="12"/>
      <c r="R517" s="12"/>
      <c r="S517" s="12"/>
      <c r="T517" s="12"/>
      <c r="U517" s="12"/>
      <c r="V517" s="12"/>
      <c r="W517" s="12"/>
      <c r="X517" s="12"/>
      <c r="Y517" s="12"/>
      <c r="Z517" s="12"/>
      <c r="AA517" s="12"/>
      <c r="AB517" s="12"/>
      <c r="AC517" s="12"/>
      <c r="AD517" s="12"/>
      <c r="AE517" s="12"/>
      <c r="AF517" s="12"/>
      <c r="AG517" s="36"/>
      <c r="AH517" s="12"/>
      <c r="AI517" s="12"/>
      <c r="AJ517" s="12"/>
    </row>
    <row r="518" ht="14.25" customHeight="1">
      <c r="A518" s="12"/>
      <c r="B518" s="12"/>
      <c r="C518" s="12"/>
      <c r="D518" s="12"/>
      <c r="E518" s="12"/>
      <c r="F518" s="12"/>
      <c r="G518" s="12"/>
      <c r="H518" s="12"/>
      <c r="I518" s="12"/>
      <c r="J518" s="12"/>
      <c r="K518" s="36"/>
      <c r="L518" s="36"/>
      <c r="M518" s="12"/>
      <c r="N518" s="12"/>
      <c r="O518" s="12"/>
      <c r="P518" s="12"/>
      <c r="Q518" s="12"/>
      <c r="R518" s="12"/>
      <c r="S518" s="12"/>
      <c r="T518" s="12"/>
      <c r="U518" s="12"/>
      <c r="V518" s="12"/>
      <c r="W518" s="12"/>
      <c r="X518" s="12"/>
      <c r="Y518" s="12"/>
      <c r="Z518" s="12"/>
      <c r="AA518" s="12"/>
      <c r="AB518" s="12"/>
      <c r="AC518" s="12"/>
      <c r="AD518" s="12"/>
      <c r="AE518" s="12"/>
      <c r="AF518" s="12"/>
      <c r="AG518" s="36"/>
      <c r="AH518" s="12"/>
      <c r="AI518" s="12"/>
      <c r="AJ518" s="12"/>
    </row>
    <row r="519" ht="14.25" customHeight="1">
      <c r="A519" s="12"/>
      <c r="B519" s="12"/>
      <c r="C519" s="12"/>
      <c r="D519" s="12"/>
      <c r="E519" s="12"/>
      <c r="F519" s="12"/>
      <c r="G519" s="12"/>
      <c r="H519" s="12"/>
      <c r="I519" s="12"/>
      <c r="J519" s="12"/>
      <c r="K519" s="36"/>
      <c r="L519" s="36"/>
      <c r="M519" s="12"/>
      <c r="N519" s="12"/>
      <c r="O519" s="12"/>
      <c r="P519" s="12"/>
      <c r="Q519" s="12"/>
      <c r="R519" s="12"/>
      <c r="S519" s="12"/>
      <c r="T519" s="12"/>
      <c r="U519" s="12"/>
      <c r="V519" s="12"/>
      <c r="W519" s="12"/>
      <c r="X519" s="12"/>
      <c r="Y519" s="12"/>
      <c r="Z519" s="12"/>
      <c r="AA519" s="12"/>
      <c r="AB519" s="12"/>
      <c r="AC519" s="12"/>
      <c r="AD519" s="12"/>
      <c r="AE519" s="12"/>
      <c r="AF519" s="12"/>
      <c r="AG519" s="36"/>
      <c r="AH519" s="12"/>
      <c r="AI519" s="12"/>
      <c r="AJ519" s="12"/>
    </row>
    <row r="520" ht="14.25" customHeight="1">
      <c r="A520" s="12"/>
      <c r="B520" s="12"/>
      <c r="C520" s="12"/>
      <c r="D520" s="12"/>
      <c r="E520" s="12"/>
      <c r="F520" s="12"/>
      <c r="G520" s="12"/>
      <c r="H520" s="12"/>
      <c r="I520" s="12"/>
      <c r="J520" s="12"/>
      <c r="K520" s="36"/>
      <c r="L520" s="36"/>
      <c r="M520" s="12"/>
      <c r="N520" s="12"/>
      <c r="O520" s="12"/>
      <c r="P520" s="12"/>
      <c r="Q520" s="12"/>
      <c r="R520" s="12"/>
      <c r="S520" s="12"/>
      <c r="T520" s="12"/>
      <c r="U520" s="12"/>
      <c r="V520" s="12"/>
      <c r="W520" s="12"/>
      <c r="X520" s="12"/>
      <c r="Y520" s="12"/>
      <c r="Z520" s="12"/>
      <c r="AA520" s="12"/>
      <c r="AB520" s="12"/>
      <c r="AC520" s="12"/>
      <c r="AD520" s="12"/>
      <c r="AE520" s="12"/>
      <c r="AF520" s="12"/>
      <c r="AG520" s="36"/>
      <c r="AH520" s="12"/>
      <c r="AI520" s="12"/>
      <c r="AJ520" s="12"/>
    </row>
    <row r="521" ht="14.25" customHeight="1">
      <c r="A521" s="12"/>
      <c r="B521" s="12"/>
      <c r="C521" s="12"/>
      <c r="D521" s="12"/>
      <c r="E521" s="12"/>
      <c r="F521" s="12"/>
      <c r="G521" s="12"/>
      <c r="H521" s="12"/>
      <c r="I521" s="12"/>
      <c r="J521" s="12"/>
      <c r="K521" s="36"/>
      <c r="L521" s="36"/>
      <c r="M521" s="12"/>
      <c r="N521" s="12"/>
      <c r="O521" s="12"/>
      <c r="P521" s="12"/>
      <c r="Q521" s="12"/>
      <c r="R521" s="12"/>
      <c r="S521" s="12"/>
      <c r="T521" s="12"/>
      <c r="U521" s="12"/>
      <c r="V521" s="12"/>
      <c r="W521" s="12"/>
      <c r="X521" s="12"/>
      <c r="Y521" s="12"/>
      <c r="Z521" s="12"/>
      <c r="AA521" s="12"/>
      <c r="AB521" s="12"/>
      <c r="AC521" s="12"/>
      <c r="AD521" s="12"/>
      <c r="AE521" s="12"/>
      <c r="AF521" s="12"/>
      <c r="AG521" s="36"/>
      <c r="AH521" s="12"/>
      <c r="AI521" s="12"/>
      <c r="AJ521" s="12"/>
    </row>
    <row r="522" ht="14.25" customHeight="1">
      <c r="A522" s="12"/>
      <c r="B522" s="12"/>
      <c r="C522" s="12"/>
      <c r="D522" s="12"/>
      <c r="E522" s="12"/>
      <c r="F522" s="12"/>
      <c r="G522" s="12"/>
      <c r="H522" s="12"/>
      <c r="I522" s="12"/>
      <c r="J522" s="12"/>
      <c r="K522" s="36"/>
      <c r="L522" s="36"/>
      <c r="M522" s="12"/>
      <c r="N522" s="12"/>
      <c r="O522" s="12"/>
      <c r="P522" s="12"/>
      <c r="Q522" s="12"/>
      <c r="R522" s="12"/>
      <c r="S522" s="12"/>
      <c r="T522" s="12"/>
      <c r="U522" s="12"/>
      <c r="V522" s="12"/>
      <c r="W522" s="12"/>
      <c r="X522" s="12"/>
      <c r="Y522" s="12"/>
      <c r="Z522" s="12"/>
      <c r="AA522" s="12"/>
      <c r="AB522" s="12"/>
      <c r="AC522" s="12"/>
      <c r="AD522" s="12"/>
      <c r="AE522" s="12"/>
      <c r="AF522" s="12"/>
      <c r="AG522" s="36"/>
      <c r="AH522" s="12"/>
      <c r="AI522" s="12"/>
      <c r="AJ522" s="12"/>
    </row>
    <row r="523" ht="14.25" customHeight="1">
      <c r="A523" s="12"/>
      <c r="B523" s="12"/>
      <c r="C523" s="12"/>
      <c r="D523" s="12"/>
      <c r="E523" s="12"/>
      <c r="F523" s="12"/>
      <c r="G523" s="12"/>
      <c r="H523" s="12"/>
      <c r="I523" s="12"/>
      <c r="J523" s="12"/>
      <c r="K523" s="36"/>
      <c r="L523" s="36"/>
      <c r="M523" s="12"/>
      <c r="N523" s="12"/>
      <c r="O523" s="12"/>
      <c r="P523" s="12"/>
      <c r="Q523" s="12"/>
      <c r="R523" s="12"/>
      <c r="S523" s="12"/>
      <c r="T523" s="12"/>
      <c r="U523" s="12"/>
      <c r="V523" s="12"/>
      <c r="W523" s="12"/>
      <c r="X523" s="12"/>
      <c r="Y523" s="12"/>
      <c r="Z523" s="12"/>
      <c r="AA523" s="12"/>
      <c r="AB523" s="12"/>
      <c r="AC523" s="12"/>
      <c r="AD523" s="12"/>
      <c r="AE523" s="12"/>
      <c r="AF523" s="12"/>
      <c r="AG523" s="36"/>
      <c r="AH523" s="12"/>
      <c r="AI523" s="12"/>
      <c r="AJ523" s="12"/>
    </row>
    <row r="524" ht="14.25" customHeight="1">
      <c r="A524" s="12"/>
      <c r="B524" s="12"/>
      <c r="C524" s="12"/>
      <c r="D524" s="12"/>
      <c r="E524" s="12"/>
      <c r="F524" s="12"/>
      <c r="G524" s="12"/>
      <c r="H524" s="12"/>
      <c r="I524" s="12"/>
      <c r="J524" s="12"/>
      <c r="K524" s="36"/>
      <c r="L524" s="36"/>
      <c r="M524" s="12"/>
      <c r="N524" s="12"/>
      <c r="O524" s="12"/>
      <c r="P524" s="12"/>
      <c r="Q524" s="12"/>
      <c r="R524" s="12"/>
      <c r="S524" s="12"/>
      <c r="T524" s="12"/>
      <c r="U524" s="12"/>
      <c r="V524" s="12"/>
      <c r="W524" s="12"/>
      <c r="X524" s="12"/>
      <c r="Y524" s="12"/>
      <c r="Z524" s="12"/>
      <c r="AA524" s="12"/>
      <c r="AB524" s="12"/>
      <c r="AC524" s="12"/>
      <c r="AD524" s="12"/>
      <c r="AE524" s="12"/>
      <c r="AF524" s="12"/>
      <c r="AG524" s="36"/>
      <c r="AH524" s="12"/>
      <c r="AI524" s="12"/>
      <c r="AJ524" s="12"/>
    </row>
    <row r="525" ht="14.25" customHeight="1">
      <c r="A525" s="12"/>
      <c r="B525" s="12"/>
      <c r="C525" s="12"/>
      <c r="D525" s="12"/>
      <c r="E525" s="12"/>
      <c r="F525" s="12"/>
      <c r="G525" s="12"/>
      <c r="H525" s="12"/>
      <c r="I525" s="12"/>
      <c r="J525" s="12"/>
      <c r="K525" s="36"/>
      <c r="L525" s="36"/>
      <c r="M525" s="12"/>
      <c r="N525" s="12"/>
      <c r="O525" s="12"/>
      <c r="P525" s="12"/>
      <c r="Q525" s="12"/>
      <c r="R525" s="12"/>
      <c r="S525" s="12"/>
      <c r="T525" s="12"/>
      <c r="U525" s="12"/>
      <c r="V525" s="12"/>
      <c r="W525" s="12"/>
      <c r="X525" s="12"/>
      <c r="Y525" s="12"/>
      <c r="Z525" s="12"/>
      <c r="AA525" s="12"/>
      <c r="AB525" s="12"/>
      <c r="AC525" s="12"/>
      <c r="AD525" s="12"/>
      <c r="AE525" s="12"/>
      <c r="AF525" s="12"/>
      <c r="AG525" s="36"/>
      <c r="AH525" s="12"/>
      <c r="AI525" s="12"/>
      <c r="AJ525" s="12"/>
    </row>
    <row r="526" ht="14.25" customHeight="1">
      <c r="A526" s="12"/>
      <c r="B526" s="12"/>
      <c r="C526" s="12"/>
      <c r="D526" s="12"/>
      <c r="E526" s="12"/>
      <c r="F526" s="12"/>
      <c r="G526" s="12"/>
      <c r="H526" s="12"/>
      <c r="I526" s="12"/>
      <c r="J526" s="12"/>
      <c r="K526" s="36"/>
      <c r="L526" s="36"/>
      <c r="M526" s="12"/>
      <c r="N526" s="12"/>
      <c r="O526" s="12"/>
      <c r="P526" s="12"/>
      <c r="Q526" s="12"/>
      <c r="R526" s="12"/>
      <c r="S526" s="12"/>
      <c r="T526" s="12"/>
      <c r="U526" s="12"/>
      <c r="V526" s="12"/>
      <c r="W526" s="12"/>
      <c r="X526" s="12"/>
      <c r="Y526" s="12"/>
      <c r="Z526" s="12"/>
      <c r="AA526" s="12"/>
      <c r="AB526" s="12"/>
      <c r="AC526" s="12"/>
      <c r="AD526" s="12"/>
      <c r="AE526" s="12"/>
      <c r="AF526" s="12"/>
      <c r="AG526" s="36"/>
      <c r="AH526" s="12"/>
      <c r="AI526" s="12"/>
      <c r="AJ526" s="12"/>
    </row>
    <row r="527" ht="14.25" customHeight="1">
      <c r="A527" s="12"/>
      <c r="B527" s="12"/>
      <c r="C527" s="12"/>
      <c r="D527" s="12"/>
      <c r="E527" s="12"/>
      <c r="F527" s="12"/>
      <c r="G527" s="12"/>
      <c r="H527" s="12"/>
      <c r="I527" s="12"/>
      <c r="J527" s="12"/>
      <c r="K527" s="36"/>
      <c r="L527" s="36"/>
      <c r="M527" s="12"/>
      <c r="N527" s="12"/>
      <c r="O527" s="12"/>
      <c r="P527" s="12"/>
      <c r="Q527" s="12"/>
      <c r="R527" s="12"/>
      <c r="S527" s="12"/>
      <c r="T527" s="12"/>
      <c r="U527" s="12"/>
      <c r="V527" s="12"/>
      <c r="W527" s="12"/>
      <c r="X527" s="12"/>
      <c r="Y527" s="12"/>
      <c r="Z527" s="12"/>
      <c r="AA527" s="12"/>
      <c r="AB527" s="12"/>
      <c r="AC527" s="12"/>
      <c r="AD527" s="12"/>
      <c r="AE527" s="12"/>
      <c r="AF527" s="12"/>
      <c r="AG527" s="36"/>
      <c r="AH527" s="12"/>
      <c r="AI527" s="12"/>
      <c r="AJ527" s="12"/>
    </row>
    <row r="528" ht="14.25" customHeight="1">
      <c r="A528" s="12"/>
      <c r="B528" s="12"/>
      <c r="C528" s="12"/>
      <c r="D528" s="12"/>
      <c r="E528" s="12"/>
      <c r="F528" s="12"/>
      <c r="G528" s="12"/>
      <c r="H528" s="12"/>
      <c r="I528" s="12"/>
      <c r="J528" s="12"/>
      <c r="K528" s="36"/>
      <c r="L528" s="36"/>
      <c r="M528" s="12"/>
      <c r="N528" s="12"/>
      <c r="O528" s="12"/>
      <c r="P528" s="12"/>
      <c r="Q528" s="12"/>
      <c r="R528" s="12"/>
      <c r="S528" s="12"/>
      <c r="T528" s="12"/>
      <c r="U528" s="12"/>
      <c r="V528" s="12"/>
      <c r="W528" s="12"/>
      <c r="X528" s="12"/>
      <c r="Y528" s="12"/>
      <c r="Z528" s="12"/>
      <c r="AA528" s="12"/>
      <c r="AB528" s="12"/>
      <c r="AC528" s="12"/>
      <c r="AD528" s="12"/>
      <c r="AE528" s="12"/>
      <c r="AF528" s="12"/>
      <c r="AG528" s="36"/>
      <c r="AH528" s="12"/>
      <c r="AI528" s="12"/>
      <c r="AJ528" s="12"/>
    </row>
    <row r="529" ht="14.25" customHeight="1">
      <c r="A529" s="12"/>
      <c r="B529" s="12"/>
      <c r="C529" s="12"/>
      <c r="D529" s="12"/>
      <c r="E529" s="12"/>
      <c r="F529" s="12"/>
      <c r="G529" s="12"/>
      <c r="H529" s="12"/>
      <c r="I529" s="12"/>
      <c r="J529" s="12"/>
      <c r="K529" s="36"/>
      <c r="L529" s="36"/>
      <c r="M529" s="12"/>
      <c r="N529" s="12"/>
      <c r="O529" s="12"/>
      <c r="P529" s="12"/>
      <c r="Q529" s="12"/>
      <c r="R529" s="12"/>
      <c r="S529" s="12"/>
      <c r="T529" s="12"/>
      <c r="U529" s="12"/>
      <c r="V529" s="12"/>
      <c r="W529" s="12"/>
      <c r="X529" s="12"/>
      <c r="Y529" s="12"/>
      <c r="Z529" s="12"/>
      <c r="AA529" s="12"/>
      <c r="AB529" s="12"/>
      <c r="AC529" s="12"/>
      <c r="AD529" s="12"/>
      <c r="AE529" s="12"/>
      <c r="AF529" s="12"/>
      <c r="AG529" s="36"/>
      <c r="AH529" s="12"/>
      <c r="AI529" s="12"/>
      <c r="AJ529" s="12"/>
    </row>
    <row r="530" ht="14.25" customHeight="1">
      <c r="A530" s="12"/>
      <c r="B530" s="12"/>
      <c r="C530" s="12"/>
      <c r="D530" s="12"/>
      <c r="E530" s="12"/>
      <c r="F530" s="12"/>
      <c r="G530" s="12"/>
      <c r="H530" s="12"/>
      <c r="I530" s="12"/>
      <c r="J530" s="12"/>
      <c r="K530" s="36"/>
      <c r="L530" s="36"/>
      <c r="M530" s="12"/>
      <c r="N530" s="12"/>
      <c r="O530" s="12"/>
      <c r="P530" s="12"/>
      <c r="Q530" s="12"/>
      <c r="R530" s="12"/>
      <c r="S530" s="12"/>
      <c r="T530" s="12"/>
      <c r="U530" s="12"/>
      <c r="V530" s="12"/>
      <c r="W530" s="12"/>
      <c r="X530" s="12"/>
      <c r="Y530" s="12"/>
      <c r="Z530" s="12"/>
      <c r="AA530" s="12"/>
      <c r="AB530" s="12"/>
      <c r="AC530" s="12"/>
      <c r="AD530" s="12"/>
      <c r="AE530" s="12"/>
      <c r="AF530" s="12"/>
      <c r="AG530" s="36"/>
      <c r="AH530" s="12"/>
      <c r="AI530" s="12"/>
      <c r="AJ530" s="12"/>
    </row>
    <row r="531" ht="14.25" customHeight="1">
      <c r="A531" s="12"/>
      <c r="B531" s="12"/>
      <c r="C531" s="12"/>
      <c r="D531" s="12"/>
      <c r="E531" s="12"/>
      <c r="F531" s="12"/>
      <c r="G531" s="12"/>
      <c r="H531" s="12"/>
      <c r="I531" s="12"/>
      <c r="J531" s="12"/>
      <c r="K531" s="36"/>
      <c r="L531" s="36"/>
      <c r="M531" s="12"/>
      <c r="N531" s="12"/>
      <c r="O531" s="12"/>
      <c r="P531" s="12"/>
      <c r="Q531" s="12"/>
      <c r="R531" s="12"/>
      <c r="S531" s="12"/>
      <c r="T531" s="12"/>
      <c r="U531" s="12"/>
      <c r="V531" s="12"/>
      <c r="W531" s="12"/>
      <c r="X531" s="12"/>
      <c r="Y531" s="12"/>
      <c r="Z531" s="12"/>
      <c r="AA531" s="12"/>
      <c r="AB531" s="12"/>
      <c r="AC531" s="12"/>
      <c r="AD531" s="12"/>
      <c r="AE531" s="12"/>
      <c r="AF531" s="12"/>
      <c r="AG531" s="36"/>
      <c r="AH531" s="12"/>
      <c r="AI531" s="12"/>
      <c r="AJ531" s="12"/>
    </row>
    <row r="532" ht="14.25" customHeight="1">
      <c r="A532" s="12"/>
      <c r="B532" s="12"/>
      <c r="C532" s="12"/>
      <c r="D532" s="12"/>
      <c r="E532" s="12"/>
      <c r="F532" s="12"/>
      <c r="G532" s="12"/>
      <c r="H532" s="12"/>
      <c r="I532" s="12"/>
      <c r="J532" s="12"/>
      <c r="K532" s="36"/>
      <c r="L532" s="36"/>
      <c r="M532" s="12"/>
      <c r="N532" s="12"/>
      <c r="O532" s="12"/>
      <c r="P532" s="12"/>
      <c r="Q532" s="12"/>
      <c r="R532" s="12"/>
      <c r="S532" s="12"/>
      <c r="T532" s="12"/>
      <c r="U532" s="12"/>
      <c r="V532" s="12"/>
      <c r="W532" s="12"/>
      <c r="X532" s="12"/>
      <c r="Y532" s="12"/>
      <c r="Z532" s="12"/>
      <c r="AA532" s="12"/>
      <c r="AB532" s="12"/>
      <c r="AC532" s="12"/>
      <c r="AD532" s="12"/>
      <c r="AE532" s="12"/>
      <c r="AF532" s="12"/>
      <c r="AG532" s="36"/>
      <c r="AH532" s="12"/>
      <c r="AI532" s="12"/>
      <c r="AJ532" s="12"/>
    </row>
    <row r="533" ht="14.25" customHeight="1">
      <c r="A533" s="12"/>
      <c r="B533" s="12"/>
      <c r="C533" s="12"/>
      <c r="D533" s="12"/>
      <c r="E533" s="12"/>
      <c r="F533" s="12"/>
      <c r="G533" s="12"/>
      <c r="H533" s="12"/>
      <c r="I533" s="12"/>
      <c r="J533" s="12"/>
      <c r="K533" s="36"/>
      <c r="L533" s="36"/>
      <c r="M533" s="12"/>
      <c r="N533" s="12"/>
      <c r="O533" s="12"/>
      <c r="P533" s="12"/>
      <c r="Q533" s="12"/>
      <c r="R533" s="12"/>
      <c r="S533" s="12"/>
      <c r="T533" s="12"/>
      <c r="U533" s="12"/>
      <c r="V533" s="12"/>
      <c r="W533" s="12"/>
      <c r="X533" s="12"/>
      <c r="Y533" s="12"/>
      <c r="Z533" s="12"/>
      <c r="AA533" s="12"/>
      <c r="AB533" s="12"/>
      <c r="AC533" s="12"/>
      <c r="AD533" s="12"/>
      <c r="AE533" s="12"/>
      <c r="AF533" s="12"/>
      <c r="AG533" s="36"/>
      <c r="AH533" s="12"/>
      <c r="AI533" s="12"/>
      <c r="AJ533" s="12"/>
    </row>
    <row r="534" ht="14.25" customHeight="1">
      <c r="A534" s="12"/>
      <c r="B534" s="12"/>
      <c r="C534" s="12"/>
      <c r="D534" s="12"/>
      <c r="E534" s="12"/>
      <c r="F534" s="12"/>
      <c r="G534" s="12"/>
      <c r="H534" s="12"/>
      <c r="I534" s="12"/>
      <c r="J534" s="12"/>
      <c r="K534" s="36"/>
      <c r="L534" s="36"/>
      <c r="M534" s="12"/>
      <c r="N534" s="12"/>
      <c r="O534" s="12"/>
      <c r="P534" s="12"/>
      <c r="Q534" s="12"/>
      <c r="R534" s="12"/>
      <c r="S534" s="12"/>
      <c r="T534" s="12"/>
      <c r="U534" s="12"/>
      <c r="V534" s="12"/>
      <c r="W534" s="12"/>
      <c r="X534" s="12"/>
      <c r="Y534" s="12"/>
      <c r="Z534" s="12"/>
      <c r="AA534" s="12"/>
      <c r="AB534" s="12"/>
      <c r="AC534" s="12"/>
      <c r="AD534" s="12"/>
      <c r="AE534" s="12"/>
      <c r="AF534" s="12"/>
      <c r="AG534" s="36"/>
      <c r="AH534" s="12"/>
      <c r="AI534" s="12"/>
      <c r="AJ534" s="12"/>
    </row>
    <row r="535" ht="14.25" customHeight="1">
      <c r="A535" s="12"/>
      <c r="B535" s="12"/>
      <c r="C535" s="12"/>
      <c r="D535" s="12"/>
      <c r="E535" s="12"/>
      <c r="F535" s="12"/>
      <c r="G535" s="12"/>
      <c r="H535" s="12"/>
      <c r="I535" s="12"/>
      <c r="J535" s="12"/>
      <c r="K535" s="36"/>
      <c r="L535" s="36"/>
      <c r="M535" s="12"/>
      <c r="N535" s="12"/>
      <c r="O535" s="12"/>
      <c r="P535" s="12"/>
      <c r="Q535" s="12"/>
      <c r="R535" s="12"/>
      <c r="S535" s="12"/>
      <c r="T535" s="12"/>
      <c r="U535" s="12"/>
      <c r="V535" s="12"/>
      <c r="W535" s="12"/>
      <c r="X535" s="12"/>
      <c r="Y535" s="12"/>
      <c r="Z535" s="12"/>
      <c r="AA535" s="12"/>
      <c r="AB535" s="12"/>
      <c r="AC535" s="12"/>
      <c r="AD535" s="12"/>
      <c r="AE535" s="12"/>
      <c r="AF535" s="12"/>
      <c r="AG535" s="36"/>
      <c r="AH535" s="12"/>
      <c r="AI535" s="12"/>
      <c r="AJ535" s="12"/>
    </row>
    <row r="536" ht="14.25" customHeight="1">
      <c r="A536" s="12"/>
      <c r="B536" s="12"/>
      <c r="C536" s="12"/>
      <c r="D536" s="12"/>
      <c r="E536" s="12"/>
      <c r="F536" s="12"/>
      <c r="G536" s="12"/>
      <c r="H536" s="12"/>
      <c r="I536" s="12"/>
      <c r="J536" s="12"/>
      <c r="K536" s="36"/>
      <c r="L536" s="36"/>
      <c r="M536" s="12"/>
      <c r="N536" s="12"/>
      <c r="O536" s="12"/>
      <c r="P536" s="12"/>
      <c r="Q536" s="12"/>
      <c r="R536" s="12"/>
      <c r="S536" s="12"/>
      <c r="T536" s="12"/>
      <c r="U536" s="12"/>
      <c r="V536" s="12"/>
      <c r="W536" s="12"/>
      <c r="X536" s="12"/>
      <c r="Y536" s="12"/>
      <c r="Z536" s="12"/>
      <c r="AA536" s="12"/>
      <c r="AB536" s="12"/>
      <c r="AC536" s="12"/>
      <c r="AD536" s="12"/>
      <c r="AE536" s="12"/>
      <c r="AF536" s="12"/>
      <c r="AG536" s="36"/>
      <c r="AH536" s="12"/>
      <c r="AI536" s="12"/>
      <c r="AJ536" s="12"/>
    </row>
    <row r="537" ht="14.25" customHeight="1">
      <c r="A537" s="12"/>
      <c r="B537" s="12"/>
      <c r="C537" s="12"/>
      <c r="D537" s="12"/>
      <c r="E537" s="12"/>
      <c r="F537" s="12"/>
      <c r="G537" s="12"/>
      <c r="H537" s="12"/>
      <c r="I537" s="12"/>
      <c r="J537" s="12"/>
      <c r="K537" s="36"/>
      <c r="L537" s="36"/>
      <c r="M537" s="12"/>
      <c r="N537" s="12"/>
      <c r="O537" s="12"/>
      <c r="P537" s="12"/>
      <c r="Q537" s="12"/>
      <c r="R537" s="12"/>
      <c r="S537" s="12"/>
      <c r="T537" s="12"/>
      <c r="U537" s="12"/>
      <c r="V537" s="12"/>
      <c r="W537" s="12"/>
      <c r="X537" s="12"/>
      <c r="Y537" s="12"/>
      <c r="Z537" s="12"/>
      <c r="AA537" s="12"/>
      <c r="AB537" s="12"/>
      <c r="AC537" s="12"/>
      <c r="AD537" s="12"/>
      <c r="AE537" s="12"/>
      <c r="AF537" s="12"/>
      <c r="AG537" s="36"/>
      <c r="AH537" s="12"/>
      <c r="AI537" s="12"/>
      <c r="AJ537" s="12"/>
    </row>
    <row r="538" ht="14.25" customHeight="1">
      <c r="A538" s="12"/>
      <c r="B538" s="12"/>
      <c r="C538" s="12"/>
      <c r="D538" s="12"/>
      <c r="E538" s="12"/>
      <c r="F538" s="12"/>
      <c r="G538" s="12"/>
      <c r="H538" s="12"/>
      <c r="I538" s="12"/>
      <c r="J538" s="12"/>
      <c r="K538" s="36"/>
      <c r="L538" s="36"/>
      <c r="M538" s="12"/>
      <c r="N538" s="12"/>
      <c r="O538" s="12"/>
      <c r="P538" s="12"/>
      <c r="Q538" s="12"/>
      <c r="R538" s="12"/>
      <c r="S538" s="12"/>
      <c r="T538" s="12"/>
      <c r="U538" s="12"/>
      <c r="V538" s="12"/>
      <c r="W538" s="12"/>
      <c r="X538" s="12"/>
      <c r="Y538" s="12"/>
      <c r="Z538" s="12"/>
      <c r="AA538" s="12"/>
      <c r="AB538" s="12"/>
      <c r="AC538" s="12"/>
      <c r="AD538" s="12"/>
      <c r="AE538" s="12"/>
      <c r="AF538" s="12"/>
      <c r="AG538" s="36"/>
      <c r="AH538" s="12"/>
      <c r="AI538" s="12"/>
      <c r="AJ538" s="12"/>
    </row>
    <row r="539" ht="14.25" customHeight="1">
      <c r="A539" s="12"/>
      <c r="B539" s="12"/>
      <c r="C539" s="12"/>
      <c r="D539" s="12"/>
      <c r="E539" s="12"/>
      <c r="F539" s="12"/>
      <c r="G539" s="12"/>
      <c r="H539" s="12"/>
      <c r="I539" s="12"/>
      <c r="J539" s="12"/>
      <c r="K539" s="36"/>
      <c r="L539" s="36"/>
      <c r="M539" s="12"/>
      <c r="N539" s="12"/>
      <c r="O539" s="12"/>
      <c r="P539" s="12"/>
      <c r="Q539" s="12"/>
      <c r="R539" s="12"/>
      <c r="S539" s="12"/>
      <c r="T539" s="12"/>
      <c r="U539" s="12"/>
      <c r="V539" s="12"/>
      <c r="W539" s="12"/>
      <c r="X539" s="12"/>
      <c r="Y539" s="12"/>
      <c r="Z539" s="12"/>
      <c r="AA539" s="12"/>
      <c r="AB539" s="12"/>
      <c r="AC539" s="12"/>
      <c r="AD539" s="12"/>
      <c r="AE539" s="12"/>
      <c r="AF539" s="12"/>
      <c r="AG539" s="36"/>
      <c r="AH539" s="12"/>
      <c r="AI539" s="12"/>
      <c r="AJ539" s="12"/>
    </row>
    <row r="540" ht="14.25" customHeight="1">
      <c r="A540" s="12"/>
      <c r="B540" s="12"/>
      <c r="C540" s="12"/>
      <c r="D540" s="12"/>
      <c r="E540" s="12"/>
      <c r="F540" s="12"/>
      <c r="G540" s="12"/>
      <c r="H540" s="12"/>
      <c r="I540" s="12"/>
      <c r="J540" s="12"/>
      <c r="K540" s="36"/>
      <c r="L540" s="36"/>
      <c r="M540" s="12"/>
      <c r="N540" s="12"/>
      <c r="O540" s="12"/>
      <c r="P540" s="12"/>
      <c r="Q540" s="12"/>
      <c r="R540" s="12"/>
      <c r="S540" s="12"/>
      <c r="T540" s="12"/>
      <c r="U540" s="12"/>
      <c r="V540" s="12"/>
      <c r="W540" s="12"/>
      <c r="X540" s="12"/>
      <c r="Y540" s="12"/>
      <c r="Z540" s="12"/>
      <c r="AA540" s="12"/>
      <c r="AB540" s="12"/>
      <c r="AC540" s="12"/>
      <c r="AD540" s="12"/>
      <c r="AE540" s="12"/>
      <c r="AF540" s="12"/>
      <c r="AG540" s="36"/>
      <c r="AH540" s="12"/>
      <c r="AI540" s="12"/>
      <c r="AJ540" s="12"/>
    </row>
    <row r="541" ht="14.25" customHeight="1">
      <c r="A541" s="12"/>
      <c r="B541" s="12"/>
      <c r="C541" s="12"/>
      <c r="D541" s="12"/>
      <c r="E541" s="12"/>
      <c r="F541" s="12"/>
      <c r="G541" s="12"/>
      <c r="H541" s="12"/>
      <c r="I541" s="12"/>
      <c r="J541" s="12"/>
      <c r="K541" s="36"/>
      <c r="L541" s="36"/>
      <c r="M541" s="12"/>
      <c r="N541" s="12"/>
      <c r="O541" s="12"/>
      <c r="P541" s="12"/>
      <c r="Q541" s="12"/>
      <c r="R541" s="12"/>
      <c r="S541" s="12"/>
      <c r="T541" s="12"/>
      <c r="U541" s="12"/>
      <c r="V541" s="12"/>
      <c r="W541" s="12"/>
      <c r="X541" s="12"/>
      <c r="Y541" s="12"/>
      <c r="Z541" s="12"/>
      <c r="AA541" s="12"/>
      <c r="AB541" s="12"/>
      <c r="AC541" s="12"/>
      <c r="AD541" s="12"/>
      <c r="AE541" s="12"/>
      <c r="AF541" s="12"/>
      <c r="AG541" s="36"/>
      <c r="AH541" s="12"/>
      <c r="AI541" s="12"/>
      <c r="AJ541" s="12"/>
    </row>
    <row r="542" ht="14.25" customHeight="1">
      <c r="A542" s="12"/>
      <c r="B542" s="12"/>
      <c r="C542" s="12"/>
      <c r="D542" s="12"/>
      <c r="E542" s="12"/>
      <c r="F542" s="12"/>
      <c r="G542" s="12"/>
      <c r="H542" s="12"/>
      <c r="I542" s="12"/>
      <c r="J542" s="12"/>
      <c r="K542" s="36"/>
      <c r="L542" s="36"/>
      <c r="M542" s="12"/>
      <c r="N542" s="12"/>
      <c r="O542" s="12"/>
      <c r="P542" s="12"/>
      <c r="Q542" s="12"/>
      <c r="R542" s="12"/>
      <c r="S542" s="12"/>
      <c r="T542" s="12"/>
      <c r="U542" s="12"/>
      <c r="V542" s="12"/>
      <c r="W542" s="12"/>
      <c r="X542" s="12"/>
      <c r="Y542" s="12"/>
      <c r="Z542" s="12"/>
      <c r="AA542" s="12"/>
      <c r="AB542" s="12"/>
      <c r="AC542" s="12"/>
      <c r="AD542" s="12"/>
      <c r="AE542" s="12"/>
      <c r="AF542" s="12"/>
      <c r="AG542" s="36"/>
      <c r="AH542" s="12"/>
      <c r="AI542" s="12"/>
      <c r="AJ542" s="12"/>
    </row>
    <row r="543" ht="14.25" customHeight="1">
      <c r="A543" s="12"/>
      <c r="B543" s="12"/>
      <c r="C543" s="12"/>
      <c r="D543" s="12"/>
      <c r="E543" s="12"/>
      <c r="F543" s="12"/>
      <c r="G543" s="12"/>
      <c r="H543" s="12"/>
      <c r="I543" s="12"/>
      <c r="J543" s="12"/>
      <c r="K543" s="36"/>
      <c r="L543" s="36"/>
      <c r="M543" s="12"/>
      <c r="N543" s="12"/>
      <c r="O543" s="12"/>
      <c r="P543" s="12"/>
      <c r="Q543" s="12"/>
      <c r="R543" s="12"/>
      <c r="S543" s="12"/>
      <c r="T543" s="12"/>
      <c r="U543" s="12"/>
      <c r="V543" s="12"/>
      <c r="W543" s="12"/>
      <c r="X543" s="12"/>
      <c r="Y543" s="12"/>
      <c r="Z543" s="12"/>
      <c r="AA543" s="12"/>
      <c r="AB543" s="12"/>
      <c r="AC543" s="12"/>
      <c r="AD543" s="12"/>
      <c r="AE543" s="12"/>
      <c r="AF543" s="12"/>
      <c r="AG543" s="36"/>
      <c r="AH543" s="12"/>
      <c r="AI543" s="12"/>
      <c r="AJ543" s="12"/>
    </row>
    <row r="544" ht="14.25" customHeight="1">
      <c r="A544" s="12"/>
      <c r="B544" s="12"/>
      <c r="C544" s="12"/>
      <c r="D544" s="12"/>
      <c r="E544" s="12"/>
      <c r="F544" s="12"/>
      <c r="G544" s="12"/>
      <c r="H544" s="12"/>
      <c r="I544" s="12"/>
      <c r="J544" s="12"/>
      <c r="K544" s="36"/>
      <c r="L544" s="36"/>
      <c r="M544" s="12"/>
      <c r="N544" s="12"/>
      <c r="O544" s="12"/>
      <c r="P544" s="12"/>
      <c r="Q544" s="12"/>
      <c r="R544" s="12"/>
      <c r="S544" s="12"/>
      <c r="T544" s="12"/>
      <c r="U544" s="12"/>
      <c r="V544" s="12"/>
      <c r="W544" s="12"/>
      <c r="X544" s="12"/>
      <c r="Y544" s="12"/>
      <c r="Z544" s="12"/>
      <c r="AA544" s="12"/>
      <c r="AB544" s="12"/>
      <c r="AC544" s="12"/>
      <c r="AD544" s="12"/>
      <c r="AE544" s="12"/>
      <c r="AF544" s="12"/>
      <c r="AG544" s="36"/>
      <c r="AH544" s="12"/>
      <c r="AI544" s="12"/>
      <c r="AJ544" s="12"/>
    </row>
    <row r="545" ht="14.25" customHeight="1">
      <c r="A545" s="12"/>
      <c r="B545" s="12"/>
      <c r="C545" s="12"/>
      <c r="D545" s="12"/>
      <c r="E545" s="12"/>
      <c r="F545" s="12"/>
      <c r="G545" s="12"/>
      <c r="H545" s="12"/>
      <c r="I545" s="12"/>
      <c r="J545" s="12"/>
      <c r="K545" s="36"/>
      <c r="L545" s="36"/>
      <c r="M545" s="12"/>
      <c r="N545" s="12"/>
      <c r="O545" s="12"/>
      <c r="P545" s="12"/>
      <c r="Q545" s="12"/>
      <c r="R545" s="12"/>
      <c r="S545" s="12"/>
      <c r="T545" s="12"/>
      <c r="U545" s="12"/>
      <c r="V545" s="12"/>
      <c r="W545" s="12"/>
      <c r="X545" s="12"/>
      <c r="Y545" s="12"/>
      <c r="Z545" s="12"/>
      <c r="AA545" s="12"/>
      <c r="AB545" s="12"/>
      <c r="AC545" s="12"/>
      <c r="AD545" s="12"/>
      <c r="AE545" s="12"/>
      <c r="AF545" s="12"/>
      <c r="AG545" s="36"/>
      <c r="AH545" s="12"/>
      <c r="AI545" s="12"/>
      <c r="AJ545" s="12"/>
    </row>
    <row r="546" ht="14.25" customHeight="1">
      <c r="A546" s="12"/>
      <c r="B546" s="12"/>
      <c r="C546" s="12"/>
      <c r="D546" s="12"/>
      <c r="E546" s="12"/>
      <c r="F546" s="12"/>
      <c r="G546" s="12"/>
      <c r="H546" s="12"/>
      <c r="I546" s="12"/>
      <c r="J546" s="12"/>
      <c r="K546" s="36"/>
      <c r="L546" s="36"/>
      <c r="M546" s="12"/>
      <c r="N546" s="12"/>
      <c r="O546" s="12"/>
      <c r="P546" s="12"/>
      <c r="Q546" s="12"/>
      <c r="R546" s="12"/>
      <c r="S546" s="12"/>
      <c r="T546" s="12"/>
      <c r="U546" s="12"/>
      <c r="V546" s="12"/>
      <c r="W546" s="12"/>
      <c r="X546" s="12"/>
      <c r="Y546" s="12"/>
      <c r="Z546" s="12"/>
      <c r="AA546" s="12"/>
      <c r="AB546" s="12"/>
      <c r="AC546" s="12"/>
      <c r="AD546" s="12"/>
      <c r="AE546" s="12"/>
      <c r="AF546" s="12"/>
      <c r="AG546" s="36"/>
      <c r="AH546" s="12"/>
      <c r="AI546" s="12"/>
      <c r="AJ546" s="12"/>
    </row>
    <row r="547" ht="14.25" customHeight="1">
      <c r="A547" s="12"/>
      <c r="B547" s="12"/>
      <c r="C547" s="12"/>
      <c r="D547" s="12"/>
      <c r="E547" s="12"/>
      <c r="F547" s="12"/>
      <c r="G547" s="12"/>
      <c r="H547" s="12"/>
      <c r="I547" s="12"/>
      <c r="J547" s="12"/>
      <c r="K547" s="36"/>
      <c r="L547" s="36"/>
      <c r="M547" s="12"/>
      <c r="N547" s="12"/>
      <c r="O547" s="12"/>
      <c r="P547" s="12"/>
      <c r="Q547" s="12"/>
      <c r="R547" s="12"/>
      <c r="S547" s="12"/>
      <c r="T547" s="12"/>
      <c r="U547" s="12"/>
      <c r="V547" s="12"/>
      <c r="W547" s="12"/>
      <c r="X547" s="12"/>
      <c r="Y547" s="12"/>
      <c r="Z547" s="12"/>
      <c r="AA547" s="12"/>
      <c r="AB547" s="12"/>
      <c r="AC547" s="12"/>
      <c r="AD547" s="12"/>
      <c r="AE547" s="12"/>
      <c r="AF547" s="12"/>
      <c r="AG547" s="36"/>
      <c r="AH547" s="12"/>
      <c r="AI547" s="12"/>
      <c r="AJ547" s="12"/>
    </row>
    <row r="548" ht="14.25" customHeight="1">
      <c r="A548" s="12"/>
      <c r="B548" s="12"/>
      <c r="C548" s="12"/>
      <c r="D548" s="12"/>
      <c r="E548" s="12"/>
      <c r="F548" s="12"/>
      <c r="G548" s="12"/>
      <c r="H548" s="12"/>
      <c r="I548" s="12"/>
      <c r="J548" s="12"/>
      <c r="K548" s="36"/>
      <c r="L548" s="36"/>
      <c r="M548" s="12"/>
      <c r="N548" s="12"/>
      <c r="O548" s="12"/>
      <c r="P548" s="12"/>
      <c r="Q548" s="12"/>
      <c r="R548" s="12"/>
      <c r="S548" s="12"/>
      <c r="T548" s="12"/>
      <c r="U548" s="12"/>
      <c r="V548" s="12"/>
      <c r="W548" s="12"/>
      <c r="X548" s="12"/>
      <c r="Y548" s="12"/>
      <c r="Z548" s="12"/>
      <c r="AA548" s="12"/>
      <c r="AB548" s="12"/>
      <c r="AC548" s="12"/>
      <c r="AD548" s="12"/>
      <c r="AE548" s="12"/>
      <c r="AF548" s="12"/>
      <c r="AG548" s="36"/>
      <c r="AH548" s="12"/>
      <c r="AI548" s="12"/>
      <c r="AJ548" s="12"/>
    </row>
    <row r="549" ht="14.25" customHeight="1">
      <c r="A549" s="12"/>
      <c r="B549" s="12"/>
      <c r="C549" s="12"/>
      <c r="D549" s="12"/>
      <c r="E549" s="12"/>
      <c r="F549" s="12"/>
      <c r="G549" s="12"/>
      <c r="H549" s="12"/>
      <c r="I549" s="12"/>
      <c r="J549" s="12"/>
      <c r="K549" s="36"/>
      <c r="L549" s="36"/>
      <c r="M549" s="12"/>
      <c r="N549" s="12"/>
      <c r="O549" s="12"/>
      <c r="P549" s="12"/>
      <c r="Q549" s="12"/>
      <c r="R549" s="12"/>
      <c r="S549" s="12"/>
      <c r="T549" s="12"/>
      <c r="U549" s="12"/>
      <c r="V549" s="12"/>
      <c r="W549" s="12"/>
      <c r="X549" s="12"/>
      <c r="Y549" s="12"/>
      <c r="Z549" s="12"/>
      <c r="AA549" s="12"/>
      <c r="AB549" s="12"/>
      <c r="AC549" s="12"/>
      <c r="AD549" s="12"/>
      <c r="AE549" s="12"/>
      <c r="AF549" s="12"/>
      <c r="AG549" s="36"/>
      <c r="AH549" s="12"/>
      <c r="AI549" s="12"/>
      <c r="AJ549" s="12"/>
    </row>
    <row r="550" ht="14.25" customHeight="1">
      <c r="A550" s="12"/>
      <c r="B550" s="12"/>
      <c r="C550" s="12"/>
      <c r="D550" s="12"/>
      <c r="E550" s="12"/>
      <c r="F550" s="12"/>
      <c r="G550" s="12"/>
      <c r="H550" s="12"/>
      <c r="I550" s="12"/>
      <c r="J550" s="12"/>
      <c r="K550" s="36"/>
      <c r="L550" s="36"/>
      <c r="M550" s="12"/>
      <c r="N550" s="12"/>
      <c r="O550" s="12"/>
      <c r="P550" s="12"/>
      <c r="Q550" s="12"/>
      <c r="R550" s="12"/>
      <c r="S550" s="12"/>
      <c r="T550" s="12"/>
      <c r="U550" s="12"/>
      <c r="V550" s="12"/>
      <c r="W550" s="12"/>
      <c r="X550" s="12"/>
      <c r="Y550" s="12"/>
      <c r="Z550" s="12"/>
      <c r="AA550" s="12"/>
      <c r="AB550" s="12"/>
      <c r="AC550" s="12"/>
      <c r="AD550" s="12"/>
      <c r="AE550" s="12"/>
      <c r="AF550" s="12"/>
      <c r="AG550" s="36"/>
      <c r="AH550" s="12"/>
      <c r="AI550" s="12"/>
      <c r="AJ550" s="12"/>
    </row>
    <row r="551" ht="14.25" customHeight="1">
      <c r="A551" s="12"/>
      <c r="B551" s="12"/>
      <c r="C551" s="12"/>
      <c r="D551" s="12"/>
      <c r="E551" s="12"/>
      <c r="F551" s="12"/>
      <c r="G551" s="12"/>
      <c r="H551" s="12"/>
      <c r="I551" s="12"/>
      <c r="J551" s="12"/>
      <c r="K551" s="36"/>
      <c r="L551" s="36"/>
      <c r="M551" s="12"/>
      <c r="N551" s="12"/>
      <c r="O551" s="12"/>
      <c r="P551" s="12"/>
      <c r="Q551" s="12"/>
      <c r="R551" s="12"/>
      <c r="S551" s="12"/>
      <c r="T551" s="12"/>
      <c r="U551" s="12"/>
      <c r="V551" s="12"/>
      <c r="W551" s="12"/>
      <c r="X551" s="12"/>
      <c r="Y551" s="12"/>
      <c r="Z551" s="12"/>
      <c r="AA551" s="12"/>
      <c r="AB551" s="12"/>
      <c r="AC551" s="12"/>
      <c r="AD551" s="12"/>
      <c r="AE551" s="12"/>
      <c r="AF551" s="12"/>
      <c r="AG551" s="36"/>
      <c r="AH551" s="12"/>
      <c r="AI551" s="12"/>
      <c r="AJ551" s="12"/>
    </row>
    <row r="552" ht="14.25" customHeight="1">
      <c r="A552" s="12"/>
      <c r="B552" s="12"/>
      <c r="C552" s="12"/>
      <c r="D552" s="12"/>
      <c r="E552" s="12"/>
      <c r="F552" s="12"/>
      <c r="G552" s="12"/>
      <c r="H552" s="12"/>
      <c r="I552" s="12"/>
      <c r="J552" s="12"/>
      <c r="K552" s="36"/>
      <c r="L552" s="36"/>
      <c r="M552" s="12"/>
      <c r="N552" s="12"/>
      <c r="O552" s="12"/>
      <c r="P552" s="12"/>
      <c r="Q552" s="12"/>
      <c r="R552" s="12"/>
      <c r="S552" s="12"/>
      <c r="T552" s="12"/>
      <c r="U552" s="12"/>
      <c r="V552" s="12"/>
      <c r="W552" s="12"/>
      <c r="X552" s="12"/>
      <c r="Y552" s="12"/>
      <c r="Z552" s="12"/>
      <c r="AA552" s="12"/>
      <c r="AB552" s="12"/>
      <c r="AC552" s="12"/>
      <c r="AD552" s="12"/>
      <c r="AE552" s="12"/>
      <c r="AF552" s="12"/>
      <c r="AG552" s="36"/>
      <c r="AH552" s="12"/>
      <c r="AI552" s="12"/>
      <c r="AJ552" s="12"/>
    </row>
    <row r="553" ht="14.25" customHeight="1">
      <c r="A553" s="12"/>
      <c r="B553" s="12"/>
      <c r="C553" s="12"/>
      <c r="D553" s="12"/>
      <c r="E553" s="12"/>
      <c r="F553" s="12"/>
      <c r="G553" s="12"/>
      <c r="H553" s="12"/>
      <c r="I553" s="12"/>
      <c r="J553" s="12"/>
      <c r="K553" s="36"/>
      <c r="L553" s="36"/>
      <c r="M553" s="12"/>
      <c r="N553" s="12"/>
      <c r="O553" s="12"/>
      <c r="P553" s="12"/>
      <c r="Q553" s="12"/>
      <c r="R553" s="12"/>
      <c r="S553" s="12"/>
      <c r="T553" s="12"/>
      <c r="U553" s="12"/>
      <c r="V553" s="12"/>
      <c r="W553" s="12"/>
      <c r="X553" s="12"/>
      <c r="Y553" s="12"/>
      <c r="Z553" s="12"/>
      <c r="AA553" s="12"/>
      <c r="AB553" s="12"/>
      <c r="AC553" s="12"/>
      <c r="AD553" s="12"/>
      <c r="AE553" s="12"/>
      <c r="AF553" s="12"/>
      <c r="AG553" s="36"/>
      <c r="AH553" s="12"/>
      <c r="AI553" s="12"/>
      <c r="AJ553" s="12"/>
    </row>
    <row r="554" ht="14.25" customHeight="1">
      <c r="A554" s="12"/>
      <c r="B554" s="12"/>
      <c r="C554" s="12"/>
      <c r="D554" s="12"/>
      <c r="E554" s="12"/>
      <c r="F554" s="12"/>
      <c r="G554" s="12"/>
      <c r="H554" s="12"/>
      <c r="I554" s="12"/>
      <c r="J554" s="12"/>
      <c r="K554" s="36"/>
      <c r="L554" s="36"/>
      <c r="M554" s="12"/>
      <c r="N554" s="12"/>
      <c r="O554" s="12"/>
      <c r="P554" s="12"/>
      <c r="Q554" s="12"/>
      <c r="R554" s="12"/>
      <c r="S554" s="12"/>
      <c r="T554" s="12"/>
      <c r="U554" s="12"/>
      <c r="V554" s="12"/>
      <c r="W554" s="12"/>
      <c r="X554" s="12"/>
      <c r="Y554" s="12"/>
      <c r="Z554" s="12"/>
      <c r="AA554" s="12"/>
      <c r="AB554" s="12"/>
      <c r="AC554" s="12"/>
      <c r="AD554" s="12"/>
      <c r="AE554" s="12"/>
      <c r="AF554" s="12"/>
      <c r="AG554" s="36"/>
      <c r="AH554" s="12"/>
      <c r="AI554" s="12"/>
      <c r="AJ554" s="12"/>
    </row>
    <row r="555" ht="14.25" customHeight="1">
      <c r="A555" s="12"/>
      <c r="B555" s="12"/>
      <c r="C555" s="12"/>
      <c r="D555" s="12"/>
      <c r="E555" s="12"/>
      <c r="F555" s="12"/>
      <c r="G555" s="12"/>
      <c r="H555" s="12"/>
      <c r="I555" s="12"/>
      <c r="J555" s="12"/>
      <c r="K555" s="36"/>
      <c r="L555" s="36"/>
      <c r="M555" s="12"/>
      <c r="N555" s="12"/>
      <c r="O555" s="12"/>
      <c r="P555" s="12"/>
      <c r="Q555" s="12"/>
      <c r="R555" s="12"/>
      <c r="S555" s="12"/>
      <c r="T555" s="12"/>
      <c r="U555" s="12"/>
      <c r="V555" s="12"/>
      <c r="W555" s="12"/>
      <c r="X555" s="12"/>
      <c r="Y555" s="12"/>
      <c r="Z555" s="12"/>
      <c r="AA555" s="12"/>
      <c r="AB555" s="12"/>
      <c r="AC555" s="12"/>
      <c r="AD555" s="12"/>
      <c r="AE555" s="12"/>
      <c r="AF555" s="12"/>
      <c r="AG555" s="36"/>
      <c r="AH555" s="12"/>
      <c r="AI555" s="12"/>
      <c r="AJ555" s="12"/>
    </row>
    <row r="556" ht="14.25" customHeight="1">
      <c r="A556" s="12"/>
      <c r="B556" s="12"/>
      <c r="C556" s="12"/>
      <c r="D556" s="12"/>
      <c r="E556" s="12"/>
      <c r="F556" s="12"/>
      <c r="G556" s="12"/>
      <c r="H556" s="12"/>
      <c r="I556" s="12"/>
      <c r="J556" s="12"/>
      <c r="K556" s="36"/>
      <c r="L556" s="36"/>
      <c r="M556" s="12"/>
      <c r="N556" s="12"/>
      <c r="O556" s="12"/>
      <c r="P556" s="12"/>
      <c r="Q556" s="12"/>
      <c r="R556" s="12"/>
      <c r="S556" s="12"/>
      <c r="T556" s="12"/>
      <c r="U556" s="12"/>
      <c r="V556" s="12"/>
      <c r="W556" s="12"/>
      <c r="X556" s="12"/>
      <c r="Y556" s="12"/>
      <c r="Z556" s="12"/>
      <c r="AA556" s="12"/>
      <c r="AB556" s="12"/>
      <c r="AC556" s="12"/>
      <c r="AD556" s="12"/>
      <c r="AE556" s="12"/>
      <c r="AF556" s="12"/>
      <c r="AG556" s="36"/>
      <c r="AH556" s="12"/>
      <c r="AI556" s="12"/>
      <c r="AJ556" s="12"/>
    </row>
    <row r="557" ht="14.25" customHeight="1">
      <c r="A557" s="12"/>
      <c r="B557" s="12"/>
      <c r="C557" s="12"/>
      <c r="D557" s="12"/>
      <c r="E557" s="12"/>
      <c r="F557" s="12"/>
      <c r="G557" s="12"/>
      <c r="H557" s="12"/>
      <c r="I557" s="12"/>
      <c r="J557" s="12"/>
      <c r="K557" s="36"/>
      <c r="L557" s="36"/>
      <c r="M557" s="12"/>
      <c r="N557" s="12"/>
      <c r="O557" s="12"/>
      <c r="P557" s="12"/>
      <c r="Q557" s="12"/>
      <c r="R557" s="12"/>
      <c r="S557" s="12"/>
      <c r="T557" s="12"/>
      <c r="U557" s="12"/>
      <c r="V557" s="12"/>
      <c r="W557" s="12"/>
      <c r="X557" s="12"/>
      <c r="Y557" s="12"/>
      <c r="Z557" s="12"/>
      <c r="AA557" s="12"/>
      <c r="AB557" s="12"/>
      <c r="AC557" s="12"/>
      <c r="AD557" s="12"/>
      <c r="AE557" s="12"/>
      <c r="AF557" s="12"/>
      <c r="AG557" s="36"/>
      <c r="AH557" s="12"/>
      <c r="AI557" s="12"/>
      <c r="AJ557" s="12"/>
    </row>
    <row r="558" ht="14.25" customHeight="1">
      <c r="A558" s="12"/>
      <c r="B558" s="12"/>
      <c r="C558" s="12"/>
      <c r="D558" s="12"/>
      <c r="E558" s="12"/>
      <c r="F558" s="12"/>
      <c r="G558" s="12"/>
      <c r="H558" s="12"/>
      <c r="I558" s="12"/>
      <c r="J558" s="12"/>
      <c r="K558" s="36"/>
      <c r="L558" s="36"/>
      <c r="M558" s="12"/>
      <c r="N558" s="12"/>
      <c r="O558" s="12"/>
      <c r="P558" s="12"/>
      <c r="Q558" s="12"/>
      <c r="R558" s="12"/>
      <c r="S558" s="12"/>
      <c r="T558" s="12"/>
      <c r="U558" s="12"/>
      <c r="V558" s="12"/>
      <c r="W558" s="12"/>
      <c r="X558" s="12"/>
      <c r="Y558" s="12"/>
      <c r="Z558" s="12"/>
      <c r="AA558" s="12"/>
      <c r="AB558" s="12"/>
      <c r="AC558" s="12"/>
      <c r="AD558" s="12"/>
      <c r="AE558" s="12"/>
      <c r="AF558" s="12"/>
      <c r="AG558" s="36"/>
      <c r="AH558" s="12"/>
      <c r="AI558" s="12"/>
      <c r="AJ558" s="12"/>
    </row>
    <row r="559" ht="14.25" customHeight="1">
      <c r="A559" s="12"/>
      <c r="B559" s="12"/>
      <c r="C559" s="12"/>
      <c r="D559" s="12"/>
      <c r="E559" s="12"/>
      <c r="F559" s="12"/>
      <c r="G559" s="12"/>
      <c r="H559" s="12"/>
      <c r="I559" s="12"/>
      <c r="J559" s="12"/>
      <c r="K559" s="36"/>
      <c r="L559" s="36"/>
      <c r="M559" s="12"/>
      <c r="N559" s="12"/>
      <c r="O559" s="12"/>
      <c r="P559" s="12"/>
      <c r="Q559" s="12"/>
      <c r="R559" s="12"/>
      <c r="S559" s="12"/>
      <c r="T559" s="12"/>
      <c r="U559" s="12"/>
      <c r="V559" s="12"/>
      <c r="W559" s="12"/>
      <c r="X559" s="12"/>
      <c r="Y559" s="12"/>
      <c r="Z559" s="12"/>
      <c r="AA559" s="12"/>
      <c r="AB559" s="12"/>
      <c r="AC559" s="12"/>
      <c r="AD559" s="12"/>
      <c r="AE559" s="12"/>
      <c r="AF559" s="12"/>
      <c r="AG559" s="36"/>
      <c r="AH559" s="12"/>
      <c r="AI559" s="12"/>
      <c r="AJ559" s="12"/>
    </row>
    <row r="560" ht="14.25" customHeight="1">
      <c r="A560" s="12"/>
      <c r="B560" s="12"/>
      <c r="C560" s="12"/>
      <c r="D560" s="12"/>
      <c r="E560" s="12"/>
      <c r="F560" s="12"/>
      <c r="G560" s="12"/>
      <c r="H560" s="12"/>
      <c r="I560" s="12"/>
      <c r="J560" s="12"/>
      <c r="K560" s="36"/>
      <c r="L560" s="36"/>
      <c r="M560" s="12"/>
      <c r="N560" s="12"/>
      <c r="O560" s="12"/>
      <c r="P560" s="12"/>
      <c r="Q560" s="12"/>
      <c r="R560" s="12"/>
      <c r="S560" s="12"/>
      <c r="T560" s="12"/>
      <c r="U560" s="12"/>
      <c r="V560" s="12"/>
      <c r="W560" s="12"/>
      <c r="X560" s="12"/>
      <c r="Y560" s="12"/>
      <c r="Z560" s="12"/>
      <c r="AA560" s="12"/>
      <c r="AB560" s="12"/>
      <c r="AC560" s="12"/>
      <c r="AD560" s="12"/>
      <c r="AE560" s="12"/>
      <c r="AF560" s="12"/>
      <c r="AG560" s="36"/>
      <c r="AH560" s="12"/>
      <c r="AI560" s="12"/>
      <c r="AJ560" s="12"/>
    </row>
    <row r="561" ht="14.25" customHeight="1">
      <c r="A561" s="12"/>
      <c r="B561" s="12"/>
      <c r="C561" s="12"/>
      <c r="D561" s="12"/>
      <c r="E561" s="12"/>
      <c r="F561" s="12"/>
      <c r="G561" s="12"/>
      <c r="H561" s="12"/>
      <c r="I561" s="12"/>
      <c r="J561" s="12"/>
      <c r="K561" s="36"/>
      <c r="L561" s="36"/>
      <c r="M561" s="12"/>
      <c r="N561" s="12"/>
      <c r="O561" s="12"/>
      <c r="P561" s="12"/>
      <c r="Q561" s="12"/>
      <c r="R561" s="12"/>
      <c r="S561" s="12"/>
      <c r="T561" s="12"/>
      <c r="U561" s="12"/>
      <c r="V561" s="12"/>
      <c r="W561" s="12"/>
      <c r="X561" s="12"/>
      <c r="Y561" s="12"/>
      <c r="Z561" s="12"/>
      <c r="AA561" s="12"/>
      <c r="AB561" s="12"/>
      <c r="AC561" s="12"/>
      <c r="AD561" s="12"/>
      <c r="AE561" s="12"/>
      <c r="AF561" s="12"/>
      <c r="AG561" s="36"/>
      <c r="AH561" s="12"/>
      <c r="AI561" s="12"/>
      <c r="AJ561" s="12"/>
    </row>
    <row r="562" ht="14.25" customHeight="1">
      <c r="A562" s="12"/>
      <c r="B562" s="12"/>
      <c r="C562" s="12"/>
      <c r="D562" s="12"/>
      <c r="E562" s="12"/>
      <c r="F562" s="12"/>
      <c r="G562" s="12"/>
      <c r="H562" s="12"/>
      <c r="I562" s="12"/>
      <c r="J562" s="12"/>
      <c r="K562" s="36"/>
      <c r="L562" s="36"/>
      <c r="M562" s="12"/>
      <c r="N562" s="12"/>
      <c r="O562" s="12"/>
      <c r="P562" s="12"/>
      <c r="Q562" s="12"/>
      <c r="R562" s="12"/>
      <c r="S562" s="12"/>
      <c r="T562" s="12"/>
      <c r="U562" s="12"/>
      <c r="V562" s="12"/>
      <c r="W562" s="12"/>
      <c r="X562" s="12"/>
      <c r="Y562" s="12"/>
      <c r="Z562" s="12"/>
      <c r="AA562" s="12"/>
      <c r="AB562" s="12"/>
      <c r="AC562" s="12"/>
      <c r="AD562" s="12"/>
      <c r="AE562" s="12"/>
      <c r="AF562" s="12"/>
      <c r="AG562" s="36"/>
      <c r="AH562" s="12"/>
      <c r="AI562" s="12"/>
      <c r="AJ562" s="12"/>
    </row>
    <row r="563" ht="14.25" customHeight="1">
      <c r="A563" s="12"/>
      <c r="B563" s="12"/>
      <c r="C563" s="12"/>
      <c r="D563" s="12"/>
      <c r="E563" s="12"/>
      <c r="F563" s="12"/>
      <c r="G563" s="12"/>
      <c r="H563" s="12"/>
      <c r="I563" s="12"/>
      <c r="J563" s="12"/>
      <c r="K563" s="36"/>
      <c r="L563" s="36"/>
      <c r="M563" s="12"/>
      <c r="N563" s="12"/>
      <c r="O563" s="12"/>
      <c r="P563" s="12"/>
      <c r="Q563" s="12"/>
      <c r="R563" s="12"/>
      <c r="S563" s="12"/>
      <c r="T563" s="12"/>
      <c r="U563" s="12"/>
      <c r="V563" s="12"/>
      <c r="W563" s="12"/>
      <c r="X563" s="12"/>
      <c r="Y563" s="12"/>
      <c r="Z563" s="12"/>
      <c r="AA563" s="12"/>
      <c r="AB563" s="12"/>
      <c r="AC563" s="12"/>
      <c r="AD563" s="12"/>
      <c r="AE563" s="12"/>
      <c r="AF563" s="12"/>
      <c r="AG563" s="36"/>
      <c r="AH563" s="12"/>
      <c r="AI563" s="12"/>
      <c r="AJ563" s="12"/>
    </row>
    <row r="564" ht="14.25" customHeight="1">
      <c r="A564" s="12"/>
      <c r="B564" s="12"/>
      <c r="C564" s="12"/>
      <c r="D564" s="12"/>
      <c r="E564" s="12"/>
      <c r="F564" s="12"/>
      <c r="G564" s="12"/>
      <c r="H564" s="12"/>
      <c r="I564" s="12"/>
      <c r="J564" s="12"/>
      <c r="K564" s="36"/>
      <c r="L564" s="36"/>
      <c r="M564" s="12"/>
      <c r="N564" s="12"/>
      <c r="O564" s="12"/>
      <c r="P564" s="12"/>
      <c r="Q564" s="12"/>
      <c r="R564" s="12"/>
      <c r="S564" s="12"/>
      <c r="T564" s="12"/>
      <c r="U564" s="12"/>
      <c r="V564" s="12"/>
      <c r="W564" s="12"/>
      <c r="X564" s="12"/>
      <c r="Y564" s="12"/>
      <c r="Z564" s="12"/>
      <c r="AA564" s="12"/>
      <c r="AB564" s="12"/>
      <c r="AC564" s="12"/>
      <c r="AD564" s="12"/>
      <c r="AE564" s="12"/>
      <c r="AF564" s="12"/>
      <c r="AG564" s="36"/>
      <c r="AH564" s="12"/>
      <c r="AI564" s="12"/>
      <c r="AJ564" s="12"/>
    </row>
    <row r="565" ht="14.25" customHeight="1">
      <c r="A565" s="12"/>
      <c r="B565" s="12"/>
      <c r="C565" s="12"/>
      <c r="D565" s="12"/>
      <c r="E565" s="12"/>
      <c r="F565" s="12"/>
      <c r="G565" s="12"/>
      <c r="H565" s="12"/>
      <c r="I565" s="12"/>
      <c r="J565" s="12"/>
      <c r="K565" s="36"/>
      <c r="L565" s="36"/>
      <c r="M565" s="12"/>
      <c r="N565" s="12"/>
      <c r="O565" s="12"/>
      <c r="P565" s="12"/>
      <c r="Q565" s="12"/>
      <c r="R565" s="12"/>
      <c r="S565" s="12"/>
      <c r="T565" s="12"/>
      <c r="U565" s="12"/>
      <c r="V565" s="12"/>
      <c r="W565" s="12"/>
      <c r="X565" s="12"/>
      <c r="Y565" s="12"/>
      <c r="Z565" s="12"/>
      <c r="AA565" s="12"/>
      <c r="AB565" s="12"/>
      <c r="AC565" s="12"/>
      <c r="AD565" s="12"/>
      <c r="AE565" s="12"/>
      <c r="AF565" s="12"/>
      <c r="AG565" s="36"/>
      <c r="AH565" s="12"/>
      <c r="AI565" s="12"/>
      <c r="AJ565" s="12"/>
    </row>
    <row r="566" ht="14.25" customHeight="1">
      <c r="A566" s="12"/>
      <c r="B566" s="12"/>
      <c r="C566" s="12"/>
      <c r="D566" s="12"/>
      <c r="E566" s="12"/>
      <c r="F566" s="12"/>
      <c r="G566" s="12"/>
      <c r="H566" s="12"/>
      <c r="I566" s="12"/>
      <c r="J566" s="12"/>
      <c r="K566" s="36"/>
      <c r="L566" s="36"/>
      <c r="M566" s="12"/>
      <c r="N566" s="12"/>
      <c r="O566" s="12"/>
      <c r="P566" s="12"/>
      <c r="Q566" s="12"/>
      <c r="R566" s="12"/>
      <c r="S566" s="12"/>
      <c r="T566" s="12"/>
      <c r="U566" s="12"/>
      <c r="V566" s="12"/>
      <c r="W566" s="12"/>
      <c r="X566" s="12"/>
      <c r="Y566" s="12"/>
      <c r="Z566" s="12"/>
      <c r="AA566" s="12"/>
      <c r="AB566" s="12"/>
      <c r="AC566" s="12"/>
      <c r="AD566" s="12"/>
      <c r="AE566" s="12"/>
      <c r="AF566" s="12"/>
      <c r="AG566" s="36"/>
      <c r="AH566" s="12"/>
      <c r="AI566" s="12"/>
      <c r="AJ566" s="12"/>
    </row>
    <row r="567" ht="14.25" customHeight="1">
      <c r="A567" s="12"/>
      <c r="B567" s="12"/>
      <c r="C567" s="12"/>
      <c r="D567" s="12"/>
      <c r="E567" s="12"/>
      <c r="F567" s="12"/>
      <c r="G567" s="12"/>
      <c r="H567" s="12"/>
      <c r="I567" s="12"/>
      <c r="J567" s="12"/>
      <c r="K567" s="36"/>
      <c r="L567" s="36"/>
      <c r="M567" s="12"/>
      <c r="N567" s="12"/>
      <c r="O567" s="12"/>
      <c r="P567" s="12"/>
      <c r="Q567" s="12"/>
      <c r="R567" s="12"/>
      <c r="S567" s="12"/>
      <c r="T567" s="12"/>
      <c r="U567" s="12"/>
      <c r="V567" s="12"/>
      <c r="W567" s="12"/>
      <c r="X567" s="12"/>
      <c r="Y567" s="12"/>
      <c r="Z567" s="12"/>
      <c r="AA567" s="12"/>
      <c r="AB567" s="12"/>
      <c r="AC567" s="12"/>
      <c r="AD567" s="12"/>
      <c r="AE567" s="12"/>
      <c r="AF567" s="12"/>
      <c r="AG567" s="36"/>
      <c r="AH567" s="12"/>
      <c r="AI567" s="12"/>
      <c r="AJ567" s="12"/>
    </row>
    <row r="568" ht="14.25" customHeight="1">
      <c r="A568" s="12"/>
      <c r="B568" s="12"/>
      <c r="C568" s="12"/>
      <c r="D568" s="12"/>
      <c r="E568" s="12"/>
      <c r="F568" s="12"/>
      <c r="G568" s="12"/>
      <c r="H568" s="12"/>
      <c r="I568" s="12"/>
      <c r="J568" s="12"/>
      <c r="K568" s="36"/>
      <c r="L568" s="36"/>
      <c r="M568" s="12"/>
      <c r="N568" s="12"/>
      <c r="O568" s="12"/>
      <c r="P568" s="12"/>
      <c r="Q568" s="12"/>
      <c r="R568" s="12"/>
      <c r="S568" s="12"/>
      <c r="T568" s="12"/>
      <c r="U568" s="12"/>
      <c r="V568" s="12"/>
      <c r="W568" s="12"/>
      <c r="X568" s="12"/>
      <c r="Y568" s="12"/>
      <c r="Z568" s="12"/>
      <c r="AA568" s="12"/>
      <c r="AB568" s="12"/>
      <c r="AC568" s="12"/>
      <c r="AD568" s="12"/>
      <c r="AE568" s="12"/>
      <c r="AF568" s="12"/>
      <c r="AG568" s="36"/>
      <c r="AH568" s="12"/>
      <c r="AI568" s="12"/>
      <c r="AJ568" s="12"/>
    </row>
    <row r="569" ht="14.25" customHeight="1">
      <c r="A569" s="12"/>
      <c r="B569" s="12"/>
      <c r="C569" s="12"/>
      <c r="D569" s="12"/>
      <c r="E569" s="12"/>
      <c r="F569" s="12"/>
      <c r="G569" s="12"/>
      <c r="H569" s="12"/>
      <c r="I569" s="12"/>
      <c r="J569" s="12"/>
      <c r="K569" s="36"/>
      <c r="L569" s="36"/>
      <c r="M569" s="12"/>
      <c r="N569" s="12"/>
      <c r="O569" s="12"/>
      <c r="P569" s="12"/>
      <c r="Q569" s="12"/>
      <c r="R569" s="12"/>
      <c r="S569" s="12"/>
      <c r="T569" s="12"/>
      <c r="U569" s="12"/>
      <c r="V569" s="12"/>
      <c r="W569" s="12"/>
      <c r="X569" s="12"/>
      <c r="Y569" s="12"/>
      <c r="Z569" s="12"/>
      <c r="AA569" s="12"/>
      <c r="AB569" s="12"/>
      <c r="AC569" s="12"/>
      <c r="AD569" s="12"/>
      <c r="AE569" s="12"/>
      <c r="AF569" s="12"/>
      <c r="AG569" s="36"/>
      <c r="AH569" s="12"/>
      <c r="AI569" s="12"/>
      <c r="AJ569" s="12"/>
    </row>
    <row r="570" ht="14.25" customHeight="1">
      <c r="A570" s="12"/>
      <c r="B570" s="12"/>
      <c r="C570" s="12"/>
      <c r="D570" s="12"/>
      <c r="E570" s="12"/>
      <c r="F570" s="12"/>
      <c r="G570" s="12"/>
      <c r="H570" s="12"/>
      <c r="I570" s="12"/>
      <c r="J570" s="12"/>
      <c r="K570" s="36"/>
      <c r="L570" s="36"/>
      <c r="M570" s="12"/>
      <c r="N570" s="12"/>
      <c r="O570" s="12"/>
      <c r="P570" s="12"/>
      <c r="Q570" s="12"/>
      <c r="R570" s="12"/>
      <c r="S570" s="12"/>
      <c r="T570" s="12"/>
      <c r="U570" s="12"/>
      <c r="V570" s="12"/>
      <c r="W570" s="12"/>
      <c r="X570" s="12"/>
      <c r="Y570" s="12"/>
      <c r="Z570" s="12"/>
      <c r="AA570" s="12"/>
      <c r="AB570" s="12"/>
      <c r="AC570" s="12"/>
      <c r="AD570" s="12"/>
      <c r="AE570" s="12"/>
      <c r="AF570" s="12"/>
      <c r="AG570" s="36"/>
      <c r="AH570" s="12"/>
      <c r="AI570" s="12"/>
      <c r="AJ570" s="12"/>
    </row>
    <row r="571" ht="14.25" customHeight="1">
      <c r="A571" s="12"/>
      <c r="B571" s="12"/>
      <c r="C571" s="12"/>
      <c r="D571" s="12"/>
      <c r="E571" s="12"/>
      <c r="F571" s="12"/>
      <c r="G571" s="12"/>
      <c r="H571" s="12"/>
      <c r="I571" s="12"/>
      <c r="J571" s="12"/>
      <c r="K571" s="36"/>
      <c r="L571" s="36"/>
      <c r="M571" s="12"/>
      <c r="N571" s="12"/>
      <c r="O571" s="12"/>
      <c r="P571" s="12"/>
      <c r="Q571" s="12"/>
      <c r="R571" s="12"/>
      <c r="S571" s="12"/>
      <c r="T571" s="12"/>
      <c r="U571" s="12"/>
      <c r="V571" s="12"/>
      <c r="W571" s="12"/>
      <c r="X571" s="12"/>
      <c r="Y571" s="12"/>
      <c r="Z571" s="12"/>
      <c r="AA571" s="12"/>
      <c r="AB571" s="12"/>
      <c r="AC571" s="12"/>
      <c r="AD571" s="12"/>
      <c r="AE571" s="12"/>
      <c r="AF571" s="12"/>
      <c r="AG571" s="36"/>
      <c r="AH571" s="12"/>
      <c r="AI571" s="12"/>
      <c r="AJ571" s="12"/>
    </row>
    <row r="572" ht="14.25" customHeight="1">
      <c r="A572" s="12"/>
      <c r="B572" s="12"/>
      <c r="C572" s="12"/>
      <c r="D572" s="12"/>
      <c r="E572" s="12"/>
      <c r="F572" s="12"/>
      <c r="G572" s="12"/>
      <c r="H572" s="12"/>
      <c r="I572" s="12"/>
      <c r="J572" s="12"/>
      <c r="K572" s="36"/>
      <c r="L572" s="36"/>
      <c r="M572" s="12"/>
      <c r="N572" s="12"/>
      <c r="O572" s="12"/>
      <c r="P572" s="12"/>
      <c r="Q572" s="12"/>
      <c r="R572" s="12"/>
      <c r="S572" s="12"/>
      <c r="T572" s="12"/>
      <c r="U572" s="12"/>
      <c r="V572" s="12"/>
      <c r="W572" s="12"/>
      <c r="X572" s="12"/>
      <c r="Y572" s="12"/>
      <c r="Z572" s="12"/>
      <c r="AA572" s="12"/>
      <c r="AB572" s="12"/>
      <c r="AC572" s="12"/>
      <c r="AD572" s="12"/>
      <c r="AE572" s="12"/>
      <c r="AF572" s="12"/>
      <c r="AG572" s="36"/>
      <c r="AH572" s="12"/>
      <c r="AI572" s="12"/>
      <c r="AJ572" s="12"/>
    </row>
    <row r="573" ht="14.25" customHeight="1">
      <c r="A573" s="12"/>
      <c r="B573" s="12"/>
      <c r="C573" s="12"/>
      <c r="D573" s="12"/>
      <c r="E573" s="12"/>
      <c r="F573" s="12"/>
      <c r="G573" s="12"/>
      <c r="H573" s="12"/>
      <c r="I573" s="12"/>
      <c r="J573" s="12"/>
      <c r="K573" s="36"/>
      <c r="L573" s="36"/>
      <c r="M573" s="12"/>
      <c r="N573" s="12"/>
      <c r="O573" s="12"/>
      <c r="P573" s="12"/>
      <c r="Q573" s="12"/>
      <c r="R573" s="12"/>
      <c r="S573" s="12"/>
      <c r="T573" s="12"/>
      <c r="U573" s="12"/>
      <c r="V573" s="12"/>
      <c r="W573" s="12"/>
      <c r="X573" s="12"/>
      <c r="Y573" s="12"/>
      <c r="Z573" s="12"/>
      <c r="AA573" s="12"/>
      <c r="AB573" s="12"/>
      <c r="AC573" s="12"/>
      <c r="AD573" s="12"/>
      <c r="AE573" s="12"/>
      <c r="AF573" s="12"/>
      <c r="AG573" s="36"/>
      <c r="AH573" s="12"/>
      <c r="AI573" s="12"/>
      <c r="AJ573" s="12"/>
    </row>
    <row r="574" ht="14.25" customHeight="1">
      <c r="A574" s="12"/>
      <c r="B574" s="12"/>
      <c r="C574" s="12"/>
      <c r="D574" s="12"/>
      <c r="E574" s="12"/>
      <c r="F574" s="12"/>
      <c r="G574" s="12"/>
      <c r="H574" s="12"/>
      <c r="I574" s="12"/>
      <c r="J574" s="12"/>
      <c r="K574" s="36"/>
      <c r="L574" s="36"/>
      <c r="M574" s="12"/>
      <c r="N574" s="12"/>
      <c r="O574" s="12"/>
      <c r="P574" s="12"/>
      <c r="Q574" s="12"/>
      <c r="R574" s="12"/>
      <c r="S574" s="12"/>
      <c r="T574" s="12"/>
      <c r="U574" s="12"/>
      <c r="V574" s="12"/>
      <c r="W574" s="12"/>
      <c r="X574" s="12"/>
      <c r="Y574" s="12"/>
      <c r="Z574" s="12"/>
      <c r="AA574" s="12"/>
      <c r="AB574" s="12"/>
      <c r="AC574" s="12"/>
      <c r="AD574" s="12"/>
      <c r="AE574" s="12"/>
      <c r="AF574" s="12"/>
      <c r="AG574" s="36"/>
      <c r="AH574" s="12"/>
      <c r="AI574" s="12"/>
      <c r="AJ574" s="12"/>
    </row>
    <row r="575" ht="14.25" customHeight="1">
      <c r="A575" s="12"/>
      <c r="B575" s="12"/>
      <c r="C575" s="12"/>
      <c r="D575" s="12"/>
      <c r="E575" s="12"/>
      <c r="F575" s="12"/>
      <c r="G575" s="12"/>
      <c r="H575" s="12"/>
      <c r="I575" s="12"/>
      <c r="J575" s="12"/>
      <c r="K575" s="36"/>
      <c r="L575" s="36"/>
      <c r="M575" s="12"/>
      <c r="N575" s="12"/>
      <c r="O575" s="12"/>
      <c r="P575" s="12"/>
      <c r="Q575" s="12"/>
      <c r="R575" s="12"/>
      <c r="S575" s="12"/>
      <c r="T575" s="12"/>
      <c r="U575" s="12"/>
      <c r="V575" s="12"/>
      <c r="W575" s="12"/>
      <c r="X575" s="12"/>
      <c r="Y575" s="12"/>
      <c r="Z575" s="12"/>
      <c r="AA575" s="12"/>
      <c r="AB575" s="12"/>
      <c r="AC575" s="12"/>
      <c r="AD575" s="12"/>
      <c r="AE575" s="12"/>
      <c r="AF575" s="12"/>
      <c r="AG575" s="36"/>
      <c r="AH575" s="12"/>
      <c r="AI575" s="12"/>
      <c r="AJ575" s="12"/>
    </row>
    <row r="576" ht="14.25" customHeight="1">
      <c r="A576" s="12"/>
      <c r="B576" s="12"/>
      <c r="C576" s="12"/>
      <c r="D576" s="12"/>
      <c r="E576" s="12"/>
      <c r="F576" s="12"/>
      <c r="G576" s="12"/>
      <c r="H576" s="12"/>
      <c r="I576" s="12"/>
      <c r="J576" s="12"/>
      <c r="K576" s="36"/>
      <c r="L576" s="36"/>
      <c r="M576" s="12"/>
      <c r="N576" s="12"/>
      <c r="O576" s="12"/>
      <c r="P576" s="12"/>
      <c r="Q576" s="12"/>
      <c r="R576" s="12"/>
      <c r="S576" s="12"/>
      <c r="T576" s="12"/>
      <c r="U576" s="12"/>
      <c r="V576" s="12"/>
      <c r="W576" s="12"/>
      <c r="X576" s="12"/>
      <c r="Y576" s="12"/>
      <c r="Z576" s="12"/>
      <c r="AA576" s="12"/>
      <c r="AB576" s="12"/>
      <c r="AC576" s="12"/>
      <c r="AD576" s="12"/>
      <c r="AE576" s="12"/>
      <c r="AF576" s="12"/>
      <c r="AG576" s="36"/>
      <c r="AH576" s="12"/>
      <c r="AI576" s="12"/>
      <c r="AJ576" s="12"/>
    </row>
    <row r="577" ht="14.25" customHeight="1">
      <c r="A577" s="12"/>
      <c r="B577" s="12"/>
      <c r="C577" s="12"/>
      <c r="D577" s="12"/>
      <c r="E577" s="12"/>
      <c r="F577" s="12"/>
      <c r="G577" s="12"/>
      <c r="H577" s="12"/>
      <c r="I577" s="12"/>
      <c r="J577" s="12"/>
      <c r="K577" s="36"/>
      <c r="L577" s="36"/>
      <c r="M577" s="12"/>
      <c r="N577" s="12"/>
      <c r="O577" s="12"/>
      <c r="P577" s="12"/>
      <c r="Q577" s="12"/>
      <c r="R577" s="12"/>
      <c r="S577" s="12"/>
      <c r="T577" s="12"/>
      <c r="U577" s="12"/>
      <c r="V577" s="12"/>
      <c r="W577" s="12"/>
      <c r="X577" s="12"/>
      <c r="Y577" s="12"/>
      <c r="Z577" s="12"/>
      <c r="AA577" s="12"/>
      <c r="AB577" s="12"/>
      <c r="AC577" s="12"/>
      <c r="AD577" s="12"/>
      <c r="AE577" s="12"/>
      <c r="AF577" s="12"/>
      <c r="AG577" s="36"/>
      <c r="AH577" s="12"/>
      <c r="AI577" s="12"/>
      <c r="AJ577" s="12"/>
    </row>
    <row r="578" ht="14.25" customHeight="1">
      <c r="A578" s="12"/>
      <c r="B578" s="12"/>
      <c r="C578" s="12"/>
      <c r="D578" s="12"/>
      <c r="E578" s="12"/>
      <c r="F578" s="12"/>
      <c r="G578" s="12"/>
      <c r="H578" s="12"/>
      <c r="I578" s="12"/>
      <c r="J578" s="12"/>
      <c r="K578" s="36"/>
      <c r="L578" s="36"/>
      <c r="M578" s="12"/>
      <c r="N578" s="12"/>
      <c r="O578" s="12"/>
      <c r="P578" s="12"/>
      <c r="Q578" s="12"/>
      <c r="R578" s="12"/>
      <c r="S578" s="12"/>
      <c r="T578" s="12"/>
      <c r="U578" s="12"/>
      <c r="V578" s="12"/>
      <c r="W578" s="12"/>
      <c r="X578" s="12"/>
      <c r="Y578" s="12"/>
      <c r="Z578" s="12"/>
      <c r="AA578" s="12"/>
      <c r="AB578" s="12"/>
      <c r="AC578" s="12"/>
      <c r="AD578" s="12"/>
      <c r="AE578" s="12"/>
      <c r="AF578" s="12"/>
      <c r="AG578" s="36"/>
      <c r="AH578" s="12"/>
      <c r="AI578" s="12"/>
      <c r="AJ578" s="12"/>
    </row>
    <row r="579" ht="14.25" customHeight="1">
      <c r="A579" s="12"/>
      <c r="B579" s="12"/>
      <c r="C579" s="12"/>
      <c r="D579" s="12"/>
      <c r="E579" s="12"/>
      <c r="F579" s="12"/>
      <c r="G579" s="12"/>
      <c r="H579" s="12"/>
      <c r="I579" s="12"/>
      <c r="J579" s="12"/>
      <c r="K579" s="36"/>
      <c r="L579" s="36"/>
      <c r="M579" s="12"/>
      <c r="N579" s="12"/>
      <c r="O579" s="12"/>
      <c r="P579" s="12"/>
      <c r="Q579" s="12"/>
      <c r="R579" s="12"/>
      <c r="S579" s="12"/>
      <c r="T579" s="12"/>
      <c r="U579" s="12"/>
      <c r="V579" s="12"/>
      <c r="W579" s="12"/>
      <c r="X579" s="12"/>
      <c r="Y579" s="12"/>
      <c r="Z579" s="12"/>
      <c r="AA579" s="12"/>
      <c r="AB579" s="12"/>
      <c r="AC579" s="12"/>
      <c r="AD579" s="12"/>
      <c r="AE579" s="12"/>
      <c r="AF579" s="12"/>
      <c r="AG579" s="36"/>
      <c r="AH579" s="12"/>
      <c r="AI579" s="12"/>
      <c r="AJ579" s="12"/>
    </row>
    <row r="580" ht="14.25" customHeight="1">
      <c r="A580" s="12"/>
      <c r="B580" s="12"/>
      <c r="C580" s="12"/>
      <c r="D580" s="12"/>
      <c r="E580" s="12"/>
      <c r="F580" s="12"/>
      <c r="G580" s="12"/>
      <c r="H580" s="12"/>
      <c r="I580" s="12"/>
      <c r="J580" s="12"/>
      <c r="K580" s="36"/>
      <c r="L580" s="36"/>
      <c r="M580" s="12"/>
      <c r="N580" s="12"/>
      <c r="O580" s="12"/>
      <c r="P580" s="12"/>
      <c r="Q580" s="12"/>
      <c r="R580" s="12"/>
      <c r="S580" s="12"/>
      <c r="T580" s="12"/>
      <c r="U580" s="12"/>
      <c r="V580" s="12"/>
      <c r="W580" s="12"/>
      <c r="X580" s="12"/>
      <c r="Y580" s="12"/>
      <c r="Z580" s="12"/>
      <c r="AA580" s="12"/>
      <c r="AB580" s="12"/>
      <c r="AC580" s="12"/>
      <c r="AD580" s="12"/>
      <c r="AE580" s="12"/>
      <c r="AF580" s="12"/>
      <c r="AG580" s="36"/>
      <c r="AH580" s="12"/>
      <c r="AI580" s="12"/>
      <c r="AJ580" s="12"/>
    </row>
    <row r="581" ht="14.25" customHeight="1">
      <c r="A581" s="12"/>
      <c r="B581" s="12"/>
      <c r="C581" s="12"/>
      <c r="D581" s="12"/>
      <c r="E581" s="12"/>
      <c r="F581" s="12"/>
      <c r="G581" s="12"/>
      <c r="H581" s="12"/>
      <c r="I581" s="12"/>
      <c r="J581" s="12"/>
      <c r="K581" s="36"/>
      <c r="L581" s="36"/>
      <c r="M581" s="12"/>
      <c r="N581" s="12"/>
      <c r="O581" s="12"/>
      <c r="P581" s="12"/>
      <c r="Q581" s="12"/>
      <c r="R581" s="12"/>
      <c r="S581" s="12"/>
      <c r="T581" s="12"/>
      <c r="U581" s="12"/>
      <c r="V581" s="12"/>
      <c r="W581" s="12"/>
      <c r="X581" s="12"/>
      <c r="Y581" s="12"/>
      <c r="Z581" s="12"/>
      <c r="AA581" s="12"/>
      <c r="AB581" s="12"/>
      <c r="AC581" s="12"/>
      <c r="AD581" s="12"/>
      <c r="AE581" s="12"/>
      <c r="AF581" s="12"/>
      <c r="AG581" s="36"/>
      <c r="AH581" s="12"/>
      <c r="AI581" s="12"/>
      <c r="AJ581" s="12"/>
    </row>
    <row r="582" ht="14.25" customHeight="1">
      <c r="A582" s="12"/>
      <c r="B582" s="12"/>
      <c r="C582" s="12"/>
      <c r="D582" s="12"/>
      <c r="E582" s="12"/>
      <c r="F582" s="12"/>
      <c r="G582" s="12"/>
      <c r="H582" s="12"/>
      <c r="I582" s="12"/>
      <c r="J582" s="12"/>
      <c r="K582" s="36"/>
      <c r="L582" s="36"/>
      <c r="M582" s="12"/>
      <c r="N582" s="12"/>
      <c r="O582" s="12"/>
      <c r="P582" s="12"/>
      <c r="Q582" s="12"/>
      <c r="R582" s="12"/>
      <c r="S582" s="12"/>
      <c r="T582" s="12"/>
      <c r="U582" s="12"/>
      <c r="V582" s="12"/>
      <c r="W582" s="12"/>
      <c r="X582" s="12"/>
      <c r="Y582" s="12"/>
      <c r="Z582" s="12"/>
      <c r="AA582" s="12"/>
      <c r="AB582" s="12"/>
      <c r="AC582" s="12"/>
      <c r="AD582" s="12"/>
      <c r="AE582" s="12"/>
      <c r="AF582" s="12"/>
      <c r="AG582" s="36"/>
      <c r="AH582" s="12"/>
      <c r="AI582" s="12"/>
      <c r="AJ582" s="12"/>
    </row>
    <row r="583" ht="14.25" customHeight="1">
      <c r="A583" s="12"/>
      <c r="B583" s="12"/>
      <c r="C583" s="12"/>
      <c r="D583" s="12"/>
      <c r="E583" s="12"/>
      <c r="F583" s="12"/>
      <c r="G583" s="12"/>
      <c r="H583" s="12"/>
      <c r="I583" s="12"/>
      <c r="J583" s="12"/>
      <c r="K583" s="36"/>
      <c r="L583" s="36"/>
      <c r="M583" s="12"/>
      <c r="N583" s="12"/>
      <c r="O583" s="12"/>
      <c r="P583" s="12"/>
      <c r="Q583" s="12"/>
      <c r="R583" s="12"/>
      <c r="S583" s="12"/>
      <c r="T583" s="12"/>
      <c r="U583" s="12"/>
      <c r="V583" s="12"/>
      <c r="W583" s="12"/>
      <c r="X583" s="12"/>
      <c r="Y583" s="12"/>
      <c r="Z583" s="12"/>
      <c r="AA583" s="12"/>
      <c r="AB583" s="12"/>
      <c r="AC583" s="12"/>
      <c r="AD583" s="12"/>
      <c r="AE583" s="12"/>
      <c r="AF583" s="12"/>
      <c r="AG583" s="36"/>
      <c r="AH583" s="12"/>
      <c r="AI583" s="12"/>
      <c r="AJ583" s="12"/>
    </row>
    <row r="584" ht="14.25" customHeight="1">
      <c r="A584" s="12"/>
      <c r="B584" s="12"/>
      <c r="C584" s="12"/>
      <c r="D584" s="12"/>
      <c r="E584" s="12"/>
      <c r="F584" s="12"/>
      <c r="G584" s="12"/>
      <c r="H584" s="12"/>
      <c r="I584" s="12"/>
      <c r="J584" s="12"/>
      <c r="K584" s="36"/>
      <c r="L584" s="36"/>
      <c r="M584" s="12"/>
      <c r="N584" s="12"/>
      <c r="O584" s="12"/>
      <c r="P584" s="12"/>
      <c r="Q584" s="12"/>
      <c r="R584" s="12"/>
      <c r="S584" s="12"/>
      <c r="T584" s="12"/>
      <c r="U584" s="12"/>
      <c r="V584" s="12"/>
      <c r="W584" s="12"/>
      <c r="X584" s="12"/>
      <c r="Y584" s="12"/>
      <c r="Z584" s="12"/>
      <c r="AA584" s="12"/>
      <c r="AB584" s="12"/>
      <c r="AC584" s="12"/>
      <c r="AD584" s="12"/>
      <c r="AE584" s="12"/>
      <c r="AF584" s="12"/>
      <c r="AG584" s="36"/>
      <c r="AH584" s="12"/>
      <c r="AI584" s="12"/>
      <c r="AJ584" s="12"/>
    </row>
    <row r="585" ht="14.25" customHeight="1">
      <c r="A585" s="12"/>
      <c r="B585" s="12"/>
      <c r="C585" s="12"/>
      <c r="D585" s="12"/>
      <c r="E585" s="12"/>
      <c r="F585" s="12"/>
      <c r="G585" s="12"/>
      <c r="H585" s="12"/>
      <c r="I585" s="12"/>
      <c r="J585" s="12"/>
      <c r="K585" s="36"/>
      <c r="L585" s="36"/>
      <c r="M585" s="12"/>
      <c r="N585" s="12"/>
      <c r="O585" s="12"/>
      <c r="P585" s="12"/>
      <c r="Q585" s="12"/>
      <c r="R585" s="12"/>
      <c r="S585" s="12"/>
      <c r="T585" s="12"/>
      <c r="U585" s="12"/>
      <c r="V585" s="12"/>
      <c r="W585" s="12"/>
      <c r="X585" s="12"/>
      <c r="Y585" s="12"/>
      <c r="Z585" s="12"/>
      <c r="AA585" s="12"/>
      <c r="AB585" s="12"/>
      <c r="AC585" s="12"/>
      <c r="AD585" s="12"/>
      <c r="AE585" s="12"/>
      <c r="AF585" s="12"/>
      <c r="AG585" s="36"/>
      <c r="AH585" s="12"/>
      <c r="AI585" s="12"/>
      <c r="AJ585" s="12"/>
    </row>
    <row r="586" ht="14.25" customHeight="1">
      <c r="A586" s="12"/>
      <c r="B586" s="12"/>
      <c r="C586" s="12"/>
      <c r="D586" s="12"/>
      <c r="E586" s="12"/>
      <c r="F586" s="12"/>
      <c r="G586" s="12"/>
      <c r="H586" s="12"/>
      <c r="I586" s="12"/>
      <c r="J586" s="12"/>
      <c r="K586" s="36"/>
      <c r="L586" s="36"/>
      <c r="M586" s="12"/>
      <c r="N586" s="12"/>
      <c r="O586" s="12"/>
      <c r="P586" s="12"/>
      <c r="Q586" s="12"/>
      <c r="R586" s="12"/>
      <c r="S586" s="12"/>
      <c r="T586" s="12"/>
      <c r="U586" s="12"/>
      <c r="V586" s="12"/>
      <c r="W586" s="12"/>
      <c r="X586" s="12"/>
      <c r="Y586" s="12"/>
      <c r="Z586" s="12"/>
      <c r="AA586" s="12"/>
      <c r="AB586" s="12"/>
      <c r="AC586" s="12"/>
      <c r="AD586" s="12"/>
      <c r="AE586" s="12"/>
      <c r="AF586" s="12"/>
      <c r="AG586" s="36"/>
      <c r="AH586" s="12"/>
      <c r="AI586" s="12"/>
      <c r="AJ586" s="12"/>
    </row>
    <row r="587" ht="14.25" customHeight="1">
      <c r="A587" s="12"/>
      <c r="B587" s="12"/>
      <c r="C587" s="12"/>
      <c r="D587" s="12"/>
      <c r="E587" s="12"/>
      <c r="F587" s="12"/>
      <c r="G587" s="12"/>
      <c r="H587" s="12"/>
      <c r="I587" s="12"/>
      <c r="J587" s="12"/>
      <c r="K587" s="36"/>
      <c r="L587" s="36"/>
      <c r="M587" s="12"/>
      <c r="N587" s="12"/>
      <c r="O587" s="12"/>
      <c r="P587" s="12"/>
      <c r="Q587" s="12"/>
      <c r="R587" s="12"/>
      <c r="S587" s="12"/>
      <c r="T587" s="12"/>
      <c r="U587" s="12"/>
      <c r="V587" s="12"/>
      <c r="W587" s="12"/>
      <c r="X587" s="12"/>
      <c r="Y587" s="12"/>
      <c r="Z587" s="12"/>
      <c r="AA587" s="12"/>
      <c r="AB587" s="12"/>
      <c r="AC587" s="12"/>
      <c r="AD587" s="12"/>
      <c r="AE587" s="12"/>
      <c r="AF587" s="12"/>
      <c r="AG587" s="36"/>
      <c r="AH587" s="12"/>
      <c r="AI587" s="12"/>
      <c r="AJ587" s="12"/>
    </row>
    <row r="588" ht="14.25" customHeight="1">
      <c r="A588" s="12"/>
      <c r="B588" s="12"/>
      <c r="C588" s="12"/>
      <c r="D588" s="12"/>
      <c r="E588" s="12"/>
      <c r="F588" s="12"/>
      <c r="G588" s="12"/>
      <c r="H588" s="12"/>
      <c r="I588" s="12"/>
      <c r="J588" s="12"/>
      <c r="K588" s="36"/>
      <c r="L588" s="36"/>
      <c r="M588" s="12"/>
      <c r="N588" s="12"/>
      <c r="O588" s="12"/>
      <c r="P588" s="12"/>
      <c r="Q588" s="12"/>
      <c r="R588" s="12"/>
      <c r="S588" s="12"/>
      <c r="T588" s="12"/>
      <c r="U588" s="12"/>
      <c r="V588" s="12"/>
      <c r="W588" s="12"/>
      <c r="X588" s="12"/>
      <c r="Y588" s="12"/>
      <c r="Z588" s="12"/>
      <c r="AA588" s="12"/>
      <c r="AB588" s="12"/>
      <c r="AC588" s="12"/>
      <c r="AD588" s="12"/>
      <c r="AE588" s="12"/>
      <c r="AF588" s="12"/>
      <c r="AG588" s="36"/>
      <c r="AH588" s="12"/>
      <c r="AI588" s="12"/>
      <c r="AJ588" s="12"/>
    </row>
    <row r="589" ht="14.25" customHeight="1">
      <c r="A589" s="12"/>
      <c r="B589" s="12"/>
      <c r="C589" s="12"/>
      <c r="D589" s="12"/>
      <c r="E589" s="12"/>
      <c r="F589" s="12"/>
      <c r="G589" s="12"/>
      <c r="H589" s="12"/>
      <c r="I589" s="12"/>
      <c r="J589" s="12"/>
      <c r="K589" s="36"/>
      <c r="L589" s="36"/>
      <c r="M589" s="12"/>
      <c r="N589" s="12"/>
      <c r="O589" s="12"/>
      <c r="P589" s="12"/>
      <c r="Q589" s="12"/>
      <c r="R589" s="12"/>
      <c r="S589" s="12"/>
      <c r="T589" s="12"/>
      <c r="U589" s="12"/>
      <c r="V589" s="12"/>
      <c r="W589" s="12"/>
      <c r="X589" s="12"/>
      <c r="Y589" s="12"/>
      <c r="Z589" s="12"/>
      <c r="AA589" s="12"/>
      <c r="AB589" s="12"/>
      <c r="AC589" s="12"/>
      <c r="AD589" s="12"/>
      <c r="AE589" s="12"/>
      <c r="AF589" s="12"/>
      <c r="AG589" s="36"/>
      <c r="AH589" s="12"/>
      <c r="AI589" s="12"/>
      <c r="AJ589" s="12"/>
    </row>
    <row r="590" ht="14.25" customHeight="1">
      <c r="A590" s="12"/>
      <c r="B590" s="12"/>
      <c r="C590" s="12"/>
      <c r="D590" s="12"/>
      <c r="E590" s="12"/>
      <c r="F590" s="12"/>
      <c r="G590" s="12"/>
      <c r="H590" s="12"/>
      <c r="I590" s="12"/>
      <c r="J590" s="12"/>
      <c r="K590" s="36"/>
      <c r="L590" s="36"/>
      <c r="M590" s="12"/>
      <c r="N590" s="12"/>
      <c r="O590" s="12"/>
      <c r="P590" s="12"/>
      <c r="Q590" s="12"/>
      <c r="R590" s="12"/>
      <c r="S590" s="12"/>
      <c r="T590" s="12"/>
      <c r="U590" s="12"/>
      <c r="V590" s="12"/>
      <c r="W590" s="12"/>
      <c r="X590" s="12"/>
      <c r="Y590" s="12"/>
      <c r="Z590" s="12"/>
      <c r="AA590" s="12"/>
      <c r="AB590" s="12"/>
      <c r="AC590" s="12"/>
      <c r="AD590" s="12"/>
      <c r="AE590" s="12"/>
      <c r="AF590" s="12"/>
      <c r="AG590" s="36"/>
      <c r="AH590" s="12"/>
      <c r="AI590" s="12"/>
      <c r="AJ590" s="12"/>
    </row>
    <row r="591" ht="14.25" customHeight="1">
      <c r="A591" s="12"/>
      <c r="B591" s="12"/>
      <c r="C591" s="12"/>
      <c r="D591" s="12"/>
      <c r="E591" s="12"/>
      <c r="F591" s="12"/>
      <c r="G591" s="12"/>
      <c r="H591" s="12"/>
      <c r="I591" s="12"/>
      <c r="J591" s="12"/>
      <c r="K591" s="36"/>
      <c r="L591" s="36"/>
      <c r="M591" s="12"/>
      <c r="N591" s="12"/>
      <c r="O591" s="12"/>
      <c r="P591" s="12"/>
      <c r="Q591" s="12"/>
      <c r="R591" s="12"/>
      <c r="S591" s="12"/>
      <c r="T591" s="12"/>
      <c r="U591" s="12"/>
      <c r="V591" s="12"/>
      <c r="W591" s="12"/>
      <c r="X591" s="12"/>
      <c r="Y591" s="12"/>
      <c r="Z591" s="12"/>
      <c r="AA591" s="12"/>
      <c r="AB591" s="12"/>
      <c r="AC591" s="12"/>
      <c r="AD591" s="12"/>
      <c r="AE591" s="12"/>
      <c r="AF591" s="12"/>
      <c r="AG591" s="36"/>
      <c r="AH591" s="12"/>
      <c r="AI591" s="12"/>
      <c r="AJ591" s="12"/>
    </row>
    <row r="592" ht="14.25" customHeight="1">
      <c r="A592" s="12"/>
      <c r="B592" s="12"/>
      <c r="C592" s="12"/>
      <c r="D592" s="12"/>
      <c r="E592" s="12"/>
      <c r="F592" s="12"/>
      <c r="G592" s="12"/>
      <c r="H592" s="12"/>
      <c r="I592" s="12"/>
      <c r="J592" s="12"/>
      <c r="K592" s="36"/>
      <c r="L592" s="36"/>
      <c r="M592" s="12"/>
      <c r="N592" s="12"/>
      <c r="O592" s="12"/>
      <c r="P592" s="12"/>
      <c r="Q592" s="12"/>
      <c r="R592" s="12"/>
      <c r="S592" s="12"/>
      <c r="T592" s="12"/>
      <c r="U592" s="12"/>
      <c r="V592" s="12"/>
      <c r="W592" s="12"/>
      <c r="X592" s="12"/>
      <c r="Y592" s="12"/>
      <c r="Z592" s="12"/>
      <c r="AA592" s="12"/>
      <c r="AB592" s="12"/>
      <c r="AC592" s="12"/>
      <c r="AD592" s="12"/>
      <c r="AE592" s="12"/>
      <c r="AF592" s="12"/>
      <c r="AG592" s="36"/>
      <c r="AH592" s="12"/>
      <c r="AI592" s="12"/>
      <c r="AJ592" s="12"/>
    </row>
    <row r="593" ht="14.25" customHeight="1">
      <c r="A593" s="12"/>
      <c r="B593" s="12"/>
      <c r="C593" s="12"/>
      <c r="D593" s="12"/>
      <c r="E593" s="12"/>
      <c r="F593" s="12"/>
      <c r="G593" s="12"/>
      <c r="H593" s="12"/>
      <c r="I593" s="12"/>
      <c r="J593" s="12"/>
      <c r="K593" s="36"/>
      <c r="L593" s="36"/>
      <c r="M593" s="12"/>
      <c r="N593" s="12"/>
      <c r="O593" s="12"/>
      <c r="P593" s="12"/>
      <c r="Q593" s="12"/>
      <c r="R593" s="12"/>
      <c r="S593" s="12"/>
      <c r="T593" s="12"/>
      <c r="U593" s="12"/>
      <c r="V593" s="12"/>
      <c r="W593" s="12"/>
      <c r="X593" s="12"/>
      <c r="Y593" s="12"/>
      <c r="Z593" s="12"/>
      <c r="AA593" s="12"/>
      <c r="AB593" s="12"/>
      <c r="AC593" s="12"/>
      <c r="AD593" s="12"/>
      <c r="AE593" s="12"/>
      <c r="AF593" s="12"/>
      <c r="AG593" s="36"/>
      <c r="AH593" s="12"/>
      <c r="AI593" s="12"/>
      <c r="AJ593" s="12"/>
    </row>
    <row r="594" ht="14.25" customHeight="1">
      <c r="A594" s="12"/>
      <c r="B594" s="12"/>
      <c r="C594" s="12"/>
      <c r="D594" s="12"/>
      <c r="E594" s="12"/>
      <c r="F594" s="12"/>
      <c r="G594" s="12"/>
      <c r="H594" s="12"/>
      <c r="I594" s="12"/>
      <c r="J594" s="12"/>
      <c r="K594" s="36"/>
      <c r="L594" s="36"/>
      <c r="M594" s="12"/>
      <c r="N594" s="12"/>
      <c r="O594" s="12"/>
      <c r="P594" s="12"/>
      <c r="Q594" s="12"/>
      <c r="R594" s="12"/>
      <c r="S594" s="12"/>
      <c r="T594" s="12"/>
      <c r="U594" s="12"/>
      <c r="V594" s="12"/>
      <c r="W594" s="12"/>
      <c r="X594" s="12"/>
      <c r="Y594" s="12"/>
      <c r="Z594" s="12"/>
      <c r="AA594" s="12"/>
      <c r="AB594" s="12"/>
      <c r="AC594" s="12"/>
      <c r="AD594" s="12"/>
      <c r="AE594" s="12"/>
      <c r="AF594" s="12"/>
      <c r="AG594" s="36"/>
      <c r="AH594" s="12"/>
      <c r="AI594" s="12"/>
      <c r="AJ594" s="12"/>
    </row>
    <row r="595" ht="14.25" customHeight="1">
      <c r="A595" s="12"/>
      <c r="B595" s="12"/>
      <c r="C595" s="12"/>
      <c r="D595" s="12"/>
      <c r="E595" s="12"/>
      <c r="F595" s="12"/>
      <c r="G595" s="12"/>
      <c r="H595" s="12"/>
      <c r="I595" s="12"/>
      <c r="J595" s="12"/>
      <c r="K595" s="36"/>
      <c r="L595" s="36"/>
      <c r="M595" s="12"/>
      <c r="N595" s="12"/>
      <c r="O595" s="12"/>
      <c r="P595" s="12"/>
      <c r="Q595" s="12"/>
      <c r="R595" s="12"/>
      <c r="S595" s="12"/>
      <c r="T595" s="12"/>
      <c r="U595" s="12"/>
      <c r="V595" s="12"/>
      <c r="W595" s="12"/>
      <c r="X595" s="12"/>
      <c r="Y595" s="12"/>
      <c r="Z595" s="12"/>
      <c r="AA595" s="12"/>
      <c r="AB595" s="12"/>
      <c r="AC595" s="12"/>
      <c r="AD595" s="12"/>
      <c r="AE595" s="12"/>
      <c r="AF595" s="12"/>
      <c r="AG595" s="36"/>
      <c r="AH595" s="12"/>
      <c r="AI595" s="12"/>
      <c r="AJ595" s="12"/>
    </row>
    <row r="596" ht="14.25" customHeight="1">
      <c r="A596" s="12"/>
      <c r="B596" s="12"/>
      <c r="C596" s="12"/>
      <c r="D596" s="12"/>
      <c r="E596" s="12"/>
      <c r="F596" s="12"/>
      <c r="G596" s="12"/>
      <c r="H596" s="12"/>
      <c r="I596" s="12"/>
      <c r="J596" s="12"/>
      <c r="K596" s="36"/>
      <c r="L596" s="36"/>
      <c r="M596" s="12"/>
      <c r="N596" s="12"/>
      <c r="O596" s="12"/>
      <c r="P596" s="12"/>
      <c r="Q596" s="12"/>
      <c r="R596" s="12"/>
      <c r="S596" s="12"/>
      <c r="T596" s="12"/>
      <c r="U596" s="12"/>
      <c r="V596" s="12"/>
      <c r="W596" s="12"/>
      <c r="X596" s="12"/>
      <c r="Y596" s="12"/>
      <c r="Z596" s="12"/>
      <c r="AA596" s="12"/>
      <c r="AB596" s="12"/>
      <c r="AC596" s="12"/>
      <c r="AD596" s="12"/>
      <c r="AE596" s="12"/>
      <c r="AF596" s="12"/>
      <c r="AG596" s="36"/>
      <c r="AH596" s="12"/>
      <c r="AI596" s="12"/>
      <c r="AJ596" s="12"/>
    </row>
    <row r="597" ht="14.25" customHeight="1">
      <c r="A597" s="12"/>
      <c r="B597" s="12"/>
      <c r="C597" s="12"/>
      <c r="D597" s="12"/>
      <c r="E597" s="12"/>
      <c r="F597" s="12"/>
      <c r="G597" s="12"/>
      <c r="H597" s="12"/>
      <c r="I597" s="12"/>
      <c r="J597" s="12"/>
      <c r="K597" s="36"/>
      <c r="L597" s="36"/>
      <c r="M597" s="12"/>
      <c r="N597" s="12"/>
      <c r="O597" s="12"/>
      <c r="P597" s="12"/>
      <c r="Q597" s="12"/>
      <c r="R597" s="12"/>
      <c r="S597" s="12"/>
      <c r="T597" s="12"/>
      <c r="U597" s="12"/>
      <c r="V597" s="12"/>
      <c r="W597" s="12"/>
      <c r="X597" s="12"/>
      <c r="Y597" s="12"/>
      <c r="Z597" s="12"/>
      <c r="AA597" s="12"/>
      <c r="AB597" s="12"/>
      <c r="AC597" s="12"/>
      <c r="AD597" s="12"/>
      <c r="AE597" s="12"/>
      <c r="AF597" s="12"/>
      <c r="AG597" s="36"/>
      <c r="AH597" s="12"/>
      <c r="AI597" s="12"/>
      <c r="AJ597" s="12"/>
    </row>
    <row r="598" ht="14.25" customHeight="1">
      <c r="A598" s="12"/>
      <c r="B598" s="12"/>
      <c r="C598" s="12"/>
      <c r="D598" s="12"/>
      <c r="E598" s="12"/>
      <c r="F598" s="12"/>
      <c r="G598" s="12"/>
      <c r="H598" s="12"/>
      <c r="I598" s="12"/>
      <c r="J598" s="12"/>
      <c r="K598" s="36"/>
      <c r="L598" s="36"/>
      <c r="M598" s="12"/>
      <c r="N598" s="12"/>
      <c r="O598" s="12"/>
      <c r="P598" s="12"/>
      <c r="Q598" s="12"/>
      <c r="R598" s="12"/>
      <c r="S598" s="12"/>
      <c r="T598" s="12"/>
      <c r="U598" s="12"/>
      <c r="V598" s="12"/>
      <c r="W598" s="12"/>
      <c r="X598" s="12"/>
      <c r="Y598" s="12"/>
      <c r="Z598" s="12"/>
      <c r="AA598" s="12"/>
      <c r="AB598" s="12"/>
      <c r="AC598" s="12"/>
      <c r="AD598" s="12"/>
      <c r="AE598" s="12"/>
      <c r="AF598" s="12"/>
      <c r="AG598" s="36"/>
      <c r="AH598" s="12"/>
      <c r="AI598" s="12"/>
      <c r="AJ598" s="12"/>
    </row>
    <row r="599" ht="14.25" customHeight="1">
      <c r="A599" s="12"/>
      <c r="B599" s="12"/>
      <c r="C599" s="12"/>
      <c r="D599" s="12"/>
      <c r="E599" s="12"/>
      <c r="F599" s="12"/>
      <c r="G599" s="12"/>
      <c r="H599" s="12"/>
      <c r="I599" s="12"/>
      <c r="J599" s="12"/>
      <c r="K599" s="36"/>
      <c r="L599" s="36"/>
      <c r="M599" s="12"/>
      <c r="N599" s="12"/>
      <c r="O599" s="12"/>
      <c r="P599" s="12"/>
      <c r="Q599" s="12"/>
      <c r="R599" s="12"/>
      <c r="S599" s="12"/>
      <c r="T599" s="12"/>
      <c r="U599" s="12"/>
      <c r="V599" s="12"/>
      <c r="W599" s="12"/>
      <c r="X599" s="12"/>
      <c r="Y599" s="12"/>
      <c r="Z599" s="12"/>
      <c r="AA599" s="12"/>
      <c r="AB599" s="12"/>
      <c r="AC599" s="12"/>
      <c r="AD599" s="12"/>
      <c r="AE599" s="12"/>
      <c r="AF599" s="12"/>
      <c r="AG599" s="36"/>
      <c r="AH599" s="12"/>
      <c r="AI599" s="12"/>
      <c r="AJ599" s="12"/>
    </row>
    <row r="600" ht="14.25" customHeight="1">
      <c r="A600" s="12"/>
      <c r="B600" s="12"/>
      <c r="C600" s="12"/>
      <c r="D600" s="12"/>
      <c r="E600" s="12"/>
      <c r="F600" s="12"/>
      <c r="G600" s="12"/>
      <c r="H600" s="12"/>
      <c r="I600" s="12"/>
      <c r="J600" s="12"/>
      <c r="K600" s="36"/>
      <c r="L600" s="36"/>
      <c r="M600" s="12"/>
      <c r="N600" s="12"/>
      <c r="O600" s="12"/>
      <c r="P600" s="12"/>
      <c r="Q600" s="12"/>
      <c r="R600" s="12"/>
      <c r="S600" s="12"/>
      <c r="T600" s="12"/>
      <c r="U600" s="12"/>
      <c r="V600" s="12"/>
      <c r="W600" s="12"/>
      <c r="X600" s="12"/>
      <c r="Y600" s="12"/>
      <c r="Z600" s="12"/>
      <c r="AA600" s="12"/>
      <c r="AB600" s="12"/>
      <c r="AC600" s="12"/>
      <c r="AD600" s="12"/>
      <c r="AE600" s="12"/>
      <c r="AF600" s="12"/>
      <c r="AG600" s="36"/>
      <c r="AH600" s="12"/>
      <c r="AI600" s="12"/>
      <c r="AJ600" s="12"/>
    </row>
    <row r="601" ht="14.25" customHeight="1">
      <c r="A601" s="12"/>
      <c r="B601" s="12"/>
      <c r="C601" s="12"/>
      <c r="D601" s="12"/>
      <c r="E601" s="12"/>
      <c r="F601" s="12"/>
      <c r="G601" s="12"/>
      <c r="H601" s="12"/>
      <c r="I601" s="12"/>
      <c r="J601" s="12"/>
      <c r="K601" s="36"/>
      <c r="L601" s="36"/>
      <c r="M601" s="12"/>
      <c r="N601" s="12"/>
      <c r="O601" s="12"/>
      <c r="P601" s="12"/>
      <c r="Q601" s="12"/>
      <c r="R601" s="12"/>
      <c r="S601" s="12"/>
      <c r="T601" s="12"/>
      <c r="U601" s="12"/>
      <c r="V601" s="12"/>
      <c r="W601" s="12"/>
      <c r="X601" s="12"/>
      <c r="Y601" s="12"/>
      <c r="Z601" s="12"/>
      <c r="AA601" s="12"/>
      <c r="AB601" s="12"/>
      <c r="AC601" s="12"/>
      <c r="AD601" s="12"/>
      <c r="AE601" s="12"/>
      <c r="AF601" s="12"/>
      <c r="AG601" s="36"/>
      <c r="AH601" s="12"/>
      <c r="AI601" s="12"/>
      <c r="AJ601" s="12"/>
    </row>
    <row r="602" ht="14.25" customHeight="1">
      <c r="A602" s="12"/>
      <c r="B602" s="12"/>
      <c r="C602" s="12"/>
      <c r="D602" s="12"/>
      <c r="E602" s="12"/>
      <c r="F602" s="12"/>
      <c r="G602" s="12"/>
      <c r="H602" s="12"/>
      <c r="I602" s="12"/>
      <c r="J602" s="12"/>
      <c r="K602" s="36"/>
      <c r="L602" s="36"/>
      <c r="M602" s="12"/>
      <c r="N602" s="12"/>
      <c r="O602" s="12"/>
      <c r="P602" s="12"/>
      <c r="Q602" s="12"/>
      <c r="R602" s="12"/>
      <c r="S602" s="12"/>
      <c r="T602" s="12"/>
      <c r="U602" s="12"/>
      <c r="V602" s="12"/>
      <c r="W602" s="12"/>
      <c r="X602" s="12"/>
      <c r="Y602" s="12"/>
      <c r="Z602" s="12"/>
      <c r="AA602" s="12"/>
      <c r="AB602" s="12"/>
      <c r="AC602" s="12"/>
      <c r="AD602" s="12"/>
      <c r="AE602" s="12"/>
      <c r="AF602" s="12"/>
      <c r="AG602" s="36"/>
      <c r="AH602" s="12"/>
      <c r="AI602" s="12"/>
      <c r="AJ602" s="12"/>
    </row>
    <row r="603" ht="14.25" customHeight="1">
      <c r="A603" s="12"/>
      <c r="B603" s="12"/>
      <c r="C603" s="12"/>
      <c r="D603" s="12"/>
      <c r="E603" s="12"/>
      <c r="F603" s="12"/>
      <c r="G603" s="12"/>
      <c r="H603" s="12"/>
      <c r="I603" s="12"/>
      <c r="J603" s="12"/>
      <c r="K603" s="36"/>
      <c r="L603" s="36"/>
      <c r="M603" s="12"/>
      <c r="N603" s="12"/>
      <c r="O603" s="12"/>
      <c r="P603" s="12"/>
      <c r="Q603" s="12"/>
      <c r="R603" s="12"/>
      <c r="S603" s="12"/>
      <c r="T603" s="12"/>
      <c r="U603" s="12"/>
      <c r="V603" s="12"/>
      <c r="W603" s="12"/>
      <c r="X603" s="12"/>
      <c r="Y603" s="12"/>
      <c r="Z603" s="12"/>
      <c r="AA603" s="12"/>
      <c r="AB603" s="12"/>
      <c r="AC603" s="12"/>
      <c r="AD603" s="12"/>
      <c r="AE603" s="12"/>
      <c r="AF603" s="12"/>
      <c r="AG603" s="36"/>
      <c r="AH603" s="12"/>
      <c r="AI603" s="12"/>
      <c r="AJ603" s="12"/>
    </row>
    <row r="604" ht="14.25" customHeight="1">
      <c r="A604" s="12"/>
      <c r="B604" s="12"/>
      <c r="C604" s="12"/>
      <c r="D604" s="12"/>
      <c r="E604" s="12"/>
      <c r="F604" s="12"/>
      <c r="G604" s="12"/>
      <c r="H604" s="12"/>
      <c r="I604" s="12"/>
      <c r="J604" s="12"/>
      <c r="K604" s="36"/>
      <c r="L604" s="36"/>
      <c r="M604" s="12"/>
      <c r="N604" s="12"/>
      <c r="O604" s="12"/>
      <c r="P604" s="12"/>
      <c r="Q604" s="12"/>
      <c r="R604" s="12"/>
      <c r="S604" s="12"/>
      <c r="T604" s="12"/>
      <c r="U604" s="12"/>
      <c r="V604" s="12"/>
      <c r="W604" s="12"/>
      <c r="X604" s="12"/>
      <c r="Y604" s="12"/>
      <c r="Z604" s="12"/>
      <c r="AA604" s="12"/>
      <c r="AB604" s="12"/>
      <c r="AC604" s="12"/>
      <c r="AD604" s="12"/>
      <c r="AE604" s="12"/>
      <c r="AF604" s="12"/>
      <c r="AG604" s="36"/>
      <c r="AH604" s="12"/>
      <c r="AI604" s="12"/>
      <c r="AJ604" s="12"/>
    </row>
    <row r="605" ht="14.25" customHeight="1">
      <c r="A605" s="12"/>
      <c r="B605" s="12"/>
      <c r="C605" s="12"/>
      <c r="D605" s="12"/>
      <c r="E605" s="12"/>
      <c r="F605" s="12"/>
      <c r="G605" s="12"/>
      <c r="H605" s="12"/>
      <c r="I605" s="12"/>
      <c r="J605" s="12"/>
      <c r="K605" s="36"/>
      <c r="L605" s="36"/>
      <c r="M605" s="12"/>
      <c r="N605" s="12"/>
      <c r="O605" s="12"/>
      <c r="P605" s="12"/>
      <c r="Q605" s="12"/>
      <c r="R605" s="12"/>
      <c r="S605" s="12"/>
      <c r="T605" s="12"/>
      <c r="U605" s="12"/>
      <c r="V605" s="12"/>
      <c r="W605" s="12"/>
      <c r="X605" s="12"/>
      <c r="Y605" s="12"/>
      <c r="Z605" s="12"/>
      <c r="AA605" s="12"/>
      <c r="AB605" s="12"/>
      <c r="AC605" s="12"/>
      <c r="AD605" s="12"/>
      <c r="AE605" s="12"/>
      <c r="AF605" s="12"/>
      <c r="AG605" s="36"/>
      <c r="AH605" s="12"/>
      <c r="AI605" s="12"/>
      <c r="AJ605" s="12"/>
    </row>
    <row r="606" ht="14.25" customHeight="1">
      <c r="A606" s="12"/>
      <c r="B606" s="12"/>
      <c r="C606" s="12"/>
      <c r="D606" s="12"/>
      <c r="E606" s="12"/>
      <c r="F606" s="12"/>
      <c r="G606" s="12"/>
      <c r="H606" s="12"/>
      <c r="I606" s="12"/>
      <c r="J606" s="12"/>
      <c r="K606" s="36"/>
      <c r="L606" s="36"/>
      <c r="M606" s="12"/>
      <c r="N606" s="12"/>
      <c r="O606" s="12"/>
      <c r="P606" s="12"/>
      <c r="Q606" s="12"/>
      <c r="R606" s="12"/>
      <c r="S606" s="12"/>
      <c r="T606" s="12"/>
      <c r="U606" s="12"/>
      <c r="V606" s="12"/>
      <c r="W606" s="12"/>
      <c r="X606" s="12"/>
      <c r="Y606" s="12"/>
      <c r="Z606" s="12"/>
      <c r="AA606" s="12"/>
      <c r="AB606" s="12"/>
      <c r="AC606" s="12"/>
      <c r="AD606" s="12"/>
      <c r="AE606" s="12"/>
      <c r="AF606" s="12"/>
      <c r="AG606" s="36"/>
      <c r="AH606" s="12"/>
      <c r="AI606" s="12"/>
      <c r="AJ606" s="12"/>
    </row>
    <row r="607" ht="14.25" customHeight="1">
      <c r="A607" s="12"/>
      <c r="B607" s="12"/>
      <c r="C607" s="12"/>
      <c r="D607" s="12"/>
      <c r="E607" s="12"/>
      <c r="F607" s="12"/>
      <c r="G607" s="12"/>
      <c r="H607" s="12"/>
      <c r="I607" s="12"/>
      <c r="J607" s="12"/>
      <c r="K607" s="36"/>
      <c r="L607" s="36"/>
      <c r="M607" s="12"/>
      <c r="N607" s="12"/>
      <c r="O607" s="12"/>
      <c r="P607" s="12"/>
      <c r="Q607" s="12"/>
      <c r="R607" s="12"/>
      <c r="S607" s="12"/>
      <c r="T607" s="12"/>
      <c r="U607" s="12"/>
      <c r="V607" s="12"/>
      <c r="W607" s="12"/>
      <c r="X607" s="12"/>
      <c r="Y607" s="12"/>
      <c r="Z607" s="12"/>
      <c r="AA607" s="12"/>
      <c r="AB607" s="12"/>
      <c r="AC607" s="12"/>
      <c r="AD607" s="12"/>
      <c r="AE607" s="12"/>
      <c r="AF607" s="12"/>
      <c r="AG607" s="36"/>
      <c r="AH607" s="12"/>
      <c r="AI607" s="12"/>
      <c r="AJ607" s="12"/>
    </row>
    <row r="608" ht="14.25" customHeight="1">
      <c r="A608" s="12"/>
      <c r="B608" s="12"/>
      <c r="C608" s="12"/>
      <c r="D608" s="12"/>
      <c r="E608" s="12"/>
      <c r="F608" s="12"/>
      <c r="G608" s="12"/>
      <c r="H608" s="12"/>
      <c r="I608" s="12"/>
      <c r="J608" s="12"/>
      <c r="K608" s="36"/>
      <c r="L608" s="36"/>
      <c r="M608" s="12"/>
      <c r="N608" s="12"/>
      <c r="O608" s="12"/>
      <c r="P608" s="12"/>
      <c r="Q608" s="12"/>
      <c r="R608" s="12"/>
      <c r="S608" s="12"/>
      <c r="T608" s="12"/>
      <c r="U608" s="12"/>
      <c r="V608" s="12"/>
      <c r="W608" s="12"/>
      <c r="X608" s="12"/>
      <c r="Y608" s="12"/>
      <c r="Z608" s="12"/>
      <c r="AA608" s="12"/>
      <c r="AB608" s="12"/>
      <c r="AC608" s="12"/>
      <c r="AD608" s="12"/>
      <c r="AE608" s="12"/>
      <c r="AF608" s="12"/>
      <c r="AG608" s="36"/>
      <c r="AH608" s="12"/>
      <c r="AI608" s="12"/>
      <c r="AJ608" s="12"/>
    </row>
    <row r="609" ht="14.25" customHeight="1">
      <c r="A609" s="12"/>
      <c r="B609" s="12"/>
      <c r="C609" s="12"/>
      <c r="D609" s="12"/>
      <c r="E609" s="12"/>
      <c r="F609" s="12"/>
      <c r="G609" s="12"/>
      <c r="H609" s="12"/>
      <c r="I609" s="12"/>
      <c r="J609" s="12"/>
      <c r="K609" s="36"/>
      <c r="L609" s="36"/>
      <c r="M609" s="12"/>
      <c r="N609" s="12"/>
      <c r="O609" s="12"/>
      <c r="P609" s="12"/>
      <c r="Q609" s="12"/>
      <c r="R609" s="12"/>
      <c r="S609" s="12"/>
      <c r="T609" s="12"/>
      <c r="U609" s="12"/>
      <c r="V609" s="12"/>
      <c r="W609" s="12"/>
      <c r="X609" s="12"/>
      <c r="Y609" s="12"/>
      <c r="Z609" s="12"/>
      <c r="AA609" s="12"/>
      <c r="AB609" s="12"/>
      <c r="AC609" s="12"/>
      <c r="AD609" s="12"/>
      <c r="AE609" s="12"/>
      <c r="AF609" s="12"/>
      <c r="AG609" s="36"/>
      <c r="AH609" s="12"/>
      <c r="AI609" s="12"/>
      <c r="AJ609" s="12"/>
    </row>
    <row r="610" ht="14.25" customHeight="1">
      <c r="A610" s="12"/>
      <c r="B610" s="12"/>
      <c r="C610" s="12"/>
      <c r="D610" s="12"/>
      <c r="E610" s="12"/>
      <c r="F610" s="12"/>
      <c r="G610" s="12"/>
      <c r="H610" s="12"/>
      <c r="I610" s="12"/>
      <c r="J610" s="12"/>
      <c r="K610" s="36"/>
      <c r="L610" s="36"/>
      <c r="M610" s="12"/>
      <c r="N610" s="12"/>
      <c r="O610" s="12"/>
      <c r="P610" s="12"/>
      <c r="Q610" s="12"/>
      <c r="R610" s="12"/>
      <c r="S610" s="12"/>
      <c r="T610" s="12"/>
      <c r="U610" s="12"/>
      <c r="V610" s="12"/>
      <c r="W610" s="12"/>
      <c r="X610" s="12"/>
      <c r="Y610" s="12"/>
      <c r="Z610" s="12"/>
      <c r="AA610" s="12"/>
      <c r="AB610" s="12"/>
      <c r="AC610" s="12"/>
      <c r="AD610" s="12"/>
      <c r="AE610" s="12"/>
      <c r="AF610" s="12"/>
      <c r="AG610" s="36"/>
      <c r="AH610" s="12"/>
      <c r="AI610" s="12"/>
      <c r="AJ610" s="12"/>
    </row>
    <row r="611" ht="14.25" customHeight="1">
      <c r="A611" s="12"/>
      <c r="B611" s="12"/>
      <c r="C611" s="12"/>
      <c r="D611" s="12"/>
      <c r="E611" s="12"/>
      <c r="F611" s="12"/>
      <c r="G611" s="12"/>
      <c r="H611" s="12"/>
      <c r="I611" s="12"/>
      <c r="J611" s="12"/>
      <c r="K611" s="36"/>
      <c r="L611" s="36"/>
      <c r="M611" s="12"/>
      <c r="N611" s="12"/>
      <c r="O611" s="12"/>
      <c r="P611" s="12"/>
      <c r="Q611" s="12"/>
      <c r="R611" s="12"/>
      <c r="S611" s="12"/>
      <c r="T611" s="12"/>
      <c r="U611" s="12"/>
      <c r="V611" s="12"/>
      <c r="W611" s="12"/>
      <c r="X611" s="12"/>
      <c r="Y611" s="12"/>
      <c r="Z611" s="12"/>
      <c r="AA611" s="12"/>
      <c r="AB611" s="12"/>
      <c r="AC611" s="12"/>
      <c r="AD611" s="12"/>
      <c r="AE611" s="12"/>
      <c r="AF611" s="12"/>
      <c r="AG611" s="36"/>
      <c r="AH611" s="12"/>
      <c r="AI611" s="12"/>
      <c r="AJ611" s="12"/>
    </row>
    <row r="612" ht="14.25" customHeight="1">
      <c r="A612" s="12"/>
      <c r="B612" s="12"/>
      <c r="C612" s="12"/>
      <c r="D612" s="12"/>
      <c r="E612" s="12"/>
      <c r="F612" s="12"/>
      <c r="G612" s="12"/>
      <c r="H612" s="12"/>
      <c r="I612" s="12"/>
      <c r="J612" s="12"/>
      <c r="K612" s="36"/>
      <c r="L612" s="36"/>
      <c r="M612" s="12"/>
      <c r="N612" s="12"/>
      <c r="O612" s="12"/>
      <c r="P612" s="12"/>
      <c r="Q612" s="12"/>
      <c r="R612" s="12"/>
      <c r="S612" s="12"/>
      <c r="T612" s="12"/>
      <c r="U612" s="12"/>
      <c r="V612" s="12"/>
      <c r="W612" s="12"/>
      <c r="X612" s="12"/>
      <c r="Y612" s="12"/>
      <c r="Z612" s="12"/>
      <c r="AA612" s="12"/>
      <c r="AB612" s="12"/>
      <c r="AC612" s="12"/>
      <c r="AD612" s="12"/>
      <c r="AE612" s="12"/>
      <c r="AF612" s="12"/>
      <c r="AG612" s="36"/>
      <c r="AH612" s="12"/>
      <c r="AI612" s="12"/>
      <c r="AJ612" s="12"/>
    </row>
    <row r="613" ht="14.25" customHeight="1">
      <c r="A613" s="12"/>
      <c r="B613" s="12"/>
      <c r="C613" s="12"/>
      <c r="D613" s="12"/>
      <c r="E613" s="12"/>
      <c r="F613" s="12"/>
      <c r="G613" s="12"/>
      <c r="H613" s="12"/>
      <c r="I613" s="12"/>
      <c r="J613" s="12"/>
      <c r="K613" s="36"/>
      <c r="L613" s="36"/>
      <c r="M613" s="12"/>
      <c r="N613" s="12"/>
      <c r="O613" s="12"/>
      <c r="P613" s="12"/>
      <c r="Q613" s="12"/>
      <c r="R613" s="12"/>
      <c r="S613" s="12"/>
      <c r="T613" s="12"/>
      <c r="U613" s="12"/>
      <c r="V613" s="12"/>
      <c r="W613" s="12"/>
      <c r="X613" s="12"/>
      <c r="Y613" s="12"/>
      <c r="Z613" s="12"/>
      <c r="AA613" s="12"/>
      <c r="AB613" s="12"/>
      <c r="AC613" s="12"/>
      <c r="AD613" s="12"/>
      <c r="AE613" s="12"/>
      <c r="AF613" s="12"/>
      <c r="AG613" s="36"/>
      <c r="AH613" s="12"/>
      <c r="AI613" s="12"/>
      <c r="AJ613" s="12"/>
    </row>
    <row r="614" ht="14.25" customHeight="1">
      <c r="A614" s="12"/>
      <c r="B614" s="12"/>
      <c r="C614" s="12"/>
      <c r="D614" s="12"/>
      <c r="E614" s="12"/>
      <c r="F614" s="12"/>
      <c r="G614" s="12"/>
      <c r="H614" s="12"/>
      <c r="I614" s="12"/>
      <c r="J614" s="12"/>
      <c r="K614" s="36"/>
      <c r="L614" s="36"/>
      <c r="M614" s="12"/>
      <c r="N614" s="12"/>
      <c r="O614" s="12"/>
      <c r="P614" s="12"/>
      <c r="Q614" s="12"/>
      <c r="R614" s="12"/>
      <c r="S614" s="12"/>
      <c r="T614" s="12"/>
      <c r="U614" s="12"/>
      <c r="V614" s="12"/>
      <c r="W614" s="12"/>
      <c r="X614" s="12"/>
      <c r="Y614" s="12"/>
      <c r="Z614" s="12"/>
      <c r="AA614" s="12"/>
      <c r="AB614" s="12"/>
      <c r="AC614" s="12"/>
      <c r="AD614" s="12"/>
      <c r="AE614" s="12"/>
      <c r="AF614" s="12"/>
      <c r="AG614" s="36"/>
      <c r="AH614" s="12"/>
      <c r="AI614" s="12"/>
      <c r="AJ614" s="12"/>
    </row>
    <row r="615" ht="14.25" customHeight="1">
      <c r="A615" s="12"/>
      <c r="B615" s="12"/>
      <c r="C615" s="12"/>
      <c r="D615" s="12"/>
      <c r="E615" s="12"/>
      <c r="F615" s="12"/>
      <c r="G615" s="12"/>
      <c r="H615" s="12"/>
      <c r="I615" s="12"/>
      <c r="J615" s="12"/>
      <c r="K615" s="36"/>
      <c r="L615" s="36"/>
      <c r="M615" s="12"/>
      <c r="N615" s="12"/>
      <c r="O615" s="12"/>
      <c r="P615" s="12"/>
      <c r="Q615" s="12"/>
      <c r="R615" s="12"/>
      <c r="S615" s="12"/>
      <c r="T615" s="12"/>
      <c r="U615" s="12"/>
      <c r="V615" s="12"/>
      <c r="W615" s="12"/>
      <c r="X615" s="12"/>
      <c r="Y615" s="12"/>
      <c r="Z615" s="12"/>
      <c r="AA615" s="12"/>
      <c r="AB615" s="12"/>
      <c r="AC615" s="12"/>
      <c r="AD615" s="12"/>
      <c r="AE615" s="12"/>
      <c r="AF615" s="12"/>
      <c r="AG615" s="36"/>
      <c r="AH615" s="12"/>
      <c r="AI615" s="12"/>
      <c r="AJ615" s="12"/>
    </row>
    <row r="616" ht="14.25" customHeight="1">
      <c r="A616" s="12"/>
      <c r="B616" s="12"/>
      <c r="C616" s="12"/>
      <c r="D616" s="12"/>
      <c r="E616" s="12"/>
      <c r="F616" s="12"/>
      <c r="G616" s="12"/>
      <c r="H616" s="12"/>
      <c r="I616" s="12"/>
      <c r="J616" s="12"/>
      <c r="K616" s="36"/>
      <c r="L616" s="36"/>
      <c r="M616" s="12"/>
      <c r="N616" s="12"/>
      <c r="O616" s="12"/>
      <c r="P616" s="12"/>
      <c r="Q616" s="12"/>
      <c r="R616" s="12"/>
      <c r="S616" s="12"/>
      <c r="T616" s="12"/>
      <c r="U616" s="12"/>
      <c r="V616" s="12"/>
      <c r="W616" s="12"/>
      <c r="X616" s="12"/>
      <c r="Y616" s="12"/>
      <c r="Z616" s="12"/>
      <c r="AA616" s="12"/>
      <c r="AB616" s="12"/>
      <c r="AC616" s="12"/>
      <c r="AD616" s="12"/>
      <c r="AE616" s="12"/>
      <c r="AF616" s="12"/>
      <c r="AG616" s="36"/>
      <c r="AH616" s="12"/>
      <c r="AI616" s="12"/>
      <c r="AJ616" s="12"/>
    </row>
    <row r="617" ht="14.25" customHeight="1">
      <c r="A617" s="12"/>
      <c r="B617" s="12"/>
      <c r="C617" s="12"/>
      <c r="D617" s="12"/>
      <c r="E617" s="12"/>
      <c r="F617" s="12"/>
      <c r="G617" s="12"/>
      <c r="H617" s="12"/>
      <c r="I617" s="12"/>
      <c r="J617" s="12"/>
      <c r="K617" s="36"/>
      <c r="L617" s="36"/>
      <c r="M617" s="12"/>
      <c r="N617" s="12"/>
      <c r="O617" s="12"/>
      <c r="P617" s="12"/>
      <c r="Q617" s="12"/>
      <c r="R617" s="12"/>
      <c r="S617" s="12"/>
      <c r="T617" s="12"/>
      <c r="U617" s="12"/>
      <c r="V617" s="12"/>
      <c r="W617" s="12"/>
      <c r="X617" s="12"/>
      <c r="Y617" s="12"/>
      <c r="Z617" s="12"/>
      <c r="AA617" s="12"/>
      <c r="AB617" s="12"/>
      <c r="AC617" s="12"/>
      <c r="AD617" s="12"/>
      <c r="AE617" s="12"/>
      <c r="AF617" s="12"/>
      <c r="AG617" s="36"/>
      <c r="AH617" s="12"/>
      <c r="AI617" s="12"/>
      <c r="AJ617" s="12"/>
    </row>
    <row r="618" ht="14.25" customHeight="1">
      <c r="A618" s="12"/>
      <c r="B618" s="12"/>
      <c r="C618" s="12"/>
      <c r="D618" s="12"/>
      <c r="E618" s="12"/>
      <c r="F618" s="12"/>
      <c r="G618" s="12"/>
      <c r="H618" s="12"/>
      <c r="I618" s="12"/>
      <c r="J618" s="12"/>
      <c r="K618" s="36"/>
      <c r="L618" s="36"/>
      <c r="M618" s="12"/>
      <c r="N618" s="12"/>
      <c r="O618" s="12"/>
      <c r="P618" s="12"/>
      <c r="Q618" s="12"/>
      <c r="R618" s="12"/>
      <c r="S618" s="12"/>
      <c r="T618" s="12"/>
      <c r="U618" s="12"/>
      <c r="V618" s="12"/>
      <c r="W618" s="12"/>
      <c r="X618" s="12"/>
      <c r="Y618" s="12"/>
      <c r="Z618" s="12"/>
      <c r="AA618" s="12"/>
      <c r="AB618" s="12"/>
      <c r="AC618" s="12"/>
      <c r="AD618" s="12"/>
      <c r="AE618" s="12"/>
      <c r="AF618" s="12"/>
      <c r="AG618" s="36"/>
      <c r="AH618" s="12"/>
      <c r="AI618" s="12"/>
      <c r="AJ618" s="12"/>
    </row>
    <row r="619" ht="14.25" customHeight="1">
      <c r="A619" s="12"/>
      <c r="B619" s="12"/>
      <c r="C619" s="12"/>
      <c r="D619" s="12"/>
      <c r="E619" s="12"/>
      <c r="F619" s="12"/>
      <c r="G619" s="12"/>
      <c r="H619" s="12"/>
      <c r="I619" s="12"/>
      <c r="J619" s="12"/>
      <c r="K619" s="36"/>
      <c r="L619" s="36"/>
      <c r="M619" s="12"/>
      <c r="N619" s="12"/>
      <c r="O619" s="12"/>
      <c r="P619" s="12"/>
      <c r="Q619" s="12"/>
      <c r="R619" s="12"/>
      <c r="S619" s="12"/>
      <c r="T619" s="12"/>
      <c r="U619" s="12"/>
      <c r="V619" s="12"/>
      <c r="W619" s="12"/>
      <c r="X619" s="12"/>
      <c r="Y619" s="12"/>
      <c r="Z619" s="12"/>
      <c r="AA619" s="12"/>
      <c r="AB619" s="12"/>
      <c r="AC619" s="12"/>
      <c r="AD619" s="12"/>
      <c r="AE619" s="12"/>
      <c r="AF619" s="12"/>
      <c r="AG619" s="36"/>
      <c r="AH619" s="12"/>
      <c r="AI619" s="12"/>
      <c r="AJ619" s="12"/>
    </row>
    <row r="620" ht="14.25" customHeight="1">
      <c r="A620" s="12"/>
      <c r="B620" s="12"/>
      <c r="C620" s="12"/>
      <c r="D620" s="12"/>
      <c r="E620" s="12"/>
      <c r="F620" s="12"/>
      <c r="G620" s="12"/>
      <c r="H620" s="12"/>
      <c r="I620" s="12"/>
      <c r="J620" s="12"/>
      <c r="K620" s="36"/>
      <c r="L620" s="36"/>
      <c r="M620" s="12"/>
      <c r="N620" s="12"/>
      <c r="O620" s="12"/>
      <c r="P620" s="12"/>
      <c r="Q620" s="12"/>
      <c r="R620" s="12"/>
      <c r="S620" s="12"/>
      <c r="T620" s="12"/>
      <c r="U620" s="12"/>
      <c r="V620" s="12"/>
      <c r="W620" s="12"/>
      <c r="X620" s="12"/>
      <c r="Y620" s="12"/>
      <c r="Z620" s="12"/>
      <c r="AA620" s="12"/>
      <c r="AB620" s="12"/>
      <c r="AC620" s="12"/>
      <c r="AD620" s="12"/>
      <c r="AE620" s="12"/>
      <c r="AF620" s="12"/>
      <c r="AG620" s="36"/>
      <c r="AH620" s="12"/>
      <c r="AI620" s="12"/>
      <c r="AJ620" s="12"/>
    </row>
    <row r="621" ht="14.25" customHeight="1">
      <c r="A621" s="12"/>
      <c r="B621" s="12"/>
      <c r="C621" s="12"/>
      <c r="D621" s="12"/>
      <c r="E621" s="12"/>
      <c r="F621" s="12"/>
      <c r="G621" s="12"/>
      <c r="H621" s="12"/>
      <c r="I621" s="12"/>
      <c r="J621" s="12"/>
      <c r="K621" s="36"/>
      <c r="L621" s="36"/>
      <c r="M621" s="12"/>
      <c r="N621" s="12"/>
      <c r="O621" s="12"/>
      <c r="P621" s="12"/>
      <c r="Q621" s="12"/>
      <c r="R621" s="12"/>
      <c r="S621" s="12"/>
      <c r="T621" s="12"/>
      <c r="U621" s="12"/>
      <c r="V621" s="12"/>
      <c r="W621" s="12"/>
      <c r="X621" s="12"/>
      <c r="Y621" s="12"/>
      <c r="Z621" s="12"/>
      <c r="AA621" s="12"/>
      <c r="AB621" s="12"/>
      <c r="AC621" s="12"/>
      <c r="AD621" s="12"/>
      <c r="AE621" s="12"/>
      <c r="AF621" s="12"/>
      <c r="AG621" s="36"/>
      <c r="AH621" s="12"/>
      <c r="AI621" s="12"/>
      <c r="AJ621" s="12"/>
    </row>
    <row r="622" ht="14.25" customHeight="1">
      <c r="A622" s="12"/>
      <c r="B622" s="12"/>
      <c r="C622" s="12"/>
      <c r="D622" s="12"/>
      <c r="E622" s="12"/>
      <c r="F622" s="12"/>
      <c r="G622" s="12"/>
      <c r="H622" s="12"/>
      <c r="I622" s="12"/>
      <c r="J622" s="12"/>
      <c r="K622" s="36"/>
      <c r="L622" s="36"/>
      <c r="M622" s="12"/>
      <c r="N622" s="12"/>
      <c r="O622" s="12"/>
      <c r="P622" s="12"/>
      <c r="Q622" s="12"/>
      <c r="R622" s="12"/>
      <c r="S622" s="12"/>
      <c r="T622" s="12"/>
      <c r="U622" s="12"/>
      <c r="V622" s="12"/>
      <c r="W622" s="12"/>
      <c r="X622" s="12"/>
      <c r="Y622" s="12"/>
      <c r="Z622" s="12"/>
      <c r="AA622" s="12"/>
      <c r="AB622" s="12"/>
      <c r="AC622" s="12"/>
      <c r="AD622" s="12"/>
      <c r="AE622" s="12"/>
      <c r="AF622" s="12"/>
      <c r="AG622" s="36"/>
      <c r="AH622" s="12"/>
      <c r="AI622" s="12"/>
      <c r="AJ622" s="12"/>
    </row>
    <row r="623" ht="14.25" customHeight="1">
      <c r="A623" s="12"/>
      <c r="B623" s="12"/>
      <c r="C623" s="12"/>
      <c r="D623" s="12"/>
      <c r="E623" s="12"/>
      <c r="F623" s="12"/>
      <c r="G623" s="12"/>
      <c r="H623" s="12"/>
      <c r="I623" s="12"/>
      <c r="J623" s="12"/>
      <c r="K623" s="36"/>
      <c r="L623" s="36"/>
      <c r="M623" s="12"/>
      <c r="N623" s="12"/>
      <c r="O623" s="12"/>
      <c r="P623" s="12"/>
      <c r="Q623" s="12"/>
      <c r="R623" s="12"/>
      <c r="S623" s="12"/>
      <c r="T623" s="12"/>
      <c r="U623" s="12"/>
      <c r="V623" s="12"/>
      <c r="W623" s="12"/>
      <c r="X623" s="12"/>
      <c r="Y623" s="12"/>
      <c r="Z623" s="12"/>
      <c r="AA623" s="12"/>
      <c r="AB623" s="12"/>
      <c r="AC623" s="12"/>
      <c r="AD623" s="12"/>
      <c r="AE623" s="12"/>
      <c r="AF623" s="12"/>
      <c r="AG623" s="36"/>
      <c r="AH623" s="12"/>
      <c r="AI623" s="12"/>
      <c r="AJ623" s="12"/>
    </row>
    <row r="624" ht="14.25" customHeight="1">
      <c r="A624" s="12"/>
      <c r="B624" s="12"/>
      <c r="C624" s="12"/>
      <c r="D624" s="12"/>
      <c r="E624" s="12"/>
      <c r="F624" s="12"/>
      <c r="G624" s="12"/>
      <c r="H624" s="12"/>
      <c r="I624" s="12"/>
      <c r="J624" s="12"/>
      <c r="K624" s="36"/>
      <c r="L624" s="36"/>
      <c r="M624" s="12"/>
      <c r="N624" s="12"/>
      <c r="O624" s="12"/>
      <c r="P624" s="12"/>
      <c r="Q624" s="12"/>
      <c r="R624" s="12"/>
      <c r="S624" s="12"/>
      <c r="T624" s="12"/>
      <c r="U624" s="12"/>
      <c r="V624" s="12"/>
      <c r="W624" s="12"/>
      <c r="X624" s="12"/>
      <c r="Y624" s="12"/>
      <c r="Z624" s="12"/>
      <c r="AA624" s="12"/>
      <c r="AB624" s="12"/>
      <c r="AC624" s="12"/>
      <c r="AD624" s="12"/>
      <c r="AE624" s="12"/>
      <c r="AF624" s="12"/>
      <c r="AG624" s="36"/>
      <c r="AH624" s="12"/>
      <c r="AI624" s="12"/>
      <c r="AJ624" s="12"/>
    </row>
    <row r="625" ht="14.25" customHeight="1">
      <c r="A625" s="12"/>
      <c r="B625" s="12"/>
      <c r="C625" s="12"/>
      <c r="D625" s="12"/>
      <c r="E625" s="12"/>
      <c r="F625" s="12"/>
      <c r="G625" s="12"/>
      <c r="H625" s="12"/>
      <c r="I625" s="12"/>
      <c r="J625" s="12"/>
      <c r="K625" s="36"/>
      <c r="L625" s="36"/>
      <c r="M625" s="12"/>
      <c r="N625" s="12"/>
      <c r="O625" s="12"/>
      <c r="P625" s="12"/>
      <c r="Q625" s="12"/>
      <c r="R625" s="12"/>
      <c r="S625" s="12"/>
      <c r="T625" s="12"/>
      <c r="U625" s="12"/>
      <c r="V625" s="12"/>
      <c r="W625" s="12"/>
      <c r="X625" s="12"/>
      <c r="Y625" s="12"/>
      <c r="Z625" s="12"/>
      <c r="AA625" s="12"/>
      <c r="AB625" s="12"/>
      <c r="AC625" s="12"/>
      <c r="AD625" s="12"/>
      <c r="AE625" s="12"/>
      <c r="AF625" s="12"/>
      <c r="AG625" s="36"/>
      <c r="AH625" s="12"/>
      <c r="AI625" s="12"/>
      <c r="AJ625" s="12"/>
    </row>
    <row r="626" ht="14.25" customHeight="1">
      <c r="A626" s="12"/>
      <c r="B626" s="12"/>
      <c r="C626" s="12"/>
      <c r="D626" s="12"/>
      <c r="E626" s="12"/>
      <c r="F626" s="12"/>
      <c r="G626" s="12"/>
      <c r="H626" s="12"/>
      <c r="I626" s="12"/>
      <c r="J626" s="12"/>
      <c r="K626" s="36"/>
      <c r="L626" s="36"/>
      <c r="M626" s="12"/>
      <c r="N626" s="12"/>
      <c r="O626" s="12"/>
      <c r="P626" s="12"/>
      <c r="Q626" s="12"/>
      <c r="R626" s="12"/>
      <c r="S626" s="12"/>
      <c r="T626" s="12"/>
      <c r="U626" s="12"/>
      <c r="V626" s="12"/>
      <c r="W626" s="12"/>
      <c r="X626" s="12"/>
      <c r="Y626" s="12"/>
      <c r="Z626" s="12"/>
      <c r="AA626" s="12"/>
      <c r="AB626" s="12"/>
      <c r="AC626" s="12"/>
      <c r="AD626" s="12"/>
      <c r="AE626" s="12"/>
      <c r="AF626" s="12"/>
      <c r="AG626" s="36"/>
      <c r="AH626" s="12"/>
      <c r="AI626" s="12"/>
      <c r="AJ626" s="12"/>
    </row>
    <row r="627" ht="14.25" customHeight="1">
      <c r="A627" s="12"/>
      <c r="B627" s="12"/>
      <c r="C627" s="12"/>
      <c r="D627" s="12"/>
      <c r="E627" s="12"/>
      <c r="F627" s="12"/>
      <c r="G627" s="12"/>
      <c r="H627" s="12"/>
      <c r="I627" s="12"/>
      <c r="J627" s="12"/>
      <c r="K627" s="36"/>
      <c r="L627" s="36"/>
      <c r="M627" s="12"/>
      <c r="N627" s="12"/>
      <c r="O627" s="12"/>
      <c r="P627" s="12"/>
      <c r="Q627" s="12"/>
      <c r="R627" s="12"/>
      <c r="S627" s="12"/>
      <c r="T627" s="12"/>
      <c r="U627" s="12"/>
      <c r="V627" s="12"/>
      <c r="W627" s="12"/>
      <c r="X627" s="12"/>
      <c r="Y627" s="12"/>
      <c r="Z627" s="12"/>
      <c r="AA627" s="12"/>
      <c r="AB627" s="12"/>
      <c r="AC627" s="12"/>
      <c r="AD627" s="12"/>
      <c r="AE627" s="12"/>
      <c r="AF627" s="12"/>
      <c r="AG627" s="36"/>
      <c r="AH627" s="12"/>
      <c r="AI627" s="12"/>
      <c r="AJ627" s="12"/>
    </row>
    <row r="628" ht="14.25" customHeight="1">
      <c r="A628" s="12"/>
      <c r="B628" s="12"/>
      <c r="C628" s="12"/>
      <c r="D628" s="12"/>
      <c r="E628" s="12"/>
      <c r="F628" s="12"/>
      <c r="G628" s="12"/>
      <c r="H628" s="12"/>
      <c r="I628" s="12"/>
      <c r="J628" s="12"/>
      <c r="K628" s="36"/>
      <c r="L628" s="36"/>
      <c r="M628" s="12"/>
      <c r="N628" s="12"/>
      <c r="O628" s="12"/>
      <c r="P628" s="12"/>
      <c r="Q628" s="12"/>
      <c r="R628" s="12"/>
      <c r="S628" s="12"/>
      <c r="T628" s="12"/>
      <c r="U628" s="12"/>
      <c r="V628" s="12"/>
      <c r="W628" s="12"/>
      <c r="X628" s="12"/>
      <c r="Y628" s="12"/>
      <c r="Z628" s="12"/>
      <c r="AA628" s="12"/>
      <c r="AB628" s="12"/>
      <c r="AC628" s="12"/>
      <c r="AD628" s="12"/>
      <c r="AE628" s="12"/>
      <c r="AF628" s="12"/>
      <c r="AG628" s="36"/>
      <c r="AH628" s="12"/>
      <c r="AI628" s="12"/>
      <c r="AJ628" s="12"/>
    </row>
    <row r="629" ht="14.25" customHeight="1">
      <c r="A629" s="12"/>
      <c r="B629" s="12"/>
      <c r="C629" s="12"/>
      <c r="D629" s="12"/>
      <c r="E629" s="12"/>
      <c r="F629" s="12"/>
      <c r="G629" s="12"/>
      <c r="H629" s="12"/>
      <c r="I629" s="12"/>
      <c r="J629" s="12"/>
      <c r="K629" s="36"/>
      <c r="L629" s="36"/>
      <c r="M629" s="12"/>
      <c r="N629" s="12"/>
      <c r="O629" s="12"/>
      <c r="P629" s="12"/>
      <c r="Q629" s="12"/>
      <c r="R629" s="12"/>
      <c r="S629" s="12"/>
      <c r="T629" s="12"/>
      <c r="U629" s="12"/>
      <c r="V629" s="12"/>
      <c r="W629" s="12"/>
      <c r="X629" s="12"/>
      <c r="Y629" s="12"/>
      <c r="Z629" s="12"/>
      <c r="AA629" s="12"/>
      <c r="AB629" s="12"/>
      <c r="AC629" s="12"/>
      <c r="AD629" s="12"/>
      <c r="AE629" s="12"/>
      <c r="AF629" s="12"/>
      <c r="AG629" s="36"/>
      <c r="AH629" s="12"/>
      <c r="AI629" s="12"/>
      <c r="AJ629" s="12"/>
    </row>
    <row r="630" ht="14.25" customHeight="1">
      <c r="A630" s="12"/>
      <c r="B630" s="12"/>
      <c r="C630" s="12"/>
      <c r="D630" s="12"/>
      <c r="E630" s="12"/>
      <c r="F630" s="12"/>
      <c r="G630" s="12"/>
      <c r="H630" s="12"/>
      <c r="I630" s="12"/>
      <c r="J630" s="12"/>
      <c r="K630" s="36"/>
      <c r="L630" s="36"/>
      <c r="M630" s="12"/>
      <c r="N630" s="12"/>
      <c r="O630" s="12"/>
      <c r="P630" s="12"/>
      <c r="Q630" s="12"/>
      <c r="R630" s="12"/>
      <c r="S630" s="12"/>
      <c r="T630" s="12"/>
      <c r="U630" s="12"/>
      <c r="V630" s="12"/>
      <c r="W630" s="12"/>
      <c r="X630" s="12"/>
      <c r="Y630" s="12"/>
      <c r="Z630" s="12"/>
      <c r="AA630" s="12"/>
      <c r="AB630" s="12"/>
      <c r="AC630" s="12"/>
      <c r="AD630" s="12"/>
      <c r="AE630" s="12"/>
      <c r="AF630" s="12"/>
      <c r="AG630" s="36"/>
      <c r="AH630" s="12"/>
      <c r="AI630" s="12"/>
      <c r="AJ630" s="12"/>
    </row>
    <row r="631" ht="14.25" customHeight="1">
      <c r="A631" s="12"/>
      <c r="B631" s="12"/>
      <c r="C631" s="12"/>
      <c r="D631" s="12"/>
      <c r="E631" s="12"/>
      <c r="F631" s="12"/>
      <c r="G631" s="12"/>
      <c r="H631" s="12"/>
      <c r="I631" s="12"/>
      <c r="J631" s="12"/>
      <c r="K631" s="36"/>
      <c r="L631" s="36"/>
      <c r="M631" s="12"/>
      <c r="N631" s="12"/>
      <c r="O631" s="12"/>
      <c r="P631" s="12"/>
      <c r="Q631" s="12"/>
      <c r="R631" s="12"/>
      <c r="S631" s="12"/>
      <c r="T631" s="12"/>
      <c r="U631" s="12"/>
      <c r="V631" s="12"/>
      <c r="W631" s="12"/>
      <c r="X631" s="12"/>
      <c r="Y631" s="12"/>
      <c r="Z631" s="12"/>
      <c r="AA631" s="12"/>
      <c r="AB631" s="12"/>
      <c r="AC631" s="12"/>
      <c r="AD631" s="12"/>
      <c r="AE631" s="12"/>
      <c r="AF631" s="12"/>
      <c r="AG631" s="36"/>
      <c r="AH631" s="12"/>
      <c r="AI631" s="12"/>
      <c r="AJ631" s="12"/>
    </row>
    <row r="632" ht="14.25" customHeight="1">
      <c r="A632" s="12"/>
      <c r="B632" s="12"/>
      <c r="C632" s="12"/>
      <c r="D632" s="12"/>
      <c r="E632" s="12"/>
      <c r="F632" s="12"/>
      <c r="G632" s="12"/>
      <c r="H632" s="12"/>
      <c r="I632" s="12"/>
      <c r="J632" s="12"/>
      <c r="K632" s="36"/>
      <c r="L632" s="36"/>
      <c r="M632" s="12"/>
      <c r="N632" s="12"/>
      <c r="O632" s="12"/>
      <c r="P632" s="12"/>
      <c r="Q632" s="12"/>
      <c r="R632" s="12"/>
      <c r="S632" s="12"/>
      <c r="T632" s="12"/>
      <c r="U632" s="12"/>
      <c r="V632" s="12"/>
      <c r="W632" s="12"/>
      <c r="X632" s="12"/>
      <c r="Y632" s="12"/>
      <c r="Z632" s="12"/>
      <c r="AA632" s="12"/>
      <c r="AB632" s="12"/>
      <c r="AC632" s="12"/>
      <c r="AD632" s="12"/>
      <c r="AE632" s="12"/>
      <c r="AF632" s="12"/>
      <c r="AG632" s="36"/>
      <c r="AH632" s="12"/>
      <c r="AI632" s="12"/>
      <c r="AJ632" s="12"/>
    </row>
    <row r="633" ht="14.25" customHeight="1">
      <c r="A633" s="12"/>
      <c r="B633" s="12"/>
      <c r="C633" s="12"/>
      <c r="D633" s="12"/>
      <c r="E633" s="12"/>
      <c r="F633" s="12"/>
      <c r="G633" s="12"/>
      <c r="H633" s="12"/>
      <c r="I633" s="12"/>
      <c r="J633" s="12"/>
      <c r="K633" s="36"/>
      <c r="L633" s="36"/>
      <c r="M633" s="12"/>
      <c r="N633" s="12"/>
      <c r="O633" s="12"/>
      <c r="P633" s="12"/>
      <c r="Q633" s="12"/>
      <c r="R633" s="12"/>
      <c r="S633" s="12"/>
      <c r="T633" s="12"/>
      <c r="U633" s="12"/>
      <c r="V633" s="12"/>
      <c r="W633" s="12"/>
      <c r="X633" s="12"/>
      <c r="Y633" s="12"/>
      <c r="Z633" s="12"/>
      <c r="AA633" s="12"/>
      <c r="AB633" s="12"/>
      <c r="AC633" s="12"/>
      <c r="AD633" s="12"/>
      <c r="AE633" s="12"/>
      <c r="AF633" s="12"/>
      <c r="AG633" s="36"/>
      <c r="AH633" s="12"/>
      <c r="AI633" s="12"/>
      <c r="AJ633" s="12"/>
    </row>
    <row r="634" ht="14.25" customHeight="1">
      <c r="A634" s="12"/>
      <c r="B634" s="12"/>
      <c r="C634" s="12"/>
      <c r="D634" s="12"/>
      <c r="E634" s="12"/>
      <c r="F634" s="12"/>
      <c r="G634" s="12"/>
      <c r="H634" s="12"/>
      <c r="I634" s="12"/>
      <c r="J634" s="12"/>
      <c r="K634" s="36"/>
      <c r="L634" s="36"/>
      <c r="M634" s="12"/>
      <c r="N634" s="12"/>
      <c r="O634" s="12"/>
      <c r="P634" s="12"/>
      <c r="Q634" s="12"/>
      <c r="R634" s="12"/>
      <c r="S634" s="12"/>
      <c r="T634" s="12"/>
      <c r="U634" s="12"/>
      <c r="V634" s="12"/>
      <c r="W634" s="12"/>
      <c r="X634" s="12"/>
      <c r="Y634" s="12"/>
      <c r="Z634" s="12"/>
      <c r="AA634" s="12"/>
      <c r="AB634" s="12"/>
      <c r="AC634" s="12"/>
      <c r="AD634" s="12"/>
      <c r="AE634" s="12"/>
      <c r="AF634" s="12"/>
      <c r="AG634" s="36"/>
      <c r="AH634" s="12"/>
      <c r="AI634" s="12"/>
      <c r="AJ634" s="12"/>
    </row>
    <row r="635" ht="14.25" customHeight="1">
      <c r="A635" s="12"/>
      <c r="B635" s="12"/>
      <c r="C635" s="12"/>
      <c r="D635" s="12"/>
      <c r="E635" s="12"/>
      <c r="F635" s="12"/>
      <c r="G635" s="12"/>
      <c r="H635" s="12"/>
      <c r="I635" s="12"/>
      <c r="J635" s="12"/>
      <c r="K635" s="36"/>
      <c r="L635" s="36"/>
      <c r="M635" s="12"/>
      <c r="N635" s="12"/>
      <c r="O635" s="12"/>
      <c r="P635" s="12"/>
      <c r="Q635" s="12"/>
      <c r="R635" s="12"/>
      <c r="S635" s="12"/>
      <c r="T635" s="12"/>
      <c r="U635" s="12"/>
      <c r="V635" s="12"/>
      <c r="W635" s="12"/>
      <c r="X635" s="12"/>
      <c r="Y635" s="12"/>
      <c r="Z635" s="12"/>
      <c r="AA635" s="12"/>
      <c r="AB635" s="12"/>
      <c r="AC635" s="12"/>
      <c r="AD635" s="12"/>
      <c r="AE635" s="12"/>
      <c r="AF635" s="12"/>
      <c r="AG635" s="36"/>
      <c r="AH635" s="12"/>
      <c r="AI635" s="12"/>
      <c r="AJ635" s="12"/>
    </row>
    <row r="636" ht="14.25" customHeight="1">
      <c r="A636" s="12"/>
      <c r="B636" s="12"/>
      <c r="C636" s="12"/>
      <c r="D636" s="12"/>
      <c r="E636" s="12"/>
      <c r="F636" s="12"/>
      <c r="G636" s="12"/>
      <c r="H636" s="12"/>
      <c r="I636" s="12"/>
      <c r="J636" s="12"/>
      <c r="K636" s="36"/>
      <c r="L636" s="36"/>
      <c r="M636" s="12"/>
      <c r="N636" s="12"/>
      <c r="O636" s="12"/>
      <c r="P636" s="12"/>
      <c r="Q636" s="12"/>
      <c r="R636" s="12"/>
      <c r="S636" s="12"/>
      <c r="T636" s="12"/>
      <c r="U636" s="12"/>
      <c r="V636" s="12"/>
      <c r="W636" s="12"/>
      <c r="X636" s="12"/>
      <c r="Y636" s="12"/>
      <c r="Z636" s="12"/>
      <c r="AA636" s="12"/>
      <c r="AB636" s="12"/>
      <c r="AC636" s="12"/>
      <c r="AD636" s="12"/>
      <c r="AE636" s="12"/>
      <c r="AF636" s="12"/>
      <c r="AG636" s="36"/>
      <c r="AH636" s="12"/>
      <c r="AI636" s="12"/>
      <c r="AJ636" s="12"/>
    </row>
    <row r="637" ht="14.25" customHeight="1">
      <c r="A637" s="12"/>
      <c r="B637" s="12"/>
      <c r="C637" s="12"/>
      <c r="D637" s="12"/>
      <c r="E637" s="12"/>
      <c r="F637" s="12"/>
      <c r="G637" s="12"/>
      <c r="H637" s="12"/>
      <c r="I637" s="12"/>
      <c r="J637" s="12"/>
      <c r="K637" s="36"/>
      <c r="L637" s="36"/>
      <c r="M637" s="12"/>
      <c r="N637" s="12"/>
      <c r="O637" s="12"/>
      <c r="P637" s="12"/>
      <c r="Q637" s="12"/>
      <c r="R637" s="12"/>
      <c r="S637" s="12"/>
      <c r="T637" s="12"/>
      <c r="U637" s="12"/>
      <c r="V637" s="12"/>
      <c r="W637" s="12"/>
      <c r="X637" s="12"/>
      <c r="Y637" s="12"/>
      <c r="Z637" s="12"/>
      <c r="AA637" s="12"/>
      <c r="AB637" s="12"/>
      <c r="AC637" s="12"/>
      <c r="AD637" s="12"/>
      <c r="AE637" s="12"/>
      <c r="AF637" s="12"/>
      <c r="AG637" s="36"/>
      <c r="AH637" s="12"/>
      <c r="AI637" s="12"/>
      <c r="AJ637" s="12"/>
    </row>
    <row r="638" ht="14.25" customHeight="1">
      <c r="A638" s="12"/>
      <c r="B638" s="12"/>
      <c r="C638" s="12"/>
      <c r="D638" s="12"/>
      <c r="E638" s="12"/>
      <c r="F638" s="12"/>
      <c r="G638" s="12"/>
      <c r="H638" s="12"/>
      <c r="I638" s="12"/>
      <c r="J638" s="12"/>
      <c r="K638" s="36"/>
      <c r="L638" s="36"/>
      <c r="M638" s="12"/>
      <c r="N638" s="12"/>
      <c r="O638" s="12"/>
      <c r="P638" s="12"/>
      <c r="Q638" s="12"/>
      <c r="R638" s="12"/>
      <c r="S638" s="12"/>
      <c r="T638" s="12"/>
      <c r="U638" s="12"/>
      <c r="V638" s="12"/>
      <c r="W638" s="12"/>
      <c r="X638" s="12"/>
      <c r="Y638" s="12"/>
      <c r="Z638" s="12"/>
      <c r="AA638" s="12"/>
      <c r="AB638" s="12"/>
      <c r="AC638" s="12"/>
      <c r="AD638" s="12"/>
      <c r="AE638" s="12"/>
      <c r="AF638" s="12"/>
      <c r="AG638" s="36"/>
      <c r="AH638" s="12"/>
      <c r="AI638" s="12"/>
      <c r="AJ638" s="12"/>
    </row>
    <row r="639" ht="14.25" customHeight="1">
      <c r="A639" s="12"/>
      <c r="B639" s="12"/>
      <c r="C639" s="12"/>
      <c r="D639" s="12"/>
      <c r="E639" s="12"/>
      <c r="F639" s="12"/>
      <c r="G639" s="12"/>
      <c r="H639" s="12"/>
      <c r="I639" s="12"/>
      <c r="J639" s="12"/>
      <c r="K639" s="36"/>
      <c r="L639" s="36"/>
      <c r="M639" s="12"/>
      <c r="N639" s="12"/>
      <c r="O639" s="12"/>
      <c r="P639" s="12"/>
      <c r="Q639" s="12"/>
      <c r="R639" s="12"/>
      <c r="S639" s="12"/>
      <c r="T639" s="12"/>
      <c r="U639" s="12"/>
      <c r="V639" s="12"/>
      <c r="W639" s="12"/>
      <c r="X639" s="12"/>
      <c r="Y639" s="12"/>
      <c r="Z639" s="12"/>
      <c r="AA639" s="12"/>
      <c r="AB639" s="12"/>
      <c r="AC639" s="12"/>
      <c r="AD639" s="12"/>
      <c r="AE639" s="12"/>
      <c r="AF639" s="12"/>
      <c r="AG639" s="36"/>
      <c r="AH639" s="12"/>
      <c r="AI639" s="12"/>
      <c r="AJ639" s="12"/>
    </row>
    <row r="640" ht="14.25" customHeight="1">
      <c r="A640" s="12"/>
      <c r="B640" s="12"/>
      <c r="C640" s="12"/>
      <c r="D640" s="12"/>
      <c r="E640" s="12"/>
      <c r="F640" s="12"/>
      <c r="G640" s="12"/>
      <c r="H640" s="12"/>
      <c r="I640" s="12"/>
      <c r="J640" s="12"/>
      <c r="K640" s="36"/>
      <c r="L640" s="36"/>
      <c r="M640" s="12"/>
      <c r="N640" s="12"/>
      <c r="O640" s="12"/>
      <c r="P640" s="12"/>
      <c r="Q640" s="12"/>
      <c r="R640" s="12"/>
      <c r="S640" s="12"/>
      <c r="T640" s="12"/>
      <c r="U640" s="12"/>
      <c r="V640" s="12"/>
      <c r="W640" s="12"/>
      <c r="X640" s="12"/>
      <c r="Y640" s="12"/>
      <c r="Z640" s="12"/>
      <c r="AA640" s="12"/>
      <c r="AB640" s="12"/>
      <c r="AC640" s="12"/>
      <c r="AD640" s="12"/>
      <c r="AE640" s="12"/>
      <c r="AF640" s="12"/>
      <c r="AG640" s="36"/>
      <c r="AH640" s="12"/>
      <c r="AI640" s="12"/>
      <c r="AJ640" s="12"/>
    </row>
    <row r="641" ht="14.25" customHeight="1">
      <c r="A641" s="12"/>
      <c r="B641" s="12"/>
      <c r="C641" s="12"/>
      <c r="D641" s="12"/>
      <c r="E641" s="12"/>
      <c r="F641" s="12"/>
      <c r="G641" s="12"/>
      <c r="H641" s="12"/>
      <c r="I641" s="12"/>
      <c r="J641" s="12"/>
      <c r="K641" s="36"/>
      <c r="L641" s="36"/>
      <c r="M641" s="12"/>
      <c r="N641" s="12"/>
      <c r="O641" s="12"/>
      <c r="P641" s="12"/>
      <c r="Q641" s="12"/>
      <c r="R641" s="12"/>
      <c r="S641" s="12"/>
      <c r="T641" s="12"/>
      <c r="U641" s="12"/>
      <c r="V641" s="12"/>
      <c r="W641" s="12"/>
      <c r="X641" s="12"/>
      <c r="Y641" s="12"/>
      <c r="Z641" s="12"/>
      <c r="AA641" s="12"/>
      <c r="AB641" s="12"/>
      <c r="AC641" s="12"/>
      <c r="AD641" s="12"/>
      <c r="AE641" s="12"/>
      <c r="AF641" s="12"/>
      <c r="AG641" s="36"/>
      <c r="AH641" s="12"/>
      <c r="AI641" s="12"/>
      <c r="AJ641" s="12"/>
    </row>
    <row r="642" ht="14.25" customHeight="1">
      <c r="A642" s="12"/>
      <c r="B642" s="12"/>
      <c r="C642" s="12"/>
      <c r="D642" s="12"/>
      <c r="E642" s="12"/>
      <c r="F642" s="12"/>
      <c r="G642" s="12"/>
      <c r="H642" s="12"/>
      <c r="I642" s="12"/>
      <c r="J642" s="12"/>
      <c r="K642" s="36"/>
      <c r="L642" s="36"/>
      <c r="M642" s="12"/>
      <c r="N642" s="12"/>
      <c r="O642" s="12"/>
      <c r="P642" s="12"/>
      <c r="Q642" s="12"/>
      <c r="R642" s="12"/>
      <c r="S642" s="12"/>
      <c r="T642" s="12"/>
      <c r="U642" s="12"/>
      <c r="V642" s="12"/>
      <c r="W642" s="12"/>
      <c r="X642" s="12"/>
      <c r="Y642" s="12"/>
      <c r="Z642" s="12"/>
      <c r="AA642" s="12"/>
      <c r="AB642" s="12"/>
      <c r="AC642" s="12"/>
      <c r="AD642" s="12"/>
      <c r="AE642" s="12"/>
      <c r="AF642" s="12"/>
      <c r="AG642" s="36"/>
      <c r="AH642" s="12"/>
      <c r="AI642" s="12"/>
      <c r="AJ642" s="12"/>
    </row>
    <row r="643" ht="14.25" customHeight="1">
      <c r="A643" s="12"/>
      <c r="B643" s="12"/>
      <c r="C643" s="12"/>
      <c r="D643" s="12"/>
      <c r="E643" s="12"/>
      <c r="F643" s="12"/>
      <c r="G643" s="12"/>
      <c r="H643" s="12"/>
      <c r="I643" s="12"/>
      <c r="J643" s="12"/>
      <c r="K643" s="36"/>
      <c r="L643" s="36"/>
      <c r="M643" s="12"/>
      <c r="N643" s="12"/>
      <c r="O643" s="12"/>
      <c r="P643" s="12"/>
      <c r="Q643" s="12"/>
      <c r="R643" s="12"/>
      <c r="S643" s="12"/>
      <c r="T643" s="12"/>
      <c r="U643" s="12"/>
      <c r="V643" s="12"/>
      <c r="W643" s="12"/>
      <c r="X643" s="12"/>
      <c r="Y643" s="12"/>
      <c r="Z643" s="12"/>
      <c r="AA643" s="12"/>
      <c r="AB643" s="12"/>
      <c r="AC643" s="12"/>
      <c r="AD643" s="12"/>
      <c r="AE643" s="12"/>
      <c r="AF643" s="12"/>
      <c r="AG643" s="36"/>
      <c r="AH643" s="12"/>
      <c r="AI643" s="12"/>
      <c r="AJ643" s="12"/>
    </row>
    <row r="644" ht="14.25" customHeight="1">
      <c r="A644" s="12"/>
      <c r="B644" s="12"/>
      <c r="C644" s="12"/>
      <c r="D644" s="12"/>
      <c r="E644" s="12"/>
      <c r="F644" s="12"/>
      <c r="G644" s="12"/>
      <c r="H644" s="12"/>
      <c r="I644" s="12"/>
      <c r="J644" s="12"/>
      <c r="K644" s="36"/>
      <c r="L644" s="12"/>
      <c r="M644" s="12"/>
      <c r="N644" s="12"/>
      <c r="O644" s="12"/>
      <c r="P644" s="12"/>
      <c r="Q644" s="12"/>
      <c r="R644" s="12"/>
      <c r="S644" s="12"/>
      <c r="T644" s="12"/>
      <c r="U644" s="12"/>
      <c r="V644" s="12"/>
      <c r="W644" s="12"/>
      <c r="X644" s="12"/>
      <c r="Y644" s="12"/>
      <c r="Z644" s="12"/>
      <c r="AA644" s="12"/>
      <c r="AB644" s="12"/>
      <c r="AC644" s="12"/>
      <c r="AD644" s="12"/>
      <c r="AE644" s="12"/>
      <c r="AF644" s="12"/>
      <c r="AG644" s="36"/>
      <c r="AH644" s="12"/>
      <c r="AI644" s="12"/>
      <c r="AJ644" s="12"/>
    </row>
    <row r="645" ht="14.25" customHeight="1">
      <c r="A645" s="12"/>
      <c r="B645" s="12"/>
      <c r="C645" s="12"/>
      <c r="D645" s="12"/>
      <c r="E645" s="12"/>
      <c r="F645" s="12"/>
      <c r="G645" s="12"/>
      <c r="H645" s="12"/>
      <c r="I645" s="12"/>
      <c r="J645" s="12"/>
      <c r="K645" s="36"/>
      <c r="L645" s="12"/>
      <c r="M645" s="12"/>
      <c r="N645" s="12"/>
      <c r="O645" s="12"/>
      <c r="P645" s="12"/>
      <c r="Q645" s="12"/>
      <c r="R645" s="12"/>
      <c r="S645" s="12"/>
      <c r="T645" s="12"/>
      <c r="U645" s="12"/>
      <c r="V645" s="12"/>
      <c r="W645" s="12"/>
      <c r="X645" s="12"/>
      <c r="Y645" s="12"/>
      <c r="Z645" s="12"/>
      <c r="AA645" s="12"/>
      <c r="AB645" s="12"/>
      <c r="AC645" s="12"/>
      <c r="AD645" s="12"/>
      <c r="AE645" s="12"/>
      <c r="AF645" s="12"/>
      <c r="AG645" s="36"/>
      <c r="AH645" s="12"/>
      <c r="AI645" s="12"/>
      <c r="AJ645" s="12"/>
    </row>
    <row r="646" ht="14.25" customHeight="1">
      <c r="A646" s="12"/>
      <c r="B646" s="12"/>
      <c r="C646" s="12"/>
      <c r="D646" s="12"/>
      <c r="E646" s="12"/>
      <c r="F646" s="12"/>
      <c r="G646" s="12"/>
      <c r="H646" s="12"/>
      <c r="I646" s="12"/>
      <c r="J646" s="12"/>
      <c r="K646" s="36"/>
      <c r="L646" s="12"/>
      <c r="M646" s="12"/>
      <c r="N646" s="12"/>
      <c r="O646" s="12"/>
      <c r="P646" s="12"/>
      <c r="Q646" s="12"/>
      <c r="R646" s="12"/>
      <c r="S646" s="12"/>
      <c r="T646" s="12"/>
      <c r="U646" s="12"/>
      <c r="V646" s="12"/>
      <c r="W646" s="12"/>
      <c r="X646" s="12"/>
      <c r="Y646" s="12"/>
      <c r="Z646" s="12"/>
      <c r="AA646" s="12"/>
      <c r="AB646" s="12"/>
      <c r="AC646" s="12"/>
      <c r="AD646" s="12"/>
      <c r="AE646" s="12"/>
      <c r="AF646" s="12"/>
      <c r="AG646" s="36"/>
      <c r="AH646" s="12"/>
      <c r="AI646" s="12"/>
      <c r="AJ646" s="12"/>
    </row>
    <row r="647" ht="14.25" customHeight="1">
      <c r="A647" s="12"/>
      <c r="B647" s="12"/>
      <c r="C647" s="12"/>
      <c r="D647" s="12"/>
      <c r="E647" s="12"/>
      <c r="F647" s="12"/>
      <c r="G647" s="12"/>
      <c r="H647" s="12"/>
      <c r="I647" s="12"/>
      <c r="J647" s="12"/>
      <c r="K647" s="36"/>
      <c r="L647" s="12"/>
      <c r="M647" s="12"/>
      <c r="N647" s="12"/>
      <c r="O647" s="12"/>
      <c r="P647" s="12"/>
      <c r="Q647" s="12"/>
      <c r="R647" s="12"/>
      <c r="S647" s="12"/>
      <c r="T647" s="12"/>
      <c r="U647" s="12"/>
      <c r="V647" s="12"/>
      <c r="W647" s="12"/>
      <c r="X647" s="12"/>
      <c r="Y647" s="12"/>
      <c r="Z647" s="12"/>
      <c r="AA647" s="12"/>
      <c r="AB647" s="12"/>
      <c r="AC647" s="12"/>
      <c r="AD647" s="12"/>
      <c r="AE647" s="12"/>
      <c r="AF647" s="12"/>
      <c r="AG647" s="36"/>
      <c r="AH647" s="12"/>
      <c r="AI647" s="12"/>
      <c r="AJ647" s="12"/>
    </row>
    <row r="648" ht="14.25" customHeight="1">
      <c r="A648" s="12"/>
      <c r="B648" s="12"/>
      <c r="C648" s="12"/>
      <c r="D648" s="12"/>
      <c r="E648" s="12"/>
      <c r="F648" s="12"/>
      <c r="G648" s="12"/>
      <c r="H648" s="12"/>
      <c r="I648" s="12"/>
      <c r="J648" s="12"/>
      <c r="K648" s="36"/>
      <c r="L648" s="12"/>
      <c r="M648" s="12"/>
      <c r="N648" s="12"/>
      <c r="O648" s="12"/>
      <c r="P648" s="12"/>
      <c r="Q648" s="12"/>
      <c r="R648" s="12"/>
      <c r="S648" s="12"/>
      <c r="T648" s="12"/>
      <c r="U648" s="12"/>
      <c r="V648" s="12"/>
      <c r="W648" s="12"/>
      <c r="X648" s="12"/>
      <c r="Y648" s="12"/>
      <c r="Z648" s="12"/>
      <c r="AA648" s="12"/>
      <c r="AB648" s="12"/>
      <c r="AC648" s="12"/>
      <c r="AD648" s="12"/>
      <c r="AE648" s="12"/>
      <c r="AF648" s="12"/>
      <c r="AG648" s="36"/>
      <c r="AH648" s="12"/>
      <c r="AI648" s="12"/>
      <c r="AJ648" s="12"/>
    </row>
    <row r="649" ht="14.25" customHeight="1">
      <c r="A649" s="12"/>
      <c r="B649" s="12"/>
      <c r="C649" s="12"/>
      <c r="D649" s="12"/>
      <c r="E649" s="12"/>
      <c r="F649" s="12"/>
      <c r="G649" s="12"/>
      <c r="H649" s="12"/>
      <c r="I649" s="12"/>
      <c r="J649" s="12"/>
      <c r="K649" s="36"/>
      <c r="L649" s="12"/>
      <c r="M649" s="12"/>
      <c r="N649" s="12"/>
      <c r="O649" s="12"/>
      <c r="P649" s="12"/>
      <c r="Q649" s="12"/>
      <c r="R649" s="12"/>
      <c r="S649" s="12"/>
      <c r="T649" s="12"/>
      <c r="U649" s="12"/>
      <c r="V649" s="12"/>
      <c r="W649" s="12"/>
      <c r="X649" s="12"/>
      <c r="Y649" s="12"/>
      <c r="Z649" s="12"/>
      <c r="AA649" s="12"/>
      <c r="AB649" s="12"/>
      <c r="AC649" s="12"/>
      <c r="AD649" s="12"/>
      <c r="AE649" s="12"/>
      <c r="AF649" s="12"/>
      <c r="AG649" s="36"/>
      <c r="AH649" s="12"/>
      <c r="AI649" s="12"/>
      <c r="AJ649" s="12"/>
    </row>
    <row r="650" ht="14.25" customHeight="1">
      <c r="A650" s="12"/>
      <c r="B650" s="12"/>
      <c r="C650" s="12"/>
      <c r="D650" s="12"/>
      <c r="E650" s="12"/>
      <c r="F650" s="12"/>
      <c r="G650" s="12"/>
      <c r="H650" s="12"/>
      <c r="I650" s="12"/>
      <c r="J650" s="12"/>
      <c r="K650" s="36"/>
      <c r="L650" s="12"/>
      <c r="M650" s="12"/>
      <c r="N650" s="12"/>
      <c r="O650" s="12"/>
      <c r="P650" s="12"/>
      <c r="Q650" s="12"/>
      <c r="R650" s="12"/>
      <c r="S650" s="12"/>
      <c r="T650" s="12"/>
      <c r="U650" s="12"/>
      <c r="V650" s="12"/>
      <c r="W650" s="12"/>
      <c r="X650" s="12"/>
      <c r="Y650" s="12"/>
      <c r="Z650" s="12"/>
      <c r="AA650" s="12"/>
      <c r="AB650" s="12"/>
      <c r="AC650" s="12"/>
      <c r="AD650" s="12"/>
      <c r="AE650" s="12"/>
      <c r="AF650" s="12"/>
      <c r="AG650" s="36"/>
      <c r="AH650" s="12"/>
      <c r="AI650" s="12"/>
      <c r="AJ650" s="12"/>
    </row>
    <row r="651" ht="14.25" customHeight="1">
      <c r="A651" s="12"/>
      <c r="B651" s="12"/>
      <c r="C651" s="12"/>
      <c r="D651" s="12"/>
      <c r="E651" s="12"/>
      <c r="F651" s="12"/>
      <c r="G651" s="12"/>
      <c r="H651" s="12"/>
      <c r="I651" s="12"/>
      <c r="J651" s="12"/>
      <c r="K651" s="36"/>
      <c r="L651" s="12"/>
      <c r="M651" s="12"/>
      <c r="N651" s="12"/>
      <c r="O651" s="12"/>
      <c r="P651" s="12"/>
      <c r="Q651" s="12"/>
      <c r="R651" s="12"/>
      <c r="S651" s="12"/>
      <c r="T651" s="12"/>
      <c r="U651" s="12"/>
      <c r="V651" s="12"/>
      <c r="W651" s="12"/>
      <c r="X651" s="12"/>
      <c r="Y651" s="12"/>
      <c r="Z651" s="12"/>
      <c r="AA651" s="12"/>
      <c r="AB651" s="12"/>
      <c r="AC651" s="12"/>
      <c r="AD651" s="12"/>
      <c r="AE651" s="12"/>
      <c r="AF651" s="12"/>
      <c r="AG651" s="36"/>
      <c r="AH651" s="12"/>
      <c r="AI651" s="12"/>
      <c r="AJ651" s="12"/>
    </row>
    <row r="652" ht="14.25" customHeight="1">
      <c r="A652" s="12"/>
      <c r="B652" s="12"/>
      <c r="C652" s="12"/>
      <c r="D652" s="12"/>
      <c r="E652" s="12"/>
      <c r="F652" s="12"/>
      <c r="G652" s="12"/>
      <c r="H652" s="12"/>
      <c r="I652" s="12"/>
      <c r="J652" s="12"/>
      <c r="K652" s="36"/>
      <c r="L652" s="12"/>
      <c r="M652" s="12"/>
      <c r="N652" s="12"/>
      <c r="O652" s="12"/>
      <c r="P652" s="12"/>
      <c r="Q652" s="12"/>
      <c r="R652" s="12"/>
      <c r="S652" s="12"/>
      <c r="T652" s="12"/>
      <c r="U652" s="12"/>
      <c r="V652" s="12"/>
      <c r="W652" s="12"/>
      <c r="X652" s="12"/>
      <c r="Y652" s="12"/>
      <c r="Z652" s="12"/>
      <c r="AA652" s="12"/>
      <c r="AB652" s="12"/>
      <c r="AC652" s="12"/>
      <c r="AD652" s="12"/>
      <c r="AE652" s="12"/>
      <c r="AF652" s="12"/>
      <c r="AG652" s="36"/>
      <c r="AH652" s="12"/>
      <c r="AI652" s="12"/>
      <c r="AJ652" s="12"/>
    </row>
    <row r="653" ht="14.25" customHeight="1">
      <c r="A653" s="12"/>
      <c r="B653" s="12"/>
      <c r="C653" s="12"/>
      <c r="D653" s="12"/>
      <c r="E653" s="12"/>
      <c r="F653" s="12"/>
      <c r="G653" s="12"/>
      <c r="H653" s="12"/>
      <c r="I653" s="12"/>
      <c r="J653" s="12"/>
      <c r="K653" s="36"/>
      <c r="L653" s="12"/>
      <c r="M653" s="12"/>
      <c r="N653" s="12"/>
      <c r="O653" s="12"/>
      <c r="P653" s="12"/>
      <c r="Q653" s="12"/>
      <c r="R653" s="12"/>
      <c r="S653" s="12"/>
      <c r="T653" s="12"/>
      <c r="U653" s="12"/>
      <c r="V653" s="12"/>
      <c r="W653" s="12"/>
      <c r="X653" s="12"/>
      <c r="Y653" s="12"/>
      <c r="Z653" s="12"/>
      <c r="AA653" s="12"/>
      <c r="AB653" s="12"/>
      <c r="AC653" s="12"/>
      <c r="AD653" s="12"/>
      <c r="AE653" s="12"/>
      <c r="AF653" s="12"/>
      <c r="AG653" s="36"/>
      <c r="AH653" s="12"/>
      <c r="AI653" s="12"/>
      <c r="AJ653" s="12"/>
    </row>
    <row r="654" ht="14.25" customHeight="1">
      <c r="A654" s="12"/>
      <c r="B654" s="12"/>
      <c r="C654" s="12"/>
      <c r="D654" s="12"/>
      <c r="E654" s="12"/>
      <c r="F654" s="12"/>
      <c r="G654" s="12"/>
      <c r="H654" s="12"/>
      <c r="I654" s="12"/>
      <c r="J654" s="12"/>
      <c r="K654" s="36"/>
      <c r="L654" s="12"/>
      <c r="M654" s="12"/>
      <c r="N654" s="12"/>
      <c r="O654" s="12"/>
      <c r="P654" s="12"/>
      <c r="Q654" s="12"/>
      <c r="R654" s="12"/>
      <c r="S654" s="12"/>
      <c r="T654" s="12"/>
      <c r="U654" s="12"/>
      <c r="V654" s="12"/>
      <c r="W654" s="12"/>
      <c r="X654" s="12"/>
      <c r="Y654" s="12"/>
      <c r="Z654" s="12"/>
      <c r="AA654" s="12"/>
      <c r="AB654" s="12"/>
      <c r="AC654" s="12"/>
      <c r="AD654" s="12"/>
      <c r="AE654" s="12"/>
      <c r="AF654" s="12"/>
      <c r="AG654" s="36"/>
      <c r="AH654" s="12"/>
      <c r="AI654" s="12"/>
      <c r="AJ654" s="12"/>
    </row>
    <row r="655" ht="14.25" customHeight="1">
      <c r="A655" s="12"/>
      <c r="B655" s="12"/>
      <c r="C655" s="12"/>
      <c r="D655" s="12"/>
      <c r="E655" s="12"/>
      <c r="F655" s="12"/>
      <c r="G655" s="12"/>
      <c r="H655" s="12"/>
      <c r="I655" s="12"/>
      <c r="J655" s="12"/>
      <c r="K655" s="36"/>
      <c r="L655" s="12"/>
      <c r="M655" s="12"/>
      <c r="N655" s="12"/>
      <c r="O655" s="12"/>
      <c r="P655" s="12"/>
      <c r="Q655" s="12"/>
      <c r="R655" s="12"/>
      <c r="S655" s="12"/>
      <c r="T655" s="12"/>
      <c r="U655" s="12"/>
      <c r="V655" s="12"/>
      <c r="W655" s="12"/>
      <c r="X655" s="12"/>
      <c r="Y655" s="12"/>
      <c r="Z655" s="12"/>
      <c r="AA655" s="12"/>
      <c r="AB655" s="12"/>
      <c r="AC655" s="12"/>
      <c r="AD655" s="12"/>
      <c r="AE655" s="12"/>
      <c r="AF655" s="12"/>
      <c r="AG655" s="36"/>
      <c r="AH655" s="12"/>
      <c r="AI655" s="12"/>
      <c r="AJ655" s="12"/>
    </row>
    <row r="656" ht="14.25" customHeight="1">
      <c r="A656" s="12"/>
      <c r="B656" s="12"/>
      <c r="C656" s="12"/>
      <c r="D656" s="12"/>
      <c r="E656" s="12"/>
      <c r="F656" s="12"/>
      <c r="G656" s="12"/>
      <c r="H656" s="12"/>
      <c r="I656" s="12"/>
      <c r="J656" s="12"/>
      <c r="K656" s="36"/>
      <c r="L656" s="12"/>
      <c r="M656" s="12"/>
      <c r="N656" s="12"/>
      <c r="O656" s="12"/>
      <c r="P656" s="12"/>
      <c r="Q656" s="12"/>
      <c r="R656" s="12"/>
      <c r="S656" s="12"/>
      <c r="T656" s="12"/>
      <c r="U656" s="12"/>
      <c r="V656" s="12"/>
      <c r="W656" s="12"/>
      <c r="X656" s="12"/>
      <c r="Y656" s="12"/>
      <c r="Z656" s="12"/>
      <c r="AA656" s="12"/>
      <c r="AB656" s="12"/>
      <c r="AC656" s="12"/>
      <c r="AD656" s="12"/>
      <c r="AE656" s="12"/>
      <c r="AF656" s="12"/>
      <c r="AG656" s="36"/>
      <c r="AH656" s="12"/>
      <c r="AI656" s="12"/>
      <c r="AJ656" s="12"/>
    </row>
    <row r="657" ht="14.25" customHeight="1">
      <c r="A657" s="12"/>
      <c r="B657" s="12"/>
      <c r="C657" s="12"/>
      <c r="D657" s="12"/>
      <c r="E657" s="12"/>
      <c r="F657" s="12"/>
      <c r="G657" s="12"/>
      <c r="H657" s="12"/>
      <c r="I657" s="12"/>
      <c r="J657" s="12"/>
      <c r="K657" s="36"/>
      <c r="L657" s="12"/>
      <c r="M657" s="12"/>
      <c r="N657" s="12"/>
      <c r="O657" s="12"/>
      <c r="P657" s="12"/>
      <c r="Q657" s="12"/>
      <c r="R657" s="12"/>
      <c r="S657" s="12"/>
      <c r="T657" s="12"/>
      <c r="U657" s="12"/>
      <c r="V657" s="12"/>
      <c r="W657" s="12"/>
      <c r="X657" s="12"/>
      <c r="Y657" s="12"/>
      <c r="Z657" s="12"/>
      <c r="AA657" s="12"/>
      <c r="AB657" s="12"/>
      <c r="AC657" s="12"/>
      <c r="AD657" s="12"/>
      <c r="AE657" s="12"/>
      <c r="AF657" s="12"/>
      <c r="AG657" s="36"/>
      <c r="AH657" s="12"/>
      <c r="AI657" s="12"/>
      <c r="AJ657" s="12"/>
    </row>
    <row r="658" ht="14.25" customHeight="1">
      <c r="A658" s="12"/>
      <c r="B658" s="12"/>
      <c r="C658" s="12"/>
      <c r="D658" s="12"/>
      <c r="E658" s="12"/>
      <c r="F658" s="12"/>
      <c r="G658" s="12"/>
      <c r="H658" s="12"/>
      <c r="I658" s="12"/>
      <c r="J658" s="12"/>
      <c r="K658" s="36"/>
      <c r="L658" s="12"/>
      <c r="M658" s="12"/>
      <c r="N658" s="12"/>
      <c r="O658" s="12"/>
      <c r="P658" s="12"/>
      <c r="Q658" s="12"/>
      <c r="R658" s="12"/>
      <c r="S658" s="12"/>
      <c r="T658" s="12"/>
      <c r="U658" s="12"/>
      <c r="V658" s="12"/>
      <c r="W658" s="12"/>
      <c r="X658" s="12"/>
      <c r="Y658" s="12"/>
      <c r="Z658" s="12"/>
      <c r="AA658" s="12"/>
      <c r="AB658" s="12"/>
      <c r="AC658" s="12"/>
      <c r="AD658" s="12"/>
      <c r="AE658" s="12"/>
      <c r="AF658" s="12"/>
      <c r="AG658" s="36"/>
      <c r="AH658" s="12"/>
      <c r="AI658" s="12"/>
      <c r="AJ658" s="12"/>
    </row>
    <row r="659" ht="14.25" customHeight="1">
      <c r="A659" s="12"/>
      <c r="B659" s="12"/>
      <c r="C659" s="12"/>
      <c r="D659" s="12"/>
      <c r="E659" s="12"/>
      <c r="F659" s="12"/>
      <c r="G659" s="12"/>
      <c r="H659" s="12"/>
      <c r="I659" s="12"/>
      <c r="J659" s="12"/>
      <c r="K659" s="36"/>
      <c r="L659" s="12"/>
      <c r="M659" s="12"/>
      <c r="N659" s="12"/>
      <c r="O659" s="12"/>
      <c r="P659" s="12"/>
      <c r="Q659" s="12"/>
      <c r="R659" s="12"/>
      <c r="S659" s="12"/>
      <c r="T659" s="12"/>
      <c r="U659" s="12"/>
      <c r="V659" s="12"/>
      <c r="W659" s="12"/>
      <c r="X659" s="12"/>
      <c r="Y659" s="12"/>
      <c r="Z659" s="12"/>
      <c r="AA659" s="12"/>
      <c r="AB659" s="12"/>
      <c r="AC659" s="12"/>
      <c r="AD659" s="12"/>
      <c r="AE659" s="12"/>
      <c r="AF659" s="12"/>
      <c r="AG659" s="36"/>
      <c r="AH659" s="12"/>
      <c r="AI659" s="12"/>
      <c r="AJ659" s="12"/>
    </row>
    <row r="660" ht="14.25" customHeight="1">
      <c r="A660" s="12"/>
      <c r="B660" s="12"/>
      <c r="C660" s="12"/>
      <c r="D660" s="12"/>
      <c r="E660" s="12"/>
      <c r="F660" s="12"/>
      <c r="G660" s="12"/>
      <c r="H660" s="12"/>
      <c r="I660" s="12"/>
      <c r="J660" s="12"/>
      <c r="K660" s="36"/>
      <c r="L660" s="12"/>
      <c r="M660" s="12"/>
      <c r="N660" s="12"/>
      <c r="O660" s="12"/>
      <c r="P660" s="12"/>
      <c r="Q660" s="12"/>
      <c r="R660" s="12"/>
      <c r="S660" s="12"/>
      <c r="T660" s="12"/>
      <c r="U660" s="12"/>
      <c r="V660" s="12"/>
      <c r="W660" s="12"/>
      <c r="X660" s="12"/>
      <c r="Y660" s="12"/>
      <c r="Z660" s="12"/>
      <c r="AA660" s="12"/>
      <c r="AB660" s="12"/>
      <c r="AC660" s="12"/>
      <c r="AD660" s="12"/>
      <c r="AE660" s="12"/>
      <c r="AF660" s="12"/>
      <c r="AG660" s="36"/>
      <c r="AH660" s="12"/>
      <c r="AI660" s="12"/>
      <c r="AJ660" s="12"/>
    </row>
    <row r="661" ht="14.25" customHeight="1">
      <c r="A661" s="12"/>
      <c r="B661" s="12"/>
      <c r="C661" s="12"/>
      <c r="D661" s="12"/>
      <c r="E661" s="12"/>
      <c r="F661" s="12"/>
      <c r="G661" s="12"/>
      <c r="H661" s="12"/>
      <c r="I661" s="12"/>
      <c r="J661" s="12"/>
      <c r="K661" s="36"/>
      <c r="L661" s="12"/>
      <c r="M661" s="12"/>
      <c r="N661" s="12"/>
      <c r="O661" s="12"/>
      <c r="P661" s="12"/>
      <c r="Q661" s="12"/>
      <c r="R661" s="12"/>
      <c r="S661" s="12"/>
      <c r="T661" s="12"/>
      <c r="U661" s="12"/>
      <c r="V661" s="12"/>
      <c r="W661" s="12"/>
      <c r="X661" s="12"/>
      <c r="Y661" s="12"/>
      <c r="Z661" s="12"/>
      <c r="AA661" s="12"/>
      <c r="AB661" s="12"/>
      <c r="AC661" s="12"/>
      <c r="AD661" s="12"/>
      <c r="AE661" s="12"/>
      <c r="AF661" s="12"/>
      <c r="AG661" s="36"/>
      <c r="AH661" s="12"/>
      <c r="AI661" s="12"/>
      <c r="AJ661" s="12"/>
    </row>
    <row r="662" ht="14.25" customHeight="1">
      <c r="A662" s="12"/>
      <c r="B662" s="12"/>
      <c r="C662" s="12"/>
      <c r="D662" s="12"/>
      <c r="E662" s="12"/>
      <c r="F662" s="12"/>
      <c r="G662" s="12"/>
      <c r="H662" s="12"/>
      <c r="I662" s="12"/>
      <c r="J662" s="12"/>
      <c r="K662" s="36"/>
      <c r="L662" s="12"/>
      <c r="M662" s="12"/>
      <c r="N662" s="12"/>
      <c r="O662" s="12"/>
      <c r="P662" s="12"/>
      <c r="Q662" s="12"/>
      <c r="R662" s="12"/>
      <c r="S662" s="12"/>
      <c r="T662" s="12"/>
      <c r="U662" s="12"/>
      <c r="V662" s="12"/>
      <c r="W662" s="12"/>
      <c r="X662" s="12"/>
      <c r="Y662" s="12"/>
      <c r="Z662" s="12"/>
      <c r="AA662" s="12"/>
      <c r="AB662" s="12"/>
      <c r="AC662" s="12"/>
      <c r="AD662" s="12"/>
      <c r="AE662" s="12"/>
      <c r="AF662" s="12"/>
      <c r="AG662" s="36"/>
      <c r="AH662" s="12"/>
      <c r="AI662" s="12"/>
      <c r="AJ662" s="12"/>
    </row>
    <row r="663" ht="14.25" customHeight="1">
      <c r="A663" s="12"/>
      <c r="B663" s="12"/>
      <c r="C663" s="12"/>
      <c r="D663" s="12"/>
      <c r="E663" s="12"/>
      <c r="F663" s="12"/>
      <c r="G663" s="12"/>
      <c r="H663" s="12"/>
      <c r="I663" s="12"/>
      <c r="J663" s="12"/>
      <c r="K663" s="36"/>
      <c r="L663" s="12"/>
      <c r="M663" s="12"/>
      <c r="N663" s="12"/>
      <c r="O663" s="12"/>
      <c r="P663" s="12"/>
      <c r="Q663" s="12"/>
      <c r="R663" s="12"/>
      <c r="S663" s="12"/>
      <c r="T663" s="12"/>
      <c r="U663" s="12"/>
      <c r="V663" s="12"/>
      <c r="W663" s="12"/>
      <c r="X663" s="12"/>
      <c r="Y663" s="12"/>
      <c r="Z663" s="12"/>
      <c r="AA663" s="12"/>
      <c r="AB663" s="12"/>
      <c r="AC663" s="12"/>
      <c r="AD663" s="12"/>
      <c r="AE663" s="12"/>
      <c r="AF663" s="12"/>
      <c r="AG663" s="36"/>
      <c r="AH663" s="12"/>
      <c r="AI663" s="12"/>
      <c r="AJ663" s="12"/>
    </row>
    <row r="664" ht="14.25" customHeight="1">
      <c r="A664" s="12"/>
      <c r="B664" s="12"/>
      <c r="C664" s="12"/>
      <c r="D664" s="12"/>
      <c r="E664" s="12"/>
      <c r="F664" s="12"/>
      <c r="G664" s="12"/>
      <c r="H664" s="12"/>
      <c r="I664" s="12"/>
      <c r="J664" s="12"/>
      <c r="K664" s="36"/>
      <c r="L664" s="12"/>
      <c r="M664" s="12"/>
      <c r="N664" s="12"/>
      <c r="O664" s="12"/>
      <c r="P664" s="12"/>
      <c r="Q664" s="12"/>
      <c r="R664" s="12"/>
      <c r="S664" s="12"/>
      <c r="T664" s="12"/>
      <c r="U664" s="12"/>
      <c r="V664" s="12"/>
      <c r="W664" s="12"/>
      <c r="X664" s="12"/>
      <c r="Y664" s="12"/>
      <c r="Z664" s="12"/>
      <c r="AA664" s="12"/>
      <c r="AB664" s="12"/>
      <c r="AC664" s="12"/>
      <c r="AD664" s="12"/>
      <c r="AE664" s="12"/>
      <c r="AF664" s="12"/>
      <c r="AG664" s="36"/>
      <c r="AH664" s="12"/>
      <c r="AI664" s="12"/>
      <c r="AJ664" s="12"/>
    </row>
    <row r="665" ht="14.25" customHeight="1">
      <c r="A665" s="12"/>
      <c r="B665" s="12"/>
      <c r="C665" s="12"/>
      <c r="D665" s="12"/>
      <c r="E665" s="12"/>
      <c r="F665" s="12"/>
      <c r="G665" s="12"/>
      <c r="H665" s="12"/>
      <c r="I665" s="12"/>
      <c r="J665" s="12"/>
      <c r="K665" s="36"/>
      <c r="L665" s="12"/>
      <c r="M665" s="12"/>
      <c r="N665" s="12"/>
      <c r="O665" s="12"/>
      <c r="P665" s="12"/>
      <c r="Q665" s="12"/>
      <c r="R665" s="12"/>
      <c r="S665" s="12"/>
      <c r="T665" s="12"/>
      <c r="U665" s="12"/>
      <c r="V665" s="12"/>
      <c r="W665" s="12"/>
      <c r="X665" s="12"/>
      <c r="Y665" s="12"/>
      <c r="Z665" s="12"/>
      <c r="AA665" s="12"/>
      <c r="AB665" s="12"/>
      <c r="AC665" s="12"/>
      <c r="AD665" s="12"/>
      <c r="AE665" s="12"/>
      <c r="AF665" s="12"/>
      <c r="AG665" s="36"/>
      <c r="AH665" s="12"/>
      <c r="AI665" s="12"/>
      <c r="AJ665" s="12"/>
    </row>
    <row r="666" ht="14.25" customHeight="1">
      <c r="A666" s="12"/>
      <c r="B666" s="12"/>
      <c r="C666" s="12"/>
      <c r="D666" s="12"/>
      <c r="E666" s="12"/>
      <c r="F666" s="12"/>
      <c r="G666" s="12"/>
      <c r="H666" s="12"/>
      <c r="I666" s="12"/>
      <c r="J666" s="12"/>
      <c r="K666" s="36"/>
      <c r="L666" s="12"/>
      <c r="M666" s="12"/>
      <c r="N666" s="12"/>
      <c r="O666" s="12"/>
      <c r="P666" s="12"/>
      <c r="Q666" s="12"/>
      <c r="R666" s="12"/>
      <c r="S666" s="12"/>
      <c r="T666" s="12"/>
      <c r="U666" s="12"/>
      <c r="V666" s="12"/>
      <c r="W666" s="12"/>
      <c r="X666" s="12"/>
      <c r="Y666" s="12"/>
      <c r="Z666" s="12"/>
      <c r="AA666" s="12"/>
      <c r="AB666" s="12"/>
      <c r="AC666" s="12"/>
      <c r="AD666" s="12"/>
      <c r="AE666" s="12"/>
      <c r="AF666" s="12"/>
      <c r="AG666" s="36"/>
      <c r="AH666" s="12"/>
      <c r="AI666" s="12"/>
      <c r="AJ666" s="12"/>
    </row>
    <row r="667" ht="14.25" customHeight="1">
      <c r="A667" s="12"/>
      <c r="B667" s="12"/>
      <c r="C667" s="12"/>
      <c r="D667" s="12"/>
      <c r="E667" s="12"/>
      <c r="F667" s="12"/>
      <c r="G667" s="12"/>
      <c r="H667" s="12"/>
      <c r="I667" s="12"/>
      <c r="J667" s="12"/>
      <c r="K667" s="36"/>
      <c r="L667" s="12"/>
      <c r="M667" s="12"/>
      <c r="N667" s="12"/>
      <c r="O667" s="12"/>
      <c r="P667" s="12"/>
      <c r="Q667" s="12"/>
      <c r="R667" s="12"/>
      <c r="S667" s="12"/>
      <c r="T667" s="12"/>
      <c r="U667" s="12"/>
      <c r="V667" s="12"/>
      <c r="W667" s="12"/>
      <c r="X667" s="12"/>
      <c r="Y667" s="12"/>
      <c r="Z667" s="12"/>
      <c r="AA667" s="12"/>
      <c r="AB667" s="12"/>
      <c r="AC667" s="12"/>
      <c r="AD667" s="12"/>
      <c r="AE667" s="12"/>
      <c r="AF667" s="12"/>
      <c r="AG667" s="36"/>
      <c r="AH667" s="12"/>
      <c r="AI667" s="12"/>
      <c r="AJ667" s="12"/>
    </row>
    <row r="668" ht="14.25" customHeight="1">
      <c r="A668" s="12"/>
      <c r="B668" s="12"/>
      <c r="C668" s="12"/>
      <c r="D668" s="12"/>
      <c r="E668" s="12"/>
      <c r="F668" s="12"/>
      <c r="G668" s="12"/>
      <c r="H668" s="12"/>
      <c r="I668" s="12"/>
      <c r="J668" s="12"/>
      <c r="K668" s="36"/>
      <c r="L668" s="12"/>
      <c r="M668" s="12"/>
      <c r="N668" s="12"/>
      <c r="O668" s="12"/>
      <c r="P668" s="12"/>
      <c r="Q668" s="12"/>
      <c r="R668" s="12"/>
      <c r="S668" s="12"/>
      <c r="T668" s="12"/>
      <c r="U668" s="12"/>
      <c r="V668" s="12"/>
      <c r="W668" s="12"/>
      <c r="X668" s="12"/>
      <c r="Y668" s="12"/>
      <c r="Z668" s="12"/>
      <c r="AA668" s="12"/>
      <c r="AB668" s="12"/>
      <c r="AC668" s="12"/>
      <c r="AD668" s="12"/>
      <c r="AE668" s="12"/>
      <c r="AF668" s="12"/>
      <c r="AG668" s="36"/>
      <c r="AH668" s="12"/>
      <c r="AI668" s="12"/>
      <c r="AJ668" s="12"/>
    </row>
    <row r="669" ht="14.25" customHeight="1">
      <c r="A669" s="12"/>
      <c r="B669" s="12"/>
      <c r="C669" s="12"/>
      <c r="D669" s="12"/>
      <c r="E669" s="12"/>
      <c r="F669" s="12"/>
      <c r="G669" s="12"/>
      <c r="H669" s="12"/>
      <c r="I669" s="12"/>
      <c r="J669" s="12"/>
      <c r="K669" s="36"/>
      <c r="L669" s="12"/>
      <c r="M669" s="12"/>
      <c r="N669" s="12"/>
      <c r="O669" s="12"/>
      <c r="P669" s="12"/>
      <c r="Q669" s="12"/>
      <c r="R669" s="12"/>
      <c r="S669" s="12"/>
      <c r="T669" s="12"/>
      <c r="U669" s="12"/>
      <c r="V669" s="12"/>
      <c r="W669" s="12"/>
      <c r="X669" s="12"/>
      <c r="Y669" s="12"/>
      <c r="Z669" s="12"/>
      <c r="AA669" s="12"/>
      <c r="AB669" s="12"/>
      <c r="AC669" s="12"/>
      <c r="AD669" s="12"/>
      <c r="AE669" s="12"/>
      <c r="AF669" s="12"/>
      <c r="AG669" s="36"/>
      <c r="AH669" s="12"/>
      <c r="AI669" s="12"/>
      <c r="AJ669" s="12"/>
    </row>
    <row r="670" ht="14.25" customHeight="1">
      <c r="A670" s="12"/>
      <c r="B670" s="12"/>
      <c r="C670" s="12"/>
      <c r="D670" s="12"/>
      <c r="E670" s="12"/>
      <c r="F670" s="12"/>
      <c r="G670" s="12"/>
      <c r="H670" s="12"/>
      <c r="I670" s="12"/>
      <c r="J670" s="12"/>
      <c r="K670" s="36"/>
      <c r="L670" s="12"/>
      <c r="M670" s="12"/>
      <c r="N670" s="12"/>
      <c r="O670" s="12"/>
      <c r="P670" s="12"/>
      <c r="Q670" s="12"/>
      <c r="R670" s="12"/>
      <c r="S670" s="12"/>
      <c r="T670" s="12"/>
      <c r="U670" s="12"/>
      <c r="V670" s="12"/>
      <c r="W670" s="12"/>
      <c r="X670" s="12"/>
      <c r="Y670" s="12"/>
      <c r="Z670" s="12"/>
      <c r="AA670" s="12"/>
      <c r="AB670" s="12"/>
      <c r="AC670" s="12"/>
      <c r="AD670" s="12"/>
      <c r="AE670" s="12"/>
      <c r="AF670" s="12"/>
      <c r="AG670" s="36"/>
      <c r="AH670" s="12"/>
      <c r="AI670" s="12"/>
      <c r="AJ670" s="12"/>
    </row>
    <row r="671" ht="14.25" customHeight="1">
      <c r="A671" s="12"/>
      <c r="B671" s="12"/>
      <c r="C671" s="12"/>
      <c r="D671" s="12"/>
      <c r="E671" s="12"/>
      <c r="F671" s="12"/>
      <c r="G671" s="12"/>
      <c r="H671" s="12"/>
      <c r="I671" s="12"/>
      <c r="J671" s="12"/>
      <c r="K671" s="36"/>
      <c r="L671" s="12"/>
      <c r="M671" s="12"/>
      <c r="N671" s="12"/>
      <c r="O671" s="12"/>
      <c r="P671" s="12"/>
      <c r="Q671" s="12"/>
      <c r="R671" s="12"/>
      <c r="S671" s="12"/>
      <c r="T671" s="12"/>
      <c r="U671" s="12"/>
      <c r="V671" s="12"/>
      <c r="W671" s="12"/>
      <c r="X671" s="12"/>
      <c r="Y671" s="12"/>
      <c r="Z671" s="12"/>
      <c r="AA671" s="12"/>
      <c r="AB671" s="12"/>
      <c r="AC671" s="12"/>
      <c r="AD671" s="12"/>
      <c r="AE671" s="12"/>
      <c r="AF671" s="12"/>
      <c r="AG671" s="36"/>
      <c r="AH671" s="12"/>
      <c r="AI671" s="12"/>
      <c r="AJ671" s="12"/>
    </row>
    <row r="672" ht="14.25" customHeight="1">
      <c r="A672" s="12"/>
      <c r="B672" s="12"/>
      <c r="C672" s="12"/>
      <c r="D672" s="12"/>
      <c r="E672" s="12"/>
      <c r="F672" s="12"/>
      <c r="G672" s="12"/>
      <c r="H672" s="12"/>
      <c r="I672" s="12"/>
      <c r="J672" s="12"/>
      <c r="K672" s="36"/>
      <c r="L672" s="12"/>
      <c r="M672" s="12"/>
      <c r="N672" s="12"/>
      <c r="O672" s="12"/>
      <c r="P672" s="12"/>
      <c r="Q672" s="12"/>
      <c r="R672" s="12"/>
      <c r="S672" s="12"/>
      <c r="T672" s="12"/>
      <c r="U672" s="12"/>
      <c r="V672" s="12"/>
      <c r="W672" s="12"/>
      <c r="X672" s="12"/>
      <c r="Y672" s="12"/>
      <c r="Z672" s="12"/>
      <c r="AA672" s="12"/>
      <c r="AB672" s="12"/>
      <c r="AC672" s="12"/>
      <c r="AD672" s="12"/>
      <c r="AE672" s="12"/>
      <c r="AF672" s="12"/>
      <c r="AG672" s="36"/>
      <c r="AH672" s="12"/>
      <c r="AI672" s="12"/>
      <c r="AJ672" s="12"/>
    </row>
    <row r="673" ht="14.25" customHeight="1">
      <c r="A673" s="12"/>
      <c r="B673" s="12"/>
      <c r="C673" s="12"/>
      <c r="D673" s="12"/>
      <c r="E673" s="12"/>
      <c r="F673" s="12"/>
      <c r="G673" s="12"/>
      <c r="H673" s="12"/>
      <c r="I673" s="12"/>
      <c r="J673" s="12"/>
      <c r="K673" s="36"/>
      <c r="L673" s="12"/>
      <c r="M673" s="12"/>
      <c r="N673" s="12"/>
      <c r="O673" s="12"/>
      <c r="P673" s="12"/>
      <c r="Q673" s="12"/>
      <c r="R673" s="12"/>
      <c r="S673" s="12"/>
      <c r="T673" s="12"/>
      <c r="U673" s="12"/>
      <c r="V673" s="12"/>
      <c r="W673" s="12"/>
      <c r="X673" s="12"/>
      <c r="Y673" s="12"/>
      <c r="Z673" s="12"/>
      <c r="AA673" s="12"/>
      <c r="AB673" s="12"/>
      <c r="AC673" s="12"/>
      <c r="AD673" s="12"/>
      <c r="AE673" s="12"/>
      <c r="AF673" s="12"/>
      <c r="AG673" s="36"/>
      <c r="AH673" s="12"/>
      <c r="AI673" s="12"/>
      <c r="AJ673" s="12"/>
    </row>
    <row r="674" ht="14.25" customHeight="1">
      <c r="A674" s="12"/>
      <c r="B674" s="12"/>
      <c r="C674" s="12"/>
      <c r="D674" s="12"/>
      <c r="E674" s="12"/>
      <c r="F674" s="12"/>
      <c r="G674" s="12"/>
      <c r="H674" s="12"/>
      <c r="I674" s="12"/>
      <c r="J674" s="12"/>
      <c r="K674" s="36"/>
      <c r="L674" s="12"/>
      <c r="M674" s="12"/>
      <c r="N674" s="12"/>
      <c r="O674" s="12"/>
      <c r="P674" s="12"/>
      <c r="Q674" s="12"/>
      <c r="R674" s="12"/>
      <c r="S674" s="12"/>
      <c r="T674" s="12"/>
      <c r="U674" s="12"/>
      <c r="V674" s="12"/>
      <c r="W674" s="12"/>
      <c r="X674" s="12"/>
      <c r="Y674" s="12"/>
      <c r="Z674" s="12"/>
      <c r="AA674" s="12"/>
      <c r="AB674" s="12"/>
      <c r="AC674" s="12"/>
      <c r="AD674" s="12"/>
      <c r="AE674" s="12"/>
      <c r="AF674" s="12"/>
      <c r="AG674" s="36"/>
      <c r="AH674" s="12"/>
      <c r="AI674" s="12"/>
      <c r="AJ674" s="12"/>
    </row>
    <row r="675" ht="14.25" customHeight="1">
      <c r="A675" s="12"/>
      <c r="B675" s="12"/>
      <c r="C675" s="12"/>
      <c r="D675" s="12"/>
      <c r="E675" s="12"/>
      <c r="F675" s="12"/>
      <c r="G675" s="12"/>
      <c r="H675" s="12"/>
      <c r="I675" s="12"/>
      <c r="J675" s="12"/>
      <c r="K675" s="36"/>
      <c r="L675" s="12"/>
      <c r="M675" s="12"/>
      <c r="N675" s="12"/>
      <c r="O675" s="12"/>
      <c r="P675" s="12"/>
      <c r="Q675" s="12"/>
      <c r="R675" s="12"/>
      <c r="S675" s="12"/>
      <c r="T675" s="12"/>
      <c r="U675" s="12"/>
      <c r="V675" s="12"/>
      <c r="W675" s="12"/>
      <c r="X675" s="12"/>
      <c r="Y675" s="12"/>
      <c r="Z675" s="12"/>
      <c r="AA675" s="12"/>
      <c r="AB675" s="12"/>
      <c r="AC675" s="12"/>
      <c r="AD675" s="12"/>
      <c r="AE675" s="12"/>
      <c r="AF675" s="12"/>
      <c r="AG675" s="36"/>
      <c r="AH675" s="12"/>
      <c r="AI675" s="12"/>
      <c r="AJ675" s="12"/>
    </row>
    <row r="676" ht="14.25" customHeight="1">
      <c r="A676" s="12"/>
      <c r="B676" s="12"/>
      <c r="C676" s="12"/>
      <c r="D676" s="12"/>
      <c r="E676" s="12"/>
      <c r="F676" s="12"/>
      <c r="G676" s="12"/>
      <c r="H676" s="12"/>
      <c r="I676" s="12"/>
      <c r="J676" s="12"/>
      <c r="K676" s="36"/>
      <c r="L676" s="12"/>
      <c r="M676" s="12"/>
      <c r="N676" s="12"/>
      <c r="O676" s="12"/>
      <c r="P676" s="12"/>
      <c r="Q676" s="12"/>
      <c r="R676" s="12"/>
      <c r="S676" s="12"/>
      <c r="T676" s="12"/>
      <c r="U676" s="12"/>
      <c r="V676" s="12"/>
      <c r="W676" s="12"/>
      <c r="X676" s="12"/>
      <c r="Y676" s="12"/>
      <c r="Z676" s="12"/>
      <c r="AA676" s="12"/>
      <c r="AB676" s="12"/>
      <c r="AC676" s="12"/>
      <c r="AD676" s="12"/>
      <c r="AE676" s="12"/>
      <c r="AF676" s="12"/>
      <c r="AG676" s="36"/>
      <c r="AH676" s="12"/>
      <c r="AI676" s="12"/>
      <c r="AJ676" s="12"/>
    </row>
    <row r="677" ht="14.25" customHeight="1">
      <c r="A677" s="12"/>
      <c r="B677" s="12"/>
      <c r="C677" s="12"/>
      <c r="D677" s="12"/>
      <c r="E677" s="12"/>
      <c r="F677" s="12"/>
      <c r="G677" s="12"/>
      <c r="H677" s="12"/>
      <c r="I677" s="12"/>
      <c r="J677" s="12"/>
      <c r="K677" s="36"/>
      <c r="L677" s="12"/>
      <c r="M677" s="12"/>
      <c r="N677" s="12"/>
      <c r="O677" s="12"/>
      <c r="P677" s="12"/>
      <c r="Q677" s="12"/>
      <c r="R677" s="12"/>
      <c r="S677" s="12"/>
      <c r="T677" s="12"/>
      <c r="U677" s="12"/>
      <c r="V677" s="12"/>
      <c r="W677" s="12"/>
      <c r="X677" s="12"/>
      <c r="Y677" s="12"/>
      <c r="Z677" s="12"/>
      <c r="AA677" s="12"/>
      <c r="AB677" s="12"/>
      <c r="AC677" s="12"/>
      <c r="AD677" s="12"/>
      <c r="AE677" s="12"/>
      <c r="AF677" s="12"/>
      <c r="AG677" s="36"/>
      <c r="AH677" s="12"/>
      <c r="AI677" s="12"/>
      <c r="AJ677" s="12"/>
    </row>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AC$133"/>
  <mergeCells count="60">
    <mergeCell ref="AA259:AB259"/>
    <mergeCell ref="AA271:AB271"/>
    <mergeCell ref="Y275:Z275"/>
    <mergeCell ref="AA275:AB275"/>
    <mergeCell ref="Y276:Z276"/>
    <mergeCell ref="AA276:AB276"/>
    <mergeCell ref="Y280:Z280"/>
    <mergeCell ref="Y421:Z421"/>
    <mergeCell ref="Y422:Z422"/>
    <mergeCell ref="Y423:Z423"/>
    <mergeCell ref="Y437:Z437"/>
    <mergeCell ref="Y438:Z438"/>
    <mergeCell ref="Y281:Z281"/>
    <mergeCell ref="Y282:Z282"/>
    <mergeCell ref="AA290:AB290"/>
    <mergeCell ref="AA298:AB298"/>
    <mergeCell ref="AA299:AB299"/>
    <mergeCell ref="AA300:AB300"/>
    <mergeCell ref="Y304:Z304"/>
    <mergeCell ref="E1:F1"/>
    <mergeCell ref="AA53:AB53"/>
    <mergeCell ref="AA54:AB54"/>
    <mergeCell ref="AA55:AB55"/>
    <mergeCell ref="AA56:AB56"/>
    <mergeCell ref="AA57:AB57"/>
    <mergeCell ref="AA58:AB58"/>
    <mergeCell ref="Y58:Z58"/>
    <mergeCell ref="Y59:Z59"/>
    <mergeCell ref="AA59:AB59"/>
    <mergeCell ref="AA60:AB60"/>
    <mergeCell ref="AA61:AB61"/>
    <mergeCell ref="AA62:AB62"/>
    <mergeCell ref="AA63:AB63"/>
    <mergeCell ref="Y60:Z60"/>
    <mergeCell ref="Y84:Z84"/>
    <mergeCell ref="Y85:Z85"/>
    <mergeCell ref="Y86:Z86"/>
    <mergeCell ref="AA93:AB93"/>
    <mergeCell ref="AA94:AB94"/>
    <mergeCell ref="AA95:AB95"/>
    <mergeCell ref="Y151:Z151"/>
    <mergeCell ref="Y152:Z152"/>
    <mergeCell ref="Y156:Z156"/>
    <mergeCell ref="Y159:Z159"/>
    <mergeCell ref="AA96:AB96"/>
    <mergeCell ref="AA97:AB97"/>
    <mergeCell ref="AA98:AB98"/>
    <mergeCell ref="AA106:AB106"/>
    <mergeCell ref="AA107:AB107"/>
    <mergeCell ref="AA108:AB108"/>
    <mergeCell ref="AA145:AB145"/>
    <mergeCell ref="AA189:AB189"/>
    <mergeCell ref="AA190:AB190"/>
    <mergeCell ref="AA208:AB208"/>
    <mergeCell ref="AA209:AB209"/>
    <mergeCell ref="AA210:AB210"/>
    <mergeCell ref="AA252:AB252"/>
    <mergeCell ref="Y259:Z259"/>
    <mergeCell ref="AA321:AB321"/>
    <mergeCell ref="AA322:AB322"/>
  </mergeCells>
  <dataValidations>
    <dataValidation type="list" allowBlank="1" showErrorMessage="1" sqref="K3:K438">
      <formula1>'Death Benefit Type'!$A$2:$A$70</formula1>
    </dataValidation>
    <dataValidation type="list" allowBlank="1" showErrorMessage="1" sqref="N3:N110 P3:T116 J3:J120 P118:T120 J123:J129 P123:T129 J439:J476 Q439:T476 Q477:S477">
      <formula1>"Y,N"</formula1>
    </dataValidation>
    <dataValidation type="list" allowBlank="1" showErrorMessage="1" sqref="H439:H477">
      <formula1>"Indiviual,Group"</formula1>
    </dataValidation>
    <dataValidation type="list" allowBlank="1" showErrorMessage="1" sqref="I3:I188">
      <formula1>"Unit Linked,Protection,Health,Annuity,Non Par Savings,Par Savings,Non Par Pension,Par Pension"</formula1>
    </dataValidation>
    <dataValidation type="list" allowBlank="1" showErrorMessage="1" sqref="AG3:AG438">
      <formula1>'LA TYPE'!$A$3:$A$80</formula1>
    </dataValidation>
    <dataValidation type="date" allowBlank="1" showErrorMessage="1" sqref="E81 E84 E87:E110">
      <formula1>$C$606</formula1>
      <formula2>$C$607</formula2>
    </dataValidation>
    <dataValidation type="list" allowBlank="1" showErrorMessage="1" sqref="L3:L438">
      <formula1>'Maturity BenefitType'!$B$2:$B$30</formula1>
    </dataValidation>
    <dataValidation type="list" allowBlank="1" showErrorMessage="1" sqref="H3:H438">
      <formula1>"Group,Individual"</formula1>
    </dataValidation>
    <dataValidation type="list" allowBlank="1" showErrorMessage="1" sqref="M3:M438">
      <formula1>'Surender Benefit Type'!$B$2:$B$6</formula1>
    </dataValidation>
    <dataValidation type="list" allowBlank="1" sqref="P130:T132 P133:Q133 P134:T137 P138:Q138 P139:T139 P140:Q141 P142:T149 P150:Q150 S150:T150 P151:T164 P165:Q165 P166:T179 P180:Q180 P181:T253 Q254:T254 J130:J438 N133:N438 P255:T438">
      <formula1>"Y,N"</formula1>
    </dataValidation>
    <dataValidation type="list" allowBlank="1" showErrorMessage="1" sqref="P439:P476">
      <formula1>"Y/N"</formula1>
    </dataValidation>
  </dataValidations>
  <printOptions/>
  <pageMargins bottom="0.75" footer="0.0" header="0.0" left="0.7" right="0.7" top="0.75"/>
  <pageSetup paperSize="9" orientation="portrait"/>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9.88"/>
    <col customWidth="1" min="2" max="5" width="12.63"/>
    <col customWidth="1" min="6" max="6" width="8.63"/>
    <col customWidth="1" min="7" max="26" width="12.63"/>
  </cols>
  <sheetData>
    <row r="1" ht="15.0" customHeight="1">
      <c r="A1" s="319" t="s">
        <v>553</v>
      </c>
      <c r="B1" s="36"/>
      <c r="C1" s="36"/>
      <c r="D1" s="36"/>
      <c r="E1" s="36"/>
      <c r="F1" s="36"/>
      <c r="G1" s="36"/>
      <c r="H1" s="36"/>
      <c r="I1" s="36"/>
      <c r="J1" s="36"/>
      <c r="K1" s="36"/>
      <c r="L1" s="36"/>
      <c r="M1" s="36"/>
      <c r="N1" s="36"/>
      <c r="O1" s="36"/>
      <c r="P1" s="36"/>
      <c r="Q1" s="36"/>
      <c r="R1" s="36"/>
      <c r="S1" s="36"/>
      <c r="T1" s="36"/>
      <c r="U1" s="36"/>
      <c r="V1" s="36"/>
      <c r="W1" s="36"/>
    </row>
    <row r="2">
      <c r="A2" s="36"/>
      <c r="B2" s="36"/>
      <c r="C2" s="36"/>
      <c r="D2" s="36"/>
      <c r="E2" s="36"/>
      <c r="F2" s="36"/>
      <c r="G2" s="36"/>
      <c r="H2" s="36"/>
      <c r="I2" s="36"/>
      <c r="J2" s="36"/>
      <c r="K2" s="36"/>
      <c r="L2" s="36"/>
      <c r="M2" s="36"/>
      <c r="N2" s="36"/>
      <c r="O2" s="36"/>
      <c r="P2" s="36"/>
      <c r="Q2" s="36"/>
      <c r="R2" s="36"/>
      <c r="S2" s="36"/>
      <c r="T2" s="36"/>
      <c r="U2" s="36"/>
      <c r="V2" s="36"/>
      <c r="W2" s="36"/>
    </row>
    <row r="3">
      <c r="A3" s="171" t="s">
        <v>1916</v>
      </c>
      <c r="B3" s="171">
        <v>1.0</v>
      </c>
      <c r="C3" s="171">
        <v>2.0</v>
      </c>
      <c r="D3" s="36"/>
      <c r="E3" s="36"/>
      <c r="F3" s="182"/>
      <c r="G3" s="36"/>
      <c r="H3" s="36"/>
      <c r="I3" s="36"/>
      <c r="J3" s="36"/>
      <c r="K3" s="36"/>
      <c r="L3" s="36"/>
      <c r="M3" s="36"/>
      <c r="N3" s="36"/>
      <c r="O3" s="36"/>
      <c r="P3" s="36"/>
      <c r="Q3" s="36"/>
      <c r="R3" s="36"/>
      <c r="S3" s="36"/>
      <c r="T3" s="36"/>
      <c r="U3" s="36"/>
      <c r="V3" s="36"/>
      <c r="W3" s="36"/>
    </row>
    <row r="4">
      <c r="A4" s="320">
        <v>0.0</v>
      </c>
      <c r="B4" s="227">
        <v>0.6</v>
      </c>
      <c r="C4" s="227">
        <v>0.01</v>
      </c>
      <c r="D4" s="36"/>
      <c r="E4" s="36"/>
      <c r="F4" s="214"/>
      <c r="G4" s="36"/>
      <c r="H4" s="36"/>
      <c r="I4" s="36"/>
      <c r="J4" s="36"/>
      <c r="K4" s="36"/>
      <c r="L4" s="36"/>
      <c r="M4" s="36"/>
      <c r="N4" s="36"/>
      <c r="O4" s="36"/>
      <c r="P4" s="36"/>
      <c r="Q4" s="36"/>
      <c r="R4" s="36"/>
      <c r="S4" s="36"/>
      <c r="T4" s="36"/>
      <c r="U4" s="36"/>
      <c r="V4" s="36"/>
      <c r="W4" s="36"/>
    </row>
    <row r="5">
      <c r="A5" s="321">
        <v>200000.0</v>
      </c>
      <c r="B5" s="227">
        <v>0.4</v>
      </c>
      <c r="C5" s="227">
        <v>0.01</v>
      </c>
      <c r="D5" s="36"/>
      <c r="E5" s="36"/>
      <c r="F5" s="214"/>
      <c r="G5" s="36"/>
      <c r="H5" s="36"/>
      <c r="I5" s="36"/>
      <c r="J5" s="36"/>
      <c r="K5" s="36"/>
      <c r="L5" s="36"/>
      <c r="M5" s="36"/>
      <c r="N5" s="36"/>
      <c r="O5" s="36"/>
      <c r="P5" s="36"/>
      <c r="Q5" s="36"/>
      <c r="R5" s="36"/>
      <c r="S5" s="36"/>
      <c r="T5" s="36"/>
      <c r="U5" s="36"/>
      <c r="V5" s="36"/>
      <c r="W5" s="36"/>
    </row>
    <row r="6">
      <c r="A6" s="320">
        <v>500000.0</v>
      </c>
      <c r="B6" s="227">
        <v>0.3</v>
      </c>
      <c r="C6" s="227">
        <v>0.01</v>
      </c>
      <c r="D6" s="36"/>
      <c r="E6" s="36"/>
      <c r="F6" s="214"/>
      <c r="G6" s="36"/>
      <c r="H6" s="36"/>
      <c r="I6" s="36"/>
      <c r="J6" s="36"/>
      <c r="K6" s="36"/>
      <c r="L6" s="36"/>
      <c r="M6" s="36"/>
      <c r="N6" s="36"/>
      <c r="O6" s="36"/>
      <c r="P6" s="36"/>
      <c r="Q6" s="36"/>
      <c r="R6" s="36"/>
      <c r="S6" s="36"/>
      <c r="T6" s="36"/>
      <c r="U6" s="36"/>
      <c r="V6" s="36"/>
      <c r="W6" s="36"/>
    </row>
    <row r="7">
      <c r="A7" s="321">
        <v>1000000.0</v>
      </c>
      <c r="B7" s="227">
        <v>0.2</v>
      </c>
      <c r="C7" s="227">
        <v>0.01</v>
      </c>
      <c r="D7" s="36"/>
      <c r="E7" s="36"/>
      <c r="F7" s="214"/>
      <c r="G7" s="36"/>
      <c r="H7" s="36"/>
      <c r="I7" s="36"/>
      <c r="J7" s="36"/>
      <c r="K7" s="36"/>
      <c r="L7" s="36"/>
      <c r="M7" s="36"/>
      <c r="N7" s="36"/>
      <c r="O7" s="36"/>
      <c r="P7" s="36"/>
      <c r="Q7" s="36"/>
      <c r="R7" s="36"/>
      <c r="S7" s="36"/>
      <c r="T7" s="36"/>
      <c r="U7" s="36"/>
      <c r="V7" s="36"/>
      <c r="W7" s="36"/>
    </row>
    <row r="8">
      <c r="A8" s="320">
        <v>2000000.0</v>
      </c>
      <c r="B8" s="227">
        <v>0.1</v>
      </c>
      <c r="C8" s="227">
        <v>0.01</v>
      </c>
      <c r="D8" s="36"/>
      <c r="E8" s="36"/>
      <c r="F8" s="214"/>
      <c r="G8" s="36"/>
      <c r="H8" s="36"/>
      <c r="I8" s="36"/>
      <c r="J8" s="36"/>
      <c r="K8" s="36"/>
      <c r="L8" s="36"/>
      <c r="M8" s="36"/>
      <c r="N8" s="36"/>
      <c r="O8" s="36"/>
      <c r="P8" s="36"/>
      <c r="Q8" s="36"/>
      <c r="R8" s="36"/>
      <c r="S8" s="36"/>
      <c r="T8" s="36"/>
      <c r="U8" s="36"/>
      <c r="V8" s="36"/>
      <c r="W8" s="36"/>
    </row>
    <row r="9">
      <c r="A9" s="36"/>
      <c r="B9" s="184"/>
      <c r="C9" s="214"/>
      <c r="D9" s="36"/>
      <c r="E9" s="36"/>
      <c r="F9" s="36"/>
      <c r="G9" s="36"/>
      <c r="H9" s="36"/>
      <c r="I9" s="36"/>
      <c r="J9" s="36"/>
      <c r="K9" s="36"/>
      <c r="L9" s="36"/>
      <c r="M9" s="36"/>
      <c r="N9" s="36"/>
      <c r="O9" s="36"/>
      <c r="P9" s="36"/>
      <c r="Q9" s="36"/>
      <c r="R9" s="36"/>
      <c r="S9" s="36"/>
      <c r="T9" s="36"/>
      <c r="U9" s="36"/>
      <c r="V9" s="36"/>
      <c r="W9" s="36"/>
    </row>
    <row r="10">
      <c r="A10" s="36"/>
      <c r="B10" s="36"/>
      <c r="C10" s="36"/>
      <c r="D10" s="36"/>
      <c r="E10" s="36"/>
      <c r="F10" s="36"/>
      <c r="G10" s="36"/>
      <c r="H10" s="36"/>
      <c r="I10" s="36"/>
      <c r="J10" s="36"/>
      <c r="K10" s="36"/>
      <c r="L10" s="36"/>
      <c r="M10" s="36"/>
      <c r="N10" s="36"/>
      <c r="O10" s="36"/>
      <c r="P10" s="36"/>
      <c r="Q10" s="36"/>
      <c r="R10" s="36"/>
      <c r="S10" s="36"/>
      <c r="T10" s="36"/>
      <c r="U10" s="36"/>
      <c r="V10" s="36"/>
      <c r="W10" s="36"/>
    </row>
    <row r="11" ht="15.0" customHeight="1">
      <c r="A11" s="319" t="s">
        <v>547</v>
      </c>
      <c r="B11" s="36"/>
      <c r="C11" s="36"/>
      <c r="D11" s="36"/>
      <c r="E11" s="36"/>
      <c r="F11" s="36"/>
      <c r="G11" s="36"/>
      <c r="H11" s="36"/>
      <c r="I11" s="36"/>
      <c r="J11" s="36"/>
      <c r="K11" s="36"/>
      <c r="L11" s="36"/>
      <c r="M11" s="36"/>
      <c r="N11" s="36"/>
      <c r="O11" s="36"/>
      <c r="P11" s="36"/>
      <c r="Q11" s="36"/>
      <c r="R11" s="36"/>
      <c r="S11" s="36"/>
      <c r="T11" s="36"/>
      <c r="U11" s="36"/>
      <c r="V11" s="36"/>
      <c r="W11" s="36"/>
    </row>
    <row r="12">
      <c r="A12" s="36"/>
      <c r="B12" s="36"/>
      <c r="C12" s="36"/>
      <c r="D12" s="36"/>
      <c r="E12" s="36"/>
      <c r="F12" s="36"/>
      <c r="G12" s="36"/>
      <c r="H12" s="36"/>
      <c r="I12" s="36"/>
      <c r="J12" s="36"/>
      <c r="K12" s="36"/>
      <c r="L12" s="36"/>
      <c r="M12" s="36"/>
      <c r="N12" s="36"/>
      <c r="O12" s="36"/>
      <c r="P12" s="36"/>
      <c r="Q12" s="36"/>
      <c r="R12" s="36"/>
      <c r="S12" s="36"/>
      <c r="T12" s="36"/>
      <c r="U12" s="36"/>
      <c r="V12" s="36"/>
      <c r="W12" s="36"/>
    </row>
    <row r="13">
      <c r="A13" s="171" t="s">
        <v>1916</v>
      </c>
      <c r="B13" s="171">
        <v>1.0</v>
      </c>
      <c r="C13" s="171">
        <v>2.0</v>
      </c>
      <c r="D13" s="36"/>
      <c r="E13" s="36"/>
      <c r="F13" s="36"/>
      <c r="G13" s="36"/>
      <c r="H13" s="36"/>
      <c r="I13" s="36"/>
      <c r="J13" s="36"/>
      <c r="K13" s="36"/>
      <c r="L13" s="36"/>
      <c r="M13" s="36"/>
      <c r="N13" s="36"/>
      <c r="O13" s="36"/>
      <c r="P13" s="36"/>
      <c r="Q13" s="36"/>
      <c r="R13" s="36"/>
      <c r="S13" s="36"/>
      <c r="T13" s="36"/>
      <c r="U13" s="36"/>
      <c r="V13" s="36"/>
      <c r="W13" s="36"/>
    </row>
    <row r="14">
      <c r="A14" s="322" t="s">
        <v>423</v>
      </c>
      <c r="B14" s="227">
        <v>0.6</v>
      </c>
      <c r="C14" s="227">
        <v>0.01</v>
      </c>
      <c r="D14" s="36"/>
      <c r="E14" s="36"/>
      <c r="F14" s="36"/>
      <c r="G14" s="36"/>
      <c r="H14" s="36"/>
      <c r="I14" s="36"/>
      <c r="J14" s="36"/>
      <c r="K14" s="36"/>
      <c r="L14" s="36"/>
      <c r="M14" s="36"/>
      <c r="N14" s="36"/>
      <c r="O14" s="36"/>
      <c r="P14" s="36"/>
      <c r="Q14" s="36"/>
      <c r="R14" s="36"/>
      <c r="S14" s="36"/>
      <c r="T14" s="36"/>
      <c r="U14" s="36"/>
      <c r="V14" s="36"/>
      <c r="W14" s="36"/>
    </row>
    <row r="15">
      <c r="A15" s="321">
        <v>200000.0</v>
      </c>
      <c r="B15" s="227">
        <v>0.4</v>
      </c>
      <c r="C15" s="227">
        <v>0.01</v>
      </c>
      <c r="D15" s="36"/>
      <c r="E15" s="36"/>
      <c r="F15" s="36"/>
      <c r="G15" s="36"/>
      <c r="H15" s="36"/>
      <c r="I15" s="36"/>
      <c r="J15" s="36"/>
      <c r="K15" s="36"/>
      <c r="L15" s="36"/>
      <c r="M15" s="36"/>
      <c r="N15" s="36"/>
      <c r="O15" s="36"/>
      <c r="P15" s="36"/>
      <c r="Q15" s="36"/>
      <c r="R15" s="36"/>
      <c r="S15" s="36"/>
      <c r="T15" s="36"/>
      <c r="U15" s="36"/>
      <c r="V15" s="36"/>
      <c r="W15" s="36"/>
    </row>
    <row r="16">
      <c r="A16" s="320">
        <v>500000.0</v>
      </c>
      <c r="B16" s="227">
        <v>0.3</v>
      </c>
      <c r="C16" s="227">
        <v>0.01</v>
      </c>
      <c r="D16" s="36"/>
      <c r="E16" s="36"/>
      <c r="F16" s="36"/>
      <c r="G16" s="36"/>
      <c r="H16" s="36"/>
      <c r="I16" s="36"/>
      <c r="J16" s="36"/>
      <c r="K16" s="36"/>
      <c r="L16" s="36"/>
      <c r="M16" s="36"/>
      <c r="N16" s="36"/>
      <c r="O16" s="36"/>
      <c r="P16" s="36"/>
      <c r="Q16" s="36"/>
      <c r="R16" s="36"/>
      <c r="S16" s="36"/>
      <c r="T16" s="36"/>
      <c r="U16" s="36"/>
      <c r="V16" s="36"/>
      <c r="W16" s="36"/>
    </row>
    <row r="17">
      <c r="A17" s="321">
        <v>1000000.0</v>
      </c>
      <c r="B17" s="227">
        <v>0.2</v>
      </c>
      <c r="C17" s="227">
        <v>0.01</v>
      </c>
      <c r="D17" s="36"/>
      <c r="E17" s="36"/>
      <c r="F17" s="36"/>
      <c r="G17" s="36"/>
      <c r="H17" s="36"/>
      <c r="I17" s="36"/>
      <c r="J17" s="36"/>
      <c r="K17" s="36"/>
      <c r="L17" s="36"/>
      <c r="M17" s="36"/>
      <c r="N17" s="36"/>
      <c r="O17" s="36"/>
      <c r="P17" s="36"/>
      <c r="Q17" s="36"/>
      <c r="R17" s="36"/>
      <c r="S17" s="36"/>
      <c r="T17" s="36"/>
      <c r="U17" s="36"/>
      <c r="V17" s="36"/>
      <c r="W17" s="36"/>
    </row>
    <row r="18">
      <c r="A18" s="320">
        <v>2000000.0</v>
      </c>
      <c r="B18" s="227">
        <v>0.1</v>
      </c>
      <c r="C18" s="227">
        <v>0.01</v>
      </c>
      <c r="D18" s="36"/>
      <c r="E18" s="36"/>
      <c r="F18" s="36"/>
      <c r="G18" s="36"/>
      <c r="H18" s="36"/>
      <c r="I18" s="36"/>
      <c r="J18" s="36"/>
      <c r="K18" s="36"/>
      <c r="L18" s="36"/>
      <c r="M18" s="36"/>
      <c r="N18" s="36"/>
      <c r="O18" s="36"/>
      <c r="P18" s="36"/>
      <c r="Q18" s="36"/>
      <c r="R18" s="36"/>
      <c r="S18" s="36"/>
      <c r="T18" s="36"/>
      <c r="U18" s="36"/>
      <c r="V18" s="36"/>
      <c r="W18" s="36"/>
    </row>
    <row r="19">
      <c r="A19" s="36"/>
      <c r="B19" s="184"/>
      <c r="C19" s="214"/>
      <c r="D19" s="36"/>
      <c r="E19" s="36"/>
      <c r="F19" s="36"/>
      <c r="G19" s="36"/>
      <c r="H19" s="36"/>
      <c r="I19" s="36"/>
      <c r="J19" s="36"/>
      <c r="K19" s="36"/>
      <c r="L19" s="36"/>
      <c r="M19" s="36"/>
      <c r="N19" s="36"/>
      <c r="O19" s="36"/>
      <c r="P19" s="36"/>
      <c r="Q19" s="36"/>
      <c r="R19" s="36"/>
      <c r="S19" s="36"/>
      <c r="T19" s="36"/>
      <c r="U19" s="36"/>
      <c r="V19" s="36"/>
      <c r="W19" s="36"/>
    </row>
    <row r="20">
      <c r="A20" s="36"/>
      <c r="B20" s="36"/>
      <c r="C20" s="36"/>
      <c r="D20" s="36"/>
      <c r="E20" s="36"/>
      <c r="F20" s="36"/>
      <c r="G20" s="36"/>
      <c r="H20" s="36"/>
      <c r="I20" s="36"/>
      <c r="J20" s="36"/>
      <c r="K20" s="36"/>
      <c r="L20" s="36"/>
      <c r="M20" s="36"/>
      <c r="N20" s="36"/>
      <c r="O20" s="36"/>
      <c r="P20" s="36"/>
      <c r="Q20" s="36"/>
      <c r="R20" s="36"/>
      <c r="S20" s="36"/>
      <c r="T20" s="36"/>
      <c r="U20" s="36"/>
      <c r="V20" s="36"/>
      <c r="W20" s="36"/>
    </row>
    <row r="21" ht="15.75" customHeight="1">
      <c r="A21" s="36" t="s">
        <v>557</v>
      </c>
      <c r="B21" s="36"/>
      <c r="C21" s="36"/>
      <c r="D21" s="36"/>
      <c r="E21" s="36"/>
      <c r="F21" s="36"/>
      <c r="G21" s="36"/>
      <c r="H21" s="36"/>
      <c r="I21" s="36"/>
      <c r="J21" s="36"/>
      <c r="K21" s="36"/>
      <c r="L21" s="36"/>
      <c r="M21" s="36"/>
      <c r="N21" s="36"/>
      <c r="O21" s="36"/>
      <c r="P21" s="36"/>
      <c r="Q21" s="36"/>
      <c r="R21" s="36"/>
      <c r="S21" s="36"/>
      <c r="T21" s="36"/>
      <c r="U21" s="36"/>
      <c r="V21" s="36"/>
      <c r="W21" s="36"/>
    </row>
    <row r="22" ht="15.75" customHeight="1">
      <c r="A22" s="36"/>
      <c r="B22" s="36"/>
      <c r="C22" s="36"/>
      <c r="D22" s="36"/>
      <c r="E22" s="36"/>
      <c r="F22" s="36"/>
      <c r="G22" s="36"/>
      <c r="H22" s="36"/>
      <c r="I22" s="36"/>
      <c r="J22" s="36"/>
      <c r="K22" s="36"/>
      <c r="L22" s="36"/>
      <c r="M22" s="36"/>
      <c r="N22" s="36"/>
      <c r="O22" s="36"/>
      <c r="P22" s="36"/>
      <c r="Q22" s="36"/>
      <c r="R22" s="36"/>
      <c r="S22" s="36"/>
      <c r="T22" s="36"/>
      <c r="U22" s="36"/>
      <c r="V22" s="36"/>
      <c r="W22" s="36"/>
    </row>
    <row r="23" ht="15.75" customHeight="1">
      <c r="A23" s="171" t="s">
        <v>1917</v>
      </c>
      <c r="B23" s="171" t="s">
        <v>1918</v>
      </c>
      <c r="C23" s="36"/>
      <c r="D23" s="36"/>
      <c r="E23" s="36"/>
      <c r="F23" s="36"/>
      <c r="G23" s="36"/>
      <c r="H23" s="36"/>
      <c r="I23" s="36"/>
      <c r="J23" s="36"/>
      <c r="K23" s="36"/>
      <c r="L23" s="36"/>
      <c r="M23" s="36"/>
      <c r="N23" s="36"/>
      <c r="O23" s="36"/>
      <c r="P23" s="36"/>
      <c r="Q23" s="36"/>
      <c r="R23" s="36"/>
      <c r="S23" s="36"/>
      <c r="T23" s="36"/>
      <c r="U23" s="36"/>
      <c r="V23" s="36"/>
      <c r="W23" s="36"/>
    </row>
    <row r="24" ht="15.75" customHeight="1">
      <c r="A24" s="171">
        <v>1.0</v>
      </c>
      <c r="B24" s="227">
        <v>0.3</v>
      </c>
      <c r="C24" s="36"/>
      <c r="D24" s="36"/>
      <c r="E24" s="36"/>
      <c r="F24" s="36"/>
      <c r="G24" s="36"/>
      <c r="H24" s="36"/>
      <c r="I24" s="36"/>
      <c r="J24" s="36"/>
      <c r="K24" s="36"/>
      <c r="L24" s="36"/>
      <c r="M24" s="36"/>
      <c r="N24" s="36"/>
      <c r="O24" s="36"/>
      <c r="P24" s="36"/>
      <c r="Q24" s="36"/>
      <c r="R24" s="36"/>
      <c r="S24" s="36"/>
      <c r="T24" s="36"/>
      <c r="U24" s="36"/>
      <c r="V24" s="36"/>
      <c r="W24" s="36"/>
    </row>
    <row r="25" ht="15.0" customHeight="1">
      <c r="A25" s="171">
        <v>2.0</v>
      </c>
      <c r="B25" s="227">
        <v>0.3</v>
      </c>
      <c r="C25" s="36"/>
      <c r="D25" s="36"/>
      <c r="E25" s="36"/>
      <c r="F25" s="36"/>
      <c r="G25" s="36"/>
      <c r="H25" s="36"/>
      <c r="I25" s="36"/>
      <c r="J25" s="36"/>
      <c r="K25" s="36"/>
      <c r="L25" s="36"/>
      <c r="M25" s="36"/>
      <c r="N25" s="36"/>
      <c r="O25" s="36"/>
      <c r="P25" s="36"/>
      <c r="Q25" s="36"/>
      <c r="R25" s="36"/>
      <c r="S25" s="36"/>
      <c r="T25" s="36"/>
      <c r="U25" s="36"/>
      <c r="V25" s="36"/>
      <c r="W25" s="36"/>
    </row>
    <row r="26" ht="15.0" customHeight="1">
      <c r="A26" s="171">
        <v>3.0</v>
      </c>
      <c r="B26" s="227">
        <v>0.01</v>
      </c>
      <c r="C26" s="36"/>
      <c r="D26" s="36"/>
      <c r="E26" s="36"/>
      <c r="F26" s="36"/>
      <c r="G26" s="36"/>
      <c r="H26" s="36"/>
      <c r="I26" s="36"/>
      <c r="J26" s="36"/>
      <c r="K26" s="36"/>
      <c r="L26" s="36"/>
      <c r="M26" s="36"/>
      <c r="N26" s="36"/>
      <c r="O26" s="36"/>
      <c r="P26" s="36"/>
      <c r="Q26" s="36"/>
      <c r="R26" s="36"/>
      <c r="S26" s="36"/>
      <c r="T26" s="36"/>
      <c r="U26" s="36"/>
      <c r="V26" s="36"/>
      <c r="W26" s="36"/>
    </row>
    <row r="27" ht="15.0" customHeight="1">
      <c r="A27" s="36"/>
      <c r="B27" s="214"/>
      <c r="C27" s="36"/>
      <c r="D27" s="36"/>
      <c r="E27" s="36"/>
      <c r="F27" s="36"/>
      <c r="G27" s="36"/>
      <c r="H27" s="36"/>
      <c r="I27" s="36"/>
      <c r="J27" s="36"/>
      <c r="K27" s="36"/>
      <c r="L27" s="36"/>
      <c r="M27" s="36"/>
      <c r="N27" s="36"/>
      <c r="O27" s="36"/>
      <c r="P27" s="36"/>
      <c r="Q27" s="36"/>
      <c r="R27" s="36"/>
      <c r="S27" s="36"/>
      <c r="T27" s="36"/>
      <c r="U27" s="36"/>
      <c r="V27" s="36"/>
      <c r="W27" s="36"/>
    </row>
    <row r="28" ht="15.75" customHeight="1">
      <c r="A28" s="36" t="s">
        <v>1919</v>
      </c>
      <c r="B28" s="36"/>
      <c r="C28" s="36"/>
      <c r="D28" s="36"/>
      <c r="E28" s="36"/>
      <c r="F28" s="36"/>
      <c r="G28" s="36"/>
      <c r="H28" s="36"/>
      <c r="I28" s="36"/>
      <c r="J28" s="36"/>
      <c r="K28" s="36"/>
      <c r="L28" s="36"/>
      <c r="M28" s="36"/>
      <c r="N28" s="36"/>
      <c r="O28" s="36"/>
      <c r="P28" s="36"/>
      <c r="Q28" s="36"/>
      <c r="R28" s="36"/>
      <c r="S28" s="36"/>
      <c r="T28" s="36"/>
      <c r="U28" s="36"/>
      <c r="V28" s="36"/>
      <c r="W28" s="36"/>
    </row>
    <row r="29" ht="15.75" customHeight="1">
      <c r="A29" s="36"/>
      <c r="B29" s="36"/>
      <c r="C29" s="36"/>
      <c r="D29" s="36"/>
      <c r="E29" s="36"/>
      <c r="F29" s="36"/>
      <c r="G29" s="36"/>
      <c r="H29" s="36"/>
      <c r="I29" s="36"/>
      <c r="J29" s="36"/>
      <c r="K29" s="36"/>
      <c r="L29" s="36"/>
      <c r="M29" s="36"/>
      <c r="N29" s="36"/>
      <c r="O29" s="36"/>
      <c r="P29" s="36"/>
      <c r="Q29" s="36"/>
      <c r="R29" s="36"/>
      <c r="S29" s="36"/>
      <c r="T29" s="36"/>
      <c r="U29" s="36"/>
      <c r="V29" s="36"/>
      <c r="W29" s="36"/>
    </row>
    <row r="30" ht="15.75" customHeight="1">
      <c r="A30" s="171" t="s">
        <v>1917</v>
      </c>
      <c r="B30" s="171" t="s">
        <v>1918</v>
      </c>
      <c r="C30" s="36"/>
      <c r="D30" s="36"/>
      <c r="E30" s="36"/>
      <c r="F30" s="36"/>
      <c r="G30" s="36"/>
      <c r="H30" s="36"/>
      <c r="I30" s="36"/>
      <c r="J30" s="36"/>
      <c r="K30" s="36"/>
      <c r="L30" s="36"/>
      <c r="M30" s="36"/>
      <c r="N30" s="36"/>
      <c r="O30" s="36"/>
      <c r="P30" s="36"/>
      <c r="Q30" s="36"/>
      <c r="R30" s="36"/>
      <c r="S30" s="36"/>
      <c r="T30" s="36"/>
      <c r="U30" s="36"/>
      <c r="V30" s="36"/>
      <c r="W30" s="36"/>
    </row>
    <row r="31" ht="15.75" customHeight="1">
      <c r="A31" s="171">
        <v>1.0</v>
      </c>
      <c r="B31" s="227">
        <v>0.6</v>
      </c>
      <c r="C31" s="36"/>
      <c r="D31" s="214"/>
      <c r="E31" s="36"/>
      <c r="F31" s="36"/>
      <c r="G31" s="36"/>
      <c r="H31" s="36"/>
      <c r="I31" s="36"/>
      <c r="J31" s="36"/>
      <c r="K31" s="36"/>
      <c r="L31" s="36"/>
      <c r="M31" s="36"/>
      <c r="N31" s="36"/>
      <c r="O31" s="36"/>
      <c r="P31" s="36"/>
      <c r="Q31" s="36"/>
      <c r="R31" s="36"/>
      <c r="S31" s="36"/>
      <c r="T31" s="36"/>
      <c r="U31" s="36"/>
      <c r="V31" s="36"/>
      <c r="W31" s="36"/>
    </row>
    <row r="32" ht="15.75" customHeight="1">
      <c r="A32" s="171">
        <v>2.0</v>
      </c>
      <c r="B32" s="227">
        <v>0.01</v>
      </c>
      <c r="C32" s="184"/>
      <c r="D32" s="214"/>
      <c r="E32" s="36"/>
      <c r="F32" s="36"/>
      <c r="G32" s="36"/>
      <c r="H32" s="36"/>
      <c r="I32" s="36"/>
      <c r="J32" s="36"/>
      <c r="K32" s="36"/>
      <c r="L32" s="36"/>
      <c r="M32" s="36"/>
      <c r="N32" s="36"/>
      <c r="O32" s="36"/>
      <c r="P32" s="36"/>
      <c r="Q32" s="36"/>
      <c r="R32" s="36"/>
      <c r="S32" s="36"/>
      <c r="T32" s="36"/>
      <c r="U32" s="36"/>
      <c r="V32" s="36"/>
      <c r="W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row>
    <row r="34" ht="15.75" customHeight="1">
      <c r="A34" s="323" t="s">
        <v>565</v>
      </c>
      <c r="B34" s="36"/>
      <c r="C34" s="36"/>
      <c r="D34" s="36"/>
      <c r="E34" s="36"/>
      <c r="F34" s="36"/>
      <c r="G34" s="36"/>
      <c r="H34" s="36"/>
      <c r="I34" s="36"/>
      <c r="J34" s="36"/>
      <c r="K34" s="36"/>
      <c r="L34" s="36"/>
      <c r="M34" s="36"/>
      <c r="N34" s="36"/>
      <c r="O34" s="36"/>
      <c r="P34" s="36"/>
      <c r="Q34" s="36"/>
      <c r="R34" s="36"/>
      <c r="S34" s="36"/>
      <c r="T34" s="36"/>
      <c r="U34" s="36"/>
      <c r="V34" s="36"/>
      <c r="W34" s="36"/>
    </row>
    <row r="35" ht="15.75" customHeight="1">
      <c r="A35" s="324"/>
      <c r="B35" s="36"/>
      <c r="C35" s="36"/>
      <c r="D35" s="36"/>
      <c r="E35" s="36"/>
      <c r="F35" s="36"/>
      <c r="G35" s="36"/>
      <c r="H35" s="36"/>
      <c r="I35" s="36"/>
      <c r="J35" s="36"/>
      <c r="K35" s="36"/>
      <c r="L35" s="36"/>
      <c r="M35" s="36"/>
      <c r="N35" s="36"/>
      <c r="O35" s="36"/>
      <c r="P35" s="36"/>
      <c r="Q35" s="36"/>
      <c r="R35" s="36"/>
      <c r="S35" s="36"/>
      <c r="T35" s="36"/>
      <c r="U35" s="36"/>
      <c r="V35" s="36"/>
      <c r="W35" s="36"/>
    </row>
    <row r="36" ht="15.75" customHeight="1">
      <c r="A36" s="171" t="s">
        <v>1917</v>
      </c>
      <c r="B36" s="171" t="s">
        <v>1918</v>
      </c>
      <c r="C36" s="36"/>
      <c r="D36" s="36"/>
      <c r="E36" s="36"/>
      <c r="F36" s="36"/>
      <c r="G36" s="36"/>
      <c r="H36" s="36"/>
      <c r="I36" s="36"/>
      <c r="J36" s="36"/>
      <c r="K36" s="36"/>
      <c r="L36" s="36"/>
      <c r="M36" s="36"/>
      <c r="N36" s="36"/>
      <c r="O36" s="36"/>
      <c r="P36" s="36"/>
      <c r="Q36" s="36"/>
      <c r="R36" s="36"/>
      <c r="S36" s="36"/>
      <c r="T36" s="36"/>
      <c r="U36" s="36"/>
      <c r="V36" s="36"/>
      <c r="W36" s="36"/>
    </row>
    <row r="37" ht="15.75" customHeight="1">
      <c r="A37" s="171">
        <v>1.0</v>
      </c>
      <c r="B37" s="227">
        <v>0.3</v>
      </c>
      <c r="C37" s="36"/>
      <c r="D37" s="36"/>
      <c r="E37" s="36"/>
      <c r="F37" s="36"/>
      <c r="G37" s="36"/>
      <c r="H37" s="36"/>
      <c r="I37" s="36"/>
      <c r="J37" s="36"/>
      <c r="K37" s="36"/>
      <c r="L37" s="36"/>
      <c r="M37" s="36"/>
      <c r="N37" s="36"/>
      <c r="O37" s="36"/>
      <c r="P37" s="36"/>
      <c r="Q37" s="36"/>
      <c r="R37" s="36"/>
      <c r="S37" s="36"/>
      <c r="T37" s="36"/>
      <c r="U37" s="36"/>
      <c r="V37" s="36"/>
      <c r="W37" s="36"/>
    </row>
    <row r="38" ht="15.75" customHeight="1">
      <c r="A38" s="171">
        <v>2.0</v>
      </c>
      <c r="B38" s="227">
        <v>0.01</v>
      </c>
      <c r="C38" s="214"/>
      <c r="D38" s="36"/>
      <c r="E38" s="36"/>
      <c r="F38" s="36"/>
      <c r="G38" s="36"/>
      <c r="H38" s="36"/>
      <c r="I38" s="36"/>
      <c r="J38" s="36"/>
      <c r="K38" s="36"/>
      <c r="L38" s="36"/>
      <c r="M38" s="36"/>
      <c r="N38" s="36"/>
      <c r="O38" s="36"/>
      <c r="P38" s="36"/>
      <c r="Q38" s="36"/>
      <c r="R38" s="36"/>
      <c r="S38" s="36"/>
      <c r="T38" s="36"/>
      <c r="U38" s="36"/>
      <c r="V38" s="36"/>
      <c r="W38" s="36"/>
    </row>
    <row r="39" ht="15.75" customHeight="1">
      <c r="A39" s="325"/>
      <c r="B39" s="214"/>
      <c r="C39" s="214"/>
      <c r="D39" s="36"/>
      <c r="E39" s="36"/>
      <c r="F39" s="36"/>
      <c r="G39" s="36"/>
      <c r="H39" s="36"/>
      <c r="I39" s="36"/>
      <c r="J39" s="36"/>
      <c r="K39" s="36"/>
      <c r="L39" s="36"/>
      <c r="M39" s="36"/>
      <c r="N39" s="36"/>
      <c r="O39" s="36"/>
      <c r="P39" s="36"/>
      <c r="Q39" s="36"/>
      <c r="R39" s="36"/>
      <c r="S39" s="36"/>
      <c r="T39" s="36"/>
      <c r="U39" s="36"/>
      <c r="V39" s="36"/>
      <c r="W39" s="36"/>
    </row>
    <row r="40" ht="15.75" customHeight="1">
      <c r="A40" s="36" t="s">
        <v>1920</v>
      </c>
      <c r="B40" s="214"/>
      <c r="C40" s="214"/>
      <c r="D40" s="36"/>
      <c r="E40" s="36"/>
      <c r="F40" s="36"/>
      <c r="G40" s="36"/>
      <c r="H40" s="36"/>
      <c r="I40" s="36"/>
      <c r="J40" s="36"/>
      <c r="K40" s="36"/>
      <c r="L40" s="36"/>
      <c r="M40" s="36"/>
      <c r="N40" s="36"/>
      <c r="O40" s="36"/>
      <c r="P40" s="36"/>
      <c r="Q40" s="36"/>
      <c r="R40" s="36"/>
      <c r="S40" s="36"/>
      <c r="T40" s="36"/>
      <c r="U40" s="36"/>
      <c r="V40" s="36"/>
      <c r="W40" s="36"/>
      <c r="X40" s="36"/>
      <c r="Y40" s="36"/>
    </row>
    <row r="41" ht="15.75" customHeight="1">
      <c r="A41" s="325"/>
      <c r="B41" s="214"/>
      <c r="C41" s="214"/>
      <c r="D41" s="36"/>
      <c r="E41" s="36"/>
      <c r="F41" s="36"/>
      <c r="G41" s="36"/>
      <c r="H41" s="36"/>
      <c r="I41" s="36"/>
      <c r="J41" s="36"/>
      <c r="K41" s="36"/>
      <c r="L41" s="36"/>
      <c r="M41" s="36"/>
      <c r="N41" s="36"/>
      <c r="O41" s="36"/>
      <c r="P41" s="36"/>
      <c r="Q41" s="36"/>
      <c r="R41" s="36"/>
      <c r="S41" s="36"/>
      <c r="T41" s="36"/>
      <c r="U41" s="36"/>
      <c r="V41" s="36"/>
      <c r="W41" s="36"/>
      <c r="X41" s="36"/>
      <c r="Y41" s="36"/>
    </row>
    <row r="42" ht="15.75" customHeight="1">
      <c r="A42" s="171" t="s">
        <v>1917</v>
      </c>
      <c r="B42" s="171" t="s">
        <v>1918</v>
      </c>
      <c r="C42" s="36"/>
      <c r="D42" s="36"/>
      <c r="E42" s="36"/>
      <c r="F42" s="36"/>
      <c r="G42" s="36"/>
      <c r="H42" s="36"/>
      <c r="I42" s="36"/>
      <c r="J42" s="36"/>
      <c r="K42" s="36"/>
      <c r="L42" s="36"/>
      <c r="M42" s="36"/>
      <c r="N42" s="36"/>
      <c r="O42" s="36"/>
      <c r="P42" s="36"/>
      <c r="Q42" s="36"/>
      <c r="R42" s="36"/>
      <c r="S42" s="36"/>
      <c r="T42" s="36"/>
      <c r="U42" s="36"/>
      <c r="V42" s="36"/>
      <c r="W42" s="36"/>
      <c r="X42" s="36"/>
      <c r="Y42" s="36"/>
    </row>
    <row r="43" ht="15.75" customHeight="1">
      <c r="A43" s="171">
        <v>1.0</v>
      </c>
      <c r="B43" s="227">
        <v>0.6</v>
      </c>
      <c r="C43" s="36"/>
      <c r="D43" s="36"/>
      <c r="E43" s="36"/>
      <c r="F43" s="36"/>
      <c r="G43" s="36"/>
      <c r="H43" s="36"/>
      <c r="I43" s="36"/>
      <c r="J43" s="36"/>
      <c r="K43" s="36"/>
      <c r="L43" s="36"/>
      <c r="M43" s="36"/>
      <c r="N43" s="36"/>
      <c r="O43" s="36"/>
      <c r="P43" s="36"/>
      <c r="Q43" s="36"/>
      <c r="R43" s="36"/>
      <c r="S43" s="36"/>
      <c r="T43" s="36"/>
      <c r="U43" s="36"/>
      <c r="V43" s="36"/>
      <c r="W43" s="36"/>
      <c r="X43" s="36"/>
      <c r="Y43" s="36"/>
    </row>
    <row r="44" ht="15.0" customHeight="1">
      <c r="A44" s="171">
        <v>2.0</v>
      </c>
      <c r="B44" s="227">
        <v>0.01</v>
      </c>
      <c r="C44" s="36"/>
      <c r="D44" s="36"/>
      <c r="E44" s="36"/>
      <c r="F44" s="36"/>
      <c r="G44" s="36"/>
      <c r="H44" s="36"/>
      <c r="I44" s="36"/>
      <c r="J44" s="36"/>
      <c r="K44" s="36"/>
      <c r="L44" s="36"/>
      <c r="M44" s="36"/>
      <c r="N44" s="36"/>
      <c r="O44" s="36"/>
      <c r="P44" s="36"/>
      <c r="Q44" s="36"/>
      <c r="R44" s="36"/>
      <c r="S44" s="36"/>
      <c r="T44" s="36"/>
      <c r="U44" s="36"/>
      <c r="V44" s="36"/>
      <c r="W44" s="36"/>
      <c r="X44" s="36"/>
      <c r="Y44" s="36"/>
    </row>
    <row r="45" ht="15.7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row>
    <row r="46" ht="15.75" customHeight="1">
      <c r="A46" s="319" t="s">
        <v>577</v>
      </c>
      <c r="B46" s="36"/>
      <c r="C46" s="36"/>
      <c r="D46" s="36"/>
      <c r="E46" s="36"/>
      <c r="F46" s="36"/>
      <c r="G46" s="36"/>
      <c r="H46" s="36"/>
      <c r="I46" s="36"/>
      <c r="J46" s="36"/>
      <c r="K46" s="36"/>
      <c r="L46" s="36"/>
      <c r="M46" s="36"/>
      <c r="N46" s="36"/>
      <c r="O46" s="36"/>
      <c r="P46" s="36"/>
      <c r="Q46" s="36"/>
      <c r="R46" s="36"/>
      <c r="S46" s="36"/>
      <c r="T46" s="36"/>
      <c r="U46" s="36"/>
      <c r="V46" s="36"/>
      <c r="W46" s="36"/>
      <c r="X46" s="36"/>
      <c r="Y46" s="36"/>
    </row>
    <row r="47" ht="15.7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row>
    <row r="48" ht="15.75" customHeight="1">
      <c r="A48" s="171" t="s">
        <v>1916</v>
      </c>
      <c r="B48" s="171">
        <v>1.0</v>
      </c>
      <c r="C48" s="171">
        <v>2.0</v>
      </c>
      <c r="D48" s="171">
        <v>3.0</v>
      </c>
      <c r="E48" s="36"/>
      <c r="F48" s="36"/>
      <c r="G48" s="36"/>
      <c r="H48" s="36"/>
      <c r="I48" s="36"/>
      <c r="J48" s="36"/>
      <c r="K48" s="36"/>
      <c r="L48" s="36"/>
      <c r="M48" s="36"/>
      <c r="N48" s="36"/>
      <c r="O48" s="36"/>
      <c r="P48" s="36"/>
      <c r="Q48" s="36"/>
      <c r="R48" s="36"/>
      <c r="S48" s="36"/>
      <c r="T48" s="36"/>
      <c r="U48" s="36"/>
      <c r="V48" s="36"/>
      <c r="W48" s="36"/>
      <c r="X48" s="36"/>
      <c r="Y48" s="36"/>
    </row>
    <row r="49" ht="15.75" customHeight="1">
      <c r="A49" s="322">
        <v>12000.0</v>
      </c>
      <c r="B49" s="227">
        <v>0.35</v>
      </c>
      <c r="C49" s="227">
        <v>0.35</v>
      </c>
      <c r="D49" s="227">
        <v>0.02</v>
      </c>
      <c r="E49" s="36"/>
      <c r="F49" s="36"/>
      <c r="G49" s="36"/>
      <c r="H49" s="36"/>
      <c r="I49" s="36"/>
      <c r="J49" s="36"/>
      <c r="K49" s="36"/>
      <c r="L49" s="36"/>
      <c r="M49" s="36"/>
      <c r="N49" s="36"/>
      <c r="O49" s="36"/>
      <c r="P49" s="36"/>
      <c r="Q49" s="36"/>
      <c r="R49" s="36"/>
      <c r="S49" s="36"/>
      <c r="T49" s="36"/>
      <c r="U49" s="36"/>
      <c r="V49" s="36"/>
      <c r="W49" s="36"/>
      <c r="X49" s="36"/>
      <c r="Y49" s="36"/>
    </row>
    <row r="50" ht="15.75" customHeight="1">
      <c r="A50" s="326">
        <v>200000.0</v>
      </c>
      <c r="B50" s="227">
        <v>0.28</v>
      </c>
      <c r="C50" s="227">
        <v>0.28</v>
      </c>
      <c r="D50" s="227">
        <v>0.02</v>
      </c>
      <c r="E50" s="36"/>
      <c r="F50" s="36"/>
      <c r="G50" s="36"/>
      <c r="H50" s="36"/>
      <c r="I50" s="36"/>
      <c r="J50" s="36"/>
      <c r="K50" s="36"/>
      <c r="L50" s="36"/>
      <c r="M50" s="36"/>
      <c r="N50" s="36"/>
      <c r="O50" s="36"/>
      <c r="P50" s="36"/>
      <c r="Q50" s="36"/>
      <c r="R50" s="36"/>
      <c r="S50" s="36"/>
      <c r="T50" s="36"/>
      <c r="U50" s="36"/>
      <c r="V50" s="36"/>
      <c r="W50" s="36"/>
      <c r="X50" s="36"/>
      <c r="Y50" s="36"/>
    </row>
    <row r="51" ht="15.75" customHeight="1">
      <c r="A51" s="322">
        <v>500000.0</v>
      </c>
      <c r="B51" s="227">
        <v>0.11</v>
      </c>
      <c r="C51" s="227">
        <v>0.11</v>
      </c>
      <c r="D51" s="227">
        <v>0.02</v>
      </c>
      <c r="E51" s="36"/>
      <c r="F51" s="36"/>
      <c r="G51" s="36"/>
      <c r="H51" s="36"/>
      <c r="I51" s="36"/>
      <c r="J51" s="36"/>
      <c r="K51" s="36"/>
      <c r="L51" s="36"/>
      <c r="M51" s="36"/>
      <c r="N51" s="36"/>
      <c r="O51" s="36"/>
      <c r="P51" s="36"/>
      <c r="Q51" s="36"/>
      <c r="R51" s="36"/>
      <c r="S51" s="36"/>
      <c r="T51" s="36"/>
      <c r="U51" s="36"/>
      <c r="V51" s="36"/>
      <c r="W51" s="36"/>
      <c r="X51" s="36"/>
      <c r="Y51" s="36"/>
    </row>
    <row r="52" ht="15.75" customHeight="1">
      <c r="A52" s="326">
        <v>1000000.0</v>
      </c>
      <c r="B52" s="227">
        <v>0.15</v>
      </c>
      <c r="C52" s="227">
        <v>0.15</v>
      </c>
      <c r="D52" s="227">
        <v>0.02</v>
      </c>
      <c r="E52" s="36"/>
      <c r="F52" s="36"/>
      <c r="G52" s="36"/>
      <c r="H52" s="36"/>
      <c r="I52" s="36"/>
      <c r="J52" s="36"/>
      <c r="K52" s="36"/>
      <c r="L52" s="36"/>
      <c r="M52" s="36"/>
      <c r="N52" s="36"/>
      <c r="O52" s="36"/>
      <c r="P52" s="36"/>
      <c r="Q52" s="36"/>
      <c r="R52" s="36"/>
      <c r="S52" s="36"/>
      <c r="T52" s="36"/>
      <c r="U52" s="36"/>
      <c r="V52" s="36"/>
      <c r="W52" s="36"/>
      <c r="X52" s="36"/>
      <c r="Y52" s="36"/>
    </row>
    <row r="53" ht="15.75" customHeight="1">
      <c r="A53" s="322">
        <v>2000000.0</v>
      </c>
      <c r="B53" s="227">
        <v>0.09</v>
      </c>
      <c r="C53" s="227">
        <v>0.09</v>
      </c>
      <c r="D53" s="227">
        <v>0.02</v>
      </c>
      <c r="E53" s="36"/>
      <c r="F53" s="36"/>
      <c r="G53" s="36"/>
      <c r="H53" s="36"/>
      <c r="I53" s="36"/>
      <c r="J53" s="36"/>
      <c r="K53" s="36"/>
      <c r="L53" s="36"/>
      <c r="M53" s="36"/>
      <c r="N53" s="36"/>
      <c r="O53" s="36"/>
      <c r="P53" s="36"/>
      <c r="Q53" s="36"/>
      <c r="R53" s="36"/>
      <c r="S53" s="36"/>
      <c r="T53" s="36"/>
      <c r="U53" s="36"/>
      <c r="V53" s="36"/>
      <c r="W53" s="36"/>
      <c r="X53" s="36"/>
      <c r="Y53" s="36"/>
    </row>
    <row r="54" ht="15.75" customHeight="1">
      <c r="A54" s="36"/>
      <c r="B54" s="184"/>
      <c r="C54" s="184"/>
      <c r="D54" s="214"/>
      <c r="E54" s="36"/>
      <c r="F54" s="36"/>
      <c r="G54" s="36"/>
      <c r="H54" s="36"/>
      <c r="I54" s="36"/>
      <c r="J54" s="36"/>
      <c r="K54" s="36"/>
      <c r="L54" s="36"/>
      <c r="M54" s="36"/>
      <c r="N54" s="36"/>
      <c r="O54" s="36"/>
      <c r="P54" s="36"/>
      <c r="Q54" s="36"/>
      <c r="R54" s="36"/>
      <c r="S54" s="36"/>
      <c r="T54" s="36"/>
      <c r="U54" s="36"/>
      <c r="V54" s="36"/>
      <c r="W54" s="36"/>
      <c r="X54" s="36"/>
      <c r="Y54" s="36"/>
    </row>
    <row r="55" ht="15.7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row>
    <row r="56" ht="15.75" customHeight="1">
      <c r="A56" s="36" t="s">
        <v>1921</v>
      </c>
      <c r="B56" s="36"/>
      <c r="C56" s="36"/>
      <c r="D56" s="36"/>
      <c r="E56" s="36"/>
      <c r="F56" s="36"/>
      <c r="G56" s="36"/>
      <c r="H56" s="36"/>
      <c r="I56" s="36"/>
      <c r="J56" s="36"/>
      <c r="K56" s="36"/>
      <c r="L56" s="36"/>
      <c r="M56" s="36"/>
      <c r="N56" s="36"/>
      <c r="O56" s="36"/>
      <c r="P56" s="36"/>
      <c r="Q56" s="36"/>
      <c r="R56" s="36"/>
      <c r="S56" s="36"/>
      <c r="T56" s="36"/>
      <c r="U56" s="36"/>
      <c r="V56" s="36"/>
      <c r="W56" s="36"/>
      <c r="X56" s="36"/>
      <c r="Y56" s="36"/>
    </row>
    <row r="57" ht="15.7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row>
    <row r="58" ht="15.75" customHeight="1">
      <c r="A58" s="171" t="s">
        <v>1916</v>
      </c>
      <c r="B58" s="171">
        <v>1.0</v>
      </c>
      <c r="C58" s="171">
        <v>2.0</v>
      </c>
      <c r="D58" s="171">
        <v>3.0</v>
      </c>
      <c r="E58" s="36"/>
      <c r="F58" s="36"/>
      <c r="G58" s="36"/>
      <c r="H58" s="36"/>
      <c r="I58" s="36"/>
      <c r="J58" s="36"/>
      <c r="K58" s="36"/>
      <c r="L58" s="36"/>
      <c r="M58" s="36"/>
      <c r="N58" s="36"/>
      <c r="O58" s="36"/>
      <c r="P58" s="36"/>
      <c r="Q58" s="36"/>
      <c r="R58" s="36"/>
      <c r="S58" s="36"/>
      <c r="T58" s="36"/>
      <c r="U58" s="36"/>
      <c r="V58" s="36"/>
      <c r="W58" s="36"/>
      <c r="X58" s="36"/>
      <c r="Y58" s="36"/>
    </row>
    <row r="59" ht="15.75" customHeight="1">
      <c r="A59" s="322">
        <v>12000.0</v>
      </c>
      <c r="B59" s="227">
        <v>0.6</v>
      </c>
      <c r="C59" s="227">
        <v>0.07</v>
      </c>
      <c r="D59" s="227">
        <v>0.02</v>
      </c>
      <c r="E59" s="36"/>
      <c r="F59" s="36"/>
      <c r="G59" s="36"/>
      <c r="H59" s="36"/>
      <c r="I59" s="36"/>
      <c r="J59" s="36"/>
      <c r="K59" s="36"/>
      <c r="L59" s="36"/>
      <c r="M59" s="36"/>
      <c r="N59" s="36"/>
      <c r="O59" s="36"/>
      <c r="P59" s="36"/>
      <c r="Q59" s="36"/>
      <c r="R59" s="36"/>
      <c r="S59" s="36"/>
      <c r="T59" s="36"/>
      <c r="U59" s="36"/>
      <c r="V59" s="36"/>
      <c r="W59" s="36"/>
      <c r="X59" s="36"/>
      <c r="Y59" s="36"/>
    </row>
    <row r="60" ht="15.75" customHeight="1">
      <c r="A60" s="326">
        <v>200000.0</v>
      </c>
      <c r="B60" s="227">
        <v>0.48</v>
      </c>
      <c r="C60" s="227">
        <v>0.07</v>
      </c>
      <c r="D60" s="227">
        <v>0.02</v>
      </c>
      <c r="E60" s="36"/>
      <c r="F60" s="36"/>
      <c r="G60" s="36"/>
      <c r="H60" s="36"/>
      <c r="I60" s="36"/>
      <c r="J60" s="36"/>
      <c r="K60" s="36"/>
      <c r="L60" s="36"/>
      <c r="M60" s="36"/>
      <c r="N60" s="36"/>
      <c r="O60" s="36"/>
      <c r="P60" s="36"/>
      <c r="Q60" s="36"/>
      <c r="R60" s="36"/>
      <c r="S60" s="36"/>
      <c r="T60" s="36"/>
      <c r="U60" s="36"/>
      <c r="V60" s="36"/>
      <c r="W60" s="36"/>
      <c r="X60" s="36"/>
      <c r="Y60" s="36"/>
    </row>
    <row r="61" ht="15.75" customHeight="1">
      <c r="A61" s="322">
        <v>500000.0</v>
      </c>
      <c r="B61" s="227">
        <v>0.36</v>
      </c>
      <c r="C61" s="227">
        <v>0.07</v>
      </c>
      <c r="D61" s="227">
        <v>0.02</v>
      </c>
      <c r="E61" s="36"/>
      <c r="F61" s="36"/>
      <c r="G61" s="36"/>
      <c r="H61" s="36"/>
      <c r="I61" s="36"/>
      <c r="J61" s="36"/>
      <c r="K61" s="36"/>
      <c r="L61" s="36"/>
      <c r="M61" s="36"/>
      <c r="N61" s="36"/>
      <c r="O61" s="36"/>
      <c r="P61" s="36"/>
      <c r="Q61" s="36"/>
      <c r="R61" s="36"/>
      <c r="S61" s="36"/>
      <c r="T61" s="36"/>
      <c r="U61" s="36"/>
      <c r="V61" s="36"/>
      <c r="W61" s="36"/>
      <c r="X61" s="36"/>
      <c r="Y61" s="36"/>
    </row>
    <row r="62" ht="15.75" customHeight="1">
      <c r="A62" s="326">
        <v>1000000.0</v>
      </c>
      <c r="B62" s="227">
        <v>0.23</v>
      </c>
      <c r="C62" s="227">
        <v>0.07</v>
      </c>
      <c r="D62" s="227">
        <v>0.02</v>
      </c>
      <c r="E62" s="36"/>
      <c r="F62" s="36"/>
      <c r="G62" s="36"/>
      <c r="H62" s="36"/>
      <c r="I62" s="36"/>
      <c r="J62" s="36"/>
      <c r="K62" s="36"/>
      <c r="L62" s="36"/>
      <c r="M62" s="36"/>
      <c r="N62" s="36"/>
      <c r="O62" s="36"/>
      <c r="P62" s="36"/>
      <c r="Q62" s="36"/>
      <c r="R62" s="36"/>
      <c r="S62" s="36"/>
      <c r="T62" s="36"/>
      <c r="U62" s="36"/>
      <c r="V62" s="36"/>
      <c r="W62" s="36"/>
      <c r="X62" s="36"/>
      <c r="Y62" s="36"/>
    </row>
    <row r="63" ht="15.75" customHeight="1">
      <c r="A63" s="322">
        <v>2000000.0</v>
      </c>
      <c r="B63" s="227">
        <v>0.1</v>
      </c>
      <c r="C63" s="227">
        <v>0.07</v>
      </c>
      <c r="D63" s="227">
        <v>0.02</v>
      </c>
      <c r="E63" s="36"/>
      <c r="F63" s="36"/>
      <c r="G63" s="36"/>
      <c r="H63" s="36"/>
      <c r="I63" s="36"/>
      <c r="J63" s="36"/>
      <c r="K63" s="36"/>
      <c r="L63" s="36"/>
      <c r="M63" s="36"/>
      <c r="N63" s="36"/>
      <c r="O63" s="36"/>
      <c r="P63" s="36"/>
      <c r="Q63" s="36"/>
      <c r="R63" s="36"/>
      <c r="S63" s="36"/>
      <c r="T63" s="36"/>
      <c r="U63" s="36"/>
      <c r="V63" s="36"/>
      <c r="W63" s="36"/>
      <c r="X63" s="36"/>
      <c r="Y63" s="36"/>
    </row>
    <row r="64" ht="15.75" customHeight="1">
      <c r="A64" s="36"/>
      <c r="B64" s="184"/>
      <c r="C64" s="36"/>
      <c r="D64" s="214"/>
      <c r="E64" s="36"/>
      <c r="F64" s="36"/>
      <c r="G64" s="36"/>
      <c r="H64" s="36"/>
      <c r="I64" s="36"/>
      <c r="J64" s="36"/>
      <c r="K64" s="36"/>
      <c r="L64" s="36"/>
      <c r="M64" s="36"/>
      <c r="N64" s="36"/>
      <c r="O64" s="36"/>
      <c r="P64" s="36"/>
      <c r="Q64" s="36"/>
      <c r="R64" s="36"/>
      <c r="S64" s="36"/>
      <c r="T64" s="36"/>
      <c r="U64" s="36"/>
      <c r="V64" s="36"/>
      <c r="W64" s="36"/>
      <c r="X64" s="36"/>
      <c r="Y64" s="36"/>
    </row>
    <row r="65" ht="15.0" customHeight="1">
      <c r="A65" s="222" t="s">
        <v>736</v>
      </c>
      <c r="B65" s="36"/>
      <c r="C65" s="36"/>
      <c r="D65" s="36"/>
      <c r="E65" s="36"/>
      <c r="F65" s="36"/>
      <c r="G65" s="36"/>
      <c r="H65" s="36"/>
      <c r="I65" s="36"/>
      <c r="J65" s="36"/>
      <c r="K65" s="36"/>
      <c r="L65" s="36"/>
      <c r="M65" s="36"/>
      <c r="N65" s="36"/>
      <c r="O65" s="36"/>
      <c r="P65" s="36"/>
      <c r="Q65" s="36"/>
      <c r="R65" s="36"/>
      <c r="S65" s="36"/>
      <c r="T65" s="36"/>
      <c r="U65" s="36"/>
      <c r="V65" s="36"/>
      <c r="W65" s="36"/>
      <c r="X65" s="36"/>
      <c r="Y65" s="36"/>
    </row>
    <row r="66" ht="15.7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row>
    <row r="67" ht="15.75" customHeight="1">
      <c r="A67" s="36" t="s">
        <v>1917</v>
      </c>
      <c r="B67" s="36" t="s">
        <v>1918</v>
      </c>
      <c r="C67" s="36"/>
      <c r="D67" s="36"/>
      <c r="E67" s="36"/>
      <c r="F67" s="36"/>
      <c r="G67" s="36"/>
      <c r="H67" s="36"/>
      <c r="I67" s="36"/>
      <c r="J67" s="36"/>
      <c r="K67" s="36"/>
      <c r="L67" s="36"/>
      <c r="M67" s="36"/>
      <c r="N67" s="36"/>
      <c r="O67" s="36"/>
      <c r="P67" s="36"/>
      <c r="Q67" s="36"/>
      <c r="R67" s="36"/>
      <c r="S67" s="36"/>
      <c r="T67" s="36"/>
      <c r="U67" s="36"/>
      <c r="V67" s="36"/>
      <c r="W67" s="36"/>
      <c r="X67" s="36"/>
      <c r="Y67" s="36"/>
    </row>
    <row r="68" ht="15.75" customHeight="1">
      <c r="A68" s="171">
        <v>1.0</v>
      </c>
      <c r="B68" s="183">
        <v>0.025</v>
      </c>
      <c r="C68" s="36"/>
      <c r="D68" s="36"/>
      <c r="E68" s="36"/>
      <c r="F68" s="36"/>
      <c r="G68" s="36"/>
      <c r="H68" s="36"/>
      <c r="I68" s="36"/>
      <c r="J68" s="36"/>
      <c r="K68" s="36"/>
      <c r="L68" s="36"/>
      <c r="M68" s="36"/>
      <c r="N68" s="36"/>
      <c r="O68" s="36"/>
      <c r="P68" s="36"/>
      <c r="Q68" s="36"/>
      <c r="R68" s="36"/>
      <c r="S68" s="36"/>
      <c r="T68" s="36"/>
      <c r="U68" s="36"/>
      <c r="V68" s="36"/>
      <c r="W68" s="36"/>
      <c r="X68" s="36"/>
      <c r="Y68" s="36"/>
    </row>
    <row r="69" ht="15.75" customHeight="1">
      <c r="A69" s="327">
        <v>2.0</v>
      </c>
      <c r="B69" s="328">
        <v>0.0</v>
      </c>
      <c r="C69" s="36"/>
      <c r="D69" s="36"/>
      <c r="E69" s="36"/>
      <c r="F69" s="36"/>
      <c r="G69" s="36"/>
      <c r="H69" s="36"/>
      <c r="I69" s="36"/>
      <c r="J69" s="36"/>
      <c r="K69" s="36"/>
      <c r="L69" s="36"/>
      <c r="M69" s="36"/>
      <c r="N69" s="36"/>
      <c r="O69" s="36"/>
      <c r="P69" s="36"/>
      <c r="Q69" s="36"/>
      <c r="R69" s="36"/>
      <c r="S69" s="36"/>
      <c r="T69" s="36"/>
      <c r="U69" s="36"/>
      <c r="V69" s="36"/>
      <c r="W69" s="36"/>
      <c r="X69" s="36"/>
      <c r="Y69" s="36"/>
    </row>
    <row r="70" ht="15.75" customHeight="1">
      <c r="A70" s="36"/>
      <c r="B70" s="214"/>
      <c r="C70" s="36"/>
      <c r="D70" s="36"/>
      <c r="E70" s="36"/>
      <c r="F70" s="36"/>
      <c r="G70" s="36"/>
      <c r="H70" s="36"/>
      <c r="I70" s="36"/>
      <c r="J70" s="36"/>
      <c r="K70" s="36"/>
      <c r="L70" s="36"/>
      <c r="M70" s="36"/>
      <c r="N70" s="36"/>
      <c r="O70" s="36"/>
      <c r="P70" s="36"/>
      <c r="Q70" s="36"/>
      <c r="R70" s="36"/>
      <c r="S70" s="36"/>
      <c r="T70" s="36"/>
      <c r="U70" s="36"/>
      <c r="V70" s="36"/>
      <c r="W70" s="36"/>
      <c r="X70" s="36"/>
      <c r="Y70" s="36"/>
    </row>
    <row r="71" ht="15.75" customHeight="1">
      <c r="A71" s="222" t="s">
        <v>810</v>
      </c>
      <c r="B71" s="214"/>
      <c r="C71" s="36"/>
      <c r="D71" s="36"/>
      <c r="E71" s="36"/>
      <c r="F71" s="36"/>
      <c r="G71" s="36"/>
      <c r="H71" s="36"/>
      <c r="I71" s="36"/>
      <c r="J71" s="36"/>
      <c r="K71" s="36"/>
      <c r="L71" s="36"/>
      <c r="M71" s="36"/>
      <c r="N71" s="36"/>
      <c r="O71" s="36"/>
      <c r="P71" s="36"/>
      <c r="Q71" s="36"/>
      <c r="R71" s="36"/>
      <c r="S71" s="36"/>
      <c r="T71" s="36"/>
      <c r="U71" s="36"/>
      <c r="V71" s="36"/>
      <c r="W71" s="36"/>
      <c r="X71" s="36"/>
      <c r="Y71" s="36"/>
    </row>
    <row r="72" ht="15.75" customHeight="1">
      <c r="A72" s="222"/>
      <c r="B72" s="214"/>
      <c r="C72" s="36"/>
      <c r="D72" s="36"/>
      <c r="E72" s="36"/>
      <c r="F72" s="36"/>
      <c r="G72" s="36"/>
      <c r="H72" s="36"/>
      <c r="I72" s="36"/>
      <c r="J72" s="36"/>
      <c r="K72" s="36"/>
      <c r="L72" s="36"/>
      <c r="M72" s="36"/>
      <c r="N72" s="36"/>
      <c r="O72" s="36"/>
      <c r="P72" s="36"/>
      <c r="Q72" s="36"/>
      <c r="R72" s="36"/>
      <c r="S72" s="36"/>
      <c r="T72" s="36"/>
      <c r="U72" s="36"/>
      <c r="V72" s="36"/>
      <c r="W72" s="36"/>
      <c r="X72" s="36"/>
      <c r="Y72" s="36"/>
    </row>
    <row r="73" ht="15.75" customHeight="1">
      <c r="A73" s="222" t="s">
        <v>1917</v>
      </c>
      <c r="B73" s="214" t="s">
        <v>1918</v>
      </c>
      <c r="C73" s="36"/>
      <c r="D73" s="36"/>
      <c r="E73" s="36"/>
      <c r="F73" s="36"/>
      <c r="G73" s="36"/>
      <c r="H73" s="36"/>
      <c r="I73" s="36"/>
      <c r="J73" s="36"/>
      <c r="K73" s="36"/>
      <c r="L73" s="36"/>
      <c r="M73" s="36"/>
      <c r="N73" s="36"/>
      <c r="O73" s="36"/>
      <c r="P73" s="36"/>
      <c r="Q73" s="36"/>
      <c r="R73" s="36"/>
      <c r="S73" s="36"/>
      <c r="T73" s="36"/>
      <c r="U73" s="36"/>
      <c r="V73" s="36"/>
      <c r="W73" s="36"/>
      <c r="X73" s="36"/>
      <c r="Y73" s="36"/>
    </row>
    <row r="74" ht="15.75" customHeight="1">
      <c r="A74" s="36">
        <v>1.0</v>
      </c>
      <c r="B74" s="214">
        <v>0.02</v>
      </c>
      <c r="C74" s="36"/>
      <c r="D74" s="36"/>
      <c r="E74" s="36"/>
      <c r="F74" s="36"/>
      <c r="G74" s="36"/>
      <c r="H74" s="36"/>
      <c r="I74" s="36"/>
      <c r="J74" s="36"/>
      <c r="K74" s="36"/>
      <c r="L74" s="36"/>
      <c r="M74" s="36"/>
      <c r="N74" s="36"/>
      <c r="O74" s="36"/>
      <c r="P74" s="36"/>
      <c r="Q74" s="36"/>
      <c r="R74" s="36"/>
      <c r="S74" s="36"/>
      <c r="T74" s="36"/>
      <c r="U74" s="36"/>
      <c r="V74" s="36"/>
      <c r="W74" s="36"/>
      <c r="X74" s="36"/>
      <c r="Y74" s="36"/>
    </row>
    <row r="75" ht="15.75" customHeight="1">
      <c r="A75" s="36">
        <v>2.0</v>
      </c>
      <c r="B75" s="214">
        <v>0.0</v>
      </c>
      <c r="C75" s="36"/>
      <c r="D75" s="36"/>
      <c r="E75" s="36"/>
      <c r="F75" s="36"/>
      <c r="G75" s="36"/>
      <c r="H75" s="36"/>
      <c r="I75" s="36"/>
      <c r="J75" s="36"/>
      <c r="K75" s="36"/>
      <c r="L75" s="36"/>
      <c r="M75" s="36"/>
      <c r="N75" s="36"/>
      <c r="O75" s="36"/>
      <c r="P75" s="36"/>
      <c r="Q75" s="36"/>
      <c r="R75" s="36"/>
      <c r="S75" s="36"/>
      <c r="T75" s="36"/>
      <c r="U75" s="36"/>
      <c r="V75" s="36"/>
      <c r="W75" s="36"/>
      <c r="X75" s="36"/>
      <c r="Y75" s="36"/>
    </row>
    <row r="76" ht="15.7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row>
    <row r="77" ht="15.75" customHeight="1">
      <c r="A77" s="36" t="s">
        <v>1922</v>
      </c>
      <c r="B77" s="36"/>
      <c r="C77" s="36"/>
      <c r="D77" s="36" t="s">
        <v>1923</v>
      </c>
      <c r="E77" s="36"/>
      <c r="F77" s="36"/>
      <c r="G77" s="36"/>
      <c r="H77" s="36"/>
      <c r="I77" s="36"/>
      <c r="J77" s="36"/>
      <c r="K77" s="36"/>
      <c r="L77" s="36"/>
      <c r="M77" s="36"/>
      <c r="N77" s="36"/>
      <c r="O77" s="36"/>
      <c r="P77" s="36"/>
      <c r="Q77" s="36"/>
      <c r="R77" s="36"/>
      <c r="S77" s="36"/>
      <c r="T77" s="36"/>
      <c r="U77" s="36"/>
      <c r="V77" s="36"/>
      <c r="W77" s="36"/>
      <c r="X77" s="36"/>
      <c r="Y77" s="36"/>
    </row>
    <row r="78" ht="15.75" customHeight="1">
      <c r="A78" s="171" t="s">
        <v>1924</v>
      </c>
      <c r="B78" s="171" t="s">
        <v>1918</v>
      </c>
      <c r="C78" s="36"/>
      <c r="D78" s="171" t="s">
        <v>1917</v>
      </c>
      <c r="E78" s="171" t="s">
        <v>1918</v>
      </c>
      <c r="F78" s="36"/>
      <c r="G78" s="36"/>
      <c r="H78" s="36"/>
      <c r="I78" s="36"/>
      <c r="J78" s="36"/>
      <c r="K78" s="36"/>
      <c r="L78" s="36"/>
      <c r="M78" s="36"/>
      <c r="N78" s="36"/>
      <c r="O78" s="36"/>
      <c r="P78" s="36"/>
      <c r="Q78" s="36"/>
      <c r="R78" s="36"/>
      <c r="S78" s="36"/>
      <c r="T78" s="36"/>
      <c r="U78" s="36"/>
      <c r="V78" s="36"/>
      <c r="W78" s="36"/>
      <c r="X78" s="36"/>
      <c r="Y78" s="36"/>
    </row>
    <row r="79" ht="15.75" customHeight="1">
      <c r="A79" s="171">
        <v>1.0</v>
      </c>
      <c r="B79" s="227">
        <v>0.2</v>
      </c>
      <c r="C79" s="36"/>
      <c r="D79" s="171">
        <v>1.0</v>
      </c>
      <c r="E79" s="227">
        <v>0.2</v>
      </c>
      <c r="F79" s="36"/>
      <c r="G79" s="36"/>
      <c r="H79" s="36"/>
      <c r="I79" s="36"/>
      <c r="J79" s="36"/>
      <c r="K79" s="36"/>
      <c r="L79" s="36"/>
      <c r="M79" s="36"/>
      <c r="N79" s="36"/>
      <c r="O79" s="36"/>
      <c r="P79" s="36"/>
      <c r="Q79" s="36"/>
      <c r="R79" s="36"/>
      <c r="S79" s="36"/>
      <c r="T79" s="36"/>
      <c r="U79" s="36"/>
      <c r="V79" s="36"/>
      <c r="W79" s="36"/>
      <c r="X79" s="36"/>
      <c r="Y79" s="36"/>
    </row>
    <row r="80" ht="15.75" customHeight="1">
      <c r="A80" s="171">
        <v>2.0</v>
      </c>
      <c r="B80" s="227">
        <v>0.2</v>
      </c>
      <c r="C80" s="36"/>
      <c r="D80" s="171">
        <v>2.0</v>
      </c>
      <c r="E80" s="227">
        <v>0.2</v>
      </c>
      <c r="F80" s="36"/>
      <c r="G80" s="36"/>
      <c r="H80" s="36"/>
      <c r="I80" s="36"/>
      <c r="J80" s="36"/>
      <c r="K80" s="36"/>
      <c r="L80" s="36"/>
      <c r="M80" s="36"/>
      <c r="N80" s="36"/>
      <c r="O80" s="36"/>
      <c r="P80" s="36"/>
      <c r="Q80" s="36"/>
      <c r="R80" s="36"/>
      <c r="S80" s="36"/>
      <c r="T80" s="36"/>
      <c r="U80" s="36"/>
      <c r="V80" s="36"/>
      <c r="W80" s="36"/>
      <c r="X80" s="36"/>
      <c r="Y80" s="36"/>
    </row>
    <row r="81" ht="15.75" customHeight="1">
      <c r="A81" s="171">
        <v>3.0</v>
      </c>
      <c r="B81" s="227">
        <v>0.15</v>
      </c>
      <c r="C81" s="36"/>
      <c r="D81" s="171">
        <v>3.0</v>
      </c>
      <c r="E81" s="227">
        <v>0.1</v>
      </c>
      <c r="F81" s="36"/>
      <c r="G81" s="36"/>
      <c r="H81" s="36"/>
      <c r="I81" s="36"/>
      <c r="J81" s="36"/>
      <c r="K81" s="36"/>
      <c r="L81" s="36"/>
      <c r="M81" s="36"/>
      <c r="N81" s="36"/>
      <c r="O81" s="36"/>
      <c r="P81" s="36"/>
      <c r="Q81" s="36"/>
      <c r="R81" s="36"/>
      <c r="S81" s="36"/>
      <c r="T81" s="36"/>
      <c r="U81" s="36"/>
      <c r="V81" s="36"/>
      <c r="W81" s="36"/>
      <c r="X81" s="36"/>
      <c r="Y81" s="36"/>
    </row>
    <row r="82" ht="15.75" customHeight="1">
      <c r="A82" s="171">
        <v>4.0</v>
      </c>
      <c r="B82" s="227">
        <v>0.02</v>
      </c>
      <c r="C82" s="36"/>
      <c r="D82" s="171">
        <v>4.0</v>
      </c>
      <c r="E82" s="227">
        <v>0.02</v>
      </c>
      <c r="F82" s="36"/>
      <c r="G82" s="36"/>
      <c r="H82" s="36"/>
      <c r="I82" s="36"/>
      <c r="J82" s="36"/>
      <c r="K82" s="36"/>
      <c r="L82" s="36"/>
      <c r="M82" s="36"/>
      <c r="N82" s="36"/>
      <c r="O82" s="36"/>
      <c r="P82" s="36"/>
      <c r="Q82" s="36"/>
      <c r="R82" s="36"/>
      <c r="S82" s="36"/>
      <c r="T82" s="36"/>
      <c r="U82" s="36"/>
      <c r="V82" s="36"/>
      <c r="W82" s="36"/>
      <c r="X82" s="36"/>
      <c r="Y82" s="36"/>
    </row>
    <row r="83" ht="15.7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row>
    <row r="84" ht="15.75" customHeight="1">
      <c r="A84" s="36" t="s">
        <v>1925</v>
      </c>
      <c r="B84" s="36"/>
      <c r="C84" s="36"/>
      <c r="D84" s="36"/>
      <c r="E84" s="36"/>
      <c r="F84" s="36"/>
      <c r="G84" s="36"/>
      <c r="H84" s="36"/>
      <c r="I84" s="36"/>
      <c r="J84" s="36"/>
      <c r="K84" s="36"/>
      <c r="L84" s="36"/>
      <c r="M84" s="36"/>
      <c r="N84" s="36"/>
      <c r="O84" s="36"/>
      <c r="P84" s="36"/>
      <c r="Q84" s="36"/>
      <c r="R84" s="36"/>
      <c r="S84" s="36"/>
      <c r="T84" s="36"/>
      <c r="U84" s="36"/>
      <c r="V84" s="36"/>
      <c r="W84" s="36"/>
      <c r="X84" s="36"/>
      <c r="Y84" s="36"/>
    </row>
    <row r="85" ht="15.75" customHeight="1">
      <c r="A85" s="171" t="s">
        <v>253</v>
      </c>
      <c r="B85" s="171">
        <v>1.0</v>
      </c>
      <c r="C85" s="36"/>
      <c r="D85" s="36"/>
      <c r="E85" s="36"/>
      <c r="F85" s="36"/>
      <c r="G85" s="36"/>
      <c r="H85" s="36"/>
      <c r="I85" s="36"/>
      <c r="J85" s="36"/>
      <c r="K85" s="36"/>
      <c r="L85" s="36"/>
      <c r="M85" s="36"/>
      <c r="N85" s="36"/>
      <c r="O85" s="36"/>
      <c r="P85" s="36"/>
      <c r="Q85" s="36"/>
      <c r="R85" s="36"/>
      <c r="S85" s="36"/>
      <c r="T85" s="36"/>
      <c r="U85" s="36"/>
      <c r="V85" s="36"/>
      <c r="W85" s="36"/>
      <c r="X85" s="36"/>
      <c r="Y85" s="36"/>
    </row>
    <row r="86" ht="15.75" customHeight="1">
      <c r="A86" s="171">
        <v>100000.0</v>
      </c>
      <c r="B86" s="227">
        <v>0.13</v>
      </c>
      <c r="C86" s="36"/>
      <c r="D86" s="36"/>
      <c r="E86" s="36"/>
      <c r="F86" s="36"/>
      <c r="G86" s="36"/>
      <c r="H86" s="36"/>
      <c r="I86" s="36"/>
      <c r="J86" s="36"/>
      <c r="K86" s="36"/>
      <c r="L86" s="36"/>
      <c r="M86" s="36"/>
      <c r="N86" s="36"/>
      <c r="O86" s="36"/>
      <c r="P86" s="36"/>
      <c r="Q86" s="36"/>
      <c r="R86" s="36"/>
      <c r="S86" s="36"/>
      <c r="T86" s="36"/>
      <c r="U86" s="36"/>
      <c r="V86" s="36"/>
      <c r="W86" s="36"/>
      <c r="X86" s="36"/>
      <c r="Y86" s="36"/>
    </row>
    <row r="87" ht="15.75" customHeight="1">
      <c r="A87" s="171">
        <v>500000.0</v>
      </c>
      <c r="B87" s="227">
        <v>0.02</v>
      </c>
      <c r="C87" s="36"/>
      <c r="D87" s="36"/>
      <c r="E87" s="36"/>
      <c r="F87" s="36"/>
      <c r="G87" s="36"/>
      <c r="H87" s="36"/>
      <c r="I87" s="36"/>
      <c r="J87" s="36"/>
      <c r="K87" s="36"/>
      <c r="L87" s="36"/>
      <c r="M87" s="36"/>
      <c r="N87" s="36"/>
      <c r="O87" s="36"/>
      <c r="P87" s="36"/>
      <c r="Q87" s="36"/>
      <c r="R87" s="36"/>
      <c r="S87" s="36"/>
      <c r="T87" s="36"/>
      <c r="U87" s="36"/>
      <c r="V87" s="36"/>
      <c r="W87" s="36"/>
      <c r="X87" s="36"/>
      <c r="Y87" s="36"/>
    </row>
    <row r="88" ht="15.75" customHeight="1">
      <c r="A88" s="171">
        <v>2500000.0</v>
      </c>
      <c r="B88" s="183">
        <v>0.015</v>
      </c>
      <c r="C88" s="36"/>
      <c r="D88" s="36"/>
      <c r="E88" s="36"/>
      <c r="F88" s="36"/>
      <c r="G88" s="36"/>
      <c r="H88" s="36"/>
      <c r="I88" s="36"/>
      <c r="J88" s="36"/>
      <c r="K88" s="36"/>
      <c r="L88" s="36"/>
      <c r="M88" s="36"/>
      <c r="N88" s="36"/>
      <c r="O88" s="36"/>
      <c r="P88" s="36"/>
      <c r="Q88" s="36"/>
      <c r="R88" s="36"/>
      <c r="S88" s="36"/>
      <c r="T88" s="36"/>
      <c r="U88" s="36"/>
      <c r="V88" s="36"/>
      <c r="W88" s="36"/>
      <c r="X88" s="36"/>
      <c r="Y88" s="36"/>
    </row>
    <row r="89" ht="15.75" customHeight="1">
      <c r="A89" s="171">
        <v>5000000.0</v>
      </c>
      <c r="B89" s="227">
        <v>0.01</v>
      </c>
      <c r="C89" s="36"/>
      <c r="D89" s="36"/>
      <c r="E89" s="36"/>
      <c r="F89" s="36"/>
      <c r="G89" s="36"/>
      <c r="H89" s="36"/>
      <c r="I89" s="36"/>
      <c r="J89" s="36"/>
      <c r="K89" s="36"/>
      <c r="L89" s="36"/>
      <c r="M89" s="36"/>
      <c r="N89" s="36"/>
      <c r="O89" s="36"/>
      <c r="P89" s="36"/>
      <c r="Q89" s="36"/>
      <c r="R89" s="36"/>
      <c r="S89" s="36"/>
      <c r="T89" s="36"/>
      <c r="U89" s="36"/>
      <c r="V89" s="36"/>
      <c r="W89" s="36"/>
      <c r="X89" s="36"/>
      <c r="Y89" s="36"/>
    </row>
    <row r="90" ht="15.75" customHeight="1">
      <c r="A90" s="171">
        <v>1.0E7</v>
      </c>
      <c r="B90" s="183">
        <v>0.005</v>
      </c>
      <c r="C90" s="36"/>
      <c r="D90" s="36"/>
      <c r="E90" s="36"/>
      <c r="F90" s="36"/>
      <c r="G90" s="36"/>
      <c r="H90" s="36"/>
      <c r="I90" s="36"/>
      <c r="J90" s="36"/>
      <c r="K90" s="36"/>
      <c r="L90" s="36"/>
      <c r="M90" s="36"/>
      <c r="N90" s="36"/>
      <c r="O90" s="36"/>
      <c r="P90" s="36"/>
      <c r="Q90" s="36"/>
      <c r="R90" s="36"/>
      <c r="S90" s="36"/>
      <c r="T90" s="36"/>
      <c r="U90" s="36"/>
      <c r="V90" s="36"/>
      <c r="W90" s="36"/>
      <c r="X90" s="36"/>
      <c r="Y90" s="36"/>
    </row>
    <row r="91" ht="15.7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row>
    <row r="92" ht="15.75" customHeight="1">
      <c r="A92" s="319" t="s">
        <v>607</v>
      </c>
      <c r="B92" s="36"/>
      <c r="C92" s="36"/>
      <c r="D92" s="36"/>
      <c r="E92" s="36"/>
      <c r="F92" s="36"/>
      <c r="G92" s="36"/>
      <c r="H92" s="36"/>
      <c r="I92" s="36"/>
      <c r="J92" s="36"/>
      <c r="K92" s="36"/>
      <c r="L92" s="36"/>
      <c r="M92" s="36"/>
      <c r="N92" s="36"/>
      <c r="O92" s="36"/>
      <c r="P92" s="36"/>
      <c r="Q92" s="36"/>
      <c r="R92" s="36"/>
      <c r="S92" s="36"/>
      <c r="T92" s="36"/>
      <c r="U92" s="36"/>
      <c r="V92" s="36"/>
      <c r="W92" s="36"/>
      <c r="X92" s="36"/>
      <c r="Y92" s="36"/>
    </row>
    <row r="93" ht="15.7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row>
    <row r="94" ht="15.75" customHeight="1">
      <c r="A94" s="171" t="s">
        <v>1916</v>
      </c>
      <c r="B94" s="171">
        <v>1.0</v>
      </c>
      <c r="C94" s="171">
        <v>2.0</v>
      </c>
      <c r="D94" s="171">
        <v>3.0</v>
      </c>
      <c r="E94" s="36"/>
      <c r="F94" s="36"/>
      <c r="G94" s="36"/>
      <c r="H94" s="36"/>
      <c r="I94" s="36"/>
      <c r="J94" s="36"/>
      <c r="K94" s="36"/>
      <c r="L94" s="36"/>
      <c r="M94" s="36"/>
      <c r="N94" s="36"/>
      <c r="O94" s="36"/>
      <c r="P94" s="36"/>
      <c r="Q94" s="36"/>
      <c r="R94" s="36"/>
      <c r="S94" s="36"/>
      <c r="T94" s="36"/>
      <c r="U94" s="36"/>
      <c r="V94" s="36"/>
      <c r="W94" s="36"/>
      <c r="X94" s="36"/>
      <c r="Y94" s="36"/>
    </row>
    <row r="95" ht="15.75" customHeight="1">
      <c r="A95" s="322">
        <v>12000.0</v>
      </c>
      <c r="B95" s="227">
        <v>0.35</v>
      </c>
      <c r="C95" s="227">
        <v>0.35</v>
      </c>
      <c r="D95" s="227">
        <v>0.02</v>
      </c>
      <c r="E95" s="36"/>
      <c r="F95" s="36"/>
      <c r="G95" s="36"/>
      <c r="H95" s="36"/>
      <c r="I95" s="36"/>
      <c r="J95" s="36"/>
      <c r="K95" s="36"/>
      <c r="L95" s="36"/>
      <c r="M95" s="36"/>
      <c r="N95" s="36"/>
      <c r="O95" s="36"/>
      <c r="P95" s="36"/>
      <c r="Q95" s="36"/>
      <c r="R95" s="36"/>
      <c r="S95" s="36"/>
      <c r="T95" s="36"/>
      <c r="U95" s="36"/>
      <c r="V95" s="36"/>
      <c r="W95" s="36"/>
      <c r="X95" s="36"/>
      <c r="Y95" s="36"/>
    </row>
    <row r="96" ht="15.75" customHeight="1">
      <c r="A96" s="326">
        <v>200000.0</v>
      </c>
      <c r="B96" s="227">
        <v>0.28</v>
      </c>
      <c r="C96" s="227">
        <v>0.28</v>
      </c>
      <c r="D96" s="227">
        <v>0.02</v>
      </c>
      <c r="E96" s="36"/>
      <c r="F96" s="36"/>
      <c r="G96" s="36"/>
      <c r="H96" s="36"/>
      <c r="I96" s="36"/>
      <c r="J96" s="36"/>
      <c r="K96" s="36"/>
      <c r="L96" s="36"/>
      <c r="M96" s="36"/>
      <c r="N96" s="36"/>
      <c r="O96" s="36"/>
      <c r="P96" s="36"/>
      <c r="Q96" s="36"/>
      <c r="R96" s="36"/>
      <c r="S96" s="36"/>
      <c r="T96" s="36"/>
      <c r="U96" s="36"/>
      <c r="V96" s="36"/>
      <c r="W96" s="36"/>
      <c r="X96" s="36"/>
      <c r="Y96" s="36"/>
    </row>
    <row r="97" ht="15.75" customHeight="1">
      <c r="A97" s="322">
        <v>500000.0</v>
      </c>
      <c r="B97" s="227">
        <v>0.21</v>
      </c>
      <c r="C97" s="227">
        <v>0.21</v>
      </c>
      <c r="D97" s="227">
        <v>0.02</v>
      </c>
      <c r="E97" s="36"/>
      <c r="F97" s="36"/>
      <c r="G97" s="36"/>
      <c r="H97" s="36"/>
      <c r="I97" s="36"/>
      <c r="J97" s="36"/>
      <c r="K97" s="36"/>
      <c r="L97" s="36"/>
      <c r="M97" s="36"/>
      <c r="N97" s="36"/>
      <c r="O97" s="36"/>
      <c r="P97" s="36"/>
      <c r="Q97" s="36"/>
      <c r="R97" s="36"/>
      <c r="S97" s="36"/>
      <c r="T97" s="36"/>
      <c r="U97" s="36"/>
      <c r="V97" s="36"/>
      <c r="W97" s="36"/>
      <c r="X97" s="36"/>
      <c r="Y97" s="36"/>
    </row>
    <row r="98" ht="15.75" customHeight="1">
      <c r="A98" s="326">
        <v>1000000.0</v>
      </c>
      <c r="B98" s="227">
        <v>0.15</v>
      </c>
      <c r="C98" s="227">
        <v>0.15</v>
      </c>
      <c r="D98" s="227">
        <v>0.02</v>
      </c>
      <c r="E98" s="36"/>
      <c r="F98" s="36"/>
      <c r="G98" s="36"/>
      <c r="H98" s="36"/>
      <c r="I98" s="36"/>
      <c r="J98" s="36"/>
      <c r="K98" s="36"/>
      <c r="L98" s="36"/>
      <c r="M98" s="36"/>
      <c r="N98" s="36"/>
      <c r="O98" s="36"/>
      <c r="P98" s="36"/>
      <c r="Q98" s="36"/>
      <c r="R98" s="36"/>
      <c r="S98" s="36"/>
      <c r="T98" s="36"/>
      <c r="U98" s="36"/>
      <c r="V98" s="36"/>
      <c r="W98" s="36"/>
      <c r="X98" s="36"/>
      <c r="Y98" s="36"/>
    </row>
    <row r="99" ht="15.75" customHeight="1">
      <c r="A99" s="322">
        <v>2000000.0</v>
      </c>
      <c r="B99" s="227">
        <v>0.09</v>
      </c>
      <c r="C99" s="227">
        <v>0.09</v>
      </c>
      <c r="D99" s="227">
        <v>0.02</v>
      </c>
      <c r="E99" s="36"/>
      <c r="F99" s="36"/>
      <c r="G99" s="36"/>
      <c r="H99" s="36"/>
      <c r="I99" s="36"/>
      <c r="J99" s="36"/>
      <c r="K99" s="36"/>
      <c r="L99" s="36"/>
      <c r="M99" s="36"/>
      <c r="N99" s="36"/>
      <c r="O99" s="36"/>
      <c r="P99" s="36"/>
      <c r="Q99" s="36"/>
      <c r="R99" s="36"/>
      <c r="S99" s="36"/>
      <c r="T99" s="36"/>
      <c r="U99" s="36"/>
      <c r="V99" s="36"/>
      <c r="W99" s="36"/>
      <c r="X99" s="36"/>
      <c r="Y99" s="36"/>
    </row>
    <row r="100" ht="15.7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row>
    <row r="101" ht="15.0" customHeight="1">
      <c r="A101" s="36" t="s">
        <v>1926</v>
      </c>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row>
    <row r="102" ht="15.7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row>
    <row r="103" ht="15.75" customHeight="1">
      <c r="A103" s="171" t="s">
        <v>1916</v>
      </c>
      <c r="B103" s="171">
        <v>1.0</v>
      </c>
      <c r="C103" s="171">
        <v>2.0</v>
      </c>
      <c r="D103" s="171">
        <v>3.0</v>
      </c>
      <c r="E103" s="36"/>
      <c r="F103" s="36"/>
      <c r="G103" s="36"/>
      <c r="H103" s="36"/>
      <c r="I103" s="36"/>
      <c r="J103" s="36"/>
      <c r="K103" s="36"/>
      <c r="L103" s="36"/>
      <c r="M103" s="36"/>
      <c r="N103" s="36"/>
      <c r="O103" s="36"/>
      <c r="P103" s="36"/>
      <c r="Q103" s="36"/>
      <c r="R103" s="36"/>
      <c r="S103" s="36"/>
      <c r="T103" s="36"/>
      <c r="U103" s="36"/>
      <c r="V103" s="36"/>
      <c r="W103" s="36"/>
      <c r="X103" s="36"/>
      <c r="Y103" s="36"/>
    </row>
    <row r="104" ht="15.75" customHeight="1">
      <c r="A104" s="322">
        <v>12000.0</v>
      </c>
      <c r="B104" s="227">
        <v>0.6</v>
      </c>
      <c r="C104" s="227">
        <v>0.07</v>
      </c>
      <c r="D104" s="227">
        <v>0.02</v>
      </c>
      <c r="E104" s="36"/>
      <c r="F104" s="36"/>
      <c r="G104" s="36"/>
      <c r="H104" s="36"/>
      <c r="I104" s="36"/>
      <c r="J104" s="36"/>
      <c r="K104" s="36"/>
      <c r="L104" s="36"/>
      <c r="M104" s="36"/>
      <c r="N104" s="36"/>
      <c r="O104" s="36"/>
      <c r="P104" s="36"/>
      <c r="Q104" s="36"/>
      <c r="R104" s="36"/>
      <c r="S104" s="36"/>
      <c r="T104" s="36"/>
      <c r="U104" s="36"/>
      <c r="V104" s="36"/>
      <c r="W104" s="36"/>
      <c r="X104" s="36"/>
      <c r="Y104" s="36"/>
    </row>
    <row r="105" ht="15.75" customHeight="1">
      <c r="A105" s="326">
        <v>200000.0</v>
      </c>
      <c r="B105" s="227">
        <v>0.48</v>
      </c>
      <c r="C105" s="227">
        <v>0.07</v>
      </c>
      <c r="D105" s="227">
        <v>0.02</v>
      </c>
      <c r="E105" s="36"/>
      <c r="F105" s="36"/>
      <c r="G105" s="36"/>
      <c r="H105" s="36"/>
      <c r="I105" s="36"/>
      <c r="J105" s="36"/>
      <c r="K105" s="36"/>
      <c r="L105" s="36"/>
      <c r="M105" s="36"/>
      <c r="N105" s="36"/>
      <c r="O105" s="36"/>
      <c r="P105" s="36"/>
      <c r="Q105" s="36"/>
      <c r="R105" s="36"/>
      <c r="S105" s="36"/>
      <c r="T105" s="36"/>
      <c r="U105" s="36"/>
      <c r="V105" s="36"/>
      <c r="W105" s="36"/>
      <c r="X105" s="36"/>
      <c r="Y105" s="36"/>
    </row>
    <row r="106" ht="15.75" customHeight="1">
      <c r="A106" s="322">
        <v>500000.0</v>
      </c>
      <c r="B106" s="227">
        <v>0.36</v>
      </c>
      <c r="C106" s="227">
        <v>0.07</v>
      </c>
      <c r="D106" s="227">
        <v>0.02</v>
      </c>
      <c r="E106" s="36"/>
      <c r="F106" s="36"/>
      <c r="G106" s="36"/>
      <c r="H106" s="36"/>
      <c r="I106" s="36"/>
      <c r="J106" s="36"/>
      <c r="K106" s="36"/>
      <c r="L106" s="36"/>
      <c r="M106" s="36"/>
      <c r="N106" s="36"/>
      <c r="O106" s="36"/>
      <c r="P106" s="36"/>
      <c r="Q106" s="36"/>
      <c r="R106" s="36"/>
      <c r="S106" s="36"/>
      <c r="T106" s="36"/>
      <c r="U106" s="36"/>
      <c r="V106" s="36"/>
      <c r="W106" s="36"/>
      <c r="X106" s="36"/>
      <c r="Y106" s="36"/>
    </row>
    <row r="107" ht="15.75" customHeight="1">
      <c r="A107" s="326">
        <v>1000000.0</v>
      </c>
      <c r="B107" s="227">
        <v>0.23</v>
      </c>
      <c r="C107" s="227">
        <v>0.07</v>
      </c>
      <c r="D107" s="227">
        <v>0.02</v>
      </c>
      <c r="E107" s="36"/>
      <c r="F107" s="36"/>
      <c r="G107" s="36"/>
      <c r="H107" s="36"/>
      <c r="I107" s="36"/>
      <c r="J107" s="36"/>
      <c r="K107" s="36"/>
      <c r="L107" s="36"/>
      <c r="M107" s="36"/>
      <c r="N107" s="36"/>
      <c r="O107" s="36"/>
      <c r="P107" s="36"/>
      <c r="Q107" s="36"/>
      <c r="R107" s="36"/>
      <c r="S107" s="36"/>
      <c r="T107" s="36"/>
      <c r="U107" s="36"/>
      <c r="V107" s="36"/>
      <c r="W107" s="36"/>
      <c r="X107" s="36"/>
      <c r="Y107" s="36"/>
    </row>
    <row r="108" ht="15.75" customHeight="1">
      <c r="A108" s="322">
        <v>2000000.0</v>
      </c>
      <c r="B108" s="227">
        <v>0.1</v>
      </c>
      <c r="C108" s="227">
        <v>0.07</v>
      </c>
      <c r="D108" s="227">
        <v>0.02</v>
      </c>
      <c r="E108" s="36"/>
      <c r="F108" s="36"/>
      <c r="G108" s="36"/>
      <c r="H108" s="36"/>
      <c r="I108" s="36"/>
      <c r="J108" s="36"/>
      <c r="K108" s="36"/>
      <c r="L108" s="36"/>
      <c r="M108" s="36"/>
      <c r="N108" s="36"/>
      <c r="O108" s="36"/>
      <c r="P108" s="36"/>
      <c r="Q108" s="36"/>
      <c r="R108" s="36"/>
      <c r="S108" s="36"/>
      <c r="T108" s="36"/>
      <c r="U108" s="36"/>
      <c r="V108" s="36"/>
      <c r="W108" s="36"/>
      <c r="X108" s="36"/>
      <c r="Y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row>
    <row r="110" ht="15.75" customHeight="1">
      <c r="A110" s="36" t="s">
        <v>1927</v>
      </c>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row>
    <row r="111" ht="15.75" customHeight="1">
      <c r="A111" s="36" t="s">
        <v>253</v>
      </c>
      <c r="B111" s="36">
        <v>1.0</v>
      </c>
      <c r="C111" s="36"/>
      <c r="D111" s="36"/>
      <c r="E111" s="36"/>
      <c r="F111" s="36"/>
      <c r="G111" s="36"/>
      <c r="H111" s="36"/>
      <c r="I111" s="36"/>
      <c r="J111" s="36"/>
      <c r="K111" s="36"/>
      <c r="L111" s="36"/>
      <c r="M111" s="36"/>
      <c r="N111" s="36"/>
      <c r="O111" s="36"/>
      <c r="P111" s="36"/>
      <c r="Q111" s="36"/>
      <c r="R111" s="36"/>
      <c r="S111" s="36"/>
      <c r="T111" s="36"/>
      <c r="U111" s="36"/>
      <c r="V111" s="36"/>
      <c r="W111" s="36"/>
      <c r="X111" s="36"/>
      <c r="Y111" s="36"/>
    </row>
    <row r="112" ht="15.75" customHeight="1">
      <c r="A112" s="36">
        <v>50000.0</v>
      </c>
      <c r="B112" s="184">
        <v>0.075</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row>
    <row r="113" ht="15.75" customHeight="1">
      <c r="A113" s="36">
        <v>500000.0</v>
      </c>
      <c r="B113" s="214">
        <v>0.05</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row>
    <row r="114" ht="15.75" customHeight="1">
      <c r="A114" s="36">
        <v>2000000.0</v>
      </c>
      <c r="B114" s="214">
        <v>0.02</v>
      </c>
      <c r="C114" s="36"/>
      <c r="D114" s="36"/>
      <c r="E114" s="36"/>
      <c r="F114" s="36"/>
      <c r="G114" s="36"/>
      <c r="H114" s="36"/>
      <c r="I114" s="36"/>
      <c r="J114" s="36"/>
      <c r="K114" s="36"/>
      <c r="L114" s="36"/>
      <c r="M114" s="36"/>
      <c r="N114" s="36"/>
      <c r="O114" s="36"/>
      <c r="P114" s="36"/>
      <c r="Q114" s="36"/>
      <c r="R114" s="36"/>
      <c r="S114" s="36"/>
      <c r="T114" s="36"/>
      <c r="U114" s="36"/>
      <c r="V114" s="36"/>
      <c r="W114" s="36"/>
      <c r="X114" s="36"/>
      <c r="Y114" s="36"/>
    </row>
    <row r="115" ht="15.75" customHeight="1">
      <c r="A115" s="36">
        <v>1.0E7</v>
      </c>
      <c r="B115" s="214">
        <v>0.01</v>
      </c>
      <c r="C115" s="36"/>
      <c r="D115" s="36"/>
      <c r="E115" s="36"/>
      <c r="F115" s="36"/>
      <c r="G115" s="36"/>
      <c r="H115" s="36"/>
      <c r="I115" s="36"/>
      <c r="J115" s="36"/>
      <c r="K115" s="36"/>
      <c r="L115" s="36"/>
      <c r="M115" s="36"/>
      <c r="N115" s="36"/>
      <c r="O115" s="36"/>
      <c r="P115" s="36"/>
      <c r="Q115" s="36"/>
      <c r="R115" s="36"/>
      <c r="S115" s="36"/>
      <c r="T115" s="36"/>
      <c r="U115" s="36"/>
      <c r="V115" s="36"/>
      <c r="W115" s="36"/>
      <c r="X115" s="36"/>
      <c r="Y115" s="36"/>
    </row>
    <row r="116" ht="15.7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row>
    <row r="117" ht="15.75" customHeight="1">
      <c r="A117" s="36" t="s">
        <v>618</v>
      </c>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row>
    <row r="118" ht="15.7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row>
    <row r="119" ht="15.75" customHeight="1">
      <c r="A119" s="36" t="s">
        <v>1917</v>
      </c>
      <c r="B119" s="36" t="s">
        <v>216</v>
      </c>
      <c r="C119" s="36"/>
      <c r="D119" s="36"/>
      <c r="E119" s="36"/>
      <c r="F119" s="36"/>
      <c r="G119" s="36"/>
      <c r="H119" s="36"/>
      <c r="I119" s="36"/>
      <c r="J119" s="36"/>
      <c r="K119" s="36"/>
      <c r="L119" s="36"/>
      <c r="M119" s="36"/>
      <c r="N119" s="36"/>
      <c r="O119" s="36"/>
      <c r="P119" s="36"/>
      <c r="Q119" s="36"/>
      <c r="R119" s="36"/>
      <c r="S119" s="36"/>
      <c r="T119" s="36"/>
      <c r="U119" s="36"/>
      <c r="V119" s="36"/>
      <c r="W119" s="36"/>
      <c r="X119" s="36"/>
      <c r="Y119" s="36"/>
    </row>
    <row r="120" ht="15.75" customHeight="1">
      <c r="A120" s="36">
        <v>1.0</v>
      </c>
      <c r="B120" s="214">
        <v>0.4</v>
      </c>
      <c r="C120" s="36"/>
      <c r="D120" s="36"/>
      <c r="E120" s="36"/>
      <c r="F120" s="36"/>
      <c r="G120" s="36"/>
      <c r="H120" s="36"/>
      <c r="I120" s="36"/>
      <c r="J120" s="36"/>
      <c r="K120" s="36"/>
      <c r="L120" s="36"/>
      <c r="M120" s="36"/>
      <c r="N120" s="36"/>
      <c r="O120" s="36"/>
      <c r="P120" s="36"/>
      <c r="Q120" s="36"/>
      <c r="R120" s="36"/>
      <c r="S120" s="36"/>
      <c r="T120" s="36"/>
      <c r="U120" s="36"/>
      <c r="V120" s="36"/>
      <c r="W120" s="36"/>
      <c r="X120" s="36"/>
      <c r="Y120" s="36"/>
    </row>
    <row r="121" ht="15.75" customHeight="1">
      <c r="A121" s="36">
        <v>2.0</v>
      </c>
      <c r="B121" s="214">
        <v>0.3</v>
      </c>
      <c r="C121" s="36"/>
      <c r="D121" s="36"/>
      <c r="E121" s="36"/>
      <c r="F121" s="36"/>
      <c r="G121" s="36"/>
      <c r="H121" s="36"/>
      <c r="I121" s="36"/>
      <c r="J121" s="36"/>
      <c r="K121" s="36"/>
      <c r="L121" s="36"/>
      <c r="M121" s="36"/>
      <c r="N121" s="36"/>
      <c r="O121" s="36"/>
      <c r="P121" s="36"/>
      <c r="Q121" s="36"/>
      <c r="R121" s="36"/>
      <c r="S121" s="36"/>
      <c r="T121" s="36"/>
      <c r="U121" s="36"/>
      <c r="V121" s="36"/>
      <c r="W121" s="36"/>
      <c r="X121" s="36"/>
      <c r="Y121" s="36"/>
    </row>
    <row r="122" ht="15.75" customHeight="1">
      <c r="A122" s="36">
        <v>3.0</v>
      </c>
      <c r="B122" s="214">
        <v>0.02</v>
      </c>
      <c r="C122" s="36"/>
      <c r="D122" s="36"/>
      <c r="E122" s="36"/>
      <c r="F122" s="36"/>
      <c r="G122" s="36"/>
      <c r="H122" s="36"/>
      <c r="I122" s="36"/>
      <c r="J122" s="36"/>
      <c r="K122" s="36"/>
      <c r="L122" s="36"/>
      <c r="M122" s="36"/>
      <c r="N122" s="36"/>
      <c r="O122" s="36"/>
      <c r="P122" s="36"/>
      <c r="Q122" s="36"/>
      <c r="R122" s="36"/>
      <c r="S122" s="36"/>
      <c r="T122" s="36"/>
      <c r="U122" s="36"/>
      <c r="V122" s="36"/>
      <c r="W122" s="36"/>
      <c r="X122" s="36"/>
      <c r="Y122" s="36"/>
    </row>
    <row r="123" ht="15.7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row>
    <row r="124" ht="15.75" customHeight="1">
      <c r="A124" s="319" t="s">
        <v>622</v>
      </c>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row>
    <row r="125" ht="15.7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row>
    <row r="126" ht="15.75" customHeight="1">
      <c r="A126" s="36" t="s">
        <v>1917</v>
      </c>
      <c r="B126" s="36" t="s">
        <v>1918</v>
      </c>
      <c r="C126" s="36"/>
      <c r="D126" s="36"/>
      <c r="E126" s="36"/>
      <c r="F126" s="36"/>
      <c r="G126" s="36"/>
      <c r="H126" s="36"/>
      <c r="I126" s="36"/>
      <c r="J126" s="36"/>
      <c r="K126" s="36"/>
      <c r="L126" s="36"/>
      <c r="M126" s="36"/>
      <c r="N126" s="36"/>
      <c r="O126" s="36"/>
      <c r="P126" s="36"/>
      <c r="Q126" s="36"/>
      <c r="R126" s="36"/>
      <c r="S126" s="36"/>
      <c r="T126" s="36"/>
      <c r="U126" s="36"/>
      <c r="V126" s="36"/>
      <c r="W126" s="36"/>
      <c r="X126" s="36"/>
      <c r="Y126" s="36"/>
    </row>
    <row r="127" ht="15.75" customHeight="1">
      <c r="A127" s="36">
        <v>1.0</v>
      </c>
      <c r="B127" s="214">
        <v>0.4</v>
      </c>
      <c r="C127" s="36"/>
      <c r="D127" s="36"/>
      <c r="E127" s="36"/>
      <c r="F127" s="36"/>
      <c r="G127" s="36"/>
      <c r="H127" s="36"/>
      <c r="I127" s="36"/>
      <c r="J127" s="36"/>
      <c r="K127" s="36"/>
      <c r="L127" s="36"/>
      <c r="M127" s="36"/>
      <c r="N127" s="36"/>
      <c r="O127" s="36"/>
      <c r="P127" s="36"/>
      <c r="Q127" s="36"/>
      <c r="R127" s="36"/>
      <c r="S127" s="36"/>
      <c r="T127" s="36"/>
      <c r="U127" s="36"/>
      <c r="V127" s="36"/>
      <c r="W127" s="36"/>
      <c r="X127" s="36"/>
      <c r="Y127" s="36"/>
    </row>
    <row r="128" ht="15.75" customHeight="1">
      <c r="A128" s="36">
        <v>2.0</v>
      </c>
      <c r="B128" s="214">
        <v>0.3</v>
      </c>
      <c r="C128" s="36"/>
      <c r="D128" s="36"/>
      <c r="E128" s="36"/>
      <c r="F128" s="36"/>
      <c r="G128" s="36"/>
      <c r="H128" s="36"/>
      <c r="I128" s="36"/>
      <c r="J128" s="36"/>
      <c r="K128" s="36"/>
      <c r="L128" s="36"/>
      <c r="M128" s="36"/>
      <c r="N128" s="36"/>
      <c r="O128" s="36"/>
      <c r="P128" s="36"/>
      <c r="Q128" s="36"/>
      <c r="R128" s="36"/>
      <c r="S128" s="36"/>
      <c r="T128" s="36"/>
      <c r="U128" s="36"/>
      <c r="V128" s="36"/>
      <c r="W128" s="36"/>
      <c r="X128" s="36"/>
      <c r="Y128" s="36"/>
    </row>
    <row r="129" ht="15.75" customHeight="1">
      <c r="A129" s="36">
        <v>3.0</v>
      </c>
      <c r="B129" s="214">
        <v>0.02</v>
      </c>
      <c r="C129" s="36"/>
      <c r="D129" s="36"/>
      <c r="E129" s="36"/>
      <c r="F129" s="36"/>
      <c r="G129" s="36"/>
      <c r="H129" s="36"/>
      <c r="I129" s="36"/>
      <c r="J129" s="36"/>
      <c r="K129" s="36"/>
      <c r="L129" s="36"/>
      <c r="M129" s="36"/>
      <c r="N129" s="36"/>
      <c r="O129" s="36"/>
      <c r="P129" s="36"/>
      <c r="Q129" s="36"/>
      <c r="R129" s="36"/>
      <c r="S129" s="36"/>
      <c r="T129" s="36"/>
      <c r="U129" s="36"/>
      <c r="V129" s="36"/>
      <c r="W129" s="36"/>
      <c r="X129" s="36"/>
      <c r="Y129" s="36"/>
    </row>
    <row r="130" ht="15.7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row>
    <row r="131" ht="15.7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row>
    <row r="132" ht="15.75" customHeight="1">
      <c r="A132" s="36" t="s">
        <v>1928</v>
      </c>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row>
    <row r="133" ht="15.7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row>
    <row r="134" ht="15.75" customHeight="1">
      <c r="A134" s="36" t="s">
        <v>1917</v>
      </c>
      <c r="B134" s="36" t="s">
        <v>216</v>
      </c>
      <c r="C134" s="36"/>
      <c r="D134" s="36"/>
      <c r="E134" s="36"/>
      <c r="F134" s="36"/>
      <c r="G134" s="36"/>
      <c r="H134" s="36"/>
      <c r="I134" s="36"/>
      <c r="J134" s="36"/>
      <c r="K134" s="36"/>
      <c r="L134" s="36"/>
      <c r="M134" s="36"/>
      <c r="N134" s="36"/>
      <c r="O134" s="36"/>
      <c r="P134" s="36"/>
      <c r="Q134" s="36"/>
      <c r="R134" s="36"/>
      <c r="S134" s="36"/>
      <c r="T134" s="36"/>
      <c r="U134" s="36"/>
      <c r="V134" s="36"/>
      <c r="W134" s="36"/>
      <c r="X134" s="36"/>
      <c r="Y134" s="36"/>
    </row>
    <row r="135" ht="15.75" customHeight="1">
      <c r="A135" s="36">
        <v>1.0</v>
      </c>
      <c r="B135" s="214">
        <v>0.4</v>
      </c>
      <c r="C135" s="36"/>
      <c r="D135" s="36"/>
      <c r="E135" s="36"/>
      <c r="F135" s="36"/>
      <c r="G135" s="36"/>
      <c r="H135" s="36"/>
      <c r="I135" s="36"/>
      <c r="J135" s="36"/>
      <c r="K135" s="36"/>
      <c r="L135" s="36"/>
      <c r="M135" s="36"/>
      <c r="N135" s="36"/>
      <c r="O135" s="36"/>
      <c r="P135" s="36"/>
      <c r="Q135" s="36"/>
      <c r="R135" s="36"/>
      <c r="S135" s="36"/>
      <c r="T135" s="36"/>
      <c r="U135" s="36"/>
      <c r="V135" s="36"/>
      <c r="W135" s="36"/>
      <c r="X135" s="36"/>
      <c r="Y135" s="36"/>
    </row>
    <row r="136" ht="15.75" customHeight="1">
      <c r="A136" s="36">
        <v>2.0</v>
      </c>
      <c r="B136" s="214">
        <v>0.3</v>
      </c>
      <c r="C136" s="36"/>
      <c r="D136" s="36"/>
      <c r="E136" s="36"/>
      <c r="F136" s="36"/>
      <c r="G136" s="36"/>
      <c r="H136" s="36"/>
      <c r="I136" s="36"/>
      <c r="J136" s="36"/>
      <c r="K136" s="36"/>
      <c r="L136" s="36"/>
      <c r="M136" s="36"/>
      <c r="N136" s="36"/>
      <c r="O136" s="36"/>
      <c r="P136" s="36"/>
      <c r="Q136" s="36"/>
      <c r="R136" s="36"/>
      <c r="S136" s="36"/>
      <c r="T136" s="36"/>
      <c r="U136" s="36"/>
      <c r="V136" s="36"/>
      <c r="W136" s="36"/>
      <c r="X136" s="36"/>
      <c r="Y136" s="36"/>
    </row>
    <row r="137" ht="15.75" customHeight="1">
      <c r="A137" s="36">
        <v>3.0</v>
      </c>
      <c r="B137" s="214">
        <v>0.02</v>
      </c>
      <c r="C137" s="36"/>
      <c r="D137" s="36"/>
      <c r="E137" s="36"/>
      <c r="F137" s="36"/>
      <c r="G137" s="36"/>
      <c r="H137" s="36"/>
      <c r="I137" s="36"/>
      <c r="J137" s="36"/>
      <c r="K137" s="36"/>
      <c r="L137" s="36"/>
      <c r="M137" s="36"/>
      <c r="N137" s="36"/>
      <c r="O137" s="36"/>
      <c r="P137" s="36"/>
      <c r="Q137" s="36"/>
      <c r="R137" s="36"/>
      <c r="S137" s="36"/>
      <c r="T137" s="36"/>
      <c r="U137" s="36"/>
      <c r="V137" s="36"/>
      <c r="W137" s="36"/>
      <c r="X137" s="36"/>
      <c r="Y137" s="36"/>
    </row>
    <row r="138" ht="15.0" customHeight="1">
      <c r="A138" s="36">
        <v>4.0</v>
      </c>
      <c r="B138" s="214">
        <v>0.0</v>
      </c>
      <c r="C138" s="36"/>
      <c r="D138" s="36"/>
      <c r="E138" s="36"/>
      <c r="F138" s="36"/>
      <c r="G138" s="36"/>
      <c r="H138" s="36"/>
      <c r="I138" s="36"/>
      <c r="J138" s="36"/>
      <c r="K138" s="36"/>
      <c r="L138" s="36"/>
      <c r="M138" s="36"/>
      <c r="N138" s="36"/>
      <c r="O138" s="36"/>
      <c r="P138" s="36"/>
      <c r="Q138" s="36"/>
      <c r="R138" s="36"/>
      <c r="S138" s="36"/>
      <c r="T138" s="36"/>
      <c r="U138" s="36"/>
      <c r="V138" s="36"/>
      <c r="W138" s="36"/>
      <c r="X138" s="36"/>
      <c r="Y138" s="36"/>
    </row>
    <row r="139" ht="15.0" customHeight="1">
      <c r="A139" s="36"/>
      <c r="B139" s="214"/>
      <c r="C139" s="36"/>
      <c r="D139" s="36"/>
      <c r="E139" s="36"/>
      <c r="F139" s="36"/>
      <c r="G139" s="36"/>
      <c r="H139" s="36"/>
      <c r="I139" s="36"/>
      <c r="J139" s="36"/>
      <c r="K139" s="36"/>
      <c r="L139" s="36"/>
      <c r="M139" s="36"/>
      <c r="N139" s="36"/>
      <c r="O139" s="36"/>
      <c r="P139" s="36"/>
      <c r="Q139" s="36"/>
      <c r="R139" s="36"/>
      <c r="S139" s="36"/>
      <c r="T139" s="36"/>
      <c r="U139" s="36"/>
      <c r="V139" s="36"/>
      <c r="W139" s="36"/>
      <c r="X139" s="36"/>
      <c r="Y139" s="36"/>
    </row>
    <row r="140" ht="15.75" customHeight="1">
      <c r="A140" s="36" t="s">
        <v>1929</v>
      </c>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row>
    <row r="141" ht="15.7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row>
    <row r="142" ht="15.75" customHeight="1">
      <c r="A142" s="36" t="s">
        <v>1916</v>
      </c>
      <c r="B142" s="36">
        <v>1.0</v>
      </c>
      <c r="C142" s="36">
        <v>2.0</v>
      </c>
      <c r="D142" s="36">
        <v>3.0</v>
      </c>
      <c r="E142" s="36">
        <v>4.0</v>
      </c>
      <c r="F142" s="36"/>
      <c r="G142" s="36"/>
      <c r="H142" s="36"/>
      <c r="I142" s="36"/>
      <c r="J142" s="36"/>
      <c r="K142" s="36"/>
      <c r="L142" s="36"/>
      <c r="M142" s="36"/>
      <c r="N142" s="36"/>
      <c r="O142" s="36"/>
      <c r="P142" s="36"/>
      <c r="Q142" s="36"/>
      <c r="R142" s="36"/>
      <c r="S142" s="36"/>
      <c r="T142" s="36"/>
      <c r="U142" s="36"/>
      <c r="V142" s="36"/>
      <c r="W142" s="36"/>
      <c r="X142" s="36"/>
      <c r="Y142" s="36"/>
    </row>
    <row r="143" ht="15.75" customHeight="1">
      <c r="A143" s="329">
        <v>15000.0</v>
      </c>
      <c r="B143" s="214">
        <v>0.15</v>
      </c>
      <c r="C143" s="214">
        <v>0.1</v>
      </c>
      <c r="D143" s="214">
        <v>0.05</v>
      </c>
      <c r="E143" s="214">
        <v>0.03</v>
      </c>
      <c r="F143" s="36"/>
      <c r="G143" s="36"/>
      <c r="H143" s="36"/>
      <c r="I143" s="36"/>
      <c r="J143" s="36"/>
      <c r="K143" s="36"/>
      <c r="L143" s="36"/>
      <c r="M143" s="36"/>
      <c r="N143" s="36"/>
      <c r="O143" s="36"/>
      <c r="P143" s="36"/>
      <c r="Q143" s="36"/>
      <c r="R143" s="36"/>
      <c r="S143" s="36"/>
      <c r="T143" s="36"/>
      <c r="U143" s="36"/>
      <c r="V143" s="36"/>
      <c r="W143" s="36"/>
      <c r="X143" s="36"/>
      <c r="Y143" s="36"/>
    </row>
    <row r="144" ht="15.75" customHeight="1">
      <c r="A144" s="325">
        <v>200000.0</v>
      </c>
      <c r="B144" s="214">
        <v>0.125</v>
      </c>
      <c r="C144" s="214">
        <v>0.1</v>
      </c>
      <c r="D144" s="214">
        <v>0.05</v>
      </c>
      <c r="E144" s="214">
        <v>0.03</v>
      </c>
      <c r="F144" s="36"/>
      <c r="G144" s="36"/>
      <c r="H144" s="36"/>
      <c r="I144" s="36"/>
      <c r="J144" s="36"/>
      <c r="K144" s="36"/>
      <c r="L144" s="36"/>
      <c r="M144" s="36"/>
      <c r="N144" s="36"/>
      <c r="O144" s="36"/>
      <c r="P144" s="36"/>
      <c r="Q144" s="36"/>
      <c r="R144" s="36"/>
      <c r="S144" s="36"/>
      <c r="T144" s="36"/>
      <c r="U144" s="36"/>
      <c r="V144" s="36"/>
      <c r="W144" s="36"/>
      <c r="X144" s="36"/>
      <c r="Y144" s="36"/>
    </row>
    <row r="145" ht="15.75" customHeight="1">
      <c r="A145" s="329">
        <v>500000.0</v>
      </c>
      <c r="B145" s="214">
        <v>0.1</v>
      </c>
      <c r="C145" s="214">
        <v>0.1</v>
      </c>
      <c r="D145" s="214">
        <v>0.05</v>
      </c>
      <c r="E145" s="214">
        <v>0.03</v>
      </c>
      <c r="F145" s="36"/>
      <c r="G145" s="36"/>
      <c r="H145" s="36"/>
      <c r="I145" s="36"/>
      <c r="J145" s="36"/>
      <c r="K145" s="36"/>
      <c r="L145" s="36"/>
      <c r="M145" s="36"/>
      <c r="N145" s="36"/>
      <c r="O145" s="36"/>
      <c r="P145" s="36"/>
      <c r="Q145" s="36"/>
      <c r="R145" s="36"/>
      <c r="S145" s="36"/>
      <c r="T145" s="36"/>
      <c r="U145" s="36"/>
      <c r="V145" s="36"/>
      <c r="W145" s="36"/>
      <c r="X145" s="36"/>
      <c r="Y145" s="36"/>
    </row>
    <row r="146" ht="15.75" customHeight="1">
      <c r="A146" s="329">
        <v>2000000.0</v>
      </c>
      <c r="B146" s="214">
        <v>0.08</v>
      </c>
      <c r="C146" s="214">
        <v>0.06</v>
      </c>
      <c r="D146" s="214">
        <v>0.04</v>
      </c>
      <c r="E146" s="214">
        <v>0.03</v>
      </c>
      <c r="F146" s="36"/>
      <c r="G146" s="36"/>
      <c r="H146" s="36"/>
      <c r="I146" s="36"/>
      <c r="J146" s="36"/>
      <c r="K146" s="36"/>
      <c r="L146" s="36"/>
      <c r="M146" s="36"/>
      <c r="N146" s="36"/>
      <c r="O146" s="36"/>
      <c r="P146" s="36"/>
      <c r="Q146" s="36"/>
      <c r="R146" s="36"/>
      <c r="S146" s="36"/>
      <c r="T146" s="36"/>
      <c r="U146" s="36"/>
      <c r="V146" s="36"/>
      <c r="W146" s="36"/>
      <c r="X146" s="36"/>
      <c r="Y146" s="36"/>
    </row>
    <row r="147" ht="15.75" customHeight="1">
      <c r="A147" s="36"/>
      <c r="B147" s="214"/>
      <c r="C147" s="214"/>
      <c r="D147" s="214"/>
      <c r="E147" s="36"/>
      <c r="F147" s="36"/>
      <c r="G147" s="36"/>
      <c r="H147" s="36"/>
      <c r="I147" s="36"/>
      <c r="J147" s="36"/>
      <c r="K147" s="36"/>
      <c r="L147" s="36"/>
      <c r="M147" s="36"/>
      <c r="N147" s="36"/>
      <c r="O147" s="36"/>
      <c r="P147" s="36"/>
      <c r="Q147" s="36"/>
      <c r="R147" s="36"/>
      <c r="S147" s="36"/>
      <c r="T147" s="36"/>
      <c r="U147" s="36"/>
      <c r="V147" s="36"/>
      <c r="W147" s="36"/>
      <c r="X147" s="36"/>
      <c r="Y147" s="36"/>
    </row>
    <row r="148" ht="15.75" customHeight="1">
      <c r="A148" s="36" t="s">
        <v>639</v>
      </c>
      <c r="B148" s="184"/>
      <c r="C148" s="36"/>
      <c r="D148" s="214"/>
      <c r="E148" s="36"/>
      <c r="F148" s="36"/>
      <c r="G148" s="36"/>
      <c r="H148" s="36"/>
      <c r="I148" s="36"/>
      <c r="J148" s="36"/>
      <c r="K148" s="36"/>
      <c r="L148" s="36"/>
      <c r="M148" s="36"/>
      <c r="N148" s="36"/>
      <c r="O148" s="36"/>
      <c r="P148" s="36"/>
      <c r="Q148" s="36"/>
      <c r="R148" s="36"/>
      <c r="S148" s="36"/>
      <c r="T148" s="36"/>
      <c r="U148" s="36"/>
      <c r="V148" s="36"/>
      <c r="W148" s="36"/>
      <c r="X148" s="36"/>
      <c r="Y148" s="36"/>
    </row>
    <row r="149" ht="15.7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row>
    <row r="150" ht="15.75" customHeight="1">
      <c r="A150" s="171" t="s">
        <v>1916</v>
      </c>
      <c r="B150" s="171">
        <v>1.0</v>
      </c>
      <c r="C150" s="171">
        <v>2.0</v>
      </c>
      <c r="D150" s="171">
        <v>3.0</v>
      </c>
      <c r="E150" s="171">
        <v>4.0</v>
      </c>
      <c r="F150" s="36"/>
      <c r="G150" s="36"/>
      <c r="H150" s="36"/>
      <c r="I150" s="36"/>
      <c r="J150" s="36"/>
      <c r="K150" s="36"/>
      <c r="L150" s="36"/>
      <c r="M150" s="36"/>
      <c r="N150" s="36"/>
      <c r="O150" s="36"/>
      <c r="P150" s="36"/>
      <c r="Q150" s="36"/>
      <c r="R150" s="36"/>
      <c r="S150" s="36"/>
      <c r="T150" s="36"/>
      <c r="U150" s="36"/>
      <c r="V150" s="36"/>
      <c r="W150" s="36"/>
      <c r="X150" s="36"/>
      <c r="Y150" s="36"/>
    </row>
    <row r="151" ht="15.75" customHeight="1">
      <c r="A151" s="322">
        <v>15000.0</v>
      </c>
      <c r="B151" s="227">
        <v>0.15</v>
      </c>
      <c r="C151" s="227">
        <v>0.1</v>
      </c>
      <c r="D151" s="227">
        <v>0.05</v>
      </c>
      <c r="E151" s="227">
        <v>0.03</v>
      </c>
      <c r="F151" s="36"/>
      <c r="G151" s="36"/>
      <c r="H151" s="36"/>
      <c r="I151" s="36"/>
      <c r="J151" s="36"/>
      <c r="K151" s="36"/>
      <c r="L151" s="36"/>
      <c r="M151" s="36"/>
      <c r="N151" s="36"/>
      <c r="O151" s="36"/>
      <c r="P151" s="36"/>
      <c r="Q151" s="36"/>
      <c r="R151" s="36"/>
      <c r="S151" s="36"/>
      <c r="T151" s="36"/>
      <c r="U151" s="36"/>
      <c r="V151" s="36"/>
      <c r="W151" s="36"/>
      <c r="X151" s="36"/>
      <c r="Y151" s="36"/>
    </row>
    <row r="152" ht="15.75" customHeight="1">
      <c r="A152" s="326">
        <v>200000.0</v>
      </c>
      <c r="B152" s="227">
        <v>0.125</v>
      </c>
      <c r="C152" s="227">
        <v>0.1</v>
      </c>
      <c r="D152" s="227">
        <v>0.05</v>
      </c>
      <c r="E152" s="227">
        <v>0.03</v>
      </c>
      <c r="F152" s="36"/>
      <c r="G152" s="36"/>
      <c r="H152" s="36"/>
      <c r="I152" s="36"/>
      <c r="J152" s="36"/>
      <c r="K152" s="36"/>
      <c r="L152" s="36"/>
      <c r="M152" s="36"/>
      <c r="N152" s="36"/>
      <c r="O152" s="36"/>
      <c r="P152" s="36"/>
      <c r="Q152" s="36"/>
      <c r="R152" s="36"/>
      <c r="S152" s="36"/>
      <c r="T152" s="36"/>
      <c r="U152" s="36"/>
      <c r="V152" s="36"/>
      <c r="W152" s="36"/>
      <c r="X152" s="36"/>
      <c r="Y152" s="36"/>
    </row>
    <row r="153" ht="15.75" customHeight="1">
      <c r="A153" s="322">
        <v>500000.0</v>
      </c>
      <c r="B153" s="227">
        <v>0.1</v>
      </c>
      <c r="C153" s="227">
        <v>0.1</v>
      </c>
      <c r="D153" s="227">
        <v>0.05</v>
      </c>
      <c r="E153" s="227">
        <v>0.03</v>
      </c>
      <c r="F153" s="36"/>
      <c r="G153" s="36"/>
      <c r="H153" s="36"/>
      <c r="I153" s="36"/>
      <c r="J153" s="36"/>
      <c r="K153" s="36"/>
      <c r="L153" s="36"/>
      <c r="M153" s="36"/>
      <c r="N153" s="36"/>
      <c r="O153" s="36"/>
      <c r="P153" s="36"/>
      <c r="Q153" s="36"/>
      <c r="R153" s="36"/>
      <c r="S153" s="36"/>
      <c r="T153" s="36"/>
      <c r="U153" s="36"/>
      <c r="V153" s="36"/>
      <c r="W153" s="36"/>
      <c r="X153" s="36"/>
      <c r="Y153" s="36"/>
    </row>
    <row r="154" ht="15.75" customHeight="1">
      <c r="A154" s="322">
        <v>2000000.0</v>
      </c>
      <c r="B154" s="227">
        <v>0.08</v>
      </c>
      <c r="C154" s="227">
        <v>0.06</v>
      </c>
      <c r="D154" s="227">
        <v>0.04</v>
      </c>
      <c r="E154" s="227">
        <v>0.03</v>
      </c>
      <c r="F154" s="36"/>
      <c r="G154" s="36"/>
      <c r="H154" s="36"/>
      <c r="I154" s="36"/>
      <c r="J154" s="36"/>
      <c r="K154" s="36"/>
      <c r="L154" s="36"/>
      <c r="M154" s="36"/>
      <c r="N154" s="36"/>
      <c r="O154" s="36"/>
      <c r="P154" s="36"/>
      <c r="Q154" s="36"/>
      <c r="R154" s="36"/>
      <c r="S154" s="36"/>
      <c r="T154" s="36"/>
      <c r="U154" s="36"/>
      <c r="V154" s="36"/>
      <c r="W154" s="36"/>
      <c r="X154" s="36"/>
      <c r="Y154" s="36"/>
    </row>
    <row r="155" ht="15.7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row>
    <row r="156" ht="15.75" customHeight="1">
      <c r="A156" s="36" t="s">
        <v>1930</v>
      </c>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row>
    <row r="157" ht="15.7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ht="15.75" customHeight="1">
      <c r="A158" s="171" t="s">
        <v>1917</v>
      </c>
      <c r="B158" s="171" t="s">
        <v>216</v>
      </c>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ht="15.75" customHeight="1">
      <c r="A159" s="171">
        <v>1.0</v>
      </c>
      <c r="B159" s="227">
        <v>0.15</v>
      </c>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ht="15.75" customHeight="1">
      <c r="A160" s="171">
        <v>2.0</v>
      </c>
      <c r="B160" s="227">
        <v>0.1</v>
      </c>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ht="15.75" customHeight="1">
      <c r="A161" s="171">
        <v>3.0</v>
      </c>
      <c r="B161" s="227">
        <v>0.05</v>
      </c>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ht="15.75" customHeight="1">
      <c r="A162" s="171">
        <v>4.0</v>
      </c>
      <c r="B162" s="227">
        <v>0.03</v>
      </c>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ht="15.7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ht="15.75" customHeight="1">
      <c r="A164" s="319" t="s">
        <v>656</v>
      </c>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ht="15.7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ht="15.75" customHeight="1">
      <c r="A166" s="171" t="s">
        <v>1917</v>
      </c>
      <c r="B166" s="171" t="s">
        <v>216</v>
      </c>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ht="15.75" customHeight="1">
      <c r="A167" s="171">
        <v>1.0</v>
      </c>
      <c r="B167" s="227">
        <v>0.3</v>
      </c>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ht="15.75" customHeight="1">
      <c r="A168" s="171">
        <v>2.0</v>
      </c>
      <c r="B168" s="227">
        <v>0.15</v>
      </c>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ht="15.75" customHeight="1">
      <c r="A169" s="171">
        <v>3.0</v>
      </c>
      <c r="B169" s="227">
        <v>0.1</v>
      </c>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ht="15.75" customHeight="1">
      <c r="A170" s="171">
        <v>4.0</v>
      </c>
      <c r="B170" s="227">
        <v>0.0</v>
      </c>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ht="15.75" customHeight="1">
      <c r="A171" s="171">
        <v>5.0</v>
      </c>
      <c r="B171" s="227">
        <v>0.0</v>
      </c>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ht="15.75" customHeight="1">
      <c r="A172" s="171">
        <v>6.0</v>
      </c>
      <c r="B172" s="227">
        <v>-0.05</v>
      </c>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ht="15.7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ht="15.75" customHeight="1">
      <c r="A174" s="319" t="s">
        <v>651</v>
      </c>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ht="15.7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ht="15.75" customHeight="1">
      <c r="A176" s="171" t="s">
        <v>1917</v>
      </c>
      <c r="B176" s="171" t="s">
        <v>216</v>
      </c>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ht="15.75" customHeight="1">
      <c r="A177" s="171">
        <v>1.0</v>
      </c>
      <c r="B177" s="227">
        <v>0.3</v>
      </c>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ht="15.75" customHeight="1">
      <c r="A178" s="171">
        <v>2.0</v>
      </c>
      <c r="B178" s="227">
        <v>0.15</v>
      </c>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ht="15.75" customHeight="1">
      <c r="A179" s="171">
        <v>3.0</v>
      </c>
      <c r="B179" s="227">
        <v>0.1</v>
      </c>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ht="15.75" customHeight="1">
      <c r="A180" s="171">
        <v>4.0</v>
      </c>
      <c r="B180" s="227">
        <v>0.0</v>
      </c>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ht="15.75" customHeight="1">
      <c r="A181" s="171">
        <v>5.0</v>
      </c>
      <c r="B181" s="227">
        <v>0.0</v>
      </c>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ht="15.75" customHeight="1">
      <c r="A182" s="171">
        <v>6.0</v>
      </c>
      <c r="B182" s="227">
        <v>-0.05</v>
      </c>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ht="15.7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ht="15.75" customHeight="1">
      <c r="A184" s="36" t="s">
        <v>660</v>
      </c>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ht="15.7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ht="15.75" customHeight="1">
      <c r="A186" s="171" t="s">
        <v>1916</v>
      </c>
      <c r="B186" s="171">
        <v>1.0</v>
      </c>
      <c r="C186" s="171">
        <v>2.0</v>
      </c>
      <c r="D186" s="171">
        <v>3.0</v>
      </c>
      <c r="E186" s="171">
        <v>4.0</v>
      </c>
      <c r="F186" s="171">
        <v>5.0</v>
      </c>
      <c r="G186" s="171">
        <v>6.0</v>
      </c>
      <c r="H186" s="36"/>
      <c r="I186" s="36"/>
      <c r="J186" s="36"/>
      <c r="K186" s="36"/>
      <c r="L186" s="36"/>
      <c r="M186" s="36"/>
      <c r="N186" s="36"/>
      <c r="O186" s="36"/>
      <c r="P186" s="36"/>
      <c r="Q186" s="36"/>
      <c r="R186" s="36"/>
      <c r="S186" s="36"/>
      <c r="T186" s="36"/>
      <c r="U186" s="36"/>
      <c r="V186" s="36"/>
      <c r="W186" s="36"/>
      <c r="X186" s="36"/>
      <c r="Y186" s="36"/>
      <c r="Z186" s="36"/>
    </row>
    <row r="187" ht="15.75" customHeight="1">
      <c r="A187" s="171">
        <v>250000.0</v>
      </c>
      <c r="B187" s="227">
        <v>0.1</v>
      </c>
      <c r="C187" s="227">
        <v>0.08</v>
      </c>
      <c r="D187" s="227">
        <v>0.06</v>
      </c>
      <c r="E187" s="227">
        <v>0.02</v>
      </c>
      <c r="F187" s="227">
        <v>0.02</v>
      </c>
      <c r="G187" s="171">
        <v>0.0</v>
      </c>
      <c r="H187" s="36"/>
      <c r="I187" s="36"/>
      <c r="J187" s="36"/>
      <c r="K187" s="36"/>
      <c r="L187" s="36"/>
      <c r="M187" s="36"/>
      <c r="N187" s="36"/>
      <c r="O187" s="36"/>
      <c r="P187" s="36"/>
      <c r="Q187" s="36"/>
      <c r="R187" s="36"/>
      <c r="S187" s="36"/>
      <c r="T187" s="36"/>
      <c r="U187" s="36"/>
      <c r="V187" s="36"/>
      <c r="W187" s="36"/>
      <c r="X187" s="36"/>
      <c r="Y187" s="36"/>
      <c r="Z187" s="36"/>
    </row>
    <row r="188" ht="15.75" customHeight="1">
      <c r="A188" s="171">
        <v>500000.0</v>
      </c>
      <c r="B188" s="227">
        <v>0.08</v>
      </c>
      <c r="C188" s="227">
        <v>0.08</v>
      </c>
      <c r="D188" s="227">
        <v>0.06</v>
      </c>
      <c r="E188" s="227">
        <v>0.02</v>
      </c>
      <c r="F188" s="227">
        <v>0.02</v>
      </c>
      <c r="G188" s="171">
        <v>0.0</v>
      </c>
      <c r="H188" s="36"/>
      <c r="I188" s="36"/>
      <c r="J188" s="36"/>
      <c r="K188" s="36"/>
      <c r="L188" s="36"/>
      <c r="M188" s="36"/>
      <c r="N188" s="36"/>
      <c r="O188" s="36"/>
      <c r="P188" s="36"/>
      <c r="Q188" s="36"/>
      <c r="R188" s="36"/>
      <c r="S188" s="36"/>
      <c r="T188" s="36"/>
      <c r="U188" s="36"/>
      <c r="V188" s="36"/>
      <c r="W188" s="36"/>
      <c r="X188" s="36"/>
      <c r="Y188" s="36"/>
      <c r="Z188" s="36"/>
    </row>
    <row r="189" ht="15.75" customHeight="1">
      <c r="A189" s="171">
        <v>2000000.0</v>
      </c>
      <c r="B189" s="227">
        <v>0.08</v>
      </c>
      <c r="C189" s="227">
        <v>0.06</v>
      </c>
      <c r="D189" s="227">
        <v>0.06</v>
      </c>
      <c r="E189" s="227">
        <v>0.02</v>
      </c>
      <c r="F189" s="227">
        <v>0.02</v>
      </c>
      <c r="G189" s="171">
        <v>0.0</v>
      </c>
      <c r="H189" s="36"/>
      <c r="I189" s="36"/>
      <c r="J189" s="36"/>
      <c r="K189" s="36"/>
      <c r="L189" s="36"/>
      <c r="M189" s="36"/>
      <c r="N189" s="36"/>
      <c r="O189" s="36"/>
      <c r="P189" s="36"/>
      <c r="Q189" s="36"/>
      <c r="R189" s="36"/>
      <c r="S189" s="36"/>
      <c r="T189" s="36"/>
      <c r="U189" s="36"/>
      <c r="V189" s="36"/>
      <c r="W189" s="36"/>
      <c r="X189" s="36"/>
      <c r="Y189" s="36"/>
      <c r="Z189" s="36"/>
    </row>
    <row r="190" ht="15.7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ht="15.75" customHeight="1">
      <c r="A191" s="36" t="s">
        <v>665</v>
      </c>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ht="15.7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ht="15.75" customHeight="1">
      <c r="A193" s="171" t="s">
        <v>1916</v>
      </c>
      <c r="B193" s="171">
        <v>1.0</v>
      </c>
      <c r="C193" s="171">
        <v>2.0</v>
      </c>
      <c r="D193" s="171">
        <v>3.0</v>
      </c>
      <c r="E193" s="171">
        <v>4.0</v>
      </c>
      <c r="F193" s="171">
        <v>5.0</v>
      </c>
      <c r="G193" s="171">
        <v>6.0</v>
      </c>
      <c r="H193" s="36"/>
      <c r="I193" s="36"/>
      <c r="J193" s="36"/>
      <c r="K193" s="36"/>
      <c r="L193" s="36"/>
      <c r="M193" s="36"/>
      <c r="N193" s="36"/>
      <c r="O193" s="36"/>
      <c r="P193" s="36"/>
      <c r="Q193" s="36"/>
      <c r="R193" s="36"/>
      <c r="S193" s="36"/>
      <c r="T193" s="36"/>
      <c r="U193" s="36"/>
      <c r="V193" s="36"/>
      <c r="W193" s="36"/>
      <c r="X193" s="36"/>
      <c r="Y193" s="36"/>
      <c r="Z193" s="36"/>
    </row>
    <row r="194" ht="15.75" customHeight="1">
      <c r="A194" s="322">
        <v>15000.0</v>
      </c>
      <c r="B194" s="227">
        <v>0.3</v>
      </c>
      <c r="C194" s="227">
        <v>0.15</v>
      </c>
      <c r="D194" s="227">
        <v>0.1</v>
      </c>
      <c r="E194" s="227">
        <v>0.0</v>
      </c>
      <c r="F194" s="227">
        <v>0.0</v>
      </c>
      <c r="G194" s="227">
        <v>-0.05</v>
      </c>
      <c r="H194" s="36"/>
      <c r="I194" s="36"/>
      <c r="J194" s="36"/>
      <c r="K194" s="36"/>
      <c r="L194" s="36"/>
      <c r="M194" s="36"/>
      <c r="N194" s="36"/>
      <c r="O194" s="36"/>
      <c r="P194" s="36"/>
      <c r="Q194" s="36"/>
      <c r="R194" s="36"/>
      <c r="S194" s="36"/>
      <c r="T194" s="36"/>
      <c r="U194" s="36"/>
      <c r="V194" s="36"/>
      <c r="W194" s="36"/>
      <c r="X194" s="36"/>
      <c r="Y194" s="36"/>
      <c r="Z194" s="36"/>
    </row>
    <row r="195" ht="15.75" customHeight="1">
      <c r="A195" s="326">
        <v>200000.0</v>
      </c>
      <c r="B195" s="227">
        <v>0.25</v>
      </c>
      <c r="C195" s="227">
        <v>0.15</v>
      </c>
      <c r="D195" s="227">
        <v>0.1</v>
      </c>
      <c r="E195" s="227">
        <v>0.0</v>
      </c>
      <c r="F195" s="227">
        <v>0.0</v>
      </c>
      <c r="G195" s="227">
        <v>-0.05</v>
      </c>
      <c r="H195" s="36"/>
      <c r="I195" s="36"/>
      <c r="J195" s="36"/>
      <c r="K195" s="36"/>
      <c r="L195" s="36"/>
      <c r="M195" s="36"/>
      <c r="N195" s="36"/>
      <c r="O195" s="36"/>
      <c r="P195" s="36"/>
      <c r="Q195" s="36"/>
      <c r="R195" s="36"/>
      <c r="S195" s="36"/>
      <c r="T195" s="36"/>
      <c r="U195" s="36"/>
      <c r="V195" s="36"/>
      <c r="W195" s="36"/>
      <c r="X195" s="36"/>
      <c r="Y195" s="36"/>
      <c r="Z195" s="36"/>
    </row>
    <row r="196" ht="15.75" customHeight="1">
      <c r="A196" s="322">
        <v>500000.0</v>
      </c>
      <c r="B196" s="227">
        <v>0.2</v>
      </c>
      <c r="C196" s="227">
        <v>0.15</v>
      </c>
      <c r="D196" s="227">
        <v>0.1</v>
      </c>
      <c r="E196" s="227">
        <v>0.0</v>
      </c>
      <c r="F196" s="227">
        <v>0.0</v>
      </c>
      <c r="G196" s="227">
        <v>-0.05</v>
      </c>
      <c r="H196" s="36"/>
      <c r="I196" s="36"/>
      <c r="J196" s="36"/>
      <c r="K196" s="36"/>
      <c r="L196" s="36"/>
      <c r="M196" s="36"/>
      <c r="N196" s="36"/>
      <c r="O196" s="36"/>
      <c r="P196" s="36"/>
      <c r="Q196" s="36"/>
      <c r="R196" s="36"/>
      <c r="S196" s="36"/>
      <c r="T196" s="36"/>
      <c r="U196" s="36"/>
      <c r="V196" s="36"/>
      <c r="W196" s="36"/>
      <c r="X196" s="36"/>
      <c r="Y196" s="36"/>
      <c r="Z196" s="36"/>
    </row>
    <row r="197" ht="15.75" customHeight="1">
      <c r="A197" s="322">
        <v>2000000.0</v>
      </c>
      <c r="B197" s="227">
        <v>0.125</v>
      </c>
      <c r="C197" s="227">
        <v>0.1</v>
      </c>
      <c r="D197" s="227">
        <v>0.075</v>
      </c>
      <c r="E197" s="227">
        <v>0.0</v>
      </c>
      <c r="F197" s="227">
        <v>0.0</v>
      </c>
      <c r="G197" s="227">
        <v>-0.05</v>
      </c>
      <c r="H197" s="36"/>
      <c r="I197" s="36"/>
      <c r="J197" s="36"/>
      <c r="K197" s="36"/>
      <c r="L197" s="36"/>
      <c r="M197" s="36"/>
      <c r="N197" s="36"/>
      <c r="O197" s="36"/>
      <c r="P197" s="36"/>
      <c r="Q197" s="36"/>
      <c r="R197" s="36"/>
      <c r="S197" s="36"/>
      <c r="T197" s="36"/>
      <c r="U197" s="36"/>
      <c r="V197" s="36"/>
      <c r="W197" s="36"/>
      <c r="X197" s="36"/>
      <c r="Y197" s="36"/>
      <c r="Z197" s="36"/>
    </row>
    <row r="198" ht="15.7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ht="15.75" customHeight="1">
      <c r="A199" s="36" t="s">
        <v>613</v>
      </c>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ht="15.75" customHeight="1">
      <c r="A200" s="171" t="s">
        <v>253</v>
      </c>
      <c r="B200" s="171">
        <v>1.0</v>
      </c>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ht="15.75" customHeight="1">
      <c r="A201" s="171">
        <v>50000.0</v>
      </c>
      <c r="B201" s="183">
        <v>0.075</v>
      </c>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ht="15.75" customHeight="1">
      <c r="A202" s="171">
        <v>500000.0</v>
      </c>
      <c r="B202" s="227">
        <v>0.05</v>
      </c>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ht="15.7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ht="15.7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ht="15.75" customHeight="1">
      <c r="A205" s="36" t="s">
        <v>1931</v>
      </c>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ht="15.7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ht="15.75" customHeight="1">
      <c r="A207" s="171" t="s">
        <v>1917</v>
      </c>
      <c r="B207" s="171" t="s">
        <v>216</v>
      </c>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ht="15.75" customHeight="1">
      <c r="A208" s="171">
        <v>1.0</v>
      </c>
      <c r="B208" s="183">
        <v>0.1</v>
      </c>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ht="15.75" customHeight="1">
      <c r="A209" s="171">
        <v>2.0</v>
      </c>
      <c r="B209" s="227">
        <v>0.01</v>
      </c>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ht="15.7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ht="15.75" customHeight="1">
      <c r="A211" s="36" t="s">
        <v>679</v>
      </c>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ht="15.7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ht="15.75" customHeight="1">
      <c r="A213" s="171" t="s">
        <v>1916</v>
      </c>
      <c r="B213" s="171">
        <v>1.0</v>
      </c>
      <c r="C213" s="171">
        <v>2.0</v>
      </c>
      <c r="D213" s="171">
        <v>3.0</v>
      </c>
      <c r="E213" s="171">
        <v>4.0</v>
      </c>
      <c r="F213" s="171">
        <v>5.0</v>
      </c>
      <c r="G213" s="171">
        <v>6.0</v>
      </c>
      <c r="H213" s="36"/>
      <c r="I213" s="36"/>
      <c r="J213" s="36"/>
      <c r="K213" s="36"/>
      <c r="L213" s="36"/>
      <c r="M213" s="36"/>
      <c r="N213" s="36"/>
      <c r="O213" s="36"/>
      <c r="P213" s="36"/>
      <c r="Q213" s="36"/>
      <c r="R213" s="36"/>
      <c r="S213" s="36"/>
      <c r="T213" s="36"/>
      <c r="U213" s="36"/>
      <c r="V213" s="36"/>
      <c r="W213" s="36"/>
      <c r="X213" s="36"/>
      <c r="Y213" s="36"/>
      <c r="Z213" s="36"/>
    </row>
    <row r="214" ht="15.75" customHeight="1">
      <c r="A214" s="322">
        <v>15000.0</v>
      </c>
      <c r="B214" s="227">
        <v>0.3</v>
      </c>
      <c r="C214" s="227">
        <v>0.15</v>
      </c>
      <c r="D214" s="227">
        <v>0.1</v>
      </c>
      <c r="E214" s="227">
        <v>0.0</v>
      </c>
      <c r="F214" s="227">
        <v>0.0</v>
      </c>
      <c r="G214" s="227">
        <v>-0.05</v>
      </c>
      <c r="H214" s="36"/>
      <c r="I214" s="36"/>
      <c r="J214" s="36"/>
      <c r="K214" s="36"/>
      <c r="L214" s="36"/>
      <c r="M214" s="36"/>
      <c r="N214" s="36"/>
      <c r="O214" s="36"/>
      <c r="P214" s="36"/>
      <c r="Q214" s="36"/>
      <c r="R214" s="36"/>
      <c r="S214" s="36"/>
      <c r="T214" s="36"/>
      <c r="U214" s="36"/>
      <c r="V214" s="36"/>
      <c r="W214" s="36"/>
      <c r="X214" s="36"/>
      <c r="Y214" s="36"/>
      <c r="Z214" s="36"/>
    </row>
    <row r="215" ht="15.75" customHeight="1">
      <c r="A215" s="326">
        <v>200000.0</v>
      </c>
      <c r="B215" s="227">
        <v>0.25</v>
      </c>
      <c r="C215" s="227">
        <v>0.15</v>
      </c>
      <c r="D215" s="227">
        <v>0.1</v>
      </c>
      <c r="E215" s="227">
        <v>0.0</v>
      </c>
      <c r="F215" s="227">
        <v>0.0</v>
      </c>
      <c r="G215" s="227">
        <v>-0.05</v>
      </c>
      <c r="H215" s="36"/>
      <c r="I215" s="36"/>
      <c r="J215" s="36"/>
      <c r="K215" s="36"/>
      <c r="L215" s="36"/>
      <c r="M215" s="36"/>
      <c r="N215" s="36"/>
      <c r="O215" s="36"/>
      <c r="P215" s="36"/>
      <c r="Q215" s="36"/>
      <c r="R215" s="36"/>
      <c r="S215" s="36"/>
      <c r="T215" s="36"/>
      <c r="U215" s="36"/>
      <c r="V215" s="36"/>
      <c r="W215" s="36"/>
      <c r="X215" s="36"/>
      <c r="Y215" s="36"/>
      <c r="Z215" s="36"/>
    </row>
    <row r="216" ht="15.75" customHeight="1">
      <c r="A216" s="322">
        <v>500000.0</v>
      </c>
      <c r="B216" s="227">
        <v>0.2</v>
      </c>
      <c r="C216" s="227">
        <v>0.15</v>
      </c>
      <c r="D216" s="227">
        <v>0.1</v>
      </c>
      <c r="E216" s="227">
        <v>0.0</v>
      </c>
      <c r="F216" s="227">
        <v>0.0</v>
      </c>
      <c r="G216" s="227">
        <v>-0.05</v>
      </c>
      <c r="H216" s="36"/>
      <c r="I216" s="36"/>
      <c r="J216" s="36"/>
      <c r="K216" s="36"/>
      <c r="L216" s="36"/>
      <c r="M216" s="36"/>
      <c r="N216" s="36"/>
      <c r="O216" s="36"/>
      <c r="P216" s="36"/>
      <c r="Q216" s="36"/>
      <c r="R216" s="36"/>
      <c r="S216" s="36"/>
      <c r="T216" s="36"/>
      <c r="U216" s="36"/>
      <c r="V216" s="36"/>
      <c r="W216" s="36"/>
      <c r="X216" s="36"/>
      <c r="Y216" s="36"/>
      <c r="Z216" s="36"/>
    </row>
    <row r="217" ht="15.75" customHeight="1">
      <c r="A217" s="322">
        <v>2000000.0</v>
      </c>
      <c r="B217" s="330">
        <v>0.125</v>
      </c>
      <c r="C217" s="227">
        <v>0.1</v>
      </c>
      <c r="D217" s="330">
        <v>0.075</v>
      </c>
      <c r="E217" s="227">
        <v>0.0</v>
      </c>
      <c r="F217" s="227">
        <v>0.0</v>
      </c>
      <c r="G217" s="227">
        <v>-0.05</v>
      </c>
      <c r="H217" s="36"/>
      <c r="I217" s="36"/>
      <c r="J217" s="36"/>
      <c r="K217" s="36"/>
      <c r="L217" s="36"/>
      <c r="M217" s="36"/>
      <c r="N217" s="36"/>
      <c r="O217" s="36"/>
      <c r="P217" s="36"/>
      <c r="Q217" s="36"/>
      <c r="R217" s="36"/>
      <c r="S217" s="36"/>
      <c r="T217" s="36"/>
      <c r="U217" s="36"/>
      <c r="V217" s="36"/>
      <c r="W217" s="36"/>
      <c r="X217" s="36"/>
      <c r="Y217" s="36"/>
      <c r="Z217" s="36"/>
    </row>
    <row r="218" ht="15.7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ht="15.75" customHeight="1">
      <c r="A219" s="36" t="s">
        <v>1932</v>
      </c>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ht="15.7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ht="15.75" customHeight="1">
      <c r="A221" s="171" t="s">
        <v>1917</v>
      </c>
      <c r="B221" s="171" t="s">
        <v>216</v>
      </c>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ht="15.75" customHeight="1">
      <c r="A222" s="171">
        <v>1.0</v>
      </c>
      <c r="B222" s="183">
        <v>0.1</v>
      </c>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ht="15.75" customHeight="1">
      <c r="A223" s="171">
        <v>2.0</v>
      </c>
      <c r="B223" s="227">
        <v>0.01</v>
      </c>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ht="15.75" customHeight="1">
      <c r="A225" s="36" t="s">
        <v>1933</v>
      </c>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ht="15.75" customHeight="1">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ht="15.75" customHeight="1">
      <c r="A227" s="171" t="s">
        <v>1916</v>
      </c>
      <c r="B227" s="171">
        <v>1.0</v>
      </c>
      <c r="C227" s="171">
        <v>2.0</v>
      </c>
      <c r="D227" s="171">
        <v>3.0</v>
      </c>
      <c r="E227" s="171">
        <v>4.0</v>
      </c>
      <c r="F227" s="171">
        <v>5.0</v>
      </c>
      <c r="G227" s="171">
        <v>6.0</v>
      </c>
      <c r="H227" s="36"/>
      <c r="I227" s="36"/>
      <c r="J227" s="36"/>
      <c r="K227" s="36"/>
      <c r="L227" s="36"/>
      <c r="M227" s="36"/>
      <c r="N227" s="36"/>
      <c r="O227" s="36"/>
      <c r="P227" s="36"/>
      <c r="Q227" s="36"/>
      <c r="R227" s="36"/>
      <c r="S227" s="36"/>
      <c r="T227" s="36"/>
      <c r="U227" s="36"/>
      <c r="V227" s="36"/>
      <c r="W227" s="36"/>
      <c r="X227" s="36"/>
      <c r="Y227" s="36"/>
      <c r="Z227" s="36"/>
    </row>
    <row r="228" ht="15.75" customHeight="1">
      <c r="A228" s="322">
        <v>15000.0</v>
      </c>
      <c r="B228" s="227">
        <v>0.3</v>
      </c>
      <c r="C228" s="227">
        <v>0.15</v>
      </c>
      <c r="D228" s="227">
        <v>0.1</v>
      </c>
      <c r="E228" s="227">
        <v>0.0</v>
      </c>
      <c r="F228" s="227">
        <v>0.0</v>
      </c>
      <c r="G228" s="227">
        <v>-0.05</v>
      </c>
      <c r="H228" s="36"/>
      <c r="I228" s="36"/>
      <c r="J228" s="36"/>
      <c r="K228" s="36"/>
      <c r="L228" s="36"/>
      <c r="M228" s="36"/>
      <c r="N228" s="36"/>
      <c r="O228" s="36"/>
      <c r="P228" s="36"/>
      <c r="Q228" s="36"/>
      <c r="R228" s="36"/>
      <c r="S228" s="36"/>
      <c r="T228" s="36"/>
      <c r="U228" s="36"/>
      <c r="V228" s="36"/>
      <c r="W228" s="36"/>
      <c r="X228" s="36"/>
      <c r="Y228" s="36"/>
      <c r="Z228" s="36"/>
    </row>
    <row r="229" ht="15.75" customHeight="1">
      <c r="A229" s="326">
        <v>200000.0</v>
      </c>
      <c r="B229" s="227">
        <v>0.25</v>
      </c>
      <c r="C229" s="227">
        <v>0.15</v>
      </c>
      <c r="D229" s="227">
        <v>0.1</v>
      </c>
      <c r="E229" s="227">
        <v>0.0</v>
      </c>
      <c r="F229" s="227">
        <v>0.0</v>
      </c>
      <c r="G229" s="227">
        <v>-0.05</v>
      </c>
      <c r="H229" s="36"/>
      <c r="I229" s="36"/>
      <c r="J229" s="36"/>
      <c r="K229" s="36"/>
      <c r="L229" s="36"/>
      <c r="M229" s="36"/>
      <c r="N229" s="36"/>
      <c r="O229" s="36"/>
      <c r="P229" s="36"/>
      <c r="Q229" s="36"/>
      <c r="R229" s="36"/>
      <c r="S229" s="36"/>
      <c r="T229" s="36"/>
      <c r="U229" s="36"/>
      <c r="V229" s="36"/>
      <c r="W229" s="36"/>
      <c r="X229" s="36"/>
      <c r="Y229" s="36"/>
      <c r="Z229" s="36"/>
    </row>
    <row r="230" ht="15.75" customHeight="1">
      <c r="A230" s="322">
        <v>500000.0</v>
      </c>
      <c r="B230" s="227">
        <v>0.2</v>
      </c>
      <c r="C230" s="227">
        <v>0.15</v>
      </c>
      <c r="D230" s="227">
        <v>0.1</v>
      </c>
      <c r="E230" s="227">
        <v>0.0</v>
      </c>
      <c r="F230" s="227">
        <v>0.0</v>
      </c>
      <c r="G230" s="227">
        <v>-0.05</v>
      </c>
      <c r="H230" s="36"/>
      <c r="I230" s="36"/>
      <c r="J230" s="36"/>
      <c r="K230" s="36"/>
      <c r="L230" s="36"/>
      <c r="M230" s="36"/>
      <c r="N230" s="36"/>
      <c r="O230" s="36"/>
      <c r="P230" s="36"/>
      <c r="Q230" s="36"/>
      <c r="R230" s="36"/>
      <c r="S230" s="36"/>
      <c r="T230" s="36"/>
      <c r="U230" s="36"/>
      <c r="V230" s="36"/>
      <c r="W230" s="36"/>
      <c r="X230" s="36"/>
      <c r="Y230" s="36"/>
      <c r="Z230" s="36"/>
    </row>
    <row r="231" ht="15.75" customHeight="1">
      <c r="A231" s="322">
        <v>2000000.0</v>
      </c>
      <c r="B231" s="330">
        <v>0.125</v>
      </c>
      <c r="C231" s="227">
        <v>0.1</v>
      </c>
      <c r="D231" s="330">
        <v>0.075</v>
      </c>
      <c r="E231" s="227">
        <v>0.0</v>
      </c>
      <c r="F231" s="227">
        <v>0.0</v>
      </c>
      <c r="G231" s="227">
        <v>-0.05</v>
      </c>
      <c r="H231" s="36"/>
      <c r="I231" s="36"/>
      <c r="J231" s="36"/>
      <c r="K231" s="36"/>
      <c r="L231" s="36"/>
      <c r="M231" s="36"/>
      <c r="N231" s="36"/>
      <c r="O231" s="36"/>
      <c r="P231" s="36"/>
      <c r="Q231" s="36"/>
      <c r="R231" s="36"/>
      <c r="S231" s="36"/>
      <c r="T231" s="36"/>
      <c r="U231" s="36"/>
      <c r="V231" s="36"/>
      <c r="W231" s="36"/>
      <c r="X231" s="36"/>
      <c r="Y231" s="36"/>
      <c r="Z231" s="36"/>
    </row>
    <row r="232" ht="15.75" customHeight="1">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ht="15.75" customHeight="1">
      <c r="A233" s="319" t="s">
        <v>691</v>
      </c>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ht="15.75" customHeight="1">
      <c r="A235" s="171" t="s">
        <v>1917</v>
      </c>
      <c r="B235" s="171" t="s">
        <v>216</v>
      </c>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ht="15.75" customHeight="1">
      <c r="A236" s="171">
        <v>1.0</v>
      </c>
      <c r="B236" s="183">
        <v>0.1</v>
      </c>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ht="15.75" customHeight="1">
      <c r="A237" s="171">
        <v>2.0</v>
      </c>
      <c r="B237" s="227">
        <v>0.01</v>
      </c>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ht="15.75" customHeight="1">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ht="15.75" customHeight="1">
      <c r="A239" s="36" t="s">
        <v>695</v>
      </c>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ht="15.75" customHeight="1">
      <c r="A240" s="171" t="s">
        <v>1917</v>
      </c>
      <c r="B240" s="171" t="s">
        <v>216</v>
      </c>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ht="15.75" customHeight="1">
      <c r="A241" s="171">
        <v>1.0</v>
      </c>
      <c r="B241" s="227">
        <v>0.04</v>
      </c>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ht="15.75" customHeight="1">
      <c r="A242" s="171">
        <v>2.0</v>
      </c>
      <c r="B242" s="227">
        <v>0.04</v>
      </c>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ht="15.75" customHeight="1">
      <c r="A243" s="171">
        <v>3.0</v>
      </c>
      <c r="B243" s="227">
        <v>0.03</v>
      </c>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ht="15.75" customHeight="1">
      <c r="A244" s="171">
        <v>4.0</v>
      </c>
      <c r="B244" s="227">
        <v>0.02</v>
      </c>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ht="15.75" customHeight="1">
      <c r="A245" s="171">
        <v>5.0</v>
      </c>
      <c r="B245" s="227">
        <v>0.02</v>
      </c>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ht="15.0" customHeight="1">
      <c r="A246" s="171">
        <v>6.0</v>
      </c>
      <c r="B246" s="171">
        <v>0.0</v>
      </c>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ht="15.75" customHeight="1">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ht="15.75" customHeight="1">
      <c r="A248" s="36" t="s">
        <v>701</v>
      </c>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ht="15.75" customHeight="1">
      <c r="A249" s="171" t="s">
        <v>1917</v>
      </c>
      <c r="B249" s="171" t="s">
        <v>216</v>
      </c>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ht="15.75" customHeight="1">
      <c r="A250" s="171">
        <v>1.0</v>
      </c>
      <c r="B250" s="227">
        <v>0.04</v>
      </c>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ht="15.75" customHeight="1">
      <c r="A251" s="171">
        <v>2.0</v>
      </c>
      <c r="B251" s="227">
        <v>0.04</v>
      </c>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ht="15.75" customHeight="1">
      <c r="A252" s="171">
        <v>3.0</v>
      </c>
      <c r="B252" s="227">
        <v>0.04</v>
      </c>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ht="15.75" customHeight="1">
      <c r="A253" s="171">
        <v>4.0</v>
      </c>
      <c r="B253" s="227">
        <v>0.04</v>
      </c>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ht="15.75" customHeight="1">
      <c r="A254" s="171">
        <v>5.0</v>
      </c>
      <c r="B254" s="227">
        <v>0.04</v>
      </c>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ht="15.75" customHeight="1">
      <c r="A255" s="171">
        <v>6.0</v>
      </c>
      <c r="B255" s="227">
        <v>0.04</v>
      </c>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ht="15.75" customHeight="1">
      <c r="A256" s="171">
        <v>7.0</v>
      </c>
      <c r="B256" s="227">
        <v>0.04</v>
      </c>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ht="15.75" customHeight="1">
      <c r="A257" s="171">
        <v>8.0</v>
      </c>
      <c r="B257" s="227">
        <v>0.01</v>
      </c>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ht="15.75" customHeight="1">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ht="15.75" customHeight="1">
      <c r="A259" s="36" t="s">
        <v>707</v>
      </c>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ht="15.75" customHeight="1">
      <c r="A260" s="171" t="s">
        <v>1917</v>
      </c>
      <c r="B260" s="171" t="s">
        <v>216</v>
      </c>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ht="15.75" customHeight="1">
      <c r="A261" s="171">
        <v>1.0</v>
      </c>
      <c r="B261" s="227">
        <v>0.04</v>
      </c>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ht="15.75" customHeight="1">
      <c r="A262" s="171">
        <v>2.0</v>
      </c>
      <c r="B262" s="227">
        <v>0.04</v>
      </c>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ht="15.75" customHeight="1">
      <c r="A263" s="171">
        <v>3.0</v>
      </c>
      <c r="B263" s="227">
        <v>0.04</v>
      </c>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ht="15.75" customHeight="1">
      <c r="A264" s="171">
        <v>4.0</v>
      </c>
      <c r="B264" s="227">
        <v>0.04</v>
      </c>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ht="15.75" customHeight="1">
      <c r="A265" s="171">
        <v>5.0</v>
      </c>
      <c r="B265" s="227">
        <v>0.04</v>
      </c>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ht="15.75" customHeight="1">
      <c r="A266" s="171">
        <v>6.0</v>
      </c>
      <c r="B266" s="227">
        <v>0.04</v>
      </c>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ht="15.75" customHeight="1">
      <c r="A267" s="171">
        <v>7.0</v>
      </c>
      <c r="B267" s="227">
        <v>0.04</v>
      </c>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ht="15.75" customHeight="1">
      <c r="A268" s="171">
        <v>8.0</v>
      </c>
      <c r="B268" s="227">
        <v>0.01</v>
      </c>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ht="15.75" customHeight="1">
      <c r="A270" s="36" t="s">
        <v>1934</v>
      </c>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ht="15.75" customHeight="1">
      <c r="A271" s="171" t="s">
        <v>1917</v>
      </c>
      <c r="B271" s="171" t="s">
        <v>216</v>
      </c>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ht="15.75" customHeight="1">
      <c r="A272" s="171">
        <v>1.0</v>
      </c>
      <c r="B272" s="183">
        <v>0.025</v>
      </c>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ht="15.75" customHeight="1">
      <c r="A273" s="171">
        <v>2.0</v>
      </c>
      <c r="B273" s="227">
        <v>0.0</v>
      </c>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ht="15.75" customHeight="1">
      <c r="A275" s="319" t="s">
        <v>720</v>
      </c>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ht="15.75" customHeight="1">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ht="15.75" customHeight="1">
      <c r="A277" s="171" t="s">
        <v>1917</v>
      </c>
      <c r="B277" s="171" t="s">
        <v>216</v>
      </c>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ht="15.75" customHeight="1">
      <c r="A278" s="171">
        <v>1.0</v>
      </c>
      <c r="B278" s="227">
        <v>0.04</v>
      </c>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ht="15.75" customHeight="1">
      <c r="A279" s="171">
        <v>2.0</v>
      </c>
      <c r="B279" s="227">
        <v>0.04</v>
      </c>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ht="15.75" customHeight="1">
      <c r="A280" s="171">
        <v>3.0</v>
      </c>
      <c r="B280" s="227">
        <v>0.04</v>
      </c>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ht="15.75" customHeight="1">
      <c r="A281" s="171">
        <v>4.0</v>
      </c>
      <c r="B281" s="227">
        <v>0.04</v>
      </c>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ht="15.75" customHeight="1">
      <c r="A282" s="171">
        <v>5.0</v>
      </c>
      <c r="B282" s="227">
        <v>0.04</v>
      </c>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ht="15.75" customHeight="1">
      <c r="A283" s="171">
        <v>6.0</v>
      </c>
      <c r="B283" s="227">
        <v>0.04</v>
      </c>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ht="15.75" customHeight="1">
      <c r="A284" s="171">
        <v>7.0</v>
      </c>
      <c r="B284" s="227">
        <v>0.04</v>
      </c>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ht="15.75" customHeight="1">
      <c r="A285" s="171">
        <v>8.0</v>
      </c>
      <c r="B285" s="227">
        <v>0.01</v>
      </c>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ht="15.75" customHeight="1">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ht="15.75" customHeight="1">
      <c r="A287" s="319" t="s">
        <v>726</v>
      </c>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ht="15.75" customHeight="1">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ht="15.75" customHeight="1">
      <c r="A289" s="171" t="s">
        <v>1917</v>
      </c>
      <c r="B289" s="171" t="s">
        <v>216</v>
      </c>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ht="15.75" customHeight="1">
      <c r="A290" s="171">
        <v>1.0</v>
      </c>
      <c r="B290" s="183">
        <v>0.075</v>
      </c>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ht="15.75" customHeight="1">
      <c r="A291" s="171">
        <v>2.0</v>
      </c>
      <c r="B291" s="183">
        <v>0.075</v>
      </c>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ht="15.75" customHeight="1">
      <c r="A292" s="171">
        <v>3.0</v>
      </c>
      <c r="B292" s="227">
        <v>0.05</v>
      </c>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ht="15.75" customHeight="1">
      <c r="A293" s="171">
        <v>4.0</v>
      </c>
      <c r="B293" s="227">
        <v>0.05</v>
      </c>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ht="15.75" customHeight="1">
      <c r="A294" s="171">
        <v>5.0</v>
      </c>
      <c r="B294" s="227">
        <v>0.05</v>
      </c>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ht="15.75" customHeight="1">
      <c r="A295" s="171">
        <v>6.0</v>
      </c>
      <c r="B295" s="227">
        <v>0.0</v>
      </c>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ht="15.75" customHeight="1">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ht="15.75" customHeight="1">
      <c r="A297" s="319" t="s">
        <v>740</v>
      </c>
      <c r="B297" s="36"/>
      <c r="C297" s="36"/>
      <c r="D297" s="319" t="s">
        <v>1935</v>
      </c>
      <c r="E297" s="36"/>
      <c r="F297" s="36"/>
      <c r="G297" s="36"/>
      <c r="H297" s="36"/>
      <c r="I297" s="36"/>
      <c r="J297" s="36"/>
      <c r="K297" s="36"/>
      <c r="L297" s="36"/>
      <c r="M297" s="36"/>
      <c r="N297" s="36"/>
      <c r="O297" s="36"/>
      <c r="P297" s="36"/>
      <c r="Q297" s="36"/>
      <c r="R297" s="36"/>
      <c r="S297" s="36"/>
      <c r="T297" s="36"/>
      <c r="U297" s="36"/>
      <c r="V297" s="36"/>
      <c r="W297" s="36"/>
      <c r="X297" s="36"/>
      <c r="Y297" s="36"/>
      <c r="Z297" s="36"/>
    </row>
    <row r="298" ht="15.75" customHeight="1">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ht="15.75" customHeight="1">
      <c r="A299" s="171" t="s">
        <v>1917</v>
      </c>
      <c r="B299" s="171" t="s">
        <v>216</v>
      </c>
      <c r="C299" s="36"/>
      <c r="D299" s="171" t="s">
        <v>1917</v>
      </c>
      <c r="E299" s="171" t="s">
        <v>216</v>
      </c>
      <c r="F299" s="36"/>
      <c r="G299" s="36"/>
      <c r="H299" s="36"/>
      <c r="I299" s="36"/>
      <c r="J299" s="36"/>
      <c r="K299" s="36"/>
      <c r="L299" s="36"/>
      <c r="M299" s="36"/>
      <c r="N299" s="36"/>
      <c r="O299" s="36"/>
      <c r="P299" s="36"/>
      <c r="Q299" s="36"/>
      <c r="R299" s="36"/>
      <c r="S299" s="36"/>
      <c r="T299" s="36"/>
      <c r="U299" s="36"/>
      <c r="V299" s="36"/>
      <c r="W299" s="36"/>
      <c r="X299" s="36"/>
      <c r="Y299" s="36"/>
      <c r="Z299" s="36"/>
    </row>
    <row r="300" ht="15.75" customHeight="1">
      <c r="A300" s="171">
        <v>1.0</v>
      </c>
      <c r="B300" s="183">
        <v>0.025</v>
      </c>
      <c r="C300" s="36"/>
      <c r="D300" s="171">
        <v>1.0</v>
      </c>
      <c r="E300" s="183">
        <v>0.06</v>
      </c>
      <c r="F300" s="36"/>
      <c r="G300" s="36"/>
      <c r="H300" s="36"/>
      <c r="I300" s="36"/>
      <c r="J300" s="36"/>
      <c r="K300" s="36"/>
      <c r="L300" s="36"/>
      <c r="M300" s="36"/>
      <c r="N300" s="36"/>
      <c r="O300" s="36"/>
      <c r="P300" s="36"/>
      <c r="Q300" s="36"/>
      <c r="R300" s="36"/>
      <c r="S300" s="36"/>
      <c r="T300" s="36"/>
      <c r="U300" s="36"/>
      <c r="V300" s="36"/>
      <c r="W300" s="36"/>
      <c r="X300" s="36"/>
      <c r="Y300" s="36"/>
      <c r="Z300" s="36"/>
    </row>
    <row r="301" ht="15.75" customHeight="1">
      <c r="A301" s="171">
        <v>2.0</v>
      </c>
      <c r="B301" s="227">
        <v>0.02</v>
      </c>
      <c r="C301" s="36"/>
      <c r="D301" s="171">
        <v>2.0</v>
      </c>
      <c r="E301" s="227">
        <v>0.02</v>
      </c>
      <c r="F301" s="36"/>
      <c r="G301" s="36"/>
      <c r="H301" s="36"/>
      <c r="I301" s="36"/>
      <c r="J301" s="36"/>
      <c r="K301" s="36"/>
      <c r="L301" s="36"/>
      <c r="M301" s="36"/>
      <c r="N301" s="36"/>
      <c r="O301" s="36"/>
      <c r="P301" s="36"/>
      <c r="Q301" s="36"/>
      <c r="R301" s="36"/>
      <c r="S301" s="36"/>
      <c r="T301" s="36"/>
      <c r="U301" s="36"/>
      <c r="V301" s="36"/>
      <c r="W301" s="36"/>
      <c r="X301" s="36"/>
      <c r="Y301" s="36"/>
      <c r="Z301" s="36"/>
    </row>
    <row r="302" ht="15.75" customHeight="1">
      <c r="A302" s="171">
        <v>3.0</v>
      </c>
      <c r="B302" s="227">
        <v>0.0</v>
      </c>
      <c r="C302" s="36"/>
      <c r="D302" s="171">
        <v>3.0</v>
      </c>
      <c r="E302" s="227">
        <v>0.0</v>
      </c>
      <c r="F302" s="36"/>
      <c r="G302" s="36"/>
      <c r="H302" s="36"/>
      <c r="I302" s="36"/>
      <c r="J302" s="36"/>
      <c r="K302" s="36"/>
      <c r="L302" s="36"/>
      <c r="M302" s="36"/>
      <c r="N302" s="36"/>
      <c r="O302" s="36"/>
      <c r="P302" s="36"/>
      <c r="Q302" s="36"/>
      <c r="R302" s="36"/>
      <c r="S302" s="36"/>
      <c r="T302" s="36"/>
      <c r="U302" s="36"/>
      <c r="V302" s="36"/>
      <c r="W302" s="36"/>
      <c r="X302" s="36"/>
      <c r="Y302" s="36"/>
      <c r="Z302" s="36"/>
    </row>
    <row r="303" ht="15.75" customHeight="1">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ht="15.75" customHeight="1">
      <c r="A304" s="319" t="s">
        <v>748</v>
      </c>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ht="15.75" customHeight="1">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ht="15.75" customHeight="1">
      <c r="A306" s="171" t="s">
        <v>1917</v>
      </c>
      <c r="B306" s="171" t="s">
        <v>216</v>
      </c>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ht="15.75" customHeight="1">
      <c r="A307" s="171">
        <v>1.0</v>
      </c>
      <c r="B307" s="183">
        <v>0.025</v>
      </c>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ht="15.75" customHeight="1">
      <c r="A308" s="171">
        <v>2.0</v>
      </c>
      <c r="B308" s="183">
        <v>0.025</v>
      </c>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ht="15.75" customHeight="1">
      <c r="A309" s="171">
        <v>3.0</v>
      </c>
      <c r="B309" s="183">
        <v>0.025</v>
      </c>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ht="15.75" customHeight="1">
      <c r="A310" s="171">
        <v>4.0</v>
      </c>
      <c r="B310" s="183">
        <v>0.025</v>
      </c>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ht="15.75" customHeight="1">
      <c r="A311" s="171">
        <v>5.0</v>
      </c>
      <c r="B311" s="183">
        <v>0.025</v>
      </c>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ht="15.75" customHeight="1">
      <c r="A312" s="171">
        <v>6.0</v>
      </c>
      <c r="B312" s="183">
        <v>0.025</v>
      </c>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ht="15.75" customHeight="1">
      <c r="A313" s="171">
        <v>7.0</v>
      </c>
      <c r="B313" s="183">
        <v>0.025</v>
      </c>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ht="15.75" customHeight="1">
      <c r="A314" s="171">
        <v>8.0</v>
      </c>
      <c r="B314" s="183">
        <v>0.025</v>
      </c>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ht="15.75" customHeight="1">
      <c r="A315" s="171">
        <v>9.0</v>
      </c>
      <c r="B315" s="183">
        <v>0.025</v>
      </c>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ht="15.75" customHeight="1">
      <c r="A316" s="171">
        <v>10.0</v>
      </c>
      <c r="B316" s="183">
        <v>0.025</v>
      </c>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ht="15.75" customHeight="1">
      <c r="A317" s="171">
        <v>11.0</v>
      </c>
      <c r="B317" s="183">
        <v>-0.025</v>
      </c>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ht="15.75" customHeight="1">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ht="15.75" customHeight="1">
      <c r="A319" s="36" t="s">
        <v>647</v>
      </c>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ht="15.75" customHeight="1">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ht="15.75" customHeight="1">
      <c r="A321" s="171" t="s">
        <v>1917</v>
      </c>
      <c r="B321" s="171" t="s">
        <v>216</v>
      </c>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ht="15.75" customHeight="1">
      <c r="A322" s="171">
        <v>1.0</v>
      </c>
      <c r="B322" s="227">
        <v>0.15</v>
      </c>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ht="15.75" customHeight="1">
      <c r="A323" s="171">
        <v>2.0</v>
      </c>
      <c r="B323" s="227">
        <v>0.1</v>
      </c>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ht="15.75" customHeight="1">
      <c r="A324" s="171">
        <v>3.0</v>
      </c>
      <c r="B324" s="227">
        <v>0.05</v>
      </c>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ht="15.75" customHeight="1">
      <c r="A325" s="171">
        <v>4.0</v>
      </c>
      <c r="B325" s="227">
        <v>0.03</v>
      </c>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ht="15.75" customHeight="1">
      <c r="A326" s="36"/>
      <c r="B326" s="214"/>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ht="15.75" customHeight="1">
      <c r="A327" s="36" t="s">
        <v>632</v>
      </c>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ht="15.75" customHeight="1">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ht="15.75" customHeight="1">
      <c r="A329" s="171" t="s">
        <v>1916</v>
      </c>
      <c r="B329" s="171">
        <v>1.0</v>
      </c>
      <c r="C329" s="171">
        <v>2.0</v>
      </c>
      <c r="D329" s="171">
        <v>3.0</v>
      </c>
      <c r="E329" s="171">
        <v>4.0</v>
      </c>
      <c r="F329" s="36"/>
      <c r="G329" s="36"/>
      <c r="H329" s="36"/>
      <c r="I329" s="36"/>
      <c r="J329" s="36"/>
      <c r="K329" s="36"/>
      <c r="L329" s="36"/>
      <c r="M329" s="36"/>
      <c r="N329" s="36"/>
      <c r="O329" s="36"/>
      <c r="P329" s="36"/>
      <c r="Q329" s="36"/>
      <c r="R329" s="36"/>
      <c r="S329" s="36"/>
      <c r="T329" s="36"/>
      <c r="U329" s="36"/>
      <c r="V329" s="36"/>
      <c r="W329" s="36"/>
      <c r="X329" s="36"/>
      <c r="Y329" s="36"/>
      <c r="Z329" s="36"/>
    </row>
    <row r="330" ht="15.75" customHeight="1">
      <c r="A330" s="322">
        <v>15000.0</v>
      </c>
      <c r="B330" s="227">
        <v>0.15</v>
      </c>
      <c r="C330" s="227">
        <v>0.1</v>
      </c>
      <c r="D330" s="227">
        <v>0.05</v>
      </c>
      <c r="E330" s="227">
        <v>0.03</v>
      </c>
      <c r="F330" s="214"/>
      <c r="G330" s="214"/>
      <c r="H330" s="36"/>
      <c r="I330" s="36"/>
      <c r="J330" s="36"/>
      <c r="K330" s="36"/>
      <c r="L330" s="36"/>
      <c r="M330" s="36"/>
      <c r="N330" s="36"/>
      <c r="O330" s="36"/>
      <c r="P330" s="36"/>
      <c r="Q330" s="36"/>
      <c r="R330" s="36"/>
      <c r="S330" s="36"/>
      <c r="T330" s="36"/>
      <c r="U330" s="36"/>
      <c r="V330" s="36"/>
      <c r="W330" s="36"/>
      <c r="X330" s="36"/>
      <c r="Y330" s="36"/>
      <c r="Z330" s="36"/>
    </row>
    <row r="331" ht="15.75" customHeight="1">
      <c r="A331" s="326">
        <v>200000.0</v>
      </c>
      <c r="B331" s="227">
        <v>0.125</v>
      </c>
      <c r="C331" s="227">
        <v>0.1</v>
      </c>
      <c r="D331" s="227">
        <v>0.05</v>
      </c>
      <c r="E331" s="227">
        <v>0.03</v>
      </c>
      <c r="F331" s="214"/>
      <c r="G331" s="214"/>
      <c r="H331" s="36"/>
      <c r="I331" s="36"/>
      <c r="J331" s="36"/>
      <c r="K331" s="36"/>
      <c r="L331" s="36"/>
      <c r="M331" s="36"/>
      <c r="N331" s="36"/>
      <c r="O331" s="36"/>
      <c r="P331" s="36"/>
      <c r="Q331" s="36"/>
      <c r="R331" s="36"/>
      <c r="S331" s="36"/>
      <c r="T331" s="36"/>
      <c r="U331" s="36"/>
      <c r="V331" s="36"/>
      <c r="W331" s="36"/>
      <c r="X331" s="36"/>
      <c r="Y331" s="36"/>
      <c r="Z331" s="36"/>
    </row>
    <row r="332" ht="15.75" customHeight="1">
      <c r="A332" s="322">
        <v>500000.0</v>
      </c>
      <c r="B332" s="227">
        <v>0.1</v>
      </c>
      <c r="C332" s="227">
        <v>0.1</v>
      </c>
      <c r="D332" s="227">
        <v>0.05</v>
      </c>
      <c r="E332" s="227">
        <v>0.03</v>
      </c>
      <c r="F332" s="214"/>
      <c r="G332" s="214"/>
      <c r="H332" s="36"/>
      <c r="I332" s="36"/>
      <c r="J332" s="36"/>
      <c r="K332" s="36"/>
      <c r="L332" s="36"/>
      <c r="M332" s="36"/>
      <c r="N332" s="36"/>
      <c r="O332" s="36"/>
      <c r="P332" s="36"/>
      <c r="Q332" s="36"/>
      <c r="R332" s="36"/>
      <c r="S332" s="36"/>
      <c r="T332" s="36"/>
      <c r="U332" s="36"/>
      <c r="V332" s="36"/>
      <c r="W332" s="36"/>
      <c r="X332" s="36"/>
      <c r="Y332" s="36"/>
      <c r="Z332" s="36"/>
    </row>
    <row r="333" ht="15.75" customHeight="1">
      <c r="A333" s="322">
        <v>2000000.0</v>
      </c>
      <c r="B333" s="330">
        <v>0.08</v>
      </c>
      <c r="C333" s="227">
        <v>0.06</v>
      </c>
      <c r="D333" s="330">
        <v>0.04</v>
      </c>
      <c r="E333" s="227">
        <v>0.03</v>
      </c>
      <c r="F333" s="214"/>
      <c r="G333" s="214"/>
      <c r="H333" s="36"/>
      <c r="I333" s="36"/>
      <c r="J333" s="36"/>
      <c r="K333" s="36"/>
      <c r="L333" s="36"/>
      <c r="M333" s="36"/>
      <c r="N333" s="36"/>
      <c r="O333" s="36"/>
      <c r="P333" s="36"/>
      <c r="Q333" s="36"/>
      <c r="R333" s="36"/>
      <c r="S333" s="36"/>
      <c r="T333" s="36"/>
      <c r="U333" s="36"/>
      <c r="V333" s="36"/>
      <c r="W333" s="36"/>
      <c r="X333" s="36"/>
      <c r="Y333" s="36"/>
      <c r="Z333" s="36"/>
    </row>
    <row r="334" ht="15.75" customHeight="1">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ht="15.75" customHeight="1">
      <c r="A335" s="36" t="s">
        <v>1936</v>
      </c>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ht="15.75" customHeight="1">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ht="15.75" customHeight="1">
      <c r="A337" s="171" t="s">
        <v>1916</v>
      </c>
      <c r="B337" s="171">
        <v>1.0</v>
      </c>
      <c r="C337" s="171">
        <v>2.0</v>
      </c>
      <c r="D337" s="171">
        <v>3.0</v>
      </c>
      <c r="E337" s="36"/>
      <c r="F337" s="36"/>
      <c r="G337" s="36"/>
      <c r="H337" s="36"/>
      <c r="I337" s="36"/>
      <c r="J337" s="36"/>
      <c r="K337" s="36"/>
      <c r="L337" s="36"/>
      <c r="M337" s="36"/>
      <c r="N337" s="36"/>
      <c r="O337" s="36"/>
      <c r="P337" s="36"/>
      <c r="Q337" s="36"/>
      <c r="R337" s="36"/>
      <c r="S337" s="36"/>
      <c r="T337" s="36"/>
      <c r="U337" s="36"/>
      <c r="V337" s="36"/>
      <c r="W337" s="36"/>
      <c r="X337" s="36"/>
      <c r="Y337" s="36"/>
      <c r="Z337" s="36"/>
    </row>
    <row r="338" ht="15.75" customHeight="1">
      <c r="A338" s="322">
        <v>12000.0</v>
      </c>
      <c r="B338" s="227">
        <v>0.6</v>
      </c>
      <c r="C338" s="227">
        <v>0.07</v>
      </c>
      <c r="D338" s="227">
        <v>0.02</v>
      </c>
      <c r="E338" s="36"/>
      <c r="F338" s="36"/>
      <c r="G338" s="36"/>
      <c r="H338" s="36"/>
      <c r="I338" s="36"/>
      <c r="J338" s="36"/>
      <c r="K338" s="36"/>
      <c r="L338" s="36"/>
      <c r="M338" s="36"/>
      <c r="N338" s="36"/>
      <c r="O338" s="36"/>
      <c r="P338" s="36"/>
      <c r="Q338" s="36"/>
      <c r="R338" s="36"/>
      <c r="S338" s="36"/>
      <c r="T338" s="36"/>
      <c r="U338" s="36"/>
      <c r="V338" s="36"/>
      <c r="W338" s="36"/>
      <c r="X338" s="36"/>
      <c r="Y338" s="36"/>
      <c r="Z338" s="36"/>
    </row>
    <row r="339" ht="15.75" customHeight="1">
      <c r="A339" s="326">
        <v>200000.0</v>
      </c>
      <c r="B339" s="227">
        <v>0.48</v>
      </c>
      <c r="C339" s="227">
        <v>0.07</v>
      </c>
      <c r="D339" s="227">
        <v>0.02</v>
      </c>
      <c r="E339" s="36"/>
      <c r="F339" s="36"/>
      <c r="G339" s="36"/>
      <c r="H339" s="36"/>
      <c r="I339" s="36"/>
      <c r="J339" s="36"/>
      <c r="K339" s="36"/>
      <c r="L339" s="36"/>
      <c r="M339" s="36"/>
      <c r="N339" s="36"/>
      <c r="O339" s="36"/>
      <c r="P339" s="36"/>
      <c r="Q339" s="36"/>
      <c r="R339" s="36"/>
      <c r="S339" s="36"/>
      <c r="T339" s="36"/>
      <c r="U339" s="36"/>
      <c r="V339" s="36"/>
      <c r="W339" s="36"/>
      <c r="X339" s="36"/>
      <c r="Y339" s="36"/>
      <c r="Z339" s="36"/>
    </row>
    <row r="340" ht="15.75" customHeight="1">
      <c r="A340" s="322">
        <v>500000.0</v>
      </c>
      <c r="B340" s="227">
        <v>0.36</v>
      </c>
      <c r="C340" s="227">
        <v>0.07</v>
      </c>
      <c r="D340" s="227">
        <v>0.02</v>
      </c>
      <c r="E340" s="36"/>
      <c r="F340" s="36"/>
      <c r="G340" s="36"/>
      <c r="H340" s="36"/>
      <c r="I340" s="36"/>
      <c r="J340" s="36"/>
      <c r="K340" s="36"/>
      <c r="L340" s="36"/>
      <c r="M340" s="36"/>
      <c r="N340" s="36"/>
      <c r="O340" s="36"/>
      <c r="P340" s="36"/>
      <c r="Q340" s="36"/>
      <c r="R340" s="36"/>
      <c r="S340" s="36"/>
      <c r="T340" s="36"/>
      <c r="U340" s="36"/>
      <c r="V340" s="36"/>
      <c r="W340" s="36"/>
      <c r="X340" s="36"/>
      <c r="Y340" s="36"/>
      <c r="Z340" s="36"/>
    </row>
    <row r="341" ht="15.75" customHeight="1">
      <c r="A341" s="326">
        <v>1000000.0</v>
      </c>
      <c r="B341" s="227">
        <v>0.23</v>
      </c>
      <c r="C341" s="227">
        <v>0.07</v>
      </c>
      <c r="D341" s="227">
        <v>0.02</v>
      </c>
      <c r="E341" s="36"/>
      <c r="F341" s="36"/>
      <c r="G341" s="36"/>
      <c r="H341" s="36"/>
      <c r="I341" s="36"/>
      <c r="J341" s="36"/>
      <c r="K341" s="36"/>
      <c r="L341" s="36"/>
      <c r="M341" s="36"/>
      <c r="N341" s="36"/>
      <c r="O341" s="36"/>
      <c r="P341" s="36"/>
      <c r="Q341" s="36"/>
      <c r="R341" s="36"/>
      <c r="S341" s="36"/>
      <c r="T341" s="36"/>
      <c r="U341" s="36"/>
      <c r="V341" s="36"/>
      <c r="W341" s="36"/>
      <c r="X341" s="36"/>
      <c r="Y341" s="36"/>
      <c r="Z341" s="36"/>
    </row>
    <row r="342" ht="15.75" customHeight="1">
      <c r="A342" s="322">
        <v>2000000.0</v>
      </c>
      <c r="B342" s="227">
        <v>0.1</v>
      </c>
      <c r="C342" s="227">
        <v>0.07</v>
      </c>
      <c r="D342" s="227">
        <v>0.02</v>
      </c>
      <c r="E342" s="36"/>
      <c r="F342" s="36"/>
      <c r="G342" s="36"/>
      <c r="H342" s="36"/>
      <c r="I342" s="36"/>
      <c r="J342" s="36"/>
      <c r="K342" s="36"/>
      <c r="L342" s="36"/>
      <c r="M342" s="36"/>
      <c r="N342" s="36"/>
      <c r="O342" s="36"/>
      <c r="P342" s="36"/>
      <c r="Q342" s="36"/>
      <c r="R342" s="36"/>
      <c r="S342" s="36"/>
      <c r="T342" s="36"/>
      <c r="U342" s="36"/>
      <c r="V342" s="36"/>
      <c r="W342" s="36"/>
      <c r="X342" s="36"/>
      <c r="Y342" s="36"/>
      <c r="Z342" s="36"/>
    </row>
    <row r="343" ht="15.75" customHeight="1">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ht="15.75" customHeight="1">
      <c r="A344" s="319" t="s">
        <v>755</v>
      </c>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ht="15.75" customHeight="1">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ht="15.75" customHeight="1">
      <c r="A346" s="171" t="s">
        <v>253</v>
      </c>
      <c r="B346" s="171">
        <v>1.0</v>
      </c>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ht="15.75" customHeight="1">
      <c r="A347" s="171">
        <v>25000.0</v>
      </c>
      <c r="B347" s="183">
        <v>0.025</v>
      </c>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ht="15.75" customHeight="1">
      <c r="A348" s="171">
        <v>1000000.0</v>
      </c>
      <c r="B348" s="183">
        <v>0.015</v>
      </c>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ht="15.75" customHeight="1">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ht="15.75" customHeight="1">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ht="15.75" customHeight="1">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ht="15.75" customHeight="1">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ht="15.75" customHeight="1">
      <c r="A353" s="36" t="s">
        <v>1937</v>
      </c>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ht="15.75" customHeight="1">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ht="15.75" customHeight="1">
      <c r="A355" s="171" t="s">
        <v>1916</v>
      </c>
      <c r="B355" s="171">
        <v>1.0</v>
      </c>
      <c r="C355" s="171">
        <v>2.0</v>
      </c>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ht="15.75" customHeight="1">
      <c r="A356" s="322">
        <v>10000.0</v>
      </c>
      <c r="B356" s="227">
        <v>0.5</v>
      </c>
      <c r="C356" s="227">
        <v>0.01</v>
      </c>
      <c r="D356" s="214"/>
      <c r="E356" s="36"/>
      <c r="F356" s="36"/>
      <c r="G356" s="36"/>
      <c r="H356" s="36"/>
      <c r="I356" s="36"/>
      <c r="J356" s="36"/>
      <c r="K356" s="36"/>
      <c r="L356" s="36"/>
      <c r="M356" s="36"/>
      <c r="N356" s="36"/>
      <c r="O356" s="36"/>
      <c r="P356" s="36"/>
      <c r="Q356" s="36"/>
      <c r="R356" s="36"/>
      <c r="S356" s="36"/>
      <c r="T356" s="36"/>
      <c r="U356" s="36"/>
      <c r="V356" s="36"/>
      <c r="W356" s="36"/>
      <c r="X356" s="36"/>
      <c r="Y356" s="36"/>
      <c r="Z356" s="36"/>
    </row>
    <row r="357" ht="15.75" customHeight="1">
      <c r="A357" s="326">
        <v>200000.0</v>
      </c>
      <c r="B357" s="227">
        <v>0.35</v>
      </c>
      <c r="C357" s="227">
        <v>0.01</v>
      </c>
      <c r="D357" s="214"/>
      <c r="E357" s="36"/>
      <c r="F357" s="36"/>
      <c r="G357" s="36"/>
      <c r="H357" s="36"/>
      <c r="I357" s="36"/>
      <c r="J357" s="36"/>
      <c r="K357" s="36"/>
      <c r="L357" s="36"/>
      <c r="M357" s="36"/>
      <c r="N357" s="36"/>
      <c r="O357" s="36"/>
      <c r="P357" s="36"/>
      <c r="Q357" s="36"/>
      <c r="R357" s="36"/>
      <c r="S357" s="36"/>
      <c r="T357" s="36"/>
      <c r="U357" s="36"/>
      <c r="V357" s="36"/>
      <c r="W357" s="36"/>
      <c r="X357" s="36"/>
      <c r="Y357" s="36"/>
      <c r="Z357" s="36"/>
    </row>
    <row r="358" ht="15.75" customHeight="1">
      <c r="A358" s="322">
        <v>500000.0</v>
      </c>
      <c r="B358" s="227">
        <v>0.25</v>
      </c>
      <c r="C358" s="227">
        <v>0.01</v>
      </c>
      <c r="D358" s="214"/>
      <c r="E358" s="36"/>
      <c r="F358" s="36"/>
      <c r="G358" s="36"/>
      <c r="H358" s="36"/>
      <c r="I358" s="36"/>
      <c r="J358" s="36"/>
      <c r="K358" s="36"/>
      <c r="L358" s="36"/>
      <c r="M358" s="36"/>
      <c r="N358" s="36"/>
      <c r="O358" s="36"/>
      <c r="P358" s="36"/>
      <c r="Q358" s="36"/>
      <c r="R358" s="36"/>
      <c r="S358" s="36"/>
      <c r="T358" s="36"/>
      <c r="U358" s="36"/>
      <c r="V358" s="36"/>
      <c r="W358" s="36"/>
      <c r="X358" s="36"/>
      <c r="Y358" s="36"/>
      <c r="Z358" s="36"/>
    </row>
    <row r="359" ht="15.75" customHeight="1">
      <c r="A359" s="326">
        <v>1000000.0</v>
      </c>
      <c r="B359" s="227">
        <v>0.15</v>
      </c>
      <c r="C359" s="227">
        <v>0.01</v>
      </c>
      <c r="D359" s="214"/>
      <c r="E359" s="36"/>
      <c r="F359" s="36"/>
      <c r="G359" s="36"/>
      <c r="H359" s="36"/>
      <c r="I359" s="36"/>
      <c r="J359" s="36"/>
      <c r="K359" s="36"/>
      <c r="L359" s="36"/>
      <c r="M359" s="36"/>
      <c r="N359" s="36"/>
      <c r="O359" s="36"/>
      <c r="P359" s="36"/>
      <c r="Q359" s="36"/>
      <c r="R359" s="36"/>
      <c r="S359" s="36"/>
      <c r="T359" s="36"/>
      <c r="U359" s="36"/>
      <c r="V359" s="36"/>
      <c r="W359" s="36"/>
      <c r="X359" s="36"/>
      <c r="Y359" s="36"/>
      <c r="Z359" s="36"/>
    </row>
    <row r="360" ht="15.75" customHeight="1">
      <c r="A360" s="322">
        <v>2000000.0</v>
      </c>
      <c r="B360" s="227">
        <v>0.1</v>
      </c>
      <c r="C360" s="227">
        <v>0.01</v>
      </c>
      <c r="D360" s="214"/>
      <c r="E360" s="36"/>
      <c r="F360" s="36"/>
      <c r="G360" s="36"/>
      <c r="H360" s="36"/>
      <c r="I360" s="36"/>
      <c r="J360" s="36"/>
      <c r="K360" s="36"/>
      <c r="L360" s="36"/>
      <c r="M360" s="36"/>
      <c r="N360" s="36"/>
      <c r="O360" s="36"/>
      <c r="P360" s="36"/>
      <c r="Q360" s="36"/>
      <c r="R360" s="36"/>
      <c r="S360" s="36"/>
      <c r="T360" s="36"/>
      <c r="U360" s="36"/>
      <c r="V360" s="36"/>
      <c r="W360" s="36"/>
      <c r="X360" s="36"/>
      <c r="Y360" s="36"/>
      <c r="Z360" s="36"/>
    </row>
    <row r="361" ht="15.75" customHeight="1">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ht="15.75" customHeight="1">
      <c r="A362" s="222" t="s">
        <v>767</v>
      </c>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ht="15.75" customHeight="1">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ht="15.75" customHeight="1">
      <c r="A364" s="171" t="s">
        <v>1917</v>
      </c>
      <c r="B364" s="171" t="s">
        <v>1918</v>
      </c>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ht="15.75" customHeight="1">
      <c r="A365" s="171">
        <v>1.0</v>
      </c>
      <c r="B365" s="227">
        <v>0.025</v>
      </c>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ht="15.0" customHeight="1">
      <c r="A366" s="171">
        <v>2.0</v>
      </c>
      <c r="B366" s="227">
        <v>0.0</v>
      </c>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ht="15.0" customHeight="1">
      <c r="A367" s="171"/>
      <c r="B367" s="227"/>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ht="15.75" customHeight="1">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ht="15.75" customHeight="1">
      <c r="A369" s="36" t="s">
        <v>1938</v>
      </c>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ht="15.75" customHeight="1">
      <c r="A371" s="171" t="s">
        <v>1916</v>
      </c>
      <c r="B371" s="171">
        <v>1.0</v>
      </c>
      <c r="C371" s="171">
        <v>2.0</v>
      </c>
      <c r="D371" s="171">
        <v>3.0</v>
      </c>
      <c r="E371" s="36"/>
      <c r="F371" s="36"/>
      <c r="G371" s="36"/>
      <c r="H371" s="36"/>
      <c r="I371" s="36"/>
      <c r="J371" s="36"/>
      <c r="K371" s="36"/>
      <c r="L371" s="36"/>
      <c r="M371" s="36"/>
      <c r="N371" s="36"/>
      <c r="O371" s="36"/>
      <c r="P371" s="36"/>
      <c r="Q371" s="36"/>
      <c r="R371" s="36"/>
      <c r="S371" s="36"/>
      <c r="T371" s="36"/>
      <c r="U371" s="36"/>
      <c r="V371" s="36"/>
      <c r="W371" s="36"/>
      <c r="X371" s="36"/>
      <c r="Y371" s="36"/>
      <c r="Z371" s="36"/>
    </row>
    <row r="372" ht="15.75" customHeight="1">
      <c r="A372" s="322">
        <v>10000.0</v>
      </c>
      <c r="B372" s="227">
        <v>0.3</v>
      </c>
      <c r="C372" s="227">
        <v>0.3</v>
      </c>
      <c r="D372" s="227">
        <v>0.01</v>
      </c>
      <c r="E372" s="36"/>
      <c r="F372" s="36"/>
      <c r="G372" s="36"/>
      <c r="H372" s="36"/>
      <c r="I372" s="36"/>
      <c r="J372" s="36"/>
      <c r="K372" s="36"/>
      <c r="L372" s="36"/>
      <c r="M372" s="36"/>
      <c r="N372" s="36"/>
      <c r="O372" s="36"/>
      <c r="P372" s="36"/>
      <c r="Q372" s="36"/>
      <c r="R372" s="36"/>
      <c r="S372" s="36"/>
      <c r="T372" s="36"/>
      <c r="U372" s="36"/>
      <c r="V372" s="36"/>
      <c r="W372" s="36"/>
      <c r="X372" s="36"/>
      <c r="Y372" s="36"/>
      <c r="Z372" s="36"/>
    </row>
    <row r="373" ht="15.75" customHeight="1">
      <c r="A373" s="326">
        <v>200000.0</v>
      </c>
      <c r="B373" s="227">
        <v>0.2</v>
      </c>
      <c r="C373" s="227">
        <v>0.2</v>
      </c>
      <c r="D373" s="227">
        <v>0.01</v>
      </c>
      <c r="E373" s="36"/>
      <c r="F373" s="36"/>
      <c r="G373" s="36"/>
      <c r="H373" s="36"/>
      <c r="I373" s="36"/>
      <c r="J373" s="36"/>
      <c r="K373" s="36"/>
      <c r="L373" s="36"/>
      <c r="M373" s="36"/>
      <c r="N373" s="36"/>
      <c r="O373" s="36"/>
      <c r="P373" s="36"/>
      <c r="Q373" s="36"/>
      <c r="R373" s="36"/>
      <c r="S373" s="36"/>
      <c r="T373" s="36"/>
      <c r="U373" s="36"/>
      <c r="V373" s="36"/>
      <c r="W373" s="36"/>
      <c r="X373" s="36"/>
      <c r="Y373" s="36"/>
      <c r="Z373" s="36"/>
    </row>
    <row r="374" ht="15.75" customHeight="1">
      <c r="A374" s="322">
        <v>500000.0</v>
      </c>
      <c r="B374" s="227">
        <v>0.15</v>
      </c>
      <c r="C374" s="227">
        <v>0.15</v>
      </c>
      <c r="D374" s="227">
        <v>0.01</v>
      </c>
      <c r="E374" s="36"/>
      <c r="F374" s="36"/>
      <c r="G374" s="36"/>
      <c r="H374" s="36"/>
      <c r="I374" s="36"/>
      <c r="J374" s="36"/>
      <c r="K374" s="36"/>
      <c r="L374" s="36"/>
      <c r="M374" s="36"/>
      <c r="N374" s="36"/>
      <c r="O374" s="36"/>
      <c r="P374" s="36"/>
      <c r="Q374" s="36"/>
      <c r="R374" s="36"/>
      <c r="S374" s="36"/>
      <c r="T374" s="36"/>
      <c r="U374" s="36"/>
      <c r="V374" s="36"/>
      <c r="W374" s="36"/>
      <c r="X374" s="36"/>
      <c r="Y374" s="36"/>
      <c r="Z374" s="36"/>
    </row>
    <row r="375" ht="15.75" customHeight="1">
      <c r="A375" s="326">
        <v>1000000.0</v>
      </c>
      <c r="B375" s="227">
        <v>0.1</v>
      </c>
      <c r="C375" s="227">
        <v>0.1</v>
      </c>
      <c r="D375" s="227">
        <v>0.01</v>
      </c>
      <c r="E375" s="36"/>
      <c r="F375" s="36"/>
      <c r="G375" s="36"/>
      <c r="H375" s="36"/>
      <c r="I375" s="36"/>
      <c r="J375" s="36"/>
      <c r="K375" s="36"/>
      <c r="L375" s="36"/>
      <c r="M375" s="36"/>
      <c r="N375" s="36"/>
      <c r="O375" s="36"/>
      <c r="P375" s="36"/>
      <c r="Q375" s="36"/>
      <c r="R375" s="36"/>
      <c r="S375" s="36"/>
      <c r="T375" s="36"/>
      <c r="U375" s="36"/>
      <c r="V375" s="36"/>
      <c r="W375" s="36"/>
      <c r="X375" s="36"/>
      <c r="Y375" s="36"/>
      <c r="Z375" s="36"/>
    </row>
    <row r="376" ht="15.75" customHeight="1">
      <c r="A376" s="322">
        <v>2000000.0</v>
      </c>
      <c r="B376" s="227">
        <v>0.05</v>
      </c>
      <c r="C376" s="227">
        <v>0.05</v>
      </c>
      <c r="D376" s="227">
        <v>0.01</v>
      </c>
      <c r="E376" s="36"/>
      <c r="F376" s="36"/>
      <c r="G376" s="36"/>
      <c r="H376" s="36"/>
      <c r="I376" s="36"/>
      <c r="J376" s="36"/>
      <c r="K376" s="36"/>
      <c r="L376" s="36"/>
      <c r="M376" s="36"/>
      <c r="N376" s="36"/>
      <c r="O376" s="36"/>
      <c r="P376" s="36"/>
      <c r="Q376" s="36"/>
      <c r="R376" s="36"/>
      <c r="S376" s="36"/>
      <c r="T376" s="36"/>
      <c r="U376" s="36"/>
      <c r="V376" s="36"/>
      <c r="W376" s="36"/>
      <c r="X376" s="36"/>
      <c r="Y376" s="36"/>
      <c r="Z376" s="36"/>
    </row>
    <row r="377" ht="15.75" customHeight="1">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ht="15.75" customHeight="1">
      <c r="A378" s="36" t="s">
        <v>1939</v>
      </c>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ht="15.75" customHeight="1">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ht="15.75" customHeight="1">
      <c r="A380" s="171" t="s">
        <v>1917</v>
      </c>
      <c r="B380" s="171" t="s">
        <v>216</v>
      </c>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ht="15.75" customHeight="1">
      <c r="A381" s="171">
        <v>1.0</v>
      </c>
      <c r="B381" s="227">
        <v>0.27</v>
      </c>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ht="15.75" customHeight="1">
      <c r="A382" s="171">
        <v>2.0</v>
      </c>
      <c r="B382" s="227">
        <v>0.27</v>
      </c>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ht="15.75" customHeight="1">
      <c r="A383" s="171">
        <v>3.0</v>
      </c>
      <c r="B383" s="227">
        <v>0.01</v>
      </c>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ht="15.75" customHeight="1">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ht="15.75" customHeight="1">
      <c r="A385" s="36" t="s">
        <v>1940</v>
      </c>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ht="15.75" customHeight="1">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ht="15.75" customHeight="1">
      <c r="A387" s="171" t="s">
        <v>1916</v>
      </c>
      <c r="B387" s="171">
        <v>1.0</v>
      </c>
      <c r="C387" s="171">
        <v>2.0</v>
      </c>
      <c r="D387" s="171">
        <v>3.0</v>
      </c>
      <c r="E387" s="36"/>
      <c r="F387" s="36"/>
      <c r="G387" s="36"/>
      <c r="H387" s="36"/>
      <c r="I387" s="36"/>
      <c r="J387" s="36"/>
      <c r="K387" s="36"/>
      <c r="L387" s="36"/>
      <c r="M387" s="36"/>
      <c r="N387" s="36"/>
      <c r="O387" s="36"/>
      <c r="P387" s="36"/>
      <c r="Q387" s="36"/>
      <c r="R387" s="36"/>
      <c r="S387" s="36"/>
      <c r="T387" s="36"/>
      <c r="U387" s="36"/>
      <c r="V387" s="36"/>
      <c r="W387" s="36"/>
      <c r="X387" s="36"/>
      <c r="Y387" s="36"/>
      <c r="Z387" s="36"/>
    </row>
    <row r="388" ht="15.75" customHeight="1">
      <c r="A388" s="322">
        <v>10000.0</v>
      </c>
      <c r="B388" s="227">
        <v>0.3</v>
      </c>
      <c r="C388" s="227">
        <v>0.3</v>
      </c>
      <c r="D388" s="227">
        <v>0.01</v>
      </c>
      <c r="E388" s="36"/>
      <c r="F388" s="36"/>
      <c r="G388" s="36"/>
      <c r="H388" s="36"/>
      <c r="I388" s="36"/>
      <c r="J388" s="36"/>
      <c r="K388" s="36"/>
      <c r="L388" s="36"/>
      <c r="M388" s="36"/>
      <c r="N388" s="36"/>
      <c r="O388" s="36"/>
      <c r="P388" s="36"/>
      <c r="Q388" s="36"/>
      <c r="R388" s="36"/>
      <c r="S388" s="36"/>
      <c r="T388" s="36"/>
      <c r="U388" s="36"/>
      <c r="V388" s="36"/>
      <c r="W388" s="36"/>
      <c r="X388" s="36"/>
      <c r="Y388" s="36"/>
      <c r="Z388" s="36"/>
    </row>
    <row r="389" ht="15.75" customHeight="1">
      <c r="A389" s="326">
        <v>200000.0</v>
      </c>
      <c r="B389" s="227">
        <v>0.2</v>
      </c>
      <c r="C389" s="227">
        <v>0.2</v>
      </c>
      <c r="D389" s="227">
        <v>0.01</v>
      </c>
      <c r="E389" s="36"/>
      <c r="F389" s="36"/>
      <c r="G389" s="36"/>
      <c r="H389" s="36"/>
      <c r="I389" s="36"/>
      <c r="J389" s="36"/>
      <c r="K389" s="36"/>
      <c r="L389" s="36"/>
      <c r="M389" s="36"/>
      <c r="N389" s="36"/>
      <c r="O389" s="36"/>
      <c r="P389" s="36"/>
      <c r="Q389" s="36"/>
      <c r="R389" s="36"/>
      <c r="S389" s="36"/>
      <c r="T389" s="36"/>
      <c r="U389" s="36"/>
      <c r="V389" s="36"/>
      <c r="W389" s="36"/>
      <c r="X389" s="36"/>
      <c r="Y389" s="36"/>
      <c r="Z389" s="36"/>
    </row>
    <row r="390" ht="15.75" customHeight="1">
      <c r="A390" s="322">
        <v>500000.0</v>
      </c>
      <c r="B390" s="227">
        <v>0.15</v>
      </c>
      <c r="C390" s="227">
        <v>0.15</v>
      </c>
      <c r="D390" s="227">
        <v>0.01</v>
      </c>
      <c r="E390" s="36"/>
      <c r="F390" s="36"/>
      <c r="G390" s="36"/>
      <c r="H390" s="36"/>
      <c r="I390" s="36"/>
      <c r="J390" s="36"/>
      <c r="K390" s="36"/>
      <c r="L390" s="36"/>
      <c r="M390" s="36"/>
      <c r="N390" s="36"/>
      <c r="O390" s="36"/>
      <c r="P390" s="36"/>
      <c r="Q390" s="36"/>
      <c r="R390" s="36"/>
      <c r="S390" s="36"/>
      <c r="T390" s="36"/>
      <c r="U390" s="36"/>
      <c r="V390" s="36"/>
      <c r="W390" s="36"/>
      <c r="X390" s="36"/>
      <c r="Y390" s="36"/>
      <c r="Z390" s="36"/>
    </row>
    <row r="391" ht="15.75" customHeight="1">
      <c r="A391" s="326">
        <v>1000000.0</v>
      </c>
      <c r="B391" s="227">
        <v>0.1</v>
      </c>
      <c r="C391" s="227">
        <v>0.1</v>
      </c>
      <c r="D391" s="227">
        <v>0.01</v>
      </c>
      <c r="E391" s="36"/>
      <c r="F391" s="36"/>
      <c r="G391" s="36"/>
      <c r="H391" s="36"/>
      <c r="I391" s="36"/>
      <c r="J391" s="36"/>
      <c r="K391" s="36"/>
      <c r="L391" s="36"/>
      <c r="M391" s="36"/>
      <c r="N391" s="36"/>
      <c r="O391" s="36"/>
      <c r="P391" s="36"/>
      <c r="Q391" s="36"/>
      <c r="R391" s="36"/>
      <c r="S391" s="36"/>
      <c r="T391" s="36"/>
      <c r="U391" s="36"/>
      <c r="V391" s="36"/>
      <c r="W391" s="36"/>
      <c r="X391" s="36"/>
      <c r="Y391" s="36"/>
      <c r="Z391" s="36"/>
    </row>
    <row r="392" ht="15.75" customHeight="1">
      <c r="A392" s="322">
        <v>2000000.0</v>
      </c>
      <c r="B392" s="227">
        <v>0.05</v>
      </c>
      <c r="C392" s="227">
        <v>0.05</v>
      </c>
      <c r="D392" s="227">
        <v>0.01</v>
      </c>
      <c r="E392" s="36"/>
      <c r="F392" s="36"/>
      <c r="G392" s="36"/>
      <c r="H392" s="36"/>
      <c r="I392" s="36"/>
      <c r="J392" s="36"/>
      <c r="K392" s="36"/>
      <c r="L392" s="36"/>
      <c r="M392" s="36"/>
      <c r="N392" s="36"/>
      <c r="O392" s="36"/>
      <c r="P392" s="36"/>
      <c r="Q392" s="36"/>
      <c r="R392" s="36"/>
      <c r="S392" s="36"/>
      <c r="T392" s="36"/>
      <c r="U392" s="36"/>
      <c r="V392" s="36"/>
      <c r="W392" s="36"/>
      <c r="X392" s="36"/>
      <c r="Y392" s="36"/>
      <c r="Z392" s="36"/>
    </row>
    <row r="393" ht="15.75" customHeight="1">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ht="15.75" customHeight="1">
      <c r="A394" s="319" t="s">
        <v>760</v>
      </c>
      <c r="B394" s="36"/>
      <c r="C394" s="36"/>
      <c r="D394" s="319" t="s">
        <v>1941</v>
      </c>
      <c r="E394" s="36"/>
      <c r="F394" s="36"/>
      <c r="G394" s="36"/>
      <c r="H394" s="36"/>
      <c r="I394" s="36"/>
      <c r="J394" s="36"/>
      <c r="K394" s="36"/>
      <c r="L394" s="36"/>
      <c r="M394" s="36"/>
      <c r="N394" s="36"/>
      <c r="O394" s="36"/>
      <c r="P394" s="36"/>
      <c r="Q394" s="36"/>
      <c r="R394" s="36"/>
      <c r="S394" s="36"/>
      <c r="T394" s="36"/>
      <c r="U394" s="36"/>
      <c r="V394" s="36"/>
      <c r="W394" s="36"/>
      <c r="X394" s="36"/>
      <c r="Y394" s="36"/>
      <c r="Z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ht="15.75" customHeight="1">
      <c r="A396" s="171" t="s">
        <v>1917</v>
      </c>
      <c r="B396" s="171" t="s">
        <v>216</v>
      </c>
      <c r="C396" s="36"/>
      <c r="D396" s="171" t="s">
        <v>1917</v>
      </c>
      <c r="E396" s="171" t="s">
        <v>216</v>
      </c>
      <c r="F396" s="36"/>
      <c r="G396" s="36"/>
      <c r="H396" s="36"/>
      <c r="I396" s="36"/>
      <c r="J396" s="36"/>
      <c r="K396" s="36"/>
      <c r="L396" s="36"/>
      <c r="M396" s="36"/>
      <c r="N396" s="36"/>
      <c r="O396" s="36"/>
      <c r="P396" s="36"/>
      <c r="Q396" s="36"/>
      <c r="R396" s="36"/>
      <c r="S396" s="36"/>
      <c r="T396" s="36"/>
      <c r="U396" s="36"/>
      <c r="V396" s="36"/>
      <c r="W396" s="36"/>
      <c r="X396" s="36"/>
      <c r="Y396" s="36"/>
      <c r="Z396" s="36"/>
    </row>
    <row r="397" ht="15.75" customHeight="1">
      <c r="A397" s="171">
        <v>1.0</v>
      </c>
      <c r="B397" s="183">
        <v>0.025</v>
      </c>
      <c r="C397" s="36"/>
      <c r="D397" s="171">
        <v>1.0</v>
      </c>
      <c r="E397" s="183">
        <v>0.0125</v>
      </c>
      <c r="F397" s="36"/>
      <c r="G397" s="36"/>
      <c r="H397" s="36"/>
      <c r="I397" s="36"/>
      <c r="J397" s="36"/>
      <c r="K397" s="36"/>
      <c r="L397" s="36"/>
      <c r="M397" s="36"/>
      <c r="N397" s="36"/>
      <c r="O397" s="36"/>
      <c r="P397" s="36"/>
      <c r="Q397" s="36"/>
      <c r="R397" s="36"/>
      <c r="S397" s="36"/>
      <c r="T397" s="36"/>
      <c r="U397" s="36"/>
      <c r="V397" s="36"/>
      <c r="W397" s="36"/>
      <c r="X397" s="36"/>
      <c r="Y397" s="36"/>
      <c r="Z397" s="36"/>
    </row>
    <row r="398" ht="15.75" customHeight="1">
      <c r="A398" s="171">
        <v>2.0</v>
      </c>
      <c r="B398" s="183">
        <v>0.025</v>
      </c>
      <c r="C398" s="36"/>
      <c r="D398" s="171">
        <v>2.0</v>
      </c>
      <c r="E398" s="183">
        <v>0.0125</v>
      </c>
      <c r="F398" s="36"/>
      <c r="G398" s="36"/>
      <c r="H398" s="36"/>
      <c r="I398" s="36"/>
      <c r="J398" s="36"/>
      <c r="K398" s="36"/>
      <c r="L398" s="36"/>
      <c r="M398" s="36"/>
      <c r="N398" s="36"/>
      <c r="O398" s="36"/>
      <c r="P398" s="36"/>
      <c r="Q398" s="36"/>
      <c r="R398" s="36"/>
      <c r="S398" s="36"/>
      <c r="T398" s="36"/>
      <c r="U398" s="36"/>
      <c r="V398" s="36"/>
      <c r="W398" s="36"/>
      <c r="X398" s="36"/>
      <c r="Y398" s="36"/>
      <c r="Z398" s="36"/>
    </row>
    <row r="399" ht="15.75" customHeight="1">
      <c r="A399" s="171">
        <v>3.0</v>
      </c>
      <c r="B399" s="183">
        <v>0.025</v>
      </c>
      <c r="C399" s="36"/>
      <c r="D399" s="171">
        <v>3.0</v>
      </c>
      <c r="E399" s="183">
        <v>0.0125</v>
      </c>
      <c r="F399" s="36"/>
      <c r="G399" s="36"/>
      <c r="H399" s="36"/>
      <c r="I399" s="36"/>
      <c r="J399" s="36"/>
      <c r="K399" s="36"/>
      <c r="L399" s="36"/>
      <c r="M399" s="36"/>
      <c r="N399" s="36"/>
      <c r="O399" s="36"/>
      <c r="P399" s="36"/>
      <c r="Q399" s="36"/>
      <c r="R399" s="36"/>
      <c r="S399" s="36"/>
      <c r="T399" s="36"/>
      <c r="U399" s="36"/>
      <c r="V399" s="36"/>
      <c r="W399" s="36"/>
      <c r="X399" s="36"/>
      <c r="Y399" s="36"/>
      <c r="Z399" s="36"/>
    </row>
    <row r="400" ht="15.75" customHeight="1">
      <c r="A400" s="171">
        <v>4.0</v>
      </c>
      <c r="B400" s="183">
        <v>0.025</v>
      </c>
      <c r="C400" s="36"/>
      <c r="D400" s="171">
        <v>4.0</v>
      </c>
      <c r="E400" s="183">
        <v>0.0125</v>
      </c>
      <c r="F400" s="36"/>
      <c r="G400" s="36"/>
      <c r="H400" s="36"/>
      <c r="I400" s="36"/>
      <c r="J400" s="36"/>
      <c r="K400" s="36"/>
      <c r="L400" s="36"/>
      <c r="M400" s="36"/>
      <c r="N400" s="36"/>
      <c r="O400" s="36"/>
      <c r="P400" s="36"/>
      <c r="Q400" s="36"/>
      <c r="R400" s="36"/>
      <c r="S400" s="36"/>
      <c r="T400" s="36"/>
      <c r="U400" s="36"/>
      <c r="V400" s="36"/>
      <c r="W400" s="36"/>
      <c r="X400" s="36"/>
      <c r="Y400" s="36"/>
      <c r="Z400" s="36"/>
    </row>
    <row r="401" ht="15.75" customHeight="1">
      <c r="A401" s="171">
        <v>5.0</v>
      </c>
      <c r="B401" s="183">
        <v>0.025</v>
      </c>
      <c r="C401" s="36"/>
      <c r="D401" s="171">
        <v>5.0</v>
      </c>
      <c r="E401" s="183">
        <v>0.0125</v>
      </c>
      <c r="F401" s="36"/>
      <c r="G401" s="36"/>
      <c r="H401" s="36"/>
      <c r="I401" s="36"/>
      <c r="J401" s="36"/>
      <c r="K401" s="36"/>
      <c r="L401" s="36"/>
      <c r="M401" s="36"/>
      <c r="N401" s="36"/>
      <c r="O401" s="36"/>
      <c r="P401" s="36"/>
      <c r="Q401" s="36"/>
      <c r="R401" s="36"/>
      <c r="S401" s="36"/>
      <c r="T401" s="36"/>
      <c r="U401" s="36"/>
      <c r="V401" s="36"/>
      <c r="W401" s="36"/>
      <c r="X401" s="36"/>
      <c r="Y401" s="36"/>
      <c r="Z401" s="36"/>
    </row>
    <row r="402" ht="15.75" customHeight="1">
      <c r="A402" s="171">
        <v>6.0</v>
      </c>
      <c r="B402" s="183">
        <v>0.025</v>
      </c>
      <c r="C402" s="36"/>
      <c r="D402" s="171">
        <v>6.0</v>
      </c>
      <c r="E402" s="183">
        <v>0.0125</v>
      </c>
      <c r="F402" s="36"/>
      <c r="G402" s="36"/>
      <c r="H402" s="36"/>
      <c r="I402" s="36"/>
      <c r="J402" s="36"/>
      <c r="K402" s="36"/>
      <c r="L402" s="36"/>
      <c r="M402" s="36"/>
      <c r="N402" s="36"/>
      <c r="O402" s="36"/>
      <c r="P402" s="36"/>
      <c r="Q402" s="36"/>
      <c r="R402" s="36"/>
      <c r="S402" s="36"/>
      <c r="T402" s="36"/>
      <c r="U402" s="36"/>
      <c r="V402" s="36"/>
      <c r="W402" s="36"/>
      <c r="X402" s="36"/>
      <c r="Y402" s="36"/>
      <c r="Z402" s="36"/>
    </row>
    <row r="403" ht="15.75" customHeight="1">
      <c r="A403" s="171">
        <v>7.0</v>
      </c>
      <c r="B403" s="183">
        <v>0.025</v>
      </c>
      <c r="C403" s="36"/>
      <c r="D403" s="171">
        <v>7.0</v>
      </c>
      <c r="E403" s="183">
        <v>0.0125</v>
      </c>
      <c r="F403" s="36"/>
      <c r="G403" s="36"/>
      <c r="H403" s="36"/>
      <c r="I403" s="36"/>
      <c r="J403" s="36"/>
      <c r="K403" s="36"/>
      <c r="L403" s="36"/>
      <c r="M403" s="36"/>
      <c r="N403" s="36"/>
      <c r="O403" s="36"/>
      <c r="P403" s="36"/>
      <c r="Q403" s="36"/>
      <c r="R403" s="36"/>
      <c r="S403" s="36"/>
      <c r="T403" s="36"/>
      <c r="U403" s="36"/>
      <c r="V403" s="36"/>
      <c r="W403" s="36"/>
      <c r="X403" s="36"/>
      <c r="Y403" s="36"/>
      <c r="Z403" s="36"/>
    </row>
    <row r="404" ht="15.75" customHeight="1">
      <c r="A404" s="171">
        <v>8.0</v>
      </c>
      <c r="B404" s="183">
        <v>0.025</v>
      </c>
      <c r="C404" s="36"/>
      <c r="D404" s="171">
        <v>8.0</v>
      </c>
      <c r="E404" s="183">
        <v>0.0125</v>
      </c>
      <c r="F404" s="36"/>
      <c r="G404" s="36"/>
      <c r="H404" s="36"/>
      <c r="I404" s="36"/>
      <c r="J404" s="36"/>
      <c r="K404" s="36"/>
      <c r="L404" s="36"/>
      <c r="M404" s="36"/>
      <c r="N404" s="36"/>
      <c r="O404" s="36"/>
      <c r="P404" s="36"/>
      <c r="Q404" s="36"/>
      <c r="R404" s="36"/>
      <c r="S404" s="36"/>
      <c r="T404" s="36"/>
      <c r="U404" s="36"/>
      <c r="V404" s="36"/>
      <c r="W404" s="36"/>
      <c r="X404" s="36"/>
      <c r="Y404" s="36"/>
      <c r="Z404" s="36"/>
    </row>
    <row r="405" ht="15.75" customHeight="1">
      <c r="A405" s="171">
        <v>9.0</v>
      </c>
      <c r="B405" s="183">
        <v>0.025</v>
      </c>
      <c r="C405" s="36"/>
      <c r="D405" s="171">
        <v>9.0</v>
      </c>
      <c r="E405" s="183">
        <v>0.0125</v>
      </c>
      <c r="F405" s="36"/>
      <c r="G405" s="36"/>
      <c r="H405" s="36"/>
      <c r="I405" s="36"/>
      <c r="J405" s="36"/>
      <c r="K405" s="36"/>
      <c r="L405" s="36"/>
      <c r="M405" s="36"/>
      <c r="N405" s="36"/>
      <c r="O405" s="36"/>
      <c r="P405" s="36"/>
      <c r="Q405" s="36"/>
      <c r="R405" s="36"/>
      <c r="S405" s="36"/>
      <c r="T405" s="36"/>
      <c r="U405" s="36"/>
      <c r="V405" s="36"/>
      <c r="W405" s="36"/>
      <c r="X405" s="36"/>
      <c r="Y405" s="36"/>
      <c r="Z405" s="36"/>
    </row>
    <row r="406" ht="15.75" customHeight="1">
      <c r="A406" s="171">
        <v>10.0</v>
      </c>
      <c r="B406" s="183">
        <v>0.025</v>
      </c>
      <c r="C406" s="36"/>
      <c r="D406" s="171">
        <v>10.0</v>
      </c>
      <c r="E406" s="183">
        <v>0.0125</v>
      </c>
      <c r="F406" s="36"/>
      <c r="G406" s="36"/>
      <c r="H406" s="36"/>
      <c r="I406" s="36"/>
      <c r="J406" s="36"/>
      <c r="K406" s="36"/>
      <c r="L406" s="36"/>
      <c r="M406" s="36"/>
      <c r="N406" s="36"/>
      <c r="O406" s="36"/>
      <c r="P406" s="36"/>
      <c r="Q406" s="36"/>
      <c r="R406" s="36"/>
      <c r="S406" s="36"/>
      <c r="T406" s="36"/>
      <c r="U406" s="36"/>
      <c r="V406" s="36"/>
      <c r="W406" s="36"/>
      <c r="X406" s="36"/>
      <c r="Y406" s="36"/>
      <c r="Z406" s="36"/>
    </row>
    <row r="407" ht="15.75" customHeight="1">
      <c r="A407" s="171">
        <v>11.0</v>
      </c>
      <c r="B407" s="183">
        <v>-0.025</v>
      </c>
      <c r="C407" s="36"/>
      <c r="D407" s="171">
        <v>11.0</v>
      </c>
      <c r="E407" s="183">
        <v>0.0</v>
      </c>
      <c r="F407" s="36"/>
      <c r="G407" s="36"/>
      <c r="H407" s="36"/>
      <c r="I407" s="36"/>
      <c r="J407" s="36"/>
      <c r="K407" s="36"/>
      <c r="L407" s="36"/>
      <c r="M407" s="36"/>
      <c r="N407" s="36"/>
      <c r="O407" s="36"/>
      <c r="P407" s="36"/>
      <c r="Q407" s="36"/>
      <c r="R407" s="36"/>
      <c r="S407" s="36"/>
      <c r="T407" s="36"/>
      <c r="U407" s="36"/>
      <c r="V407" s="36"/>
      <c r="W407" s="36"/>
      <c r="X407" s="36"/>
      <c r="Y407" s="36"/>
      <c r="Z407" s="36"/>
    </row>
    <row r="408" ht="15.75" customHeight="1">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ht="15.75" customHeight="1">
      <c r="A409" s="319" t="s">
        <v>783</v>
      </c>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ht="15.75" customHeight="1">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ht="15.75" customHeight="1">
      <c r="A411" s="171" t="s">
        <v>253</v>
      </c>
      <c r="B411" s="171">
        <v>1.0</v>
      </c>
      <c r="C411" s="171">
        <v>2.0</v>
      </c>
      <c r="D411" s="171">
        <v>3.0</v>
      </c>
      <c r="E411" s="171">
        <v>4.0</v>
      </c>
      <c r="F411" s="171">
        <v>5.0</v>
      </c>
      <c r="G411" s="171">
        <v>6.0</v>
      </c>
      <c r="H411" s="36"/>
      <c r="I411" s="36"/>
      <c r="J411" s="36"/>
      <c r="K411" s="36"/>
      <c r="L411" s="36"/>
      <c r="M411" s="36"/>
      <c r="N411" s="36"/>
      <c r="O411" s="36"/>
      <c r="P411" s="36"/>
      <c r="Q411" s="36"/>
      <c r="R411" s="36"/>
      <c r="S411" s="36"/>
      <c r="T411" s="36"/>
      <c r="U411" s="36"/>
      <c r="V411" s="36"/>
      <c r="W411" s="36"/>
      <c r="X411" s="36"/>
      <c r="Y411" s="36"/>
      <c r="Z411" s="36"/>
    </row>
    <row r="412" ht="15.75" customHeight="1">
      <c r="A412" s="171">
        <v>0.0</v>
      </c>
      <c r="B412" s="227">
        <v>0.09</v>
      </c>
      <c r="C412" s="227">
        <v>0.07</v>
      </c>
      <c r="D412" s="227">
        <v>0.07</v>
      </c>
      <c r="E412" s="227">
        <v>0.06</v>
      </c>
      <c r="F412" s="227">
        <v>0.06</v>
      </c>
      <c r="G412" s="227">
        <v>0.05</v>
      </c>
      <c r="H412" s="36"/>
      <c r="I412" s="36"/>
      <c r="J412" s="36"/>
      <c r="K412" s="36"/>
      <c r="L412" s="36"/>
      <c r="M412" s="36"/>
      <c r="N412" s="36"/>
      <c r="O412" s="36"/>
      <c r="P412" s="36"/>
      <c r="Q412" s="36"/>
      <c r="R412" s="36"/>
      <c r="S412" s="36"/>
      <c r="T412" s="36"/>
      <c r="U412" s="36"/>
      <c r="V412" s="36"/>
      <c r="W412" s="36"/>
      <c r="X412" s="36"/>
      <c r="Y412" s="36"/>
      <c r="Z412" s="36"/>
    </row>
    <row r="413" ht="15.75" customHeight="1">
      <c r="A413" s="171">
        <v>100000.0</v>
      </c>
      <c r="B413" s="227">
        <v>0.06</v>
      </c>
      <c r="C413" s="227">
        <v>0.06</v>
      </c>
      <c r="D413" s="227">
        <v>0.06</v>
      </c>
      <c r="E413" s="227">
        <v>0.06</v>
      </c>
      <c r="F413" s="227">
        <v>0.06</v>
      </c>
      <c r="G413" s="227">
        <v>0.03</v>
      </c>
      <c r="H413" s="36"/>
      <c r="I413" s="36"/>
      <c r="J413" s="36"/>
      <c r="K413" s="36"/>
      <c r="L413" s="36"/>
      <c r="M413" s="36"/>
      <c r="N413" s="36"/>
      <c r="O413" s="36"/>
      <c r="P413" s="36"/>
      <c r="Q413" s="36"/>
      <c r="R413" s="36"/>
      <c r="S413" s="36"/>
      <c r="T413" s="36"/>
      <c r="U413" s="36"/>
      <c r="V413" s="36"/>
      <c r="W413" s="36"/>
      <c r="X413" s="36"/>
      <c r="Y413" s="36"/>
      <c r="Z413" s="36"/>
    </row>
    <row r="414" ht="15.75" customHeight="1">
      <c r="A414" s="171">
        <v>500000.0</v>
      </c>
      <c r="B414" s="227">
        <v>0.05</v>
      </c>
      <c r="C414" s="227">
        <v>0.05</v>
      </c>
      <c r="D414" s="227">
        <v>0.05</v>
      </c>
      <c r="E414" s="227">
        <v>0.05</v>
      </c>
      <c r="F414" s="227">
        <v>0.05</v>
      </c>
      <c r="G414" s="227">
        <v>0.03</v>
      </c>
      <c r="H414" s="36"/>
      <c r="I414" s="36"/>
      <c r="J414" s="36"/>
      <c r="K414" s="36"/>
      <c r="L414" s="36"/>
      <c r="M414" s="36"/>
      <c r="N414" s="36"/>
      <c r="O414" s="36"/>
      <c r="P414" s="36"/>
      <c r="Q414" s="36"/>
      <c r="R414" s="36"/>
      <c r="S414" s="36"/>
      <c r="T414" s="36"/>
      <c r="U414" s="36"/>
      <c r="V414" s="36"/>
      <c r="W414" s="36"/>
      <c r="X414" s="36"/>
      <c r="Y414" s="36"/>
      <c r="Z414" s="36"/>
    </row>
    <row r="415" ht="15.75" customHeight="1">
      <c r="A415" s="171">
        <v>1000000.0</v>
      </c>
      <c r="B415" s="227">
        <v>0.04</v>
      </c>
      <c r="C415" s="227">
        <v>0.04</v>
      </c>
      <c r="D415" s="227">
        <v>0.04</v>
      </c>
      <c r="E415" s="227">
        <v>0.04</v>
      </c>
      <c r="F415" s="227">
        <v>0.04</v>
      </c>
      <c r="G415" s="227">
        <v>0.03</v>
      </c>
      <c r="H415" s="36"/>
      <c r="I415" s="36"/>
      <c r="J415" s="36"/>
      <c r="K415" s="36"/>
      <c r="L415" s="36"/>
      <c r="M415" s="36"/>
      <c r="N415" s="36"/>
      <c r="O415" s="36"/>
      <c r="P415" s="36"/>
      <c r="Q415" s="36"/>
      <c r="R415" s="36"/>
      <c r="S415" s="36"/>
      <c r="T415" s="36"/>
      <c r="U415" s="36"/>
      <c r="V415" s="36"/>
      <c r="W415" s="36"/>
      <c r="X415" s="36"/>
      <c r="Y415" s="36"/>
      <c r="Z415" s="36"/>
    </row>
    <row r="416" ht="15.75" customHeight="1">
      <c r="A416" s="36"/>
      <c r="B416" s="214"/>
      <c r="C416" s="214"/>
      <c r="D416" s="214"/>
      <c r="E416" s="214"/>
      <c r="F416" s="214"/>
      <c r="G416" s="214"/>
      <c r="H416" s="36"/>
      <c r="I416" s="36"/>
      <c r="J416" s="36"/>
      <c r="K416" s="36"/>
      <c r="L416" s="36"/>
      <c r="M416" s="36"/>
      <c r="N416" s="36"/>
      <c r="O416" s="36"/>
      <c r="P416" s="36"/>
      <c r="Q416" s="36"/>
      <c r="R416" s="36"/>
      <c r="S416" s="36"/>
      <c r="T416" s="36"/>
      <c r="U416" s="36"/>
      <c r="V416" s="36"/>
      <c r="W416" s="36"/>
      <c r="X416" s="36"/>
      <c r="Y416" s="36"/>
      <c r="Z416" s="36"/>
    </row>
    <row r="417" ht="15.75" customHeight="1">
      <c r="A417" s="331" t="s">
        <v>794</v>
      </c>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ht="15.75" customHeight="1">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ht="15.75" customHeight="1">
      <c r="A419" s="36" t="s">
        <v>1917</v>
      </c>
      <c r="B419" s="36" t="s">
        <v>1942</v>
      </c>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ht="15.75" customHeight="1">
      <c r="A420" s="36">
        <v>1.0</v>
      </c>
      <c r="B420" s="214">
        <v>0.05</v>
      </c>
      <c r="C420" s="184"/>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ht="15.75" customHeight="1">
      <c r="A421" s="36">
        <v>2.0</v>
      </c>
      <c r="B421" s="214">
        <v>0.05</v>
      </c>
      <c r="C421" s="184"/>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ht="15.75" customHeight="1">
      <c r="A422" s="36">
        <v>3.0</v>
      </c>
      <c r="B422" s="214">
        <v>0.05</v>
      </c>
      <c r="C422" s="184"/>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ht="15.75" customHeight="1">
      <c r="A423" s="36">
        <v>4.0</v>
      </c>
      <c r="B423" s="214">
        <v>0.05</v>
      </c>
      <c r="C423" s="184"/>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ht="15.75" customHeight="1">
      <c r="A424" s="36">
        <v>5.0</v>
      </c>
      <c r="B424" s="214">
        <v>0.05</v>
      </c>
      <c r="C424" s="184"/>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ht="15.75" customHeight="1">
      <c r="A425" s="36">
        <v>6.0</v>
      </c>
      <c r="B425" s="214">
        <v>0.04</v>
      </c>
      <c r="C425" s="184"/>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ht="15.75" customHeight="1">
      <c r="A427" s="319" t="s">
        <v>1943</v>
      </c>
      <c r="B427" s="36"/>
      <c r="C427" s="36"/>
      <c r="D427" s="319" t="s">
        <v>1944</v>
      </c>
      <c r="E427" s="36"/>
      <c r="F427" s="36"/>
      <c r="G427" s="36"/>
      <c r="H427" s="36"/>
      <c r="I427" s="36"/>
      <c r="J427" s="36"/>
      <c r="K427" s="36"/>
      <c r="L427" s="36"/>
      <c r="M427" s="36"/>
      <c r="N427" s="36"/>
      <c r="O427" s="36"/>
      <c r="P427" s="36"/>
      <c r="Q427" s="36"/>
      <c r="R427" s="36"/>
      <c r="S427" s="36"/>
      <c r="T427" s="36"/>
      <c r="U427" s="36"/>
      <c r="V427" s="36"/>
      <c r="W427" s="36"/>
      <c r="X427" s="36"/>
      <c r="Y427" s="36"/>
      <c r="Z427" s="36"/>
    </row>
    <row r="428" ht="15.75" customHeight="1">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ht="15.75" customHeight="1">
      <c r="A429" s="171" t="s">
        <v>1917</v>
      </c>
      <c r="B429" s="171" t="s">
        <v>216</v>
      </c>
      <c r="C429" s="36"/>
      <c r="D429" s="171" t="s">
        <v>1917</v>
      </c>
      <c r="E429" s="171" t="s">
        <v>216</v>
      </c>
      <c r="F429" s="36"/>
      <c r="G429" s="36"/>
      <c r="H429" s="36"/>
      <c r="I429" s="36"/>
      <c r="J429" s="36"/>
      <c r="K429" s="36"/>
      <c r="L429" s="36"/>
      <c r="M429" s="36"/>
      <c r="N429" s="36"/>
      <c r="O429" s="36"/>
      <c r="P429" s="36"/>
      <c r="Q429" s="36"/>
      <c r="R429" s="36"/>
      <c r="S429" s="36"/>
      <c r="T429" s="36"/>
      <c r="U429" s="36"/>
      <c r="V429" s="36"/>
      <c r="W429" s="36"/>
      <c r="X429" s="36"/>
      <c r="Y429" s="36"/>
      <c r="Z429" s="36"/>
    </row>
    <row r="430" ht="15.75" customHeight="1">
      <c r="A430" s="171">
        <v>1.0</v>
      </c>
      <c r="B430" s="227">
        <v>0.06</v>
      </c>
      <c r="C430" s="36"/>
      <c r="D430" s="171">
        <v>1.0</v>
      </c>
      <c r="E430" s="227">
        <v>0.09</v>
      </c>
      <c r="F430" s="36"/>
      <c r="G430" s="36"/>
      <c r="H430" s="36"/>
      <c r="I430" s="36"/>
      <c r="J430" s="36"/>
      <c r="K430" s="36"/>
      <c r="L430" s="36"/>
      <c r="M430" s="36"/>
      <c r="N430" s="36"/>
      <c r="O430" s="36"/>
      <c r="P430" s="36"/>
      <c r="Q430" s="36"/>
      <c r="R430" s="36"/>
      <c r="S430" s="36"/>
      <c r="T430" s="36"/>
      <c r="U430" s="36"/>
      <c r="V430" s="36"/>
      <c r="W430" s="36"/>
      <c r="X430" s="36"/>
      <c r="Y430" s="36"/>
      <c r="Z430" s="36"/>
    </row>
    <row r="431" ht="15.75" customHeight="1">
      <c r="A431" s="171">
        <v>2.0</v>
      </c>
      <c r="B431" s="227">
        <v>0.07</v>
      </c>
      <c r="C431" s="36"/>
      <c r="D431" s="171">
        <v>2.0</v>
      </c>
      <c r="E431" s="227">
        <v>0.07</v>
      </c>
      <c r="F431" s="36"/>
      <c r="G431" s="36"/>
      <c r="H431" s="36"/>
      <c r="I431" s="36"/>
      <c r="J431" s="36"/>
      <c r="K431" s="36"/>
      <c r="L431" s="36"/>
      <c r="M431" s="36"/>
      <c r="N431" s="36"/>
      <c r="O431" s="36"/>
      <c r="P431" s="36"/>
      <c r="Q431" s="36"/>
      <c r="R431" s="36"/>
      <c r="S431" s="36"/>
      <c r="T431" s="36"/>
      <c r="U431" s="36"/>
      <c r="V431" s="36"/>
      <c r="W431" s="36"/>
      <c r="X431" s="36"/>
      <c r="Y431" s="36"/>
      <c r="Z431" s="36"/>
    </row>
    <row r="432" ht="15.75" customHeight="1">
      <c r="A432" s="171">
        <v>3.0</v>
      </c>
      <c r="B432" s="227">
        <v>0.07</v>
      </c>
      <c r="C432" s="36"/>
      <c r="D432" s="171">
        <v>3.0</v>
      </c>
      <c r="E432" s="227">
        <v>0.07</v>
      </c>
      <c r="F432" s="36"/>
      <c r="G432" s="36"/>
      <c r="H432" s="36"/>
      <c r="I432" s="36"/>
      <c r="J432" s="36"/>
      <c r="K432" s="36"/>
      <c r="L432" s="36"/>
      <c r="M432" s="36"/>
      <c r="N432" s="36"/>
      <c r="O432" s="36"/>
      <c r="P432" s="36"/>
      <c r="Q432" s="36"/>
      <c r="R432" s="36"/>
      <c r="S432" s="36"/>
      <c r="T432" s="36"/>
      <c r="U432" s="36"/>
      <c r="V432" s="36"/>
      <c r="W432" s="36"/>
      <c r="X432" s="36"/>
      <c r="Y432" s="36"/>
      <c r="Z432" s="36"/>
    </row>
    <row r="433" ht="15.75" customHeight="1">
      <c r="A433" s="171">
        <v>4.0</v>
      </c>
      <c r="B433" s="227">
        <v>0.06</v>
      </c>
      <c r="C433" s="36"/>
      <c r="D433" s="171">
        <v>4.0</v>
      </c>
      <c r="E433" s="227">
        <v>0.06</v>
      </c>
      <c r="F433" s="36"/>
      <c r="G433" s="36"/>
      <c r="H433" s="36"/>
      <c r="I433" s="36"/>
      <c r="J433" s="36"/>
      <c r="K433" s="36"/>
      <c r="L433" s="36"/>
      <c r="M433" s="36"/>
      <c r="N433" s="36"/>
      <c r="O433" s="36"/>
      <c r="P433" s="36"/>
      <c r="Q433" s="36"/>
      <c r="R433" s="36"/>
      <c r="S433" s="36"/>
      <c r="T433" s="36"/>
      <c r="U433" s="36"/>
      <c r="V433" s="36"/>
      <c r="W433" s="36"/>
      <c r="X433" s="36"/>
      <c r="Y433" s="36"/>
      <c r="Z433" s="36"/>
    </row>
    <row r="434" ht="15.75" customHeight="1">
      <c r="A434" s="171">
        <v>5.0</v>
      </c>
      <c r="B434" s="227">
        <v>0.06</v>
      </c>
      <c r="C434" s="36"/>
      <c r="D434" s="171">
        <v>5.0</v>
      </c>
      <c r="E434" s="227">
        <v>0.06</v>
      </c>
      <c r="F434" s="36"/>
      <c r="G434" s="36"/>
      <c r="H434" s="36"/>
      <c r="I434" s="36"/>
      <c r="J434" s="36"/>
      <c r="K434" s="36"/>
      <c r="L434" s="36"/>
      <c r="M434" s="36"/>
      <c r="N434" s="36"/>
      <c r="O434" s="36"/>
      <c r="P434" s="36"/>
      <c r="Q434" s="36"/>
      <c r="R434" s="36"/>
      <c r="S434" s="36"/>
      <c r="T434" s="36"/>
      <c r="U434" s="36"/>
      <c r="V434" s="36"/>
      <c r="W434" s="36"/>
      <c r="X434" s="36"/>
      <c r="Y434" s="36"/>
      <c r="Z434" s="36"/>
    </row>
    <row r="435" ht="15.0" customHeight="1">
      <c r="A435" s="171">
        <v>6.0</v>
      </c>
      <c r="B435" s="171">
        <v>0.0</v>
      </c>
      <c r="C435" s="36"/>
      <c r="D435" s="171">
        <v>6.0</v>
      </c>
      <c r="E435" s="171">
        <v>0.0</v>
      </c>
      <c r="F435" s="36"/>
      <c r="G435" s="36"/>
      <c r="H435" s="36"/>
      <c r="I435" s="36"/>
      <c r="J435" s="36"/>
      <c r="K435" s="36"/>
      <c r="L435" s="36"/>
      <c r="M435" s="36"/>
      <c r="N435" s="36"/>
      <c r="O435" s="36"/>
      <c r="P435" s="36"/>
      <c r="Q435" s="36"/>
      <c r="R435" s="36"/>
      <c r="S435" s="36"/>
      <c r="T435" s="36"/>
      <c r="U435" s="36"/>
      <c r="V435" s="36"/>
      <c r="W435" s="36"/>
      <c r="X435" s="36"/>
      <c r="Y435" s="36"/>
      <c r="Z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ht="15.0" customHeight="1">
      <c r="A437" s="222" t="s">
        <v>528</v>
      </c>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ht="15.75" customHeight="1">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ht="15.0" customHeight="1">
      <c r="A439" s="171" t="s">
        <v>1917</v>
      </c>
      <c r="B439" s="171" t="s">
        <v>1918</v>
      </c>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ht="15.0" customHeight="1">
      <c r="A440" s="171">
        <v>1.0</v>
      </c>
      <c r="B440" s="227">
        <v>0.06</v>
      </c>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ht="15.0" customHeight="1">
      <c r="A441" s="171">
        <v>2.0</v>
      </c>
      <c r="B441" s="227">
        <v>0.0</v>
      </c>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ht="15.75" customHeight="1">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ht="15.75" customHeight="1">
      <c r="A443" s="242" t="s">
        <v>822</v>
      </c>
      <c r="B443" s="12"/>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ht="15.75" customHeight="1">
      <c r="A444" s="112"/>
      <c r="B444" s="112"/>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ht="15.75" customHeight="1">
      <c r="A445" s="291" t="s">
        <v>1917</v>
      </c>
      <c r="B445" s="291" t="s">
        <v>1918</v>
      </c>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ht="15.75" customHeight="1">
      <c r="A446" s="332">
        <v>1.0</v>
      </c>
      <c r="B446" s="333">
        <v>0.2</v>
      </c>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ht="15.75" customHeight="1">
      <c r="A447" s="332">
        <v>2.0</v>
      </c>
      <c r="B447" s="333">
        <v>0.07</v>
      </c>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ht="15.75" customHeight="1">
      <c r="A448" s="332">
        <v>3.0</v>
      </c>
      <c r="B448" s="333">
        <v>0.07</v>
      </c>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ht="15.75" customHeight="1">
      <c r="A449" s="332">
        <v>4.0</v>
      </c>
      <c r="B449" s="334">
        <v>0.03</v>
      </c>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ht="15.75" customHeight="1">
      <c r="A450" s="332">
        <v>5.0</v>
      </c>
      <c r="B450" s="334">
        <v>0.03</v>
      </c>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ht="15.75" customHeight="1">
      <c r="A451" s="332">
        <v>6.0</v>
      </c>
      <c r="B451" s="334">
        <v>0.03</v>
      </c>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ht="15.75" customHeight="1">
      <c r="A452" s="332">
        <v>7.0</v>
      </c>
      <c r="B452" s="334">
        <v>0.03</v>
      </c>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ht="15.75" customHeight="1">
      <c r="A453" s="332">
        <v>8.0</v>
      </c>
      <c r="B453" s="334">
        <v>0.03</v>
      </c>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ht="15.75" customHeight="1">
      <c r="A454" s="332">
        <v>9.0</v>
      </c>
      <c r="B454" s="334">
        <v>0.03</v>
      </c>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ht="15.75" customHeight="1">
      <c r="A455" s="332">
        <v>10.0</v>
      </c>
      <c r="B455" s="334">
        <v>0.03</v>
      </c>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ht="15.75" customHeight="1">
      <c r="A456" s="332">
        <v>11.0</v>
      </c>
      <c r="B456" s="334">
        <v>0.01</v>
      </c>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ht="15.75" customHeight="1">
      <c r="A457" s="12"/>
      <c r="B457" s="12"/>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ht="15.75" customHeight="1">
      <c r="A458" s="242" t="s">
        <v>826</v>
      </c>
      <c r="B458" s="12"/>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ht="15.75" customHeight="1">
      <c r="A459" s="112"/>
      <c r="B459" s="112"/>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ht="15.75" customHeight="1">
      <c r="A460" s="291" t="s">
        <v>1917</v>
      </c>
      <c r="B460" s="291" t="s">
        <v>1918</v>
      </c>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ht="15.75" customHeight="1">
      <c r="A461" s="332">
        <v>1.0</v>
      </c>
      <c r="B461" s="333">
        <v>0.15</v>
      </c>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ht="15.75" customHeight="1">
      <c r="A462" s="332">
        <v>2.0</v>
      </c>
      <c r="B462" s="333">
        <v>0.07</v>
      </c>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ht="15.75" customHeight="1">
      <c r="A463" s="332">
        <v>3.0</v>
      </c>
      <c r="B463" s="333">
        <v>0.07</v>
      </c>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ht="15.75" customHeight="1">
      <c r="A464" s="332">
        <v>4.0</v>
      </c>
      <c r="B464" s="334">
        <v>0.02</v>
      </c>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ht="15.75" customHeight="1">
      <c r="A465" s="12"/>
      <c r="B465" s="12"/>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ht="15.75" customHeight="1">
      <c r="A466" s="242" t="s">
        <v>830</v>
      </c>
      <c r="B466" s="12"/>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ht="15.75" customHeight="1">
      <c r="A467" s="112"/>
      <c r="B467" s="112"/>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ht="15.75" customHeight="1">
      <c r="A468" s="291" t="s">
        <v>1917</v>
      </c>
      <c r="B468" s="291" t="s">
        <v>1918</v>
      </c>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ht="15.75" customHeight="1">
      <c r="A469" s="332">
        <v>1.0</v>
      </c>
      <c r="B469" s="333">
        <v>0.2</v>
      </c>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ht="15.75" customHeight="1">
      <c r="A470" s="332">
        <v>2.0</v>
      </c>
      <c r="B470" s="333">
        <v>0.07</v>
      </c>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ht="15.75" customHeight="1">
      <c r="A471" s="332">
        <v>3.0</v>
      </c>
      <c r="B471" s="333">
        <v>0.07</v>
      </c>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ht="15.75" customHeight="1">
      <c r="A472" s="332">
        <v>4.0</v>
      </c>
      <c r="B472" s="334">
        <v>0.03</v>
      </c>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ht="15.75" customHeight="1">
      <c r="A473" s="332">
        <v>5.0</v>
      </c>
      <c r="B473" s="334">
        <v>0.03</v>
      </c>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ht="15.75" customHeight="1">
      <c r="A474" s="332">
        <v>6.0</v>
      </c>
      <c r="B474" s="334">
        <v>0.03</v>
      </c>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ht="15.75" customHeight="1">
      <c r="A475" s="332">
        <v>7.0</v>
      </c>
      <c r="B475" s="334">
        <v>0.03</v>
      </c>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ht="15.75" customHeight="1">
      <c r="A476" s="332">
        <v>8.0</v>
      </c>
      <c r="B476" s="334">
        <v>0.03</v>
      </c>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ht="15.75" customHeight="1">
      <c r="A477" s="332">
        <v>9.0</v>
      </c>
      <c r="B477" s="334">
        <v>0.03</v>
      </c>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ht="15.75" customHeight="1">
      <c r="A478" s="332">
        <v>10.0</v>
      </c>
      <c r="B478" s="334">
        <v>0.03</v>
      </c>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ht="15.75" customHeight="1">
      <c r="A479" s="332">
        <v>11.0</v>
      </c>
      <c r="B479" s="334">
        <v>0.01</v>
      </c>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ht="15.75" customHeight="1">
      <c r="A480" s="112"/>
      <c r="B480" s="12"/>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ht="15.75" customHeight="1">
      <c r="A481" s="242" t="s">
        <v>834</v>
      </c>
      <c r="B481" s="12"/>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ht="15.75" customHeight="1">
      <c r="A482" s="112"/>
      <c r="B482" s="112"/>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ht="15.75" customHeight="1">
      <c r="A483" s="291" t="s">
        <v>1917</v>
      </c>
      <c r="B483" s="291" t="s">
        <v>1918</v>
      </c>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ht="15.75" customHeight="1">
      <c r="A484" s="332">
        <v>1.0</v>
      </c>
      <c r="B484" s="335">
        <v>0.067</v>
      </c>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ht="15.75" customHeight="1">
      <c r="A485" s="332">
        <v>2.0</v>
      </c>
      <c r="B485" s="335">
        <v>0.04</v>
      </c>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ht="15.75" customHeight="1">
      <c r="A486" s="332">
        <v>3.0</v>
      </c>
      <c r="B486" s="335">
        <v>0.04</v>
      </c>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ht="15.75" customHeight="1">
      <c r="A487" s="332">
        <v>4.0</v>
      </c>
      <c r="B487" s="336">
        <v>0.04</v>
      </c>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ht="15.75" customHeight="1">
      <c r="A488" s="332">
        <v>5.0</v>
      </c>
      <c r="B488" s="336">
        <v>0.035</v>
      </c>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ht="15.75" customHeight="1">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ht="15.75" customHeight="1">
      <c r="A490" s="242" t="s">
        <v>841</v>
      </c>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ht="15.75" customHeight="1">
      <c r="A492" s="291" t="s">
        <v>1917</v>
      </c>
      <c r="B492" s="291" t="s">
        <v>1918</v>
      </c>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ht="15.75" customHeight="1">
      <c r="A493" s="332">
        <v>1.0</v>
      </c>
      <c r="B493" s="335">
        <v>0.067</v>
      </c>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ht="15.75" customHeight="1">
      <c r="A494" s="332">
        <v>2.0</v>
      </c>
      <c r="B494" s="335">
        <v>0.04</v>
      </c>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ht="15.75" customHeight="1">
      <c r="A495" s="332">
        <v>3.0</v>
      </c>
      <c r="B495" s="335">
        <v>0.04</v>
      </c>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ht="15.75" customHeight="1">
      <c r="A496" s="332">
        <v>4.0</v>
      </c>
      <c r="B496" s="336">
        <v>0.04</v>
      </c>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ht="15.75" customHeight="1">
      <c r="A497" s="332">
        <v>5.0</v>
      </c>
      <c r="B497" s="336">
        <v>0.035</v>
      </c>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ht="15.75" customHeight="1">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ht="15.75" customHeight="1">
      <c r="A499" s="337" t="s">
        <v>845</v>
      </c>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ht="15.75" customHeight="1">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ht="15.75" customHeight="1">
      <c r="A501" s="291" t="s">
        <v>1917</v>
      </c>
      <c r="B501" s="291" t="s">
        <v>1918</v>
      </c>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ht="15.75" customHeight="1">
      <c r="A502" s="332">
        <v>1.0</v>
      </c>
      <c r="B502" s="335">
        <v>0.067</v>
      </c>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ht="15.75" customHeight="1">
      <c r="A503" s="332">
        <v>2.0</v>
      </c>
      <c r="B503" s="335">
        <v>0.04</v>
      </c>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ht="15.75" customHeight="1">
      <c r="A504" s="332">
        <v>3.0</v>
      </c>
      <c r="B504" s="335">
        <v>0.04</v>
      </c>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ht="15.75" customHeight="1">
      <c r="A505" s="332">
        <v>4.0</v>
      </c>
      <c r="B505" s="336">
        <v>0.04</v>
      </c>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ht="15.75" customHeight="1">
      <c r="A506" s="332">
        <v>5.0</v>
      </c>
      <c r="B506" s="336">
        <v>0.035</v>
      </c>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ht="15.75" customHeight="1">
      <c r="A508" s="337" t="s">
        <v>853</v>
      </c>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ht="15.75" customHeight="1">
      <c r="A509" s="12"/>
      <c r="B509" s="12"/>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ht="15.75" customHeight="1">
      <c r="A510" s="171" t="s">
        <v>1917</v>
      </c>
      <c r="B510" s="171" t="s">
        <v>1918</v>
      </c>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ht="15.75" customHeight="1">
      <c r="A511" s="171">
        <v>1.0</v>
      </c>
      <c r="B511" s="227">
        <v>0.13</v>
      </c>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ht="15.75" customHeight="1">
      <c r="A512" s="171">
        <v>2.0</v>
      </c>
      <c r="B512" s="227">
        <v>0.02</v>
      </c>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ht="15.75" customHeight="1">
      <c r="A514" s="337" t="s">
        <v>858</v>
      </c>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ht="15.75" customHeight="1">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ht="15.75" customHeight="1">
      <c r="A516" s="291" t="s">
        <v>1917</v>
      </c>
      <c r="B516" s="291" t="s">
        <v>1918</v>
      </c>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ht="15.75" customHeight="1">
      <c r="A517" s="332">
        <v>1.0</v>
      </c>
      <c r="B517" s="335">
        <v>0.067</v>
      </c>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ht="15.75" customHeight="1">
      <c r="A518" s="332">
        <v>2.0</v>
      </c>
      <c r="B518" s="335">
        <v>0.04</v>
      </c>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ht="15.75" customHeight="1">
      <c r="A519" s="332">
        <v>3.0</v>
      </c>
      <c r="B519" s="335">
        <v>0.04</v>
      </c>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ht="15.75" customHeight="1">
      <c r="A520" s="332">
        <v>4.0</v>
      </c>
      <c r="B520" s="336">
        <v>0.04</v>
      </c>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ht="15.75" customHeight="1">
      <c r="A521" s="332">
        <v>5.0</v>
      </c>
      <c r="B521" s="336">
        <v>0.035</v>
      </c>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ht="15.75" customHeight="1">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ht="15.75" customHeight="1">
      <c r="A523" s="337" t="s">
        <v>862</v>
      </c>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ht="15.75" customHeight="1">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ht="15.75" customHeight="1">
      <c r="A525" s="291" t="s">
        <v>1917</v>
      </c>
      <c r="B525" s="291" t="s">
        <v>1918</v>
      </c>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ht="15.75" customHeight="1">
      <c r="A526" s="332">
        <v>1.0</v>
      </c>
      <c r="B526" s="335">
        <v>0.067</v>
      </c>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ht="15.75" customHeight="1">
      <c r="A527" s="332">
        <v>2.0</v>
      </c>
      <c r="B527" s="335">
        <v>0.04</v>
      </c>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ht="15.75" customHeight="1">
      <c r="A528" s="332">
        <v>3.0</v>
      </c>
      <c r="B528" s="335">
        <v>0.04</v>
      </c>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ht="15.75" customHeight="1">
      <c r="A529" s="332">
        <v>4.0</v>
      </c>
      <c r="B529" s="336">
        <v>0.04</v>
      </c>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ht="15.75" customHeight="1">
      <c r="A530" s="332">
        <v>5.0</v>
      </c>
      <c r="B530" s="336">
        <v>0.035</v>
      </c>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ht="15.75" customHeight="1">
      <c r="A532" s="242" t="s">
        <v>871</v>
      </c>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ht="15.75" customHeight="1">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ht="15.75" customHeight="1">
      <c r="A534" s="291" t="s">
        <v>1917</v>
      </c>
      <c r="B534" s="291" t="s">
        <v>1918</v>
      </c>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ht="15.75" customHeight="1">
      <c r="A535" s="332">
        <v>1.0</v>
      </c>
      <c r="B535" s="333">
        <v>0.06</v>
      </c>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ht="15.75" customHeight="1">
      <c r="A536" s="332">
        <v>2.0</v>
      </c>
      <c r="B536" s="333">
        <v>0.04</v>
      </c>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ht="15.75" customHeight="1">
      <c r="A537" s="332">
        <v>3.0</v>
      </c>
      <c r="B537" s="333">
        <v>0.04</v>
      </c>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ht="15.75" customHeight="1">
      <c r="A538" s="332">
        <v>4.0</v>
      </c>
      <c r="B538" s="333">
        <v>0.04</v>
      </c>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ht="15.75" customHeight="1">
      <c r="A539" s="332">
        <v>5.0</v>
      </c>
      <c r="B539" s="333">
        <v>0.04</v>
      </c>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ht="15.75" customHeight="1">
      <c r="A540" s="332">
        <v>6.0</v>
      </c>
      <c r="B540" s="334">
        <v>0.02</v>
      </c>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ht="15.75" customHeight="1">
      <c r="A542" s="338" t="s">
        <v>879</v>
      </c>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ht="15.75" customHeight="1">
      <c r="A544" s="291" t="s">
        <v>1917</v>
      </c>
      <c r="B544" s="291" t="s">
        <v>1918</v>
      </c>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ht="15.75" customHeight="1">
      <c r="A545" s="332">
        <v>1.0</v>
      </c>
      <c r="B545" s="333">
        <v>0.25</v>
      </c>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ht="15.75" customHeight="1">
      <c r="A546" s="332">
        <v>2.0</v>
      </c>
      <c r="B546" s="333">
        <v>0.2</v>
      </c>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ht="15.75" customHeight="1">
      <c r="A547" s="332">
        <v>3.0</v>
      </c>
      <c r="B547" s="333">
        <v>0.0</v>
      </c>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ht="15.75" customHeight="1">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ht="15.75" customHeight="1">
      <c r="A549" s="339" t="s">
        <v>888</v>
      </c>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ht="15.75" customHeight="1">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ht="15.75" customHeight="1">
      <c r="A551" s="291" t="s">
        <v>1917</v>
      </c>
      <c r="B551" s="291" t="s">
        <v>1918</v>
      </c>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ht="15.75" customHeight="1">
      <c r="A552" s="332">
        <v>1.0</v>
      </c>
      <c r="B552" s="333">
        <v>0.2</v>
      </c>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ht="15.75" customHeight="1">
      <c r="A553" s="332">
        <v>2.0</v>
      </c>
      <c r="B553" s="333">
        <v>0.1</v>
      </c>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ht="15.75" customHeight="1">
      <c r="A554" s="332">
        <v>3.0</v>
      </c>
      <c r="B554" s="333">
        <v>0.03</v>
      </c>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ht="15.75" customHeight="1">
      <c r="A556" s="339" t="s">
        <v>895</v>
      </c>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ht="15.75" customHeight="1">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ht="15.75" customHeight="1">
      <c r="A558" s="171" t="s">
        <v>1916</v>
      </c>
      <c r="B558" s="171">
        <v>1.0</v>
      </c>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ht="15.75" customHeight="1">
      <c r="A559" s="322">
        <v>50000.0</v>
      </c>
      <c r="B559" s="227">
        <v>0.14</v>
      </c>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ht="15.75" customHeight="1">
      <c r="A560" s="326">
        <v>100000.0</v>
      </c>
      <c r="B560" s="227">
        <v>0.13</v>
      </c>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ht="15.75" customHeight="1">
      <c r="A561" s="322">
        <v>500000.0</v>
      </c>
      <c r="B561" s="227">
        <v>0.12</v>
      </c>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ht="15.75" customHeight="1">
      <c r="A562" s="326">
        <v>1000000.0</v>
      </c>
      <c r="B562" s="227">
        <v>0.11</v>
      </c>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ht="15.75" customHeight="1">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ht="15.75" customHeight="1">
      <c r="A564" s="339" t="s">
        <v>898</v>
      </c>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ht="15.75" customHeight="1">
      <c r="A566" s="291" t="s">
        <v>1917</v>
      </c>
      <c r="B566" s="291" t="s">
        <v>1918</v>
      </c>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ht="15.75" customHeight="1">
      <c r="A567" s="332">
        <v>1.0</v>
      </c>
      <c r="B567" s="333">
        <v>0.2</v>
      </c>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ht="15.75" customHeight="1">
      <c r="A568" s="332">
        <v>2.0</v>
      </c>
      <c r="B568" s="333">
        <v>0.03</v>
      </c>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ht="15.75" customHeight="1">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ht="15.75" customHeight="1">
      <c r="A570" s="339" t="s">
        <v>904</v>
      </c>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ht="15.75" customHeight="1">
      <c r="A572" s="171" t="s">
        <v>1916</v>
      </c>
      <c r="B572" s="171">
        <v>1.0</v>
      </c>
      <c r="C572" s="171">
        <v>2.0</v>
      </c>
      <c r="D572" s="171">
        <v>3.0</v>
      </c>
      <c r="E572" s="171">
        <v>4.0</v>
      </c>
      <c r="F572" s="36"/>
      <c r="G572" s="36"/>
      <c r="H572" s="36"/>
      <c r="I572" s="36"/>
      <c r="J572" s="36"/>
      <c r="K572" s="36"/>
      <c r="L572" s="36"/>
      <c r="M572" s="36"/>
      <c r="N572" s="36"/>
      <c r="O572" s="36"/>
      <c r="P572" s="36"/>
      <c r="Q572" s="36"/>
      <c r="R572" s="36"/>
      <c r="S572" s="36"/>
      <c r="T572" s="36"/>
      <c r="U572" s="36"/>
      <c r="V572" s="36"/>
      <c r="W572" s="36"/>
      <c r="X572" s="36"/>
      <c r="Y572" s="36"/>
      <c r="Z572" s="36"/>
    </row>
    <row r="573" ht="15.75" customHeight="1">
      <c r="A573" s="322">
        <v>20000.0</v>
      </c>
      <c r="B573" s="227">
        <v>0.25</v>
      </c>
      <c r="C573" s="227">
        <v>0.1</v>
      </c>
      <c r="D573" s="227">
        <v>0.05</v>
      </c>
      <c r="E573" s="227">
        <v>0.02</v>
      </c>
      <c r="F573" s="214"/>
      <c r="G573" s="36"/>
      <c r="H573" s="36"/>
      <c r="I573" s="36"/>
      <c r="J573" s="36"/>
      <c r="K573" s="36"/>
      <c r="L573" s="36"/>
      <c r="M573" s="36"/>
      <c r="N573" s="36"/>
      <c r="O573" s="36"/>
      <c r="P573" s="36"/>
      <c r="Q573" s="36"/>
      <c r="R573" s="36"/>
      <c r="S573" s="36"/>
      <c r="T573" s="36"/>
      <c r="U573" s="36"/>
      <c r="V573" s="36"/>
      <c r="W573" s="36"/>
      <c r="X573" s="36"/>
      <c r="Y573" s="36"/>
      <c r="Z573" s="36"/>
    </row>
    <row r="574" ht="15.75" customHeight="1">
      <c r="A574" s="326">
        <v>50000.0</v>
      </c>
      <c r="B574" s="227">
        <v>0.24</v>
      </c>
      <c r="C574" s="227">
        <v>0.1</v>
      </c>
      <c r="D574" s="227">
        <v>0.05</v>
      </c>
      <c r="E574" s="227">
        <v>0.02</v>
      </c>
      <c r="F574" s="214"/>
      <c r="G574" s="36"/>
      <c r="H574" s="36"/>
      <c r="I574" s="36"/>
      <c r="J574" s="36"/>
      <c r="K574" s="36"/>
      <c r="L574" s="36"/>
      <c r="M574" s="36"/>
      <c r="N574" s="36"/>
      <c r="O574" s="36"/>
      <c r="P574" s="36"/>
      <c r="Q574" s="36"/>
      <c r="R574" s="36"/>
      <c r="S574" s="36"/>
      <c r="T574" s="36"/>
      <c r="U574" s="36"/>
      <c r="V574" s="36"/>
      <c r="W574" s="36"/>
      <c r="X574" s="36"/>
      <c r="Y574" s="36"/>
      <c r="Z574" s="36"/>
    </row>
    <row r="575" ht="15.75" customHeight="1">
      <c r="A575" s="322">
        <v>150000.0</v>
      </c>
      <c r="B575" s="227">
        <v>0.23</v>
      </c>
      <c r="C575" s="227">
        <v>0.1</v>
      </c>
      <c r="D575" s="227">
        <v>0.05</v>
      </c>
      <c r="E575" s="227">
        <v>0.02</v>
      </c>
      <c r="F575" s="214"/>
      <c r="G575" s="36"/>
      <c r="H575" s="36"/>
      <c r="I575" s="36"/>
      <c r="J575" s="36"/>
      <c r="K575" s="36"/>
      <c r="L575" s="36"/>
      <c r="M575" s="36"/>
      <c r="N575" s="36"/>
      <c r="O575" s="36"/>
      <c r="P575" s="36"/>
      <c r="Q575" s="36"/>
      <c r="R575" s="36"/>
      <c r="S575" s="36"/>
      <c r="T575" s="36"/>
      <c r="U575" s="36"/>
      <c r="V575" s="36"/>
      <c r="W575" s="36"/>
      <c r="X575" s="36"/>
      <c r="Y575" s="36"/>
      <c r="Z575" s="36"/>
    </row>
    <row r="576" ht="15.75" customHeight="1">
      <c r="A576" s="322">
        <v>300000.0</v>
      </c>
      <c r="B576" s="330">
        <v>0.22</v>
      </c>
      <c r="C576" s="227">
        <v>0.1</v>
      </c>
      <c r="D576" s="227">
        <v>0.05</v>
      </c>
      <c r="E576" s="227">
        <v>0.02</v>
      </c>
      <c r="F576" s="214"/>
      <c r="G576" s="36"/>
      <c r="H576" s="36"/>
      <c r="I576" s="36"/>
      <c r="J576" s="36"/>
      <c r="K576" s="36"/>
      <c r="L576" s="36"/>
      <c r="M576" s="36"/>
      <c r="N576" s="36"/>
      <c r="O576" s="36"/>
      <c r="P576" s="36"/>
      <c r="Q576" s="36"/>
      <c r="R576" s="36"/>
      <c r="S576" s="36"/>
      <c r="T576" s="36"/>
      <c r="U576" s="36"/>
      <c r="V576" s="36"/>
      <c r="W576" s="36"/>
      <c r="X576" s="36"/>
      <c r="Y576" s="36"/>
      <c r="Z576" s="36"/>
    </row>
    <row r="577" ht="15.75" customHeight="1">
      <c r="A577" s="340">
        <v>500000.0</v>
      </c>
      <c r="B577" s="227">
        <v>0.21</v>
      </c>
      <c r="C577" s="227">
        <v>0.1</v>
      </c>
      <c r="D577" s="227">
        <v>0.05</v>
      </c>
      <c r="E577" s="227">
        <v>0.02</v>
      </c>
      <c r="F577" s="214"/>
      <c r="G577" s="36"/>
      <c r="H577" s="36"/>
      <c r="I577" s="36"/>
      <c r="J577" s="36"/>
      <c r="K577" s="36"/>
      <c r="L577" s="36"/>
      <c r="M577" s="36"/>
      <c r="N577" s="36"/>
      <c r="O577" s="36"/>
      <c r="P577" s="36"/>
      <c r="Q577" s="36"/>
      <c r="R577" s="36"/>
      <c r="S577" s="36"/>
      <c r="T577" s="36"/>
      <c r="U577" s="36"/>
      <c r="V577" s="36"/>
      <c r="W577" s="36"/>
      <c r="X577" s="36"/>
      <c r="Y577" s="36"/>
      <c r="Z577" s="36"/>
    </row>
    <row r="578" ht="15.75" customHeight="1">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ht="15.75" customHeight="1">
      <c r="A579" s="339" t="s">
        <v>908</v>
      </c>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ht="15.75" customHeight="1">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ht="15.75" customHeight="1">
      <c r="A581" s="291" t="s">
        <v>1917</v>
      </c>
      <c r="B581" s="291" t="s">
        <v>1918</v>
      </c>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ht="15.75" customHeight="1">
      <c r="A582" s="332">
        <v>1.0</v>
      </c>
      <c r="B582" s="333">
        <f>IF(AND(PT&gt;=10,PT&lt;=14),55%,IF(AND(PT&gt;=15,PT&lt;=19),60%,65%))</f>
        <v>0.55</v>
      </c>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ht="15.75" customHeight="1">
      <c r="A583" s="332">
        <v>2.0</v>
      </c>
      <c r="B583" s="333">
        <v>0.2</v>
      </c>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ht="15.75" customHeight="1">
      <c r="A584" s="332">
        <v>3.0</v>
      </c>
      <c r="B584" s="333">
        <v>0.05</v>
      </c>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ht="15.75" customHeight="1">
      <c r="A586" s="339" t="s">
        <v>912</v>
      </c>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ht="15.75" customHeight="1">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ht="15.75" customHeight="1">
      <c r="A588" s="171" t="s">
        <v>1916</v>
      </c>
      <c r="B588" s="171">
        <v>1.0</v>
      </c>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ht="15.75" customHeight="1">
      <c r="A589" s="322">
        <v>20000.0</v>
      </c>
      <c r="B589" s="227">
        <v>0.3</v>
      </c>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ht="15.75" customHeight="1">
      <c r="A590" s="326">
        <v>50000.0</v>
      </c>
      <c r="B590" s="227">
        <v>0.29</v>
      </c>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ht="15.75" customHeight="1">
      <c r="A591" s="322">
        <v>150000.0</v>
      </c>
      <c r="B591" s="227">
        <v>0.28</v>
      </c>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ht="15.75" customHeight="1">
      <c r="A592" s="322">
        <v>300000.0</v>
      </c>
      <c r="B592" s="330">
        <v>0.27</v>
      </c>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ht="15.75" customHeight="1">
      <c r="A593" s="340">
        <v>500000.0</v>
      </c>
      <c r="B593" s="227">
        <v>0.26</v>
      </c>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ht="15.75" customHeight="1">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ht="15.75" customHeight="1">
      <c r="A595" s="339" t="s">
        <v>1945</v>
      </c>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ht="15.75" customHeight="1">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ht="15.75" customHeight="1">
      <c r="A597" s="171" t="s">
        <v>1916</v>
      </c>
      <c r="B597" s="171">
        <v>1.0</v>
      </c>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ht="15.75" customHeight="1">
      <c r="A598" s="322">
        <v>20000.0</v>
      </c>
      <c r="B598" s="227">
        <v>0.3</v>
      </c>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ht="15.75" customHeight="1">
      <c r="A599" s="326">
        <v>50000.0</v>
      </c>
      <c r="B599" s="227">
        <v>0.29</v>
      </c>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ht="15.75" customHeight="1">
      <c r="A600" s="322">
        <v>150000.0</v>
      </c>
      <c r="B600" s="227">
        <v>0.28</v>
      </c>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ht="15.75" customHeight="1">
      <c r="A601" s="322">
        <v>300000.0</v>
      </c>
      <c r="B601" s="330">
        <v>0.27</v>
      </c>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ht="15.75" customHeight="1">
      <c r="A602" s="340">
        <v>500000.0</v>
      </c>
      <c r="B602" s="227">
        <v>0.26</v>
      </c>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ht="15.75" customHeight="1">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ht="15.75" customHeight="1">
      <c r="A604" s="339" t="s">
        <v>921</v>
      </c>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ht="15.75" customHeight="1">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ht="15.75" customHeight="1">
      <c r="A606" s="171" t="s">
        <v>1916</v>
      </c>
      <c r="B606" s="171">
        <v>1.0</v>
      </c>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ht="15.75" customHeight="1">
      <c r="A607" s="322">
        <v>50000.0</v>
      </c>
      <c r="B607" s="227">
        <v>0.05</v>
      </c>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ht="15.75" customHeight="1">
      <c r="A608" s="326">
        <v>300000.0</v>
      </c>
      <c r="B608" s="227">
        <v>0.04</v>
      </c>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ht="15.75" customHeight="1">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ht="15.75" customHeight="1">
      <c r="A610" s="339" t="s">
        <v>925</v>
      </c>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ht="15.75" customHeight="1">
      <c r="A612" s="171" t="s">
        <v>1916</v>
      </c>
      <c r="B612" s="171">
        <v>1.0</v>
      </c>
      <c r="C612" s="171">
        <v>2.0</v>
      </c>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ht="15.75" customHeight="1">
      <c r="A613" s="341">
        <v>10000.0</v>
      </c>
      <c r="B613" s="227">
        <v>0.3</v>
      </c>
      <c r="C613" s="171">
        <v>0.0</v>
      </c>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ht="15.75" customHeight="1">
      <c r="A614" s="322">
        <v>20000.0</v>
      </c>
      <c r="B614" s="227">
        <v>0.29</v>
      </c>
      <c r="C614" s="171">
        <v>0.0</v>
      </c>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ht="15.75" customHeight="1">
      <c r="A615" s="326">
        <v>50000.0</v>
      </c>
      <c r="B615" s="227">
        <v>0.28</v>
      </c>
      <c r="C615" s="171">
        <v>0.0</v>
      </c>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ht="15.75" customHeight="1">
      <c r="A616" s="322">
        <v>150000.0</v>
      </c>
      <c r="B616" s="330">
        <v>0.27</v>
      </c>
      <c r="C616" s="171">
        <v>0.0</v>
      </c>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ht="15.75" customHeight="1">
      <c r="A617" s="322">
        <v>300000.0</v>
      </c>
      <c r="B617" s="227">
        <v>0.25</v>
      </c>
      <c r="C617" s="171">
        <v>0.0</v>
      </c>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ht="15.75" customHeight="1">
      <c r="A618" s="340">
        <v>500000.0</v>
      </c>
      <c r="B618" s="227">
        <v>0.2</v>
      </c>
      <c r="C618" s="171">
        <v>0.0</v>
      </c>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ht="15.75" customHeight="1">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ht="15.75" customHeight="1">
      <c r="A620" s="339" t="s">
        <v>929</v>
      </c>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ht="15.75" customHeight="1">
      <c r="A622" s="291" t="s">
        <v>1917</v>
      </c>
      <c r="B622" s="291" t="s">
        <v>1918</v>
      </c>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ht="15.75" customHeight="1">
      <c r="A623" s="332">
        <v>1.0</v>
      </c>
      <c r="B623" s="342">
        <v>0.3</v>
      </c>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ht="15.75" customHeight="1">
      <c r="A624" s="332">
        <v>2.0</v>
      </c>
      <c r="B624" s="333">
        <v>0.1</v>
      </c>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ht="15.75" customHeight="1">
      <c r="A625" s="332">
        <v>3.0</v>
      </c>
      <c r="B625" s="333">
        <v>0.1</v>
      </c>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ht="15.75" customHeight="1">
      <c r="A626" s="332">
        <v>4.0</v>
      </c>
      <c r="B626" s="333">
        <v>0.02</v>
      </c>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ht="15.75" customHeight="1">
      <c r="A628" s="339" t="s">
        <v>937</v>
      </c>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ht="15.75" customHeight="1">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ht="15.75" customHeight="1">
      <c r="A630" s="291" t="s">
        <v>1917</v>
      </c>
      <c r="B630" s="291" t="s">
        <v>1918</v>
      </c>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ht="15.75" customHeight="1">
      <c r="A631" s="332">
        <v>1.0</v>
      </c>
      <c r="B631" s="342">
        <v>1.0</v>
      </c>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ht="15.75" customHeight="1">
      <c r="A632" s="332">
        <v>2.0</v>
      </c>
      <c r="B632" s="335">
        <v>0.075</v>
      </c>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ht="15.75" customHeight="1">
      <c r="A633" s="332">
        <v>3.0</v>
      </c>
      <c r="B633" s="335">
        <v>0.075</v>
      </c>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ht="15.75" customHeight="1">
      <c r="A634" s="332">
        <v>4.0</v>
      </c>
      <c r="B634" s="333">
        <v>0.02</v>
      </c>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ht="15.75" customHeight="1">
      <c r="A636" s="339" t="s">
        <v>942</v>
      </c>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ht="15.75" customHeight="1">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ht="15.75" customHeight="1">
      <c r="A638" s="171" t="s">
        <v>1916</v>
      </c>
      <c r="B638" s="171">
        <v>1.0</v>
      </c>
      <c r="C638" s="171">
        <v>2.0</v>
      </c>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ht="15.75" customHeight="1">
      <c r="A639" s="322">
        <v>50000.0</v>
      </c>
      <c r="B639" s="227">
        <v>0.2</v>
      </c>
      <c r="C639" s="227">
        <v>0.03</v>
      </c>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ht="15.75" customHeight="1">
      <c r="A640" s="326">
        <v>300000.0</v>
      </c>
      <c r="B640" s="227">
        <v>0.18</v>
      </c>
      <c r="C640" s="227">
        <v>0.03</v>
      </c>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ht="15.75" customHeight="1">
      <c r="A641" s="171">
        <v>500000.0</v>
      </c>
      <c r="B641" s="227">
        <v>0.16</v>
      </c>
      <c r="C641" s="227">
        <v>0.03</v>
      </c>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ht="15.75" customHeight="1">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ht="15.75" customHeight="1">
      <c r="A643" s="339" t="s">
        <v>951</v>
      </c>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ht="15.75" customHeight="1">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ht="15.75" customHeight="1">
      <c r="A645" s="291" t="s">
        <v>1917</v>
      </c>
      <c r="B645" s="291" t="s">
        <v>1918</v>
      </c>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ht="15.75" customHeight="1">
      <c r="A646" s="332">
        <v>1.0</v>
      </c>
      <c r="B646" s="342">
        <v>1.0</v>
      </c>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ht="15.75" customHeight="1">
      <c r="A647" s="332">
        <v>2.0</v>
      </c>
      <c r="B647" s="335">
        <v>0.05</v>
      </c>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ht="15.75" customHeight="1">
      <c r="A648" s="332">
        <v>3.0</v>
      </c>
      <c r="B648" s="335">
        <v>0.05</v>
      </c>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ht="15.75" customHeight="1">
      <c r="A649" s="332">
        <v>4.0</v>
      </c>
      <c r="B649" s="333">
        <v>0.03</v>
      </c>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ht="15.75" customHeight="1">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ht="15.75" customHeight="1">
      <c r="A651" s="339" t="s">
        <v>958</v>
      </c>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ht="15.75" customHeight="1">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ht="15.75" customHeight="1">
      <c r="A653" s="291" t="s">
        <v>1917</v>
      </c>
      <c r="B653" s="291" t="s">
        <v>1918</v>
      </c>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ht="15.75" customHeight="1">
      <c r="A654" s="332">
        <v>1.0</v>
      </c>
      <c r="B654" s="342">
        <v>1.0</v>
      </c>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ht="15.75" customHeight="1">
      <c r="A655" s="332">
        <v>2.0</v>
      </c>
      <c r="B655" s="335">
        <v>0.05</v>
      </c>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ht="15.75" customHeight="1">
      <c r="A656" s="332">
        <v>3.0</v>
      </c>
      <c r="B656" s="335">
        <v>0.05</v>
      </c>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ht="15.75" customHeight="1">
      <c r="A657" s="332">
        <v>4.0</v>
      </c>
      <c r="B657" s="333">
        <v>0.02</v>
      </c>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ht="15.75" customHeight="1">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ht="15.75" customHeight="1">
      <c r="A659" s="339" t="s">
        <v>965</v>
      </c>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ht="15.75" customHeight="1">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ht="15.75" customHeight="1">
      <c r="A661" s="291" t="s">
        <v>1917</v>
      </c>
      <c r="B661" s="291" t="s">
        <v>1918</v>
      </c>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ht="15.75" customHeight="1">
      <c r="A662" s="332">
        <v>1.0</v>
      </c>
      <c r="B662" s="342">
        <v>0.1</v>
      </c>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ht="15.75" customHeight="1">
      <c r="A663" s="332">
        <v>2.0</v>
      </c>
      <c r="B663" s="335">
        <v>0.05</v>
      </c>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ht="15.75" customHeight="1">
      <c r="A664" s="332">
        <v>3.0</v>
      </c>
      <c r="B664" s="335">
        <v>0.05</v>
      </c>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ht="15.75" customHeight="1">
      <c r="A665" s="332">
        <v>4.0</v>
      </c>
      <c r="B665" s="333">
        <v>0.05</v>
      </c>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ht="15.75" customHeight="1">
      <c r="A666" s="171">
        <v>5.0</v>
      </c>
      <c r="B666" s="227">
        <v>0.02</v>
      </c>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ht="15.75" customHeight="1">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ht="15.75" customHeight="1">
      <c r="A668" s="339" t="s">
        <v>970</v>
      </c>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ht="15.75" customHeight="1">
      <c r="A670" s="291" t="s">
        <v>1917</v>
      </c>
      <c r="B670" s="291" t="s">
        <v>1918</v>
      </c>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ht="15.75" customHeight="1">
      <c r="A671" s="332">
        <v>1.0</v>
      </c>
      <c r="B671" s="342">
        <v>0.05</v>
      </c>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ht="15.75" customHeight="1">
      <c r="A672" s="332">
        <v>2.0</v>
      </c>
      <c r="B672" s="335">
        <v>0.02</v>
      </c>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ht="15.75" customHeight="1">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ht="15.75" customHeight="1">
      <c r="A674" s="339" t="s">
        <v>974</v>
      </c>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ht="15.75" customHeight="1">
      <c r="A676" s="171" t="s">
        <v>253</v>
      </c>
      <c r="B676" s="171">
        <v>1.0</v>
      </c>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ht="15.75" customHeight="1">
      <c r="A677" s="171">
        <v>0.0</v>
      </c>
      <c r="B677" s="183">
        <v>0.04</v>
      </c>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ht="15.75" customHeight="1">
      <c r="A678" s="171">
        <v>100000.0</v>
      </c>
      <c r="B678" s="183">
        <v>0.02</v>
      </c>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ht="15.75" customHeight="1">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ht="15.75" customHeight="1">
      <c r="A680" s="339" t="s">
        <v>978</v>
      </c>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ht="15.75" customHeight="1">
      <c r="A682" s="291" t="s">
        <v>1917</v>
      </c>
      <c r="B682" s="291" t="s">
        <v>1918</v>
      </c>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ht="15.75" customHeight="1">
      <c r="A683" s="332">
        <v>1.0</v>
      </c>
      <c r="B683" s="342">
        <v>0.05</v>
      </c>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ht="15.75" customHeight="1">
      <c r="A684" s="332">
        <v>2.0</v>
      </c>
      <c r="B684" s="335">
        <v>0.04</v>
      </c>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ht="15.75" customHeight="1">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ht="15.75" customHeight="1">
      <c r="A686" s="339" t="s">
        <v>982</v>
      </c>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ht="15.75" customHeight="1">
      <c r="A688" s="291" t="s">
        <v>1917</v>
      </c>
      <c r="B688" s="291" t="s">
        <v>1918</v>
      </c>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ht="15.75" customHeight="1">
      <c r="A689" s="332">
        <v>1.0</v>
      </c>
      <c r="B689" s="342">
        <v>0.02</v>
      </c>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ht="15.75" customHeight="1">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ht="15.75" customHeight="1">
      <c r="A691" s="339" t="s">
        <v>986</v>
      </c>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ht="15.75" customHeight="1">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ht="15.75" customHeight="1">
      <c r="A693" s="291" t="s">
        <v>1917</v>
      </c>
      <c r="B693" s="291" t="s">
        <v>1918</v>
      </c>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ht="15.75" customHeight="1">
      <c r="A694" s="332">
        <v>1.0</v>
      </c>
      <c r="B694" s="342">
        <v>0.04</v>
      </c>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ht="15.75" customHeight="1">
      <c r="A696" s="339" t="s">
        <v>990</v>
      </c>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ht="15.75" customHeight="1">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ht="15.75" customHeight="1">
      <c r="A698" s="291" t="s">
        <v>1917</v>
      </c>
      <c r="B698" s="291" t="s">
        <v>1918</v>
      </c>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ht="15.75" customHeight="1">
      <c r="A699" s="332">
        <v>1.0</v>
      </c>
      <c r="B699" s="335">
        <v>0.04</v>
      </c>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ht="15.75" customHeight="1">
      <c r="A700" s="332">
        <v>2.0</v>
      </c>
      <c r="B700" s="335">
        <v>0.04</v>
      </c>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ht="15.75" customHeight="1">
      <c r="A701" s="332">
        <v>3.0</v>
      </c>
      <c r="B701" s="335">
        <v>0.04</v>
      </c>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ht="15.75" customHeight="1">
      <c r="A702" s="332">
        <v>4.0</v>
      </c>
      <c r="B702" s="336">
        <v>0.04</v>
      </c>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ht="15.75" customHeight="1">
      <c r="A703" s="332">
        <v>5.0</v>
      </c>
      <c r="B703" s="336">
        <v>0.04</v>
      </c>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ht="15.75" customHeight="1">
      <c r="A704" s="171">
        <v>6.0</v>
      </c>
      <c r="B704" s="227">
        <v>0.02</v>
      </c>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ht="15.75" customHeight="1">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ht="15.75" customHeight="1">
      <c r="A706" s="339" t="s">
        <v>996</v>
      </c>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ht="15.75" customHeight="1">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ht="15.75" customHeight="1">
      <c r="A708" s="291" t="s">
        <v>1917</v>
      </c>
      <c r="B708" s="291" t="s">
        <v>1918</v>
      </c>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ht="15.75" customHeight="1">
      <c r="A709" s="332">
        <v>1.0</v>
      </c>
      <c r="B709" s="335">
        <v>0.02</v>
      </c>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ht="15.75" customHeight="1">
      <c r="A710" s="332">
        <v>2.0</v>
      </c>
      <c r="B710" s="335">
        <v>0.02</v>
      </c>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ht="15.75" customHeight="1">
      <c r="A711" s="332">
        <v>3.0</v>
      </c>
      <c r="B711" s="335">
        <v>0.02</v>
      </c>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ht="15.75" customHeight="1">
      <c r="A712" s="332">
        <v>4.0</v>
      </c>
      <c r="B712" s="335">
        <v>0.02</v>
      </c>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ht="15.75" customHeight="1">
      <c r="A713" s="332">
        <v>5.0</v>
      </c>
      <c r="B713" s="335">
        <v>0.02</v>
      </c>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ht="15.75" customHeight="1">
      <c r="A714" s="171">
        <v>6.0</v>
      </c>
      <c r="B714" s="335">
        <v>0.02</v>
      </c>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ht="15.75" customHeight="1">
      <c r="A715" s="171">
        <v>7.0</v>
      </c>
      <c r="B715" s="335">
        <v>0.02</v>
      </c>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ht="15.75" customHeight="1">
      <c r="A716" s="171">
        <v>8.0</v>
      </c>
      <c r="B716" s="335">
        <v>0.02</v>
      </c>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ht="15.75" customHeight="1">
      <c r="A717" s="171">
        <v>9.0</v>
      </c>
      <c r="B717" s="335">
        <v>0.02</v>
      </c>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ht="15.75" customHeight="1">
      <c r="A718" s="171">
        <v>10.0</v>
      </c>
      <c r="B718" s="335">
        <v>0.02</v>
      </c>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ht="15.75" customHeight="1">
      <c r="A719" s="171">
        <v>11.0</v>
      </c>
      <c r="B719" s="227">
        <v>0.0</v>
      </c>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ht="15.75" customHeight="1">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ht="15.75" customHeight="1">
      <c r="A721" s="339" t="s">
        <v>1003</v>
      </c>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ht="15.75" customHeight="1">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ht="15.75" customHeight="1">
      <c r="A723" s="291" t="s">
        <v>1917</v>
      </c>
      <c r="B723" s="291" t="s">
        <v>1918</v>
      </c>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ht="15.75" customHeight="1">
      <c r="A724" s="332">
        <v>1.0</v>
      </c>
      <c r="B724" s="335">
        <v>0.04</v>
      </c>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ht="15.75" customHeight="1">
      <c r="A725" s="332">
        <v>2.0</v>
      </c>
      <c r="B725" s="335">
        <v>0.04</v>
      </c>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ht="15.75" customHeight="1">
      <c r="A726" s="332">
        <v>3.0</v>
      </c>
      <c r="B726" s="335">
        <v>0.04</v>
      </c>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ht="15.75" customHeight="1">
      <c r="A727" s="332">
        <v>4.0</v>
      </c>
      <c r="B727" s="336">
        <v>0.04</v>
      </c>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ht="15.75" customHeight="1">
      <c r="A728" s="332">
        <v>5.0</v>
      </c>
      <c r="B728" s="336">
        <v>0.04</v>
      </c>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ht="15.75" customHeight="1">
      <c r="A729" s="171">
        <v>6.0</v>
      </c>
      <c r="B729" s="227">
        <v>0.02</v>
      </c>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ht="15.75" customHeight="1">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ht="15.75" customHeight="1">
      <c r="A731" s="339" t="s">
        <v>1009</v>
      </c>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ht="15.75" customHeight="1">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ht="15.75" customHeight="1">
      <c r="A733" s="291" t="s">
        <v>1917</v>
      </c>
      <c r="B733" s="291" t="s">
        <v>1918</v>
      </c>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ht="15.75" customHeight="1">
      <c r="A734" s="332">
        <v>1.0</v>
      </c>
      <c r="B734" s="335">
        <v>0.04</v>
      </c>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ht="15.75" customHeight="1">
      <c r="A735" s="332">
        <v>2.0</v>
      </c>
      <c r="B735" s="335">
        <v>0.03</v>
      </c>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ht="15.75" customHeight="1">
      <c r="A736" s="332">
        <v>3.0</v>
      </c>
      <c r="B736" s="335">
        <v>0.03</v>
      </c>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ht="15.75" customHeight="1">
      <c r="A737" s="332">
        <v>4.0</v>
      </c>
      <c r="B737" s="335">
        <v>0.03</v>
      </c>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ht="15.75" customHeight="1">
      <c r="A738" s="332">
        <v>5.0</v>
      </c>
      <c r="B738" s="335">
        <v>0.03</v>
      </c>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ht="15.75" customHeight="1">
      <c r="A739" s="171">
        <v>6.0</v>
      </c>
      <c r="B739" s="335">
        <v>0.03</v>
      </c>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ht="15.75" customHeight="1">
      <c r="A740" s="171">
        <v>7.0</v>
      </c>
      <c r="B740" s="335">
        <v>0.03</v>
      </c>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ht="15.75" customHeight="1">
      <c r="A741" s="171">
        <v>8.0</v>
      </c>
      <c r="B741" s="335">
        <v>0.03</v>
      </c>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ht="15.75" customHeight="1">
      <c r="A742" s="171">
        <v>9.0</v>
      </c>
      <c r="B742" s="335">
        <v>0.03</v>
      </c>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ht="15.75" customHeight="1">
      <c r="A743" s="171">
        <v>10.0</v>
      </c>
      <c r="B743" s="335">
        <v>0.03</v>
      </c>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ht="15.75" customHeight="1">
      <c r="A744" s="171">
        <v>11.0</v>
      </c>
      <c r="B744" s="227">
        <v>0.0</v>
      </c>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ht="15.75" customHeight="1">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ht="15.75" customHeight="1">
      <c r="A746" s="339" t="s">
        <v>1016</v>
      </c>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ht="15.75" customHeight="1">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ht="15.75" customHeight="1">
      <c r="A748" s="291" t="s">
        <v>1917</v>
      </c>
      <c r="B748" s="291" t="s">
        <v>1918</v>
      </c>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ht="15.75" customHeight="1">
      <c r="A749" s="332">
        <v>1.0</v>
      </c>
      <c r="B749" s="335">
        <v>0.05</v>
      </c>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ht="15.75" customHeight="1">
      <c r="A750" s="332">
        <v>2.0</v>
      </c>
      <c r="B750" s="335">
        <v>0.04</v>
      </c>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ht="15.75" customHeight="1">
      <c r="A751" s="332">
        <v>3.0</v>
      </c>
      <c r="B751" s="335">
        <v>0.03</v>
      </c>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ht="15.75" customHeight="1">
      <c r="A752" s="332">
        <v>4.0</v>
      </c>
      <c r="B752" s="335">
        <v>0.03</v>
      </c>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ht="15.75" customHeight="1">
      <c r="A753" s="332">
        <v>5.0</v>
      </c>
      <c r="B753" s="335">
        <v>0.03</v>
      </c>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ht="15.75" customHeight="1">
      <c r="A754" s="171">
        <v>6.0</v>
      </c>
      <c r="B754" s="335">
        <v>0.03</v>
      </c>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ht="15.75" customHeight="1">
      <c r="A755" s="171">
        <v>7.0</v>
      </c>
      <c r="B755" s="335">
        <v>0.03</v>
      </c>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ht="15.75" customHeight="1">
      <c r="A756" s="171">
        <v>8.0</v>
      </c>
      <c r="B756" s="335">
        <v>0.03</v>
      </c>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ht="15.75" customHeight="1">
      <c r="A757" s="171">
        <v>9.0</v>
      </c>
      <c r="B757" s="335">
        <v>0.03</v>
      </c>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ht="15.75" customHeight="1">
      <c r="A758" s="171">
        <v>10.0</v>
      </c>
      <c r="B758" s="335">
        <v>0.03</v>
      </c>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ht="15.75" customHeight="1">
      <c r="A759" s="171">
        <v>11.0</v>
      </c>
      <c r="B759" s="227">
        <v>0.0</v>
      </c>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ht="15.75" customHeight="1">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ht="15.75" customHeight="1">
      <c r="A761" s="339" t="s">
        <v>1025</v>
      </c>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ht="15.75" customHeight="1">
      <c r="A763" s="291" t="s">
        <v>1917</v>
      </c>
      <c r="B763" s="291" t="s">
        <v>1918</v>
      </c>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ht="15.75" customHeight="1">
      <c r="A764" s="332">
        <v>1.0</v>
      </c>
      <c r="B764" s="335">
        <v>0.05</v>
      </c>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ht="15.75" customHeight="1">
      <c r="A765" s="332">
        <v>2.0</v>
      </c>
      <c r="B765" s="335">
        <v>0.05</v>
      </c>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ht="15.75" customHeight="1">
      <c r="A766" s="332">
        <v>3.0</v>
      </c>
      <c r="B766" s="335">
        <v>0.04</v>
      </c>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ht="15.75" customHeight="1">
      <c r="A767" s="332">
        <v>4.0</v>
      </c>
      <c r="B767" s="335">
        <v>0.04</v>
      </c>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ht="15.75" customHeight="1">
      <c r="A768" s="332">
        <v>5.0</v>
      </c>
      <c r="B768" s="335">
        <v>0.04</v>
      </c>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ht="15.75" customHeight="1">
      <c r="A769" s="171">
        <v>6.0</v>
      </c>
      <c r="B769" s="335">
        <v>0.04</v>
      </c>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ht="15.75" customHeight="1">
      <c r="A770" s="171">
        <v>7.0</v>
      </c>
      <c r="B770" s="335">
        <v>0.04</v>
      </c>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ht="15.75" customHeight="1">
      <c r="A771" s="171">
        <v>8.0</v>
      </c>
      <c r="B771" s="335">
        <v>0.04</v>
      </c>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ht="15.75" customHeight="1">
      <c r="A772" s="171">
        <v>9.0</v>
      </c>
      <c r="B772" s="335">
        <v>0.04</v>
      </c>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ht="15.75" customHeight="1">
      <c r="A773" s="171">
        <v>10.0</v>
      </c>
      <c r="B773" s="335">
        <v>0.04</v>
      </c>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ht="15.75" customHeight="1">
      <c r="A774" s="171">
        <v>11.0</v>
      </c>
      <c r="B774" s="227">
        <v>0.0</v>
      </c>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ht="15.75" customHeight="1">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ht="15.75" customHeight="1">
      <c r="A776" s="343" t="s">
        <v>1036</v>
      </c>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ht="15.75" customHeight="1">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ht="15.75" customHeight="1">
      <c r="A778" s="291" t="s">
        <v>1917</v>
      </c>
      <c r="B778" s="291" t="s">
        <v>1918</v>
      </c>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ht="15.75" customHeight="1">
      <c r="A779" s="332">
        <v>1.0</v>
      </c>
      <c r="B779" s="335">
        <v>0.06</v>
      </c>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ht="15.75" customHeight="1">
      <c r="A780" s="332">
        <v>2.0</v>
      </c>
      <c r="B780" s="335">
        <v>0.05</v>
      </c>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ht="15.75" customHeight="1">
      <c r="A781" s="332">
        <v>3.0</v>
      </c>
      <c r="B781" s="335">
        <v>0.045</v>
      </c>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ht="15.75" customHeight="1">
      <c r="A782" s="332">
        <v>4.0</v>
      </c>
      <c r="B782" s="335">
        <v>0.04</v>
      </c>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ht="15.75" customHeight="1">
      <c r="A783" s="332">
        <v>5.0</v>
      </c>
      <c r="B783" s="335">
        <v>0.04</v>
      </c>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ht="15.75" customHeight="1">
      <c r="A784" s="171">
        <v>6.0</v>
      </c>
      <c r="B784" s="335">
        <v>0.04</v>
      </c>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ht="15.75" customHeight="1">
      <c r="A785" s="171">
        <v>7.0</v>
      </c>
      <c r="B785" s="335">
        <v>0.04</v>
      </c>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ht="15.75" customHeight="1">
      <c r="A786" s="171">
        <v>8.0</v>
      </c>
      <c r="B786" s="335">
        <v>0.04</v>
      </c>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ht="15.75" customHeight="1">
      <c r="A787" s="171">
        <v>9.0</v>
      </c>
      <c r="B787" s="335">
        <v>0.04</v>
      </c>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ht="15.75" customHeight="1">
      <c r="A788" s="171">
        <v>10.0</v>
      </c>
      <c r="B788" s="335">
        <v>0.04</v>
      </c>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ht="15.75" customHeight="1">
      <c r="A789" s="171">
        <v>11.0</v>
      </c>
      <c r="B789" s="227">
        <v>0.0</v>
      </c>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ht="15.75" customHeight="1">
      <c r="A791" s="339" t="s">
        <v>884</v>
      </c>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ht="15.75" customHeight="1">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ht="15.75" customHeight="1">
      <c r="A793" s="291" t="s">
        <v>1917</v>
      </c>
      <c r="B793" s="291" t="s">
        <v>1918</v>
      </c>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ht="15.75" customHeight="1">
      <c r="A794" s="332">
        <v>1.0</v>
      </c>
      <c r="B794" s="335">
        <f>IF(AND(PT&lt;=14,PT&gt;=10),55%,IF(AND(PT&gt;=15,PT&lt;=19),60%,65%))</f>
        <v>0.55</v>
      </c>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ht="15.75" customHeight="1">
      <c r="A795" s="332">
        <v>2.0</v>
      </c>
      <c r="B795" s="335">
        <v>0.2</v>
      </c>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ht="15.75" customHeight="1">
      <c r="A796" s="332">
        <v>3.0</v>
      </c>
      <c r="B796" s="335">
        <v>0.05</v>
      </c>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ht="15.75" customHeight="1">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ht="15.75" customHeight="1">
      <c r="A798" s="344" t="s">
        <v>1042</v>
      </c>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ht="15.75" customHeight="1">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ht="15.75" customHeight="1">
      <c r="A800" s="171" t="s">
        <v>1916</v>
      </c>
      <c r="B800" s="171">
        <v>1.0</v>
      </c>
      <c r="C800" s="171">
        <v>2.0</v>
      </c>
      <c r="D800" s="171">
        <v>3.0</v>
      </c>
      <c r="E800" s="171">
        <v>4.0</v>
      </c>
      <c r="F800" s="36"/>
      <c r="G800" s="36"/>
      <c r="H800" s="36"/>
      <c r="I800" s="36"/>
      <c r="J800" s="36"/>
      <c r="K800" s="36"/>
      <c r="L800" s="36"/>
      <c r="M800" s="36"/>
      <c r="N800" s="36"/>
      <c r="O800" s="36"/>
      <c r="P800" s="36"/>
      <c r="Q800" s="36"/>
      <c r="R800" s="36"/>
      <c r="S800" s="36"/>
      <c r="T800" s="36"/>
      <c r="U800" s="36"/>
      <c r="V800" s="36"/>
      <c r="W800" s="36"/>
      <c r="X800" s="36"/>
      <c r="Y800" s="36"/>
      <c r="Z800" s="36"/>
    </row>
    <row r="801" ht="15.75" customHeight="1">
      <c r="A801" s="341">
        <v>0.0</v>
      </c>
      <c r="B801" s="227">
        <v>0.2</v>
      </c>
      <c r="C801" s="227">
        <v>0.1</v>
      </c>
      <c r="D801" s="227">
        <v>0.1</v>
      </c>
      <c r="E801" s="227">
        <v>0.04</v>
      </c>
      <c r="F801" s="36"/>
      <c r="G801" s="36"/>
      <c r="H801" s="36"/>
      <c r="I801" s="36"/>
      <c r="J801" s="36"/>
      <c r="K801" s="36"/>
      <c r="L801" s="36"/>
      <c r="M801" s="36"/>
      <c r="N801" s="36"/>
      <c r="O801" s="36"/>
      <c r="P801" s="36"/>
      <c r="Q801" s="36"/>
      <c r="R801" s="36"/>
      <c r="S801" s="36"/>
      <c r="T801" s="36"/>
      <c r="U801" s="36"/>
      <c r="V801" s="36"/>
      <c r="W801" s="36"/>
      <c r="X801" s="36"/>
      <c r="Y801" s="36"/>
      <c r="Z801" s="36"/>
    </row>
    <row r="802" ht="15.75" customHeight="1">
      <c r="A802" s="345">
        <v>500000.0</v>
      </c>
      <c r="B802" s="328">
        <v>0.18</v>
      </c>
      <c r="C802" s="328">
        <v>0.08</v>
      </c>
      <c r="D802" s="227">
        <v>0.08</v>
      </c>
      <c r="E802" s="227">
        <v>0.04</v>
      </c>
      <c r="F802" s="36"/>
      <c r="G802" s="36"/>
      <c r="H802" s="36"/>
      <c r="I802" s="36"/>
      <c r="J802" s="36"/>
      <c r="K802" s="36"/>
      <c r="L802" s="36"/>
      <c r="M802" s="36"/>
      <c r="N802" s="36"/>
      <c r="O802" s="36"/>
      <c r="P802" s="36"/>
      <c r="Q802" s="36"/>
      <c r="R802" s="36"/>
      <c r="S802" s="36"/>
      <c r="T802" s="36"/>
      <c r="U802" s="36"/>
      <c r="V802" s="36"/>
      <c r="W802" s="36"/>
      <c r="X802" s="36"/>
      <c r="Y802" s="36"/>
      <c r="Z802" s="36"/>
    </row>
    <row r="803" ht="15.75" customHeight="1">
      <c r="A803" s="325"/>
      <c r="B803" s="214"/>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ht="15.75" customHeight="1">
      <c r="A804" s="346" t="s">
        <v>1045</v>
      </c>
      <c r="B804" s="347"/>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ht="15.75" customHeight="1">
      <c r="A805" s="329"/>
      <c r="B805" s="214"/>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ht="15.75" customHeight="1">
      <c r="A806" s="171" t="s">
        <v>1916</v>
      </c>
      <c r="B806" s="171">
        <v>1.0</v>
      </c>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ht="15.75" customHeight="1">
      <c r="A807" s="322">
        <v>25000.0</v>
      </c>
      <c r="B807" s="183">
        <v>0.03</v>
      </c>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ht="15.75" customHeight="1">
      <c r="A808" s="326">
        <v>40000.0</v>
      </c>
      <c r="B808" s="183">
        <v>0.02</v>
      </c>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ht="15.75" customHeight="1">
      <c r="A809" s="322">
        <v>100000.0</v>
      </c>
      <c r="B809" s="183">
        <v>0.015</v>
      </c>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ht="15.75" customHeight="1">
      <c r="A810" s="322">
        <v>500000.0</v>
      </c>
      <c r="B810" s="183">
        <v>0.0125</v>
      </c>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ht="15.75" customHeight="1">
      <c r="A811" s="340"/>
      <c r="B811" s="227"/>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ht="15.75" customHeight="1">
      <c r="A813" s="339" t="s">
        <v>1073</v>
      </c>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ht="15.75" customHeight="1">
      <c r="A815" s="291" t="s">
        <v>1917</v>
      </c>
      <c r="B815" s="291" t="s">
        <v>1918</v>
      </c>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ht="15.75" customHeight="1">
      <c r="A816" s="332">
        <v>1.0</v>
      </c>
      <c r="B816" s="335">
        <v>0.57</v>
      </c>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ht="15.75" customHeight="1">
      <c r="A817" s="332">
        <v>2.0</v>
      </c>
      <c r="B817" s="335">
        <v>0.15</v>
      </c>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ht="15.75" customHeight="1">
      <c r="A818" s="332">
        <v>3.0</v>
      </c>
      <c r="B818" s="335">
        <v>0.15</v>
      </c>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ht="15.75" customHeight="1">
      <c r="A819" s="171">
        <v>4.0</v>
      </c>
      <c r="B819" s="227">
        <v>0.05</v>
      </c>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ht="15.75" customHeight="1">
      <c r="A821" s="339" t="s">
        <v>1069</v>
      </c>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ht="15.75" customHeight="1">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ht="15.75" customHeight="1">
      <c r="A823" s="291" t="s">
        <v>1917</v>
      </c>
      <c r="B823" s="291" t="s">
        <v>1918</v>
      </c>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ht="15.75" customHeight="1">
      <c r="A824" s="332">
        <v>1.0</v>
      </c>
      <c r="B824" s="335">
        <v>0.57</v>
      </c>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ht="15.75" customHeight="1">
      <c r="A825" s="332">
        <v>2.0</v>
      </c>
      <c r="B825" s="335">
        <v>0.15</v>
      </c>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ht="15.75" customHeight="1">
      <c r="A826" s="332">
        <v>3.0</v>
      </c>
      <c r="B826" s="335">
        <v>0.15</v>
      </c>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ht="15.75" customHeight="1">
      <c r="A827" s="171">
        <v>4.0</v>
      </c>
      <c r="B827" s="227">
        <v>0.05</v>
      </c>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ht="15.75" customHeight="1">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ht="15.75" customHeight="1">
      <c r="A829" s="339" t="s">
        <v>1077</v>
      </c>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ht="15.75" customHeight="1">
      <c r="A831" s="291" t="s">
        <v>1917</v>
      </c>
      <c r="B831" s="291" t="s">
        <v>1918</v>
      </c>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ht="15.75" customHeight="1">
      <c r="A832" s="332">
        <v>1.0</v>
      </c>
      <c r="B832" s="335">
        <v>0.35</v>
      </c>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ht="15.75" customHeight="1">
      <c r="A833" s="332">
        <v>2.0</v>
      </c>
      <c r="B833" s="335">
        <v>0.15</v>
      </c>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ht="15.75" customHeight="1">
      <c r="A834" s="332">
        <v>3.0</v>
      </c>
      <c r="B834" s="335">
        <v>0.15</v>
      </c>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ht="15.75" customHeight="1">
      <c r="A835" s="171">
        <v>4.0</v>
      </c>
      <c r="B835" s="227">
        <v>0.05</v>
      </c>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ht="15.75" customHeight="1">
      <c r="A837" s="339" t="s">
        <v>1081</v>
      </c>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ht="15.75" customHeight="1">
      <c r="A839" s="171" t="s">
        <v>1916</v>
      </c>
      <c r="B839" s="171">
        <v>1.0</v>
      </c>
      <c r="C839" s="171">
        <v>2.0</v>
      </c>
      <c r="D839" s="171">
        <v>3.0</v>
      </c>
      <c r="E839" s="171">
        <v>4.0</v>
      </c>
      <c r="F839" s="36"/>
      <c r="G839" s="36"/>
      <c r="H839" s="36"/>
      <c r="I839" s="36"/>
      <c r="J839" s="36"/>
      <c r="K839" s="36"/>
      <c r="L839" s="36"/>
      <c r="M839" s="36"/>
      <c r="N839" s="36"/>
      <c r="O839" s="36"/>
      <c r="P839" s="36"/>
      <c r="Q839" s="36"/>
      <c r="R839" s="36"/>
      <c r="S839" s="36"/>
      <c r="T839" s="36"/>
      <c r="U839" s="36"/>
      <c r="V839" s="36"/>
      <c r="W839" s="36"/>
      <c r="X839" s="36"/>
      <c r="Y839" s="36"/>
      <c r="Z839" s="36"/>
    </row>
    <row r="840" ht="15.75" customHeight="1">
      <c r="A840" s="341">
        <v>0.0</v>
      </c>
      <c r="B840" s="227">
        <v>0.2</v>
      </c>
      <c r="C840" s="227">
        <v>0.1</v>
      </c>
      <c r="D840" s="227">
        <v>0.1</v>
      </c>
      <c r="E840" s="227">
        <v>0.04</v>
      </c>
      <c r="F840" s="36"/>
      <c r="G840" s="36"/>
      <c r="H840" s="36"/>
      <c r="I840" s="36"/>
      <c r="J840" s="36"/>
      <c r="K840" s="36"/>
      <c r="L840" s="36"/>
      <c r="M840" s="36"/>
      <c r="N840" s="36"/>
      <c r="O840" s="36"/>
      <c r="P840" s="36"/>
      <c r="Q840" s="36"/>
      <c r="R840" s="36"/>
      <c r="S840" s="36"/>
      <c r="T840" s="36"/>
      <c r="U840" s="36"/>
      <c r="V840" s="36"/>
      <c r="W840" s="36"/>
      <c r="X840" s="36"/>
      <c r="Y840" s="36"/>
      <c r="Z840" s="36"/>
    </row>
    <row r="841" ht="15.75" customHeight="1">
      <c r="A841" s="322">
        <v>500000.0</v>
      </c>
      <c r="B841" s="227">
        <v>0.18</v>
      </c>
      <c r="C841" s="227">
        <v>0.08</v>
      </c>
      <c r="D841" s="227">
        <v>0.08</v>
      </c>
      <c r="E841" s="227">
        <v>0.04</v>
      </c>
      <c r="F841" s="36"/>
      <c r="G841" s="36"/>
      <c r="H841" s="36"/>
      <c r="I841" s="36"/>
      <c r="J841" s="36"/>
      <c r="K841" s="36"/>
      <c r="L841" s="36"/>
      <c r="M841" s="36"/>
      <c r="N841" s="36"/>
      <c r="O841" s="36"/>
      <c r="P841" s="36"/>
      <c r="Q841" s="36"/>
      <c r="R841" s="36"/>
      <c r="S841" s="36"/>
      <c r="T841" s="36"/>
      <c r="U841" s="36"/>
      <c r="V841" s="36"/>
      <c r="W841" s="36"/>
      <c r="X841" s="36"/>
      <c r="Y841" s="36"/>
      <c r="Z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ht="15.75" customHeight="1">
      <c r="A843" s="339" t="s">
        <v>1085</v>
      </c>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ht="15.75" customHeight="1">
      <c r="A845" s="171" t="s">
        <v>1916</v>
      </c>
      <c r="B845" s="171">
        <v>1.0</v>
      </c>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ht="15.75" customHeight="1">
      <c r="A846" s="322">
        <v>0.0</v>
      </c>
      <c r="B846" s="183">
        <v>0.08</v>
      </c>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ht="15.75" customHeight="1">
      <c r="A847" s="326">
        <v>50000.0</v>
      </c>
      <c r="B847" s="183">
        <v>0.06</v>
      </c>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ht="15.75" customHeight="1">
      <c r="A848" s="322">
        <v>100000.0</v>
      </c>
      <c r="B848" s="183">
        <v>0.04</v>
      </c>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ht="15.75" customHeight="1">
      <c r="A849" s="322">
        <v>500000.0</v>
      </c>
      <c r="B849" s="183">
        <v>0.02</v>
      </c>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ht="15.75" customHeight="1">
      <c r="A851" s="339" t="s">
        <v>1088</v>
      </c>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ht="15.75" customHeight="1">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ht="15.75" customHeight="1">
      <c r="A853" s="171" t="s">
        <v>1916</v>
      </c>
      <c r="B853" s="171">
        <v>1.0</v>
      </c>
      <c r="C853" s="171">
        <v>2.0</v>
      </c>
      <c r="D853" s="171">
        <v>3.0</v>
      </c>
      <c r="E853" s="171">
        <v>4.0</v>
      </c>
      <c r="F853" s="171">
        <v>5.0</v>
      </c>
      <c r="G853" s="171">
        <v>6.0</v>
      </c>
      <c r="H853" s="171">
        <v>7.0</v>
      </c>
      <c r="I853" s="171">
        <v>8.0</v>
      </c>
      <c r="J853" s="171">
        <v>9.0</v>
      </c>
      <c r="K853" s="171">
        <v>10.0</v>
      </c>
      <c r="L853" s="171">
        <v>11.0</v>
      </c>
      <c r="M853" s="36"/>
      <c r="N853" s="36"/>
      <c r="O853" s="36"/>
      <c r="P853" s="36"/>
      <c r="Q853" s="36"/>
      <c r="R853" s="36"/>
      <c r="S853" s="36"/>
      <c r="T853" s="36"/>
      <c r="U853" s="36"/>
      <c r="V853" s="36"/>
      <c r="W853" s="36"/>
      <c r="X853" s="36"/>
      <c r="Y853" s="36"/>
      <c r="Z853" s="36"/>
    </row>
    <row r="854" ht="15.75" customHeight="1">
      <c r="A854" s="322">
        <v>0.0</v>
      </c>
      <c r="B854" s="183">
        <v>0.19</v>
      </c>
      <c r="C854" s="227">
        <v>0.04</v>
      </c>
      <c r="D854" s="227">
        <v>0.04</v>
      </c>
      <c r="E854" s="227">
        <v>0.04</v>
      </c>
      <c r="F854" s="227">
        <v>0.04</v>
      </c>
      <c r="G854" s="227">
        <v>0.02</v>
      </c>
      <c r="H854" s="227">
        <v>0.02</v>
      </c>
      <c r="I854" s="227">
        <v>0.02</v>
      </c>
      <c r="J854" s="227">
        <v>0.02</v>
      </c>
      <c r="K854" s="227">
        <v>0.02</v>
      </c>
      <c r="L854" s="227">
        <v>0.01</v>
      </c>
      <c r="M854" s="36"/>
      <c r="N854" s="36"/>
      <c r="O854" s="36"/>
      <c r="P854" s="36"/>
      <c r="Q854" s="36"/>
      <c r="R854" s="12"/>
      <c r="S854" s="214"/>
      <c r="T854" s="36"/>
      <c r="U854" s="36"/>
      <c r="V854" s="36"/>
      <c r="W854" s="36"/>
      <c r="X854" s="36"/>
      <c r="Y854" s="36"/>
      <c r="Z854" s="36"/>
    </row>
    <row r="855" ht="15.75" customHeight="1">
      <c r="A855" s="326">
        <v>36000.0</v>
      </c>
      <c r="B855" s="183">
        <v>0.17</v>
      </c>
      <c r="C855" s="227">
        <v>0.04</v>
      </c>
      <c r="D855" s="227">
        <v>0.04</v>
      </c>
      <c r="E855" s="227">
        <v>0.04</v>
      </c>
      <c r="F855" s="227">
        <v>0.04</v>
      </c>
      <c r="G855" s="227">
        <v>0.02</v>
      </c>
      <c r="H855" s="227">
        <v>0.02</v>
      </c>
      <c r="I855" s="227">
        <v>0.02</v>
      </c>
      <c r="J855" s="227">
        <v>0.02</v>
      </c>
      <c r="K855" s="227">
        <v>0.02</v>
      </c>
      <c r="L855" s="227">
        <v>0.01</v>
      </c>
      <c r="M855" s="36"/>
      <c r="N855" s="36"/>
      <c r="O855" s="36"/>
      <c r="P855" s="36"/>
      <c r="Q855" s="36"/>
      <c r="R855" s="12"/>
      <c r="S855" s="214"/>
      <c r="T855" s="36"/>
      <c r="U855" s="36"/>
      <c r="V855" s="36"/>
      <c r="W855" s="36"/>
      <c r="X855" s="36"/>
      <c r="Y855" s="36"/>
      <c r="Z855" s="36"/>
    </row>
    <row r="856" ht="15.75" customHeight="1">
      <c r="A856" s="322">
        <v>100000.0</v>
      </c>
      <c r="B856" s="183">
        <v>0.15</v>
      </c>
      <c r="C856" s="227">
        <v>0.04</v>
      </c>
      <c r="D856" s="227">
        <v>0.04</v>
      </c>
      <c r="E856" s="227">
        <v>0.04</v>
      </c>
      <c r="F856" s="227">
        <v>0.04</v>
      </c>
      <c r="G856" s="227">
        <v>0.02</v>
      </c>
      <c r="H856" s="227">
        <v>0.02</v>
      </c>
      <c r="I856" s="227">
        <v>0.02</v>
      </c>
      <c r="J856" s="227">
        <v>0.02</v>
      </c>
      <c r="K856" s="227">
        <v>0.02</v>
      </c>
      <c r="L856" s="227">
        <v>0.01</v>
      </c>
      <c r="M856" s="36"/>
      <c r="N856" s="36"/>
      <c r="O856" s="36"/>
      <c r="P856" s="36"/>
      <c r="Q856" s="36"/>
      <c r="R856" s="12"/>
      <c r="S856" s="214"/>
      <c r="T856" s="36"/>
      <c r="U856" s="36"/>
      <c r="V856" s="36"/>
      <c r="W856" s="36"/>
      <c r="X856" s="36"/>
      <c r="Y856" s="36"/>
      <c r="Z856" s="36"/>
    </row>
    <row r="857" ht="15.75" customHeight="1">
      <c r="A857" s="322">
        <v>500000.0</v>
      </c>
      <c r="B857" s="183">
        <v>0.12</v>
      </c>
      <c r="C857" s="227">
        <v>0.04</v>
      </c>
      <c r="D857" s="227">
        <v>0.04</v>
      </c>
      <c r="E857" s="227">
        <v>0.04</v>
      </c>
      <c r="F857" s="227">
        <v>0.04</v>
      </c>
      <c r="G857" s="227">
        <v>0.02</v>
      </c>
      <c r="H857" s="227">
        <v>0.02</v>
      </c>
      <c r="I857" s="227">
        <v>0.02</v>
      </c>
      <c r="J857" s="227">
        <v>0.02</v>
      </c>
      <c r="K857" s="227">
        <v>0.02</v>
      </c>
      <c r="L857" s="227">
        <v>0.01</v>
      </c>
      <c r="M857" s="36"/>
      <c r="N857" s="36"/>
      <c r="O857" s="36"/>
      <c r="P857" s="36"/>
      <c r="Q857" s="36"/>
      <c r="R857" s="12"/>
      <c r="S857" s="214"/>
      <c r="T857" s="36"/>
      <c r="U857" s="36"/>
      <c r="V857" s="36"/>
      <c r="W857" s="36"/>
      <c r="X857" s="36"/>
      <c r="Y857" s="36"/>
      <c r="Z857" s="36"/>
    </row>
    <row r="858" ht="15.75" customHeight="1">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ht="15.75" customHeight="1">
      <c r="A859" s="339" t="s">
        <v>1092</v>
      </c>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ht="15.75" customHeight="1">
      <c r="A861" s="171" t="s">
        <v>1916</v>
      </c>
      <c r="B861" s="171">
        <v>1.0</v>
      </c>
      <c r="C861" s="171">
        <v>2.0</v>
      </c>
      <c r="D861" s="171">
        <v>3.0</v>
      </c>
      <c r="E861" s="171">
        <v>4.0</v>
      </c>
      <c r="F861" s="171">
        <v>5.0</v>
      </c>
      <c r="G861" s="171">
        <v>6.0</v>
      </c>
      <c r="H861" s="171">
        <v>7.0</v>
      </c>
      <c r="I861" s="171">
        <v>8.0</v>
      </c>
      <c r="J861" s="171">
        <v>9.0</v>
      </c>
      <c r="K861" s="171">
        <v>10.0</v>
      </c>
      <c r="L861" s="171">
        <v>11.0</v>
      </c>
      <c r="M861" s="36"/>
      <c r="N861" s="36"/>
      <c r="O861" s="36"/>
      <c r="P861" s="36"/>
      <c r="Q861" s="36"/>
      <c r="R861" s="36"/>
      <c r="S861" s="36"/>
      <c r="T861" s="36"/>
      <c r="U861" s="36"/>
      <c r="V861" s="36"/>
      <c r="W861" s="36"/>
      <c r="X861" s="36"/>
      <c r="Y861" s="36"/>
      <c r="Z861" s="36"/>
    </row>
    <row r="862" ht="15.75" customHeight="1">
      <c r="A862" s="322">
        <v>0.0</v>
      </c>
      <c r="B862" s="183">
        <v>0.22</v>
      </c>
      <c r="C862" s="227">
        <v>0.15</v>
      </c>
      <c r="D862" s="227">
        <v>0.01</v>
      </c>
      <c r="E862" s="227">
        <v>0.01</v>
      </c>
      <c r="F862" s="227">
        <v>0.01</v>
      </c>
      <c r="G862" s="227">
        <v>0.01</v>
      </c>
      <c r="H862" s="227">
        <v>0.01</v>
      </c>
      <c r="I862" s="227">
        <v>0.01</v>
      </c>
      <c r="J862" s="227">
        <v>0.01</v>
      </c>
      <c r="K862" s="227">
        <v>0.01</v>
      </c>
      <c r="L862" s="227">
        <v>0.0</v>
      </c>
      <c r="M862" s="36"/>
      <c r="N862" s="36"/>
      <c r="O862" s="36"/>
      <c r="P862" s="36"/>
      <c r="Q862" s="36"/>
      <c r="R862" s="36"/>
      <c r="S862" s="36"/>
      <c r="T862" s="36"/>
      <c r="U862" s="36"/>
      <c r="V862" s="36"/>
      <c r="W862" s="36"/>
      <c r="X862" s="36"/>
      <c r="Y862" s="36"/>
      <c r="Z862" s="36"/>
    </row>
    <row r="863" ht="15.75" customHeight="1">
      <c r="A863" s="326">
        <v>50000.0</v>
      </c>
      <c r="B863" s="183">
        <v>0.17</v>
      </c>
      <c r="C863" s="227">
        <v>0.15</v>
      </c>
      <c r="D863" s="227">
        <v>0.01</v>
      </c>
      <c r="E863" s="227">
        <v>0.01</v>
      </c>
      <c r="F863" s="227">
        <v>0.01</v>
      </c>
      <c r="G863" s="227">
        <v>0.01</v>
      </c>
      <c r="H863" s="227">
        <v>0.01</v>
      </c>
      <c r="I863" s="227">
        <v>0.01</v>
      </c>
      <c r="J863" s="227">
        <v>0.01</v>
      </c>
      <c r="K863" s="227">
        <v>0.01</v>
      </c>
      <c r="L863" s="227">
        <v>0.0</v>
      </c>
      <c r="M863" s="36"/>
      <c r="N863" s="36"/>
      <c r="O863" s="36"/>
      <c r="P863" s="36"/>
      <c r="Q863" s="36"/>
      <c r="R863" s="36"/>
      <c r="S863" s="36"/>
      <c r="T863" s="36"/>
      <c r="U863" s="36"/>
      <c r="V863" s="36"/>
      <c r="W863" s="36"/>
      <c r="X863" s="36"/>
      <c r="Y863" s="36"/>
      <c r="Z863" s="36"/>
    </row>
    <row r="864" ht="15.75" customHeight="1">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ht="15.75" customHeight="1">
      <c r="A865" s="339" t="s">
        <v>1096</v>
      </c>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ht="15.75" customHeight="1">
      <c r="A867" s="171" t="s">
        <v>1916</v>
      </c>
      <c r="B867" s="171">
        <v>1.0</v>
      </c>
      <c r="C867" s="171"/>
      <c r="D867" s="171"/>
      <c r="E867" s="171"/>
      <c r="F867" s="36"/>
      <c r="G867" s="36"/>
      <c r="H867" s="36"/>
      <c r="I867" s="36"/>
      <c r="J867" s="36"/>
      <c r="K867" s="36"/>
      <c r="L867" s="36"/>
      <c r="M867" s="36"/>
      <c r="N867" s="36"/>
      <c r="O867" s="36"/>
      <c r="P867" s="36"/>
      <c r="Q867" s="36"/>
      <c r="R867" s="36"/>
      <c r="S867" s="36"/>
      <c r="T867" s="36"/>
      <c r="U867" s="36"/>
      <c r="V867" s="36"/>
      <c r="W867" s="36"/>
      <c r="X867" s="36"/>
      <c r="Y867" s="36"/>
      <c r="Z867" s="36"/>
    </row>
    <row r="868" ht="15.75" customHeight="1">
      <c r="A868" s="322">
        <v>0.0</v>
      </c>
      <c r="B868" s="183">
        <v>0.05</v>
      </c>
      <c r="C868" s="227"/>
      <c r="D868" s="227"/>
      <c r="E868" s="227"/>
      <c r="F868" s="36"/>
      <c r="G868" s="36"/>
      <c r="H868" s="36"/>
      <c r="I868" s="36"/>
      <c r="J868" s="36"/>
      <c r="K868" s="36"/>
      <c r="L868" s="36"/>
      <c r="M868" s="36"/>
      <c r="N868" s="36"/>
      <c r="O868" s="36"/>
      <c r="P868" s="36"/>
      <c r="Q868" s="36"/>
      <c r="R868" s="36"/>
      <c r="S868" s="36"/>
      <c r="T868" s="36"/>
      <c r="U868" s="36"/>
      <c r="V868" s="36"/>
      <c r="W868" s="36"/>
      <c r="X868" s="36"/>
      <c r="Y868" s="36"/>
      <c r="Z868" s="36"/>
    </row>
    <row r="869" ht="15.75" customHeight="1">
      <c r="A869" s="326">
        <v>100000.0</v>
      </c>
      <c r="B869" s="183">
        <v>0.03</v>
      </c>
      <c r="C869" s="227"/>
      <c r="D869" s="227"/>
      <c r="E869" s="227"/>
      <c r="F869" s="36"/>
      <c r="G869" s="36"/>
      <c r="H869" s="36"/>
      <c r="I869" s="36"/>
      <c r="J869" s="36"/>
      <c r="K869" s="36"/>
      <c r="L869" s="36"/>
      <c r="M869" s="36"/>
      <c r="N869" s="36"/>
      <c r="O869" s="36"/>
      <c r="P869" s="36"/>
      <c r="Q869" s="36"/>
      <c r="R869" s="36"/>
      <c r="S869" s="36"/>
      <c r="T869" s="36"/>
      <c r="U869" s="36"/>
      <c r="V869" s="36"/>
      <c r="W869" s="36"/>
      <c r="X869" s="36"/>
      <c r="Y869" s="36"/>
      <c r="Z869" s="36"/>
    </row>
    <row r="870" ht="15.75" customHeight="1">
      <c r="A870" s="322">
        <v>500000.0</v>
      </c>
      <c r="B870" s="183">
        <v>0.02</v>
      </c>
      <c r="C870" s="227"/>
      <c r="D870" s="227"/>
      <c r="E870" s="227"/>
      <c r="F870" s="36"/>
      <c r="G870" s="36"/>
      <c r="H870" s="36"/>
      <c r="I870" s="36"/>
      <c r="J870" s="36"/>
      <c r="K870" s="36"/>
      <c r="L870" s="36"/>
      <c r="M870" s="36"/>
      <c r="N870" s="36"/>
      <c r="O870" s="36"/>
      <c r="P870" s="36"/>
      <c r="Q870" s="36"/>
      <c r="R870" s="36"/>
      <c r="S870" s="36"/>
      <c r="T870" s="36"/>
      <c r="U870" s="36"/>
      <c r="V870" s="36"/>
      <c r="W870" s="36"/>
      <c r="X870" s="36"/>
      <c r="Y870" s="36"/>
      <c r="Z870" s="36"/>
    </row>
    <row r="871" ht="15.75" customHeight="1">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ht="15.75" customHeight="1">
      <c r="A872" s="339" t="s">
        <v>1100</v>
      </c>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ht="15.75" customHeight="1">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ht="15.75" customHeight="1">
      <c r="A874" s="171" t="s">
        <v>1916</v>
      </c>
      <c r="B874" s="171">
        <v>1.0</v>
      </c>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ht="15.75" customHeight="1">
      <c r="A875" s="322">
        <v>0.0</v>
      </c>
      <c r="B875" s="183">
        <v>0.05</v>
      </c>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ht="15.75" customHeight="1">
      <c r="A876" s="326">
        <v>100000.0</v>
      </c>
      <c r="B876" s="183">
        <v>0.03</v>
      </c>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ht="15.75" customHeight="1">
      <c r="A877" s="322">
        <v>500000.0</v>
      </c>
      <c r="B877" s="183">
        <v>0.02</v>
      </c>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ht="15.75" customHeight="1">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ht="15.75" customHeight="1">
      <c r="A879" s="339" t="s">
        <v>1104</v>
      </c>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ht="15.75" customHeight="1">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ht="15.75" customHeight="1">
      <c r="A881" s="171" t="s">
        <v>1916</v>
      </c>
      <c r="B881" s="171">
        <v>1.0</v>
      </c>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ht="15.75" customHeight="1">
      <c r="A882" s="322">
        <v>0.0</v>
      </c>
      <c r="B882" s="183">
        <v>0.05</v>
      </c>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ht="15.75" customHeight="1">
      <c r="A883" s="326">
        <v>100000.0</v>
      </c>
      <c r="B883" s="183">
        <v>0.03</v>
      </c>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ht="15.75" customHeight="1">
      <c r="A884" s="322">
        <v>500000.0</v>
      </c>
      <c r="B884" s="183">
        <v>0.02</v>
      </c>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ht="15.75" customHeight="1">
      <c r="A886" s="339" t="s">
        <v>1110</v>
      </c>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ht="15.75" customHeight="1">
      <c r="A888" s="171" t="s">
        <v>1916</v>
      </c>
      <c r="B888" s="171">
        <v>1.0</v>
      </c>
      <c r="C888" s="171">
        <v>2.0</v>
      </c>
      <c r="D888" s="171">
        <v>3.0</v>
      </c>
      <c r="E888" s="171">
        <v>4.0</v>
      </c>
      <c r="F888" s="171">
        <v>5.0</v>
      </c>
      <c r="G888" s="171">
        <v>6.0</v>
      </c>
      <c r="H888" s="36"/>
      <c r="I888" s="36"/>
      <c r="J888" s="36"/>
      <c r="K888" s="36"/>
      <c r="L888" s="36"/>
      <c r="M888" s="36"/>
      <c r="N888" s="36"/>
      <c r="O888" s="36"/>
      <c r="P888" s="36"/>
      <c r="Q888" s="36"/>
      <c r="R888" s="36"/>
      <c r="S888" s="36"/>
      <c r="T888" s="36"/>
      <c r="U888" s="36"/>
      <c r="V888" s="36"/>
      <c r="W888" s="36"/>
      <c r="X888" s="36"/>
      <c r="Y888" s="36"/>
      <c r="Z888" s="36"/>
    </row>
    <row r="889" ht="15.75" customHeight="1">
      <c r="A889" s="322">
        <v>0.0</v>
      </c>
      <c r="B889" s="183">
        <f>IF(PPT=3,13%,12%)</f>
        <v>0.12</v>
      </c>
      <c r="C889" s="227">
        <f>IF(PPT=3,4%,3%)</f>
        <v>0.03</v>
      </c>
      <c r="D889" s="227">
        <f>IF(PPT=3,4%,3%)</f>
        <v>0.03</v>
      </c>
      <c r="E889" s="227">
        <f>IF(PPT=3,0,2%)</f>
        <v>0.02</v>
      </c>
      <c r="F889" s="227">
        <f>IF(PPT=3,0,2%)</f>
        <v>0.02</v>
      </c>
      <c r="G889" s="227">
        <v>0.0</v>
      </c>
      <c r="H889" s="36"/>
      <c r="I889" s="36"/>
      <c r="J889" s="36"/>
      <c r="K889" s="36"/>
      <c r="L889" s="36"/>
      <c r="M889" s="36"/>
      <c r="N889" s="36"/>
      <c r="O889" s="36"/>
      <c r="P889" s="36"/>
      <c r="Q889" s="36"/>
      <c r="R889" s="36"/>
      <c r="S889" s="36"/>
      <c r="T889" s="36"/>
      <c r="U889" s="36"/>
      <c r="V889" s="36"/>
      <c r="W889" s="36"/>
      <c r="X889" s="36"/>
      <c r="Y889" s="36"/>
      <c r="Z889" s="36"/>
    </row>
    <row r="890" ht="15.75" customHeight="1">
      <c r="A890" s="322">
        <v>500000.0</v>
      </c>
      <c r="B890" s="183">
        <f>IF(PPT=3,11%,10%)</f>
        <v>0.1</v>
      </c>
      <c r="C890" s="227">
        <f>IF(PPT=3,4%,3%)</f>
        <v>0.03</v>
      </c>
      <c r="D890" s="227">
        <f>IF(PPT=3,4%,3%)</f>
        <v>0.03</v>
      </c>
      <c r="E890" s="227">
        <f>IF(PPT=3,0,2%)</f>
        <v>0.02</v>
      </c>
      <c r="F890" s="227">
        <f>IF(PPT=3,0,2%)</f>
        <v>0.02</v>
      </c>
      <c r="G890" s="227">
        <v>0.0</v>
      </c>
      <c r="H890" s="36"/>
      <c r="I890" s="36"/>
      <c r="J890" s="36"/>
      <c r="K890" s="36"/>
      <c r="L890" s="36"/>
      <c r="M890" s="36"/>
      <c r="N890" s="36"/>
      <c r="O890" s="36"/>
      <c r="P890" s="36"/>
      <c r="Q890" s="36"/>
      <c r="R890" s="36"/>
      <c r="S890" s="36"/>
      <c r="T890" s="36"/>
      <c r="U890" s="36"/>
      <c r="V890" s="36"/>
      <c r="W890" s="36"/>
      <c r="X890" s="36"/>
      <c r="Y890" s="36"/>
      <c r="Z890" s="36"/>
    </row>
    <row r="891" ht="15.75" customHeight="1">
      <c r="A891" s="348"/>
      <c r="B891" s="197"/>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ht="15.75" customHeight="1">
      <c r="A892" s="339" t="s">
        <v>1407</v>
      </c>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ht="15.75" customHeight="1">
      <c r="A894" s="291" t="s">
        <v>1917</v>
      </c>
      <c r="B894" s="291" t="s">
        <v>1918</v>
      </c>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ht="15.75" customHeight="1">
      <c r="A895" s="332">
        <v>1.0</v>
      </c>
      <c r="B895" s="335">
        <v>0.05</v>
      </c>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ht="15.75" customHeight="1">
      <c r="A896" s="332">
        <v>2.0</v>
      </c>
      <c r="B896" s="335">
        <v>0.05</v>
      </c>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ht="15.75" customHeight="1">
      <c r="A897" s="332">
        <v>3.0</v>
      </c>
      <c r="B897" s="335">
        <v>0.05</v>
      </c>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ht="15.75" customHeight="1">
      <c r="A898" s="332">
        <v>4.0</v>
      </c>
      <c r="B898" s="335">
        <v>0.05</v>
      </c>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ht="15.75" customHeight="1">
      <c r="A899" s="332">
        <v>5.0</v>
      </c>
      <c r="B899" s="335">
        <v>0.05</v>
      </c>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ht="15.75" customHeight="1">
      <c r="A900" s="171">
        <v>6.0</v>
      </c>
      <c r="B900" s="335">
        <v>0.05</v>
      </c>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ht="15.75" customHeight="1">
      <c r="A901" s="332">
        <v>7.0</v>
      </c>
      <c r="B901" s="335">
        <v>0.05</v>
      </c>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ht="15.75" customHeight="1">
      <c r="A902" s="171">
        <v>8.0</v>
      </c>
      <c r="B902" s="227">
        <v>0.02</v>
      </c>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ht="15.75" customHeight="1">
      <c r="A903" s="332">
        <v>9.0</v>
      </c>
      <c r="B903" s="227">
        <v>0.02</v>
      </c>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ht="15.75" customHeight="1">
      <c r="A904" s="171">
        <v>10.0</v>
      </c>
      <c r="B904" s="227">
        <v>0.01</v>
      </c>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ht="15.75" customHeight="1">
      <c r="A905" s="332">
        <v>11.0</v>
      </c>
      <c r="B905" s="227">
        <v>0.0</v>
      </c>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ht="15.75" customHeight="1">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ht="15.75" customHeight="1">
      <c r="A907" s="339" t="s">
        <v>1398</v>
      </c>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ht="15.75" customHeight="1">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ht="15.75" customHeight="1">
      <c r="A909" s="291" t="s">
        <v>1917</v>
      </c>
      <c r="B909" s="291" t="s">
        <v>1918</v>
      </c>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ht="15.75" customHeight="1">
      <c r="A910" s="332">
        <v>1.0</v>
      </c>
      <c r="B910" s="335">
        <v>0.04</v>
      </c>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ht="15.75" customHeight="1">
      <c r="A911" s="332">
        <v>2.0</v>
      </c>
      <c r="B911" s="335">
        <v>0.04</v>
      </c>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ht="15.75" customHeight="1">
      <c r="A912" s="332">
        <v>3.0</v>
      </c>
      <c r="B912" s="335">
        <v>0.04</v>
      </c>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ht="15.75" customHeight="1">
      <c r="A913" s="332">
        <v>4.0</v>
      </c>
      <c r="B913" s="335">
        <v>0.04</v>
      </c>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ht="15.75" customHeight="1">
      <c r="A914" s="332">
        <v>5.0</v>
      </c>
      <c r="B914" s="335">
        <v>0.04</v>
      </c>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ht="15.75" customHeight="1">
      <c r="A915" s="171">
        <v>6.0</v>
      </c>
      <c r="B915" s="335">
        <v>0.03</v>
      </c>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ht="15.75" customHeight="1">
      <c r="A916" s="332">
        <v>7.0</v>
      </c>
      <c r="B916" s="335">
        <v>0.03</v>
      </c>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ht="15.75" customHeight="1">
      <c r="A917" s="171">
        <v>8.0</v>
      </c>
      <c r="B917" s="227">
        <v>0.02</v>
      </c>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ht="15.75" customHeight="1">
      <c r="A919" s="339" t="s">
        <v>1392</v>
      </c>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ht="15.75" customHeight="1">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ht="15.75" customHeight="1">
      <c r="A921" s="291" t="s">
        <v>1917</v>
      </c>
      <c r="B921" s="291" t="s">
        <v>1918</v>
      </c>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ht="15.75" customHeight="1">
      <c r="A922" s="332">
        <v>1.0</v>
      </c>
      <c r="B922" s="335">
        <v>0.05</v>
      </c>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ht="15.75" customHeight="1">
      <c r="A923" s="332">
        <v>2.0</v>
      </c>
      <c r="B923" s="335">
        <v>0.05</v>
      </c>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ht="15.75" customHeight="1">
      <c r="A924" s="332">
        <v>3.0</v>
      </c>
      <c r="B924" s="335">
        <v>0.05</v>
      </c>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ht="15.75" customHeight="1">
      <c r="A925" s="332">
        <v>4.0</v>
      </c>
      <c r="B925" s="335">
        <v>0.05</v>
      </c>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ht="15.75" customHeight="1">
      <c r="A926" s="332">
        <v>5.0</v>
      </c>
      <c r="B926" s="335">
        <v>0.05</v>
      </c>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ht="15.75" customHeight="1">
      <c r="A927" s="171">
        <v>6.0</v>
      </c>
      <c r="B927" s="335">
        <v>0.03</v>
      </c>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ht="15.75" customHeight="1">
      <c r="A928" s="332">
        <v>7.0</v>
      </c>
      <c r="B928" s="335">
        <v>0.03</v>
      </c>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ht="15.75" customHeight="1">
      <c r="A929" s="171">
        <v>8.0</v>
      </c>
      <c r="B929" s="227">
        <v>0.02</v>
      </c>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ht="15.75" customHeight="1">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ht="15.75" customHeight="1">
      <c r="A931" s="339" t="s">
        <v>1385</v>
      </c>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ht="15.75" customHeight="1">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ht="15.75" customHeight="1">
      <c r="A933" s="291" t="s">
        <v>1917</v>
      </c>
      <c r="B933" s="291" t="s">
        <v>1918</v>
      </c>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ht="15.75" customHeight="1">
      <c r="A934" s="332">
        <v>1.0</v>
      </c>
      <c r="B934" s="335">
        <v>0.06</v>
      </c>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ht="15.75" customHeight="1">
      <c r="A935" s="332">
        <v>2.0</v>
      </c>
      <c r="B935" s="335">
        <v>0.06</v>
      </c>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ht="15.75" customHeight="1">
      <c r="A936" s="332">
        <v>3.0</v>
      </c>
      <c r="B936" s="335">
        <v>0.06</v>
      </c>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ht="15.75" customHeight="1">
      <c r="A937" s="332">
        <v>4.0</v>
      </c>
      <c r="B937" s="335">
        <v>0.06</v>
      </c>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ht="15.75" customHeight="1">
      <c r="A938" s="332">
        <v>5.0</v>
      </c>
      <c r="B938" s="335">
        <v>0.06</v>
      </c>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ht="15.75" customHeight="1">
      <c r="A939" s="171">
        <v>6.0</v>
      </c>
      <c r="B939" s="335">
        <v>0.04</v>
      </c>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ht="15.75" customHeight="1">
      <c r="A940" s="332">
        <v>7.0</v>
      </c>
      <c r="B940" s="335">
        <v>0.04</v>
      </c>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ht="15.75" customHeight="1">
      <c r="A941" s="171">
        <v>8.0</v>
      </c>
      <c r="B941" s="227">
        <v>0.02</v>
      </c>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ht="15.75" customHeight="1">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ht="15.75" customHeight="1">
      <c r="A943" s="339" t="s">
        <v>1377</v>
      </c>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ht="15.75" customHeight="1">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ht="15.75" customHeight="1">
      <c r="A945" s="291" t="s">
        <v>1917</v>
      </c>
      <c r="B945" s="291" t="s">
        <v>1918</v>
      </c>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ht="15.75" customHeight="1">
      <c r="A946" s="332">
        <v>1.0</v>
      </c>
      <c r="B946" s="335">
        <v>0.06</v>
      </c>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ht="15.75" customHeight="1">
      <c r="A947" s="332">
        <v>2.0</v>
      </c>
      <c r="B947" s="335">
        <v>0.05</v>
      </c>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ht="15.75" customHeight="1">
      <c r="A948" s="332">
        <v>3.0</v>
      </c>
      <c r="B948" s="335">
        <v>0.04</v>
      </c>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ht="15.75" customHeight="1">
      <c r="A949" s="332">
        <v>4.0</v>
      </c>
      <c r="B949" s="335">
        <v>0.04</v>
      </c>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ht="15.75" customHeight="1">
      <c r="A950" s="332">
        <v>5.0</v>
      </c>
      <c r="B950" s="335">
        <v>0.04</v>
      </c>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ht="15.75" customHeight="1">
      <c r="A951" s="171">
        <v>6.0</v>
      </c>
      <c r="B951" s="335">
        <v>0.02</v>
      </c>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ht="15.75" customHeight="1">
      <c r="A952" s="332"/>
      <c r="B952" s="335"/>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ht="15.75" customHeight="1">
      <c r="A954" s="339" t="s">
        <v>1372</v>
      </c>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ht="15.75" customHeight="1">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ht="15.75" customHeight="1">
      <c r="A956" s="291" t="s">
        <v>1917</v>
      </c>
      <c r="B956" s="291" t="s">
        <v>1918</v>
      </c>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ht="15.75" customHeight="1">
      <c r="A957" s="332">
        <v>1.0</v>
      </c>
      <c r="B957" s="335">
        <v>0.06</v>
      </c>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ht="15.75" customHeight="1">
      <c r="A958" s="332">
        <v>2.0</v>
      </c>
      <c r="B958" s="335">
        <v>0.05</v>
      </c>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ht="15.75" customHeight="1">
      <c r="A959" s="332">
        <v>3.0</v>
      </c>
      <c r="B959" s="335">
        <v>0.04</v>
      </c>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ht="15.75" customHeight="1">
      <c r="A960" s="332">
        <v>4.0</v>
      </c>
      <c r="B960" s="335">
        <v>0.04</v>
      </c>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ht="15.75" customHeight="1">
      <c r="A961" s="332">
        <v>5.0</v>
      </c>
      <c r="B961" s="335">
        <v>0.04</v>
      </c>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ht="15.75" customHeight="1">
      <c r="A962" s="171">
        <v>6.0</v>
      </c>
      <c r="B962" s="335">
        <v>0.0</v>
      </c>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ht="15.75" customHeight="1">
      <c r="A964" s="339" t="s">
        <v>1368</v>
      </c>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ht="15.75" customHeight="1">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ht="15.75" customHeight="1">
      <c r="A966" s="291" t="s">
        <v>1917</v>
      </c>
      <c r="B966" s="291" t="s">
        <v>1918</v>
      </c>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ht="15.75" customHeight="1">
      <c r="A967" s="332">
        <v>1.0</v>
      </c>
      <c r="B967" s="335">
        <v>0.04</v>
      </c>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ht="15.75" customHeight="1">
      <c r="A968" s="332">
        <v>2.0</v>
      </c>
      <c r="B968" s="335">
        <v>0.04</v>
      </c>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ht="15.75" customHeight="1">
      <c r="A969" s="332">
        <v>3.0</v>
      </c>
      <c r="B969" s="335">
        <v>0.04</v>
      </c>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ht="15.75" customHeight="1">
      <c r="A970" s="332">
        <v>4.0</v>
      </c>
      <c r="B970" s="335">
        <v>0.04</v>
      </c>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ht="15.75" customHeight="1">
      <c r="A971" s="332">
        <v>5.0</v>
      </c>
      <c r="B971" s="335">
        <v>0.04</v>
      </c>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ht="15.75" customHeight="1">
      <c r="A972" s="171">
        <v>6.0</v>
      </c>
      <c r="B972" s="335">
        <v>0.02</v>
      </c>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ht="15.75" customHeight="1">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ht="15.75" customHeight="1">
      <c r="A974" s="339" t="s">
        <v>1364</v>
      </c>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ht="15.75" customHeight="1">
      <c r="A976" s="291" t="s">
        <v>1917</v>
      </c>
      <c r="B976" s="291" t="s">
        <v>1918</v>
      </c>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ht="15.75" customHeight="1">
      <c r="A977" s="332">
        <v>1.0</v>
      </c>
      <c r="B977" s="335">
        <v>0.03</v>
      </c>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ht="15.75" customHeight="1">
      <c r="A978" s="332">
        <v>2.0</v>
      </c>
      <c r="B978" s="335">
        <v>0.03</v>
      </c>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ht="15.75" customHeight="1">
      <c r="A979" s="332">
        <v>3.0</v>
      </c>
      <c r="B979" s="335">
        <v>0.03</v>
      </c>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ht="15.75" customHeight="1">
      <c r="A980" s="332">
        <v>4.0</v>
      </c>
      <c r="B980" s="335">
        <v>0.03</v>
      </c>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ht="15.75" customHeight="1">
      <c r="A981" s="332">
        <v>5.0</v>
      </c>
      <c r="B981" s="335">
        <v>0.03</v>
      </c>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ht="15.75" customHeight="1">
      <c r="A982" s="171">
        <v>6.0</v>
      </c>
      <c r="B982" s="335">
        <v>0.02</v>
      </c>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ht="15.75" customHeight="1">
      <c r="A984" s="339" t="s">
        <v>1361</v>
      </c>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ht="15.75" customHeight="1">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ht="15.75" customHeight="1">
      <c r="A986" s="291" t="s">
        <v>1917</v>
      </c>
      <c r="B986" s="291" t="s">
        <v>1918</v>
      </c>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ht="15.75" customHeight="1">
      <c r="A987" s="332">
        <v>1.0</v>
      </c>
      <c r="B987" s="335">
        <v>0.06</v>
      </c>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ht="15.75" customHeight="1">
      <c r="A988" s="332">
        <v>2.0</v>
      </c>
      <c r="B988" s="335">
        <v>0.05</v>
      </c>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ht="15.75" customHeight="1">
      <c r="A989" s="332">
        <v>3.0</v>
      </c>
      <c r="B989" s="335">
        <v>0.04</v>
      </c>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ht="15.75" customHeight="1">
      <c r="A990" s="332">
        <v>4.0</v>
      </c>
      <c r="B990" s="335">
        <v>0.04</v>
      </c>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ht="15.75" customHeight="1">
      <c r="A991" s="332">
        <v>5.0</v>
      </c>
      <c r="B991" s="335">
        <v>0.04</v>
      </c>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ht="15.75" customHeight="1">
      <c r="A992" s="171">
        <v>6.0</v>
      </c>
      <c r="B992" s="335">
        <v>0.02</v>
      </c>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ht="15.75" customHeight="1">
      <c r="A994" s="339" t="s">
        <v>1344</v>
      </c>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ht="15.75" customHeight="1">
      <c r="A996" s="171" t="s">
        <v>1916</v>
      </c>
      <c r="B996" s="171">
        <v>1.0</v>
      </c>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ht="15.75" customHeight="1">
      <c r="A997" s="322">
        <v>0.0</v>
      </c>
      <c r="B997" s="183">
        <v>0.03</v>
      </c>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ht="15.75" customHeight="1">
      <c r="A998" s="326">
        <v>500000.0</v>
      </c>
      <c r="B998" s="183">
        <v>0.02</v>
      </c>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ht="15.75" customHeight="1">
      <c r="A999" s="322">
        <v>1000000.0</v>
      </c>
      <c r="B999" s="183">
        <v>0.0</v>
      </c>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ht="15.75" customHeight="1">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ht="15.75" customHeight="1">
      <c r="A1001" s="339" t="s">
        <v>1334</v>
      </c>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row r="1002" ht="15.7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row>
    <row r="1003" ht="15.0" customHeight="1">
      <c r="A1003" s="291" t="s">
        <v>1917</v>
      </c>
      <c r="B1003" s="291" t="s">
        <v>1918</v>
      </c>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row>
    <row r="1004" ht="15.0" customHeight="1">
      <c r="A1004" s="332">
        <v>1.0</v>
      </c>
      <c r="B1004" s="335">
        <v>0.03</v>
      </c>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row>
    <row r="1005" ht="15.0" customHeight="1">
      <c r="A1005" s="332">
        <v>2.0</v>
      </c>
      <c r="B1005" s="335">
        <v>0.02</v>
      </c>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row>
    <row r="1006" ht="15.0" customHeight="1">
      <c r="A1006" s="332">
        <v>3.0</v>
      </c>
      <c r="B1006" s="335">
        <v>0.01</v>
      </c>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row>
    <row r="1007" ht="15.0" customHeight="1">
      <c r="A1007" s="332">
        <v>4.0</v>
      </c>
      <c r="B1007" s="335">
        <v>0.01</v>
      </c>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row>
    <row r="1008" ht="15.0" customHeight="1">
      <c r="A1008" s="332">
        <v>5.0</v>
      </c>
      <c r="B1008" s="335">
        <v>0.01</v>
      </c>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row>
    <row r="1009" ht="15.0" customHeight="1">
      <c r="A1009" s="171">
        <v>6.0</v>
      </c>
      <c r="B1009" s="335">
        <v>0.0</v>
      </c>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row>
    <row r="1010" ht="15.7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row>
    <row r="1011" ht="15.0" customHeight="1">
      <c r="A1011" s="339" t="s">
        <v>1329</v>
      </c>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row>
    <row r="1012" ht="15.75" customHeight="1">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row>
    <row r="1013" ht="15.0" customHeight="1">
      <c r="A1013" s="291" t="s">
        <v>1917</v>
      </c>
      <c r="B1013" s="291" t="s">
        <v>1918</v>
      </c>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row>
    <row r="1014" ht="15.0" customHeight="1">
      <c r="A1014" s="332">
        <v>1.0</v>
      </c>
      <c r="B1014" s="335">
        <v>0.02</v>
      </c>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row>
    <row r="1015" ht="15.75" customHeight="1">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row>
    <row r="1016" ht="15.0" customHeight="1">
      <c r="A1016" s="339" t="s">
        <v>1324</v>
      </c>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row>
    <row r="1017" ht="15.75" customHeight="1">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row>
    <row r="1018" ht="15.0" customHeight="1">
      <c r="A1018" s="291" t="s">
        <v>1917</v>
      </c>
      <c r="B1018" s="291" t="s">
        <v>1918</v>
      </c>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row>
    <row r="1019" ht="15.0" customHeight="1">
      <c r="A1019" s="332">
        <v>1.0</v>
      </c>
      <c r="B1019" s="335">
        <v>0.03</v>
      </c>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row>
    <row r="1020" ht="15.75" customHeight="1">
      <c r="A1020" s="12"/>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row>
    <row r="1021" ht="15.0" customHeight="1">
      <c r="A1021" s="339" t="s">
        <v>1320</v>
      </c>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row>
    <row r="1022" ht="15.75" customHeight="1">
      <c r="A1022" s="12"/>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row>
    <row r="1023" ht="15.0" customHeight="1">
      <c r="A1023" s="291" t="s">
        <v>1917</v>
      </c>
      <c r="B1023" s="291" t="s">
        <v>1918</v>
      </c>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row>
    <row r="1024" ht="15.0" customHeight="1">
      <c r="A1024" s="332">
        <v>1.0</v>
      </c>
      <c r="B1024" s="335">
        <v>0.02</v>
      </c>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row>
    <row r="1025" ht="15.0" customHeight="1">
      <c r="A1025" s="332">
        <v>2.0</v>
      </c>
      <c r="B1025" s="335">
        <v>0.0</v>
      </c>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row>
    <row r="1026" ht="15.75" customHeight="1">
      <c r="A1026" s="12"/>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row>
    <row r="1027" ht="15.0" customHeight="1">
      <c r="A1027" s="339" t="s">
        <v>1314</v>
      </c>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row>
    <row r="1028" ht="15.75" customHeight="1">
      <c r="A1028" s="12"/>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row>
    <row r="1029" ht="15.0" customHeight="1">
      <c r="A1029" s="291" t="s">
        <v>1917</v>
      </c>
      <c r="B1029" s="291" t="s">
        <v>1918</v>
      </c>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row>
    <row r="1030" ht="15.0" customHeight="1">
      <c r="A1030" s="332">
        <v>1.0</v>
      </c>
      <c r="B1030" s="335">
        <v>0.06</v>
      </c>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row>
    <row r="1031" ht="15.0" customHeight="1">
      <c r="A1031" s="332">
        <v>2.0</v>
      </c>
      <c r="B1031" s="335">
        <v>0.05</v>
      </c>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row>
    <row r="1032" ht="15.0" customHeight="1">
      <c r="A1032" s="332">
        <v>3.0</v>
      </c>
      <c r="B1032" s="335">
        <v>0.03</v>
      </c>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row>
    <row r="1033" ht="15.0" customHeight="1">
      <c r="A1033" s="332">
        <v>4.0</v>
      </c>
      <c r="B1033" s="335">
        <v>0.03</v>
      </c>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row>
    <row r="1034" ht="15.0" customHeight="1">
      <c r="A1034" s="332">
        <v>5.0</v>
      </c>
      <c r="B1034" s="335">
        <v>0.03</v>
      </c>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row>
    <row r="1035" ht="15.75" customHeight="1">
      <c r="A1035" s="12"/>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row>
    <row r="1036" ht="15.0" customHeight="1">
      <c r="A1036" s="339" t="s">
        <v>1310</v>
      </c>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row>
    <row r="1037" ht="15.75" customHeight="1">
      <c r="A1037" s="12"/>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row>
    <row r="1038" ht="15.0" customHeight="1">
      <c r="A1038" s="291" t="s">
        <v>1917</v>
      </c>
      <c r="B1038" s="291" t="s">
        <v>1918</v>
      </c>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row>
    <row r="1039" ht="15.0" customHeight="1">
      <c r="A1039" s="332">
        <v>1.0</v>
      </c>
      <c r="B1039" s="335">
        <v>0.02</v>
      </c>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row>
    <row r="1040" ht="15.0" customHeight="1">
      <c r="A1040" s="332">
        <v>2.0</v>
      </c>
      <c r="B1040" s="335">
        <v>0.0</v>
      </c>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row>
    <row r="1041" ht="15.75" customHeight="1">
      <c r="A1041" s="12"/>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row>
    <row r="1042" ht="15.0" customHeight="1">
      <c r="A1042" s="339" t="s">
        <v>1305</v>
      </c>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row>
    <row r="1043" ht="15.75" customHeight="1">
      <c r="A1043" s="12"/>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row>
    <row r="1044" ht="15.0" customHeight="1">
      <c r="A1044" s="291" t="s">
        <v>1917</v>
      </c>
      <c r="B1044" s="291" t="s">
        <v>1918</v>
      </c>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row>
    <row r="1045" ht="15.0" customHeight="1">
      <c r="A1045" s="332">
        <v>1.0</v>
      </c>
      <c r="B1045" s="335">
        <v>0.02</v>
      </c>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row>
    <row r="1046" ht="15.0" customHeight="1">
      <c r="A1046" s="332">
        <v>2.0</v>
      </c>
      <c r="B1046" s="335">
        <v>0.0</v>
      </c>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row>
    <row r="1047" ht="15.0" customHeight="1">
      <c r="A1047" s="349"/>
      <c r="B1047" s="350"/>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row>
    <row r="1048" ht="15.0" customHeight="1">
      <c r="A1048" s="339" t="s">
        <v>1300</v>
      </c>
      <c r="B1048" s="350"/>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row>
    <row r="1049" ht="15.0" customHeight="1">
      <c r="A1049" s="349"/>
      <c r="B1049" s="350"/>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row>
    <row r="1050" ht="15.0" customHeight="1">
      <c r="A1050" s="291" t="s">
        <v>1917</v>
      </c>
      <c r="B1050" s="291" t="s">
        <v>1918</v>
      </c>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row>
    <row r="1051" ht="15.0" customHeight="1">
      <c r="A1051" s="332">
        <v>1.0</v>
      </c>
      <c r="B1051" s="335">
        <v>0.06</v>
      </c>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row>
    <row r="1052" ht="15.0" customHeight="1">
      <c r="A1052" s="332">
        <v>2.0</v>
      </c>
      <c r="B1052" s="335">
        <v>0.05</v>
      </c>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row>
    <row r="1053" ht="15.0" customHeight="1">
      <c r="A1053" s="332">
        <v>3.0</v>
      </c>
      <c r="B1053" s="335">
        <v>0.03</v>
      </c>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row>
    <row r="1054" ht="15.0" customHeight="1">
      <c r="A1054" s="332">
        <v>4.0</v>
      </c>
      <c r="B1054" s="335">
        <v>0.03</v>
      </c>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row>
    <row r="1055" ht="15.0" customHeight="1">
      <c r="A1055" s="332">
        <v>5.0</v>
      </c>
      <c r="B1055" s="335">
        <v>0.03</v>
      </c>
      <c r="C1055" s="12"/>
      <c r="D1055" s="12"/>
      <c r="E1055" s="12"/>
      <c r="F1055" s="12"/>
      <c r="G1055" s="12"/>
      <c r="H1055" s="12"/>
      <c r="I1055" s="12"/>
      <c r="J1055" s="12"/>
      <c r="K1055" s="12"/>
      <c r="L1055" s="12"/>
      <c r="M1055" s="12"/>
      <c r="N1055" s="12"/>
      <c r="O1055" s="12"/>
      <c r="P1055" s="12"/>
      <c r="Q1055" s="12"/>
      <c r="R1055" s="12"/>
      <c r="S1055" s="12"/>
      <c r="T1055" s="12"/>
      <c r="U1055" s="12"/>
      <c r="V1055" s="12"/>
      <c r="W1055" s="12"/>
      <c r="X1055" s="12"/>
      <c r="Y1055" s="12"/>
      <c r="Z1055" s="12"/>
    </row>
    <row r="1056" ht="15.0" customHeight="1">
      <c r="A1056" s="349"/>
      <c r="B1056" s="350"/>
      <c r="C1056" s="12"/>
      <c r="D1056" s="12"/>
      <c r="E1056" s="12"/>
      <c r="F1056" s="12"/>
      <c r="G1056" s="12"/>
      <c r="H1056" s="12"/>
      <c r="I1056" s="12"/>
      <c r="J1056" s="12"/>
      <c r="K1056" s="12"/>
      <c r="L1056" s="12"/>
      <c r="M1056" s="12"/>
      <c r="N1056" s="12"/>
      <c r="O1056" s="12"/>
      <c r="P1056" s="12"/>
      <c r="Q1056" s="12"/>
      <c r="R1056" s="12"/>
      <c r="S1056" s="12"/>
      <c r="T1056" s="12"/>
      <c r="U1056" s="12"/>
      <c r="V1056" s="12"/>
      <c r="W1056" s="12"/>
      <c r="X1056" s="12"/>
      <c r="Y1056" s="12"/>
      <c r="Z1056" s="12"/>
    </row>
    <row r="1057" ht="15.0" customHeight="1">
      <c r="A1057" s="339" t="s">
        <v>1296</v>
      </c>
      <c r="B1057" s="350"/>
      <c r="C1057" s="12"/>
      <c r="D1057" s="12"/>
      <c r="E1057" s="12"/>
      <c r="F1057" s="12"/>
      <c r="G1057" s="12"/>
      <c r="H1057" s="12"/>
      <c r="I1057" s="12"/>
      <c r="J1057" s="12"/>
      <c r="K1057" s="12"/>
      <c r="L1057" s="12"/>
      <c r="M1057" s="12"/>
      <c r="N1057" s="12"/>
      <c r="O1057" s="12"/>
      <c r="P1057" s="12"/>
      <c r="Q1057" s="12"/>
      <c r="R1057" s="12"/>
      <c r="S1057" s="12"/>
      <c r="T1057" s="12"/>
      <c r="U1057" s="12"/>
      <c r="V1057" s="12"/>
      <c r="W1057" s="12"/>
      <c r="X1057" s="12"/>
      <c r="Y1057" s="12"/>
      <c r="Z1057" s="12"/>
    </row>
    <row r="1058" ht="15.0" customHeight="1">
      <c r="A1058" s="349"/>
      <c r="B1058" s="350"/>
      <c r="C1058" s="12"/>
      <c r="D1058" s="12"/>
      <c r="E1058" s="12"/>
      <c r="F1058" s="12"/>
      <c r="G1058" s="12"/>
      <c r="H1058" s="12"/>
      <c r="I1058" s="12"/>
      <c r="J1058" s="12"/>
      <c r="K1058" s="12"/>
      <c r="L1058" s="12"/>
      <c r="M1058" s="12"/>
      <c r="N1058" s="12"/>
      <c r="O1058" s="12"/>
      <c r="P1058" s="12"/>
      <c r="Q1058" s="12"/>
      <c r="R1058" s="12"/>
      <c r="S1058" s="12"/>
      <c r="T1058" s="12"/>
      <c r="U1058" s="12"/>
      <c r="V1058" s="12"/>
      <c r="W1058" s="12"/>
      <c r="X1058" s="12"/>
      <c r="Y1058" s="12"/>
      <c r="Z1058" s="12"/>
    </row>
    <row r="1059" ht="15.0" customHeight="1">
      <c r="A1059" s="291" t="s">
        <v>1917</v>
      </c>
      <c r="B1059" s="291" t="s">
        <v>1918</v>
      </c>
      <c r="C1059" s="12"/>
      <c r="D1059" s="12"/>
      <c r="E1059" s="12"/>
      <c r="F1059" s="12"/>
      <c r="G1059" s="12"/>
      <c r="H1059" s="12"/>
      <c r="I1059" s="12"/>
      <c r="J1059" s="12"/>
      <c r="K1059" s="12"/>
      <c r="L1059" s="12"/>
      <c r="M1059" s="12"/>
      <c r="N1059" s="12"/>
      <c r="O1059" s="12"/>
      <c r="P1059" s="12"/>
      <c r="Q1059" s="12"/>
      <c r="R1059" s="12"/>
      <c r="S1059" s="12"/>
      <c r="T1059" s="12"/>
      <c r="U1059" s="12"/>
      <c r="V1059" s="12"/>
      <c r="W1059" s="12"/>
      <c r="X1059" s="12"/>
      <c r="Y1059" s="12"/>
      <c r="Z1059" s="12"/>
    </row>
    <row r="1060" ht="15.0" customHeight="1">
      <c r="A1060" s="332">
        <v>1.0</v>
      </c>
      <c r="B1060" s="335" t="str">
        <f>IF('[1]Pre-Calculation'!D6&lt;500000,5%,4%)</f>
        <v>#REF!</v>
      </c>
      <c r="C1060" s="12"/>
      <c r="D1060" s="12"/>
      <c r="E1060" s="12"/>
      <c r="F1060" s="12"/>
      <c r="G1060" s="12"/>
      <c r="H1060" s="12"/>
      <c r="I1060" s="12"/>
      <c r="J1060" s="12"/>
      <c r="K1060" s="12"/>
      <c r="L1060" s="12"/>
      <c r="M1060" s="12"/>
      <c r="N1060" s="12"/>
      <c r="O1060" s="12"/>
      <c r="P1060" s="12"/>
      <c r="Q1060" s="12"/>
      <c r="R1060" s="12"/>
      <c r="S1060" s="12"/>
      <c r="T1060" s="12"/>
      <c r="U1060" s="12"/>
      <c r="V1060" s="12"/>
      <c r="W1060" s="12"/>
      <c r="X1060" s="12"/>
      <c r="Y1060" s="12"/>
      <c r="Z1060" s="12"/>
    </row>
    <row r="1061" ht="15.0" customHeight="1">
      <c r="A1061" s="332">
        <v>2.0</v>
      </c>
      <c r="B1061" s="351">
        <v>0.0</v>
      </c>
      <c r="C1061" s="12"/>
      <c r="D1061" s="12"/>
      <c r="E1061" s="12"/>
      <c r="F1061" s="12"/>
      <c r="G1061" s="12"/>
      <c r="H1061" s="12"/>
      <c r="I1061" s="12"/>
      <c r="J1061" s="12"/>
      <c r="K1061" s="12"/>
      <c r="L1061" s="12"/>
      <c r="M1061" s="12"/>
      <c r="N1061" s="12"/>
      <c r="O1061" s="12"/>
      <c r="P1061" s="12"/>
      <c r="Q1061" s="12"/>
      <c r="R1061" s="12"/>
      <c r="S1061" s="12"/>
      <c r="T1061" s="12"/>
      <c r="U1061" s="12"/>
      <c r="V1061" s="12"/>
      <c r="W1061" s="12"/>
      <c r="X1061" s="12"/>
      <c r="Y1061" s="12"/>
      <c r="Z1061" s="12"/>
    </row>
    <row r="1062" ht="15.0" customHeight="1">
      <c r="A1062" s="349"/>
      <c r="B1062" s="350"/>
      <c r="C1062" s="12"/>
      <c r="D1062" s="12"/>
      <c r="E1062" s="12"/>
      <c r="F1062" s="12"/>
      <c r="G1062" s="12"/>
      <c r="H1062" s="12"/>
      <c r="I1062" s="12"/>
      <c r="J1062" s="12"/>
      <c r="K1062" s="12"/>
      <c r="L1062" s="12"/>
      <c r="M1062" s="12"/>
      <c r="N1062" s="12"/>
      <c r="O1062" s="12"/>
      <c r="P1062" s="12"/>
      <c r="Q1062" s="12"/>
      <c r="R1062" s="12"/>
      <c r="S1062" s="12"/>
      <c r="T1062" s="12"/>
      <c r="U1062" s="12"/>
      <c r="V1062" s="12"/>
      <c r="W1062" s="12"/>
      <c r="X1062" s="12"/>
      <c r="Y1062" s="12"/>
      <c r="Z1062" s="12"/>
    </row>
    <row r="1063" ht="15.0" customHeight="1">
      <c r="A1063" s="339" t="s">
        <v>1058</v>
      </c>
      <c r="B1063" s="350"/>
      <c r="C1063" s="12"/>
      <c r="D1063" s="12"/>
      <c r="E1063" s="12"/>
      <c r="F1063" s="12"/>
      <c r="G1063" s="12"/>
      <c r="H1063" s="12"/>
      <c r="I1063" s="12"/>
      <c r="J1063" s="12"/>
      <c r="K1063" s="12"/>
      <c r="L1063" s="12"/>
      <c r="M1063" s="12"/>
      <c r="N1063" s="12"/>
      <c r="O1063" s="12"/>
      <c r="P1063" s="12"/>
      <c r="Q1063" s="12"/>
      <c r="R1063" s="12"/>
      <c r="S1063" s="12"/>
      <c r="T1063" s="12"/>
      <c r="U1063" s="12"/>
      <c r="V1063" s="12"/>
      <c r="W1063" s="12"/>
      <c r="X1063" s="12"/>
      <c r="Y1063" s="12"/>
      <c r="Z1063" s="12"/>
    </row>
    <row r="1064" ht="15.0" customHeight="1">
      <c r="A1064" s="349"/>
      <c r="B1064" s="350"/>
      <c r="C1064" s="12"/>
      <c r="D1064" s="12"/>
      <c r="E1064" s="12"/>
      <c r="F1064" s="12"/>
      <c r="G1064" s="12"/>
      <c r="H1064" s="12"/>
      <c r="I1064" s="12"/>
      <c r="J1064" s="12"/>
      <c r="K1064" s="12"/>
      <c r="L1064" s="12"/>
      <c r="M1064" s="12"/>
      <c r="N1064" s="12"/>
      <c r="O1064" s="12"/>
      <c r="P1064" s="12"/>
      <c r="Q1064" s="12"/>
      <c r="R1064" s="12"/>
      <c r="S1064" s="12"/>
      <c r="T1064" s="12"/>
      <c r="U1064" s="12"/>
      <c r="V1064" s="12"/>
      <c r="W1064" s="12"/>
      <c r="X1064" s="12"/>
      <c r="Y1064" s="12"/>
      <c r="Z1064" s="12"/>
    </row>
    <row r="1065" ht="15.0" customHeight="1">
      <c r="A1065" s="171" t="s">
        <v>1916</v>
      </c>
      <c r="B1065" s="171">
        <v>1.0</v>
      </c>
      <c r="C1065" s="12"/>
      <c r="D1065" s="12"/>
      <c r="E1065" s="12"/>
      <c r="F1065" s="12"/>
      <c r="G1065" s="12"/>
      <c r="H1065" s="12"/>
      <c r="I1065" s="12"/>
      <c r="J1065" s="12"/>
      <c r="K1065" s="12"/>
      <c r="L1065" s="12"/>
      <c r="M1065" s="12"/>
      <c r="N1065" s="12"/>
      <c r="O1065" s="12"/>
      <c r="P1065" s="12"/>
      <c r="Q1065" s="12"/>
      <c r="R1065" s="12"/>
      <c r="S1065" s="12"/>
      <c r="T1065" s="12"/>
      <c r="U1065" s="12"/>
      <c r="V1065" s="12"/>
      <c r="W1065" s="12"/>
      <c r="X1065" s="12"/>
      <c r="Y1065" s="12"/>
      <c r="Z1065" s="12"/>
    </row>
    <row r="1066" ht="15.0" customHeight="1">
      <c r="A1066" s="352">
        <v>25000.0</v>
      </c>
      <c r="B1066" s="113">
        <v>0.03</v>
      </c>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row>
    <row r="1067" ht="15.0" customHeight="1">
      <c r="A1067" s="353">
        <v>40000.0</v>
      </c>
      <c r="B1067" s="113">
        <v>0.02</v>
      </c>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row>
    <row r="1068" ht="15.0" customHeight="1">
      <c r="A1068" s="352">
        <v>100000.0</v>
      </c>
      <c r="B1068" s="113">
        <v>0.0125</v>
      </c>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row>
    <row r="1069" ht="15.0" customHeight="1">
      <c r="A1069" s="352">
        <v>500000.0</v>
      </c>
      <c r="B1069" s="113">
        <v>0.015</v>
      </c>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row>
    <row r="1070" ht="15.0" customHeight="1">
      <c r="A1070" s="349"/>
      <c r="B1070" s="350"/>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row>
    <row r="1071" ht="15.0" customHeight="1">
      <c r="A1071" s="339" t="s">
        <v>1291</v>
      </c>
      <c r="B1071" s="350"/>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row>
    <row r="1072" ht="15.0" customHeight="1">
      <c r="A1072" s="349"/>
      <c r="B1072" s="350"/>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row>
    <row r="1073" ht="15.0" customHeight="1">
      <c r="A1073" s="291" t="s">
        <v>1917</v>
      </c>
      <c r="B1073" s="291" t="s">
        <v>1918</v>
      </c>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row>
    <row r="1074" ht="15.0" customHeight="1">
      <c r="A1074" s="332">
        <v>1.0</v>
      </c>
      <c r="B1074" s="351">
        <v>0.09</v>
      </c>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row>
    <row r="1075" ht="15.0" customHeight="1">
      <c r="A1075" s="332">
        <v>2.0</v>
      </c>
      <c r="B1075" s="351">
        <v>0.07</v>
      </c>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row>
    <row r="1076" ht="15.0" customHeight="1">
      <c r="A1076" s="332">
        <v>3.0</v>
      </c>
      <c r="B1076" s="351">
        <v>0.07</v>
      </c>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row>
    <row r="1077" ht="15.0" customHeight="1">
      <c r="A1077" s="332">
        <v>4.0</v>
      </c>
      <c r="B1077" s="351">
        <v>0.06</v>
      </c>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row>
    <row r="1078" ht="15.0" customHeight="1">
      <c r="A1078" s="332">
        <v>5.0</v>
      </c>
      <c r="B1078" s="351">
        <v>0.06</v>
      </c>
      <c r="C1078" s="12"/>
      <c r="D1078" s="12"/>
      <c r="E1078" s="12"/>
      <c r="F1078" s="12"/>
      <c r="G1078" s="12"/>
      <c r="H1078" s="12"/>
      <c r="I1078" s="12"/>
      <c r="J1078" s="12"/>
      <c r="K1078" s="12"/>
      <c r="L1078" s="12"/>
      <c r="M1078" s="12"/>
      <c r="N1078" s="12"/>
      <c r="O1078" s="12"/>
      <c r="P1078" s="12"/>
      <c r="Q1078" s="12"/>
      <c r="R1078" s="12"/>
      <c r="S1078" s="12"/>
      <c r="T1078" s="12"/>
      <c r="U1078" s="12"/>
      <c r="V1078" s="12"/>
      <c r="W1078" s="12"/>
      <c r="X1078" s="12"/>
      <c r="Y1078" s="12"/>
      <c r="Z1078" s="12"/>
    </row>
    <row r="1079" ht="15.0" customHeight="1">
      <c r="A1079" s="171">
        <v>6.0</v>
      </c>
      <c r="B1079" s="351">
        <v>0.03</v>
      </c>
      <c r="C1079" s="12"/>
      <c r="D1079" s="12"/>
      <c r="E1079" s="12"/>
      <c r="F1079" s="12"/>
      <c r="G1079" s="12"/>
      <c r="H1079" s="12"/>
      <c r="I1079" s="12"/>
      <c r="J1079" s="12"/>
      <c r="K1079" s="12"/>
      <c r="L1079" s="12"/>
      <c r="M1079" s="12"/>
      <c r="N1079" s="12"/>
      <c r="O1079" s="12"/>
      <c r="P1079" s="12"/>
      <c r="Q1079" s="12"/>
      <c r="R1079" s="12"/>
      <c r="S1079" s="12"/>
      <c r="T1079" s="12"/>
      <c r="U1079" s="12"/>
      <c r="V1079" s="12"/>
      <c r="W1079" s="12"/>
      <c r="X1079" s="12"/>
      <c r="Y1079" s="12"/>
      <c r="Z1079" s="12"/>
    </row>
    <row r="1080" ht="15.0" customHeight="1">
      <c r="A1080" s="349"/>
      <c r="B1080" s="350"/>
      <c r="C1080" s="12"/>
      <c r="D1080" s="12"/>
      <c r="E1080" s="12"/>
      <c r="F1080" s="12"/>
      <c r="G1080" s="12"/>
      <c r="H1080" s="12"/>
      <c r="I1080" s="12"/>
      <c r="J1080" s="12"/>
      <c r="K1080" s="12"/>
      <c r="L1080" s="12"/>
      <c r="M1080" s="12"/>
      <c r="N1080" s="12"/>
      <c r="O1080" s="12"/>
      <c r="P1080" s="12"/>
      <c r="Q1080" s="12"/>
      <c r="R1080" s="12"/>
      <c r="S1080" s="12"/>
      <c r="T1080" s="12"/>
      <c r="U1080" s="12"/>
      <c r="V1080" s="12"/>
      <c r="W1080" s="12"/>
      <c r="X1080" s="12"/>
      <c r="Y1080" s="12"/>
      <c r="Z1080" s="12"/>
    </row>
    <row r="1081" ht="15.0" customHeight="1">
      <c r="A1081" s="354" t="s">
        <v>1946</v>
      </c>
      <c r="B1081" s="350"/>
      <c r="C1081" s="12"/>
      <c r="D1081" s="12"/>
      <c r="E1081" s="12"/>
      <c r="F1081" s="12"/>
      <c r="G1081" s="12"/>
      <c r="H1081" s="12"/>
      <c r="I1081" s="12"/>
      <c r="J1081" s="12"/>
      <c r="K1081" s="12"/>
      <c r="L1081" s="12"/>
      <c r="M1081" s="12"/>
      <c r="N1081" s="12"/>
      <c r="O1081" s="12"/>
      <c r="P1081" s="12"/>
      <c r="Q1081" s="12"/>
      <c r="R1081" s="12"/>
      <c r="S1081" s="12"/>
      <c r="T1081" s="12"/>
      <c r="U1081" s="12"/>
      <c r="V1081" s="12"/>
      <c r="W1081" s="12"/>
      <c r="X1081" s="12"/>
      <c r="Y1081" s="12"/>
      <c r="Z1081" s="12"/>
    </row>
    <row r="1082" ht="15.0" customHeight="1">
      <c r="A1082" s="349"/>
      <c r="B1082" s="350"/>
      <c r="C1082" s="12"/>
      <c r="D1082" s="12"/>
      <c r="E1082" s="12"/>
      <c r="F1082" s="12"/>
      <c r="G1082" s="12"/>
      <c r="H1082" s="12"/>
      <c r="I1082" s="12"/>
      <c r="J1082" s="12"/>
      <c r="K1082" s="12"/>
      <c r="L1082" s="12"/>
      <c r="M1082" s="12"/>
      <c r="N1082" s="12"/>
      <c r="O1082" s="12"/>
      <c r="P1082" s="12"/>
      <c r="Q1082" s="12"/>
      <c r="R1082" s="12"/>
      <c r="S1082" s="12"/>
      <c r="T1082" s="12"/>
      <c r="U1082" s="12"/>
      <c r="V1082" s="12"/>
      <c r="W1082" s="12"/>
      <c r="X1082" s="12"/>
      <c r="Y1082" s="12"/>
      <c r="Z1082" s="12"/>
    </row>
    <row r="1083" ht="15.0" customHeight="1">
      <c r="A1083" s="291" t="s">
        <v>1917</v>
      </c>
      <c r="B1083" s="291" t="s">
        <v>1918</v>
      </c>
      <c r="C1083" s="12"/>
      <c r="D1083" s="12"/>
      <c r="E1083" s="12"/>
      <c r="F1083" s="12"/>
      <c r="G1083" s="12"/>
      <c r="H1083" s="12"/>
      <c r="I1083" s="12"/>
      <c r="J1083" s="12"/>
      <c r="K1083" s="12"/>
      <c r="L1083" s="12"/>
      <c r="M1083" s="12"/>
      <c r="N1083" s="12"/>
      <c r="O1083" s="12"/>
      <c r="P1083" s="12"/>
      <c r="Q1083" s="12"/>
      <c r="R1083" s="12"/>
      <c r="S1083" s="12"/>
      <c r="T1083" s="12"/>
      <c r="U1083" s="12"/>
      <c r="V1083" s="12"/>
      <c r="W1083" s="12"/>
      <c r="X1083" s="12"/>
      <c r="Y1083" s="12"/>
      <c r="Z1083" s="12"/>
    </row>
    <row r="1084" ht="15.0" customHeight="1">
      <c r="A1084" s="332">
        <v>1.0</v>
      </c>
      <c r="B1084" s="351">
        <v>0.09</v>
      </c>
      <c r="C1084" s="12"/>
      <c r="D1084" s="12"/>
      <c r="E1084" s="12"/>
      <c r="F1084" s="12"/>
      <c r="G1084" s="12"/>
      <c r="H1084" s="12"/>
      <c r="I1084" s="12"/>
      <c r="J1084" s="12"/>
      <c r="K1084" s="12"/>
      <c r="L1084" s="12"/>
      <c r="M1084" s="12"/>
      <c r="N1084" s="12"/>
      <c r="O1084" s="12"/>
      <c r="P1084" s="12"/>
      <c r="Q1084" s="12"/>
      <c r="R1084" s="12"/>
      <c r="S1084" s="12"/>
      <c r="T1084" s="12"/>
      <c r="U1084" s="12"/>
      <c r="V1084" s="12"/>
      <c r="W1084" s="12"/>
      <c r="X1084" s="12"/>
      <c r="Y1084" s="12"/>
      <c r="Z1084" s="12"/>
    </row>
    <row r="1085" ht="15.0" customHeight="1">
      <c r="A1085" s="332">
        <v>2.0</v>
      </c>
      <c r="B1085" s="351">
        <v>0.07</v>
      </c>
      <c r="C1085" s="12"/>
      <c r="D1085" s="12"/>
      <c r="E1085" s="12"/>
      <c r="F1085" s="12"/>
      <c r="G1085" s="12"/>
      <c r="H1085" s="12"/>
      <c r="I1085" s="12"/>
      <c r="J1085" s="12"/>
      <c r="K1085" s="12"/>
      <c r="L1085" s="12"/>
      <c r="M1085" s="12"/>
      <c r="N1085" s="12"/>
      <c r="O1085" s="12"/>
      <c r="P1085" s="12"/>
      <c r="Q1085" s="12"/>
      <c r="R1085" s="12"/>
      <c r="S1085" s="12"/>
      <c r="T1085" s="12"/>
      <c r="U1085" s="12"/>
      <c r="V1085" s="12"/>
      <c r="W1085" s="12"/>
      <c r="X1085" s="12"/>
      <c r="Y1085" s="12"/>
      <c r="Z1085" s="12"/>
    </row>
    <row r="1086" ht="15.0" customHeight="1">
      <c r="A1086" s="332">
        <v>3.0</v>
      </c>
      <c r="B1086" s="351">
        <v>0.07</v>
      </c>
      <c r="C1086" s="12"/>
      <c r="D1086" s="12"/>
      <c r="E1086" s="12"/>
      <c r="F1086" s="12"/>
      <c r="G1086" s="12"/>
      <c r="H1086" s="12"/>
      <c r="I1086" s="12"/>
      <c r="J1086" s="12"/>
      <c r="K1086" s="12"/>
      <c r="L1086" s="12"/>
      <c r="M1086" s="12"/>
      <c r="N1086" s="12"/>
      <c r="O1086" s="12"/>
      <c r="P1086" s="12"/>
      <c r="Q1086" s="12"/>
      <c r="R1086" s="12"/>
      <c r="S1086" s="12"/>
      <c r="T1086" s="12"/>
      <c r="U1086" s="12"/>
      <c r="V1086" s="12"/>
      <c r="W1086" s="12"/>
      <c r="X1086" s="12"/>
      <c r="Y1086" s="12"/>
      <c r="Z1086" s="12"/>
    </row>
    <row r="1087" ht="15.0" customHeight="1">
      <c r="A1087" s="332">
        <v>4.0</v>
      </c>
      <c r="B1087" s="351">
        <v>0.06</v>
      </c>
      <c r="C1087" s="12"/>
      <c r="D1087" s="12"/>
      <c r="E1087" s="12"/>
      <c r="F1087" s="12"/>
      <c r="G1087" s="12"/>
      <c r="H1087" s="12"/>
      <c r="I1087" s="12"/>
      <c r="J1087" s="12"/>
      <c r="K1087" s="12"/>
      <c r="L1087" s="12"/>
      <c r="M1087" s="12"/>
      <c r="N1087" s="12"/>
      <c r="O1087" s="12"/>
      <c r="P1087" s="12"/>
      <c r="Q1087" s="12"/>
      <c r="R1087" s="12"/>
      <c r="S1087" s="12"/>
      <c r="T1087" s="12"/>
      <c r="U1087" s="12"/>
      <c r="V1087" s="12"/>
      <c r="W1087" s="12"/>
      <c r="X1087" s="12"/>
      <c r="Y1087" s="12"/>
      <c r="Z1087" s="12"/>
    </row>
    <row r="1088" ht="15.0" customHeight="1">
      <c r="A1088" s="332">
        <v>5.0</v>
      </c>
      <c r="B1088" s="351">
        <v>0.06</v>
      </c>
      <c r="C1088" s="12"/>
      <c r="D1088" s="12"/>
      <c r="E1088" s="12"/>
      <c r="F1088" s="12"/>
      <c r="G1088" s="12"/>
      <c r="H1088" s="12"/>
      <c r="I1088" s="12"/>
      <c r="J1088" s="12"/>
      <c r="K1088" s="12"/>
      <c r="L1088" s="12"/>
      <c r="M1088" s="12"/>
      <c r="N1088" s="12"/>
      <c r="O1088" s="12"/>
      <c r="P1088" s="12"/>
      <c r="Q1088" s="12"/>
      <c r="R1088" s="12"/>
      <c r="S1088" s="12"/>
      <c r="T1088" s="12"/>
      <c r="U1088" s="12"/>
      <c r="V1088" s="12"/>
      <c r="W1088" s="12"/>
      <c r="X1088" s="12"/>
      <c r="Y1088" s="12"/>
      <c r="Z1088" s="12"/>
    </row>
    <row r="1089" ht="15.0" customHeight="1">
      <c r="A1089" s="349"/>
      <c r="B1089" s="350"/>
      <c r="C1089" s="12"/>
      <c r="D1089" s="12"/>
      <c r="E1089" s="12"/>
      <c r="F1089" s="12"/>
      <c r="G1089" s="12"/>
      <c r="H1089" s="12"/>
      <c r="I1089" s="12"/>
      <c r="J1089" s="12"/>
      <c r="K1089" s="12"/>
      <c r="L1089" s="12"/>
      <c r="M1089" s="12"/>
      <c r="N1089" s="12"/>
      <c r="O1089" s="12"/>
      <c r="P1089" s="12"/>
      <c r="Q1089" s="12"/>
      <c r="R1089" s="12"/>
      <c r="S1089" s="12"/>
      <c r="T1089" s="12"/>
      <c r="U1089" s="12"/>
      <c r="V1089" s="12"/>
      <c r="W1089" s="12"/>
      <c r="X1089" s="12"/>
      <c r="Y1089" s="12"/>
      <c r="Z1089" s="12"/>
    </row>
    <row r="1090" ht="15.0" customHeight="1">
      <c r="A1090" s="339" t="s">
        <v>1055</v>
      </c>
      <c r="B1090" s="350"/>
      <c r="C1090" s="12"/>
      <c r="D1090" s="12"/>
      <c r="E1090" s="12"/>
      <c r="F1090" s="12"/>
      <c r="G1090" s="12"/>
      <c r="H1090" s="12"/>
      <c r="I1090" s="12"/>
      <c r="J1090" s="12"/>
      <c r="K1090" s="12"/>
      <c r="L1090" s="12"/>
      <c r="M1090" s="12"/>
      <c r="N1090" s="12"/>
      <c r="O1090" s="12"/>
      <c r="P1090" s="12"/>
      <c r="Q1090" s="12"/>
      <c r="R1090" s="12"/>
      <c r="S1090" s="12"/>
      <c r="T1090" s="12"/>
      <c r="U1090" s="12"/>
      <c r="V1090" s="12"/>
      <c r="W1090" s="12"/>
      <c r="X1090" s="12"/>
      <c r="Y1090" s="12"/>
      <c r="Z1090" s="12"/>
    </row>
    <row r="1091" ht="15.0" customHeight="1">
      <c r="A1091" s="349"/>
      <c r="B1091" s="350"/>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row>
    <row r="1092" ht="15.0" customHeight="1">
      <c r="A1092" s="171" t="s">
        <v>1916</v>
      </c>
      <c r="B1092" s="171">
        <v>1.0</v>
      </c>
      <c r="C1092" s="171">
        <v>2.0</v>
      </c>
      <c r="D1092" s="171">
        <v>3.0</v>
      </c>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row>
    <row r="1093" ht="15.0" customHeight="1">
      <c r="A1093" s="322">
        <v>0.0</v>
      </c>
      <c r="B1093" s="113">
        <v>0.2</v>
      </c>
      <c r="C1093" s="355">
        <v>0.075</v>
      </c>
      <c r="D1093" s="342">
        <v>0.04</v>
      </c>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row>
    <row r="1094" ht="15.0" customHeight="1">
      <c r="A1094" s="322">
        <v>500000.0</v>
      </c>
      <c r="B1094" s="113">
        <v>0.18</v>
      </c>
      <c r="C1094" s="355">
        <v>0.075</v>
      </c>
      <c r="D1094" s="342">
        <v>0.04</v>
      </c>
      <c r="E1094" s="12"/>
      <c r="F1094" s="12"/>
      <c r="G1094" s="12"/>
      <c r="H1094" s="12"/>
      <c r="I1094" s="12"/>
      <c r="J1094" s="12"/>
      <c r="K1094" s="12"/>
      <c r="L1094" s="12"/>
      <c r="M1094" s="12"/>
      <c r="N1094" s="12"/>
      <c r="O1094" s="12"/>
      <c r="P1094" s="12"/>
      <c r="Q1094" s="12"/>
      <c r="R1094" s="12"/>
      <c r="S1094" s="12"/>
      <c r="T1094" s="12"/>
      <c r="U1094" s="12"/>
      <c r="V1094" s="12"/>
      <c r="W1094" s="12"/>
      <c r="X1094" s="12"/>
      <c r="Y1094" s="12"/>
      <c r="Z1094" s="12"/>
    </row>
    <row r="1095" ht="15.0" customHeight="1">
      <c r="A1095" s="349"/>
      <c r="B1095" s="350"/>
      <c r="C1095" s="12"/>
      <c r="D1095" s="12"/>
      <c r="E1095" s="12"/>
      <c r="F1095" s="12"/>
      <c r="G1095" s="12"/>
      <c r="H1095" s="12"/>
      <c r="I1095" s="12"/>
      <c r="J1095" s="12"/>
      <c r="K1095" s="12"/>
      <c r="L1095" s="12"/>
      <c r="M1095" s="12"/>
      <c r="N1095" s="12"/>
      <c r="O1095" s="12"/>
      <c r="P1095" s="12"/>
      <c r="Q1095" s="12"/>
      <c r="R1095" s="12"/>
      <c r="S1095" s="12"/>
      <c r="T1095" s="12"/>
      <c r="U1095" s="12"/>
      <c r="V1095" s="12"/>
      <c r="W1095" s="12"/>
      <c r="X1095" s="12"/>
      <c r="Y1095" s="12"/>
      <c r="Z1095" s="12"/>
    </row>
    <row r="1096" ht="15.0" customHeight="1">
      <c r="A1096" s="339" t="s">
        <v>1287</v>
      </c>
      <c r="B1096" s="350"/>
      <c r="C1096" s="12"/>
      <c r="D1096" s="12"/>
      <c r="E1096" s="12"/>
      <c r="F1096" s="12"/>
      <c r="G1096" s="12"/>
      <c r="H1096" s="12"/>
      <c r="I1096" s="12"/>
      <c r="J1096" s="12"/>
      <c r="K1096" s="12"/>
      <c r="L1096" s="12"/>
      <c r="M1096" s="12"/>
      <c r="N1096" s="12"/>
      <c r="O1096" s="12"/>
      <c r="P1096" s="12"/>
      <c r="Q1096" s="12"/>
      <c r="R1096" s="12"/>
      <c r="S1096" s="12"/>
      <c r="T1096" s="12"/>
      <c r="U1096" s="12"/>
      <c r="V1096" s="12"/>
      <c r="W1096" s="12"/>
      <c r="X1096" s="12"/>
      <c r="Y1096" s="12"/>
      <c r="Z1096" s="12"/>
    </row>
    <row r="1097" ht="15.0" customHeight="1">
      <c r="A1097" s="349"/>
      <c r="B1097" s="350"/>
      <c r="C1097" s="12"/>
      <c r="D1097" s="12"/>
      <c r="E1097" s="12"/>
      <c r="F1097" s="12"/>
      <c r="G1097" s="12"/>
      <c r="H1097" s="12"/>
      <c r="I1097" s="12"/>
      <c r="J1097" s="12"/>
      <c r="K1097" s="12"/>
      <c r="L1097" s="12"/>
      <c r="M1097" s="12"/>
      <c r="N1097" s="12"/>
      <c r="O1097" s="12"/>
      <c r="P1097" s="12"/>
      <c r="Q1097" s="12"/>
      <c r="R1097" s="12"/>
      <c r="S1097" s="12"/>
      <c r="T1097" s="12"/>
      <c r="U1097" s="12"/>
      <c r="V1097" s="12"/>
      <c r="W1097" s="12"/>
      <c r="X1097" s="12"/>
      <c r="Y1097" s="12"/>
      <c r="Z1097" s="12"/>
    </row>
    <row r="1098" ht="15.0" customHeight="1">
      <c r="A1098" s="291" t="s">
        <v>1917</v>
      </c>
      <c r="B1098" s="291" t="s">
        <v>1918</v>
      </c>
      <c r="C1098" s="12"/>
      <c r="D1098" s="12"/>
      <c r="E1098" s="12"/>
      <c r="F1098" s="12"/>
      <c r="G1098" s="12"/>
      <c r="H1098" s="12"/>
      <c r="I1098" s="12"/>
      <c r="J1098" s="12"/>
      <c r="K1098" s="12"/>
      <c r="L1098" s="12"/>
      <c r="M1098" s="12"/>
      <c r="N1098" s="12"/>
      <c r="O1098" s="12"/>
      <c r="P1098" s="12"/>
      <c r="Q1098" s="12"/>
      <c r="R1098" s="12"/>
      <c r="S1098" s="12"/>
      <c r="T1098" s="12"/>
      <c r="U1098" s="12"/>
      <c r="V1098" s="12"/>
      <c r="W1098" s="12"/>
      <c r="X1098" s="12"/>
      <c r="Y1098" s="12"/>
      <c r="Z1098" s="12"/>
    </row>
    <row r="1099" ht="15.0" customHeight="1">
      <c r="A1099" s="332">
        <v>1.0</v>
      </c>
      <c r="B1099" s="351" t="str">
        <f>IF(AND('[1]Pre-Calculation'!D6&gt;=40000,'[1]Pre-Calculation'!D6&lt;=499999),5%,4%)</f>
        <v>#REF!</v>
      </c>
      <c r="C1099" s="12"/>
      <c r="D1099" s="12"/>
      <c r="E1099" s="12"/>
      <c r="F1099" s="12"/>
      <c r="G1099" s="12"/>
      <c r="H1099" s="12"/>
      <c r="I1099" s="12"/>
      <c r="J1099" s="12"/>
      <c r="K1099" s="12"/>
      <c r="L1099" s="12"/>
      <c r="M1099" s="12"/>
      <c r="N1099" s="12"/>
      <c r="O1099" s="12"/>
      <c r="P1099" s="12"/>
      <c r="Q1099" s="12"/>
      <c r="R1099" s="12"/>
      <c r="S1099" s="12"/>
      <c r="T1099" s="12"/>
      <c r="U1099" s="12"/>
      <c r="V1099" s="12"/>
      <c r="W1099" s="12"/>
      <c r="X1099" s="12"/>
      <c r="Y1099" s="12"/>
      <c r="Z1099" s="12"/>
    </row>
    <row r="1100" ht="15.0" customHeight="1">
      <c r="A1100" s="332">
        <v>2.0</v>
      </c>
      <c r="B1100" s="351">
        <v>0.0</v>
      </c>
      <c r="C1100" s="12"/>
      <c r="D1100" s="12"/>
      <c r="E1100" s="12"/>
      <c r="F1100" s="12"/>
      <c r="G1100" s="12"/>
      <c r="H1100" s="12"/>
      <c r="I1100" s="12"/>
      <c r="J1100" s="12"/>
      <c r="K1100" s="12"/>
      <c r="L1100" s="12"/>
      <c r="M1100" s="12"/>
      <c r="N1100" s="12"/>
      <c r="O1100" s="12"/>
      <c r="P1100" s="12"/>
      <c r="Q1100" s="12"/>
      <c r="R1100" s="12"/>
      <c r="S1100" s="12"/>
      <c r="T1100" s="12"/>
      <c r="U1100" s="12"/>
      <c r="V1100" s="12"/>
      <c r="W1100" s="12"/>
      <c r="X1100" s="12"/>
      <c r="Y1100" s="12"/>
      <c r="Z1100" s="12"/>
    </row>
    <row r="1101" ht="15.0" customHeight="1">
      <c r="A1101" s="349"/>
      <c r="B1101" s="350"/>
      <c r="C1101" s="12"/>
      <c r="D1101" s="12"/>
      <c r="E1101" s="12"/>
      <c r="F1101" s="12"/>
      <c r="G1101" s="12"/>
      <c r="H1101" s="12"/>
      <c r="I1101" s="12"/>
      <c r="J1101" s="12"/>
      <c r="K1101" s="12"/>
      <c r="L1101" s="12"/>
      <c r="M1101" s="12"/>
      <c r="N1101" s="12"/>
      <c r="O1101" s="12"/>
      <c r="P1101" s="12"/>
      <c r="Q1101" s="12"/>
      <c r="R1101" s="12"/>
      <c r="S1101" s="12"/>
      <c r="T1101" s="12"/>
      <c r="U1101" s="12"/>
      <c r="V1101" s="12"/>
      <c r="W1101" s="12"/>
      <c r="X1101" s="12"/>
      <c r="Y1101" s="12"/>
      <c r="Z1101" s="12"/>
    </row>
    <row r="1102" ht="15.0" customHeight="1">
      <c r="A1102" s="339" t="s">
        <v>1283</v>
      </c>
      <c r="B1102" s="350"/>
      <c r="C1102" s="12"/>
      <c r="D1102" s="12"/>
      <c r="E1102" s="12"/>
      <c r="F1102" s="12"/>
      <c r="G1102" s="12"/>
      <c r="H1102" s="12"/>
      <c r="I1102" s="12"/>
      <c r="J1102" s="12"/>
      <c r="K1102" s="12"/>
      <c r="L1102" s="12"/>
      <c r="M1102" s="12"/>
      <c r="N1102" s="12"/>
      <c r="O1102" s="12"/>
      <c r="P1102" s="12"/>
      <c r="Q1102" s="12"/>
      <c r="R1102" s="12"/>
      <c r="S1102" s="12"/>
      <c r="T1102" s="12"/>
      <c r="U1102" s="12"/>
      <c r="V1102" s="12"/>
      <c r="W1102" s="12"/>
      <c r="X1102" s="12"/>
      <c r="Y1102" s="12"/>
      <c r="Z1102" s="12"/>
    </row>
    <row r="1103" ht="15.0" customHeight="1">
      <c r="A1103" s="349"/>
      <c r="B1103" s="350"/>
      <c r="C1103" s="12"/>
      <c r="D1103" s="12"/>
      <c r="E1103" s="12"/>
      <c r="F1103" s="12"/>
      <c r="G1103" s="12"/>
      <c r="H1103" s="12"/>
      <c r="I1103" s="12"/>
      <c r="J1103" s="12"/>
      <c r="K1103" s="12"/>
      <c r="L1103" s="12"/>
      <c r="M1103" s="12"/>
      <c r="N1103" s="12"/>
      <c r="O1103" s="12"/>
      <c r="P1103" s="12"/>
      <c r="Q1103" s="12"/>
      <c r="R1103" s="12"/>
      <c r="S1103" s="12"/>
      <c r="T1103" s="12"/>
      <c r="U1103" s="12"/>
      <c r="V1103" s="12"/>
      <c r="W1103" s="12"/>
      <c r="X1103" s="12"/>
      <c r="Y1103" s="12"/>
      <c r="Z1103" s="12"/>
    </row>
    <row r="1104" ht="15.0" customHeight="1">
      <c r="A1104" s="291" t="s">
        <v>1917</v>
      </c>
      <c r="B1104" s="291" t="s">
        <v>1918</v>
      </c>
      <c r="C1104" s="12"/>
      <c r="D1104" s="12"/>
      <c r="E1104" s="12"/>
      <c r="F1104" s="12"/>
      <c r="G1104" s="12"/>
      <c r="H1104" s="12"/>
      <c r="I1104" s="12"/>
      <c r="J1104" s="12"/>
      <c r="K1104" s="12"/>
      <c r="L1104" s="12"/>
      <c r="M1104" s="12"/>
      <c r="N1104" s="12"/>
      <c r="O1104" s="12"/>
      <c r="P1104" s="12"/>
      <c r="Q1104" s="12"/>
      <c r="R1104" s="12"/>
      <c r="S1104" s="12"/>
      <c r="T1104" s="12"/>
      <c r="U1104" s="12"/>
      <c r="V1104" s="12"/>
      <c r="W1104" s="12"/>
      <c r="X1104" s="12"/>
      <c r="Y1104" s="12"/>
      <c r="Z1104" s="12"/>
    </row>
    <row r="1105" ht="15.0" customHeight="1">
      <c r="A1105" s="332">
        <v>1.0</v>
      </c>
      <c r="B1105" s="351">
        <v>1.0</v>
      </c>
      <c r="C1105" s="12"/>
      <c r="D1105" s="12"/>
      <c r="E1105" s="12"/>
      <c r="F1105" s="12"/>
      <c r="G1105" s="12"/>
      <c r="H1105" s="12"/>
      <c r="I1105" s="12"/>
      <c r="J1105" s="12"/>
      <c r="K1105" s="12"/>
      <c r="L1105" s="12"/>
      <c r="M1105" s="12"/>
      <c r="N1105" s="12"/>
      <c r="O1105" s="12"/>
      <c r="P1105" s="12"/>
      <c r="Q1105" s="12"/>
      <c r="R1105" s="12"/>
      <c r="S1105" s="12"/>
      <c r="T1105" s="12"/>
      <c r="U1105" s="12"/>
      <c r="V1105" s="12"/>
      <c r="W1105" s="12"/>
      <c r="X1105" s="12"/>
      <c r="Y1105" s="12"/>
      <c r="Z1105" s="12"/>
    </row>
    <row r="1106" ht="15.0" customHeight="1">
      <c r="A1106" s="332">
        <v>2.0</v>
      </c>
      <c r="B1106" s="351">
        <v>0.0</v>
      </c>
      <c r="C1106" s="12"/>
      <c r="D1106" s="12"/>
      <c r="E1106" s="12"/>
      <c r="F1106" s="12"/>
      <c r="G1106" s="12"/>
      <c r="H1106" s="12"/>
      <c r="I1106" s="12"/>
      <c r="J1106" s="12"/>
      <c r="K1106" s="12"/>
      <c r="L1106" s="12"/>
      <c r="M1106" s="12"/>
      <c r="N1106" s="12"/>
      <c r="O1106" s="12"/>
      <c r="P1106" s="12"/>
      <c r="Q1106" s="12"/>
      <c r="R1106" s="12"/>
      <c r="S1106" s="12"/>
      <c r="T1106" s="12"/>
      <c r="U1106" s="12"/>
      <c r="V1106" s="12"/>
      <c r="W1106" s="12"/>
      <c r="X1106" s="12"/>
      <c r="Y1106" s="12"/>
      <c r="Z1106" s="12"/>
    </row>
    <row r="1107" ht="15.0" customHeight="1">
      <c r="A1107" s="349"/>
      <c r="B1107" s="350"/>
      <c r="C1107" s="12"/>
      <c r="D1107" s="12"/>
      <c r="E1107" s="12"/>
      <c r="F1107" s="12"/>
      <c r="G1107" s="12"/>
      <c r="H1107" s="12"/>
      <c r="I1107" s="12"/>
      <c r="J1107" s="12"/>
      <c r="K1107" s="12"/>
      <c r="L1107" s="12"/>
      <c r="M1107" s="12"/>
      <c r="N1107" s="12"/>
      <c r="O1107" s="12"/>
      <c r="P1107" s="12"/>
      <c r="Q1107" s="12"/>
      <c r="R1107" s="12"/>
      <c r="S1107" s="12"/>
      <c r="T1107" s="12"/>
      <c r="U1107" s="12"/>
      <c r="V1107" s="12"/>
      <c r="W1107" s="12"/>
      <c r="X1107" s="12"/>
      <c r="Y1107" s="12"/>
      <c r="Z1107" s="12"/>
    </row>
    <row r="1108" ht="15.0" customHeight="1">
      <c r="A1108" s="339" t="s">
        <v>1048</v>
      </c>
      <c r="B1108" s="350"/>
      <c r="C1108" s="12"/>
      <c r="D1108" s="12"/>
      <c r="E1108" s="12"/>
      <c r="F1108" s="12"/>
      <c r="G1108" s="12"/>
      <c r="H1108" s="12"/>
      <c r="I1108" s="12"/>
      <c r="J1108" s="12"/>
      <c r="K1108" s="12"/>
      <c r="L1108" s="12"/>
      <c r="M1108" s="12"/>
      <c r="N1108" s="12"/>
      <c r="O1108" s="12"/>
      <c r="P1108" s="12"/>
      <c r="Q1108" s="12"/>
      <c r="R1108" s="12"/>
      <c r="S1108" s="12"/>
      <c r="T1108" s="12"/>
      <c r="U1108" s="12"/>
      <c r="V1108" s="12"/>
      <c r="W1108" s="12"/>
      <c r="X1108" s="12"/>
      <c r="Y1108" s="12"/>
      <c r="Z1108" s="12"/>
    </row>
    <row r="1109" ht="15.0" customHeight="1">
      <c r="A1109" s="349"/>
      <c r="B1109" s="350"/>
      <c r="C1109" s="12"/>
      <c r="D1109" s="12"/>
      <c r="E1109" s="12"/>
      <c r="F1109" s="12"/>
      <c r="G1109" s="12"/>
      <c r="H1109" s="12"/>
      <c r="I1109" s="12"/>
      <c r="J1109" s="12"/>
      <c r="K1109" s="12"/>
      <c r="L1109" s="12"/>
      <c r="M1109" s="12"/>
      <c r="N1109" s="12"/>
      <c r="O1109" s="12"/>
      <c r="P1109" s="12"/>
      <c r="Q1109" s="12"/>
      <c r="R1109" s="12"/>
      <c r="S1109" s="12"/>
      <c r="T1109" s="12"/>
      <c r="U1109" s="12"/>
      <c r="V1109" s="12"/>
      <c r="W1109" s="12"/>
      <c r="X1109" s="12"/>
      <c r="Y1109" s="12"/>
      <c r="Z1109" s="12"/>
    </row>
    <row r="1110" ht="15.0" customHeight="1">
      <c r="A1110" s="171" t="s">
        <v>1916</v>
      </c>
      <c r="B1110" s="171">
        <v>1.0</v>
      </c>
      <c r="C1110" s="12"/>
      <c r="D1110" s="12"/>
      <c r="E1110" s="12"/>
      <c r="F1110" s="12"/>
      <c r="G1110" s="12"/>
      <c r="H1110" s="12"/>
      <c r="I1110" s="12"/>
      <c r="J1110" s="12"/>
      <c r="K1110" s="12"/>
      <c r="L1110" s="12"/>
      <c r="M1110" s="12"/>
      <c r="N1110" s="12"/>
      <c r="O1110" s="12"/>
      <c r="P1110" s="12"/>
      <c r="Q1110" s="12"/>
      <c r="R1110" s="12"/>
      <c r="S1110" s="12"/>
      <c r="T1110" s="12"/>
      <c r="U1110" s="12"/>
      <c r="V1110" s="12"/>
      <c r="W1110" s="12"/>
      <c r="X1110" s="12"/>
      <c r="Y1110" s="12"/>
      <c r="Z1110" s="12"/>
    </row>
    <row r="1111" ht="15.0" customHeight="1">
      <c r="A1111" s="322">
        <v>0.0</v>
      </c>
      <c r="B1111" s="113">
        <v>0.2</v>
      </c>
      <c r="C1111" s="12"/>
      <c r="D1111" s="12"/>
      <c r="E1111" s="12"/>
      <c r="F1111" s="12"/>
      <c r="G1111" s="12"/>
      <c r="H1111" s="12"/>
      <c r="I1111" s="12"/>
      <c r="J1111" s="12"/>
      <c r="K1111" s="12"/>
      <c r="L1111" s="12"/>
      <c r="M1111" s="12"/>
      <c r="N1111" s="12"/>
      <c r="O1111" s="12"/>
      <c r="P1111" s="12"/>
      <c r="Q1111" s="12"/>
      <c r="R1111" s="12"/>
      <c r="S1111" s="12"/>
      <c r="T1111" s="12"/>
      <c r="U1111" s="12"/>
      <c r="V1111" s="12"/>
      <c r="W1111" s="12"/>
      <c r="X1111" s="12"/>
      <c r="Y1111" s="12"/>
      <c r="Z1111" s="12"/>
    </row>
    <row r="1112" ht="15.0" customHeight="1">
      <c r="A1112" s="322">
        <v>500000.0</v>
      </c>
      <c r="B1112" s="113">
        <v>0.18</v>
      </c>
      <c r="C1112" s="12"/>
      <c r="D1112" s="12"/>
      <c r="E1112" s="12"/>
      <c r="F1112" s="12"/>
      <c r="G1112" s="12"/>
      <c r="H1112" s="12"/>
      <c r="I1112" s="12"/>
      <c r="J1112" s="12"/>
      <c r="K1112" s="12"/>
      <c r="L1112" s="12"/>
      <c r="M1112" s="12"/>
      <c r="N1112" s="12"/>
      <c r="O1112" s="12"/>
      <c r="P1112" s="12"/>
      <c r="Q1112" s="12"/>
      <c r="R1112" s="12"/>
      <c r="S1112" s="12"/>
      <c r="T1112" s="12"/>
      <c r="U1112" s="12"/>
      <c r="V1112" s="12"/>
      <c r="W1112" s="12"/>
      <c r="X1112" s="12"/>
      <c r="Y1112" s="12"/>
      <c r="Z1112" s="12"/>
    </row>
    <row r="1113" ht="15.0" customHeight="1">
      <c r="A1113" s="349"/>
      <c r="B1113" s="350"/>
      <c r="C1113" s="12"/>
      <c r="D1113" s="12"/>
      <c r="E1113" s="12"/>
      <c r="F1113" s="12"/>
      <c r="G1113" s="12"/>
      <c r="H1113" s="12"/>
      <c r="I1113" s="12"/>
      <c r="J1113" s="12"/>
      <c r="K1113" s="12"/>
      <c r="L1113" s="12"/>
      <c r="M1113" s="12"/>
      <c r="N1113" s="12"/>
      <c r="O1113" s="12"/>
      <c r="P1113" s="12"/>
      <c r="Q1113" s="12"/>
      <c r="R1113" s="12"/>
      <c r="S1113" s="12"/>
      <c r="T1113" s="12"/>
      <c r="U1113" s="12"/>
      <c r="V1113" s="12"/>
      <c r="W1113" s="12"/>
      <c r="X1113" s="12"/>
      <c r="Y1113" s="12"/>
      <c r="Z1113" s="12"/>
    </row>
    <row r="1114" ht="15.0" customHeight="1">
      <c r="A1114" s="339" t="s">
        <v>1276</v>
      </c>
      <c r="B1114" s="350"/>
      <c r="C1114" s="12"/>
      <c r="D1114" s="12"/>
      <c r="E1114" s="12"/>
      <c r="F1114" s="12"/>
      <c r="G1114" s="12"/>
      <c r="H1114" s="12"/>
      <c r="I1114" s="12"/>
      <c r="J1114" s="12"/>
      <c r="K1114" s="12"/>
      <c r="L1114" s="12"/>
      <c r="M1114" s="12"/>
      <c r="N1114" s="12"/>
      <c r="O1114" s="12"/>
      <c r="P1114" s="12"/>
      <c r="Q1114" s="12"/>
      <c r="R1114" s="12"/>
      <c r="S1114" s="12"/>
      <c r="T1114" s="12"/>
      <c r="U1114" s="12"/>
      <c r="V1114" s="12"/>
      <c r="W1114" s="12"/>
      <c r="X1114" s="12"/>
      <c r="Y1114" s="12"/>
      <c r="Z1114" s="12"/>
    </row>
    <row r="1115" ht="15.0" customHeight="1">
      <c r="A1115" s="349"/>
      <c r="B1115" s="350"/>
      <c r="C1115" s="12"/>
      <c r="D1115" s="12"/>
      <c r="E1115" s="12"/>
      <c r="F1115" s="12"/>
      <c r="G1115" s="12"/>
      <c r="H1115" s="12"/>
      <c r="I1115" s="12"/>
      <c r="J1115" s="12"/>
      <c r="K1115" s="12"/>
      <c r="L1115" s="12"/>
      <c r="M1115" s="12"/>
      <c r="N1115" s="12"/>
      <c r="O1115" s="12"/>
      <c r="P1115" s="12"/>
      <c r="Q1115" s="12"/>
      <c r="R1115" s="12"/>
      <c r="S1115" s="12"/>
      <c r="T1115" s="12"/>
      <c r="U1115" s="12"/>
      <c r="V1115" s="12"/>
      <c r="W1115" s="12"/>
      <c r="X1115" s="12"/>
      <c r="Y1115" s="12"/>
      <c r="Z1115" s="12"/>
    </row>
    <row r="1116" ht="15.0" customHeight="1">
      <c r="A1116" s="291" t="s">
        <v>1917</v>
      </c>
      <c r="B1116" s="291" t="s">
        <v>1918</v>
      </c>
      <c r="C1116" s="12"/>
      <c r="D1116" s="12"/>
      <c r="E1116" s="12"/>
      <c r="F1116" s="12"/>
      <c r="G1116" s="12"/>
      <c r="H1116" s="12"/>
      <c r="I1116" s="12"/>
      <c r="J1116" s="12"/>
      <c r="K1116" s="12"/>
      <c r="L1116" s="12"/>
      <c r="M1116" s="12"/>
      <c r="N1116" s="12"/>
      <c r="O1116" s="12"/>
      <c r="P1116" s="12"/>
      <c r="Q1116" s="12"/>
      <c r="R1116" s="12"/>
      <c r="S1116" s="12"/>
      <c r="T1116" s="12"/>
      <c r="U1116" s="12"/>
      <c r="V1116" s="12"/>
      <c r="W1116" s="12"/>
      <c r="X1116" s="12"/>
      <c r="Y1116" s="12"/>
      <c r="Z1116" s="12"/>
    </row>
    <row r="1117" ht="15.0" customHeight="1">
      <c r="A1117" s="332">
        <v>1.0</v>
      </c>
      <c r="B1117" s="351">
        <v>0.15</v>
      </c>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row>
    <row r="1118" ht="15.0" customHeight="1">
      <c r="A1118" s="332">
        <v>2.0</v>
      </c>
      <c r="B1118" s="351">
        <v>0.1</v>
      </c>
      <c r="C1118" s="12"/>
      <c r="D1118" s="12"/>
      <c r="E1118" s="12"/>
      <c r="F1118" s="12"/>
      <c r="G1118" s="12"/>
      <c r="H1118" s="12"/>
      <c r="I1118" s="12"/>
      <c r="J1118" s="12"/>
      <c r="K1118" s="12"/>
      <c r="L1118" s="12"/>
      <c r="M1118" s="12"/>
      <c r="N1118" s="12"/>
      <c r="O1118" s="12"/>
      <c r="P1118" s="12"/>
      <c r="Q1118" s="12"/>
      <c r="R1118" s="12"/>
      <c r="S1118" s="12"/>
      <c r="T1118" s="12"/>
      <c r="U1118" s="12"/>
      <c r="V1118" s="12"/>
      <c r="W1118" s="12"/>
      <c r="X1118" s="12"/>
      <c r="Y1118" s="12"/>
      <c r="Z1118" s="12"/>
    </row>
    <row r="1119" ht="15.0" customHeight="1">
      <c r="A1119" s="332">
        <v>3.0</v>
      </c>
      <c r="B1119" s="351">
        <v>0.08</v>
      </c>
      <c r="C1119" s="12"/>
      <c r="D1119" s="12"/>
      <c r="E1119" s="12"/>
      <c r="F1119" s="12"/>
      <c r="G1119" s="12"/>
      <c r="H1119" s="12"/>
      <c r="I1119" s="12"/>
      <c r="J1119" s="12"/>
      <c r="K1119" s="12"/>
      <c r="L1119" s="12"/>
      <c r="M1119" s="12"/>
      <c r="N1119" s="12"/>
      <c r="O1119" s="12"/>
      <c r="P1119" s="12"/>
      <c r="Q1119" s="12"/>
      <c r="R1119" s="12"/>
      <c r="S1119" s="12"/>
      <c r="T1119" s="12"/>
      <c r="U1119" s="12"/>
      <c r="V1119" s="12"/>
      <c r="W1119" s="12"/>
      <c r="X1119" s="12"/>
      <c r="Y1119" s="12"/>
      <c r="Z1119" s="12"/>
    </row>
    <row r="1120" ht="15.0" customHeight="1">
      <c r="A1120" s="332">
        <v>4.0</v>
      </c>
      <c r="B1120" s="351">
        <v>0.06</v>
      </c>
      <c r="C1120" s="12"/>
      <c r="D1120" s="12"/>
      <c r="E1120" s="12"/>
      <c r="F1120" s="12"/>
      <c r="G1120" s="12"/>
      <c r="H1120" s="12"/>
      <c r="I1120" s="12"/>
      <c r="J1120" s="12"/>
      <c r="K1120" s="12"/>
      <c r="L1120" s="12"/>
      <c r="M1120" s="12"/>
      <c r="N1120" s="12"/>
      <c r="O1120" s="12"/>
      <c r="P1120" s="12"/>
      <c r="Q1120" s="12"/>
      <c r="R1120" s="12"/>
      <c r="S1120" s="12"/>
      <c r="T1120" s="12"/>
      <c r="U1120" s="12"/>
      <c r="V1120" s="12"/>
      <c r="W1120" s="12"/>
      <c r="X1120" s="12"/>
      <c r="Y1120" s="12"/>
      <c r="Z1120" s="12"/>
    </row>
    <row r="1121" ht="15.0" customHeight="1">
      <c r="A1121" s="332">
        <v>5.0</v>
      </c>
      <c r="B1121" s="351">
        <v>0.06</v>
      </c>
      <c r="C1121" s="12"/>
      <c r="D1121" s="12"/>
      <c r="E1121" s="12"/>
      <c r="F1121" s="12"/>
      <c r="G1121" s="12"/>
      <c r="H1121" s="12"/>
      <c r="I1121" s="12"/>
      <c r="J1121" s="12"/>
      <c r="K1121" s="12"/>
      <c r="L1121" s="12"/>
      <c r="M1121" s="12"/>
      <c r="N1121" s="12"/>
      <c r="O1121" s="12"/>
      <c r="P1121" s="12"/>
      <c r="Q1121" s="12"/>
      <c r="R1121" s="12"/>
      <c r="S1121" s="12"/>
      <c r="T1121" s="12"/>
      <c r="U1121" s="12"/>
      <c r="V1121" s="12"/>
      <c r="W1121" s="12"/>
      <c r="X1121" s="12"/>
      <c r="Y1121" s="12"/>
      <c r="Z1121" s="12"/>
    </row>
    <row r="1122" ht="15.0" customHeight="1">
      <c r="A1122" s="171">
        <v>6.0</v>
      </c>
      <c r="B1122" s="351">
        <v>0.04</v>
      </c>
      <c r="C1122" s="12"/>
      <c r="D1122" s="12"/>
      <c r="E1122" s="12"/>
      <c r="F1122" s="12"/>
      <c r="G1122" s="12"/>
      <c r="H1122" s="12"/>
      <c r="I1122" s="12"/>
      <c r="J1122" s="12"/>
      <c r="K1122" s="12"/>
      <c r="L1122" s="12"/>
      <c r="M1122" s="12"/>
      <c r="N1122" s="12"/>
      <c r="O1122" s="12"/>
      <c r="P1122" s="12"/>
      <c r="Q1122" s="12"/>
      <c r="R1122" s="12"/>
      <c r="S1122" s="12"/>
      <c r="T1122" s="12"/>
      <c r="U1122" s="12"/>
      <c r="V1122" s="12"/>
      <c r="W1122" s="12"/>
      <c r="X1122" s="12"/>
      <c r="Y1122" s="12"/>
      <c r="Z1122" s="12"/>
    </row>
    <row r="1123" ht="15.0" customHeight="1">
      <c r="A1123" s="349"/>
      <c r="B1123" s="350"/>
      <c r="C1123" s="12"/>
      <c r="D1123" s="12"/>
      <c r="E1123" s="12"/>
      <c r="F1123" s="12"/>
      <c r="G1123" s="12"/>
      <c r="H1123" s="12"/>
      <c r="I1123" s="12"/>
      <c r="J1123" s="12"/>
      <c r="K1123" s="12"/>
      <c r="L1123" s="12"/>
      <c r="M1123" s="12"/>
      <c r="N1123" s="12"/>
      <c r="O1123" s="12"/>
      <c r="P1123" s="12"/>
      <c r="Q1123" s="12"/>
      <c r="R1123" s="12"/>
      <c r="S1123" s="12"/>
      <c r="T1123" s="12"/>
      <c r="U1123" s="12"/>
      <c r="V1123" s="12"/>
      <c r="W1123" s="12"/>
      <c r="X1123" s="12"/>
      <c r="Y1123" s="12"/>
      <c r="Z1123" s="12"/>
    </row>
    <row r="1124" ht="15.0" customHeight="1">
      <c r="A1124" s="339" t="s">
        <v>1269</v>
      </c>
      <c r="B1124" s="350"/>
      <c r="C1124" s="12"/>
      <c r="D1124" s="12"/>
      <c r="E1124" s="12"/>
      <c r="F1124" s="12"/>
      <c r="G1124" s="12"/>
      <c r="H1124" s="12"/>
      <c r="I1124" s="12"/>
      <c r="J1124" s="12"/>
      <c r="K1124" s="12"/>
      <c r="L1124" s="12"/>
      <c r="M1124" s="12"/>
      <c r="N1124" s="12"/>
      <c r="O1124" s="12"/>
      <c r="P1124" s="12"/>
      <c r="Q1124" s="12"/>
      <c r="R1124" s="12"/>
      <c r="S1124" s="12"/>
      <c r="T1124" s="12"/>
      <c r="U1124" s="12"/>
      <c r="V1124" s="12"/>
      <c r="W1124" s="12"/>
      <c r="X1124" s="12"/>
      <c r="Y1124" s="12"/>
      <c r="Z1124" s="12"/>
    </row>
    <row r="1125" ht="15.0" customHeight="1">
      <c r="A1125" s="349"/>
      <c r="B1125" s="350"/>
      <c r="C1125" s="12"/>
      <c r="D1125" s="12"/>
      <c r="E1125" s="12"/>
      <c r="F1125" s="12"/>
      <c r="G1125" s="12"/>
      <c r="H1125" s="12"/>
      <c r="I1125" s="12"/>
      <c r="J1125" s="12"/>
      <c r="K1125" s="12"/>
      <c r="L1125" s="12"/>
      <c r="M1125" s="12"/>
      <c r="N1125" s="12"/>
      <c r="O1125" s="12"/>
      <c r="P1125" s="12"/>
      <c r="Q1125" s="12"/>
      <c r="R1125" s="12"/>
      <c r="S1125" s="12"/>
      <c r="T1125" s="12"/>
      <c r="U1125" s="12"/>
      <c r="V1125" s="12"/>
      <c r="W1125" s="12"/>
      <c r="X1125" s="12"/>
      <c r="Y1125" s="12"/>
      <c r="Z1125" s="12"/>
    </row>
    <row r="1126" ht="15.0" customHeight="1">
      <c r="A1126" s="291" t="s">
        <v>1917</v>
      </c>
      <c r="B1126" s="291" t="s">
        <v>1918</v>
      </c>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row>
    <row r="1127" ht="15.0" customHeight="1">
      <c r="A1127" s="332">
        <v>1.0</v>
      </c>
      <c r="B1127" s="351">
        <v>1.0</v>
      </c>
      <c r="C1127" s="12"/>
      <c r="D1127" s="12"/>
      <c r="E1127" s="12"/>
      <c r="F1127" s="12"/>
      <c r="G1127" s="12"/>
      <c r="H1127" s="12"/>
      <c r="I1127" s="12"/>
      <c r="J1127" s="12"/>
      <c r="K1127" s="12"/>
      <c r="L1127" s="12"/>
      <c r="M1127" s="12"/>
      <c r="N1127" s="12"/>
      <c r="O1127" s="12"/>
      <c r="P1127" s="12"/>
      <c r="Q1127" s="12"/>
      <c r="R1127" s="12"/>
      <c r="S1127" s="12"/>
      <c r="T1127" s="12"/>
      <c r="U1127" s="12"/>
      <c r="V1127" s="12"/>
      <c r="W1127" s="12"/>
      <c r="X1127" s="12"/>
      <c r="Y1127" s="12"/>
      <c r="Z1127" s="12"/>
    </row>
    <row r="1128" ht="15.0" customHeight="1">
      <c r="A1128" s="332">
        <v>2.0</v>
      </c>
      <c r="B1128" s="351">
        <v>0.0</v>
      </c>
      <c r="C1128" s="12"/>
      <c r="D1128" s="12"/>
      <c r="E1128" s="12"/>
      <c r="F1128" s="12"/>
      <c r="G1128" s="12"/>
      <c r="H1128" s="12"/>
      <c r="I1128" s="12"/>
      <c r="J1128" s="12"/>
      <c r="K1128" s="12"/>
      <c r="L1128" s="12"/>
      <c r="M1128" s="12"/>
      <c r="N1128" s="12"/>
      <c r="O1128" s="12"/>
      <c r="P1128" s="12"/>
      <c r="Q1128" s="12"/>
      <c r="R1128" s="12"/>
      <c r="S1128" s="12"/>
      <c r="T1128" s="12"/>
      <c r="U1128" s="12"/>
      <c r="V1128" s="12"/>
      <c r="W1128" s="12"/>
      <c r="X1128" s="12"/>
      <c r="Y1128" s="12"/>
      <c r="Z1128" s="12"/>
    </row>
    <row r="1129" ht="15.0" customHeight="1">
      <c r="A1129" s="349"/>
      <c r="B1129" s="350"/>
      <c r="C1129" s="12"/>
      <c r="D1129" s="12"/>
      <c r="E1129" s="12"/>
      <c r="F1129" s="12"/>
      <c r="G1129" s="12"/>
      <c r="H1129" s="12"/>
      <c r="I1129" s="12"/>
      <c r="J1129" s="12"/>
      <c r="K1129" s="12"/>
      <c r="L1129" s="12"/>
      <c r="M1129" s="12"/>
      <c r="N1129" s="12"/>
      <c r="O1129" s="12"/>
      <c r="P1129" s="12"/>
      <c r="Q1129" s="12"/>
      <c r="R1129" s="12"/>
      <c r="S1129" s="12"/>
      <c r="T1129" s="12"/>
      <c r="U1129" s="12"/>
      <c r="V1129" s="12"/>
      <c r="W1129" s="12"/>
      <c r="X1129" s="12"/>
      <c r="Y1129" s="12"/>
      <c r="Z1129" s="12"/>
    </row>
    <row r="1130" ht="15.0" customHeight="1">
      <c r="A1130" s="339" t="s">
        <v>1116</v>
      </c>
      <c r="B1130" s="350"/>
      <c r="C1130" s="12"/>
      <c r="D1130" s="12"/>
      <c r="E1130" s="12"/>
      <c r="F1130" s="12"/>
      <c r="G1130" s="12"/>
      <c r="H1130" s="12"/>
      <c r="I1130" s="12"/>
      <c r="J1130" s="12"/>
      <c r="K1130" s="12"/>
      <c r="L1130" s="12"/>
      <c r="M1130" s="12"/>
      <c r="N1130" s="12"/>
      <c r="O1130" s="12"/>
      <c r="P1130" s="12"/>
      <c r="Q1130" s="12"/>
      <c r="R1130" s="12"/>
      <c r="S1130" s="12"/>
      <c r="T1130" s="12"/>
      <c r="U1130" s="12"/>
      <c r="V1130" s="12"/>
      <c r="W1130" s="12"/>
      <c r="X1130" s="12"/>
      <c r="Y1130" s="12"/>
      <c r="Z1130" s="12"/>
    </row>
    <row r="1131" ht="15.0" customHeight="1">
      <c r="A1131" s="349"/>
      <c r="B1131" s="350"/>
      <c r="C1131" s="12"/>
      <c r="D1131" s="12"/>
      <c r="E1131" s="12"/>
      <c r="F1131" s="12"/>
      <c r="G1131" s="12"/>
      <c r="H1131" s="12"/>
      <c r="I1131" s="12"/>
      <c r="J1131" s="12"/>
      <c r="K1131" s="12"/>
      <c r="L1131" s="12"/>
      <c r="M1131" s="12"/>
      <c r="N1131" s="12"/>
      <c r="O1131" s="12"/>
      <c r="P1131" s="12"/>
      <c r="Q1131" s="12"/>
      <c r="R1131" s="12"/>
      <c r="S1131" s="12"/>
      <c r="T1131" s="12"/>
      <c r="U1131" s="12"/>
      <c r="V1131" s="12"/>
      <c r="W1131" s="12"/>
      <c r="X1131" s="12"/>
      <c r="Y1131" s="12"/>
      <c r="Z1131" s="12"/>
    </row>
    <row r="1132" ht="15.0" customHeight="1">
      <c r="A1132" s="171" t="s">
        <v>1916</v>
      </c>
      <c r="B1132" s="171">
        <v>1.0</v>
      </c>
      <c r="C1132" s="171">
        <v>2.0</v>
      </c>
      <c r="D1132" s="171">
        <v>3.0</v>
      </c>
      <c r="E1132" s="171">
        <v>4.0</v>
      </c>
      <c r="F1132" s="171">
        <v>5.0</v>
      </c>
      <c r="G1132" s="171">
        <v>6.0</v>
      </c>
      <c r="H1132" s="12"/>
      <c r="I1132" s="12"/>
      <c r="J1132" s="12"/>
      <c r="K1132" s="12"/>
      <c r="L1132" s="12"/>
      <c r="M1132" s="12"/>
      <c r="N1132" s="12"/>
      <c r="O1132" s="12"/>
      <c r="P1132" s="12"/>
      <c r="Q1132" s="12"/>
      <c r="R1132" s="12"/>
      <c r="S1132" s="12"/>
      <c r="T1132" s="12"/>
      <c r="U1132" s="12"/>
      <c r="V1132" s="12"/>
      <c r="W1132" s="12"/>
      <c r="X1132" s="12"/>
      <c r="Y1132" s="12"/>
      <c r="Z1132" s="12"/>
    </row>
    <row r="1133" ht="15.0" customHeight="1">
      <c r="A1133" s="322">
        <v>0.0</v>
      </c>
      <c r="B1133" s="113">
        <v>0.19</v>
      </c>
      <c r="C1133" s="355">
        <v>0.075</v>
      </c>
      <c r="D1133" s="355">
        <v>0.075</v>
      </c>
      <c r="E1133" s="342">
        <v>0.03</v>
      </c>
      <c r="F1133" s="342">
        <v>0.03</v>
      </c>
      <c r="G1133" s="342">
        <v>0.01</v>
      </c>
      <c r="H1133" s="12"/>
      <c r="I1133" s="12"/>
      <c r="J1133" s="12"/>
      <c r="K1133" s="12"/>
      <c r="L1133" s="12"/>
      <c r="M1133" s="12"/>
      <c r="N1133" s="12"/>
      <c r="O1133" s="12"/>
      <c r="P1133" s="12"/>
      <c r="Q1133" s="12"/>
      <c r="R1133" s="12"/>
      <c r="S1133" s="12"/>
      <c r="T1133" s="12"/>
      <c r="U1133" s="12"/>
      <c r="V1133" s="12"/>
      <c r="W1133" s="12"/>
      <c r="X1133" s="12"/>
      <c r="Y1133" s="12"/>
      <c r="Z1133" s="12"/>
    </row>
    <row r="1134" ht="15.0" customHeight="1">
      <c r="A1134" s="352">
        <v>50000.0</v>
      </c>
      <c r="B1134" s="113">
        <v>0.15</v>
      </c>
      <c r="C1134" s="342">
        <v>0.05</v>
      </c>
      <c r="D1134" s="342">
        <v>0.05</v>
      </c>
      <c r="E1134" s="342">
        <v>0.03</v>
      </c>
      <c r="F1134" s="342">
        <v>0.03</v>
      </c>
      <c r="G1134" s="342">
        <v>0.01</v>
      </c>
      <c r="H1134" s="12"/>
      <c r="I1134" s="12"/>
      <c r="J1134" s="12"/>
      <c r="K1134" s="12"/>
      <c r="L1134" s="12"/>
      <c r="M1134" s="12"/>
      <c r="N1134" s="12"/>
      <c r="O1134" s="12"/>
      <c r="P1134" s="12"/>
      <c r="Q1134" s="12"/>
      <c r="R1134" s="12"/>
      <c r="S1134" s="12"/>
      <c r="T1134" s="12"/>
      <c r="U1134" s="12"/>
      <c r="V1134" s="12"/>
      <c r="W1134" s="12"/>
      <c r="X1134" s="12"/>
      <c r="Y1134" s="12"/>
      <c r="Z1134" s="12"/>
    </row>
    <row r="1135" ht="15.0" customHeight="1">
      <c r="A1135" s="322">
        <v>500000.0</v>
      </c>
      <c r="B1135" s="113">
        <v>0.13</v>
      </c>
      <c r="C1135" s="342">
        <v>0.05</v>
      </c>
      <c r="D1135" s="342">
        <v>0.05</v>
      </c>
      <c r="E1135" s="342">
        <v>0.03</v>
      </c>
      <c r="F1135" s="342">
        <v>0.03</v>
      </c>
      <c r="G1135" s="342">
        <v>0.01</v>
      </c>
      <c r="H1135" s="12"/>
      <c r="I1135" s="12"/>
      <c r="J1135" s="12"/>
      <c r="K1135" s="12"/>
      <c r="L1135" s="12"/>
      <c r="M1135" s="12"/>
      <c r="N1135" s="12"/>
      <c r="O1135" s="12"/>
      <c r="P1135" s="12"/>
      <c r="Q1135" s="12"/>
      <c r="R1135" s="12"/>
      <c r="S1135" s="12"/>
      <c r="T1135" s="12"/>
      <c r="U1135" s="12"/>
      <c r="V1135" s="12"/>
      <c r="W1135" s="12"/>
      <c r="X1135" s="12"/>
      <c r="Y1135" s="12"/>
      <c r="Z1135" s="12"/>
    </row>
    <row r="1136" ht="15.0" customHeight="1">
      <c r="A1136" s="349"/>
      <c r="B1136" s="350"/>
      <c r="C1136" s="12"/>
      <c r="D1136" s="12"/>
      <c r="E1136" s="12"/>
      <c r="F1136" s="12"/>
      <c r="G1136" s="12"/>
      <c r="H1136" s="12"/>
      <c r="I1136" s="12"/>
      <c r="J1136" s="12"/>
      <c r="K1136" s="12"/>
      <c r="L1136" s="12"/>
      <c r="M1136" s="12"/>
      <c r="N1136" s="12"/>
      <c r="O1136" s="12"/>
      <c r="P1136" s="12"/>
      <c r="Q1136" s="12"/>
      <c r="R1136" s="12"/>
      <c r="S1136" s="12"/>
      <c r="T1136" s="12"/>
      <c r="U1136" s="12"/>
      <c r="V1136" s="12"/>
      <c r="W1136" s="12"/>
      <c r="X1136" s="12"/>
      <c r="Y1136" s="12"/>
      <c r="Z1136" s="12"/>
    </row>
    <row r="1137" ht="15.0" customHeight="1">
      <c r="A1137" s="339" t="s">
        <v>1265</v>
      </c>
      <c r="B1137" s="350"/>
      <c r="C1137" s="12"/>
      <c r="D1137" s="12"/>
      <c r="E1137" s="12"/>
      <c r="F1137" s="12"/>
      <c r="G1137" s="12"/>
      <c r="H1137" s="12"/>
      <c r="I1137" s="12"/>
      <c r="J1137" s="12"/>
      <c r="K1137" s="12"/>
      <c r="L1137" s="12"/>
      <c r="M1137" s="12"/>
      <c r="N1137" s="12"/>
      <c r="O1137" s="12"/>
      <c r="P1137" s="12"/>
      <c r="Q1137" s="12"/>
      <c r="R1137" s="12"/>
      <c r="S1137" s="12"/>
      <c r="T1137" s="12"/>
      <c r="U1137" s="12"/>
      <c r="V1137" s="12"/>
      <c r="W1137" s="12"/>
      <c r="X1137" s="12"/>
      <c r="Y1137" s="12"/>
      <c r="Z1137" s="12"/>
    </row>
    <row r="1138" ht="15.0" customHeight="1">
      <c r="A1138" s="349"/>
      <c r="B1138" s="350"/>
      <c r="C1138" s="12"/>
      <c r="D1138" s="12"/>
      <c r="E1138" s="12"/>
      <c r="F1138" s="12"/>
      <c r="G1138" s="12"/>
      <c r="H1138" s="12"/>
      <c r="I1138" s="12"/>
      <c r="J1138" s="12"/>
      <c r="K1138" s="12"/>
      <c r="L1138" s="12"/>
      <c r="M1138" s="12"/>
      <c r="N1138" s="12"/>
      <c r="O1138" s="12"/>
      <c r="P1138" s="12"/>
      <c r="Q1138" s="12"/>
      <c r="R1138" s="12"/>
      <c r="S1138" s="12"/>
      <c r="T1138" s="12"/>
      <c r="U1138" s="12"/>
      <c r="V1138" s="12"/>
      <c r="W1138" s="12"/>
      <c r="X1138" s="12"/>
      <c r="Y1138" s="12"/>
      <c r="Z1138" s="12"/>
    </row>
    <row r="1139" ht="15.0" customHeight="1">
      <c r="A1139" s="171" t="s">
        <v>1916</v>
      </c>
      <c r="B1139" s="171">
        <v>1.0</v>
      </c>
      <c r="C1139" s="171">
        <v>2.0</v>
      </c>
      <c r="D1139" s="171">
        <v>3.0</v>
      </c>
      <c r="E1139" s="171">
        <v>4.0</v>
      </c>
      <c r="F1139" s="36"/>
      <c r="G1139" s="36"/>
      <c r="H1139" s="12"/>
      <c r="I1139" s="12"/>
      <c r="J1139" s="12"/>
      <c r="K1139" s="12"/>
      <c r="L1139" s="12"/>
      <c r="M1139" s="12"/>
      <c r="N1139" s="12"/>
      <c r="O1139" s="12"/>
      <c r="P1139" s="12"/>
      <c r="Q1139" s="12"/>
      <c r="R1139" s="12"/>
      <c r="S1139" s="12"/>
      <c r="T1139" s="12"/>
      <c r="U1139" s="12"/>
      <c r="V1139" s="12"/>
      <c r="W1139" s="12"/>
      <c r="X1139" s="12"/>
      <c r="Y1139" s="12"/>
      <c r="Z1139" s="12"/>
    </row>
    <row r="1140" ht="15.0" customHeight="1">
      <c r="A1140" s="352">
        <v>0.0</v>
      </c>
      <c r="B1140" s="113">
        <v>0.2</v>
      </c>
      <c r="C1140" s="355">
        <v>0.06</v>
      </c>
      <c r="D1140" s="355">
        <v>0.06</v>
      </c>
      <c r="E1140" s="342">
        <v>0.0</v>
      </c>
      <c r="F1140" s="121"/>
      <c r="G1140" s="121"/>
      <c r="H1140" s="12"/>
      <c r="I1140" s="12"/>
      <c r="J1140" s="12"/>
      <c r="K1140" s="12"/>
      <c r="L1140" s="12"/>
      <c r="M1140" s="12"/>
      <c r="N1140" s="12"/>
      <c r="O1140" s="12"/>
      <c r="P1140" s="12"/>
      <c r="Q1140" s="12"/>
      <c r="R1140" s="12"/>
      <c r="S1140" s="12"/>
      <c r="T1140" s="12"/>
      <c r="U1140" s="12"/>
      <c r="V1140" s="12"/>
      <c r="W1140" s="12"/>
      <c r="X1140" s="12"/>
      <c r="Y1140" s="12"/>
      <c r="Z1140" s="12"/>
    </row>
    <row r="1141" ht="15.0" customHeight="1">
      <c r="A1141" s="352">
        <v>50000.0</v>
      </c>
      <c r="B1141" s="113">
        <v>0.18</v>
      </c>
      <c r="C1141" s="355">
        <v>0.06</v>
      </c>
      <c r="D1141" s="355">
        <v>0.06</v>
      </c>
      <c r="E1141" s="342">
        <v>0.0</v>
      </c>
      <c r="F1141" s="121"/>
      <c r="G1141" s="121"/>
      <c r="H1141" s="12"/>
      <c r="I1141" s="12"/>
      <c r="J1141" s="12"/>
      <c r="K1141" s="12"/>
      <c r="L1141" s="12"/>
      <c r="M1141" s="12"/>
      <c r="N1141" s="12"/>
      <c r="O1141" s="12"/>
      <c r="P1141" s="12"/>
      <c r="Q1141" s="12"/>
      <c r="R1141" s="12"/>
      <c r="S1141" s="12"/>
      <c r="T1141" s="12"/>
      <c r="U1141" s="12"/>
      <c r="V1141" s="12"/>
      <c r="W1141" s="12"/>
      <c r="X1141" s="12"/>
      <c r="Y1141" s="12"/>
      <c r="Z1141" s="12"/>
    </row>
    <row r="1142" ht="15.0" customHeight="1">
      <c r="A1142" s="352">
        <v>25000.0</v>
      </c>
      <c r="B1142" s="113">
        <v>0.16</v>
      </c>
      <c r="C1142" s="355">
        <v>0.06</v>
      </c>
      <c r="D1142" s="355">
        <v>0.06</v>
      </c>
      <c r="E1142" s="342">
        <v>0.0</v>
      </c>
      <c r="F1142" s="121"/>
      <c r="G1142" s="121"/>
      <c r="H1142" s="12"/>
      <c r="I1142" s="12"/>
      <c r="J1142" s="12"/>
      <c r="K1142" s="12"/>
      <c r="L1142" s="12"/>
      <c r="M1142" s="12"/>
      <c r="N1142" s="12"/>
      <c r="O1142" s="12"/>
      <c r="P1142" s="12"/>
      <c r="Q1142" s="12"/>
      <c r="R1142" s="12"/>
      <c r="S1142" s="12"/>
      <c r="T1142" s="12"/>
      <c r="U1142" s="12"/>
      <c r="V1142" s="12"/>
      <c r="W1142" s="12"/>
      <c r="X1142" s="12"/>
      <c r="Y1142" s="12"/>
      <c r="Z1142" s="12"/>
    </row>
    <row r="1143" ht="15.0" customHeight="1">
      <c r="A1143" s="245">
        <v>50000.0</v>
      </c>
      <c r="B1143" s="245" t="s">
        <v>1947</v>
      </c>
      <c r="C1143" s="355">
        <v>0.06</v>
      </c>
      <c r="D1143" s="355">
        <v>0.06</v>
      </c>
      <c r="E1143" s="342">
        <v>0.0</v>
      </c>
      <c r="F1143" s="12"/>
      <c r="G1143" s="12"/>
      <c r="H1143" s="12"/>
      <c r="I1143" s="12"/>
      <c r="J1143" s="12"/>
      <c r="K1143" s="12"/>
      <c r="L1143" s="12"/>
      <c r="M1143" s="12"/>
      <c r="N1143" s="12"/>
      <c r="O1143" s="12"/>
      <c r="P1143" s="12"/>
      <c r="Q1143" s="12"/>
      <c r="R1143" s="12"/>
      <c r="S1143" s="12"/>
      <c r="T1143" s="12"/>
      <c r="U1143" s="12"/>
      <c r="V1143" s="12"/>
      <c r="W1143" s="12"/>
      <c r="X1143" s="12"/>
      <c r="Y1143" s="12"/>
      <c r="Z1143" s="12"/>
    </row>
    <row r="1144" ht="15.0" customHeight="1">
      <c r="A1144" s="349"/>
      <c r="B1144" s="350"/>
      <c r="C1144" s="12"/>
      <c r="D1144" s="12"/>
      <c r="E1144" s="12"/>
      <c r="F1144" s="12"/>
      <c r="G1144" s="12"/>
      <c r="H1144" s="12"/>
      <c r="I1144" s="12"/>
      <c r="J1144" s="12"/>
      <c r="K1144" s="12"/>
      <c r="L1144" s="12"/>
      <c r="M1144" s="12"/>
      <c r="N1144" s="12"/>
      <c r="O1144" s="12"/>
      <c r="P1144" s="12"/>
      <c r="Q1144" s="12"/>
      <c r="R1144" s="12"/>
      <c r="S1144" s="12"/>
      <c r="T1144" s="12"/>
      <c r="U1144" s="12"/>
      <c r="V1144" s="12"/>
      <c r="W1144" s="12"/>
      <c r="X1144" s="12"/>
      <c r="Y1144" s="12"/>
      <c r="Z1144" s="12"/>
    </row>
    <row r="1145" ht="15.0" customHeight="1">
      <c r="A1145" s="339" t="s">
        <v>1258</v>
      </c>
      <c r="B1145" s="350"/>
      <c r="C1145" s="12"/>
      <c r="D1145" s="12"/>
      <c r="E1145" s="12"/>
      <c r="F1145" s="12"/>
      <c r="G1145" s="12"/>
      <c r="H1145" s="12"/>
      <c r="I1145" s="12"/>
      <c r="J1145" s="12"/>
      <c r="K1145" s="12"/>
      <c r="L1145" s="12"/>
      <c r="M1145" s="12"/>
      <c r="N1145" s="12"/>
      <c r="O1145" s="12"/>
      <c r="P1145" s="12"/>
      <c r="Q1145" s="12"/>
      <c r="R1145" s="12"/>
      <c r="S1145" s="12"/>
      <c r="T1145" s="12"/>
      <c r="U1145" s="12"/>
      <c r="V1145" s="12"/>
      <c r="W1145" s="12"/>
      <c r="X1145" s="12"/>
      <c r="Y1145" s="12"/>
      <c r="Z1145" s="12"/>
    </row>
    <row r="1146" ht="15.0" customHeight="1">
      <c r="A1146" s="349"/>
      <c r="B1146" s="350"/>
      <c r="C1146" s="12"/>
      <c r="D1146" s="12"/>
      <c r="E1146" s="12"/>
      <c r="F1146" s="12"/>
      <c r="G1146" s="12"/>
      <c r="H1146" s="12"/>
      <c r="I1146" s="12"/>
      <c r="J1146" s="12"/>
      <c r="K1146" s="12"/>
      <c r="L1146" s="12"/>
      <c r="M1146" s="12"/>
      <c r="N1146" s="12"/>
      <c r="O1146" s="12"/>
      <c r="P1146" s="12"/>
      <c r="Q1146" s="12"/>
      <c r="R1146" s="12"/>
      <c r="S1146" s="12"/>
      <c r="T1146" s="12"/>
      <c r="U1146" s="12"/>
      <c r="V1146" s="12"/>
      <c r="W1146" s="12"/>
      <c r="X1146" s="12"/>
      <c r="Y1146" s="12"/>
      <c r="Z1146" s="12"/>
    </row>
    <row r="1147" ht="15.0" customHeight="1">
      <c r="A1147" s="291" t="s">
        <v>1917</v>
      </c>
      <c r="B1147" s="291" t="s">
        <v>1918</v>
      </c>
      <c r="C1147" s="12"/>
      <c r="D1147" s="12"/>
      <c r="E1147" s="12"/>
      <c r="F1147" s="12"/>
      <c r="G1147" s="12"/>
      <c r="H1147" s="12"/>
      <c r="I1147" s="12"/>
      <c r="J1147" s="12"/>
      <c r="K1147" s="12"/>
      <c r="L1147" s="12"/>
      <c r="M1147" s="12"/>
      <c r="N1147" s="12"/>
      <c r="O1147" s="12"/>
      <c r="P1147" s="12"/>
      <c r="Q1147" s="12"/>
      <c r="R1147" s="12"/>
      <c r="S1147" s="12"/>
      <c r="T1147" s="12"/>
      <c r="U1147" s="12"/>
      <c r="V1147" s="12"/>
      <c r="W1147" s="12"/>
      <c r="X1147" s="12"/>
      <c r="Y1147" s="12"/>
      <c r="Z1147" s="12"/>
    </row>
    <row r="1148" ht="15.0" customHeight="1">
      <c r="A1148" s="332">
        <v>1.0</v>
      </c>
      <c r="B1148" s="351">
        <v>0.15</v>
      </c>
      <c r="C1148" s="12"/>
      <c r="D1148" s="12"/>
      <c r="E1148" s="12"/>
      <c r="F1148" s="12"/>
      <c r="G1148" s="12"/>
      <c r="H1148" s="12"/>
      <c r="I1148" s="12"/>
      <c r="J1148" s="12"/>
      <c r="K1148" s="12"/>
      <c r="L1148" s="12"/>
      <c r="M1148" s="12"/>
      <c r="N1148" s="12"/>
      <c r="O1148" s="12"/>
      <c r="P1148" s="12"/>
      <c r="Q1148" s="12"/>
      <c r="R1148" s="12"/>
      <c r="S1148" s="12"/>
      <c r="T1148" s="12"/>
      <c r="U1148" s="12"/>
      <c r="V1148" s="12"/>
      <c r="W1148" s="12"/>
      <c r="X1148" s="12"/>
      <c r="Y1148" s="12"/>
      <c r="Z1148" s="12"/>
    </row>
    <row r="1149" ht="15.0" customHeight="1">
      <c r="A1149" s="332">
        <v>2.0</v>
      </c>
      <c r="B1149" s="351">
        <v>0.0</v>
      </c>
      <c r="C1149" s="12"/>
      <c r="D1149" s="12"/>
      <c r="E1149" s="12"/>
      <c r="F1149" s="12"/>
      <c r="G1149" s="12"/>
      <c r="H1149" s="12"/>
      <c r="I1149" s="12"/>
      <c r="J1149" s="12"/>
      <c r="K1149" s="12"/>
      <c r="L1149" s="12"/>
      <c r="M1149" s="12"/>
      <c r="N1149" s="12"/>
      <c r="O1149" s="12"/>
      <c r="P1149" s="12"/>
      <c r="Q1149" s="12"/>
      <c r="R1149" s="12"/>
      <c r="S1149" s="12"/>
      <c r="T1149" s="12"/>
      <c r="U1149" s="12"/>
      <c r="V1149" s="12"/>
      <c r="W1149" s="12"/>
      <c r="X1149" s="12"/>
      <c r="Y1149" s="12"/>
      <c r="Z1149" s="12"/>
    </row>
    <row r="1150" ht="15.0" customHeight="1">
      <c r="A1150" s="349"/>
      <c r="B1150" s="350"/>
      <c r="C1150" s="12"/>
      <c r="D1150" s="12"/>
      <c r="E1150" s="12"/>
      <c r="F1150" s="12"/>
      <c r="G1150" s="12"/>
      <c r="H1150" s="12"/>
      <c r="I1150" s="12"/>
      <c r="J1150" s="12"/>
      <c r="K1150" s="12"/>
      <c r="L1150" s="12"/>
      <c r="M1150" s="12"/>
      <c r="N1150" s="12"/>
      <c r="O1150" s="12"/>
      <c r="P1150" s="12"/>
      <c r="Q1150" s="12"/>
      <c r="R1150" s="12"/>
      <c r="S1150" s="12"/>
      <c r="T1150" s="12"/>
      <c r="U1150" s="12"/>
      <c r="V1150" s="12"/>
      <c r="W1150" s="12"/>
      <c r="X1150" s="12"/>
      <c r="Y1150" s="12"/>
      <c r="Z1150" s="12"/>
    </row>
    <row r="1151" ht="15.0" customHeight="1">
      <c r="A1151" s="339" t="s">
        <v>1254</v>
      </c>
      <c r="B1151" s="350"/>
      <c r="C1151" s="12"/>
      <c r="D1151" s="12"/>
      <c r="E1151" s="12"/>
      <c r="F1151" s="12"/>
      <c r="G1151" s="12"/>
      <c r="H1151" s="12"/>
      <c r="I1151" s="12"/>
      <c r="J1151" s="12"/>
      <c r="K1151" s="12"/>
      <c r="L1151" s="12"/>
      <c r="M1151" s="12"/>
      <c r="N1151" s="12"/>
      <c r="O1151" s="12"/>
      <c r="P1151" s="12"/>
      <c r="Q1151" s="12"/>
      <c r="R1151" s="12"/>
      <c r="S1151" s="12"/>
      <c r="T1151" s="12"/>
      <c r="U1151" s="12"/>
      <c r="V1151" s="12"/>
      <c r="W1151" s="12"/>
      <c r="X1151" s="12"/>
      <c r="Y1151" s="12"/>
      <c r="Z1151" s="12"/>
    </row>
    <row r="1152" ht="15.0" customHeight="1">
      <c r="A1152" s="349"/>
      <c r="B1152" s="350"/>
      <c r="C1152" s="12"/>
      <c r="D1152" s="12"/>
      <c r="E1152" s="12"/>
      <c r="F1152" s="12"/>
      <c r="G1152" s="12"/>
      <c r="H1152" s="12"/>
      <c r="I1152" s="12"/>
      <c r="J1152" s="12"/>
      <c r="K1152" s="12"/>
      <c r="L1152" s="12"/>
      <c r="M1152" s="12"/>
      <c r="N1152" s="12"/>
      <c r="O1152" s="12"/>
      <c r="P1152" s="12"/>
      <c r="Q1152" s="12"/>
      <c r="R1152" s="12"/>
      <c r="S1152" s="12"/>
      <c r="T1152" s="12"/>
      <c r="U1152" s="12"/>
      <c r="V1152" s="12"/>
      <c r="W1152" s="12"/>
      <c r="X1152" s="12"/>
      <c r="Y1152" s="12"/>
      <c r="Z1152" s="12"/>
    </row>
    <row r="1153" ht="15.0" customHeight="1">
      <c r="A1153" s="291" t="s">
        <v>1917</v>
      </c>
      <c r="B1153" s="291" t="s">
        <v>1918</v>
      </c>
      <c r="C1153" s="12"/>
      <c r="D1153" s="12"/>
      <c r="E1153" s="12"/>
      <c r="F1153" s="12"/>
      <c r="G1153" s="12"/>
      <c r="H1153" s="12"/>
      <c r="I1153" s="12"/>
      <c r="J1153" s="12"/>
      <c r="K1153" s="12"/>
      <c r="L1153" s="12"/>
      <c r="M1153" s="12"/>
      <c r="N1153" s="12"/>
      <c r="O1153" s="12"/>
      <c r="P1153" s="12"/>
      <c r="Q1153" s="12"/>
      <c r="R1153" s="12"/>
      <c r="S1153" s="12"/>
      <c r="T1153" s="12"/>
      <c r="U1153" s="12"/>
      <c r="V1153" s="12"/>
      <c r="W1153" s="12"/>
      <c r="X1153" s="12"/>
      <c r="Y1153" s="12"/>
      <c r="Z1153" s="12"/>
    </row>
    <row r="1154" ht="15.0" customHeight="1">
      <c r="A1154" s="332">
        <v>1.0</v>
      </c>
      <c r="B1154" s="351">
        <v>1.0</v>
      </c>
      <c r="C1154" s="12"/>
      <c r="D1154" s="12"/>
      <c r="E1154" s="12"/>
      <c r="F1154" s="12"/>
      <c r="G1154" s="12"/>
      <c r="H1154" s="12"/>
      <c r="I1154" s="12"/>
      <c r="J1154" s="12"/>
      <c r="K1154" s="12"/>
      <c r="L1154" s="12"/>
      <c r="M1154" s="12"/>
      <c r="N1154" s="12"/>
      <c r="O1154" s="12"/>
      <c r="P1154" s="12"/>
      <c r="Q1154" s="12"/>
      <c r="R1154" s="12"/>
      <c r="S1154" s="12"/>
      <c r="T1154" s="12"/>
      <c r="U1154" s="12"/>
      <c r="V1154" s="12"/>
      <c r="W1154" s="12"/>
      <c r="X1154" s="12"/>
      <c r="Y1154" s="12"/>
      <c r="Z1154" s="12"/>
    </row>
    <row r="1155" ht="15.0" customHeight="1">
      <c r="A1155" s="332">
        <v>2.0</v>
      </c>
      <c r="B1155" s="351">
        <v>0.04</v>
      </c>
      <c r="C1155" s="12"/>
      <c r="D1155" s="12"/>
      <c r="E1155" s="12"/>
      <c r="F1155" s="12"/>
      <c r="G1155" s="12"/>
      <c r="H1155" s="12"/>
      <c r="I1155" s="12"/>
      <c r="J1155" s="12"/>
      <c r="K1155" s="12"/>
      <c r="L1155" s="12"/>
      <c r="M1155" s="12"/>
      <c r="N1155" s="12"/>
      <c r="O1155" s="12"/>
      <c r="P1155" s="12"/>
      <c r="Q1155" s="12"/>
      <c r="R1155" s="12"/>
      <c r="S1155" s="12"/>
      <c r="T1155" s="12"/>
      <c r="U1155" s="12"/>
      <c r="V1155" s="12"/>
      <c r="W1155" s="12"/>
      <c r="X1155" s="12"/>
      <c r="Y1155" s="12"/>
      <c r="Z1155" s="12"/>
    </row>
    <row r="1156" ht="15.0" customHeight="1">
      <c r="A1156" s="332">
        <v>3.0</v>
      </c>
      <c r="B1156" s="351">
        <v>0.04</v>
      </c>
      <c r="C1156" s="12"/>
      <c r="D1156" s="12"/>
      <c r="E1156" s="12"/>
      <c r="F1156" s="12"/>
      <c r="G1156" s="12"/>
      <c r="H1156" s="12"/>
      <c r="I1156" s="12"/>
      <c r="J1156" s="12"/>
      <c r="K1156" s="12"/>
      <c r="L1156" s="12"/>
      <c r="M1156" s="12"/>
      <c r="N1156" s="12"/>
      <c r="O1156" s="12"/>
      <c r="P1156" s="12"/>
      <c r="Q1156" s="12"/>
      <c r="R1156" s="12"/>
      <c r="S1156" s="12"/>
      <c r="T1156" s="12"/>
      <c r="U1156" s="12"/>
      <c r="V1156" s="12"/>
      <c r="W1156" s="12"/>
      <c r="X1156" s="12"/>
      <c r="Y1156" s="12"/>
      <c r="Z1156" s="12"/>
    </row>
    <row r="1157" ht="15.0" customHeight="1">
      <c r="A1157" s="332">
        <v>4.0</v>
      </c>
      <c r="B1157" s="351">
        <v>0.04</v>
      </c>
      <c r="C1157" s="12"/>
      <c r="D1157" s="12"/>
      <c r="E1157" s="12"/>
      <c r="F1157" s="12"/>
      <c r="G1157" s="12"/>
      <c r="H1157" s="12"/>
      <c r="I1157" s="12"/>
      <c r="J1157" s="12"/>
      <c r="K1157" s="12"/>
      <c r="L1157" s="12"/>
      <c r="M1157" s="12"/>
      <c r="N1157" s="12"/>
      <c r="O1157" s="12"/>
      <c r="P1157" s="12"/>
      <c r="Q1157" s="12"/>
      <c r="R1157" s="12"/>
      <c r="S1157" s="12"/>
      <c r="T1157" s="12"/>
      <c r="U1157" s="12"/>
      <c r="V1157" s="12"/>
      <c r="W1157" s="12"/>
      <c r="X1157" s="12"/>
      <c r="Y1157" s="12"/>
      <c r="Z1157" s="12"/>
    </row>
    <row r="1158" ht="15.0" customHeight="1">
      <c r="A1158" s="332">
        <v>5.0</v>
      </c>
      <c r="B1158" s="351">
        <v>0.04</v>
      </c>
      <c r="C1158" s="12"/>
      <c r="D1158" s="12"/>
      <c r="E1158" s="12"/>
      <c r="F1158" s="12"/>
      <c r="G1158" s="12"/>
      <c r="H1158" s="12"/>
      <c r="I1158" s="12"/>
      <c r="J1158" s="12"/>
      <c r="K1158" s="12"/>
      <c r="L1158" s="12"/>
      <c r="M1158" s="12"/>
      <c r="N1158" s="12"/>
      <c r="O1158" s="12"/>
      <c r="P1158" s="12"/>
      <c r="Q1158" s="12"/>
      <c r="R1158" s="12"/>
      <c r="S1158" s="12"/>
      <c r="T1158" s="12"/>
      <c r="U1158" s="12"/>
      <c r="V1158" s="12"/>
      <c r="W1158" s="12"/>
      <c r="X1158" s="12"/>
      <c r="Y1158" s="12"/>
      <c r="Z1158" s="12"/>
    </row>
    <row r="1159" ht="15.0" customHeight="1">
      <c r="A1159" s="171">
        <v>6.0</v>
      </c>
      <c r="B1159" s="351">
        <v>0.0</v>
      </c>
      <c r="C1159" s="12"/>
      <c r="D1159" s="12"/>
      <c r="E1159" s="12"/>
      <c r="F1159" s="12"/>
      <c r="G1159" s="12"/>
      <c r="H1159" s="12"/>
      <c r="I1159" s="12"/>
      <c r="J1159" s="12"/>
      <c r="K1159" s="12"/>
      <c r="L1159" s="12"/>
      <c r="M1159" s="12"/>
      <c r="N1159" s="12"/>
      <c r="O1159" s="12"/>
      <c r="P1159" s="12"/>
      <c r="Q1159" s="12"/>
      <c r="R1159" s="12"/>
      <c r="S1159" s="12"/>
      <c r="T1159" s="12"/>
      <c r="U1159" s="12"/>
      <c r="V1159" s="12"/>
      <c r="W1159" s="12"/>
      <c r="X1159" s="12"/>
      <c r="Y1159" s="12"/>
      <c r="Z1159" s="12"/>
    </row>
    <row r="1160" ht="15.0" customHeight="1">
      <c r="A1160" s="349"/>
      <c r="B1160" s="350"/>
      <c r="C1160" s="12"/>
      <c r="D1160" s="12"/>
      <c r="E1160" s="12"/>
      <c r="F1160" s="12"/>
      <c r="G1160" s="12"/>
      <c r="H1160" s="12"/>
      <c r="I1160" s="12"/>
      <c r="J1160" s="12"/>
      <c r="K1160" s="12"/>
      <c r="L1160" s="12"/>
      <c r="M1160" s="12"/>
      <c r="N1160" s="12"/>
      <c r="O1160" s="12"/>
      <c r="P1160" s="12"/>
      <c r="Q1160" s="12"/>
      <c r="R1160" s="12"/>
      <c r="S1160" s="12"/>
      <c r="T1160" s="12"/>
      <c r="U1160" s="12"/>
      <c r="V1160" s="12"/>
      <c r="W1160" s="12"/>
      <c r="X1160" s="12"/>
      <c r="Y1160" s="12"/>
      <c r="Z1160" s="12"/>
    </row>
    <row r="1161" ht="15.0" customHeight="1">
      <c r="A1161" s="339" t="s">
        <v>1250</v>
      </c>
      <c r="B1161" s="350"/>
      <c r="C1161" s="12"/>
      <c r="D1161" s="12"/>
      <c r="E1161" s="12"/>
      <c r="F1161" s="12"/>
      <c r="G1161" s="12"/>
      <c r="H1161" s="12"/>
      <c r="I1161" s="12"/>
      <c r="J1161" s="12"/>
      <c r="K1161" s="12"/>
      <c r="L1161" s="12"/>
      <c r="M1161" s="12"/>
      <c r="N1161" s="12"/>
      <c r="O1161" s="12"/>
      <c r="P1161" s="12"/>
      <c r="Q1161" s="12"/>
      <c r="R1161" s="12"/>
      <c r="S1161" s="12"/>
      <c r="T1161" s="12"/>
      <c r="U1161" s="12"/>
      <c r="V1161" s="12"/>
      <c r="W1161" s="12"/>
      <c r="X1161" s="12"/>
      <c r="Y1161" s="12"/>
      <c r="Z1161" s="12"/>
    </row>
    <row r="1162" ht="15.0" customHeight="1">
      <c r="A1162" s="349"/>
      <c r="B1162" s="350"/>
      <c r="C1162" s="12"/>
      <c r="D1162" s="12"/>
      <c r="E1162" s="12"/>
      <c r="F1162" s="12"/>
      <c r="G1162" s="12"/>
      <c r="H1162" s="12"/>
      <c r="I1162" s="12"/>
      <c r="J1162" s="12"/>
      <c r="K1162" s="12"/>
      <c r="L1162" s="12"/>
      <c r="M1162" s="12"/>
      <c r="N1162" s="12"/>
      <c r="O1162" s="12"/>
      <c r="P1162" s="12"/>
      <c r="Q1162" s="12"/>
      <c r="R1162" s="12"/>
      <c r="S1162" s="12"/>
      <c r="T1162" s="12"/>
      <c r="U1162" s="12"/>
      <c r="V1162" s="12"/>
      <c r="W1162" s="12"/>
      <c r="X1162" s="12"/>
      <c r="Y1162" s="12"/>
      <c r="Z1162" s="12"/>
    </row>
    <row r="1163" ht="15.0" customHeight="1">
      <c r="A1163" s="291" t="s">
        <v>1917</v>
      </c>
      <c r="B1163" s="291" t="s">
        <v>1918</v>
      </c>
      <c r="C1163" s="12"/>
      <c r="D1163" s="12"/>
      <c r="E1163" s="12"/>
      <c r="F1163" s="12"/>
      <c r="G1163" s="12"/>
      <c r="H1163" s="12"/>
      <c r="I1163" s="12"/>
      <c r="J1163" s="12"/>
      <c r="K1163" s="12"/>
      <c r="L1163" s="12"/>
      <c r="M1163" s="12"/>
      <c r="N1163" s="12"/>
      <c r="O1163" s="12"/>
      <c r="P1163" s="12"/>
      <c r="Q1163" s="12"/>
      <c r="R1163" s="12"/>
      <c r="S1163" s="12"/>
      <c r="T1163" s="12"/>
      <c r="U1163" s="12"/>
      <c r="V1163" s="12"/>
      <c r="W1163" s="12"/>
      <c r="X1163" s="12"/>
      <c r="Y1163" s="12"/>
      <c r="Z1163" s="12"/>
    </row>
    <row r="1164" ht="15.0" customHeight="1">
      <c r="A1164" s="332">
        <v>1.0</v>
      </c>
      <c r="B1164" s="351">
        <v>0.06</v>
      </c>
      <c r="C1164" s="12"/>
      <c r="D1164" s="12"/>
      <c r="E1164" s="12"/>
      <c r="F1164" s="12"/>
      <c r="G1164" s="12"/>
      <c r="H1164" s="12"/>
      <c r="I1164" s="12"/>
      <c r="J1164" s="12"/>
      <c r="K1164" s="12"/>
      <c r="L1164" s="12"/>
      <c r="M1164" s="12"/>
      <c r="N1164" s="12"/>
      <c r="O1164" s="12"/>
      <c r="P1164" s="12"/>
      <c r="Q1164" s="12"/>
      <c r="R1164" s="12"/>
      <c r="S1164" s="12"/>
      <c r="T1164" s="12"/>
      <c r="U1164" s="12"/>
      <c r="V1164" s="12"/>
      <c r="W1164" s="12"/>
      <c r="X1164" s="12"/>
      <c r="Y1164" s="12"/>
      <c r="Z1164" s="12"/>
    </row>
    <row r="1165" ht="15.0" customHeight="1">
      <c r="A1165" s="332">
        <v>2.0</v>
      </c>
      <c r="B1165" s="351">
        <v>0.04</v>
      </c>
      <c r="C1165" s="12"/>
      <c r="D1165" s="12"/>
      <c r="E1165" s="12"/>
      <c r="F1165" s="12"/>
      <c r="G1165" s="12"/>
      <c r="H1165" s="12"/>
      <c r="I1165" s="12"/>
      <c r="J1165" s="12"/>
      <c r="K1165" s="12"/>
      <c r="L1165" s="12"/>
      <c r="M1165" s="12"/>
      <c r="N1165" s="12"/>
      <c r="O1165" s="12"/>
      <c r="P1165" s="12"/>
      <c r="Q1165" s="12"/>
      <c r="R1165" s="12"/>
      <c r="S1165" s="12"/>
      <c r="T1165" s="12"/>
      <c r="U1165" s="12"/>
      <c r="V1165" s="12"/>
      <c r="W1165" s="12"/>
      <c r="X1165" s="12"/>
      <c r="Y1165" s="12"/>
      <c r="Z1165" s="12"/>
    </row>
    <row r="1166" ht="15.0" customHeight="1">
      <c r="A1166" s="332">
        <v>3.0</v>
      </c>
      <c r="B1166" s="351">
        <v>0.04</v>
      </c>
      <c r="C1166" s="12"/>
      <c r="D1166" s="12"/>
      <c r="E1166" s="12"/>
      <c r="F1166" s="12"/>
      <c r="G1166" s="12"/>
      <c r="H1166" s="12"/>
      <c r="I1166" s="12"/>
      <c r="J1166" s="12"/>
      <c r="K1166" s="12"/>
      <c r="L1166" s="12"/>
      <c r="M1166" s="12"/>
      <c r="N1166" s="12"/>
      <c r="O1166" s="12"/>
      <c r="P1166" s="12"/>
      <c r="Q1166" s="12"/>
      <c r="R1166" s="12"/>
      <c r="S1166" s="12"/>
      <c r="T1166" s="12"/>
      <c r="U1166" s="12"/>
      <c r="V1166" s="12"/>
      <c r="W1166" s="12"/>
      <c r="X1166" s="12"/>
      <c r="Y1166" s="12"/>
      <c r="Z1166" s="12"/>
    </row>
    <row r="1167" ht="15.0" customHeight="1">
      <c r="A1167" s="332">
        <v>4.0</v>
      </c>
      <c r="B1167" s="351">
        <v>0.0</v>
      </c>
      <c r="C1167" s="12"/>
      <c r="D1167" s="12"/>
      <c r="E1167" s="12"/>
      <c r="F1167" s="12"/>
      <c r="G1167" s="12"/>
      <c r="H1167" s="12"/>
      <c r="I1167" s="12"/>
      <c r="J1167" s="12"/>
      <c r="K1167" s="12"/>
      <c r="L1167" s="12"/>
      <c r="M1167" s="12"/>
      <c r="N1167" s="12"/>
      <c r="O1167" s="12"/>
      <c r="P1167" s="12"/>
      <c r="Q1167" s="12"/>
      <c r="R1167" s="12"/>
      <c r="S1167" s="12"/>
      <c r="T1167" s="12"/>
      <c r="U1167" s="12"/>
      <c r="V1167" s="12"/>
      <c r="W1167" s="12"/>
      <c r="X1167" s="12"/>
      <c r="Y1167" s="12"/>
      <c r="Z1167" s="12"/>
    </row>
    <row r="1168" ht="15.0" customHeight="1">
      <c r="A1168" s="349"/>
      <c r="B1168" s="350"/>
      <c r="C1168" s="12"/>
      <c r="D1168" s="12"/>
      <c r="E1168" s="12"/>
      <c r="F1168" s="12"/>
      <c r="G1168" s="12"/>
      <c r="H1168" s="12"/>
      <c r="I1168" s="12"/>
      <c r="J1168" s="12"/>
      <c r="K1168" s="12"/>
      <c r="L1168" s="12"/>
      <c r="M1168" s="12"/>
      <c r="N1168" s="12"/>
      <c r="O1168" s="12"/>
      <c r="P1168" s="12"/>
      <c r="Q1168" s="12"/>
      <c r="R1168" s="12"/>
      <c r="S1168" s="12"/>
      <c r="T1168" s="12"/>
      <c r="U1168" s="12"/>
      <c r="V1168" s="12"/>
      <c r="W1168" s="12"/>
      <c r="X1168" s="12"/>
      <c r="Y1168" s="12"/>
      <c r="Z1168" s="12"/>
    </row>
    <row r="1169" ht="15.0" customHeight="1">
      <c r="A1169" s="339" t="s">
        <v>1246</v>
      </c>
      <c r="B1169" s="350"/>
      <c r="C1169" s="12"/>
      <c r="D1169" s="12"/>
      <c r="E1169" s="12"/>
      <c r="F1169" s="12"/>
      <c r="G1169" s="12"/>
      <c r="H1169" s="12"/>
      <c r="I1169" s="12"/>
      <c r="J1169" s="12"/>
      <c r="K1169" s="12"/>
      <c r="L1169" s="12"/>
      <c r="M1169" s="12"/>
      <c r="N1169" s="12"/>
      <c r="O1169" s="12"/>
      <c r="P1169" s="12"/>
      <c r="Q1169" s="12"/>
      <c r="R1169" s="12"/>
      <c r="S1169" s="12"/>
      <c r="T1169" s="12"/>
      <c r="U1169" s="12"/>
      <c r="V1169" s="12"/>
      <c r="W1169" s="12"/>
      <c r="X1169" s="12"/>
      <c r="Y1169" s="12"/>
      <c r="Z1169" s="12"/>
    </row>
    <row r="1170" ht="15.0" customHeight="1">
      <c r="A1170" s="349"/>
      <c r="B1170" s="350"/>
      <c r="C1170" s="12"/>
      <c r="D1170" s="12"/>
      <c r="E1170" s="12"/>
      <c r="F1170" s="12"/>
      <c r="G1170" s="12"/>
      <c r="H1170" s="12"/>
      <c r="I1170" s="12"/>
      <c r="J1170" s="12"/>
      <c r="K1170" s="12"/>
      <c r="L1170" s="12"/>
      <c r="M1170" s="12"/>
      <c r="N1170" s="12"/>
      <c r="O1170" s="12"/>
      <c r="P1170" s="12"/>
      <c r="Q1170" s="12"/>
      <c r="R1170" s="12"/>
      <c r="S1170" s="12"/>
      <c r="T1170" s="12"/>
      <c r="U1170" s="12"/>
      <c r="V1170" s="12"/>
      <c r="W1170" s="12"/>
      <c r="X1170" s="12"/>
      <c r="Y1170" s="12"/>
      <c r="Z1170" s="12"/>
    </row>
    <row r="1171" ht="15.0" customHeight="1">
      <c r="A1171" s="291" t="s">
        <v>1917</v>
      </c>
      <c r="B1171" s="291" t="s">
        <v>1918</v>
      </c>
      <c r="C1171" s="12"/>
      <c r="D1171" s="12"/>
      <c r="E1171" s="12"/>
      <c r="F1171" s="12"/>
      <c r="G1171" s="12"/>
      <c r="H1171" s="12"/>
      <c r="I1171" s="12"/>
      <c r="J1171" s="12"/>
      <c r="K1171" s="12"/>
      <c r="L1171" s="12"/>
      <c r="M1171" s="12"/>
      <c r="N1171" s="12"/>
      <c r="O1171" s="12"/>
      <c r="P1171" s="12"/>
      <c r="Q1171" s="12"/>
      <c r="R1171" s="12"/>
      <c r="S1171" s="12"/>
      <c r="T1171" s="12"/>
      <c r="U1171" s="12"/>
      <c r="V1171" s="12"/>
      <c r="W1171" s="12"/>
      <c r="X1171" s="12"/>
      <c r="Y1171" s="12"/>
      <c r="Z1171" s="12"/>
    </row>
    <row r="1172" ht="15.0" customHeight="1">
      <c r="A1172" s="332">
        <v>1.0</v>
      </c>
      <c r="B1172" s="351">
        <v>0.075</v>
      </c>
      <c r="C1172" s="12"/>
      <c r="D1172" s="12"/>
      <c r="E1172" s="12"/>
      <c r="F1172" s="12"/>
      <c r="G1172" s="12"/>
      <c r="H1172" s="12"/>
      <c r="I1172" s="12"/>
      <c r="J1172" s="12"/>
      <c r="K1172" s="12"/>
      <c r="L1172" s="12"/>
      <c r="M1172" s="12"/>
      <c r="N1172" s="12"/>
      <c r="O1172" s="12"/>
      <c r="P1172" s="12"/>
      <c r="Q1172" s="12"/>
      <c r="R1172" s="12"/>
      <c r="S1172" s="12"/>
      <c r="T1172" s="12"/>
      <c r="U1172" s="12"/>
      <c r="V1172" s="12"/>
      <c r="W1172" s="12"/>
      <c r="X1172" s="12"/>
      <c r="Y1172" s="12"/>
      <c r="Z1172" s="12"/>
    </row>
    <row r="1173" ht="15.0" customHeight="1">
      <c r="A1173" s="332">
        <v>2.0</v>
      </c>
      <c r="B1173" s="351">
        <v>0.03</v>
      </c>
      <c r="C1173" s="12"/>
      <c r="D1173" s="12"/>
      <c r="E1173" s="12"/>
      <c r="F1173" s="12"/>
      <c r="G1173" s="12"/>
      <c r="H1173" s="12"/>
      <c r="I1173" s="12"/>
      <c r="J1173" s="12"/>
      <c r="K1173" s="12"/>
      <c r="L1173" s="12"/>
      <c r="M1173" s="12"/>
      <c r="N1173" s="12"/>
      <c r="O1173" s="12"/>
      <c r="P1173" s="12"/>
      <c r="Q1173" s="12"/>
      <c r="R1173" s="12"/>
      <c r="S1173" s="12"/>
      <c r="T1173" s="12"/>
      <c r="U1173" s="12"/>
      <c r="V1173" s="12"/>
      <c r="W1173" s="12"/>
      <c r="X1173" s="12"/>
      <c r="Y1173" s="12"/>
      <c r="Z1173" s="12"/>
    </row>
    <row r="1174" ht="15.0" customHeight="1">
      <c r="A1174" s="332">
        <v>3.0</v>
      </c>
      <c r="B1174" s="351">
        <v>0.03</v>
      </c>
      <c r="C1174" s="12"/>
      <c r="D1174" s="12"/>
      <c r="E1174" s="12"/>
      <c r="F1174" s="12"/>
      <c r="G1174" s="12"/>
      <c r="H1174" s="12"/>
      <c r="I1174" s="12"/>
      <c r="J1174" s="12"/>
      <c r="K1174" s="12"/>
      <c r="L1174" s="12"/>
      <c r="M1174" s="12"/>
      <c r="N1174" s="12"/>
      <c r="O1174" s="12"/>
      <c r="P1174" s="12"/>
      <c r="Q1174" s="12"/>
      <c r="R1174" s="12"/>
      <c r="S1174" s="12"/>
      <c r="T1174" s="12"/>
      <c r="U1174" s="12"/>
      <c r="V1174" s="12"/>
      <c r="W1174" s="12"/>
      <c r="X1174" s="12"/>
      <c r="Y1174" s="12"/>
      <c r="Z1174" s="12"/>
    </row>
    <row r="1175" ht="15.0" customHeight="1">
      <c r="A1175" s="332">
        <v>4.0</v>
      </c>
      <c r="B1175" s="351">
        <v>0.0</v>
      </c>
      <c r="C1175" s="12"/>
      <c r="D1175" s="12"/>
      <c r="E1175" s="12"/>
      <c r="F1175" s="12"/>
      <c r="G1175" s="12"/>
      <c r="H1175" s="12"/>
      <c r="I1175" s="12"/>
      <c r="J1175" s="12"/>
      <c r="K1175" s="12"/>
      <c r="L1175" s="12"/>
      <c r="M1175" s="12"/>
      <c r="N1175" s="12"/>
      <c r="O1175" s="12"/>
      <c r="P1175" s="12"/>
      <c r="Q1175" s="12"/>
      <c r="R1175" s="12"/>
      <c r="S1175" s="12"/>
      <c r="T1175" s="12"/>
      <c r="U1175" s="12"/>
      <c r="V1175" s="12"/>
      <c r="W1175" s="12"/>
      <c r="X1175" s="12"/>
      <c r="Y1175" s="12"/>
      <c r="Z1175" s="12"/>
    </row>
    <row r="1176" ht="15.0" customHeight="1">
      <c r="A1176" s="349"/>
      <c r="B1176" s="350"/>
      <c r="C1176" s="12"/>
      <c r="D1176" s="12"/>
      <c r="E1176" s="12"/>
      <c r="F1176" s="12"/>
      <c r="G1176" s="12"/>
      <c r="H1176" s="12"/>
      <c r="I1176" s="12"/>
      <c r="J1176" s="12"/>
      <c r="K1176" s="12"/>
      <c r="L1176" s="12"/>
      <c r="M1176" s="12"/>
      <c r="N1176" s="12"/>
      <c r="O1176" s="12"/>
      <c r="P1176" s="12"/>
      <c r="Q1176" s="12"/>
      <c r="R1176" s="12"/>
      <c r="S1176" s="12"/>
      <c r="T1176" s="12"/>
      <c r="U1176" s="12"/>
      <c r="V1176" s="12"/>
      <c r="W1176" s="12"/>
      <c r="X1176" s="12"/>
      <c r="Y1176" s="12"/>
      <c r="Z1176" s="12"/>
    </row>
    <row r="1177" ht="15.0" customHeight="1">
      <c r="A1177" s="339" t="s">
        <v>1242</v>
      </c>
      <c r="B1177" s="350"/>
      <c r="C1177" s="12"/>
      <c r="D1177" s="12"/>
      <c r="E1177" s="12"/>
      <c r="F1177" s="12"/>
      <c r="G1177" s="12"/>
      <c r="H1177" s="12"/>
      <c r="I1177" s="12"/>
      <c r="J1177" s="12"/>
      <c r="K1177" s="12"/>
      <c r="L1177" s="12"/>
      <c r="M1177" s="12"/>
      <c r="N1177" s="12"/>
      <c r="O1177" s="12"/>
      <c r="P1177" s="12"/>
      <c r="Q1177" s="12"/>
      <c r="R1177" s="12"/>
      <c r="S1177" s="12"/>
      <c r="T1177" s="12"/>
      <c r="U1177" s="12"/>
      <c r="V1177" s="12"/>
      <c r="W1177" s="12"/>
      <c r="X1177" s="12"/>
      <c r="Y1177" s="12"/>
      <c r="Z1177" s="12"/>
    </row>
    <row r="1178" ht="15.0" customHeight="1">
      <c r="A1178" s="349"/>
      <c r="B1178" s="350"/>
      <c r="C1178" s="12"/>
      <c r="D1178" s="12"/>
      <c r="E1178" s="12"/>
      <c r="F1178" s="12"/>
      <c r="G1178" s="12"/>
      <c r="H1178" s="12"/>
      <c r="I1178" s="12"/>
      <c r="J1178" s="12"/>
      <c r="K1178" s="12"/>
      <c r="L1178" s="12"/>
      <c r="M1178" s="12"/>
      <c r="N1178" s="12"/>
      <c r="O1178" s="12"/>
      <c r="P1178" s="12"/>
      <c r="Q1178" s="12"/>
      <c r="R1178" s="12"/>
      <c r="S1178" s="12"/>
      <c r="T1178" s="12"/>
      <c r="U1178" s="12"/>
      <c r="V1178" s="12"/>
      <c r="W1178" s="12"/>
      <c r="X1178" s="12"/>
      <c r="Y1178" s="12"/>
      <c r="Z1178" s="12"/>
    </row>
    <row r="1179" ht="15.0" customHeight="1">
      <c r="A1179" s="291" t="s">
        <v>1917</v>
      </c>
      <c r="B1179" s="291" t="s">
        <v>1918</v>
      </c>
      <c r="C1179" s="12"/>
      <c r="D1179" s="12"/>
      <c r="E1179" s="12"/>
      <c r="F1179" s="12"/>
      <c r="G1179" s="12"/>
      <c r="H1179" s="12"/>
      <c r="I1179" s="12"/>
      <c r="J1179" s="12"/>
      <c r="K1179" s="12"/>
      <c r="L1179" s="12"/>
      <c r="M1179" s="12"/>
      <c r="N1179" s="12"/>
      <c r="O1179" s="12"/>
      <c r="P1179" s="12"/>
      <c r="Q1179" s="12"/>
      <c r="R1179" s="12"/>
      <c r="S1179" s="12"/>
      <c r="T1179" s="12"/>
      <c r="U1179" s="12"/>
      <c r="V1179" s="12"/>
      <c r="W1179" s="12"/>
      <c r="X1179" s="12"/>
      <c r="Y1179" s="12"/>
      <c r="Z1179" s="12"/>
    </row>
    <row r="1180" ht="15.0" customHeight="1">
      <c r="A1180" s="332">
        <v>1.0</v>
      </c>
      <c r="B1180" s="351">
        <v>0.14</v>
      </c>
      <c r="C1180" s="12"/>
      <c r="D1180" s="12"/>
      <c r="E1180" s="12"/>
      <c r="F1180" s="12"/>
      <c r="G1180" s="12"/>
      <c r="H1180" s="12"/>
      <c r="I1180" s="12"/>
      <c r="J1180" s="12"/>
      <c r="K1180" s="12"/>
      <c r="L1180" s="12"/>
      <c r="M1180" s="12"/>
      <c r="N1180" s="12"/>
      <c r="O1180" s="12"/>
      <c r="P1180" s="12"/>
      <c r="Q1180" s="12"/>
      <c r="R1180" s="12"/>
      <c r="S1180" s="12"/>
      <c r="T1180" s="12"/>
      <c r="U1180" s="12"/>
      <c r="V1180" s="12"/>
      <c r="W1180" s="12"/>
      <c r="X1180" s="12"/>
      <c r="Y1180" s="12"/>
      <c r="Z1180" s="12"/>
    </row>
    <row r="1181" ht="15.0" customHeight="1">
      <c r="A1181" s="332">
        <v>2.0</v>
      </c>
      <c r="B1181" s="351">
        <v>0.04</v>
      </c>
      <c r="C1181" s="12"/>
      <c r="D1181" s="12"/>
      <c r="E1181" s="12"/>
      <c r="F1181" s="12"/>
      <c r="G1181" s="12"/>
      <c r="H1181" s="12"/>
      <c r="I1181" s="12"/>
      <c r="J1181" s="12"/>
      <c r="K1181" s="12"/>
      <c r="L1181" s="12"/>
      <c r="M1181" s="12"/>
      <c r="N1181" s="12"/>
      <c r="O1181" s="12"/>
      <c r="P1181" s="12"/>
      <c r="Q1181" s="12"/>
      <c r="R1181" s="12"/>
      <c r="S1181" s="12"/>
      <c r="T1181" s="12"/>
      <c r="U1181" s="12"/>
      <c r="V1181" s="12"/>
      <c r="W1181" s="12"/>
      <c r="X1181" s="12"/>
      <c r="Y1181" s="12"/>
      <c r="Z1181" s="12"/>
    </row>
    <row r="1182" ht="15.0" customHeight="1">
      <c r="A1182" s="332">
        <v>3.0</v>
      </c>
      <c r="B1182" s="351">
        <v>0.02</v>
      </c>
      <c r="C1182" s="12"/>
      <c r="D1182" s="12"/>
      <c r="E1182" s="12"/>
      <c r="F1182" s="12"/>
      <c r="G1182" s="12"/>
      <c r="H1182" s="12"/>
      <c r="I1182" s="12"/>
      <c r="J1182" s="12"/>
      <c r="K1182" s="12"/>
      <c r="L1182" s="12"/>
      <c r="M1182" s="12"/>
      <c r="N1182" s="12"/>
      <c r="O1182" s="12"/>
      <c r="P1182" s="12"/>
      <c r="Q1182" s="12"/>
      <c r="R1182" s="12"/>
      <c r="S1182" s="12"/>
      <c r="T1182" s="12"/>
      <c r="U1182" s="12"/>
      <c r="V1182" s="12"/>
      <c r="W1182" s="12"/>
      <c r="X1182" s="12"/>
      <c r="Y1182" s="12"/>
      <c r="Z1182" s="12"/>
    </row>
    <row r="1183" ht="15.0" customHeight="1">
      <c r="A1183" s="349"/>
      <c r="B1183" s="350"/>
      <c r="C1183" s="12"/>
      <c r="D1183" s="12"/>
      <c r="E1183" s="12"/>
      <c r="F1183" s="12"/>
      <c r="G1183" s="12"/>
      <c r="H1183" s="12"/>
      <c r="I1183" s="12"/>
      <c r="J1183" s="12"/>
      <c r="K1183" s="12"/>
      <c r="L1183" s="12"/>
      <c r="M1183" s="12"/>
      <c r="N1183" s="12"/>
      <c r="O1183" s="12"/>
      <c r="P1183" s="12"/>
      <c r="Q1183" s="12"/>
      <c r="R1183" s="12"/>
      <c r="S1183" s="12"/>
      <c r="T1183" s="12"/>
      <c r="U1183" s="12"/>
      <c r="V1183" s="12"/>
      <c r="W1183" s="12"/>
      <c r="X1183" s="12"/>
      <c r="Y1183" s="12"/>
      <c r="Z1183" s="12"/>
    </row>
    <row r="1184" ht="15.0" customHeight="1">
      <c r="A1184" s="339" t="s">
        <v>1238</v>
      </c>
      <c r="B1184" s="350"/>
      <c r="C1184" s="12"/>
      <c r="D1184" s="12"/>
      <c r="E1184" s="12"/>
      <c r="F1184" s="12"/>
      <c r="G1184" s="12"/>
      <c r="H1184" s="12"/>
      <c r="I1184" s="12"/>
      <c r="J1184" s="12"/>
      <c r="K1184" s="12"/>
      <c r="L1184" s="12"/>
      <c r="M1184" s="12"/>
      <c r="N1184" s="12"/>
      <c r="O1184" s="12"/>
      <c r="P1184" s="12"/>
      <c r="Q1184" s="12"/>
      <c r="R1184" s="12"/>
      <c r="S1184" s="12"/>
      <c r="T1184" s="12"/>
      <c r="U1184" s="12"/>
      <c r="V1184" s="12"/>
      <c r="W1184" s="12"/>
      <c r="X1184" s="12"/>
      <c r="Y1184" s="12"/>
      <c r="Z1184" s="12"/>
    </row>
    <row r="1185" ht="15.0" customHeight="1">
      <c r="A1185" s="349"/>
      <c r="B1185" s="350"/>
      <c r="C1185" s="12"/>
      <c r="D1185" s="12"/>
      <c r="E1185" s="12"/>
      <c r="F1185" s="12"/>
      <c r="G1185" s="12"/>
      <c r="H1185" s="12"/>
      <c r="I1185" s="12"/>
      <c r="J1185" s="12"/>
      <c r="K1185" s="12"/>
      <c r="L1185" s="12"/>
      <c r="M1185" s="12"/>
      <c r="N1185" s="12"/>
      <c r="O1185" s="12"/>
      <c r="P1185" s="12"/>
      <c r="Q1185" s="12"/>
      <c r="R1185" s="12"/>
      <c r="S1185" s="12"/>
      <c r="T1185" s="12"/>
      <c r="U1185" s="12"/>
      <c r="V1185" s="12"/>
      <c r="W1185" s="12"/>
      <c r="X1185" s="12"/>
      <c r="Y1185" s="12"/>
      <c r="Z1185" s="12"/>
    </row>
    <row r="1186" ht="15.0" customHeight="1">
      <c r="A1186" s="291" t="s">
        <v>1917</v>
      </c>
      <c r="B1186" s="291" t="s">
        <v>1918</v>
      </c>
      <c r="C1186" s="12"/>
      <c r="D1186" s="12"/>
      <c r="E1186" s="12"/>
      <c r="F1186" s="12"/>
      <c r="G1186" s="12"/>
      <c r="H1186" s="12"/>
      <c r="I1186" s="12"/>
      <c r="J1186" s="12"/>
      <c r="K1186" s="12"/>
      <c r="L1186" s="12"/>
      <c r="M1186" s="12"/>
      <c r="N1186" s="12"/>
      <c r="O1186" s="12"/>
      <c r="P1186" s="12"/>
      <c r="Q1186" s="12"/>
      <c r="R1186" s="12"/>
      <c r="S1186" s="12"/>
      <c r="T1186" s="12"/>
      <c r="U1186" s="12"/>
      <c r="V1186" s="12"/>
      <c r="W1186" s="12"/>
      <c r="X1186" s="12"/>
      <c r="Y1186" s="12"/>
      <c r="Z1186" s="12"/>
    </row>
    <row r="1187" ht="15.0" customHeight="1">
      <c r="A1187" s="332">
        <v>1.0</v>
      </c>
      <c r="B1187" s="351">
        <v>0.15</v>
      </c>
      <c r="C1187" s="12"/>
      <c r="D1187" s="12"/>
      <c r="E1187" s="12"/>
      <c r="F1187" s="12"/>
      <c r="G1187" s="12"/>
      <c r="H1187" s="12"/>
      <c r="I1187" s="12"/>
      <c r="J1187" s="12"/>
      <c r="K1187" s="12"/>
      <c r="L1187" s="12"/>
      <c r="M1187" s="12"/>
      <c r="N1187" s="12"/>
      <c r="O1187" s="12"/>
      <c r="P1187" s="12"/>
      <c r="Q1187" s="12"/>
      <c r="R1187" s="12"/>
      <c r="S1187" s="12"/>
      <c r="T1187" s="12"/>
      <c r="U1187" s="12"/>
      <c r="V1187" s="12"/>
      <c r="W1187" s="12"/>
      <c r="X1187" s="12"/>
      <c r="Y1187" s="12"/>
      <c r="Z1187" s="12"/>
    </row>
    <row r="1188" ht="15.0" customHeight="1">
      <c r="A1188" s="332">
        <v>2.0</v>
      </c>
      <c r="B1188" s="351">
        <v>0.0</v>
      </c>
      <c r="C1188" s="12"/>
      <c r="D1188" s="12"/>
      <c r="E1188" s="12"/>
      <c r="F1188" s="12"/>
      <c r="G1188" s="12"/>
      <c r="H1188" s="12"/>
      <c r="I1188" s="12"/>
      <c r="J1188" s="12"/>
      <c r="K1188" s="12"/>
      <c r="L1188" s="12"/>
      <c r="M1188" s="12"/>
      <c r="N1188" s="12"/>
      <c r="O1188" s="12"/>
      <c r="P1188" s="12"/>
      <c r="Q1188" s="12"/>
      <c r="R1188" s="12"/>
      <c r="S1188" s="12"/>
      <c r="T1188" s="12"/>
      <c r="U1188" s="12"/>
      <c r="V1188" s="12"/>
      <c r="W1188" s="12"/>
      <c r="X1188" s="12"/>
      <c r="Y1188" s="12"/>
      <c r="Z1188" s="12"/>
    </row>
    <row r="1189" ht="15.0" customHeight="1">
      <c r="A1189" s="332">
        <v>3.0</v>
      </c>
      <c r="B1189" s="351">
        <v>0.0</v>
      </c>
      <c r="C1189" s="12"/>
      <c r="D1189" s="12"/>
      <c r="E1189" s="12"/>
      <c r="F1189" s="12"/>
      <c r="G1189" s="12"/>
      <c r="H1189" s="12"/>
      <c r="I1189" s="12"/>
      <c r="J1189" s="12"/>
      <c r="K1189" s="12"/>
      <c r="L1189" s="12"/>
      <c r="M1189" s="12"/>
      <c r="N1189" s="12"/>
      <c r="O1189" s="12"/>
      <c r="P1189" s="12"/>
      <c r="Q1189" s="12"/>
      <c r="R1189" s="12"/>
      <c r="S1189" s="12"/>
      <c r="T1189" s="12"/>
      <c r="U1189" s="12"/>
      <c r="V1189" s="12"/>
      <c r="W1189" s="12"/>
      <c r="X1189" s="12"/>
      <c r="Y1189" s="12"/>
      <c r="Z1189" s="12"/>
    </row>
    <row r="1190" ht="15.0" customHeight="1">
      <c r="A1190" s="349"/>
      <c r="B1190" s="350"/>
      <c r="C1190" s="12"/>
      <c r="D1190" s="12"/>
      <c r="E1190" s="12"/>
      <c r="F1190" s="12"/>
      <c r="G1190" s="12"/>
      <c r="H1190" s="12"/>
      <c r="I1190" s="12"/>
      <c r="J1190" s="12"/>
      <c r="K1190" s="12"/>
      <c r="L1190" s="12"/>
      <c r="M1190" s="12"/>
      <c r="N1190" s="12"/>
      <c r="O1190" s="12"/>
      <c r="P1190" s="12"/>
      <c r="Q1190" s="12"/>
      <c r="R1190" s="12"/>
      <c r="S1190" s="12"/>
      <c r="T1190" s="12"/>
      <c r="U1190" s="12"/>
      <c r="V1190" s="12"/>
      <c r="W1190" s="12"/>
      <c r="X1190" s="12"/>
      <c r="Y1190" s="12"/>
      <c r="Z1190" s="12"/>
    </row>
    <row r="1191" ht="15.0" customHeight="1">
      <c r="A1191" s="339" t="s">
        <v>1120</v>
      </c>
      <c r="B1191" s="350"/>
      <c r="C1191" s="12"/>
      <c r="D1191" s="12"/>
      <c r="E1191" s="12"/>
      <c r="F1191" s="12"/>
      <c r="G1191" s="12"/>
      <c r="H1191" s="12"/>
      <c r="I1191" s="12"/>
      <c r="J1191" s="12"/>
      <c r="K1191" s="12"/>
      <c r="L1191" s="12"/>
      <c r="M1191" s="12"/>
      <c r="N1191" s="12"/>
      <c r="O1191" s="12"/>
      <c r="P1191" s="12"/>
      <c r="Q1191" s="12"/>
      <c r="R1191" s="12"/>
      <c r="S1191" s="12"/>
      <c r="T1191" s="12"/>
      <c r="U1191" s="12"/>
      <c r="V1191" s="12"/>
      <c r="W1191" s="12"/>
      <c r="X1191" s="12"/>
      <c r="Y1191" s="12"/>
      <c r="Z1191" s="12"/>
    </row>
    <row r="1192" ht="15.0" customHeight="1">
      <c r="A1192" s="349"/>
      <c r="B1192" s="350"/>
      <c r="C1192" s="12"/>
      <c r="D1192" s="12"/>
      <c r="E1192" s="12"/>
      <c r="F1192" s="12"/>
      <c r="G1192" s="12"/>
      <c r="H1192" s="12"/>
      <c r="I1192" s="12"/>
      <c r="J1192" s="12"/>
      <c r="K1192" s="12"/>
      <c r="L1192" s="12"/>
      <c r="M1192" s="12"/>
      <c r="N1192" s="12"/>
      <c r="O1192" s="12"/>
      <c r="P1192" s="12"/>
      <c r="Q1192" s="12"/>
      <c r="R1192" s="12"/>
      <c r="S1192" s="12"/>
      <c r="T1192" s="12"/>
      <c r="U1192" s="12"/>
      <c r="V1192" s="12"/>
      <c r="W1192" s="12"/>
      <c r="X1192" s="12"/>
      <c r="Y1192" s="12"/>
      <c r="Z1192" s="12"/>
    </row>
    <row r="1193" ht="15.0" customHeight="1">
      <c r="A1193" s="171" t="s">
        <v>1916</v>
      </c>
      <c r="B1193" s="171">
        <v>1.0</v>
      </c>
      <c r="C1193" s="171">
        <v>2.0</v>
      </c>
      <c r="D1193" s="171">
        <v>3.0</v>
      </c>
      <c r="E1193" s="12"/>
      <c r="F1193" s="12"/>
      <c r="G1193" s="12"/>
      <c r="H1193" s="12"/>
      <c r="I1193" s="12"/>
      <c r="J1193" s="12"/>
      <c r="K1193" s="12"/>
      <c r="L1193" s="12"/>
      <c r="M1193" s="12"/>
      <c r="N1193" s="12"/>
      <c r="O1193" s="12"/>
      <c r="P1193" s="12"/>
      <c r="Q1193" s="12"/>
      <c r="R1193" s="12"/>
      <c r="S1193" s="12"/>
      <c r="T1193" s="12"/>
      <c r="U1193" s="12"/>
      <c r="V1193" s="12"/>
      <c r="W1193" s="12"/>
      <c r="X1193" s="12"/>
      <c r="Y1193" s="12"/>
      <c r="Z1193" s="12"/>
    </row>
    <row r="1194" ht="15.0" customHeight="1">
      <c r="A1194" s="352">
        <v>0.0</v>
      </c>
      <c r="B1194" s="113">
        <v>0.3</v>
      </c>
      <c r="C1194" s="355">
        <v>0.1</v>
      </c>
      <c r="D1194" s="355">
        <v>0.03</v>
      </c>
      <c r="E1194" s="12"/>
      <c r="F1194" s="12"/>
      <c r="G1194" s="12"/>
      <c r="H1194" s="12"/>
      <c r="I1194" s="12"/>
      <c r="J1194" s="12"/>
      <c r="K1194" s="12"/>
      <c r="L1194" s="12"/>
      <c r="M1194" s="12"/>
      <c r="N1194" s="12"/>
      <c r="O1194" s="12"/>
      <c r="P1194" s="12"/>
      <c r="Q1194" s="12"/>
      <c r="R1194" s="12"/>
      <c r="S1194" s="12"/>
      <c r="T1194" s="12"/>
      <c r="U1194" s="12"/>
      <c r="V1194" s="12"/>
      <c r="W1194" s="12"/>
      <c r="X1194" s="12"/>
      <c r="Y1194" s="12"/>
      <c r="Z1194" s="12"/>
    </row>
    <row r="1195" ht="15.0" customHeight="1">
      <c r="A1195" s="352">
        <v>15000.0</v>
      </c>
      <c r="B1195" s="113">
        <v>0.28</v>
      </c>
      <c r="C1195" s="355">
        <v>0.08</v>
      </c>
      <c r="D1195" s="342">
        <v>0.03</v>
      </c>
      <c r="E1195" s="12"/>
      <c r="F1195" s="12"/>
      <c r="G1195" s="12"/>
      <c r="H1195" s="12"/>
      <c r="I1195" s="12"/>
      <c r="J1195" s="12"/>
      <c r="K1195" s="12"/>
      <c r="L1195" s="12"/>
      <c r="M1195" s="12"/>
      <c r="N1195" s="12"/>
      <c r="O1195" s="12"/>
      <c r="P1195" s="12"/>
      <c r="Q1195" s="12"/>
      <c r="R1195" s="12"/>
      <c r="S1195" s="12"/>
      <c r="T1195" s="12"/>
      <c r="U1195" s="12"/>
      <c r="V1195" s="12"/>
      <c r="W1195" s="12"/>
      <c r="X1195" s="12"/>
      <c r="Y1195" s="12"/>
      <c r="Z1195" s="12"/>
    </row>
    <row r="1196" ht="15.0" customHeight="1">
      <c r="A1196" s="352">
        <v>25000.0</v>
      </c>
      <c r="B1196" s="113">
        <v>0.25</v>
      </c>
      <c r="C1196" s="355">
        <v>0.08</v>
      </c>
      <c r="D1196" s="355">
        <v>0.03</v>
      </c>
      <c r="E1196" s="12"/>
      <c r="F1196" s="12"/>
      <c r="G1196" s="12"/>
      <c r="H1196" s="12"/>
      <c r="I1196" s="12"/>
      <c r="J1196" s="12"/>
      <c r="K1196" s="12"/>
      <c r="L1196" s="12"/>
      <c r="M1196" s="12"/>
      <c r="N1196" s="12"/>
      <c r="O1196" s="12"/>
      <c r="P1196" s="12"/>
      <c r="Q1196" s="12"/>
      <c r="R1196" s="12"/>
      <c r="S1196" s="12"/>
      <c r="T1196" s="12"/>
      <c r="U1196" s="12"/>
      <c r="V1196" s="12"/>
      <c r="W1196" s="12"/>
      <c r="X1196" s="12"/>
      <c r="Y1196" s="12"/>
      <c r="Z1196" s="12"/>
    </row>
    <row r="1197" ht="15.0" customHeight="1">
      <c r="A1197" s="352">
        <v>50000.0</v>
      </c>
      <c r="B1197" s="356">
        <v>0.23</v>
      </c>
      <c r="C1197" s="355">
        <v>0.08</v>
      </c>
      <c r="D1197" s="355">
        <v>0.03</v>
      </c>
      <c r="E1197" s="12"/>
      <c r="F1197" s="12"/>
      <c r="G1197" s="12"/>
      <c r="H1197" s="12"/>
      <c r="I1197" s="12"/>
      <c r="J1197" s="12"/>
      <c r="K1197" s="12"/>
      <c r="L1197" s="12"/>
      <c r="M1197" s="12"/>
      <c r="N1197" s="12"/>
      <c r="O1197" s="12"/>
      <c r="P1197" s="12"/>
      <c r="Q1197" s="12"/>
      <c r="R1197" s="12"/>
      <c r="S1197" s="12"/>
      <c r="T1197" s="12"/>
      <c r="U1197" s="12"/>
      <c r="V1197" s="12"/>
      <c r="W1197" s="12"/>
      <c r="X1197" s="12"/>
      <c r="Y1197" s="12"/>
      <c r="Z1197" s="12"/>
    </row>
    <row r="1198" ht="15.0" customHeight="1">
      <c r="A1198" s="349"/>
      <c r="B1198" s="350"/>
      <c r="C1198" s="12"/>
      <c r="D1198" s="12"/>
      <c r="E1198" s="12"/>
      <c r="F1198" s="12"/>
      <c r="G1198" s="12"/>
      <c r="H1198" s="12"/>
      <c r="I1198" s="12"/>
      <c r="J1198" s="12"/>
      <c r="K1198" s="12"/>
      <c r="L1198" s="12"/>
      <c r="M1198" s="12"/>
      <c r="N1198" s="12"/>
      <c r="O1198" s="12"/>
      <c r="P1198" s="12"/>
      <c r="Q1198" s="12"/>
      <c r="R1198" s="12"/>
      <c r="S1198" s="12"/>
      <c r="T1198" s="12"/>
      <c r="U1198" s="12"/>
      <c r="V1198" s="12"/>
      <c r="W1198" s="12"/>
      <c r="X1198" s="12"/>
      <c r="Y1198" s="12"/>
      <c r="Z1198" s="12"/>
    </row>
    <row r="1199" ht="15.0" customHeight="1">
      <c r="A1199" s="354" t="s">
        <v>1124</v>
      </c>
      <c r="B1199" s="350"/>
      <c r="C1199" s="12"/>
      <c r="D1199" s="12"/>
      <c r="E1199" s="12"/>
      <c r="F1199" s="12"/>
      <c r="G1199" s="12"/>
      <c r="H1199" s="12"/>
      <c r="I1199" s="12"/>
      <c r="J1199" s="12"/>
      <c r="K1199" s="12"/>
      <c r="L1199" s="12"/>
      <c r="M1199" s="12"/>
      <c r="N1199" s="12"/>
      <c r="O1199" s="12"/>
      <c r="P1199" s="12"/>
      <c r="Q1199" s="12"/>
      <c r="R1199" s="12"/>
      <c r="S1199" s="12"/>
      <c r="T1199" s="12"/>
      <c r="U1199" s="12"/>
      <c r="V1199" s="12"/>
      <c r="W1199" s="12"/>
      <c r="X1199" s="12"/>
      <c r="Y1199" s="12"/>
      <c r="Z1199" s="12"/>
    </row>
    <row r="1200" ht="15.0" customHeight="1">
      <c r="A1200" s="349"/>
      <c r="B1200" s="350"/>
      <c r="C1200" s="12"/>
      <c r="D1200" s="12"/>
      <c r="E1200" s="12"/>
      <c r="F1200" s="12"/>
      <c r="G1200" s="12"/>
      <c r="H1200" s="12"/>
      <c r="I1200" s="12"/>
      <c r="J1200" s="12"/>
      <c r="K1200" s="12"/>
      <c r="L1200" s="12"/>
      <c r="M1200" s="12"/>
      <c r="N1200" s="12"/>
      <c r="O1200" s="12"/>
      <c r="P1200" s="12"/>
      <c r="Q1200" s="12"/>
      <c r="R1200" s="12"/>
      <c r="S1200" s="12"/>
      <c r="T1200" s="12"/>
      <c r="U1200" s="12"/>
      <c r="V1200" s="12"/>
      <c r="W1200" s="12"/>
      <c r="X1200" s="12"/>
      <c r="Y1200" s="12"/>
      <c r="Z1200" s="12"/>
    </row>
    <row r="1201" ht="15.0" customHeight="1">
      <c r="A1201" s="171" t="s">
        <v>1916</v>
      </c>
      <c r="B1201" s="171">
        <v>1.0</v>
      </c>
      <c r="C1201" s="171">
        <v>2.0</v>
      </c>
      <c r="D1201" s="171">
        <v>3.0</v>
      </c>
      <c r="E1201" s="12"/>
      <c r="F1201" s="12"/>
      <c r="G1201" s="12"/>
      <c r="H1201" s="12"/>
      <c r="I1201" s="12"/>
      <c r="J1201" s="12"/>
      <c r="K1201" s="12"/>
      <c r="L1201" s="12"/>
      <c r="M1201" s="12"/>
      <c r="N1201" s="12"/>
      <c r="O1201" s="12"/>
      <c r="P1201" s="12"/>
      <c r="Q1201" s="12"/>
      <c r="R1201" s="12"/>
      <c r="S1201" s="12"/>
      <c r="T1201" s="12"/>
      <c r="U1201" s="12"/>
      <c r="V1201" s="12"/>
      <c r="W1201" s="12"/>
      <c r="X1201" s="12"/>
      <c r="Y1201" s="12"/>
      <c r="Z1201" s="12"/>
    </row>
    <row r="1202" ht="15.0" customHeight="1">
      <c r="A1202" s="352">
        <v>0.0</v>
      </c>
      <c r="B1202" s="113">
        <v>0.3</v>
      </c>
      <c r="C1202" s="355">
        <v>0.1</v>
      </c>
      <c r="D1202" s="355">
        <v>0.03</v>
      </c>
      <c r="E1202" s="12"/>
      <c r="F1202" s="12"/>
      <c r="G1202" s="12"/>
      <c r="H1202" s="12"/>
      <c r="I1202" s="12"/>
      <c r="J1202" s="12"/>
      <c r="K1202" s="12"/>
      <c r="L1202" s="12"/>
      <c r="M1202" s="12"/>
      <c r="N1202" s="12"/>
      <c r="O1202" s="12"/>
      <c r="P1202" s="12"/>
      <c r="Q1202" s="12"/>
      <c r="R1202" s="12"/>
      <c r="S1202" s="12"/>
      <c r="T1202" s="12"/>
      <c r="U1202" s="12"/>
      <c r="V1202" s="12"/>
      <c r="W1202" s="12"/>
      <c r="X1202" s="12"/>
      <c r="Y1202" s="12"/>
      <c r="Z1202" s="12"/>
    </row>
    <row r="1203" ht="15.0" customHeight="1">
      <c r="A1203" s="352">
        <v>15000.0</v>
      </c>
      <c r="B1203" s="113">
        <v>0.28</v>
      </c>
      <c r="C1203" s="355">
        <v>0.08</v>
      </c>
      <c r="D1203" s="342">
        <v>0.03</v>
      </c>
      <c r="E1203" s="12"/>
      <c r="F1203" s="12"/>
      <c r="G1203" s="12"/>
      <c r="H1203" s="12"/>
      <c r="I1203" s="12"/>
      <c r="J1203" s="12"/>
      <c r="K1203" s="12"/>
      <c r="L1203" s="12"/>
      <c r="M1203" s="12"/>
      <c r="N1203" s="12"/>
      <c r="O1203" s="12"/>
      <c r="P1203" s="12"/>
      <c r="Q1203" s="12"/>
      <c r="R1203" s="12"/>
      <c r="S1203" s="12"/>
      <c r="T1203" s="12"/>
      <c r="U1203" s="12"/>
      <c r="V1203" s="12"/>
      <c r="W1203" s="12"/>
      <c r="X1203" s="12"/>
      <c r="Y1203" s="12"/>
      <c r="Z1203" s="12"/>
    </row>
    <row r="1204" ht="15.0" customHeight="1">
      <c r="A1204" s="352">
        <v>25000.0</v>
      </c>
      <c r="B1204" s="113">
        <v>0.25</v>
      </c>
      <c r="C1204" s="355">
        <v>0.08</v>
      </c>
      <c r="D1204" s="355">
        <v>0.03</v>
      </c>
      <c r="E1204" s="12"/>
      <c r="F1204" s="12"/>
      <c r="G1204" s="12"/>
      <c r="H1204" s="12"/>
      <c r="I1204" s="12"/>
      <c r="J1204" s="12"/>
      <c r="K1204" s="12"/>
      <c r="L1204" s="12"/>
      <c r="M1204" s="12"/>
      <c r="N1204" s="12"/>
      <c r="O1204" s="12"/>
      <c r="P1204" s="12"/>
      <c r="Q1204" s="12"/>
      <c r="R1204" s="12"/>
      <c r="S1204" s="12"/>
      <c r="T1204" s="12"/>
      <c r="U1204" s="12"/>
      <c r="V1204" s="12"/>
      <c r="W1204" s="12"/>
      <c r="X1204" s="12"/>
      <c r="Y1204" s="12"/>
      <c r="Z1204" s="12"/>
    </row>
    <row r="1205" ht="15.0" customHeight="1">
      <c r="A1205" s="352">
        <v>50000.0</v>
      </c>
      <c r="B1205" s="356">
        <v>0.23</v>
      </c>
      <c r="C1205" s="355">
        <v>0.08</v>
      </c>
      <c r="D1205" s="355">
        <v>0.03</v>
      </c>
      <c r="E1205" s="12"/>
      <c r="F1205" s="12"/>
      <c r="G1205" s="12"/>
      <c r="H1205" s="12"/>
      <c r="I1205" s="12"/>
      <c r="J1205" s="12"/>
      <c r="K1205" s="12"/>
      <c r="L1205" s="12"/>
      <c r="M1205" s="12"/>
      <c r="N1205" s="12"/>
      <c r="O1205" s="12"/>
      <c r="P1205" s="12"/>
      <c r="Q1205" s="12"/>
      <c r="R1205" s="12"/>
      <c r="S1205" s="12"/>
      <c r="T1205" s="12"/>
      <c r="U1205" s="12"/>
      <c r="V1205" s="12"/>
      <c r="W1205" s="12"/>
      <c r="X1205" s="12"/>
      <c r="Y1205" s="12"/>
      <c r="Z1205" s="12"/>
    </row>
    <row r="1206" ht="15.0" customHeight="1">
      <c r="A1206" s="349"/>
      <c r="B1206" s="350"/>
      <c r="C1206" s="12"/>
      <c r="D1206" s="12"/>
      <c r="E1206" s="12"/>
      <c r="F1206" s="12"/>
      <c r="G1206" s="12"/>
      <c r="H1206" s="12"/>
      <c r="I1206" s="12"/>
      <c r="J1206" s="12"/>
      <c r="K1206" s="12"/>
      <c r="L1206" s="12"/>
      <c r="M1206" s="12"/>
      <c r="N1206" s="12"/>
      <c r="O1206" s="12"/>
      <c r="P1206" s="12"/>
      <c r="Q1206" s="12"/>
      <c r="R1206" s="12"/>
      <c r="S1206" s="12"/>
      <c r="T1206" s="12"/>
      <c r="U1206" s="12"/>
      <c r="V1206" s="12"/>
      <c r="W1206" s="12"/>
      <c r="X1206" s="12"/>
      <c r="Y1206" s="12"/>
      <c r="Z1206" s="12"/>
    </row>
    <row r="1207" ht="15.0" customHeight="1">
      <c r="A1207" s="339" t="s">
        <v>1234</v>
      </c>
      <c r="B1207" s="350"/>
      <c r="C1207" s="12"/>
      <c r="D1207" s="12"/>
      <c r="E1207" s="12"/>
      <c r="F1207" s="12"/>
      <c r="G1207" s="12"/>
      <c r="H1207" s="12"/>
      <c r="I1207" s="12"/>
      <c r="J1207" s="12"/>
      <c r="K1207" s="12"/>
      <c r="L1207" s="12"/>
      <c r="M1207" s="12"/>
      <c r="N1207" s="12"/>
      <c r="O1207" s="12"/>
      <c r="P1207" s="12"/>
      <c r="Q1207" s="12"/>
      <c r="R1207" s="12"/>
      <c r="S1207" s="12"/>
      <c r="T1207" s="12"/>
      <c r="U1207" s="12"/>
      <c r="V1207" s="12"/>
      <c r="W1207" s="12"/>
      <c r="X1207" s="12"/>
      <c r="Y1207" s="12"/>
      <c r="Z1207" s="12"/>
    </row>
    <row r="1208" ht="15.0" customHeight="1">
      <c r="A1208" s="349"/>
      <c r="B1208" s="350"/>
      <c r="C1208" s="12"/>
      <c r="D1208" s="12"/>
      <c r="E1208" s="12"/>
      <c r="F1208" s="12"/>
      <c r="G1208" s="12"/>
      <c r="H1208" s="12"/>
      <c r="I1208" s="12"/>
      <c r="J1208" s="12"/>
      <c r="K1208" s="12"/>
      <c r="L1208" s="12"/>
      <c r="M1208" s="12"/>
      <c r="N1208" s="12"/>
      <c r="O1208" s="12"/>
      <c r="P1208" s="12"/>
      <c r="Q1208" s="12"/>
      <c r="R1208" s="12"/>
      <c r="S1208" s="12"/>
      <c r="T1208" s="12"/>
      <c r="U1208" s="12"/>
      <c r="V1208" s="12"/>
      <c r="W1208" s="12"/>
      <c r="X1208" s="12"/>
      <c r="Y1208" s="12"/>
      <c r="Z1208" s="12"/>
    </row>
    <row r="1209" ht="15.0" customHeight="1">
      <c r="A1209" s="291" t="s">
        <v>1917</v>
      </c>
      <c r="B1209" s="291" t="s">
        <v>1918</v>
      </c>
      <c r="C1209" s="12"/>
      <c r="D1209" s="12"/>
      <c r="E1209" s="12"/>
      <c r="F1209" s="12"/>
      <c r="G1209" s="12"/>
      <c r="H1209" s="12"/>
      <c r="I1209" s="12"/>
      <c r="J1209" s="12"/>
      <c r="K1209" s="12"/>
      <c r="L1209" s="12"/>
      <c r="M1209" s="12"/>
      <c r="N1209" s="12"/>
      <c r="O1209" s="12"/>
      <c r="P1209" s="12"/>
      <c r="Q1209" s="12"/>
      <c r="R1209" s="12"/>
      <c r="S1209" s="12"/>
      <c r="T1209" s="12"/>
      <c r="U1209" s="12"/>
      <c r="V1209" s="12"/>
      <c r="W1209" s="12"/>
      <c r="X1209" s="12"/>
      <c r="Y1209" s="12"/>
      <c r="Z1209" s="12"/>
    </row>
    <row r="1210" ht="15.0" customHeight="1">
      <c r="A1210" s="332">
        <v>1.0</v>
      </c>
      <c r="B1210" s="351">
        <v>0.0</v>
      </c>
      <c r="C1210" s="12"/>
      <c r="D1210" s="12"/>
      <c r="E1210" s="12"/>
      <c r="F1210" s="12"/>
      <c r="G1210" s="12"/>
      <c r="H1210" s="12"/>
      <c r="I1210" s="12"/>
      <c r="J1210" s="12"/>
      <c r="K1210" s="12"/>
      <c r="L1210" s="12"/>
      <c r="M1210" s="12"/>
      <c r="N1210" s="12"/>
      <c r="O1210" s="12"/>
      <c r="P1210" s="12"/>
      <c r="Q1210" s="12"/>
      <c r="R1210" s="12"/>
      <c r="S1210" s="12"/>
      <c r="T1210" s="12"/>
      <c r="U1210" s="12"/>
      <c r="V1210" s="12"/>
      <c r="W1210" s="12"/>
      <c r="X1210" s="12"/>
      <c r="Y1210" s="12"/>
      <c r="Z1210" s="12"/>
    </row>
    <row r="1211" ht="15.0" customHeight="1">
      <c r="A1211" s="332">
        <v>2.0</v>
      </c>
      <c r="B1211" s="351">
        <v>0.1</v>
      </c>
      <c r="C1211" s="12"/>
      <c r="D1211" s="12"/>
      <c r="E1211" s="12"/>
      <c r="F1211" s="12"/>
      <c r="G1211" s="12"/>
      <c r="H1211" s="12"/>
      <c r="I1211" s="12"/>
      <c r="J1211" s="12"/>
      <c r="K1211" s="12"/>
      <c r="L1211" s="12"/>
      <c r="M1211" s="12"/>
      <c r="N1211" s="12"/>
      <c r="O1211" s="12"/>
      <c r="P1211" s="12"/>
      <c r="Q1211" s="12"/>
      <c r="R1211" s="12"/>
      <c r="S1211" s="12"/>
      <c r="T1211" s="12"/>
      <c r="U1211" s="12"/>
      <c r="V1211" s="12"/>
      <c r="W1211" s="12"/>
      <c r="X1211" s="12"/>
      <c r="Y1211" s="12"/>
      <c r="Z1211" s="12"/>
    </row>
    <row r="1212" ht="15.0" customHeight="1">
      <c r="A1212" s="332">
        <v>3.0</v>
      </c>
      <c r="B1212" s="351">
        <v>0.1</v>
      </c>
      <c r="C1212" s="12"/>
      <c r="D1212" s="12"/>
      <c r="E1212" s="12"/>
      <c r="F1212" s="12"/>
      <c r="G1212" s="12"/>
      <c r="H1212" s="12"/>
      <c r="I1212" s="12"/>
      <c r="J1212" s="12"/>
      <c r="K1212" s="12"/>
      <c r="L1212" s="12"/>
      <c r="M1212" s="12"/>
      <c r="N1212" s="12"/>
      <c r="O1212" s="12"/>
      <c r="P1212" s="12"/>
      <c r="Q1212" s="12"/>
      <c r="R1212" s="12"/>
      <c r="S1212" s="12"/>
      <c r="T1212" s="12"/>
      <c r="U1212" s="12"/>
      <c r="V1212" s="12"/>
      <c r="W1212" s="12"/>
      <c r="X1212" s="12"/>
      <c r="Y1212" s="12"/>
      <c r="Z1212" s="12"/>
    </row>
    <row r="1213" ht="15.0" customHeight="1">
      <c r="A1213" s="332">
        <v>4.0</v>
      </c>
      <c r="B1213" s="351">
        <v>0.05</v>
      </c>
      <c r="C1213" s="12"/>
      <c r="D1213" s="12"/>
      <c r="E1213" s="12"/>
      <c r="F1213" s="12"/>
      <c r="G1213" s="12"/>
      <c r="H1213" s="12"/>
      <c r="I1213" s="12"/>
      <c r="J1213" s="12"/>
      <c r="K1213" s="12"/>
      <c r="L1213" s="12"/>
      <c r="M1213" s="12"/>
      <c r="N1213" s="12"/>
      <c r="O1213" s="12"/>
      <c r="P1213" s="12"/>
      <c r="Q1213" s="12"/>
      <c r="R1213" s="12"/>
      <c r="S1213" s="12"/>
      <c r="T1213" s="12"/>
      <c r="U1213" s="12"/>
      <c r="V1213" s="12"/>
      <c r="W1213" s="12"/>
      <c r="X1213" s="12"/>
      <c r="Y1213" s="12"/>
      <c r="Z1213" s="12"/>
    </row>
    <row r="1214" ht="15.0" customHeight="1">
      <c r="A1214" s="332">
        <v>5.0</v>
      </c>
      <c r="B1214" s="351">
        <v>0.05</v>
      </c>
      <c r="C1214" s="12"/>
      <c r="D1214" s="12"/>
      <c r="E1214" s="12"/>
      <c r="F1214" s="12"/>
      <c r="G1214" s="12"/>
      <c r="H1214" s="12"/>
      <c r="I1214" s="12"/>
      <c r="J1214" s="12"/>
      <c r="K1214" s="12"/>
      <c r="L1214" s="12"/>
      <c r="M1214" s="12"/>
      <c r="N1214" s="12"/>
      <c r="O1214" s="12"/>
      <c r="P1214" s="12"/>
      <c r="Q1214" s="12"/>
      <c r="R1214" s="12"/>
      <c r="S1214" s="12"/>
      <c r="T1214" s="12"/>
      <c r="U1214" s="12"/>
      <c r="V1214" s="12"/>
      <c r="W1214" s="12"/>
      <c r="X1214" s="12"/>
      <c r="Y1214" s="12"/>
      <c r="Z1214" s="12"/>
    </row>
    <row r="1215" ht="15.0" customHeight="1">
      <c r="A1215" s="171">
        <v>6.0</v>
      </c>
      <c r="B1215" s="351">
        <v>0.0</v>
      </c>
      <c r="C1215" s="12"/>
      <c r="D1215" s="12"/>
      <c r="E1215" s="12"/>
      <c r="F1215" s="12"/>
      <c r="G1215" s="12"/>
      <c r="H1215" s="12"/>
      <c r="I1215" s="12"/>
      <c r="J1215" s="12"/>
      <c r="K1215" s="12"/>
      <c r="L1215" s="12"/>
      <c r="M1215" s="12"/>
      <c r="N1215" s="12"/>
      <c r="O1215" s="12"/>
      <c r="P1215" s="12"/>
      <c r="Q1215" s="12"/>
      <c r="R1215" s="12"/>
      <c r="S1215" s="12"/>
      <c r="T1215" s="12"/>
      <c r="U1215" s="12"/>
      <c r="V1215" s="12"/>
      <c r="W1215" s="12"/>
      <c r="X1215" s="12"/>
      <c r="Y1215" s="12"/>
      <c r="Z1215" s="12"/>
    </row>
    <row r="1216" ht="15.0" customHeight="1">
      <c r="A1216" s="349"/>
      <c r="B1216" s="350"/>
      <c r="C1216" s="12"/>
      <c r="D1216" s="12"/>
      <c r="E1216" s="12"/>
      <c r="F1216" s="12"/>
      <c r="G1216" s="12"/>
      <c r="H1216" s="12"/>
      <c r="I1216" s="12"/>
      <c r="J1216" s="12"/>
      <c r="K1216" s="12"/>
      <c r="L1216" s="12"/>
      <c r="M1216" s="12"/>
      <c r="N1216" s="12"/>
      <c r="O1216" s="12"/>
      <c r="P1216" s="12"/>
      <c r="Q1216" s="12"/>
      <c r="R1216" s="12"/>
      <c r="S1216" s="12"/>
      <c r="T1216" s="12"/>
      <c r="U1216" s="12"/>
      <c r="V1216" s="12"/>
      <c r="W1216" s="12"/>
      <c r="X1216" s="12"/>
      <c r="Y1216" s="12"/>
      <c r="Z1216" s="12"/>
    </row>
    <row r="1217" ht="15.0" customHeight="1">
      <c r="A1217" s="339" t="s">
        <v>1128</v>
      </c>
      <c r="B1217" s="350"/>
      <c r="C1217" s="12"/>
      <c r="D1217" s="12"/>
      <c r="E1217" s="12"/>
      <c r="F1217" s="12"/>
      <c r="G1217" s="12"/>
      <c r="H1217" s="12"/>
      <c r="I1217" s="12"/>
      <c r="J1217" s="12"/>
      <c r="K1217" s="12"/>
      <c r="L1217" s="12"/>
      <c r="M1217" s="12"/>
      <c r="N1217" s="12"/>
      <c r="O1217" s="12"/>
      <c r="P1217" s="12"/>
      <c r="Q1217" s="12"/>
      <c r="R1217" s="12"/>
      <c r="S1217" s="12"/>
      <c r="T1217" s="12"/>
      <c r="U1217" s="12"/>
      <c r="V1217" s="12"/>
      <c r="W1217" s="12"/>
      <c r="X1217" s="12"/>
      <c r="Y1217" s="12"/>
      <c r="Z1217" s="12"/>
    </row>
    <row r="1218" ht="15.0" customHeight="1">
      <c r="A1218" s="349"/>
      <c r="B1218" s="350"/>
      <c r="C1218" s="12"/>
      <c r="D1218" s="12"/>
      <c r="E1218" s="12"/>
      <c r="F1218" s="12"/>
      <c r="G1218" s="12"/>
      <c r="H1218" s="12"/>
      <c r="I1218" s="12"/>
      <c r="J1218" s="12"/>
      <c r="K1218" s="12"/>
      <c r="L1218" s="12"/>
      <c r="M1218" s="12"/>
      <c r="N1218" s="12"/>
      <c r="O1218" s="12"/>
      <c r="P1218" s="12"/>
      <c r="Q1218" s="12"/>
      <c r="R1218" s="12"/>
      <c r="S1218" s="12"/>
      <c r="T1218" s="12"/>
      <c r="U1218" s="12"/>
      <c r="V1218" s="12"/>
      <c r="W1218" s="12"/>
      <c r="X1218" s="12"/>
      <c r="Y1218" s="12"/>
      <c r="Z1218" s="12"/>
    </row>
    <row r="1219" ht="15.0" customHeight="1">
      <c r="A1219" s="171" t="s">
        <v>1916</v>
      </c>
      <c r="B1219" s="171">
        <v>1.0</v>
      </c>
      <c r="C1219" s="171">
        <v>2.0</v>
      </c>
      <c r="D1219" s="171">
        <v>3.0</v>
      </c>
      <c r="E1219" s="171">
        <v>4.0</v>
      </c>
      <c r="F1219" s="171">
        <v>5.0</v>
      </c>
      <c r="G1219" s="171">
        <v>6.0</v>
      </c>
      <c r="H1219" s="171">
        <v>7.0</v>
      </c>
      <c r="I1219" s="171">
        <v>8.0</v>
      </c>
      <c r="J1219" s="171">
        <v>9.0</v>
      </c>
      <c r="K1219" s="171">
        <v>10.0</v>
      </c>
      <c r="L1219" s="171">
        <v>11.0</v>
      </c>
      <c r="M1219" s="12"/>
      <c r="N1219" s="12"/>
      <c r="O1219" s="12"/>
      <c r="P1219" s="12"/>
      <c r="Q1219" s="12"/>
      <c r="R1219" s="12"/>
      <c r="S1219" s="12"/>
      <c r="T1219" s="12"/>
      <c r="U1219" s="12"/>
      <c r="V1219" s="12"/>
      <c r="W1219" s="12"/>
      <c r="X1219" s="12"/>
      <c r="Y1219" s="12"/>
      <c r="Z1219" s="12"/>
    </row>
    <row r="1220" ht="15.0" customHeight="1">
      <c r="A1220" s="322">
        <v>0.0</v>
      </c>
      <c r="B1220" s="113">
        <v>0.27</v>
      </c>
      <c r="C1220" s="355">
        <v>0.1</v>
      </c>
      <c r="D1220" s="355">
        <v>0.02</v>
      </c>
      <c r="E1220" s="355">
        <v>0.02</v>
      </c>
      <c r="F1220" s="355">
        <v>0.02</v>
      </c>
      <c r="G1220" s="355">
        <v>0.02</v>
      </c>
      <c r="H1220" s="355">
        <v>0.02</v>
      </c>
      <c r="I1220" s="355">
        <v>0.02</v>
      </c>
      <c r="J1220" s="355">
        <v>0.02</v>
      </c>
      <c r="K1220" s="355">
        <v>0.02</v>
      </c>
      <c r="L1220" s="355">
        <v>0.0</v>
      </c>
      <c r="M1220" s="12"/>
      <c r="N1220" s="12"/>
      <c r="O1220" s="12"/>
      <c r="P1220" s="12"/>
      <c r="Q1220" s="12"/>
      <c r="R1220" s="12"/>
      <c r="S1220" s="12"/>
      <c r="T1220" s="12"/>
      <c r="U1220" s="12"/>
      <c r="V1220" s="12"/>
      <c r="W1220" s="12"/>
      <c r="X1220" s="12"/>
      <c r="Y1220" s="12"/>
      <c r="Z1220" s="12"/>
    </row>
    <row r="1221" ht="15.0" customHeight="1">
      <c r="A1221" s="352">
        <v>50000.0</v>
      </c>
      <c r="B1221" s="113">
        <v>0.23</v>
      </c>
      <c r="C1221" s="342">
        <v>0.08</v>
      </c>
      <c r="D1221" s="355">
        <v>0.02</v>
      </c>
      <c r="E1221" s="355">
        <v>0.02</v>
      </c>
      <c r="F1221" s="355">
        <v>0.02</v>
      </c>
      <c r="G1221" s="355">
        <v>0.02</v>
      </c>
      <c r="H1221" s="355">
        <v>0.02</v>
      </c>
      <c r="I1221" s="355">
        <v>0.02</v>
      </c>
      <c r="J1221" s="355">
        <v>0.02</v>
      </c>
      <c r="K1221" s="355">
        <v>0.02</v>
      </c>
      <c r="L1221" s="355">
        <v>0.0</v>
      </c>
      <c r="M1221" s="12"/>
      <c r="N1221" s="12"/>
      <c r="O1221" s="12"/>
      <c r="P1221" s="12"/>
      <c r="Q1221" s="12"/>
      <c r="R1221" s="12"/>
      <c r="S1221" s="12"/>
      <c r="T1221" s="12"/>
      <c r="U1221" s="12"/>
      <c r="V1221" s="12"/>
      <c r="W1221" s="12"/>
      <c r="X1221" s="12"/>
      <c r="Y1221" s="12"/>
      <c r="Z1221" s="12"/>
    </row>
    <row r="1222" ht="15.0" customHeight="1">
      <c r="A1222" s="349"/>
      <c r="B1222" s="350"/>
      <c r="C1222" s="12"/>
      <c r="D1222" s="12"/>
      <c r="E1222" s="12"/>
      <c r="F1222" s="12"/>
      <c r="G1222" s="12"/>
      <c r="H1222" s="12"/>
      <c r="I1222" s="12"/>
      <c r="J1222" s="12"/>
      <c r="K1222" s="12"/>
      <c r="L1222" s="12"/>
      <c r="M1222" s="12"/>
      <c r="N1222" s="12"/>
      <c r="O1222" s="12"/>
      <c r="P1222" s="12"/>
      <c r="Q1222" s="12"/>
      <c r="R1222" s="12"/>
      <c r="S1222" s="12"/>
      <c r="T1222" s="12"/>
      <c r="U1222" s="12"/>
      <c r="V1222" s="12"/>
      <c r="W1222" s="12"/>
      <c r="X1222" s="12"/>
      <c r="Y1222" s="12"/>
      <c r="Z1222" s="12"/>
    </row>
    <row r="1223" ht="15.0" customHeight="1">
      <c r="A1223" s="339" t="s">
        <v>1225</v>
      </c>
      <c r="B1223" s="350"/>
      <c r="C1223" s="12"/>
      <c r="D1223" s="12"/>
      <c r="E1223" s="12"/>
      <c r="F1223" s="12"/>
      <c r="G1223" s="12"/>
      <c r="H1223" s="12"/>
      <c r="I1223" s="12"/>
      <c r="J1223" s="12"/>
      <c r="K1223" s="12"/>
      <c r="L1223" s="12"/>
      <c r="M1223" s="12"/>
      <c r="N1223" s="12"/>
      <c r="O1223" s="12"/>
      <c r="P1223" s="12"/>
      <c r="Q1223" s="12"/>
      <c r="R1223" s="12"/>
      <c r="S1223" s="12"/>
      <c r="T1223" s="12"/>
      <c r="U1223" s="12"/>
      <c r="V1223" s="12"/>
      <c r="W1223" s="12"/>
      <c r="X1223" s="12"/>
      <c r="Y1223" s="12"/>
      <c r="Z1223" s="12"/>
    </row>
    <row r="1224" ht="15.0" customHeight="1">
      <c r="A1224" s="349"/>
      <c r="B1224" s="350"/>
      <c r="C1224" s="12"/>
      <c r="D1224" s="12"/>
      <c r="E1224" s="12"/>
      <c r="F1224" s="12"/>
      <c r="G1224" s="12"/>
      <c r="H1224" s="12"/>
      <c r="I1224" s="12"/>
      <c r="J1224" s="12"/>
      <c r="K1224" s="12"/>
      <c r="L1224" s="12"/>
      <c r="M1224" s="12"/>
      <c r="N1224" s="12"/>
      <c r="O1224" s="12"/>
      <c r="P1224" s="12"/>
      <c r="Q1224" s="12"/>
      <c r="R1224" s="12"/>
      <c r="S1224" s="12"/>
      <c r="T1224" s="12"/>
      <c r="U1224" s="12"/>
      <c r="V1224" s="12"/>
      <c r="W1224" s="12"/>
      <c r="X1224" s="12"/>
      <c r="Y1224" s="12"/>
      <c r="Z1224" s="12"/>
    </row>
    <row r="1225" ht="15.0" customHeight="1">
      <c r="A1225" s="291" t="s">
        <v>1917</v>
      </c>
      <c r="B1225" s="291" t="s">
        <v>1918</v>
      </c>
      <c r="C1225" s="12"/>
      <c r="D1225" s="12"/>
      <c r="E1225" s="12"/>
      <c r="F1225" s="12"/>
      <c r="G1225" s="12"/>
      <c r="H1225" s="12"/>
      <c r="I1225" s="12"/>
      <c r="J1225" s="12"/>
      <c r="K1225" s="12"/>
      <c r="L1225" s="12"/>
      <c r="M1225" s="12"/>
      <c r="N1225" s="12"/>
      <c r="O1225" s="12"/>
      <c r="P1225" s="12"/>
      <c r="Q1225" s="12"/>
      <c r="R1225" s="12"/>
      <c r="S1225" s="12"/>
      <c r="T1225" s="12"/>
      <c r="U1225" s="12"/>
      <c r="V1225" s="12"/>
      <c r="W1225" s="12"/>
      <c r="X1225" s="12"/>
      <c r="Y1225" s="12"/>
      <c r="Z1225" s="12"/>
    </row>
    <row r="1226" ht="15.0" customHeight="1">
      <c r="A1226" s="332">
        <v>1.0</v>
      </c>
      <c r="B1226" s="351">
        <v>0.15</v>
      </c>
      <c r="C1226" s="12"/>
      <c r="D1226" s="12"/>
      <c r="E1226" s="12"/>
      <c r="F1226" s="12"/>
      <c r="G1226" s="12"/>
      <c r="H1226" s="12"/>
      <c r="I1226" s="12"/>
      <c r="J1226" s="12"/>
      <c r="K1226" s="12"/>
      <c r="L1226" s="12"/>
      <c r="M1226" s="12"/>
      <c r="N1226" s="12"/>
      <c r="O1226" s="12"/>
      <c r="P1226" s="12"/>
      <c r="Q1226" s="12"/>
      <c r="R1226" s="12"/>
      <c r="S1226" s="12"/>
      <c r="T1226" s="12"/>
      <c r="U1226" s="12"/>
      <c r="V1226" s="12"/>
      <c r="W1226" s="12"/>
      <c r="X1226" s="12"/>
      <c r="Y1226" s="12"/>
      <c r="Z1226" s="12"/>
    </row>
    <row r="1227" ht="15.0" customHeight="1">
      <c r="A1227" s="332">
        <v>2.0</v>
      </c>
      <c r="B1227" s="351">
        <v>0.0</v>
      </c>
      <c r="C1227" s="12"/>
      <c r="D1227" s="12"/>
      <c r="E1227" s="12"/>
      <c r="F1227" s="12"/>
      <c r="G1227" s="12"/>
      <c r="H1227" s="12"/>
      <c r="I1227" s="12"/>
      <c r="J1227" s="12"/>
      <c r="K1227" s="12"/>
      <c r="L1227" s="12"/>
      <c r="M1227" s="12"/>
      <c r="N1227" s="12"/>
      <c r="O1227" s="12"/>
      <c r="P1227" s="12"/>
      <c r="Q1227" s="12"/>
      <c r="R1227" s="12"/>
      <c r="S1227" s="12"/>
      <c r="T1227" s="12"/>
      <c r="U1227" s="12"/>
      <c r="V1227" s="12"/>
      <c r="W1227" s="12"/>
      <c r="X1227" s="12"/>
      <c r="Y1227" s="12"/>
      <c r="Z1227" s="12"/>
    </row>
    <row r="1228" ht="15.0" customHeight="1">
      <c r="A1228" s="349"/>
      <c r="B1228" s="350"/>
      <c r="C1228" s="12"/>
      <c r="D1228" s="12"/>
      <c r="E1228" s="12"/>
      <c r="F1228" s="12"/>
      <c r="G1228" s="12"/>
      <c r="H1228" s="12"/>
      <c r="I1228" s="12"/>
      <c r="J1228" s="12"/>
      <c r="K1228" s="12"/>
      <c r="L1228" s="12"/>
      <c r="M1228" s="12"/>
      <c r="N1228" s="12"/>
      <c r="O1228" s="12"/>
      <c r="P1228" s="12"/>
      <c r="Q1228" s="12"/>
      <c r="R1228" s="12"/>
      <c r="S1228" s="12"/>
      <c r="T1228" s="12"/>
      <c r="U1228" s="12"/>
      <c r="V1228" s="12"/>
      <c r="W1228" s="12"/>
      <c r="X1228" s="12"/>
      <c r="Y1228" s="12"/>
      <c r="Z1228" s="12"/>
    </row>
    <row r="1229" ht="15.0" customHeight="1">
      <c r="A1229" s="339" t="s">
        <v>1140</v>
      </c>
      <c r="B1229" s="350"/>
      <c r="C1229" s="12"/>
      <c r="D1229" s="12"/>
      <c r="E1229" s="12"/>
      <c r="F1229" s="12"/>
      <c r="G1229" s="12"/>
      <c r="H1229" s="12"/>
      <c r="I1229" s="12"/>
      <c r="J1229" s="12"/>
      <c r="K1229" s="12"/>
      <c r="L1229" s="12"/>
      <c r="M1229" s="12"/>
      <c r="N1229" s="12"/>
      <c r="O1229" s="12"/>
      <c r="P1229" s="12"/>
      <c r="Q1229" s="12"/>
      <c r="R1229" s="12"/>
      <c r="S1229" s="12"/>
      <c r="T1229" s="12"/>
      <c r="U1229" s="12"/>
      <c r="V1229" s="12"/>
      <c r="W1229" s="12"/>
      <c r="X1229" s="12"/>
      <c r="Y1229" s="12"/>
      <c r="Z1229" s="12"/>
    </row>
    <row r="1230" ht="15.0" customHeight="1">
      <c r="A1230" s="349"/>
      <c r="B1230" s="350"/>
      <c r="C1230" s="12"/>
      <c r="D1230" s="12"/>
      <c r="E1230" s="12"/>
      <c r="F1230" s="12"/>
      <c r="G1230" s="12"/>
      <c r="H1230" s="12"/>
      <c r="I1230" s="12"/>
      <c r="J1230" s="12"/>
      <c r="K1230" s="12"/>
      <c r="L1230" s="12"/>
      <c r="M1230" s="12"/>
      <c r="N1230" s="12"/>
      <c r="O1230" s="12"/>
      <c r="P1230" s="12"/>
      <c r="Q1230" s="12"/>
      <c r="R1230" s="12"/>
      <c r="S1230" s="12"/>
      <c r="T1230" s="12"/>
      <c r="U1230" s="12"/>
      <c r="V1230" s="12"/>
      <c r="W1230" s="12"/>
      <c r="X1230" s="12"/>
      <c r="Y1230" s="12"/>
      <c r="Z1230" s="12"/>
    </row>
    <row r="1231" ht="15.0" customHeight="1">
      <c r="A1231" s="171" t="s">
        <v>1916</v>
      </c>
      <c r="B1231" s="171">
        <v>1.0</v>
      </c>
      <c r="C1231" s="171">
        <v>2.0</v>
      </c>
      <c r="D1231" s="171">
        <v>3.0</v>
      </c>
      <c r="E1231" s="171">
        <v>4.0</v>
      </c>
      <c r="F1231" s="171">
        <v>5.0</v>
      </c>
      <c r="G1231" s="171">
        <v>6.0</v>
      </c>
      <c r="H1231" s="12"/>
      <c r="I1231" s="12"/>
      <c r="J1231" s="12"/>
      <c r="K1231" s="12"/>
      <c r="L1231" s="12"/>
      <c r="M1231" s="12"/>
      <c r="N1231" s="12"/>
      <c r="O1231" s="12"/>
      <c r="P1231" s="12"/>
      <c r="Q1231" s="12"/>
      <c r="R1231" s="12"/>
      <c r="S1231" s="12"/>
      <c r="T1231" s="12"/>
      <c r="U1231" s="12"/>
      <c r="V1231" s="12"/>
      <c r="W1231" s="12"/>
      <c r="X1231" s="12"/>
      <c r="Y1231" s="12"/>
      <c r="Z1231" s="12"/>
    </row>
    <row r="1232" ht="15.0" customHeight="1">
      <c r="A1232" s="322">
        <v>0.0</v>
      </c>
      <c r="B1232" s="113">
        <v>0.155</v>
      </c>
      <c r="C1232" s="227">
        <f>IF(PPT=3,5%,4%)</f>
        <v>0.04</v>
      </c>
      <c r="D1232" s="227">
        <f>IF(PPT=3,5%,4%)</f>
        <v>0.04</v>
      </c>
      <c r="E1232" s="227">
        <f>IF(PPT=3,0,2%)</f>
        <v>0.02</v>
      </c>
      <c r="F1232" s="227">
        <f>IF(PPT=3,0,2%)</f>
        <v>0.02</v>
      </c>
      <c r="G1232" s="227">
        <v>0.0</v>
      </c>
      <c r="H1232" s="12"/>
      <c r="I1232" s="12"/>
      <c r="J1232" s="12"/>
      <c r="K1232" s="12"/>
      <c r="L1232" s="12"/>
      <c r="M1232" s="12"/>
      <c r="N1232" s="12"/>
      <c r="O1232" s="12"/>
      <c r="P1232" s="12"/>
      <c r="Q1232" s="12"/>
      <c r="R1232" s="12"/>
      <c r="S1232" s="12"/>
      <c r="T1232" s="12"/>
      <c r="U1232" s="12"/>
      <c r="V1232" s="12"/>
      <c r="W1232" s="12"/>
      <c r="X1232" s="12"/>
      <c r="Y1232" s="12"/>
      <c r="Z1232" s="12"/>
    </row>
    <row r="1233" ht="15.0" customHeight="1">
      <c r="A1233" s="352">
        <v>100000.0</v>
      </c>
      <c r="B1233" s="183">
        <f>IF(PPT=3,15.5%,14.5%)</f>
        <v>0.145</v>
      </c>
      <c r="C1233" s="227">
        <f>IF(PPT=3,5%,4%)</f>
        <v>0.04</v>
      </c>
      <c r="D1233" s="227">
        <f>IF(PPT=3,5%,4%)</f>
        <v>0.04</v>
      </c>
      <c r="E1233" s="227">
        <f>IF(PPT=3,0,2%)</f>
        <v>0.02</v>
      </c>
      <c r="F1233" s="227">
        <f>IF(PPT=3,0,2%)</f>
        <v>0.02</v>
      </c>
      <c r="G1233" s="227">
        <v>0.0</v>
      </c>
      <c r="H1233" s="12"/>
      <c r="I1233" s="12"/>
      <c r="J1233" s="12"/>
      <c r="K1233" s="12"/>
      <c r="L1233" s="12"/>
      <c r="M1233" s="12"/>
      <c r="N1233" s="12"/>
      <c r="O1233" s="12"/>
      <c r="P1233" s="12"/>
      <c r="Q1233" s="12"/>
      <c r="R1233" s="12"/>
      <c r="S1233" s="12"/>
      <c r="T1233" s="12"/>
      <c r="U1233" s="12"/>
      <c r="V1233" s="12"/>
      <c r="W1233" s="12"/>
      <c r="X1233" s="12"/>
      <c r="Y1233" s="12"/>
      <c r="Z1233" s="12"/>
    </row>
    <row r="1234" ht="15.0" customHeight="1">
      <c r="A1234" s="352">
        <v>500000.0</v>
      </c>
      <c r="B1234" s="183">
        <f>IF(PPT=3,14.5%,13.5%)</f>
        <v>0.135</v>
      </c>
      <c r="C1234" s="227">
        <f>IF(PPT=3,5%,4%)</f>
        <v>0.04</v>
      </c>
      <c r="D1234" s="227">
        <f>IF(PPT=3,5%,4%)</f>
        <v>0.04</v>
      </c>
      <c r="E1234" s="227">
        <f>IF(PPT=3,0,2%)</f>
        <v>0.02</v>
      </c>
      <c r="F1234" s="227">
        <f>IF(PPT=3,0,2%)</f>
        <v>0.02</v>
      </c>
      <c r="G1234" s="227">
        <v>0.0</v>
      </c>
      <c r="H1234" s="12"/>
      <c r="I1234" s="12"/>
      <c r="J1234" s="12"/>
      <c r="K1234" s="12"/>
      <c r="L1234" s="12"/>
      <c r="M1234" s="12"/>
      <c r="N1234" s="12"/>
      <c r="O1234" s="12"/>
      <c r="P1234" s="12"/>
      <c r="Q1234" s="12"/>
      <c r="R1234" s="12"/>
      <c r="S1234" s="12"/>
      <c r="T1234" s="12"/>
      <c r="U1234" s="12"/>
      <c r="V1234" s="12"/>
      <c r="W1234" s="12"/>
      <c r="X1234" s="12"/>
      <c r="Y1234" s="12"/>
      <c r="Z1234" s="12"/>
    </row>
    <row r="1235" ht="15.0" customHeight="1">
      <c r="A1235" s="349"/>
      <c r="B1235" s="350"/>
      <c r="C1235" s="12"/>
      <c r="D1235" s="12"/>
      <c r="E1235" s="12"/>
      <c r="F1235" s="12"/>
      <c r="G1235" s="12"/>
      <c r="H1235" s="12"/>
      <c r="I1235" s="12"/>
      <c r="J1235" s="12"/>
      <c r="K1235" s="12"/>
      <c r="L1235" s="12"/>
      <c r="M1235" s="12"/>
      <c r="N1235" s="12"/>
      <c r="O1235" s="12"/>
      <c r="P1235" s="12"/>
      <c r="Q1235" s="12"/>
      <c r="R1235" s="12"/>
      <c r="S1235" s="12"/>
      <c r="T1235" s="12"/>
      <c r="U1235" s="12"/>
      <c r="V1235" s="12"/>
      <c r="W1235" s="12"/>
      <c r="X1235" s="12"/>
      <c r="Y1235" s="12"/>
      <c r="Z1235" s="12"/>
    </row>
    <row r="1236" ht="15.0" customHeight="1">
      <c r="A1236" s="339" t="s">
        <v>1150</v>
      </c>
      <c r="B1236" s="350"/>
      <c r="C1236" s="12"/>
      <c r="D1236" s="12"/>
      <c r="E1236" s="12"/>
      <c r="F1236" s="12"/>
      <c r="G1236" s="12"/>
      <c r="H1236" s="12"/>
      <c r="I1236" s="12"/>
      <c r="J1236" s="12"/>
      <c r="K1236" s="12"/>
      <c r="L1236" s="12"/>
      <c r="M1236" s="12"/>
      <c r="N1236" s="12"/>
      <c r="O1236" s="12"/>
      <c r="P1236" s="12"/>
      <c r="Q1236" s="12"/>
      <c r="R1236" s="12"/>
      <c r="S1236" s="12"/>
      <c r="T1236" s="12"/>
      <c r="U1236" s="12"/>
      <c r="V1236" s="12"/>
      <c r="W1236" s="12"/>
      <c r="X1236" s="12"/>
      <c r="Y1236" s="12"/>
      <c r="Z1236" s="12"/>
    </row>
    <row r="1237" ht="15.0" customHeight="1">
      <c r="A1237" s="349"/>
      <c r="B1237" s="350"/>
      <c r="C1237" s="12"/>
      <c r="D1237" s="12"/>
      <c r="E1237" s="12"/>
      <c r="F1237" s="12"/>
      <c r="G1237" s="12"/>
      <c r="H1237" s="12"/>
      <c r="I1237" s="12"/>
      <c r="J1237" s="12"/>
      <c r="K1237" s="12"/>
      <c r="L1237" s="12"/>
      <c r="M1237" s="12"/>
      <c r="N1237" s="12"/>
      <c r="O1237" s="12"/>
      <c r="P1237" s="12"/>
      <c r="Q1237" s="12"/>
      <c r="R1237" s="12"/>
      <c r="S1237" s="12"/>
      <c r="T1237" s="12"/>
      <c r="U1237" s="12"/>
      <c r="V1237" s="12"/>
      <c r="W1237" s="12"/>
      <c r="X1237" s="12"/>
      <c r="Y1237" s="12"/>
      <c r="Z1237" s="12"/>
    </row>
    <row r="1238" ht="15.0" customHeight="1">
      <c r="A1238" s="171" t="s">
        <v>1916</v>
      </c>
      <c r="B1238" s="171">
        <v>1.0</v>
      </c>
      <c r="C1238" s="12"/>
      <c r="D1238" s="12"/>
      <c r="E1238" s="12"/>
      <c r="F1238" s="12"/>
      <c r="G1238" s="12"/>
      <c r="H1238" s="12"/>
      <c r="I1238" s="12"/>
      <c r="J1238" s="12"/>
      <c r="K1238" s="12"/>
      <c r="L1238" s="12"/>
      <c r="M1238" s="12"/>
      <c r="N1238" s="12"/>
      <c r="O1238" s="12"/>
      <c r="P1238" s="12"/>
      <c r="Q1238" s="12"/>
      <c r="R1238" s="12"/>
      <c r="S1238" s="12"/>
      <c r="T1238" s="12"/>
      <c r="U1238" s="12"/>
      <c r="V1238" s="12"/>
      <c r="W1238" s="12"/>
      <c r="X1238" s="12"/>
      <c r="Y1238" s="12"/>
      <c r="Z1238" s="12"/>
    </row>
    <row r="1239" ht="15.0" customHeight="1">
      <c r="A1239" s="352">
        <v>0.0</v>
      </c>
      <c r="B1239" s="113">
        <v>0.06</v>
      </c>
      <c r="C1239" s="12"/>
      <c r="D1239" s="12"/>
      <c r="E1239" s="12"/>
      <c r="F1239" s="12"/>
      <c r="G1239" s="12"/>
      <c r="H1239" s="12"/>
      <c r="I1239" s="12"/>
      <c r="J1239" s="12"/>
      <c r="K1239" s="12"/>
      <c r="L1239" s="12"/>
      <c r="M1239" s="12"/>
      <c r="N1239" s="12"/>
      <c r="O1239" s="12"/>
      <c r="P1239" s="12"/>
      <c r="Q1239" s="12"/>
      <c r="R1239" s="12"/>
      <c r="S1239" s="12"/>
      <c r="T1239" s="12"/>
      <c r="U1239" s="12"/>
      <c r="V1239" s="12"/>
      <c r="W1239" s="12"/>
      <c r="X1239" s="12"/>
      <c r="Y1239" s="12"/>
      <c r="Z1239" s="12"/>
    </row>
    <row r="1240" ht="15.0" customHeight="1">
      <c r="A1240" s="353">
        <v>50000.0</v>
      </c>
      <c r="B1240" s="113">
        <v>0.04</v>
      </c>
      <c r="C1240" s="12"/>
      <c r="D1240" s="12"/>
      <c r="E1240" s="12"/>
      <c r="F1240" s="12"/>
      <c r="G1240" s="12"/>
      <c r="H1240" s="12"/>
      <c r="I1240" s="12"/>
      <c r="J1240" s="12"/>
      <c r="K1240" s="12"/>
      <c r="L1240" s="12"/>
      <c r="M1240" s="12"/>
      <c r="N1240" s="12"/>
      <c r="O1240" s="12"/>
      <c r="P1240" s="12"/>
      <c r="Q1240" s="12"/>
      <c r="R1240" s="12"/>
      <c r="S1240" s="12"/>
      <c r="T1240" s="12"/>
      <c r="U1240" s="12"/>
      <c r="V1240" s="12"/>
      <c r="W1240" s="12"/>
      <c r="X1240" s="12"/>
      <c r="Y1240" s="12"/>
      <c r="Z1240" s="12"/>
    </row>
    <row r="1241" ht="15.0" customHeight="1">
      <c r="A1241" s="352">
        <v>100000.0</v>
      </c>
      <c r="B1241" s="113">
        <v>0.02</v>
      </c>
      <c r="C1241" s="12"/>
      <c r="D1241" s="12"/>
      <c r="E1241" s="12"/>
      <c r="F1241" s="12"/>
      <c r="G1241" s="12"/>
      <c r="H1241" s="12"/>
      <c r="I1241" s="12"/>
      <c r="J1241" s="12"/>
      <c r="K1241" s="12"/>
      <c r="L1241" s="12"/>
      <c r="M1241" s="12"/>
      <c r="N1241" s="12"/>
      <c r="O1241" s="12"/>
      <c r="P1241" s="12"/>
      <c r="Q1241" s="12"/>
      <c r="R1241" s="12"/>
      <c r="S1241" s="12"/>
      <c r="T1241" s="12"/>
      <c r="U1241" s="12"/>
      <c r="V1241" s="12"/>
      <c r="W1241" s="12"/>
      <c r="X1241" s="12"/>
      <c r="Y1241" s="12"/>
      <c r="Z1241" s="12"/>
    </row>
    <row r="1242" ht="15.0" customHeight="1">
      <c r="A1242" s="352">
        <v>500000.0</v>
      </c>
      <c r="B1242" s="113">
        <v>0.0</v>
      </c>
      <c r="C1242" s="12"/>
      <c r="D1242" s="12"/>
      <c r="E1242" s="12"/>
      <c r="F1242" s="12"/>
      <c r="G1242" s="12"/>
      <c r="H1242" s="12"/>
      <c r="I1242" s="12"/>
      <c r="J1242" s="12"/>
      <c r="K1242" s="12"/>
      <c r="L1242" s="12"/>
      <c r="M1242" s="12"/>
      <c r="N1242" s="12"/>
      <c r="O1242" s="12"/>
      <c r="P1242" s="12"/>
      <c r="Q1242" s="12"/>
      <c r="R1242" s="12"/>
      <c r="S1242" s="12"/>
      <c r="T1242" s="12"/>
      <c r="U1242" s="12"/>
      <c r="V1242" s="12"/>
      <c r="W1242" s="12"/>
      <c r="X1242" s="12"/>
      <c r="Y1242" s="12"/>
      <c r="Z1242" s="12"/>
    </row>
    <row r="1243" ht="15.0" customHeight="1">
      <c r="A1243" s="349"/>
      <c r="B1243" s="350"/>
      <c r="C1243" s="12"/>
      <c r="D1243" s="12"/>
      <c r="E1243" s="12"/>
      <c r="F1243" s="12"/>
      <c r="G1243" s="12"/>
      <c r="H1243" s="12"/>
      <c r="I1243" s="12"/>
      <c r="J1243" s="12"/>
      <c r="K1243" s="12"/>
      <c r="L1243" s="12"/>
      <c r="M1243" s="12"/>
      <c r="N1243" s="12"/>
      <c r="O1243" s="12"/>
      <c r="P1243" s="12"/>
      <c r="Q1243" s="12"/>
      <c r="R1243" s="12"/>
      <c r="S1243" s="12"/>
      <c r="T1243" s="12"/>
      <c r="U1243" s="12"/>
      <c r="V1243" s="12"/>
      <c r="W1243" s="12"/>
      <c r="X1243" s="12"/>
      <c r="Y1243" s="12"/>
      <c r="Z1243" s="12"/>
    </row>
    <row r="1244" ht="15.0" customHeight="1">
      <c r="A1244" s="339" t="s">
        <v>1154</v>
      </c>
      <c r="B1244" s="350"/>
      <c r="C1244" s="12"/>
      <c r="D1244" s="12"/>
      <c r="E1244" s="12"/>
      <c r="F1244" s="12"/>
      <c r="G1244" s="12"/>
      <c r="H1244" s="12"/>
      <c r="I1244" s="12"/>
      <c r="J1244" s="12"/>
      <c r="K1244" s="12"/>
      <c r="L1244" s="12"/>
      <c r="M1244" s="12"/>
      <c r="N1244" s="12"/>
      <c r="O1244" s="12"/>
      <c r="P1244" s="12"/>
      <c r="Q1244" s="12"/>
      <c r="R1244" s="12"/>
      <c r="S1244" s="12"/>
      <c r="T1244" s="12"/>
      <c r="U1244" s="12"/>
      <c r="V1244" s="12"/>
      <c r="W1244" s="12"/>
      <c r="X1244" s="12"/>
      <c r="Y1244" s="12"/>
      <c r="Z1244" s="12"/>
    </row>
    <row r="1245" ht="15.0" customHeight="1">
      <c r="A1245" s="349"/>
      <c r="B1245" s="350"/>
      <c r="C1245" s="12"/>
      <c r="D1245" s="12"/>
      <c r="E1245" s="12"/>
      <c r="F1245" s="12"/>
      <c r="G1245" s="12"/>
      <c r="H1245" s="12"/>
      <c r="I1245" s="12"/>
      <c r="J1245" s="12"/>
      <c r="K1245" s="12"/>
      <c r="L1245" s="12"/>
      <c r="M1245" s="12"/>
      <c r="N1245" s="12"/>
      <c r="O1245" s="12"/>
      <c r="P1245" s="12"/>
      <c r="Q1245" s="12"/>
      <c r="R1245" s="12"/>
      <c r="S1245" s="12"/>
      <c r="T1245" s="12"/>
      <c r="U1245" s="12"/>
      <c r="V1245" s="12"/>
      <c r="W1245" s="12"/>
      <c r="X1245" s="12"/>
      <c r="Y1245" s="12"/>
      <c r="Z1245" s="12"/>
    </row>
    <row r="1246" ht="15.0" customHeight="1">
      <c r="A1246" s="291" t="s">
        <v>1917</v>
      </c>
      <c r="B1246" s="291" t="s">
        <v>1918</v>
      </c>
      <c r="C1246" s="12"/>
      <c r="D1246" s="12"/>
      <c r="E1246" s="12"/>
      <c r="F1246" s="12"/>
      <c r="G1246" s="12"/>
      <c r="H1246" s="12"/>
      <c r="I1246" s="12"/>
      <c r="J1246" s="12"/>
      <c r="K1246" s="12"/>
      <c r="L1246" s="12"/>
      <c r="M1246" s="12"/>
      <c r="N1246" s="12"/>
      <c r="O1246" s="12"/>
      <c r="P1246" s="12"/>
      <c r="Q1246" s="12"/>
      <c r="R1246" s="12"/>
      <c r="S1246" s="12"/>
      <c r="T1246" s="12"/>
      <c r="U1246" s="12"/>
      <c r="V1246" s="12"/>
      <c r="W1246" s="12"/>
      <c r="X1246" s="12"/>
      <c r="Y1246" s="12"/>
      <c r="Z1246" s="12"/>
    </row>
    <row r="1247" ht="15.0" customHeight="1">
      <c r="A1247" s="332">
        <v>1.0</v>
      </c>
      <c r="B1247" s="351">
        <v>0.25</v>
      </c>
      <c r="C1247" s="12"/>
      <c r="D1247" s="12"/>
      <c r="E1247" s="12"/>
      <c r="F1247" s="12"/>
      <c r="G1247" s="12"/>
      <c r="H1247" s="12"/>
      <c r="I1247" s="12"/>
      <c r="J1247" s="12"/>
      <c r="K1247" s="12"/>
      <c r="L1247" s="12"/>
      <c r="M1247" s="12"/>
      <c r="N1247" s="12"/>
      <c r="O1247" s="12"/>
      <c r="P1247" s="12"/>
      <c r="Q1247" s="12"/>
      <c r="R1247" s="12"/>
      <c r="S1247" s="12"/>
      <c r="T1247" s="12"/>
      <c r="U1247" s="12"/>
      <c r="V1247" s="12"/>
      <c r="W1247" s="12"/>
      <c r="X1247" s="12"/>
      <c r="Y1247" s="12"/>
      <c r="Z1247" s="12"/>
    </row>
    <row r="1248" ht="15.0" customHeight="1">
      <c r="A1248" s="332">
        <v>2.0</v>
      </c>
      <c r="B1248" s="351">
        <v>0.25</v>
      </c>
      <c r="C1248" s="12"/>
      <c r="D1248" s="12"/>
      <c r="E1248" s="12"/>
      <c r="F1248" s="12"/>
      <c r="G1248" s="12"/>
      <c r="H1248" s="12"/>
      <c r="I1248" s="12"/>
      <c r="J1248" s="12"/>
      <c r="K1248" s="12"/>
      <c r="L1248" s="12"/>
      <c r="M1248" s="12"/>
      <c r="N1248" s="12"/>
      <c r="O1248" s="12"/>
      <c r="P1248" s="12"/>
      <c r="Q1248" s="12"/>
      <c r="R1248" s="12"/>
      <c r="S1248" s="12"/>
      <c r="T1248" s="12"/>
      <c r="U1248" s="12"/>
      <c r="V1248" s="12"/>
      <c r="W1248" s="12"/>
      <c r="X1248" s="12"/>
      <c r="Y1248" s="12"/>
      <c r="Z1248" s="12"/>
    </row>
    <row r="1249" ht="15.0" customHeight="1">
      <c r="A1249" s="332">
        <v>3.0</v>
      </c>
      <c r="B1249" s="351">
        <v>0.03</v>
      </c>
      <c r="C1249" s="12"/>
      <c r="D1249" s="12"/>
      <c r="E1249" s="12"/>
      <c r="F1249" s="12"/>
      <c r="G1249" s="12"/>
      <c r="H1249" s="12"/>
      <c r="I1249" s="12"/>
      <c r="J1249" s="12"/>
      <c r="K1249" s="12"/>
      <c r="L1249" s="12"/>
      <c r="M1249" s="12"/>
      <c r="N1249" s="12"/>
      <c r="O1249" s="12"/>
      <c r="P1249" s="12"/>
      <c r="Q1249" s="12"/>
      <c r="R1249" s="12"/>
      <c r="S1249" s="12"/>
      <c r="T1249" s="12"/>
      <c r="U1249" s="12"/>
      <c r="V1249" s="12"/>
      <c r="W1249" s="12"/>
      <c r="X1249" s="12"/>
      <c r="Y1249" s="12"/>
      <c r="Z1249" s="12"/>
    </row>
    <row r="1250" ht="15.0" customHeight="1">
      <c r="A1250" s="332">
        <v>4.0</v>
      </c>
      <c r="B1250" s="351">
        <v>0.03</v>
      </c>
      <c r="C1250" s="12"/>
      <c r="D1250" s="12"/>
      <c r="E1250" s="12"/>
      <c r="F1250" s="12"/>
      <c r="G1250" s="12"/>
      <c r="H1250" s="12"/>
      <c r="I1250" s="12"/>
      <c r="J1250" s="12"/>
      <c r="K1250" s="12"/>
      <c r="L1250" s="12"/>
      <c r="M1250" s="12"/>
      <c r="N1250" s="12"/>
      <c r="O1250" s="12"/>
      <c r="P1250" s="12"/>
      <c r="Q1250" s="12"/>
      <c r="R1250" s="12"/>
      <c r="S1250" s="12"/>
      <c r="T1250" s="12"/>
      <c r="U1250" s="12"/>
      <c r="V1250" s="12"/>
      <c r="W1250" s="12"/>
      <c r="X1250" s="12"/>
      <c r="Y1250" s="12"/>
      <c r="Z1250" s="12"/>
    </row>
    <row r="1251" ht="15.0" customHeight="1">
      <c r="A1251" s="332">
        <v>5.0</v>
      </c>
      <c r="B1251" s="351">
        <v>0.01</v>
      </c>
      <c r="C1251" s="12"/>
      <c r="D1251" s="12"/>
      <c r="E1251" s="12"/>
      <c r="F1251" s="12"/>
      <c r="G1251" s="12"/>
      <c r="H1251" s="12"/>
      <c r="I1251" s="12"/>
      <c r="J1251" s="12"/>
      <c r="K1251" s="12"/>
      <c r="L1251" s="12"/>
      <c r="M1251" s="12"/>
      <c r="N1251" s="12"/>
      <c r="O1251" s="12"/>
      <c r="P1251" s="12"/>
      <c r="Q1251" s="12"/>
      <c r="R1251" s="12"/>
      <c r="S1251" s="12"/>
      <c r="T1251" s="12"/>
      <c r="U1251" s="12"/>
      <c r="V1251" s="12"/>
      <c r="W1251" s="12"/>
      <c r="X1251" s="12"/>
      <c r="Y1251" s="12"/>
      <c r="Z1251" s="12"/>
    </row>
    <row r="1252" ht="15.0" customHeight="1">
      <c r="A1252" s="349"/>
      <c r="B1252" s="350"/>
      <c r="C1252" s="12"/>
      <c r="D1252" s="12"/>
      <c r="E1252" s="12"/>
      <c r="F1252" s="12"/>
      <c r="G1252" s="12"/>
      <c r="H1252" s="12"/>
      <c r="I1252" s="12"/>
      <c r="J1252" s="12"/>
      <c r="K1252" s="12"/>
      <c r="L1252" s="12"/>
      <c r="M1252" s="12"/>
      <c r="N1252" s="12"/>
      <c r="O1252" s="12"/>
      <c r="P1252" s="12"/>
      <c r="Q1252" s="12"/>
      <c r="R1252" s="12"/>
      <c r="S1252" s="12"/>
      <c r="T1252" s="12"/>
      <c r="U1252" s="12"/>
      <c r="V1252" s="12"/>
      <c r="W1252" s="12"/>
      <c r="X1252" s="12"/>
      <c r="Y1252" s="12"/>
      <c r="Z1252" s="12"/>
    </row>
    <row r="1253" ht="15.0" customHeight="1">
      <c r="A1253" s="354" t="s">
        <v>1160</v>
      </c>
      <c r="B1253" s="350"/>
      <c r="C1253" s="12"/>
      <c r="D1253" s="12"/>
      <c r="E1253" s="12"/>
      <c r="F1253" s="12"/>
      <c r="G1253" s="12"/>
      <c r="H1253" s="12"/>
      <c r="I1253" s="12"/>
      <c r="J1253" s="12"/>
      <c r="K1253" s="12"/>
      <c r="L1253" s="12"/>
      <c r="M1253" s="12"/>
      <c r="N1253" s="12"/>
      <c r="O1253" s="12"/>
      <c r="P1253" s="12"/>
      <c r="Q1253" s="12"/>
      <c r="R1253" s="12"/>
      <c r="S1253" s="12"/>
      <c r="T1253" s="12"/>
      <c r="U1253" s="12"/>
      <c r="V1253" s="12"/>
      <c r="W1253" s="12"/>
      <c r="X1253" s="12"/>
      <c r="Y1253" s="12"/>
      <c r="Z1253" s="12"/>
    </row>
    <row r="1254" ht="15.0" customHeight="1">
      <c r="A1254" s="349"/>
      <c r="B1254" s="350"/>
      <c r="C1254" s="12"/>
      <c r="D1254" s="12"/>
      <c r="E1254" s="12"/>
      <c r="F1254" s="12"/>
      <c r="G1254" s="12"/>
      <c r="H1254" s="12"/>
      <c r="I1254" s="12"/>
      <c r="J1254" s="12"/>
      <c r="K1254" s="12"/>
      <c r="L1254" s="12"/>
      <c r="M1254" s="12"/>
      <c r="N1254" s="12"/>
      <c r="O1254" s="12"/>
      <c r="P1254" s="12"/>
      <c r="Q1254" s="12"/>
      <c r="R1254" s="12"/>
      <c r="S1254" s="12"/>
      <c r="T1254" s="12"/>
      <c r="U1254" s="12"/>
      <c r="V1254" s="12"/>
      <c r="W1254" s="12"/>
      <c r="X1254" s="12"/>
      <c r="Y1254" s="12"/>
      <c r="Z1254" s="12"/>
    </row>
    <row r="1255" ht="15.0" customHeight="1">
      <c r="A1255" s="171" t="s">
        <v>1916</v>
      </c>
      <c r="B1255" s="171">
        <v>1.0</v>
      </c>
      <c r="C1255" s="171">
        <v>2.0</v>
      </c>
      <c r="D1255" s="171">
        <v>3.0</v>
      </c>
      <c r="E1255" s="12"/>
      <c r="F1255" s="12"/>
      <c r="G1255" s="12"/>
      <c r="H1255" s="12"/>
      <c r="I1255" s="12"/>
      <c r="J1255" s="12"/>
      <c r="K1255" s="12"/>
      <c r="L1255" s="12"/>
      <c r="M1255" s="12"/>
      <c r="N1255" s="12"/>
      <c r="O1255" s="12"/>
      <c r="P1255" s="12"/>
      <c r="Q1255" s="12"/>
      <c r="R1255" s="12"/>
      <c r="S1255" s="12"/>
      <c r="T1255" s="12"/>
      <c r="U1255" s="12"/>
      <c r="V1255" s="12"/>
      <c r="W1255" s="12"/>
      <c r="X1255" s="12"/>
      <c r="Y1255" s="12"/>
      <c r="Z1255" s="12"/>
    </row>
    <row r="1256" ht="15.0" customHeight="1">
      <c r="A1256" s="322">
        <v>0.0</v>
      </c>
      <c r="B1256" s="113">
        <v>0.2</v>
      </c>
      <c r="C1256" s="355">
        <v>0.075</v>
      </c>
      <c r="D1256" s="355">
        <v>0.04</v>
      </c>
      <c r="E1256" s="12"/>
      <c r="F1256" s="12"/>
      <c r="G1256" s="12"/>
      <c r="H1256" s="12"/>
      <c r="I1256" s="12"/>
      <c r="J1256" s="12"/>
      <c r="K1256" s="12"/>
      <c r="L1256" s="12"/>
      <c r="M1256" s="12"/>
      <c r="N1256" s="12"/>
      <c r="O1256" s="12"/>
      <c r="P1256" s="12"/>
      <c r="Q1256" s="12"/>
      <c r="R1256" s="12"/>
      <c r="S1256" s="12"/>
      <c r="T1256" s="12"/>
      <c r="U1256" s="12"/>
      <c r="V1256" s="12"/>
      <c r="W1256" s="12"/>
      <c r="X1256" s="12"/>
      <c r="Y1256" s="12"/>
      <c r="Z1256" s="12"/>
    </row>
    <row r="1257" ht="15.0" customHeight="1">
      <c r="A1257" s="352">
        <v>50000.0</v>
      </c>
      <c r="B1257" s="113">
        <v>0.18</v>
      </c>
      <c r="C1257" s="355">
        <v>0.075</v>
      </c>
      <c r="D1257" s="355">
        <v>0.04</v>
      </c>
      <c r="E1257" s="12"/>
      <c r="F1257" s="12"/>
      <c r="G1257" s="12"/>
      <c r="H1257" s="12"/>
      <c r="I1257" s="12"/>
      <c r="J1257" s="12"/>
      <c r="K1257" s="12"/>
      <c r="L1257" s="12"/>
      <c r="M1257" s="12"/>
      <c r="N1257" s="12"/>
      <c r="O1257" s="12"/>
      <c r="P1257" s="12"/>
      <c r="Q1257" s="12"/>
      <c r="R1257" s="12"/>
      <c r="S1257" s="12"/>
      <c r="T1257" s="12"/>
      <c r="U1257" s="12"/>
      <c r="V1257" s="12"/>
      <c r="W1257" s="12"/>
      <c r="X1257" s="12"/>
      <c r="Y1257" s="12"/>
      <c r="Z1257" s="12"/>
    </row>
    <row r="1258" ht="15.0" customHeight="1">
      <c r="A1258" s="349"/>
      <c r="B1258" s="350"/>
      <c r="C1258" s="12"/>
      <c r="D1258" s="12"/>
      <c r="E1258" s="12"/>
      <c r="F1258" s="12"/>
      <c r="G1258" s="12"/>
      <c r="H1258" s="12"/>
      <c r="I1258" s="12"/>
      <c r="J1258" s="12"/>
      <c r="K1258" s="12"/>
      <c r="L1258" s="12"/>
      <c r="M1258" s="12"/>
      <c r="N1258" s="12"/>
      <c r="O1258" s="12"/>
      <c r="P1258" s="12"/>
      <c r="Q1258" s="12"/>
      <c r="R1258" s="12"/>
      <c r="S1258" s="12"/>
      <c r="T1258" s="12"/>
      <c r="U1258" s="12"/>
      <c r="V1258" s="12"/>
      <c r="W1258" s="12"/>
      <c r="X1258" s="12"/>
      <c r="Y1258" s="12"/>
      <c r="Z1258" s="12"/>
    </row>
    <row r="1259" ht="15.0" customHeight="1">
      <c r="A1259" s="339" t="s">
        <v>1163</v>
      </c>
      <c r="B1259" s="350"/>
      <c r="C1259" s="12"/>
      <c r="D1259" s="12"/>
      <c r="E1259" s="12"/>
      <c r="F1259" s="12"/>
      <c r="G1259" s="12"/>
      <c r="H1259" s="12"/>
      <c r="I1259" s="12"/>
      <c r="J1259" s="12"/>
      <c r="K1259" s="12"/>
      <c r="L1259" s="12"/>
      <c r="M1259" s="12"/>
      <c r="N1259" s="12"/>
      <c r="O1259" s="12"/>
      <c r="P1259" s="12"/>
      <c r="Q1259" s="12"/>
      <c r="R1259" s="12"/>
      <c r="S1259" s="12"/>
      <c r="T1259" s="12"/>
      <c r="U1259" s="12"/>
      <c r="V1259" s="12"/>
      <c r="W1259" s="12"/>
      <c r="X1259" s="12"/>
      <c r="Y1259" s="12"/>
      <c r="Z1259" s="12"/>
    </row>
    <row r="1260" ht="15.0" customHeight="1">
      <c r="A1260" s="349"/>
      <c r="B1260" s="350"/>
      <c r="C1260" s="12"/>
      <c r="D1260" s="12"/>
      <c r="E1260" s="12"/>
      <c r="F1260" s="12"/>
      <c r="G1260" s="12"/>
      <c r="H1260" s="12"/>
      <c r="I1260" s="12"/>
      <c r="J1260" s="12"/>
      <c r="K1260" s="12"/>
      <c r="L1260" s="12"/>
      <c r="M1260" s="12"/>
      <c r="N1260" s="12"/>
      <c r="O1260" s="12"/>
      <c r="P1260" s="12"/>
      <c r="Q1260" s="12"/>
      <c r="R1260" s="12"/>
      <c r="S1260" s="12"/>
      <c r="T1260" s="12"/>
      <c r="U1260" s="12"/>
      <c r="V1260" s="12"/>
      <c r="W1260" s="12"/>
      <c r="X1260" s="12"/>
      <c r="Y1260" s="12"/>
      <c r="Z1260" s="12"/>
    </row>
    <row r="1261" ht="15.0" customHeight="1">
      <c r="A1261" s="171" t="s">
        <v>1916</v>
      </c>
      <c r="B1261" s="171">
        <v>1.0</v>
      </c>
      <c r="C1261" s="12"/>
      <c r="D1261" s="12"/>
      <c r="E1261" s="12"/>
      <c r="F1261" s="12"/>
      <c r="G1261" s="12"/>
      <c r="H1261" s="12"/>
      <c r="I1261" s="12"/>
      <c r="J1261" s="12"/>
      <c r="K1261" s="12"/>
      <c r="L1261" s="12"/>
      <c r="M1261" s="12"/>
      <c r="N1261" s="12"/>
      <c r="O1261" s="12"/>
      <c r="P1261" s="12"/>
      <c r="Q1261" s="12"/>
      <c r="R1261" s="12"/>
      <c r="S1261" s="12"/>
      <c r="T1261" s="12"/>
      <c r="U1261" s="12"/>
      <c r="V1261" s="12"/>
      <c r="W1261" s="12"/>
      <c r="X1261" s="12"/>
      <c r="Y1261" s="12"/>
      <c r="Z1261" s="12"/>
    </row>
    <row r="1262" ht="15.0" customHeight="1">
      <c r="A1262" s="352">
        <v>0.0</v>
      </c>
      <c r="B1262" s="113">
        <v>0.06</v>
      </c>
      <c r="C1262" s="12"/>
      <c r="D1262" s="12"/>
      <c r="E1262" s="12"/>
      <c r="F1262" s="12"/>
      <c r="G1262" s="12"/>
      <c r="H1262" s="12"/>
      <c r="I1262" s="12"/>
      <c r="J1262" s="12"/>
      <c r="K1262" s="12"/>
      <c r="L1262" s="12"/>
      <c r="M1262" s="12"/>
      <c r="N1262" s="12"/>
      <c r="O1262" s="12"/>
      <c r="P1262" s="12"/>
      <c r="Q1262" s="12"/>
      <c r="R1262" s="12"/>
      <c r="S1262" s="12"/>
      <c r="T1262" s="12"/>
      <c r="U1262" s="12"/>
      <c r="V1262" s="12"/>
      <c r="W1262" s="12"/>
      <c r="X1262" s="12"/>
      <c r="Y1262" s="12"/>
      <c r="Z1262" s="12"/>
    </row>
    <row r="1263" ht="15.0" customHeight="1">
      <c r="A1263" s="353">
        <v>50000.0</v>
      </c>
      <c r="B1263" s="113">
        <v>0.04</v>
      </c>
      <c r="C1263" s="12"/>
      <c r="D1263" s="12"/>
      <c r="E1263" s="12"/>
      <c r="F1263" s="12"/>
      <c r="G1263" s="12"/>
      <c r="H1263" s="12"/>
      <c r="I1263" s="12"/>
      <c r="J1263" s="12"/>
      <c r="K1263" s="12"/>
      <c r="L1263" s="12"/>
      <c r="M1263" s="12"/>
      <c r="N1263" s="12"/>
      <c r="O1263" s="12"/>
      <c r="P1263" s="12"/>
      <c r="Q1263" s="12"/>
      <c r="R1263" s="12"/>
      <c r="S1263" s="12"/>
      <c r="T1263" s="12"/>
      <c r="U1263" s="12"/>
      <c r="V1263" s="12"/>
      <c r="W1263" s="12"/>
      <c r="X1263" s="12"/>
      <c r="Y1263" s="12"/>
      <c r="Z1263" s="12"/>
    </row>
    <row r="1264" ht="15.0" customHeight="1">
      <c r="A1264" s="352">
        <v>100000.0</v>
      </c>
      <c r="B1264" s="113">
        <v>0.02</v>
      </c>
      <c r="C1264" s="12"/>
      <c r="D1264" s="12"/>
      <c r="E1264" s="12"/>
      <c r="F1264" s="12"/>
      <c r="G1264" s="12"/>
      <c r="H1264" s="12"/>
      <c r="I1264" s="12"/>
      <c r="J1264" s="12"/>
      <c r="K1264" s="12"/>
      <c r="L1264" s="12"/>
      <c r="M1264" s="12"/>
      <c r="N1264" s="12"/>
      <c r="O1264" s="12"/>
      <c r="P1264" s="12"/>
      <c r="Q1264" s="12"/>
      <c r="R1264" s="12"/>
      <c r="S1264" s="12"/>
      <c r="T1264" s="12"/>
      <c r="U1264" s="12"/>
      <c r="V1264" s="12"/>
      <c r="W1264" s="12"/>
      <c r="X1264" s="12"/>
      <c r="Y1264" s="12"/>
      <c r="Z1264" s="12"/>
    </row>
    <row r="1265" ht="15.0" customHeight="1">
      <c r="A1265" s="352">
        <v>500000.0</v>
      </c>
      <c r="B1265" s="113">
        <v>0.0</v>
      </c>
      <c r="C1265" s="12"/>
      <c r="D1265" s="12"/>
      <c r="E1265" s="12"/>
      <c r="F1265" s="12"/>
      <c r="G1265" s="12"/>
      <c r="H1265" s="12"/>
      <c r="I1265" s="12"/>
      <c r="J1265" s="12"/>
      <c r="K1265" s="12"/>
      <c r="L1265" s="12"/>
      <c r="M1265" s="12"/>
      <c r="N1265" s="12"/>
      <c r="O1265" s="12"/>
      <c r="P1265" s="12"/>
      <c r="Q1265" s="12"/>
      <c r="R1265" s="12"/>
      <c r="S1265" s="12"/>
      <c r="T1265" s="12"/>
      <c r="U1265" s="12"/>
      <c r="V1265" s="12"/>
      <c r="W1265" s="12"/>
      <c r="X1265" s="12"/>
      <c r="Y1265" s="12"/>
      <c r="Z1265" s="12"/>
    </row>
    <row r="1266" ht="15.0" customHeight="1">
      <c r="A1266" s="349"/>
      <c r="B1266" s="350"/>
      <c r="C1266" s="12"/>
      <c r="D1266" s="12"/>
      <c r="E1266" s="12"/>
      <c r="F1266" s="12"/>
      <c r="G1266" s="12"/>
      <c r="H1266" s="12"/>
      <c r="I1266" s="12"/>
      <c r="J1266" s="12"/>
      <c r="K1266" s="12"/>
      <c r="L1266" s="12"/>
      <c r="M1266" s="12"/>
      <c r="N1266" s="12"/>
      <c r="O1266" s="12"/>
      <c r="P1266" s="12"/>
      <c r="Q1266" s="12"/>
      <c r="R1266" s="12"/>
      <c r="S1266" s="12"/>
      <c r="T1266" s="12"/>
      <c r="U1266" s="12"/>
      <c r="V1266" s="12"/>
      <c r="W1266" s="12"/>
      <c r="X1266" s="12"/>
      <c r="Y1266" s="12"/>
      <c r="Z1266" s="12"/>
    </row>
    <row r="1267" ht="15.0" customHeight="1">
      <c r="A1267" s="339" t="s">
        <v>1167</v>
      </c>
      <c r="B1267" s="350"/>
      <c r="C1267" s="12"/>
      <c r="D1267" s="12"/>
      <c r="E1267" s="12"/>
      <c r="F1267" s="12"/>
      <c r="G1267" s="12"/>
      <c r="H1267" s="12"/>
      <c r="I1267" s="12"/>
      <c r="J1267" s="12"/>
      <c r="K1267" s="12"/>
      <c r="L1267" s="12"/>
      <c r="M1267" s="12"/>
      <c r="N1267" s="12"/>
      <c r="O1267" s="12"/>
      <c r="P1267" s="12"/>
      <c r="Q1267" s="12"/>
      <c r="R1267" s="12"/>
      <c r="S1267" s="12"/>
      <c r="T1267" s="12"/>
      <c r="U1267" s="12"/>
      <c r="V1267" s="12"/>
      <c r="W1267" s="12"/>
      <c r="X1267" s="12"/>
      <c r="Y1267" s="12"/>
      <c r="Z1267" s="12"/>
    </row>
    <row r="1268" ht="15.0" customHeight="1">
      <c r="A1268" s="349"/>
      <c r="B1268" s="350"/>
      <c r="C1268" s="12"/>
      <c r="D1268" s="12"/>
      <c r="E1268" s="12"/>
      <c r="F1268" s="12"/>
      <c r="G1268" s="12"/>
      <c r="H1268" s="12"/>
      <c r="I1268" s="12"/>
      <c r="J1268" s="12"/>
      <c r="K1268" s="12"/>
      <c r="L1268" s="12"/>
      <c r="M1268" s="12"/>
      <c r="N1268" s="12"/>
      <c r="O1268" s="12"/>
      <c r="P1268" s="12"/>
      <c r="Q1268" s="12"/>
      <c r="R1268" s="12"/>
      <c r="S1268" s="12"/>
      <c r="T1268" s="12"/>
      <c r="U1268" s="12"/>
      <c r="V1268" s="12"/>
      <c r="W1268" s="12"/>
      <c r="X1268" s="12"/>
      <c r="Y1268" s="12"/>
      <c r="Z1268" s="12"/>
    </row>
    <row r="1269" ht="15.0" customHeight="1">
      <c r="A1269" s="171" t="s">
        <v>1916</v>
      </c>
      <c r="B1269" s="171">
        <v>1.0</v>
      </c>
      <c r="C1269" s="171">
        <v>2.0</v>
      </c>
      <c r="D1269" s="171">
        <v>3.0</v>
      </c>
      <c r="E1269" s="171">
        <v>4.0</v>
      </c>
      <c r="F1269" s="171">
        <v>5.0</v>
      </c>
      <c r="G1269" s="171">
        <v>6.0</v>
      </c>
      <c r="H1269" s="171">
        <v>7.0</v>
      </c>
      <c r="I1269" s="171">
        <v>8.0</v>
      </c>
      <c r="J1269" s="171">
        <v>9.0</v>
      </c>
      <c r="K1269" s="171">
        <v>10.0</v>
      </c>
      <c r="L1269" s="171">
        <v>11.0</v>
      </c>
      <c r="M1269" s="12"/>
      <c r="N1269" s="12"/>
      <c r="O1269" s="12"/>
      <c r="P1269" s="12"/>
      <c r="Q1269" s="12"/>
      <c r="R1269" s="12"/>
      <c r="S1269" s="12"/>
      <c r="T1269" s="12"/>
      <c r="U1269" s="12"/>
      <c r="V1269" s="12"/>
      <c r="W1269" s="12"/>
      <c r="X1269" s="12"/>
      <c r="Y1269" s="12"/>
      <c r="Z1269" s="12"/>
    </row>
    <row r="1270" ht="15.0" customHeight="1">
      <c r="A1270" s="322">
        <v>0.0</v>
      </c>
      <c r="B1270" s="113">
        <v>0.2</v>
      </c>
      <c r="C1270" s="355">
        <v>0.05</v>
      </c>
      <c r="D1270" s="355">
        <v>0.05</v>
      </c>
      <c r="E1270" s="355">
        <v>0.05</v>
      </c>
      <c r="F1270" s="355">
        <v>0.05</v>
      </c>
      <c r="G1270" s="355">
        <v>0.02</v>
      </c>
      <c r="H1270" s="355">
        <v>0.02</v>
      </c>
      <c r="I1270" s="355">
        <v>0.02</v>
      </c>
      <c r="J1270" s="355">
        <v>0.02</v>
      </c>
      <c r="K1270" s="355">
        <v>0.02</v>
      </c>
      <c r="L1270" s="355">
        <v>0.01</v>
      </c>
      <c r="M1270" s="12"/>
      <c r="N1270" s="12"/>
      <c r="O1270" s="12"/>
      <c r="P1270" s="12"/>
      <c r="Q1270" s="12"/>
      <c r="R1270" s="12"/>
      <c r="S1270" s="12"/>
      <c r="T1270" s="12"/>
      <c r="U1270" s="12"/>
      <c r="V1270" s="12"/>
      <c r="W1270" s="12"/>
      <c r="X1270" s="12"/>
      <c r="Y1270" s="12"/>
      <c r="Z1270" s="12"/>
    </row>
    <row r="1271" ht="15.0" customHeight="1">
      <c r="A1271" s="352">
        <v>20000.0</v>
      </c>
      <c r="B1271" s="113">
        <v>0.19</v>
      </c>
      <c r="C1271" s="355">
        <v>0.05</v>
      </c>
      <c r="D1271" s="355">
        <v>0.05</v>
      </c>
      <c r="E1271" s="355">
        <v>0.05</v>
      </c>
      <c r="F1271" s="355">
        <v>0.05</v>
      </c>
      <c r="G1271" s="355">
        <v>0.02</v>
      </c>
      <c r="H1271" s="355">
        <v>0.02</v>
      </c>
      <c r="I1271" s="355">
        <v>0.02</v>
      </c>
      <c r="J1271" s="355">
        <v>0.02</v>
      </c>
      <c r="K1271" s="355">
        <v>0.02</v>
      </c>
      <c r="L1271" s="355">
        <v>0.01</v>
      </c>
      <c r="M1271" s="12"/>
      <c r="N1271" s="12"/>
      <c r="O1271" s="12"/>
      <c r="P1271" s="12"/>
      <c r="Q1271" s="12"/>
      <c r="R1271" s="12"/>
      <c r="S1271" s="12"/>
      <c r="T1271" s="12"/>
      <c r="U1271" s="12"/>
      <c r="V1271" s="12"/>
      <c r="W1271" s="12"/>
      <c r="X1271" s="12"/>
      <c r="Y1271" s="12"/>
      <c r="Z1271" s="12"/>
    </row>
    <row r="1272" ht="15.0" customHeight="1">
      <c r="A1272" s="352">
        <v>50000.0</v>
      </c>
      <c r="B1272" s="113">
        <v>0.18</v>
      </c>
      <c r="C1272" s="355">
        <v>0.05</v>
      </c>
      <c r="D1272" s="355">
        <v>0.05</v>
      </c>
      <c r="E1272" s="355">
        <v>0.05</v>
      </c>
      <c r="F1272" s="355">
        <v>0.05</v>
      </c>
      <c r="G1272" s="355">
        <v>0.02</v>
      </c>
      <c r="H1272" s="355">
        <v>0.02</v>
      </c>
      <c r="I1272" s="355">
        <v>0.02</v>
      </c>
      <c r="J1272" s="355">
        <v>0.02</v>
      </c>
      <c r="K1272" s="355">
        <v>0.02</v>
      </c>
      <c r="L1272" s="121">
        <v>0.01</v>
      </c>
      <c r="M1272" s="12"/>
      <c r="N1272" s="12"/>
      <c r="O1272" s="12"/>
      <c r="P1272" s="12"/>
      <c r="Q1272" s="12"/>
      <c r="R1272" s="12"/>
      <c r="S1272" s="12"/>
      <c r="T1272" s="12"/>
      <c r="U1272" s="12"/>
      <c r="V1272" s="12"/>
      <c r="W1272" s="12"/>
      <c r="X1272" s="12"/>
      <c r="Y1272" s="12"/>
      <c r="Z1272" s="12"/>
    </row>
    <row r="1273" ht="15.0" customHeight="1">
      <c r="A1273" s="349"/>
      <c r="B1273" s="350"/>
      <c r="C1273" s="12"/>
      <c r="D1273" s="12"/>
      <c r="E1273" s="12"/>
      <c r="F1273" s="12"/>
      <c r="G1273" s="12"/>
      <c r="H1273" s="12"/>
      <c r="I1273" s="12"/>
      <c r="J1273" s="12"/>
      <c r="K1273" s="12"/>
      <c r="L1273" s="12"/>
      <c r="M1273" s="12"/>
      <c r="N1273" s="12"/>
      <c r="O1273" s="12"/>
      <c r="P1273" s="12"/>
      <c r="Q1273" s="12"/>
      <c r="R1273" s="12"/>
      <c r="S1273" s="12"/>
      <c r="T1273" s="12"/>
      <c r="U1273" s="12"/>
      <c r="V1273" s="12"/>
      <c r="W1273" s="12"/>
      <c r="X1273" s="12"/>
      <c r="Y1273" s="12"/>
      <c r="Z1273" s="12"/>
    </row>
    <row r="1274" ht="15.0" customHeight="1">
      <c r="A1274" s="349"/>
      <c r="B1274" s="350"/>
      <c r="C1274" s="12"/>
      <c r="D1274" s="12"/>
      <c r="E1274" s="12"/>
      <c r="F1274" s="12"/>
      <c r="G1274" s="12"/>
      <c r="H1274" s="12"/>
      <c r="I1274" s="12"/>
      <c r="J1274" s="12"/>
      <c r="K1274" s="12"/>
      <c r="L1274" s="12"/>
      <c r="M1274" s="12"/>
      <c r="N1274" s="12"/>
      <c r="O1274" s="12"/>
      <c r="P1274" s="12"/>
      <c r="Q1274" s="12"/>
      <c r="R1274" s="12"/>
      <c r="S1274" s="12"/>
      <c r="T1274" s="12"/>
      <c r="U1274" s="12"/>
      <c r="V1274" s="12"/>
      <c r="W1274" s="12"/>
      <c r="X1274" s="12"/>
      <c r="Y1274" s="12"/>
      <c r="Z1274" s="12"/>
    </row>
    <row r="1275" ht="15.0" customHeight="1">
      <c r="A1275" s="339" t="s">
        <v>1221</v>
      </c>
      <c r="B1275" s="350"/>
      <c r="C1275" s="12"/>
      <c r="D1275" s="12"/>
      <c r="E1275" s="12"/>
      <c r="F1275" s="12"/>
      <c r="G1275" s="12"/>
      <c r="H1275" s="12"/>
      <c r="I1275" s="12"/>
      <c r="J1275" s="12"/>
      <c r="K1275" s="12"/>
      <c r="L1275" s="12"/>
      <c r="M1275" s="12"/>
      <c r="N1275" s="12"/>
      <c r="O1275" s="12"/>
      <c r="P1275" s="12"/>
      <c r="Q1275" s="12"/>
      <c r="R1275" s="12"/>
      <c r="S1275" s="12"/>
      <c r="T1275" s="12"/>
      <c r="U1275" s="12"/>
      <c r="V1275" s="12"/>
      <c r="W1275" s="12"/>
      <c r="X1275" s="12"/>
      <c r="Y1275" s="12"/>
      <c r="Z1275" s="12"/>
    </row>
    <row r="1276" ht="15.0" customHeight="1">
      <c r="A1276" s="349"/>
      <c r="B1276" s="350"/>
      <c r="C1276" s="12"/>
      <c r="D1276" s="12"/>
      <c r="E1276" s="12"/>
      <c r="F1276" s="12"/>
      <c r="G1276" s="12"/>
      <c r="H1276" s="12"/>
      <c r="I1276" s="12"/>
      <c r="J1276" s="12"/>
      <c r="K1276" s="12"/>
      <c r="L1276" s="12"/>
      <c r="M1276" s="12"/>
      <c r="N1276" s="12"/>
      <c r="O1276" s="12"/>
      <c r="P1276" s="12"/>
      <c r="Q1276" s="12"/>
      <c r="R1276" s="12"/>
      <c r="S1276" s="12"/>
      <c r="T1276" s="12"/>
      <c r="U1276" s="12"/>
      <c r="V1276" s="12"/>
      <c r="W1276" s="12"/>
      <c r="X1276" s="12"/>
      <c r="Y1276" s="12"/>
      <c r="Z1276" s="12"/>
    </row>
    <row r="1277" ht="15.0" customHeight="1">
      <c r="A1277" s="291" t="s">
        <v>1917</v>
      </c>
      <c r="B1277" s="291" t="s">
        <v>1918</v>
      </c>
      <c r="C1277" s="12"/>
      <c r="D1277" s="12"/>
      <c r="E1277" s="12"/>
      <c r="F1277" s="12"/>
      <c r="G1277" s="12"/>
      <c r="H1277" s="12"/>
      <c r="I1277" s="12"/>
      <c r="J1277" s="12"/>
      <c r="K1277" s="12"/>
      <c r="L1277" s="12"/>
      <c r="M1277" s="12"/>
      <c r="N1277" s="12"/>
      <c r="O1277" s="12"/>
      <c r="P1277" s="12"/>
      <c r="Q1277" s="12"/>
      <c r="R1277" s="12"/>
      <c r="S1277" s="12"/>
      <c r="T1277" s="12"/>
      <c r="U1277" s="12"/>
      <c r="V1277" s="12"/>
      <c r="W1277" s="12"/>
      <c r="X1277" s="12"/>
      <c r="Y1277" s="12"/>
      <c r="Z1277" s="12"/>
    </row>
    <row r="1278" ht="15.0" customHeight="1">
      <c r="A1278" s="332">
        <v>1.0</v>
      </c>
      <c r="B1278" s="351">
        <v>0.12</v>
      </c>
      <c r="C1278" s="12"/>
      <c r="D1278" s="12"/>
      <c r="E1278" s="12"/>
      <c r="F1278" s="12"/>
      <c r="G1278" s="12"/>
      <c r="H1278" s="12"/>
      <c r="I1278" s="12"/>
      <c r="J1278" s="12"/>
      <c r="K1278" s="12"/>
      <c r="L1278" s="12"/>
      <c r="M1278" s="12"/>
      <c r="N1278" s="12"/>
      <c r="O1278" s="12"/>
      <c r="P1278" s="12"/>
      <c r="Q1278" s="12"/>
      <c r="R1278" s="12"/>
      <c r="S1278" s="12"/>
      <c r="T1278" s="12"/>
      <c r="U1278" s="12"/>
      <c r="V1278" s="12"/>
      <c r="W1278" s="12"/>
      <c r="X1278" s="12"/>
      <c r="Y1278" s="12"/>
      <c r="Z1278" s="12"/>
    </row>
    <row r="1279" ht="15.0" customHeight="1">
      <c r="A1279" s="332">
        <v>2.0</v>
      </c>
      <c r="B1279" s="351">
        <v>0.08</v>
      </c>
      <c r="C1279" s="12"/>
      <c r="D1279" s="12"/>
      <c r="E1279" s="12"/>
      <c r="F1279" s="12"/>
      <c r="G1279" s="12"/>
      <c r="H1279" s="12"/>
      <c r="I1279" s="12"/>
      <c r="J1279" s="12"/>
      <c r="K1279" s="12"/>
      <c r="L1279" s="12"/>
      <c r="M1279" s="12"/>
      <c r="N1279" s="12"/>
      <c r="O1279" s="12"/>
      <c r="P1279" s="12"/>
      <c r="Q1279" s="12"/>
      <c r="R1279" s="12"/>
      <c r="S1279" s="12"/>
      <c r="T1279" s="12"/>
      <c r="U1279" s="12"/>
      <c r="V1279" s="12"/>
      <c r="W1279" s="12"/>
      <c r="X1279" s="12"/>
      <c r="Y1279" s="12"/>
      <c r="Z1279" s="12"/>
    </row>
    <row r="1280" ht="15.0" customHeight="1">
      <c r="A1280" s="332">
        <v>3.0</v>
      </c>
      <c r="B1280" s="351">
        <v>0.08</v>
      </c>
      <c r="C1280" s="12"/>
      <c r="D1280" s="12"/>
      <c r="E1280" s="12"/>
      <c r="F1280" s="12"/>
      <c r="G1280" s="12"/>
      <c r="H1280" s="12"/>
      <c r="I1280" s="12"/>
      <c r="J1280" s="12"/>
      <c r="K1280" s="12"/>
      <c r="L1280" s="12"/>
      <c r="M1280" s="12"/>
      <c r="N1280" s="12"/>
      <c r="O1280" s="12"/>
      <c r="P1280" s="12"/>
      <c r="Q1280" s="12"/>
      <c r="R1280" s="12"/>
      <c r="S1280" s="12"/>
      <c r="T1280" s="12"/>
      <c r="U1280" s="12"/>
      <c r="V1280" s="12"/>
      <c r="W1280" s="12"/>
      <c r="X1280" s="12"/>
      <c r="Y1280" s="12"/>
      <c r="Z1280" s="12"/>
    </row>
    <row r="1281" ht="15.0" customHeight="1">
      <c r="A1281" s="332">
        <v>4.0</v>
      </c>
      <c r="B1281" s="351">
        <v>0.05</v>
      </c>
      <c r="C1281" s="12"/>
      <c r="D1281" s="12"/>
      <c r="E1281" s="12"/>
      <c r="F1281" s="12"/>
      <c r="G1281" s="12"/>
      <c r="H1281" s="12"/>
      <c r="I1281" s="12"/>
      <c r="J1281" s="12"/>
      <c r="K1281" s="12"/>
      <c r="L1281" s="12"/>
      <c r="M1281" s="12"/>
      <c r="N1281" s="12"/>
      <c r="O1281" s="12"/>
      <c r="P1281" s="12"/>
      <c r="Q1281" s="12"/>
      <c r="R1281" s="12"/>
      <c r="S1281" s="12"/>
      <c r="T1281" s="12"/>
      <c r="U1281" s="12"/>
      <c r="V1281" s="12"/>
      <c r="W1281" s="12"/>
      <c r="X1281" s="12"/>
      <c r="Y1281" s="12"/>
      <c r="Z1281" s="12"/>
    </row>
    <row r="1282" ht="15.0" customHeight="1">
      <c r="A1282" s="332">
        <v>5.0</v>
      </c>
      <c r="B1282" s="351">
        <v>0.05</v>
      </c>
      <c r="C1282" s="12"/>
      <c r="D1282" s="12"/>
      <c r="E1282" s="12"/>
      <c r="F1282" s="12"/>
      <c r="G1282" s="12"/>
      <c r="H1282" s="12"/>
      <c r="I1282" s="12"/>
      <c r="J1282" s="12"/>
      <c r="K1282" s="12"/>
      <c r="L1282" s="12"/>
      <c r="M1282" s="12"/>
      <c r="N1282" s="12"/>
      <c r="O1282" s="12"/>
      <c r="P1282" s="12"/>
      <c r="Q1282" s="12"/>
      <c r="R1282" s="12"/>
      <c r="S1282" s="12"/>
      <c r="T1282" s="12"/>
      <c r="U1282" s="12"/>
      <c r="V1282" s="12"/>
      <c r="W1282" s="12"/>
      <c r="X1282" s="12"/>
      <c r="Y1282" s="12"/>
      <c r="Z1282" s="12"/>
    </row>
    <row r="1283" ht="15.0" customHeight="1">
      <c r="A1283" s="171">
        <v>6.0</v>
      </c>
      <c r="B1283" s="351">
        <v>0.05</v>
      </c>
      <c r="C1283" s="12"/>
      <c r="D1283" s="12"/>
      <c r="E1283" s="12"/>
      <c r="F1283" s="12"/>
      <c r="G1283" s="12"/>
      <c r="H1283" s="12"/>
      <c r="I1283" s="12"/>
      <c r="J1283" s="12"/>
      <c r="K1283" s="12"/>
      <c r="L1283" s="12"/>
      <c r="M1283" s="12"/>
      <c r="N1283" s="12"/>
      <c r="O1283" s="12"/>
      <c r="P1283" s="12"/>
      <c r="Q1283" s="12"/>
      <c r="R1283" s="12"/>
      <c r="S1283" s="12"/>
      <c r="T1283" s="12"/>
      <c r="U1283" s="12"/>
      <c r="V1283" s="12"/>
      <c r="W1283" s="12"/>
      <c r="X1283" s="12"/>
      <c r="Y1283" s="12"/>
      <c r="Z1283" s="12"/>
    </row>
    <row r="1284" ht="15.0" customHeight="1">
      <c r="A1284" s="332">
        <v>7.0</v>
      </c>
      <c r="B1284" s="351">
        <v>0.05</v>
      </c>
      <c r="C1284" s="12"/>
      <c r="D1284" s="12"/>
      <c r="E1284" s="12"/>
      <c r="F1284" s="12"/>
      <c r="G1284" s="12"/>
      <c r="H1284" s="12"/>
      <c r="I1284" s="12"/>
      <c r="J1284" s="12"/>
      <c r="K1284" s="12"/>
      <c r="L1284" s="12"/>
      <c r="M1284" s="12"/>
      <c r="N1284" s="12"/>
      <c r="O1284" s="12"/>
      <c r="P1284" s="12"/>
      <c r="Q1284" s="12"/>
      <c r="R1284" s="12"/>
      <c r="S1284" s="12"/>
      <c r="T1284" s="12"/>
      <c r="U1284" s="12"/>
      <c r="V1284" s="12"/>
      <c r="W1284" s="12"/>
      <c r="X1284" s="12"/>
      <c r="Y1284" s="12"/>
      <c r="Z1284" s="12"/>
    </row>
    <row r="1285" ht="15.0" customHeight="1">
      <c r="A1285" s="171">
        <v>8.0</v>
      </c>
      <c r="B1285" s="342">
        <v>0.05</v>
      </c>
      <c r="C1285" s="12"/>
      <c r="D1285" s="12"/>
      <c r="E1285" s="12"/>
      <c r="F1285" s="12"/>
      <c r="G1285" s="12"/>
      <c r="H1285" s="12"/>
      <c r="I1285" s="12"/>
      <c r="J1285" s="12"/>
      <c r="K1285" s="12"/>
      <c r="L1285" s="12"/>
      <c r="M1285" s="12"/>
      <c r="N1285" s="12"/>
      <c r="O1285" s="12"/>
      <c r="P1285" s="12"/>
      <c r="Q1285" s="12"/>
      <c r="R1285" s="12"/>
      <c r="S1285" s="12"/>
      <c r="T1285" s="12"/>
      <c r="U1285" s="12"/>
      <c r="V1285" s="12"/>
      <c r="W1285" s="12"/>
      <c r="X1285" s="12"/>
      <c r="Y1285" s="12"/>
      <c r="Z1285" s="12"/>
    </row>
    <row r="1286" ht="15.0" customHeight="1">
      <c r="A1286" s="332">
        <v>9.0</v>
      </c>
      <c r="B1286" s="342">
        <v>0.05</v>
      </c>
      <c r="C1286" s="12"/>
      <c r="D1286" s="12"/>
      <c r="E1286" s="12"/>
      <c r="F1286" s="12"/>
      <c r="G1286" s="12"/>
      <c r="H1286" s="12"/>
      <c r="I1286" s="12"/>
      <c r="J1286" s="12"/>
      <c r="K1286" s="12"/>
      <c r="L1286" s="12"/>
      <c r="M1286" s="12"/>
      <c r="N1286" s="12"/>
      <c r="O1286" s="12"/>
      <c r="P1286" s="12"/>
      <c r="Q1286" s="12"/>
      <c r="R1286" s="12"/>
      <c r="S1286" s="12"/>
      <c r="T1286" s="12"/>
      <c r="U1286" s="12"/>
      <c r="V1286" s="12"/>
      <c r="W1286" s="12"/>
      <c r="X1286" s="12"/>
      <c r="Y1286" s="12"/>
      <c r="Z1286" s="12"/>
    </row>
    <row r="1287" ht="15.0" customHeight="1">
      <c r="A1287" s="171">
        <v>10.0</v>
      </c>
      <c r="B1287" s="342">
        <v>0.05</v>
      </c>
      <c r="C1287" s="12"/>
      <c r="D1287" s="12"/>
      <c r="E1287" s="12"/>
      <c r="F1287" s="12"/>
      <c r="G1287" s="12"/>
      <c r="H1287" s="12"/>
      <c r="I1287" s="12"/>
      <c r="J1287" s="12"/>
      <c r="K1287" s="12"/>
      <c r="L1287" s="12"/>
      <c r="M1287" s="12"/>
      <c r="N1287" s="12"/>
      <c r="O1287" s="12"/>
      <c r="P1287" s="12"/>
      <c r="Q1287" s="12"/>
      <c r="R1287" s="12"/>
      <c r="S1287" s="12"/>
      <c r="T1287" s="12"/>
      <c r="U1287" s="12"/>
      <c r="V1287" s="12"/>
      <c r="W1287" s="12"/>
      <c r="X1287" s="12"/>
      <c r="Y1287" s="12"/>
      <c r="Z1287" s="12"/>
    </row>
    <row r="1288" ht="15.0" customHeight="1">
      <c r="A1288" s="332">
        <v>11.0</v>
      </c>
      <c r="B1288" s="342">
        <v>0.02</v>
      </c>
      <c r="C1288" s="12"/>
      <c r="D1288" s="12"/>
      <c r="E1288" s="12"/>
      <c r="F1288" s="12"/>
      <c r="G1288" s="12"/>
      <c r="H1288" s="12"/>
      <c r="I1288" s="12"/>
      <c r="J1288" s="12"/>
      <c r="K1288" s="12"/>
      <c r="L1288" s="12"/>
      <c r="M1288" s="12"/>
      <c r="N1288" s="12"/>
      <c r="O1288" s="12"/>
      <c r="P1288" s="12"/>
      <c r="Q1288" s="12"/>
      <c r="R1288" s="12"/>
      <c r="S1288" s="12"/>
      <c r="T1288" s="12"/>
      <c r="U1288" s="12"/>
      <c r="V1288" s="12"/>
      <c r="W1288" s="12"/>
      <c r="X1288" s="12"/>
      <c r="Y1288" s="12"/>
      <c r="Z1288" s="12"/>
    </row>
    <row r="1289" ht="15.0" customHeight="1">
      <c r="A1289" s="349"/>
      <c r="B1289" s="350"/>
      <c r="C1289" s="12"/>
      <c r="D1289" s="12"/>
      <c r="E1289" s="12"/>
      <c r="F1289" s="12"/>
      <c r="G1289" s="12"/>
      <c r="H1289" s="12"/>
      <c r="I1289" s="12"/>
      <c r="J1289" s="12"/>
      <c r="K1289" s="12"/>
      <c r="L1289" s="12"/>
      <c r="M1289" s="12"/>
      <c r="N1289" s="12"/>
      <c r="O1289" s="12"/>
      <c r="P1289" s="12"/>
      <c r="Q1289" s="12"/>
      <c r="R1289" s="12"/>
      <c r="S1289" s="12"/>
      <c r="T1289" s="12"/>
      <c r="U1289" s="12"/>
      <c r="V1289" s="12"/>
      <c r="W1289" s="12"/>
      <c r="X1289" s="12"/>
      <c r="Y1289" s="12"/>
      <c r="Z1289" s="12"/>
    </row>
    <row r="1290" ht="15.0" customHeight="1">
      <c r="A1290" s="339" t="s">
        <v>1217</v>
      </c>
      <c r="B1290" s="350"/>
      <c r="C1290" s="12"/>
      <c r="D1290" s="12"/>
      <c r="E1290" s="12"/>
      <c r="F1290" s="12"/>
      <c r="G1290" s="12"/>
      <c r="H1290" s="12"/>
      <c r="I1290" s="12"/>
      <c r="J1290" s="12"/>
      <c r="K1290" s="12"/>
      <c r="L1290" s="12"/>
      <c r="M1290" s="12"/>
      <c r="N1290" s="12"/>
      <c r="O1290" s="12"/>
      <c r="P1290" s="12"/>
      <c r="Q1290" s="12"/>
      <c r="R1290" s="12"/>
      <c r="S1290" s="12"/>
      <c r="T1290" s="12"/>
      <c r="U1290" s="12"/>
      <c r="V1290" s="12"/>
      <c r="W1290" s="12"/>
      <c r="X1290" s="12"/>
      <c r="Y1290" s="12"/>
      <c r="Z1290" s="12"/>
    </row>
    <row r="1291" ht="15.0" customHeight="1">
      <c r="A1291" s="349"/>
      <c r="B1291" s="350"/>
      <c r="C1291" s="12"/>
      <c r="D1291" s="12"/>
      <c r="E1291" s="12"/>
      <c r="F1291" s="12"/>
      <c r="G1291" s="12"/>
      <c r="H1291" s="12"/>
      <c r="I1291" s="12"/>
      <c r="J1291" s="12"/>
      <c r="K1291" s="12"/>
      <c r="L1291" s="12"/>
      <c r="M1291" s="12"/>
      <c r="N1291" s="12"/>
      <c r="O1291" s="12"/>
      <c r="P1291" s="12"/>
      <c r="Q1291" s="12"/>
      <c r="R1291" s="12"/>
      <c r="S1291" s="12"/>
      <c r="T1291" s="12"/>
      <c r="U1291" s="12"/>
      <c r="V1291" s="12"/>
      <c r="W1291" s="12"/>
      <c r="X1291" s="12"/>
      <c r="Y1291" s="12"/>
      <c r="Z1291" s="12"/>
    </row>
    <row r="1292" ht="15.0" customHeight="1">
      <c r="A1292" s="171" t="s">
        <v>1916</v>
      </c>
      <c r="B1292" s="171">
        <v>1.0</v>
      </c>
      <c r="C1292" s="12"/>
      <c r="D1292" s="12"/>
      <c r="E1292" s="12"/>
      <c r="F1292" s="12"/>
      <c r="G1292" s="12"/>
      <c r="H1292" s="12"/>
      <c r="I1292" s="12"/>
      <c r="J1292" s="12"/>
      <c r="K1292" s="12"/>
      <c r="L1292" s="12"/>
      <c r="M1292" s="12"/>
      <c r="N1292" s="12"/>
      <c r="O1292" s="12"/>
      <c r="P1292" s="12"/>
      <c r="Q1292" s="12"/>
      <c r="R1292" s="12"/>
      <c r="S1292" s="12"/>
      <c r="T1292" s="12"/>
      <c r="U1292" s="12"/>
      <c r="V1292" s="12"/>
      <c r="W1292" s="12"/>
      <c r="X1292" s="12"/>
      <c r="Y1292" s="12"/>
      <c r="Z1292" s="12"/>
    </row>
    <row r="1293" ht="15.0" customHeight="1">
      <c r="A1293" s="352">
        <v>0.0</v>
      </c>
      <c r="B1293" s="113">
        <v>0.04</v>
      </c>
      <c r="C1293" s="12"/>
      <c r="D1293" s="12"/>
      <c r="E1293" s="12"/>
      <c r="F1293" s="12"/>
      <c r="G1293" s="12"/>
      <c r="H1293" s="12"/>
      <c r="I1293" s="12"/>
      <c r="J1293" s="12"/>
      <c r="K1293" s="12"/>
      <c r="L1293" s="12"/>
      <c r="M1293" s="12"/>
      <c r="N1293" s="12"/>
      <c r="O1293" s="12"/>
      <c r="P1293" s="12"/>
      <c r="Q1293" s="12"/>
      <c r="R1293" s="12"/>
      <c r="S1293" s="12"/>
      <c r="T1293" s="12"/>
      <c r="U1293" s="12"/>
      <c r="V1293" s="12"/>
      <c r="W1293" s="12"/>
      <c r="X1293" s="12"/>
      <c r="Y1293" s="12"/>
      <c r="Z1293" s="12"/>
    </row>
    <row r="1294" ht="15.0" customHeight="1">
      <c r="A1294" s="353">
        <v>50000.0</v>
      </c>
      <c r="B1294" s="113">
        <v>0.03</v>
      </c>
      <c r="C1294" s="12"/>
      <c r="D1294" s="12"/>
      <c r="E1294" s="12"/>
      <c r="F1294" s="12"/>
      <c r="G1294" s="12"/>
      <c r="H1294" s="12"/>
      <c r="I1294" s="12"/>
      <c r="J1294" s="12"/>
      <c r="K1294" s="12"/>
      <c r="L1294" s="12"/>
      <c r="M1294" s="12"/>
      <c r="N1294" s="12"/>
      <c r="O1294" s="12"/>
      <c r="P1294" s="12"/>
      <c r="Q1294" s="12"/>
      <c r="R1294" s="12"/>
      <c r="S1294" s="12"/>
      <c r="T1294" s="12"/>
      <c r="U1294" s="12"/>
      <c r="V1294" s="12"/>
      <c r="W1294" s="12"/>
      <c r="X1294" s="12"/>
      <c r="Y1294" s="12"/>
      <c r="Z1294" s="12"/>
    </row>
    <row r="1295" ht="15.0" customHeight="1">
      <c r="A1295" s="352">
        <v>100000.0</v>
      </c>
      <c r="B1295" s="113">
        <v>0.02</v>
      </c>
      <c r="C1295" s="12"/>
      <c r="D1295" s="12"/>
      <c r="E1295" s="12"/>
      <c r="F1295" s="12"/>
      <c r="G1295" s="12"/>
      <c r="H1295" s="12"/>
      <c r="I1295" s="12"/>
      <c r="J1295" s="12"/>
      <c r="K1295" s="12"/>
      <c r="L1295" s="12"/>
      <c r="M1295" s="12"/>
      <c r="N1295" s="12"/>
      <c r="O1295" s="12"/>
      <c r="P1295" s="12"/>
      <c r="Q1295" s="12"/>
      <c r="R1295" s="12"/>
      <c r="S1295" s="12"/>
      <c r="T1295" s="12"/>
      <c r="U1295" s="12"/>
      <c r="V1295" s="12"/>
      <c r="W1295" s="12"/>
      <c r="X1295" s="12"/>
      <c r="Y1295" s="12"/>
      <c r="Z1295" s="12"/>
    </row>
    <row r="1296" ht="15.0" customHeight="1">
      <c r="A1296" s="352">
        <v>500000.0</v>
      </c>
      <c r="B1296" s="113">
        <v>0.01</v>
      </c>
      <c r="C1296" s="12"/>
      <c r="D1296" s="12"/>
      <c r="E1296" s="12"/>
      <c r="F1296" s="12"/>
      <c r="G1296" s="12"/>
      <c r="H1296" s="12"/>
      <c r="I1296" s="12"/>
      <c r="J1296" s="12"/>
      <c r="K1296" s="12"/>
      <c r="L1296" s="12"/>
      <c r="M1296" s="12"/>
      <c r="N1296" s="12"/>
      <c r="O1296" s="12"/>
      <c r="P1296" s="12"/>
      <c r="Q1296" s="12"/>
      <c r="R1296" s="12"/>
      <c r="S1296" s="12"/>
      <c r="T1296" s="12"/>
      <c r="U1296" s="12"/>
      <c r="V1296" s="12"/>
      <c r="W1296" s="12"/>
      <c r="X1296" s="12"/>
      <c r="Y1296" s="12"/>
      <c r="Z1296" s="12"/>
    </row>
    <row r="1297" ht="15.0" customHeight="1">
      <c r="A1297" s="349"/>
      <c r="B1297" s="350"/>
      <c r="C1297" s="12"/>
      <c r="D1297" s="12"/>
      <c r="E1297" s="12"/>
      <c r="F1297" s="12"/>
      <c r="G1297" s="12"/>
      <c r="H1297" s="12"/>
      <c r="I1297" s="12"/>
      <c r="J1297" s="12"/>
      <c r="K1297" s="12"/>
      <c r="L1297" s="12"/>
      <c r="M1297" s="12"/>
      <c r="N1297" s="12"/>
      <c r="O1297" s="12"/>
      <c r="P1297" s="12"/>
      <c r="Q1297" s="12"/>
      <c r="R1297" s="12"/>
      <c r="S1297" s="12"/>
      <c r="T1297" s="12"/>
      <c r="U1297" s="12"/>
      <c r="V1297" s="12"/>
      <c r="W1297" s="12"/>
      <c r="X1297" s="12"/>
      <c r="Y1297" s="12"/>
      <c r="Z1297" s="12"/>
    </row>
    <row r="1298" ht="15.0" customHeight="1">
      <c r="A1298" s="339" t="s">
        <v>1213</v>
      </c>
      <c r="B1298" s="350"/>
      <c r="C1298" s="12"/>
      <c r="D1298" s="12"/>
      <c r="E1298" s="12"/>
      <c r="F1298" s="12"/>
      <c r="G1298" s="12"/>
      <c r="H1298" s="12"/>
      <c r="I1298" s="12"/>
      <c r="J1298" s="12"/>
      <c r="K1298" s="12"/>
      <c r="L1298" s="12"/>
      <c r="M1298" s="12"/>
      <c r="N1298" s="12"/>
      <c r="O1298" s="12"/>
      <c r="P1298" s="12"/>
      <c r="Q1298" s="12"/>
      <c r="R1298" s="12"/>
      <c r="S1298" s="12"/>
      <c r="T1298" s="12"/>
      <c r="U1298" s="12"/>
      <c r="V1298" s="12"/>
      <c r="W1298" s="12"/>
      <c r="X1298" s="12"/>
      <c r="Y1298" s="12"/>
      <c r="Z1298" s="12"/>
    </row>
    <row r="1299" ht="15.0" customHeight="1">
      <c r="A1299" s="349"/>
      <c r="B1299" s="350"/>
      <c r="C1299" s="12"/>
      <c r="D1299" s="12"/>
      <c r="E1299" s="12"/>
      <c r="F1299" s="12"/>
      <c r="G1299" s="12"/>
      <c r="H1299" s="12"/>
      <c r="I1299" s="12"/>
      <c r="J1299" s="12"/>
      <c r="K1299" s="12"/>
      <c r="L1299" s="12"/>
      <c r="M1299" s="12"/>
      <c r="N1299" s="12"/>
      <c r="O1299" s="12"/>
      <c r="P1299" s="12"/>
      <c r="Q1299" s="12"/>
      <c r="R1299" s="12"/>
      <c r="S1299" s="12"/>
      <c r="T1299" s="12"/>
      <c r="U1299" s="12"/>
      <c r="V1299" s="12"/>
      <c r="W1299" s="12"/>
      <c r="X1299" s="12"/>
      <c r="Y1299" s="12"/>
      <c r="Z1299" s="12"/>
    </row>
    <row r="1300" ht="15.0" customHeight="1">
      <c r="A1300" s="291" t="s">
        <v>1917</v>
      </c>
      <c r="B1300" s="291" t="s">
        <v>1918</v>
      </c>
      <c r="C1300" s="12"/>
      <c r="D1300" s="12"/>
      <c r="E1300" s="12"/>
      <c r="F1300" s="12"/>
      <c r="G1300" s="12"/>
      <c r="H1300" s="12"/>
      <c r="I1300" s="12"/>
      <c r="J1300" s="12"/>
      <c r="K1300" s="12"/>
      <c r="L1300" s="12"/>
      <c r="M1300" s="12"/>
      <c r="N1300" s="12"/>
      <c r="O1300" s="12"/>
      <c r="P1300" s="12"/>
      <c r="Q1300" s="12"/>
      <c r="R1300" s="12"/>
      <c r="S1300" s="12"/>
      <c r="T1300" s="12"/>
      <c r="U1300" s="12"/>
      <c r="V1300" s="12"/>
      <c r="W1300" s="12"/>
      <c r="X1300" s="12"/>
      <c r="Y1300" s="12"/>
      <c r="Z1300" s="12"/>
    </row>
    <row r="1301" ht="15.0" customHeight="1">
      <c r="A1301" s="332">
        <v>1.0</v>
      </c>
      <c r="B1301" s="351">
        <v>1.0</v>
      </c>
      <c r="C1301" s="12"/>
      <c r="D1301" s="12"/>
      <c r="E1301" s="12"/>
      <c r="F1301" s="12"/>
      <c r="G1301" s="12"/>
      <c r="H1301" s="12"/>
      <c r="I1301" s="12"/>
      <c r="J1301" s="12"/>
      <c r="K1301" s="12"/>
      <c r="L1301" s="12"/>
      <c r="M1301" s="12"/>
      <c r="N1301" s="12"/>
      <c r="O1301" s="12"/>
      <c r="P1301" s="12"/>
      <c r="Q1301" s="12"/>
      <c r="R1301" s="12"/>
      <c r="S1301" s="12"/>
      <c r="T1301" s="12"/>
      <c r="U1301" s="12"/>
      <c r="V1301" s="12"/>
      <c r="W1301" s="12"/>
      <c r="X1301" s="12"/>
      <c r="Y1301" s="12"/>
      <c r="Z1301" s="12"/>
    </row>
    <row r="1302" ht="15.0" customHeight="1">
      <c r="A1302" s="332">
        <v>2.0</v>
      </c>
      <c r="B1302" s="351">
        <v>0.05</v>
      </c>
      <c r="C1302" s="12"/>
      <c r="D1302" s="12"/>
      <c r="E1302" s="12"/>
      <c r="F1302" s="12"/>
      <c r="G1302" s="12"/>
      <c r="H1302" s="12"/>
      <c r="I1302" s="12"/>
      <c r="J1302" s="12"/>
      <c r="K1302" s="12"/>
      <c r="L1302" s="12"/>
      <c r="M1302" s="12"/>
      <c r="N1302" s="12"/>
      <c r="O1302" s="12"/>
      <c r="P1302" s="12"/>
      <c r="Q1302" s="12"/>
      <c r="R1302" s="12"/>
      <c r="S1302" s="12"/>
      <c r="T1302" s="12"/>
      <c r="U1302" s="12"/>
      <c r="V1302" s="12"/>
      <c r="W1302" s="12"/>
      <c r="X1302" s="12"/>
      <c r="Y1302" s="12"/>
      <c r="Z1302" s="12"/>
    </row>
    <row r="1303" ht="15.0" customHeight="1">
      <c r="A1303" s="332">
        <v>3.0</v>
      </c>
      <c r="B1303" s="351">
        <v>0.05</v>
      </c>
      <c r="C1303" s="12"/>
      <c r="D1303" s="12"/>
      <c r="E1303" s="12"/>
      <c r="F1303" s="12"/>
      <c r="G1303" s="12"/>
      <c r="H1303" s="12"/>
      <c r="I1303" s="12"/>
      <c r="J1303" s="12"/>
      <c r="K1303" s="12"/>
      <c r="L1303" s="12"/>
      <c r="M1303" s="12"/>
      <c r="N1303" s="12"/>
      <c r="O1303" s="12"/>
      <c r="P1303" s="12"/>
      <c r="Q1303" s="12"/>
      <c r="R1303" s="12"/>
      <c r="S1303" s="12"/>
      <c r="T1303" s="12"/>
      <c r="U1303" s="12"/>
      <c r="V1303" s="12"/>
      <c r="W1303" s="12"/>
      <c r="X1303" s="12"/>
      <c r="Y1303" s="12"/>
      <c r="Z1303" s="12"/>
    </row>
    <row r="1304" ht="15.0" customHeight="1">
      <c r="A1304" s="332">
        <v>4.0</v>
      </c>
      <c r="B1304" s="351">
        <v>0.02</v>
      </c>
      <c r="C1304" s="12"/>
      <c r="D1304" s="12"/>
      <c r="E1304" s="12"/>
      <c r="F1304" s="12"/>
      <c r="G1304" s="12"/>
      <c r="H1304" s="12"/>
      <c r="I1304" s="12"/>
      <c r="J1304" s="12"/>
      <c r="K1304" s="12"/>
      <c r="L1304" s="12"/>
      <c r="M1304" s="12"/>
      <c r="N1304" s="12"/>
      <c r="O1304" s="12"/>
      <c r="P1304" s="12"/>
      <c r="Q1304" s="12"/>
      <c r="R1304" s="12"/>
      <c r="S1304" s="12"/>
      <c r="T1304" s="12"/>
      <c r="U1304" s="12"/>
      <c r="V1304" s="12"/>
      <c r="W1304" s="12"/>
      <c r="X1304" s="12"/>
      <c r="Y1304" s="12"/>
      <c r="Z1304" s="12"/>
    </row>
    <row r="1305" ht="15.0" customHeight="1">
      <c r="A1305" s="332">
        <v>5.0</v>
      </c>
      <c r="B1305" s="351">
        <v>0.02</v>
      </c>
      <c r="C1305" s="12"/>
      <c r="D1305" s="12"/>
      <c r="E1305" s="12"/>
      <c r="F1305" s="12"/>
      <c r="G1305" s="12"/>
      <c r="H1305" s="12"/>
      <c r="I1305" s="12"/>
      <c r="J1305" s="12"/>
      <c r="K1305" s="12"/>
      <c r="L1305" s="12"/>
      <c r="M1305" s="12"/>
      <c r="N1305" s="12"/>
      <c r="O1305" s="12"/>
      <c r="P1305" s="12"/>
      <c r="Q1305" s="12"/>
      <c r="R1305" s="12"/>
      <c r="S1305" s="12"/>
      <c r="T1305" s="12"/>
      <c r="U1305" s="12"/>
      <c r="V1305" s="12"/>
      <c r="W1305" s="12"/>
      <c r="X1305" s="12"/>
      <c r="Y1305" s="12"/>
      <c r="Z1305" s="12"/>
    </row>
    <row r="1306" ht="15.0" customHeight="1">
      <c r="A1306" s="171">
        <v>6.0</v>
      </c>
      <c r="B1306" s="351">
        <v>0.01</v>
      </c>
      <c r="C1306" s="12"/>
      <c r="D1306" s="12"/>
      <c r="E1306" s="12"/>
      <c r="F1306" s="12"/>
      <c r="G1306" s="12"/>
      <c r="H1306" s="12"/>
      <c r="I1306" s="12"/>
      <c r="J1306" s="12"/>
      <c r="K1306" s="12"/>
      <c r="L1306" s="12"/>
      <c r="M1306" s="12"/>
      <c r="N1306" s="12"/>
      <c r="O1306" s="12"/>
      <c r="P1306" s="12"/>
      <c r="Q1306" s="12"/>
      <c r="R1306" s="12"/>
      <c r="S1306" s="12"/>
      <c r="T1306" s="12"/>
      <c r="U1306" s="12"/>
      <c r="V1306" s="12"/>
      <c r="W1306" s="12"/>
      <c r="X1306" s="12"/>
      <c r="Y1306" s="12"/>
      <c r="Z1306" s="12"/>
    </row>
    <row r="1307" ht="15.0" customHeight="1">
      <c r="A1307" s="332">
        <v>7.0</v>
      </c>
      <c r="B1307" s="351">
        <v>0.01</v>
      </c>
      <c r="C1307" s="12"/>
      <c r="D1307" s="12"/>
      <c r="E1307" s="12"/>
      <c r="F1307" s="12"/>
      <c r="G1307" s="12"/>
      <c r="H1307" s="12"/>
      <c r="I1307" s="12"/>
      <c r="J1307" s="12"/>
      <c r="K1307" s="12"/>
      <c r="L1307" s="12"/>
      <c r="M1307" s="12"/>
      <c r="N1307" s="12"/>
      <c r="O1307" s="12"/>
      <c r="P1307" s="12"/>
      <c r="Q1307" s="12"/>
      <c r="R1307" s="12"/>
      <c r="S1307" s="12"/>
      <c r="T1307" s="12"/>
      <c r="U1307" s="12"/>
      <c r="V1307" s="12"/>
      <c r="W1307" s="12"/>
      <c r="X1307" s="12"/>
      <c r="Y1307" s="12"/>
      <c r="Z1307" s="12"/>
    </row>
    <row r="1308" ht="15.0" customHeight="1">
      <c r="A1308" s="171">
        <v>8.0</v>
      </c>
      <c r="B1308" s="342">
        <v>0.01</v>
      </c>
      <c r="C1308" s="12"/>
      <c r="D1308" s="12"/>
      <c r="E1308" s="12"/>
      <c r="F1308" s="12"/>
      <c r="G1308" s="12"/>
      <c r="H1308" s="12"/>
      <c r="I1308" s="12"/>
      <c r="J1308" s="12"/>
      <c r="K1308" s="12"/>
      <c r="L1308" s="12"/>
      <c r="M1308" s="12"/>
      <c r="N1308" s="12"/>
      <c r="O1308" s="12"/>
      <c r="P1308" s="12"/>
      <c r="Q1308" s="12"/>
      <c r="R1308" s="12"/>
      <c r="S1308" s="12"/>
      <c r="T1308" s="12"/>
      <c r="U1308" s="12"/>
      <c r="V1308" s="12"/>
      <c r="W1308" s="12"/>
      <c r="X1308" s="12"/>
      <c r="Y1308" s="12"/>
      <c r="Z1308" s="12"/>
    </row>
    <row r="1309" ht="15.0" customHeight="1">
      <c r="A1309" s="332">
        <v>9.0</v>
      </c>
      <c r="B1309" s="342">
        <v>0.01</v>
      </c>
      <c r="C1309" s="12"/>
      <c r="D1309" s="12"/>
      <c r="E1309" s="12"/>
      <c r="F1309" s="12"/>
      <c r="G1309" s="12"/>
      <c r="H1309" s="12"/>
      <c r="I1309" s="12"/>
      <c r="J1309" s="12"/>
      <c r="K1309" s="12"/>
      <c r="L1309" s="12"/>
      <c r="M1309" s="12"/>
      <c r="N1309" s="12"/>
      <c r="O1309" s="12"/>
      <c r="P1309" s="12"/>
      <c r="Q1309" s="12"/>
      <c r="R1309" s="12"/>
      <c r="S1309" s="12"/>
      <c r="T1309" s="12"/>
      <c r="U1309" s="12"/>
      <c r="V1309" s="12"/>
      <c r="W1309" s="12"/>
      <c r="X1309" s="12"/>
      <c r="Y1309" s="12"/>
      <c r="Z1309" s="12"/>
    </row>
    <row r="1310" ht="15.0" customHeight="1">
      <c r="A1310" s="171">
        <v>10.0</v>
      </c>
      <c r="B1310" s="342">
        <v>0.01</v>
      </c>
      <c r="C1310" s="12"/>
      <c r="D1310" s="12"/>
      <c r="E1310" s="12"/>
      <c r="F1310" s="12"/>
      <c r="G1310" s="12"/>
      <c r="H1310" s="12"/>
      <c r="I1310" s="12"/>
      <c r="J1310" s="12"/>
      <c r="K1310" s="12"/>
      <c r="L1310" s="12"/>
      <c r="M1310" s="12"/>
      <c r="N1310" s="12"/>
      <c r="O1310" s="12"/>
      <c r="P1310" s="12"/>
      <c r="Q1310" s="12"/>
      <c r="R1310" s="12"/>
      <c r="S1310" s="12"/>
      <c r="T1310" s="12"/>
      <c r="U1310" s="12"/>
      <c r="V1310" s="12"/>
      <c r="W1310" s="12"/>
      <c r="X1310" s="12"/>
      <c r="Y1310" s="12"/>
      <c r="Z1310" s="12"/>
    </row>
    <row r="1311" ht="15.0" customHeight="1">
      <c r="A1311" s="332">
        <v>11.0</v>
      </c>
      <c r="B1311" s="342">
        <v>0.0</v>
      </c>
      <c r="C1311" s="12"/>
      <c r="D1311" s="12"/>
      <c r="E1311" s="12"/>
      <c r="F1311" s="12"/>
      <c r="G1311" s="12"/>
      <c r="H1311" s="12"/>
      <c r="I1311" s="12"/>
      <c r="J1311" s="12"/>
      <c r="K1311" s="12"/>
      <c r="L1311" s="12"/>
      <c r="M1311" s="12"/>
      <c r="N1311" s="12"/>
      <c r="O1311" s="12"/>
      <c r="P1311" s="12"/>
      <c r="Q1311" s="12"/>
      <c r="R1311" s="12"/>
      <c r="S1311" s="12"/>
      <c r="T1311" s="12"/>
      <c r="U1311" s="12"/>
      <c r="V1311" s="12"/>
      <c r="W1311" s="12"/>
      <c r="X1311" s="12"/>
      <c r="Y1311" s="12"/>
      <c r="Z1311" s="12"/>
    </row>
    <row r="1312" ht="15.0" customHeight="1">
      <c r="A1312" s="349"/>
      <c r="B1312" s="350"/>
      <c r="C1312" s="12"/>
      <c r="D1312" s="12"/>
      <c r="E1312" s="12"/>
      <c r="F1312" s="12"/>
      <c r="G1312" s="12"/>
      <c r="H1312" s="12"/>
      <c r="I1312" s="12"/>
      <c r="J1312" s="12"/>
      <c r="K1312" s="12"/>
      <c r="L1312" s="12"/>
      <c r="M1312" s="12"/>
      <c r="N1312" s="12"/>
      <c r="O1312" s="12"/>
      <c r="P1312" s="12"/>
      <c r="Q1312" s="12"/>
      <c r="R1312" s="12"/>
      <c r="S1312" s="12"/>
      <c r="T1312" s="12"/>
      <c r="U1312" s="12"/>
      <c r="V1312" s="12"/>
      <c r="W1312" s="12"/>
      <c r="X1312" s="12"/>
      <c r="Y1312" s="12"/>
      <c r="Z1312" s="12"/>
    </row>
    <row r="1313" ht="15.0" customHeight="1">
      <c r="A1313" s="339" t="s">
        <v>1204</v>
      </c>
      <c r="B1313" s="350"/>
      <c r="C1313" s="12"/>
      <c r="D1313" s="12"/>
      <c r="E1313" s="12"/>
      <c r="F1313" s="12"/>
      <c r="G1313" s="12"/>
      <c r="H1313" s="12"/>
      <c r="I1313" s="12"/>
      <c r="J1313" s="12"/>
      <c r="K1313" s="12"/>
      <c r="L1313" s="12"/>
      <c r="M1313" s="12"/>
      <c r="N1313" s="12"/>
      <c r="O1313" s="12"/>
      <c r="P1313" s="12"/>
      <c r="Q1313" s="12"/>
      <c r="R1313" s="12"/>
      <c r="S1313" s="12"/>
      <c r="T1313" s="12"/>
      <c r="U1313" s="12"/>
      <c r="V1313" s="12"/>
      <c r="W1313" s="12"/>
      <c r="X1313" s="12"/>
      <c r="Y1313" s="12"/>
      <c r="Z1313" s="12"/>
    </row>
    <row r="1314" ht="15.0" customHeight="1">
      <c r="A1314" s="349"/>
      <c r="B1314" s="350"/>
      <c r="C1314" s="12"/>
      <c r="D1314" s="12"/>
      <c r="E1314" s="12"/>
      <c r="F1314" s="12"/>
      <c r="G1314" s="12"/>
      <c r="H1314" s="12"/>
      <c r="I1314" s="12"/>
      <c r="J1314" s="12"/>
      <c r="K1314" s="12"/>
      <c r="L1314" s="12"/>
      <c r="M1314" s="12"/>
      <c r="N1314" s="12"/>
      <c r="O1314" s="12"/>
      <c r="P1314" s="12"/>
      <c r="Q1314" s="12"/>
      <c r="R1314" s="12"/>
      <c r="S1314" s="12"/>
      <c r="T1314" s="12"/>
      <c r="U1314" s="12"/>
      <c r="V1314" s="12"/>
      <c r="W1314" s="12"/>
      <c r="X1314" s="12"/>
      <c r="Y1314" s="12"/>
      <c r="Z1314" s="12"/>
    </row>
    <row r="1315" ht="15.0" customHeight="1">
      <c r="A1315" s="171" t="s">
        <v>1916</v>
      </c>
      <c r="B1315" s="171">
        <v>1.0</v>
      </c>
      <c r="C1315" s="112">
        <v>2.0</v>
      </c>
      <c r="D1315" s="171">
        <v>3.0</v>
      </c>
      <c r="E1315" s="12"/>
      <c r="F1315" s="12"/>
      <c r="G1315" s="12"/>
      <c r="H1315" s="12"/>
      <c r="I1315" s="12"/>
      <c r="J1315" s="12"/>
      <c r="K1315" s="12"/>
      <c r="L1315" s="12"/>
      <c r="M1315" s="12"/>
      <c r="N1315" s="12"/>
      <c r="O1315" s="12"/>
      <c r="P1315" s="12"/>
      <c r="Q1315" s="12"/>
      <c r="R1315" s="12"/>
      <c r="S1315" s="12"/>
      <c r="T1315" s="12"/>
      <c r="U1315" s="12"/>
      <c r="V1315" s="12"/>
      <c r="W1315" s="12"/>
      <c r="X1315" s="12"/>
      <c r="Y1315" s="12"/>
      <c r="Z1315" s="12"/>
    </row>
    <row r="1316" ht="15.0" customHeight="1">
      <c r="A1316" s="352">
        <v>0.0</v>
      </c>
      <c r="B1316" s="113">
        <v>0.2</v>
      </c>
      <c r="C1316" s="113">
        <v>0.075</v>
      </c>
      <c r="D1316" s="342">
        <v>0.04</v>
      </c>
      <c r="E1316" s="12"/>
      <c r="F1316" s="12"/>
      <c r="G1316" s="12"/>
      <c r="H1316" s="12"/>
      <c r="I1316" s="12"/>
      <c r="J1316" s="12"/>
      <c r="K1316" s="12"/>
      <c r="L1316" s="12"/>
      <c r="M1316" s="12"/>
      <c r="N1316" s="12"/>
      <c r="O1316" s="12"/>
      <c r="P1316" s="12"/>
      <c r="Q1316" s="12"/>
      <c r="R1316" s="12"/>
      <c r="S1316" s="12"/>
      <c r="T1316" s="12"/>
      <c r="U1316" s="12"/>
      <c r="V1316" s="12"/>
      <c r="W1316" s="12"/>
      <c r="X1316" s="12"/>
      <c r="Y1316" s="12"/>
      <c r="Z1316" s="12"/>
    </row>
    <row r="1317" ht="15.0" customHeight="1">
      <c r="A1317" s="353">
        <v>50000.0</v>
      </c>
      <c r="B1317" s="113">
        <v>0.18</v>
      </c>
      <c r="C1317" s="113">
        <v>0.075</v>
      </c>
      <c r="D1317" s="342">
        <v>0.04</v>
      </c>
      <c r="E1317" s="12"/>
      <c r="F1317" s="12"/>
      <c r="G1317" s="12"/>
      <c r="H1317" s="12"/>
      <c r="I1317" s="12"/>
      <c r="J1317" s="12"/>
      <c r="K1317" s="12"/>
      <c r="L1317" s="12"/>
      <c r="M1317" s="12"/>
      <c r="N1317" s="12"/>
      <c r="O1317" s="12"/>
      <c r="P1317" s="12"/>
      <c r="Q1317" s="12"/>
      <c r="R1317" s="12"/>
      <c r="S1317" s="12"/>
      <c r="T1317" s="12"/>
      <c r="U1317" s="12"/>
      <c r="V1317" s="12"/>
      <c r="W1317" s="12"/>
      <c r="X1317" s="12"/>
      <c r="Y1317" s="12"/>
      <c r="Z1317" s="12"/>
    </row>
    <row r="1318" ht="15.0" customHeight="1">
      <c r="A1318" s="352">
        <v>100000.0</v>
      </c>
      <c r="B1318" s="113">
        <v>0.15</v>
      </c>
      <c r="C1318" s="113">
        <v>0.075</v>
      </c>
      <c r="D1318" s="342">
        <v>0.04</v>
      </c>
      <c r="E1318" s="12"/>
      <c r="F1318" s="12"/>
      <c r="G1318" s="12"/>
      <c r="H1318" s="12"/>
      <c r="I1318" s="12"/>
      <c r="J1318" s="12"/>
      <c r="K1318" s="12"/>
      <c r="L1318" s="12"/>
      <c r="M1318" s="12"/>
      <c r="N1318" s="12"/>
      <c r="O1318" s="12"/>
      <c r="P1318" s="12"/>
      <c r="Q1318" s="12"/>
      <c r="R1318" s="12"/>
      <c r="S1318" s="12"/>
      <c r="T1318" s="12"/>
      <c r="U1318" s="12"/>
      <c r="V1318" s="12"/>
      <c r="W1318" s="12"/>
      <c r="X1318" s="12"/>
      <c r="Y1318" s="12"/>
      <c r="Z1318" s="12"/>
    </row>
    <row r="1319" ht="15.0" customHeight="1">
      <c r="A1319" s="352">
        <v>500000.0</v>
      </c>
      <c r="B1319" s="113">
        <v>0.1</v>
      </c>
      <c r="C1319" s="113">
        <v>0.075</v>
      </c>
      <c r="D1319" s="342">
        <v>0.04</v>
      </c>
      <c r="E1319" s="12"/>
      <c r="F1319" s="12"/>
      <c r="G1319" s="12"/>
      <c r="H1319" s="12"/>
      <c r="I1319" s="12"/>
      <c r="J1319" s="12"/>
      <c r="K1319" s="12"/>
      <c r="L1319" s="12"/>
      <c r="M1319" s="12"/>
      <c r="N1319" s="12"/>
      <c r="O1319" s="12"/>
      <c r="P1319" s="12"/>
      <c r="Q1319" s="12"/>
      <c r="R1319" s="12"/>
      <c r="S1319" s="12"/>
      <c r="T1319" s="12"/>
      <c r="U1319" s="12"/>
      <c r="V1319" s="12"/>
      <c r="W1319" s="12"/>
      <c r="X1319" s="12"/>
      <c r="Y1319" s="12"/>
      <c r="Z1319" s="12"/>
    </row>
    <row r="1320" ht="15.0" customHeight="1">
      <c r="A1320" s="349"/>
      <c r="B1320" s="350"/>
      <c r="C1320" s="12"/>
      <c r="D1320" s="12"/>
      <c r="E1320" s="12"/>
      <c r="F1320" s="12"/>
      <c r="G1320" s="12"/>
      <c r="H1320" s="12"/>
      <c r="I1320" s="12"/>
      <c r="J1320" s="12"/>
      <c r="K1320" s="12"/>
      <c r="L1320" s="12"/>
      <c r="M1320" s="12"/>
      <c r="N1320" s="12"/>
      <c r="O1320" s="12"/>
      <c r="P1320" s="12"/>
      <c r="Q1320" s="12"/>
      <c r="R1320" s="12"/>
      <c r="S1320" s="12"/>
      <c r="T1320" s="12"/>
      <c r="U1320" s="12"/>
      <c r="V1320" s="12"/>
      <c r="W1320" s="12"/>
      <c r="X1320" s="12"/>
      <c r="Y1320" s="12"/>
      <c r="Z1320" s="12"/>
    </row>
    <row r="1321" ht="15.0" customHeight="1">
      <c r="A1321" s="339" t="s">
        <v>1171</v>
      </c>
      <c r="B1321" s="350"/>
      <c r="C1321" s="12"/>
      <c r="D1321" s="12"/>
      <c r="E1321" s="12"/>
      <c r="F1321" s="12"/>
      <c r="G1321" s="12"/>
      <c r="H1321" s="12"/>
      <c r="I1321" s="12"/>
      <c r="J1321" s="12"/>
      <c r="K1321" s="12"/>
      <c r="L1321" s="12"/>
      <c r="M1321" s="12"/>
      <c r="N1321" s="12"/>
      <c r="O1321" s="12"/>
      <c r="P1321" s="12"/>
      <c r="Q1321" s="12"/>
      <c r="R1321" s="12"/>
      <c r="S1321" s="12"/>
      <c r="T1321" s="12"/>
      <c r="U1321" s="12"/>
      <c r="V1321" s="12"/>
      <c r="W1321" s="12"/>
      <c r="X1321" s="12"/>
      <c r="Y1321" s="12"/>
      <c r="Z1321" s="12"/>
    </row>
    <row r="1322" ht="15.0" customHeight="1">
      <c r="A1322" s="349"/>
      <c r="B1322" s="350"/>
      <c r="C1322" s="12"/>
      <c r="D1322" s="12"/>
      <c r="E1322" s="12"/>
      <c r="F1322" s="12"/>
      <c r="G1322" s="12"/>
      <c r="H1322" s="12"/>
      <c r="I1322" s="12"/>
      <c r="J1322" s="12"/>
      <c r="K1322" s="12"/>
      <c r="L1322" s="12"/>
      <c r="M1322" s="12"/>
      <c r="N1322" s="12"/>
      <c r="O1322" s="12"/>
      <c r="P1322" s="12"/>
      <c r="Q1322" s="12"/>
      <c r="R1322" s="12"/>
      <c r="S1322" s="12"/>
      <c r="T1322" s="12"/>
      <c r="U1322" s="12"/>
      <c r="V1322" s="12"/>
      <c r="W1322" s="12"/>
      <c r="X1322" s="12"/>
      <c r="Y1322" s="12"/>
      <c r="Z1322" s="12"/>
    </row>
    <row r="1323" ht="15.0" customHeight="1">
      <c r="A1323" s="171" t="s">
        <v>1916</v>
      </c>
      <c r="B1323" s="171">
        <v>1.0</v>
      </c>
      <c r="C1323" s="12"/>
      <c r="D1323" s="12"/>
      <c r="E1323" s="12"/>
      <c r="F1323" s="12"/>
      <c r="G1323" s="12"/>
      <c r="H1323" s="12"/>
      <c r="I1323" s="12"/>
      <c r="J1323" s="12"/>
      <c r="K1323" s="12"/>
      <c r="L1323" s="12"/>
      <c r="M1323" s="12"/>
      <c r="N1323" s="12"/>
      <c r="O1323" s="12"/>
      <c r="P1323" s="12"/>
      <c r="Q1323" s="12"/>
      <c r="R1323" s="12"/>
      <c r="S1323" s="12"/>
      <c r="T1323" s="12"/>
      <c r="U1323" s="12"/>
      <c r="V1323" s="12"/>
      <c r="W1323" s="12"/>
      <c r="X1323" s="12"/>
      <c r="Y1323" s="12"/>
      <c r="Z1323" s="12"/>
    </row>
    <row r="1324" ht="15.0" customHeight="1">
      <c r="A1324" s="352">
        <v>0.0</v>
      </c>
      <c r="B1324" s="113">
        <v>0.08</v>
      </c>
      <c r="C1324" s="12"/>
      <c r="D1324" s="12"/>
      <c r="E1324" s="12"/>
      <c r="F1324" s="12"/>
      <c r="G1324" s="12"/>
      <c r="H1324" s="12"/>
      <c r="I1324" s="12"/>
      <c r="J1324" s="12"/>
      <c r="K1324" s="12"/>
      <c r="L1324" s="12"/>
      <c r="M1324" s="12"/>
      <c r="N1324" s="12"/>
      <c r="O1324" s="12"/>
      <c r="P1324" s="12"/>
      <c r="Q1324" s="12"/>
      <c r="R1324" s="12"/>
      <c r="S1324" s="12"/>
      <c r="T1324" s="12"/>
      <c r="U1324" s="12"/>
      <c r="V1324" s="12"/>
      <c r="W1324" s="12"/>
      <c r="X1324" s="12"/>
      <c r="Y1324" s="12"/>
      <c r="Z1324" s="12"/>
    </row>
    <row r="1325" ht="15.0" customHeight="1">
      <c r="A1325" s="353">
        <v>50000.0</v>
      </c>
      <c r="B1325" s="113">
        <v>0.06</v>
      </c>
      <c r="C1325" s="12"/>
      <c r="D1325" s="12"/>
      <c r="E1325" s="12"/>
      <c r="F1325" s="12"/>
      <c r="G1325" s="12"/>
      <c r="H1325" s="12"/>
      <c r="I1325" s="12"/>
      <c r="J1325" s="12"/>
      <c r="K1325" s="12"/>
      <c r="L1325" s="12"/>
      <c r="M1325" s="12"/>
      <c r="N1325" s="12"/>
      <c r="O1325" s="12"/>
      <c r="P1325" s="12"/>
      <c r="Q1325" s="12"/>
      <c r="R1325" s="12"/>
      <c r="S1325" s="12"/>
      <c r="T1325" s="12"/>
      <c r="U1325" s="12"/>
      <c r="V1325" s="12"/>
      <c r="W1325" s="12"/>
      <c r="X1325" s="12"/>
      <c r="Y1325" s="12"/>
      <c r="Z1325" s="12"/>
    </row>
    <row r="1326" ht="15.0" customHeight="1">
      <c r="A1326" s="352">
        <v>100000.0</v>
      </c>
      <c r="B1326" s="113">
        <v>0.04</v>
      </c>
      <c r="C1326" s="12"/>
      <c r="D1326" s="12"/>
      <c r="E1326" s="12"/>
      <c r="F1326" s="12"/>
      <c r="G1326" s="12"/>
      <c r="H1326" s="12"/>
      <c r="I1326" s="12"/>
      <c r="J1326" s="12"/>
      <c r="K1326" s="12"/>
      <c r="L1326" s="12"/>
      <c r="M1326" s="12"/>
      <c r="N1326" s="12"/>
      <c r="O1326" s="12"/>
      <c r="P1326" s="12"/>
      <c r="Q1326" s="12"/>
      <c r="R1326" s="12"/>
      <c r="S1326" s="12"/>
      <c r="T1326" s="12"/>
      <c r="U1326" s="12"/>
      <c r="V1326" s="12"/>
      <c r="W1326" s="12"/>
      <c r="X1326" s="12"/>
      <c r="Y1326" s="12"/>
      <c r="Z1326" s="12"/>
    </row>
    <row r="1327" ht="15.0" customHeight="1">
      <c r="A1327" s="352">
        <v>500000.0</v>
      </c>
      <c r="B1327" s="113">
        <v>0.02</v>
      </c>
      <c r="C1327" s="12"/>
      <c r="D1327" s="12"/>
      <c r="E1327" s="12"/>
      <c r="F1327" s="12"/>
      <c r="G1327" s="12"/>
      <c r="H1327" s="12"/>
      <c r="I1327" s="12"/>
      <c r="J1327" s="12"/>
      <c r="K1327" s="12"/>
      <c r="L1327" s="12"/>
      <c r="M1327" s="12"/>
      <c r="N1327" s="12"/>
      <c r="O1327" s="12"/>
      <c r="P1327" s="12"/>
      <c r="Q1327" s="12"/>
      <c r="R1327" s="12"/>
      <c r="S1327" s="12"/>
      <c r="T1327" s="12"/>
      <c r="U1327" s="12"/>
      <c r="V1327" s="12"/>
      <c r="W1327" s="12"/>
      <c r="X1327" s="12"/>
      <c r="Y1327" s="12"/>
      <c r="Z1327" s="12"/>
    </row>
    <row r="1328" ht="15.0" customHeight="1">
      <c r="A1328" s="349"/>
      <c r="B1328" s="350"/>
      <c r="C1328" s="12"/>
      <c r="D1328" s="12"/>
      <c r="E1328" s="12"/>
      <c r="F1328" s="12"/>
      <c r="G1328" s="12"/>
      <c r="H1328" s="12"/>
      <c r="I1328" s="12"/>
      <c r="J1328" s="12"/>
      <c r="K1328" s="12"/>
      <c r="L1328" s="12"/>
      <c r="M1328" s="12"/>
      <c r="N1328" s="12"/>
      <c r="O1328" s="12"/>
      <c r="P1328" s="12"/>
      <c r="Q1328" s="12"/>
      <c r="R1328" s="12"/>
      <c r="S1328" s="12"/>
      <c r="T1328" s="12"/>
      <c r="U1328" s="12"/>
      <c r="V1328" s="12"/>
      <c r="W1328" s="12"/>
      <c r="X1328" s="12"/>
      <c r="Y1328" s="12"/>
      <c r="Z1328" s="12"/>
    </row>
    <row r="1329" ht="15.0" customHeight="1">
      <c r="A1329" s="339" t="s">
        <v>1177</v>
      </c>
      <c r="B1329" s="350"/>
      <c r="C1329" s="12"/>
      <c r="D1329" s="12"/>
      <c r="E1329" s="12"/>
      <c r="F1329" s="12"/>
      <c r="G1329" s="12"/>
      <c r="H1329" s="12"/>
      <c r="I1329" s="12"/>
      <c r="J1329" s="12"/>
      <c r="K1329" s="12"/>
      <c r="L1329" s="12"/>
      <c r="M1329" s="12"/>
      <c r="N1329" s="12"/>
      <c r="O1329" s="12"/>
      <c r="P1329" s="12"/>
      <c r="Q1329" s="12"/>
      <c r="R1329" s="12"/>
      <c r="S1329" s="12"/>
      <c r="T1329" s="12"/>
      <c r="U1329" s="12"/>
      <c r="V1329" s="12"/>
      <c r="W1329" s="12"/>
      <c r="X1329" s="12"/>
      <c r="Y1329" s="12"/>
      <c r="Z1329" s="12"/>
    </row>
    <row r="1330" ht="15.0" customHeight="1">
      <c r="A1330" s="349"/>
      <c r="B1330" s="350"/>
      <c r="C1330" s="12"/>
      <c r="D1330" s="12"/>
      <c r="E1330" s="12"/>
      <c r="F1330" s="12"/>
      <c r="G1330" s="12"/>
      <c r="H1330" s="12"/>
      <c r="I1330" s="12"/>
      <c r="J1330" s="12"/>
      <c r="K1330" s="12"/>
      <c r="L1330" s="12"/>
      <c r="M1330" s="12"/>
      <c r="N1330" s="12"/>
      <c r="O1330" s="12"/>
      <c r="P1330" s="12"/>
      <c r="Q1330" s="12"/>
      <c r="R1330" s="12"/>
      <c r="S1330" s="12"/>
      <c r="T1330" s="12"/>
      <c r="U1330" s="12"/>
      <c r="V1330" s="12"/>
      <c r="W1330" s="12"/>
      <c r="X1330" s="12"/>
      <c r="Y1330" s="12"/>
      <c r="Z1330" s="12"/>
    </row>
    <row r="1331" ht="15.0" customHeight="1">
      <c r="A1331" s="291" t="s">
        <v>1917</v>
      </c>
      <c r="B1331" s="291" t="s">
        <v>1918</v>
      </c>
      <c r="C1331" s="12"/>
      <c r="D1331" s="12"/>
      <c r="E1331" s="12"/>
      <c r="F1331" s="12"/>
      <c r="G1331" s="12"/>
      <c r="H1331" s="12"/>
      <c r="I1331" s="12"/>
      <c r="J1331" s="12"/>
      <c r="K1331" s="12"/>
      <c r="L1331" s="12"/>
      <c r="M1331" s="12"/>
      <c r="N1331" s="12"/>
      <c r="O1331" s="12"/>
      <c r="P1331" s="12"/>
      <c r="Q1331" s="12"/>
      <c r="R1331" s="12"/>
      <c r="S1331" s="12"/>
      <c r="T1331" s="12"/>
      <c r="U1331" s="12"/>
      <c r="V1331" s="12"/>
      <c r="W1331" s="12"/>
      <c r="X1331" s="12"/>
      <c r="Y1331" s="12"/>
      <c r="Z1331" s="12"/>
    </row>
    <row r="1332" ht="15.0" customHeight="1">
      <c r="A1332" s="332">
        <v>1.0</v>
      </c>
      <c r="B1332" s="351">
        <v>0.12</v>
      </c>
      <c r="C1332" s="12"/>
      <c r="D1332" s="12"/>
      <c r="E1332" s="12"/>
      <c r="F1332" s="12"/>
      <c r="G1332" s="12"/>
      <c r="H1332" s="12"/>
      <c r="I1332" s="12"/>
      <c r="J1332" s="12"/>
      <c r="K1332" s="12"/>
      <c r="L1332" s="12"/>
      <c r="M1332" s="12"/>
      <c r="N1332" s="12"/>
      <c r="O1332" s="12"/>
      <c r="P1332" s="12"/>
      <c r="Q1332" s="12"/>
      <c r="R1332" s="12"/>
      <c r="S1332" s="12"/>
      <c r="T1332" s="12"/>
      <c r="U1332" s="12"/>
      <c r="V1332" s="12"/>
      <c r="W1332" s="12"/>
      <c r="X1332" s="12"/>
      <c r="Y1332" s="12"/>
      <c r="Z1332" s="12"/>
    </row>
    <row r="1333" ht="15.0" customHeight="1">
      <c r="A1333" s="332">
        <v>2.0</v>
      </c>
      <c r="B1333" s="351">
        <v>0.04</v>
      </c>
      <c r="C1333" s="12"/>
      <c r="D1333" s="12"/>
      <c r="E1333" s="12"/>
      <c r="F1333" s="12"/>
      <c r="G1333" s="12"/>
      <c r="H1333" s="12"/>
      <c r="I1333" s="12"/>
      <c r="J1333" s="12"/>
      <c r="K1333" s="12"/>
      <c r="L1333" s="12"/>
      <c r="M1333" s="12"/>
      <c r="N1333" s="12"/>
      <c r="O1333" s="12"/>
      <c r="P1333" s="12"/>
      <c r="Q1333" s="12"/>
      <c r="R1333" s="12"/>
      <c r="S1333" s="12"/>
      <c r="T1333" s="12"/>
      <c r="U1333" s="12"/>
      <c r="V1333" s="12"/>
      <c r="W1333" s="12"/>
      <c r="X1333" s="12"/>
      <c r="Y1333" s="12"/>
      <c r="Z1333" s="12"/>
    </row>
    <row r="1334" ht="15.0" customHeight="1">
      <c r="A1334" s="332">
        <v>3.0</v>
      </c>
      <c r="B1334" s="351">
        <v>0.04</v>
      </c>
      <c r="C1334" s="12"/>
      <c r="D1334" s="12"/>
      <c r="E1334" s="12"/>
      <c r="F1334" s="12"/>
      <c r="G1334" s="12"/>
      <c r="H1334" s="12"/>
      <c r="I1334" s="12"/>
      <c r="J1334" s="12"/>
      <c r="K1334" s="12"/>
      <c r="L1334" s="12"/>
      <c r="M1334" s="12"/>
      <c r="N1334" s="12"/>
      <c r="O1334" s="12"/>
      <c r="P1334" s="12"/>
      <c r="Q1334" s="12"/>
      <c r="R1334" s="12"/>
      <c r="S1334" s="12"/>
      <c r="T1334" s="12"/>
      <c r="U1334" s="12"/>
      <c r="V1334" s="12"/>
      <c r="W1334" s="12"/>
      <c r="X1334" s="12"/>
      <c r="Y1334" s="12"/>
      <c r="Z1334" s="12"/>
    </row>
    <row r="1335" ht="15.0" customHeight="1">
      <c r="A1335" s="349"/>
      <c r="B1335" s="350"/>
      <c r="C1335" s="12"/>
      <c r="D1335" s="12"/>
      <c r="E1335" s="12"/>
      <c r="F1335" s="12"/>
      <c r="G1335" s="12"/>
      <c r="H1335" s="12"/>
      <c r="I1335" s="12"/>
      <c r="J1335" s="12"/>
      <c r="K1335" s="12"/>
      <c r="L1335" s="12"/>
      <c r="M1335" s="12"/>
      <c r="N1335" s="12"/>
      <c r="O1335" s="12"/>
      <c r="P1335" s="12"/>
      <c r="Q1335" s="12"/>
      <c r="R1335" s="12"/>
      <c r="S1335" s="12"/>
      <c r="T1335" s="12"/>
      <c r="U1335" s="12"/>
      <c r="V1335" s="12"/>
      <c r="W1335" s="12"/>
      <c r="X1335" s="12"/>
      <c r="Y1335" s="12"/>
      <c r="Z1335" s="12"/>
    </row>
    <row r="1336" ht="15.0" customHeight="1">
      <c r="A1336" s="339" t="s">
        <v>1181</v>
      </c>
      <c r="B1336" s="350"/>
      <c r="C1336" s="12"/>
      <c r="D1336" s="12"/>
      <c r="E1336" s="12"/>
      <c r="F1336" s="12"/>
      <c r="G1336" s="12"/>
      <c r="H1336" s="12"/>
      <c r="I1336" s="12"/>
      <c r="J1336" s="12"/>
      <c r="K1336" s="12"/>
      <c r="L1336" s="12"/>
      <c r="M1336" s="12"/>
      <c r="N1336" s="12"/>
      <c r="O1336" s="12"/>
      <c r="P1336" s="12"/>
      <c r="Q1336" s="12"/>
      <c r="R1336" s="12"/>
      <c r="S1336" s="12"/>
      <c r="T1336" s="12"/>
      <c r="U1336" s="12"/>
      <c r="V1336" s="12"/>
      <c r="W1336" s="12"/>
      <c r="X1336" s="12"/>
      <c r="Y1336" s="12"/>
      <c r="Z1336" s="12"/>
    </row>
    <row r="1337" ht="15.0" customHeight="1">
      <c r="A1337" s="349"/>
      <c r="B1337" s="350"/>
      <c r="C1337" s="12"/>
      <c r="D1337" s="12"/>
      <c r="E1337" s="12"/>
      <c r="F1337" s="12"/>
      <c r="G1337" s="12"/>
      <c r="H1337" s="12"/>
      <c r="I1337" s="12"/>
      <c r="J1337" s="12"/>
      <c r="K1337" s="12"/>
      <c r="L1337" s="12"/>
      <c r="M1337" s="12"/>
      <c r="N1337" s="12"/>
      <c r="O1337" s="12"/>
      <c r="P1337" s="12"/>
      <c r="Q1337" s="12"/>
      <c r="R1337" s="12"/>
      <c r="S1337" s="12"/>
      <c r="T1337" s="12"/>
      <c r="U1337" s="12"/>
      <c r="V1337" s="12"/>
      <c r="W1337" s="12"/>
      <c r="X1337" s="12"/>
      <c r="Y1337" s="12"/>
      <c r="Z1337" s="12"/>
    </row>
    <row r="1338" ht="15.0" customHeight="1">
      <c r="A1338" s="291" t="s">
        <v>1917</v>
      </c>
      <c r="B1338" s="291" t="s">
        <v>1918</v>
      </c>
      <c r="C1338" s="12"/>
      <c r="D1338" s="12"/>
      <c r="E1338" s="12"/>
      <c r="F1338" s="12"/>
      <c r="G1338" s="12"/>
      <c r="H1338" s="12"/>
      <c r="I1338" s="12"/>
      <c r="J1338" s="12"/>
      <c r="K1338" s="12"/>
      <c r="L1338" s="12"/>
      <c r="M1338" s="12"/>
      <c r="N1338" s="12"/>
      <c r="O1338" s="12"/>
      <c r="P1338" s="12"/>
      <c r="Q1338" s="12"/>
      <c r="R1338" s="12"/>
      <c r="S1338" s="12"/>
      <c r="T1338" s="12"/>
      <c r="U1338" s="12"/>
      <c r="V1338" s="12"/>
      <c r="W1338" s="12"/>
      <c r="X1338" s="12"/>
      <c r="Y1338" s="12"/>
      <c r="Z1338" s="12"/>
    </row>
    <row r="1339" ht="15.0" customHeight="1">
      <c r="A1339" s="332">
        <v>1.0</v>
      </c>
      <c r="B1339" s="351">
        <v>0.55</v>
      </c>
      <c r="C1339" s="12"/>
      <c r="D1339" s="12"/>
      <c r="E1339" s="12"/>
      <c r="F1339" s="12"/>
      <c r="G1339" s="12"/>
      <c r="H1339" s="12"/>
      <c r="I1339" s="12"/>
      <c r="J1339" s="12"/>
      <c r="K1339" s="12"/>
      <c r="L1339" s="12"/>
      <c r="M1339" s="12"/>
      <c r="N1339" s="12"/>
      <c r="O1339" s="12"/>
      <c r="P1339" s="12"/>
      <c r="Q1339" s="12"/>
      <c r="R1339" s="12"/>
      <c r="S1339" s="12"/>
      <c r="T1339" s="12"/>
      <c r="U1339" s="12"/>
      <c r="V1339" s="12"/>
      <c r="W1339" s="12"/>
      <c r="X1339" s="12"/>
      <c r="Y1339" s="12"/>
      <c r="Z1339" s="12"/>
    </row>
    <row r="1340" ht="15.0" customHeight="1">
      <c r="A1340" s="332">
        <v>2.0</v>
      </c>
      <c r="B1340" s="351">
        <v>0.2</v>
      </c>
      <c r="C1340" s="12"/>
      <c r="D1340" s="12"/>
      <c r="E1340" s="12"/>
      <c r="F1340" s="12"/>
      <c r="G1340" s="12"/>
      <c r="H1340" s="12"/>
      <c r="I1340" s="12"/>
      <c r="J1340" s="12"/>
      <c r="K1340" s="12"/>
      <c r="L1340" s="12"/>
      <c r="M1340" s="12"/>
      <c r="N1340" s="12"/>
      <c r="O1340" s="12"/>
      <c r="P1340" s="12"/>
      <c r="Q1340" s="12"/>
      <c r="R1340" s="12"/>
      <c r="S1340" s="12"/>
      <c r="T1340" s="12"/>
      <c r="U1340" s="12"/>
      <c r="V1340" s="12"/>
      <c r="W1340" s="12"/>
      <c r="X1340" s="12"/>
      <c r="Y1340" s="12"/>
      <c r="Z1340" s="12"/>
    </row>
    <row r="1341" ht="15.0" customHeight="1">
      <c r="A1341" s="332">
        <v>3.0</v>
      </c>
      <c r="B1341" s="351">
        <v>0.03</v>
      </c>
      <c r="C1341" s="12"/>
      <c r="D1341" s="12"/>
      <c r="E1341" s="12"/>
      <c r="F1341" s="12"/>
      <c r="G1341" s="12"/>
      <c r="H1341" s="12"/>
      <c r="I1341" s="12"/>
      <c r="J1341" s="12"/>
      <c r="K1341" s="12"/>
      <c r="L1341" s="12"/>
      <c r="M1341" s="12"/>
      <c r="N1341" s="12"/>
      <c r="O1341" s="12"/>
      <c r="P1341" s="12"/>
      <c r="Q1341" s="12"/>
      <c r="R1341" s="12"/>
      <c r="S1341" s="12"/>
      <c r="T1341" s="12"/>
      <c r="U1341" s="12"/>
      <c r="V1341" s="12"/>
      <c r="W1341" s="12"/>
      <c r="X1341" s="12"/>
      <c r="Y1341" s="12"/>
      <c r="Z1341" s="12"/>
    </row>
    <row r="1342" ht="15.0" customHeight="1">
      <c r="A1342" s="349"/>
      <c r="B1342" s="350"/>
      <c r="C1342" s="12"/>
      <c r="D1342" s="12"/>
      <c r="E1342" s="12"/>
      <c r="F1342" s="12"/>
      <c r="G1342" s="12"/>
      <c r="H1342" s="12"/>
      <c r="I1342" s="12"/>
      <c r="J1342" s="12"/>
      <c r="K1342" s="12"/>
      <c r="L1342" s="12"/>
      <c r="M1342" s="12"/>
      <c r="N1342" s="12"/>
      <c r="O1342" s="12"/>
      <c r="P1342" s="12"/>
      <c r="Q1342" s="12"/>
      <c r="R1342" s="12"/>
      <c r="S1342" s="12"/>
      <c r="T1342" s="12"/>
      <c r="U1342" s="12"/>
      <c r="V1342" s="12"/>
      <c r="W1342" s="12"/>
      <c r="X1342" s="12"/>
      <c r="Y1342" s="12"/>
      <c r="Z1342" s="12"/>
    </row>
    <row r="1343" ht="15.0" customHeight="1">
      <c r="A1343" s="339" t="s">
        <v>1185</v>
      </c>
      <c r="B1343" s="350"/>
      <c r="C1343" s="12"/>
      <c r="D1343" s="12"/>
      <c r="E1343" s="12"/>
      <c r="F1343" s="12"/>
      <c r="G1343" s="12"/>
      <c r="H1343" s="12"/>
      <c r="I1343" s="12"/>
      <c r="J1343" s="12"/>
      <c r="K1343" s="12"/>
      <c r="L1343" s="12"/>
      <c r="M1343" s="12"/>
      <c r="N1343" s="12"/>
      <c r="O1343" s="12"/>
      <c r="P1343" s="12"/>
      <c r="Q1343" s="12"/>
      <c r="R1343" s="12"/>
      <c r="S1343" s="12"/>
      <c r="T1343" s="12"/>
      <c r="U1343" s="12"/>
      <c r="V1343" s="12"/>
      <c r="W1343" s="12"/>
      <c r="X1343" s="12"/>
      <c r="Y1343" s="12"/>
      <c r="Z1343" s="12"/>
    </row>
    <row r="1344" ht="15.0" customHeight="1">
      <c r="A1344" s="349"/>
      <c r="B1344" s="350"/>
      <c r="C1344" s="12"/>
      <c r="D1344" s="12"/>
      <c r="E1344" s="12"/>
      <c r="F1344" s="12"/>
      <c r="G1344" s="12"/>
      <c r="H1344" s="12"/>
      <c r="I1344" s="12"/>
      <c r="J1344" s="12"/>
      <c r="K1344" s="12"/>
      <c r="L1344" s="12"/>
      <c r="M1344" s="12"/>
      <c r="N1344" s="12"/>
      <c r="O1344" s="12"/>
      <c r="P1344" s="12"/>
      <c r="Q1344" s="12"/>
      <c r="R1344" s="12"/>
      <c r="S1344" s="12"/>
      <c r="T1344" s="12"/>
      <c r="U1344" s="12"/>
      <c r="V1344" s="12"/>
      <c r="W1344" s="12"/>
      <c r="X1344" s="12"/>
      <c r="Y1344" s="12"/>
      <c r="Z1344" s="12"/>
    </row>
    <row r="1345" ht="15.0" customHeight="1">
      <c r="A1345" s="291" t="s">
        <v>1917</v>
      </c>
      <c r="B1345" s="291" t="s">
        <v>1918</v>
      </c>
      <c r="C1345" s="12"/>
      <c r="D1345" s="12"/>
      <c r="E1345" s="12"/>
      <c r="F1345" s="12"/>
      <c r="G1345" s="12"/>
      <c r="H1345" s="12"/>
      <c r="I1345" s="12"/>
      <c r="J1345" s="12"/>
      <c r="K1345" s="12"/>
      <c r="L1345" s="12"/>
      <c r="M1345" s="12"/>
      <c r="N1345" s="12"/>
      <c r="O1345" s="12"/>
      <c r="P1345" s="12"/>
      <c r="Q1345" s="12"/>
      <c r="R1345" s="12"/>
      <c r="S1345" s="12"/>
      <c r="T1345" s="12"/>
      <c r="U1345" s="12"/>
      <c r="V1345" s="12"/>
      <c r="W1345" s="12"/>
      <c r="X1345" s="12"/>
      <c r="Y1345" s="12"/>
      <c r="Z1345" s="12"/>
    </row>
    <row r="1346" ht="15.0" customHeight="1">
      <c r="A1346" s="332">
        <v>1.0</v>
      </c>
      <c r="B1346" s="351">
        <v>0.35</v>
      </c>
      <c r="C1346" s="12"/>
      <c r="D1346" s="12"/>
      <c r="E1346" s="12"/>
      <c r="F1346" s="12"/>
      <c r="G1346" s="12"/>
      <c r="H1346" s="12"/>
      <c r="I1346" s="12"/>
      <c r="J1346" s="12"/>
      <c r="K1346" s="12"/>
      <c r="L1346" s="12"/>
      <c r="M1346" s="12"/>
      <c r="N1346" s="12"/>
      <c r="O1346" s="12"/>
      <c r="P1346" s="12"/>
      <c r="Q1346" s="12"/>
      <c r="R1346" s="12"/>
      <c r="S1346" s="12"/>
      <c r="T1346" s="12"/>
      <c r="U1346" s="12"/>
      <c r="V1346" s="12"/>
      <c r="W1346" s="12"/>
      <c r="X1346" s="12"/>
      <c r="Y1346" s="12"/>
      <c r="Z1346" s="12"/>
    </row>
    <row r="1347" ht="15.0" customHeight="1">
      <c r="A1347" s="332">
        <v>2.0</v>
      </c>
      <c r="B1347" s="351">
        <v>0.15</v>
      </c>
      <c r="C1347" s="12"/>
      <c r="D1347" s="12"/>
      <c r="E1347" s="12"/>
      <c r="F1347" s="12"/>
      <c r="G1347" s="12"/>
      <c r="H1347" s="12"/>
      <c r="I1347" s="12"/>
      <c r="J1347" s="12"/>
      <c r="K1347" s="12"/>
      <c r="L1347" s="12"/>
      <c r="M1347" s="12"/>
      <c r="N1347" s="12"/>
      <c r="O1347" s="12"/>
      <c r="P1347" s="12"/>
      <c r="Q1347" s="12"/>
      <c r="R1347" s="12"/>
      <c r="S1347" s="12"/>
      <c r="T1347" s="12"/>
      <c r="U1347" s="12"/>
      <c r="V1347" s="12"/>
      <c r="W1347" s="12"/>
      <c r="X1347" s="12"/>
      <c r="Y1347" s="12"/>
      <c r="Z1347" s="12"/>
    </row>
    <row r="1348" ht="15.0" customHeight="1">
      <c r="A1348" s="332">
        <v>3.0</v>
      </c>
      <c r="B1348" s="351">
        <v>0.03</v>
      </c>
      <c r="C1348" s="12"/>
      <c r="D1348" s="12"/>
      <c r="E1348" s="12"/>
      <c r="F1348" s="12"/>
      <c r="G1348" s="12"/>
      <c r="H1348" s="12"/>
      <c r="I1348" s="12"/>
      <c r="J1348" s="12"/>
      <c r="K1348" s="12"/>
      <c r="L1348" s="12"/>
      <c r="M1348" s="12"/>
      <c r="N1348" s="12"/>
      <c r="O1348" s="12"/>
      <c r="P1348" s="12"/>
      <c r="Q1348" s="12"/>
      <c r="R1348" s="12"/>
      <c r="S1348" s="12"/>
      <c r="T1348" s="12"/>
      <c r="U1348" s="12"/>
      <c r="V1348" s="12"/>
      <c r="W1348" s="12"/>
      <c r="X1348" s="12"/>
      <c r="Y1348" s="12"/>
      <c r="Z1348" s="12"/>
    </row>
    <row r="1349" ht="15.0" customHeight="1">
      <c r="A1349" s="349"/>
      <c r="B1349" s="350"/>
      <c r="C1349" s="12"/>
      <c r="D1349" s="12"/>
      <c r="E1349" s="12"/>
      <c r="F1349" s="12"/>
      <c r="G1349" s="12"/>
      <c r="H1349" s="12"/>
      <c r="I1349" s="12"/>
      <c r="J1349" s="12"/>
      <c r="K1349" s="12"/>
      <c r="L1349" s="12"/>
      <c r="M1349" s="12"/>
      <c r="N1349" s="12"/>
      <c r="O1349" s="12"/>
      <c r="P1349" s="12"/>
      <c r="Q1349" s="12"/>
      <c r="R1349" s="12"/>
      <c r="S1349" s="12"/>
      <c r="T1349" s="12"/>
      <c r="U1349" s="12"/>
      <c r="V1349" s="12"/>
      <c r="W1349" s="12"/>
      <c r="X1349" s="12"/>
      <c r="Y1349" s="12"/>
      <c r="Z1349" s="12"/>
    </row>
    <row r="1350" ht="15.0" customHeight="1">
      <c r="A1350" s="339" t="s">
        <v>1197</v>
      </c>
      <c r="B1350" s="350"/>
      <c r="C1350" s="12"/>
      <c r="D1350" s="12"/>
      <c r="E1350" s="12"/>
      <c r="F1350" s="12"/>
      <c r="G1350" s="12"/>
      <c r="H1350" s="12"/>
      <c r="I1350" s="12"/>
      <c r="J1350" s="12"/>
      <c r="K1350" s="12"/>
      <c r="L1350" s="12"/>
      <c r="M1350" s="12"/>
      <c r="N1350" s="12"/>
      <c r="O1350" s="12"/>
      <c r="P1350" s="12"/>
      <c r="Q1350" s="12"/>
      <c r="R1350" s="12"/>
      <c r="S1350" s="12"/>
      <c r="T1350" s="12"/>
      <c r="U1350" s="12"/>
      <c r="V1350" s="12"/>
      <c r="W1350" s="12"/>
      <c r="X1350" s="12"/>
      <c r="Y1350" s="12"/>
      <c r="Z1350" s="12"/>
    </row>
    <row r="1351" ht="15.0" customHeight="1">
      <c r="A1351" s="349"/>
      <c r="B1351" s="350"/>
      <c r="C1351" s="12"/>
      <c r="D1351" s="12"/>
      <c r="E1351" s="12"/>
      <c r="F1351" s="12"/>
      <c r="G1351" s="12"/>
      <c r="H1351" s="12"/>
      <c r="I1351" s="12"/>
      <c r="J1351" s="12"/>
      <c r="K1351" s="12"/>
      <c r="L1351" s="12"/>
      <c r="M1351" s="12"/>
      <c r="N1351" s="12"/>
      <c r="O1351" s="12"/>
      <c r="P1351" s="12"/>
      <c r="Q1351" s="12"/>
      <c r="R1351" s="12"/>
      <c r="S1351" s="12"/>
      <c r="T1351" s="12"/>
      <c r="U1351" s="12"/>
      <c r="V1351" s="12"/>
      <c r="W1351" s="12"/>
      <c r="X1351" s="12"/>
      <c r="Y1351" s="12"/>
      <c r="Z1351" s="12"/>
    </row>
    <row r="1352" ht="15.0" customHeight="1">
      <c r="A1352" s="291" t="s">
        <v>1917</v>
      </c>
      <c r="B1352" s="291" t="s">
        <v>1918</v>
      </c>
      <c r="C1352" s="12"/>
      <c r="D1352" s="12"/>
      <c r="E1352" s="12"/>
      <c r="F1352" s="12"/>
      <c r="G1352" s="12"/>
      <c r="H1352" s="12"/>
      <c r="I1352" s="12"/>
      <c r="J1352" s="12"/>
      <c r="K1352" s="12"/>
      <c r="L1352" s="12"/>
      <c r="M1352" s="12"/>
      <c r="N1352" s="12"/>
      <c r="O1352" s="12"/>
      <c r="P1352" s="12"/>
      <c r="Q1352" s="12"/>
      <c r="R1352" s="12"/>
      <c r="S1352" s="12"/>
      <c r="T1352" s="12"/>
      <c r="U1352" s="12"/>
      <c r="V1352" s="12"/>
      <c r="W1352" s="12"/>
      <c r="X1352" s="12"/>
      <c r="Y1352" s="12"/>
      <c r="Z1352" s="12"/>
    </row>
    <row r="1353" ht="15.0" customHeight="1">
      <c r="A1353" s="332">
        <v>1.0</v>
      </c>
      <c r="B1353" s="351">
        <v>0.14</v>
      </c>
      <c r="C1353" s="12"/>
      <c r="D1353" s="12"/>
      <c r="E1353" s="12"/>
      <c r="F1353" s="12"/>
      <c r="G1353" s="12"/>
      <c r="H1353" s="12"/>
      <c r="I1353" s="12"/>
      <c r="J1353" s="12"/>
      <c r="K1353" s="12"/>
      <c r="L1353" s="12"/>
      <c r="M1353" s="12"/>
      <c r="N1353" s="12"/>
      <c r="O1353" s="12"/>
      <c r="P1353" s="12"/>
      <c r="Q1353" s="12"/>
      <c r="R1353" s="12"/>
      <c r="S1353" s="12"/>
      <c r="T1353" s="12"/>
      <c r="U1353" s="12"/>
      <c r="V1353" s="12"/>
      <c r="W1353" s="12"/>
      <c r="X1353" s="12"/>
      <c r="Y1353" s="12"/>
      <c r="Z1353" s="12"/>
    </row>
    <row r="1354" ht="15.0" customHeight="1">
      <c r="A1354" s="332">
        <v>2.0</v>
      </c>
      <c r="B1354" s="351">
        <v>0.04</v>
      </c>
      <c r="C1354" s="12"/>
      <c r="D1354" s="12"/>
      <c r="E1354" s="12"/>
      <c r="F1354" s="12"/>
      <c r="G1354" s="12"/>
      <c r="H1354" s="12"/>
      <c r="I1354" s="12"/>
      <c r="J1354" s="12"/>
      <c r="K1354" s="12"/>
      <c r="L1354" s="12"/>
      <c r="M1354" s="12"/>
      <c r="N1354" s="12"/>
      <c r="O1354" s="12"/>
      <c r="P1354" s="12"/>
      <c r="Q1354" s="12"/>
      <c r="R1354" s="12"/>
      <c r="S1354" s="12"/>
      <c r="T1354" s="12"/>
      <c r="U1354" s="12"/>
      <c r="V1354" s="12"/>
      <c r="W1354" s="12"/>
      <c r="X1354" s="12"/>
      <c r="Y1354" s="12"/>
      <c r="Z1354" s="12"/>
    </row>
    <row r="1355" ht="15.0" customHeight="1">
      <c r="A1355" s="332">
        <v>3.0</v>
      </c>
      <c r="B1355" s="351">
        <v>0.04</v>
      </c>
      <c r="C1355" s="12"/>
      <c r="D1355" s="12"/>
      <c r="E1355" s="12"/>
      <c r="F1355" s="12"/>
      <c r="G1355" s="12"/>
      <c r="H1355" s="12"/>
      <c r="I1355" s="12"/>
      <c r="J1355" s="12"/>
      <c r="K1355" s="12"/>
      <c r="L1355" s="12"/>
      <c r="M1355" s="12"/>
      <c r="N1355" s="12"/>
      <c r="O1355" s="12"/>
      <c r="P1355" s="12"/>
      <c r="Q1355" s="12"/>
      <c r="R1355" s="12"/>
      <c r="S1355" s="12"/>
      <c r="T1355" s="12"/>
      <c r="U1355" s="12"/>
      <c r="V1355" s="12"/>
      <c r="W1355" s="12"/>
      <c r="X1355" s="12"/>
      <c r="Y1355" s="12"/>
      <c r="Z1355" s="12"/>
    </row>
    <row r="1356" ht="15.0" customHeight="1">
      <c r="A1356" s="332">
        <v>4.0</v>
      </c>
      <c r="B1356" s="351">
        <v>0.02</v>
      </c>
      <c r="C1356" s="12"/>
      <c r="D1356" s="12"/>
      <c r="E1356" s="12"/>
      <c r="F1356" s="12"/>
      <c r="G1356" s="12"/>
      <c r="H1356" s="12"/>
      <c r="I1356" s="12"/>
      <c r="J1356" s="12"/>
      <c r="K1356" s="12"/>
      <c r="L1356" s="12"/>
      <c r="M1356" s="12"/>
      <c r="N1356" s="12"/>
      <c r="O1356" s="12"/>
      <c r="P1356" s="12"/>
      <c r="Q1356" s="12"/>
      <c r="R1356" s="12"/>
      <c r="S1356" s="12"/>
      <c r="T1356" s="12"/>
      <c r="U1356" s="12"/>
      <c r="V1356" s="12"/>
      <c r="W1356" s="12"/>
      <c r="X1356" s="12"/>
      <c r="Y1356" s="12"/>
      <c r="Z1356" s="12"/>
    </row>
    <row r="1357" ht="15.0" customHeight="1">
      <c r="A1357" s="332">
        <v>5.0</v>
      </c>
      <c r="B1357" s="351">
        <v>0.02</v>
      </c>
      <c r="C1357" s="12"/>
      <c r="D1357" s="12"/>
      <c r="E1357" s="12"/>
      <c r="F1357" s="12"/>
      <c r="G1357" s="12"/>
      <c r="H1357" s="12"/>
      <c r="I1357" s="12"/>
      <c r="J1357" s="12"/>
      <c r="K1357" s="12"/>
      <c r="L1357" s="12"/>
      <c r="M1357" s="12"/>
      <c r="N1357" s="12"/>
      <c r="O1357" s="12"/>
      <c r="P1357" s="12"/>
      <c r="Q1357" s="12"/>
      <c r="R1357" s="12"/>
      <c r="S1357" s="12"/>
      <c r="T1357" s="12"/>
      <c r="U1357" s="12"/>
      <c r="V1357" s="12"/>
      <c r="W1357" s="12"/>
      <c r="X1357" s="12"/>
      <c r="Y1357" s="12"/>
      <c r="Z1357" s="12"/>
    </row>
    <row r="1358" ht="15.0" customHeight="1">
      <c r="A1358" s="349"/>
      <c r="B1358" s="350"/>
      <c r="C1358" s="12"/>
      <c r="D1358" s="12"/>
      <c r="E1358" s="12"/>
      <c r="F1358" s="12"/>
      <c r="G1358" s="12"/>
      <c r="H1358" s="12"/>
      <c r="I1358" s="12"/>
      <c r="J1358" s="12"/>
      <c r="K1358" s="12"/>
      <c r="L1358" s="12"/>
      <c r="M1358" s="12"/>
      <c r="N1358" s="12"/>
      <c r="O1358" s="12"/>
      <c r="P1358" s="12"/>
      <c r="Q1358" s="12"/>
      <c r="R1358" s="12"/>
      <c r="S1358" s="12"/>
      <c r="T1358" s="12"/>
      <c r="U1358" s="12"/>
      <c r="V1358" s="12"/>
      <c r="W1358" s="12"/>
      <c r="X1358" s="12"/>
      <c r="Y1358" s="12"/>
      <c r="Z1358" s="12"/>
    </row>
    <row r="1359" ht="15.0" customHeight="1">
      <c r="A1359" s="339" t="s">
        <v>1338</v>
      </c>
      <c r="B1359" s="350"/>
      <c r="C1359" s="12"/>
      <c r="D1359" s="12"/>
      <c r="E1359" s="12"/>
      <c r="F1359" s="12"/>
      <c r="G1359" s="12"/>
      <c r="H1359" s="12"/>
      <c r="I1359" s="12"/>
      <c r="J1359" s="12"/>
      <c r="K1359" s="12"/>
      <c r="L1359" s="12"/>
      <c r="M1359" s="12"/>
      <c r="N1359" s="12"/>
      <c r="O1359" s="12"/>
      <c r="P1359" s="12"/>
      <c r="Q1359" s="12"/>
      <c r="R1359" s="12"/>
      <c r="S1359" s="12"/>
      <c r="T1359" s="12"/>
      <c r="U1359" s="12"/>
      <c r="V1359" s="12"/>
      <c r="W1359" s="12"/>
      <c r="X1359" s="12"/>
      <c r="Y1359" s="12"/>
      <c r="Z1359" s="12"/>
    </row>
    <row r="1360" ht="15.0" customHeight="1">
      <c r="A1360" s="349"/>
      <c r="B1360" s="350"/>
      <c r="C1360" s="12"/>
      <c r="D1360" s="12"/>
      <c r="E1360" s="12"/>
      <c r="F1360" s="12"/>
      <c r="G1360" s="12"/>
      <c r="H1360" s="12"/>
      <c r="I1360" s="12"/>
      <c r="J1360" s="12"/>
      <c r="K1360" s="12"/>
      <c r="L1360" s="12"/>
      <c r="M1360" s="12"/>
      <c r="N1360" s="12"/>
      <c r="O1360" s="12"/>
      <c r="P1360" s="12"/>
      <c r="Q1360" s="12"/>
      <c r="R1360" s="12"/>
      <c r="S1360" s="12"/>
      <c r="T1360" s="12"/>
      <c r="U1360" s="12"/>
      <c r="V1360" s="12"/>
      <c r="W1360" s="12"/>
      <c r="X1360" s="12"/>
      <c r="Y1360" s="12"/>
      <c r="Z1360" s="12"/>
    </row>
    <row r="1361" ht="15.0" customHeight="1">
      <c r="A1361" s="291" t="s">
        <v>1917</v>
      </c>
      <c r="B1361" s="291" t="s">
        <v>1918</v>
      </c>
      <c r="C1361" s="12"/>
      <c r="D1361" s="12"/>
      <c r="E1361" s="12"/>
      <c r="F1361" s="12"/>
      <c r="G1361" s="12"/>
      <c r="H1361" s="12"/>
      <c r="I1361" s="12"/>
      <c r="J1361" s="12"/>
      <c r="K1361" s="12"/>
      <c r="L1361" s="12"/>
      <c r="M1361" s="12"/>
      <c r="N1361" s="12"/>
      <c r="O1361" s="12"/>
      <c r="P1361" s="12"/>
      <c r="Q1361" s="12"/>
      <c r="R1361" s="12"/>
      <c r="S1361" s="12"/>
      <c r="T1361" s="12"/>
      <c r="U1361" s="12"/>
      <c r="V1361" s="12"/>
      <c r="W1361" s="12"/>
      <c r="X1361" s="12"/>
      <c r="Y1361" s="12"/>
      <c r="Z1361" s="12"/>
    </row>
    <row r="1362" ht="15.0" customHeight="1">
      <c r="A1362" s="332">
        <v>1.0</v>
      </c>
      <c r="B1362" s="351">
        <v>0.03</v>
      </c>
      <c r="C1362" s="12"/>
      <c r="D1362" s="12"/>
      <c r="E1362" s="12"/>
      <c r="F1362" s="12"/>
      <c r="G1362" s="12"/>
      <c r="H1362" s="12"/>
      <c r="I1362" s="12"/>
      <c r="J1362" s="12"/>
      <c r="K1362" s="12"/>
      <c r="L1362" s="12"/>
      <c r="M1362" s="12"/>
      <c r="N1362" s="12"/>
      <c r="O1362" s="12"/>
      <c r="P1362" s="12"/>
      <c r="Q1362" s="12"/>
      <c r="R1362" s="12"/>
      <c r="S1362" s="12"/>
      <c r="T1362" s="12"/>
      <c r="U1362" s="12"/>
      <c r="V1362" s="12"/>
      <c r="W1362" s="12"/>
      <c r="X1362" s="12"/>
      <c r="Y1362" s="12"/>
      <c r="Z1362" s="12"/>
    </row>
    <row r="1363" ht="15.0" customHeight="1">
      <c r="A1363" s="349"/>
      <c r="B1363" s="350"/>
      <c r="C1363" s="12"/>
      <c r="D1363" s="12"/>
      <c r="E1363" s="12"/>
      <c r="F1363" s="12"/>
      <c r="G1363" s="12"/>
      <c r="H1363" s="12"/>
      <c r="I1363" s="12"/>
      <c r="J1363" s="12"/>
      <c r="K1363" s="12"/>
      <c r="L1363" s="12"/>
      <c r="M1363" s="12"/>
      <c r="N1363" s="12"/>
      <c r="O1363" s="12"/>
      <c r="P1363" s="12"/>
      <c r="Q1363" s="12"/>
      <c r="R1363" s="12"/>
      <c r="S1363" s="12"/>
      <c r="T1363" s="12"/>
      <c r="U1363" s="12"/>
      <c r="V1363" s="12"/>
      <c r="W1363" s="12"/>
      <c r="X1363" s="12"/>
      <c r="Y1363" s="12"/>
      <c r="Z1363" s="12"/>
    </row>
    <row r="1364" ht="15.0" customHeight="1">
      <c r="A1364" s="357" t="s">
        <v>1422</v>
      </c>
      <c r="B1364" s="350"/>
      <c r="C1364" s="12"/>
      <c r="D1364" s="12"/>
      <c r="E1364" s="12"/>
      <c r="F1364" s="12"/>
      <c r="G1364" s="12"/>
      <c r="H1364" s="12"/>
      <c r="I1364" s="12"/>
      <c r="J1364" s="12"/>
      <c r="K1364" s="12"/>
      <c r="L1364" s="12"/>
      <c r="M1364" s="12"/>
      <c r="N1364" s="12"/>
      <c r="O1364" s="12"/>
      <c r="P1364" s="12"/>
      <c r="Q1364" s="12"/>
      <c r="R1364" s="12"/>
      <c r="S1364" s="12"/>
      <c r="T1364" s="12"/>
      <c r="U1364" s="12"/>
      <c r="V1364" s="12"/>
      <c r="W1364" s="12"/>
      <c r="X1364" s="12"/>
      <c r="Y1364" s="12"/>
      <c r="Z1364" s="12"/>
    </row>
    <row r="1365" ht="15.0" customHeight="1">
      <c r="A1365" s="349"/>
      <c r="B1365" s="350"/>
      <c r="C1365" s="12"/>
      <c r="D1365" s="12"/>
      <c r="E1365" s="12"/>
      <c r="F1365" s="12"/>
      <c r="G1365" s="12"/>
      <c r="H1365" s="12"/>
      <c r="I1365" s="12"/>
      <c r="J1365" s="12"/>
      <c r="K1365" s="12"/>
      <c r="L1365" s="12"/>
      <c r="M1365" s="12"/>
      <c r="N1365" s="12"/>
      <c r="O1365" s="12"/>
      <c r="P1365" s="12"/>
      <c r="Q1365" s="12"/>
      <c r="R1365" s="12"/>
      <c r="S1365" s="12"/>
      <c r="T1365" s="12"/>
      <c r="U1365" s="12"/>
      <c r="V1365" s="12"/>
      <c r="W1365" s="12"/>
      <c r="X1365" s="12"/>
      <c r="Y1365" s="12"/>
      <c r="Z1365" s="12"/>
    </row>
    <row r="1366" ht="15.0" customHeight="1">
      <c r="A1366" s="171" t="s">
        <v>1916</v>
      </c>
      <c r="B1366" s="171">
        <v>1.0</v>
      </c>
      <c r="C1366" s="112">
        <v>2.0</v>
      </c>
      <c r="D1366" s="12"/>
      <c r="E1366" s="12"/>
      <c r="F1366" s="12"/>
      <c r="G1366" s="12"/>
      <c r="H1366" s="12"/>
      <c r="I1366" s="12"/>
      <c r="J1366" s="12"/>
      <c r="K1366" s="12"/>
      <c r="L1366" s="12"/>
      <c r="M1366" s="12"/>
      <c r="N1366" s="12"/>
      <c r="O1366" s="12"/>
      <c r="P1366" s="12"/>
      <c r="Q1366" s="12"/>
      <c r="R1366" s="12"/>
      <c r="S1366" s="12"/>
      <c r="T1366" s="12"/>
      <c r="U1366" s="12"/>
      <c r="V1366" s="12"/>
      <c r="W1366" s="12"/>
      <c r="X1366" s="12"/>
      <c r="Y1366" s="12"/>
      <c r="Z1366" s="12"/>
    </row>
    <row r="1367" ht="15.0" customHeight="1">
      <c r="A1367" s="352">
        <v>25000.0</v>
      </c>
      <c r="B1367" s="113">
        <v>0.06</v>
      </c>
      <c r="C1367" s="113">
        <v>0.015</v>
      </c>
      <c r="D1367" s="12"/>
      <c r="E1367" s="12"/>
      <c r="F1367" s="12"/>
      <c r="G1367" s="12"/>
      <c r="H1367" s="12"/>
      <c r="I1367" s="12"/>
      <c r="J1367" s="12"/>
      <c r="K1367" s="12"/>
      <c r="L1367" s="12"/>
      <c r="M1367" s="12"/>
      <c r="N1367" s="12"/>
      <c r="O1367" s="12"/>
      <c r="P1367" s="12"/>
      <c r="Q1367" s="12"/>
      <c r="R1367" s="12"/>
      <c r="S1367" s="12"/>
      <c r="T1367" s="12"/>
      <c r="U1367" s="12"/>
      <c r="V1367" s="12"/>
      <c r="W1367" s="12"/>
      <c r="X1367" s="12"/>
      <c r="Y1367" s="12"/>
      <c r="Z1367" s="12"/>
    </row>
    <row r="1368" ht="15.0" customHeight="1">
      <c r="A1368" s="352">
        <v>100000.0</v>
      </c>
      <c r="B1368" s="113">
        <v>0.04</v>
      </c>
      <c r="C1368" s="113">
        <v>0.015</v>
      </c>
      <c r="D1368" s="12"/>
      <c r="E1368" s="12"/>
      <c r="F1368" s="12"/>
      <c r="G1368" s="12"/>
      <c r="H1368" s="12"/>
      <c r="I1368" s="12"/>
      <c r="J1368" s="12"/>
      <c r="K1368" s="12"/>
      <c r="L1368" s="12"/>
      <c r="M1368" s="12"/>
      <c r="N1368" s="12"/>
      <c r="O1368" s="12"/>
      <c r="P1368" s="12"/>
      <c r="Q1368" s="12"/>
      <c r="R1368" s="12"/>
      <c r="S1368" s="12"/>
      <c r="T1368" s="12"/>
      <c r="U1368" s="12"/>
      <c r="V1368" s="12"/>
      <c r="W1368" s="12"/>
      <c r="X1368" s="12"/>
      <c r="Y1368" s="12"/>
      <c r="Z1368" s="12"/>
    </row>
    <row r="1369" ht="15.0" customHeight="1">
      <c r="A1369" s="352">
        <v>500000.0</v>
      </c>
      <c r="B1369" s="113">
        <v>0.03</v>
      </c>
      <c r="C1369" s="113">
        <v>0.015</v>
      </c>
      <c r="D1369" s="12"/>
      <c r="E1369" s="12"/>
      <c r="F1369" s="12"/>
      <c r="G1369" s="12"/>
      <c r="H1369" s="12"/>
      <c r="I1369" s="12"/>
      <c r="J1369" s="12"/>
      <c r="K1369" s="12"/>
      <c r="L1369" s="12"/>
      <c r="M1369" s="12"/>
      <c r="N1369" s="12"/>
      <c r="O1369" s="12"/>
      <c r="P1369" s="12"/>
      <c r="Q1369" s="12"/>
      <c r="R1369" s="12"/>
      <c r="S1369" s="12"/>
      <c r="T1369" s="12"/>
      <c r="U1369" s="12"/>
      <c r="V1369" s="12"/>
      <c r="W1369" s="12"/>
      <c r="X1369" s="12"/>
      <c r="Y1369" s="12"/>
      <c r="Z1369" s="12"/>
    </row>
    <row r="1370" ht="15.0" customHeight="1">
      <c r="A1370" s="352">
        <v>1.0E7</v>
      </c>
      <c r="B1370" s="113">
        <v>0.0025</v>
      </c>
      <c r="C1370" s="113">
        <v>0.015</v>
      </c>
      <c r="D1370" s="12"/>
      <c r="E1370" s="12"/>
      <c r="F1370" s="12"/>
      <c r="G1370" s="12"/>
      <c r="H1370" s="12"/>
      <c r="I1370" s="12"/>
      <c r="J1370" s="12"/>
      <c r="K1370" s="12"/>
      <c r="L1370" s="12"/>
      <c r="M1370" s="12"/>
      <c r="N1370" s="12"/>
      <c r="O1370" s="12"/>
      <c r="P1370" s="12"/>
      <c r="Q1370" s="12"/>
      <c r="R1370" s="12"/>
      <c r="S1370" s="12"/>
      <c r="T1370" s="12"/>
      <c r="U1370" s="12"/>
      <c r="V1370" s="12"/>
      <c r="W1370" s="12"/>
      <c r="X1370" s="12"/>
      <c r="Y1370" s="12"/>
      <c r="Z1370" s="12"/>
    </row>
    <row r="1371" ht="15.0" customHeight="1">
      <c r="A1371" s="349"/>
      <c r="B1371" s="350"/>
      <c r="C1371" s="12"/>
      <c r="D1371" s="12"/>
      <c r="E1371" s="12"/>
      <c r="F1371" s="12"/>
      <c r="G1371" s="12"/>
      <c r="H1371" s="12"/>
      <c r="I1371" s="12"/>
      <c r="J1371" s="12"/>
      <c r="K1371" s="12"/>
      <c r="L1371" s="12"/>
      <c r="M1371" s="12"/>
      <c r="N1371" s="12"/>
      <c r="O1371" s="12"/>
      <c r="P1371" s="12"/>
      <c r="Q1371" s="12"/>
      <c r="R1371" s="12"/>
      <c r="S1371" s="12"/>
      <c r="T1371" s="12"/>
      <c r="U1371" s="12"/>
      <c r="V1371" s="12"/>
      <c r="W1371" s="12"/>
      <c r="X1371" s="12"/>
      <c r="Y1371" s="12"/>
      <c r="Z1371" s="12"/>
    </row>
    <row r="1372" ht="15.0" customHeight="1">
      <c r="A1372" s="357" t="s">
        <v>1430</v>
      </c>
      <c r="B1372" s="350"/>
      <c r="C1372" s="12"/>
      <c r="D1372" s="12"/>
      <c r="E1372" s="12"/>
      <c r="F1372" s="12"/>
      <c r="G1372" s="12"/>
      <c r="H1372" s="12"/>
      <c r="I1372" s="12"/>
      <c r="J1372" s="12"/>
      <c r="K1372" s="12"/>
      <c r="L1372" s="12"/>
      <c r="M1372" s="12"/>
      <c r="N1372" s="12"/>
      <c r="O1372" s="12"/>
      <c r="P1372" s="12"/>
      <c r="Q1372" s="12"/>
      <c r="R1372" s="12"/>
      <c r="S1372" s="12"/>
      <c r="T1372" s="12"/>
      <c r="U1372" s="12"/>
      <c r="V1372" s="12"/>
      <c r="W1372" s="12"/>
      <c r="X1372" s="12"/>
      <c r="Y1372" s="12"/>
      <c r="Z1372" s="12"/>
    </row>
    <row r="1373" ht="15.0" customHeight="1">
      <c r="A1373" s="349"/>
      <c r="B1373" s="350"/>
      <c r="C1373" s="12"/>
      <c r="D1373" s="12"/>
      <c r="E1373" s="12"/>
      <c r="F1373" s="12"/>
      <c r="G1373" s="12"/>
      <c r="H1373" s="12"/>
      <c r="I1373" s="12"/>
      <c r="J1373" s="12"/>
      <c r="K1373" s="12"/>
      <c r="L1373" s="12"/>
      <c r="M1373" s="12"/>
      <c r="N1373" s="12"/>
      <c r="O1373" s="12"/>
      <c r="P1373" s="12"/>
      <c r="Q1373" s="12"/>
      <c r="R1373" s="12"/>
      <c r="S1373" s="12"/>
      <c r="T1373" s="12"/>
      <c r="U1373" s="12"/>
      <c r="V1373" s="12"/>
      <c r="W1373" s="12"/>
      <c r="X1373" s="12"/>
      <c r="Y1373" s="12"/>
      <c r="Z1373" s="12"/>
    </row>
    <row r="1374" ht="15.0" customHeight="1">
      <c r="A1374" s="291" t="s">
        <v>1917</v>
      </c>
      <c r="B1374" s="291" t="s">
        <v>1918</v>
      </c>
      <c r="C1374" s="12"/>
      <c r="D1374" s="12"/>
      <c r="E1374" s="12"/>
      <c r="F1374" s="12"/>
      <c r="G1374" s="12"/>
      <c r="H1374" s="12"/>
      <c r="I1374" s="12"/>
      <c r="J1374" s="12"/>
      <c r="K1374" s="12"/>
      <c r="L1374" s="12"/>
      <c r="M1374" s="12"/>
      <c r="N1374" s="12"/>
      <c r="O1374" s="12"/>
      <c r="P1374" s="12"/>
      <c r="Q1374" s="12"/>
      <c r="R1374" s="12"/>
      <c r="S1374" s="12"/>
      <c r="T1374" s="12"/>
      <c r="U1374" s="12"/>
      <c r="V1374" s="12"/>
      <c r="W1374" s="12"/>
      <c r="X1374" s="12"/>
      <c r="Y1374" s="12"/>
      <c r="Z1374" s="12"/>
    </row>
    <row r="1375" ht="15.0" customHeight="1">
      <c r="A1375" s="332">
        <v>1.0</v>
      </c>
      <c r="B1375" s="351">
        <v>0.1</v>
      </c>
      <c r="C1375" s="12"/>
      <c r="D1375" s="12"/>
      <c r="E1375" s="12"/>
      <c r="F1375" s="12"/>
      <c r="G1375" s="12"/>
      <c r="H1375" s="12"/>
      <c r="I1375" s="12"/>
      <c r="J1375" s="12"/>
      <c r="K1375" s="12"/>
      <c r="L1375" s="12"/>
      <c r="M1375" s="12"/>
      <c r="N1375" s="12"/>
      <c r="O1375" s="12"/>
      <c r="P1375" s="12"/>
      <c r="Q1375" s="12"/>
      <c r="R1375" s="12"/>
      <c r="S1375" s="12"/>
      <c r="T1375" s="12"/>
      <c r="U1375" s="12"/>
      <c r="V1375" s="12"/>
      <c r="W1375" s="12"/>
      <c r="X1375" s="12"/>
      <c r="Y1375" s="12"/>
      <c r="Z1375" s="12"/>
    </row>
    <row r="1376" ht="15.0" customHeight="1">
      <c r="A1376" s="332">
        <v>2.0</v>
      </c>
      <c r="B1376" s="351">
        <v>0.015</v>
      </c>
      <c r="C1376" s="12"/>
      <c r="D1376" s="12"/>
      <c r="E1376" s="12"/>
      <c r="F1376" s="12"/>
      <c r="G1376" s="12"/>
      <c r="H1376" s="12"/>
      <c r="I1376" s="12"/>
      <c r="J1376" s="12"/>
      <c r="K1376" s="12"/>
      <c r="L1376" s="12"/>
      <c r="M1376" s="12"/>
      <c r="N1376" s="12"/>
      <c r="O1376" s="12"/>
      <c r="P1376" s="12"/>
      <c r="Q1376" s="12"/>
      <c r="R1376" s="12"/>
      <c r="S1376" s="12"/>
      <c r="T1376" s="12"/>
      <c r="U1376" s="12"/>
      <c r="V1376" s="12"/>
      <c r="W1376" s="12"/>
      <c r="X1376" s="12"/>
      <c r="Y1376" s="12"/>
      <c r="Z1376" s="12"/>
    </row>
    <row r="1377" ht="15.0" customHeight="1">
      <c r="A1377" s="349"/>
      <c r="B1377" s="350"/>
      <c r="C1377" s="12"/>
      <c r="D1377" s="12"/>
      <c r="E1377" s="12"/>
      <c r="F1377" s="12"/>
      <c r="G1377" s="12"/>
      <c r="H1377" s="12"/>
      <c r="I1377" s="12"/>
      <c r="J1377" s="12"/>
      <c r="K1377" s="12"/>
      <c r="L1377" s="12"/>
      <c r="M1377" s="12"/>
      <c r="N1377" s="12"/>
      <c r="O1377" s="12"/>
      <c r="P1377" s="12"/>
      <c r="Q1377" s="12"/>
      <c r="R1377" s="12"/>
      <c r="S1377" s="12"/>
      <c r="T1377" s="12"/>
      <c r="U1377" s="12"/>
      <c r="V1377" s="12"/>
      <c r="W1377" s="12"/>
      <c r="X1377" s="12"/>
      <c r="Y1377" s="12"/>
      <c r="Z1377" s="12"/>
    </row>
    <row r="1378" ht="15.0" customHeight="1">
      <c r="A1378" s="357" t="s">
        <v>1434</v>
      </c>
      <c r="B1378" s="350"/>
      <c r="C1378" s="12"/>
      <c r="D1378" s="12"/>
      <c r="E1378" s="12"/>
      <c r="F1378" s="12"/>
      <c r="G1378" s="12"/>
      <c r="H1378" s="12"/>
      <c r="I1378" s="12"/>
      <c r="J1378" s="12"/>
      <c r="K1378" s="12"/>
      <c r="L1378" s="12"/>
      <c r="M1378" s="12"/>
      <c r="N1378" s="12"/>
      <c r="O1378" s="12"/>
      <c r="P1378" s="12"/>
      <c r="Q1378" s="12"/>
      <c r="R1378" s="12"/>
      <c r="S1378" s="12"/>
      <c r="T1378" s="12"/>
      <c r="U1378" s="12"/>
      <c r="V1378" s="12"/>
      <c r="W1378" s="12"/>
      <c r="X1378" s="12"/>
      <c r="Y1378" s="12"/>
      <c r="Z1378" s="12"/>
    </row>
    <row r="1379" ht="15.0" customHeight="1">
      <c r="A1379" s="349"/>
      <c r="B1379" s="350"/>
      <c r="C1379" s="12"/>
      <c r="D1379" s="12"/>
      <c r="E1379" s="12"/>
      <c r="F1379" s="12"/>
      <c r="G1379" s="12"/>
      <c r="H1379" s="12"/>
      <c r="I1379" s="12"/>
      <c r="J1379" s="12"/>
      <c r="K1379" s="12"/>
      <c r="L1379" s="12"/>
      <c r="M1379" s="12"/>
      <c r="N1379" s="12"/>
      <c r="O1379" s="12"/>
      <c r="P1379" s="12"/>
      <c r="Q1379" s="12"/>
      <c r="R1379" s="12"/>
      <c r="S1379" s="12"/>
      <c r="T1379" s="12"/>
      <c r="U1379" s="12"/>
      <c r="V1379" s="12"/>
      <c r="W1379" s="12"/>
      <c r="X1379" s="12"/>
      <c r="Y1379" s="12"/>
      <c r="Z1379" s="12"/>
    </row>
    <row r="1380" ht="15.0" customHeight="1">
      <c r="A1380" s="291" t="s">
        <v>1917</v>
      </c>
      <c r="B1380" s="291" t="s">
        <v>1918</v>
      </c>
      <c r="C1380" s="12"/>
      <c r="D1380" s="12"/>
      <c r="E1380" s="12"/>
      <c r="F1380" s="12"/>
      <c r="G1380" s="12"/>
      <c r="H1380" s="12"/>
      <c r="I1380" s="12"/>
      <c r="J1380" s="12"/>
      <c r="K1380" s="12"/>
      <c r="L1380" s="12"/>
      <c r="M1380" s="12"/>
      <c r="N1380" s="12"/>
      <c r="O1380" s="12"/>
      <c r="P1380" s="12"/>
      <c r="Q1380" s="12"/>
      <c r="R1380" s="12"/>
      <c r="S1380" s="12"/>
      <c r="T1380" s="12"/>
      <c r="U1380" s="12"/>
      <c r="V1380" s="12"/>
      <c r="W1380" s="12"/>
      <c r="X1380" s="12"/>
      <c r="Y1380" s="12"/>
      <c r="Z1380" s="12"/>
    </row>
    <row r="1381" ht="15.0" customHeight="1">
      <c r="A1381" s="332">
        <v>1.0</v>
      </c>
      <c r="B1381" s="351">
        <v>0.22</v>
      </c>
      <c r="C1381" s="12"/>
      <c r="D1381" s="12"/>
      <c r="E1381" s="12"/>
      <c r="F1381" s="12"/>
      <c r="G1381" s="12"/>
      <c r="H1381" s="12"/>
      <c r="I1381" s="12"/>
      <c r="J1381" s="12"/>
      <c r="K1381" s="12"/>
      <c r="L1381" s="12"/>
      <c r="M1381" s="12"/>
      <c r="N1381" s="12"/>
      <c r="O1381" s="12"/>
      <c r="P1381" s="12"/>
      <c r="Q1381" s="12"/>
      <c r="R1381" s="12"/>
      <c r="S1381" s="12"/>
      <c r="T1381" s="12"/>
      <c r="U1381" s="12"/>
      <c r="V1381" s="12"/>
      <c r="W1381" s="12"/>
      <c r="X1381" s="12"/>
      <c r="Y1381" s="12"/>
      <c r="Z1381" s="12"/>
    </row>
    <row r="1382" ht="15.0" customHeight="1">
      <c r="A1382" s="332">
        <v>2.0</v>
      </c>
      <c r="B1382" s="351">
        <v>0.04</v>
      </c>
      <c r="C1382" s="12"/>
      <c r="D1382" s="12"/>
      <c r="E1382" s="12"/>
      <c r="F1382" s="12"/>
      <c r="G1382" s="12"/>
      <c r="H1382" s="12"/>
      <c r="I1382" s="12"/>
      <c r="J1382" s="12"/>
      <c r="K1382" s="12"/>
      <c r="L1382" s="12"/>
      <c r="M1382" s="12"/>
      <c r="N1382" s="12"/>
      <c r="O1382" s="12"/>
      <c r="P1382" s="12"/>
      <c r="Q1382" s="12"/>
      <c r="R1382" s="12"/>
      <c r="S1382" s="12"/>
      <c r="T1382" s="12"/>
      <c r="U1382" s="12"/>
      <c r="V1382" s="12"/>
      <c r="W1382" s="12"/>
      <c r="X1382" s="12"/>
      <c r="Y1382" s="12"/>
      <c r="Z1382" s="12"/>
    </row>
    <row r="1383" ht="15.0" customHeight="1">
      <c r="A1383" s="332">
        <v>3.0</v>
      </c>
      <c r="B1383" s="351">
        <v>0.04</v>
      </c>
      <c r="C1383" s="12"/>
      <c r="D1383" s="12"/>
      <c r="E1383" s="12"/>
      <c r="F1383" s="12"/>
      <c r="G1383" s="12"/>
      <c r="H1383" s="12"/>
      <c r="I1383" s="12"/>
      <c r="J1383" s="12"/>
      <c r="K1383" s="12"/>
      <c r="L1383" s="12"/>
      <c r="M1383" s="12"/>
      <c r="N1383" s="12"/>
      <c r="O1383" s="12"/>
      <c r="P1383" s="12"/>
      <c r="Q1383" s="12"/>
      <c r="R1383" s="12"/>
      <c r="S1383" s="12"/>
      <c r="T1383" s="12"/>
      <c r="U1383" s="12"/>
      <c r="V1383" s="12"/>
      <c r="W1383" s="12"/>
      <c r="X1383" s="12"/>
      <c r="Y1383" s="12"/>
      <c r="Z1383" s="12"/>
    </row>
    <row r="1384" ht="15.0" customHeight="1">
      <c r="A1384" s="332">
        <v>4.0</v>
      </c>
      <c r="B1384" s="351">
        <v>0.04</v>
      </c>
      <c r="C1384" s="12"/>
      <c r="D1384" s="12"/>
      <c r="E1384" s="12"/>
      <c r="F1384" s="12"/>
      <c r="G1384" s="12"/>
      <c r="H1384" s="12"/>
      <c r="I1384" s="12"/>
      <c r="J1384" s="12"/>
      <c r="K1384" s="12"/>
      <c r="L1384" s="12"/>
      <c r="M1384" s="12"/>
      <c r="N1384" s="12"/>
      <c r="O1384" s="12"/>
      <c r="P1384" s="12"/>
      <c r="Q1384" s="12"/>
      <c r="R1384" s="12"/>
      <c r="S1384" s="12"/>
      <c r="T1384" s="12"/>
      <c r="U1384" s="12"/>
      <c r="V1384" s="12"/>
      <c r="W1384" s="12"/>
      <c r="X1384" s="12"/>
      <c r="Y1384" s="12"/>
      <c r="Z1384" s="12"/>
    </row>
    <row r="1385" ht="15.0" customHeight="1">
      <c r="A1385" s="332">
        <v>5.0</v>
      </c>
      <c r="B1385" s="351">
        <v>0.04</v>
      </c>
      <c r="C1385" s="12"/>
      <c r="D1385" s="12"/>
      <c r="E1385" s="12"/>
      <c r="F1385" s="12"/>
      <c r="G1385" s="12"/>
      <c r="H1385" s="12"/>
      <c r="I1385" s="12"/>
      <c r="J1385" s="12"/>
      <c r="K1385" s="12"/>
      <c r="L1385" s="12"/>
      <c r="M1385" s="12"/>
      <c r="N1385" s="12"/>
      <c r="O1385" s="12"/>
      <c r="P1385" s="12"/>
      <c r="Q1385" s="12"/>
      <c r="R1385" s="12"/>
      <c r="S1385" s="12"/>
      <c r="T1385" s="12"/>
      <c r="U1385" s="12"/>
      <c r="V1385" s="12"/>
      <c r="W1385" s="12"/>
      <c r="X1385" s="12"/>
      <c r="Y1385" s="12"/>
      <c r="Z1385" s="12"/>
    </row>
    <row r="1386" ht="15.0" customHeight="1">
      <c r="A1386" s="171">
        <v>6.0</v>
      </c>
      <c r="B1386" s="351">
        <v>0.04</v>
      </c>
      <c r="C1386" s="12"/>
      <c r="D1386" s="12"/>
      <c r="E1386" s="12"/>
      <c r="F1386" s="12"/>
      <c r="G1386" s="12"/>
      <c r="H1386" s="12"/>
      <c r="I1386" s="12"/>
      <c r="J1386" s="12"/>
      <c r="K1386" s="12"/>
      <c r="L1386" s="12"/>
      <c r="M1386" s="12"/>
      <c r="N1386" s="12"/>
      <c r="O1386" s="12"/>
      <c r="P1386" s="12"/>
      <c r="Q1386" s="12"/>
      <c r="R1386" s="12"/>
      <c r="S1386" s="12"/>
      <c r="T1386" s="12"/>
      <c r="U1386" s="12"/>
      <c r="V1386" s="12"/>
      <c r="W1386" s="12"/>
      <c r="X1386" s="12"/>
      <c r="Y1386" s="12"/>
      <c r="Z1386" s="12"/>
    </row>
    <row r="1387" ht="15.0" customHeight="1">
      <c r="A1387" s="332">
        <v>7.0</v>
      </c>
      <c r="B1387" s="351">
        <v>0.04</v>
      </c>
      <c r="C1387" s="12"/>
      <c r="D1387" s="12"/>
      <c r="E1387" s="12"/>
      <c r="F1387" s="12"/>
      <c r="G1387" s="12"/>
      <c r="H1387" s="12"/>
      <c r="I1387" s="12"/>
      <c r="J1387" s="12"/>
      <c r="K1387" s="12"/>
      <c r="L1387" s="12"/>
      <c r="M1387" s="12"/>
      <c r="N1387" s="12"/>
      <c r="O1387" s="12"/>
      <c r="P1387" s="12"/>
      <c r="Q1387" s="12"/>
      <c r="R1387" s="12"/>
      <c r="S1387" s="12"/>
      <c r="T1387" s="12"/>
      <c r="U1387" s="12"/>
      <c r="V1387" s="12"/>
      <c r="W1387" s="12"/>
      <c r="X1387" s="12"/>
      <c r="Y1387" s="12"/>
      <c r="Z1387" s="12"/>
    </row>
    <row r="1388" ht="15.0" customHeight="1">
      <c r="A1388" s="171">
        <v>8.0</v>
      </c>
      <c r="B1388" s="351">
        <v>0.04</v>
      </c>
      <c r="C1388" s="12"/>
      <c r="D1388" s="12"/>
      <c r="E1388" s="12"/>
      <c r="F1388" s="12"/>
      <c r="G1388" s="12"/>
      <c r="H1388" s="12"/>
      <c r="I1388" s="12"/>
      <c r="J1388" s="12"/>
      <c r="K1388" s="12"/>
      <c r="L1388" s="12"/>
      <c r="M1388" s="12"/>
      <c r="N1388" s="12"/>
      <c r="O1388" s="12"/>
      <c r="P1388" s="12"/>
      <c r="Q1388" s="12"/>
      <c r="R1388" s="12"/>
      <c r="S1388" s="12"/>
      <c r="T1388" s="12"/>
      <c r="U1388" s="12"/>
      <c r="V1388" s="12"/>
      <c r="W1388" s="12"/>
      <c r="X1388" s="12"/>
      <c r="Y1388" s="12"/>
      <c r="Z1388" s="12"/>
    </row>
    <row r="1389" ht="15.0" customHeight="1">
      <c r="A1389" s="332">
        <v>9.0</v>
      </c>
      <c r="B1389" s="351">
        <v>0.04</v>
      </c>
      <c r="C1389" s="12"/>
      <c r="D1389" s="12"/>
      <c r="E1389" s="12"/>
      <c r="F1389" s="12"/>
      <c r="G1389" s="12"/>
      <c r="H1389" s="12"/>
      <c r="I1389" s="12"/>
      <c r="J1389" s="12"/>
      <c r="K1389" s="12"/>
      <c r="L1389" s="12"/>
      <c r="M1389" s="12"/>
      <c r="N1389" s="12"/>
      <c r="O1389" s="12"/>
      <c r="P1389" s="12"/>
      <c r="Q1389" s="12"/>
      <c r="R1389" s="12"/>
      <c r="S1389" s="12"/>
      <c r="T1389" s="12"/>
      <c r="U1389" s="12"/>
      <c r="V1389" s="12"/>
      <c r="W1389" s="12"/>
      <c r="X1389" s="12"/>
      <c r="Y1389" s="12"/>
      <c r="Z1389" s="12"/>
    </row>
    <row r="1390" ht="15.0" customHeight="1">
      <c r="A1390" s="171">
        <v>10.0</v>
      </c>
      <c r="B1390" s="351">
        <v>0.04</v>
      </c>
      <c r="C1390" s="12"/>
      <c r="D1390" s="12"/>
      <c r="E1390" s="12"/>
      <c r="F1390" s="12"/>
      <c r="G1390" s="12"/>
      <c r="H1390" s="12"/>
      <c r="I1390" s="12"/>
      <c r="J1390" s="12"/>
      <c r="K1390" s="12"/>
      <c r="L1390" s="12"/>
      <c r="M1390" s="12"/>
      <c r="N1390" s="12"/>
      <c r="O1390" s="12"/>
      <c r="P1390" s="12"/>
      <c r="Q1390" s="12"/>
      <c r="R1390" s="12"/>
      <c r="S1390" s="12"/>
      <c r="T1390" s="12"/>
      <c r="U1390" s="12"/>
      <c r="V1390" s="12"/>
      <c r="W1390" s="12"/>
      <c r="X1390" s="12"/>
      <c r="Y1390" s="12"/>
      <c r="Z1390" s="12"/>
    </row>
    <row r="1391" ht="15.0" customHeight="1">
      <c r="A1391" s="332">
        <v>11.0</v>
      </c>
      <c r="B1391" s="342">
        <v>0.0</v>
      </c>
      <c r="C1391" s="12"/>
      <c r="D1391" s="12"/>
      <c r="E1391" s="12"/>
      <c r="F1391" s="12"/>
      <c r="G1391" s="12"/>
      <c r="H1391" s="12"/>
      <c r="I1391" s="12"/>
      <c r="J1391" s="12"/>
      <c r="K1391" s="12"/>
      <c r="L1391" s="12"/>
      <c r="M1391" s="12"/>
      <c r="N1391" s="12"/>
      <c r="O1391" s="12"/>
      <c r="P1391" s="12"/>
      <c r="Q1391" s="12"/>
      <c r="R1391" s="12"/>
      <c r="S1391" s="12"/>
      <c r="T1391" s="12"/>
      <c r="U1391" s="12"/>
      <c r="V1391" s="12"/>
      <c r="W1391" s="12"/>
      <c r="X1391" s="12"/>
      <c r="Y1391" s="12"/>
      <c r="Z1391" s="12"/>
    </row>
    <row r="1392" ht="15.0" customHeight="1">
      <c r="A1392" s="349"/>
      <c r="B1392" s="350"/>
      <c r="C1392" s="12"/>
      <c r="D1392" s="12"/>
      <c r="E1392" s="12"/>
      <c r="F1392" s="12"/>
      <c r="G1392" s="12"/>
      <c r="H1392" s="12"/>
      <c r="I1392" s="12"/>
      <c r="J1392" s="12"/>
      <c r="K1392" s="12"/>
      <c r="L1392" s="12"/>
      <c r="M1392" s="12"/>
      <c r="N1392" s="12"/>
      <c r="O1392" s="12"/>
      <c r="P1392" s="12"/>
      <c r="Q1392" s="12"/>
      <c r="R1392" s="12"/>
      <c r="S1392" s="12"/>
      <c r="T1392" s="12"/>
      <c r="U1392" s="12"/>
      <c r="V1392" s="12"/>
      <c r="W1392" s="12"/>
      <c r="X1392" s="12"/>
      <c r="Y1392" s="12"/>
      <c r="Z1392" s="12"/>
    </row>
    <row r="1393" ht="15.0" customHeight="1">
      <c r="A1393" s="357" t="s">
        <v>1443</v>
      </c>
      <c r="B1393" s="350"/>
      <c r="C1393" s="12"/>
      <c r="D1393" s="12"/>
      <c r="E1393" s="12"/>
      <c r="F1393" s="12"/>
      <c r="G1393" s="12"/>
      <c r="H1393" s="12"/>
      <c r="I1393" s="12"/>
      <c r="J1393" s="12"/>
      <c r="K1393" s="12"/>
      <c r="L1393" s="12"/>
      <c r="M1393" s="12"/>
      <c r="N1393" s="12"/>
      <c r="O1393" s="12"/>
      <c r="P1393" s="12"/>
      <c r="Q1393" s="12"/>
      <c r="R1393" s="12"/>
      <c r="S1393" s="12"/>
      <c r="T1393" s="12"/>
      <c r="U1393" s="12"/>
      <c r="V1393" s="12"/>
      <c r="W1393" s="12"/>
      <c r="X1393" s="12"/>
      <c r="Y1393" s="12"/>
      <c r="Z1393" s="12"/>
    </row>
    <row r="1394" ht="15.0" customHeight="1">
      <c r="A1394" s="349"/>
      <c r="B1394" s="350"/>
      <c r="C1394" s="12"/>
      <c r="D1394" s="12"/>
      <c r="E1394" s="12"/>
      <c r="F1394" s="12"/>
      <c r="G1394" s="12"/>
      <c r="H1394" s="12"/>
      <c r="I1394" s="12"/>
      <c r="J1394" s="12"/>
      <c r="K1394" s="12"/>
      <c r="L1394" s="12"/>
      <c r="M1394" s="12"/>
      <c r="N1394" s="12"/>
      <c r="O1394" s="12"/>
      <c r="P1394" s="12"/>
      <c r="Q1394" s="12"/>
      <c r="R1394" s="12"/>
      <c r="S1394" s="12"/>
      <c r="T1394" s="12"/>
      <c r="U1394" s="12"/>
      <c r="V1394" s="12"/>
      <c r="W1394" s="12"/>
      <c r="X1394" s="12"/>
      <c r="Y1394" s="12"/>
      <c r="Z1394" s="12"/>
    </row>
    <row r="1395" ht="15.0" customHeight="1">
      <c r="A1395" s="291" t="s">
        <v>1917</v>
      </c>
      <c r="B1395" s="291" t="s">
        <v>1918</v>
      </c>
      <c r="C1395" s="12"/>
      <c r="D1395" s="12"/>
      <c r="E1395" s="12"/>
      <c r="F1395" s="12"/>
      <c r="G1395" s="12"/>
      <c r="H1395" s="12"/>
      <c r="I1395" s="12"/>
      <c r="J1395" s="12"/>
      <c r="K1395" s="12"/>
      <c r="L1395" s="12"/>
      <c r="M1395" s="12"/>
      <c r="N1395" s="12"/>
      <c r="O1395" s="12"/>
      <c r="P1395" s="12"/>
      <c r="Q1395" s="12"/>
      <c r="R1395" s="12"/>
      <c r="S1395" s="12"/>
      <c r="T1395" s="12"/>
      <c r="U1395" s="12"/>
      <c r="V1395" s="12"/>
      <c r="W1395" s="12"/>
      <c r="X1395" s="12"/>
      <c r="Y1395" s="12"/>
      <c r="Z1395" s="12"/>
    </row>
    <row r="1396" ht="15.0" customHeight="1">
      <c r="A1396" s="332">
        <v>1.0</v>
      </c>
      <c r="B1396" s="351">
        <v>0.4</v>
      </c>
      <c r="C1396" s="12"/>
      <c r="D1396" s="12"/>
      <c r="E1396" s="12"/>
      <c r="F1396" s="12"/>
      <c r="G1396" s="12"/>
      <c r="H1396" s="12"/>
      <c r="I1396" s="12"/>
      <c r="J1396" s="12"/>
      <c r="K1396" s="12"/>
      <c r="L1396" s="12"/>
      <c r="M1396" s="12"/>
      <c r="N1396" s="12"/>
      <c r="O1396" s="12"/>
      <c r="P1396" s="12"/>
      <c r="Q1396" s="12"/>
      <c r="R1396" s="12"/>
      <c r="S1396" s="12"/>
      <c r="T1396" s="12"/>
      <c r="U1396" s="12"/>
      <c r="V1396" s="12"/>
      <c r="W1396" s="12"/>
      <c r="X1396" s="12"/>
      <c r="Y1396" s="12"/>
      <c r="Z1396" s="12"/>
    </row>
    <row r="1397" ht="15.0" customHeight="1">
      <c r="A1397" s="332">
        <v>2.0</v>
      </c>
      <c r="B1397" s="351">
        <v>0.2</v>
      </c>
      <c r="C1397" s="12"/>
      <c r="D1397" s="12"/>
      <c r="E1397" s="12"/>
      <c r="F1397" s="12"/>
      <c r="G1397" s="12"/>
      <c r="H1397" s="12"/>
      <c r="I1397" s="12"/>
      <c r="J1397" s="12"/>
      <c r="K1397" s="12"/>
      <c r="L1397" s="12"/>
      <c r="M1397" s="12"/>
      <c r="N1397" s="12"/>
      <c r="O1397" s="12"/>
      <c r="P1397" s="12"/>
      <c r="Q1397" s="12"/>
      <c r="R1397" s="12"/>
      <c r="S1397" s="12"/>
      <c r="T1397" s="12"/>
      <c r="U1397" s="12"/>
      <c r="V1397" s="12"/>
      <c r="W1397" s="12"/>
      <c r="X1397" s="12"/>
      <c r="Y1397" s="12"/>
      <c r="Z1397" s="12"/>
    </row>
    <row r="1398" ht="15.0" customHeight="1">
      <c r="A1398" s="332">
        <v>3.0</v>
      </c>
      <c r="B1398" s="351">
        <v>0.03</v>
      </c>
      <c r="C1398" s="12"/>
      <c r="D1398" s="12"/>
      <c r="E1398" s="12"/>
      <c r="F1398" s="12"/>
      <c r="G1398" s="12"/>
      <c r="H1398" s="12"/>
      <c r="I1398" s="12"/>
      <c r="J1398" s="12"/>
      <c r="K1398" s="12"/>
      <c r="L1398" s="12"/>
      <c r="M1398" s="12"/>
      <c r="N1398" s="12"/>
      <c r="O1398" s="12"/>
      <c r="P1398" s="12"/>
      <c r="Q1398" s="12"/>
      <c r="R1398" s="12"/>
      <c r="S1398" s="12"/>
      <c r="T1398" s="12"/>
      <c r="U1398" s="12"/>
      <c r="V1398" s="12"/>
      <c r="W1398" s="12"/>
      <c r="X1398" s="12"/>
      <c r="Y1398" s="12"/>
      <c r="Z1398" s="12"/>
    </row>
    <row r="1399" ht="15.0" customHeight="1">
      <c r="A1399" s="349"/>
      <c r="B1399" s="350"/>
      <c r="C1399" s="12"/>
      <c r="D1399" s="12"/>
      <c r="E1399" s="12"/>
      <c r="F1399" s="12"/>
      <c r="G1399" s="12"/>
      <c r="H1399" s="12"/>
      <c r="I1399" s="12"/>
      <c r="J1399" s="12"/>
      <c r="K1399" s="12"/>
      <c r="L1399" s="12"/>
      <c r="M1399" s="12"/>
      <c r="N1399" s="12"/>
      <c r="O1399" s="12"/>
      <c r="P1399" s="12"/>
      <c r="Q1399" s="12"/>
      <c r="R1399" s="12"/>
      <c r="S1399" s="12"/>
      <c r="T1399" s="12"/>
      <c r="U1399" s="12"/>
      <c r="V1399" s="12"/>
      <c r="W1399" s="12"/>
      <c r="X1399" s="12"/>
      <c r="Y1399" s="12"/>
      <c r="Z1399" s="12"/>
    </row>
    <row r="1400" ht="15.0" customHeight="1">
      <c r="A1400" s="357" t="s">
        <v>1447</v>
      </c>
      <c r="B1400" s="350"/>
      <c r="C1400" s="12"/>
      <c r="D1400" s="12"/>
      <c r="E1400" s="12"/>
      <c r="F1400" s="12"/>
      <c r="G1400" s="12"/>
      <c r="H1400" s="12"/>
      <c r="I1400" s="12"/>
      <c r="J1400" s="12"/>
      <c r="K1400" s="12"/>
      <c r="L1400" s="12"/>
      <c r="M1400" s="12"/>
      <c r="N1400" s="12"/>
      <c r="O1400" s="12"/>
      <c r="P1400" s="12"/>
      <c r="Q1400" s="12"/>
      <c r="R1400" s="12"/>
      <c r="S1400" s="12"/>
      <c r="T1400" s="12"/>
      <c r="U1400" s="12"/>
      <c r="V1400" s="12"/>
      <c r="W1400" s="12"/>
      <c r="X1400" s="12"/>
      <c r="Y1400" s="12"/>
      <c r="Z1400" s="12"/>
    </row>
    <row r="1401" ht="15.0" customHeight="1">
      <c r="A1401" s="349"/>
      <c r="B1401" s="350"/>
      <c r="C1401" s="12"/>
      <c r="D1401" s="12"/>
      <c r="E1401" s="12"/>
      <c r="F1401" s="12"/>
      <c r="G1401" s="12"/>
      <c r="H1401" s="12"/>
      <c r="I1401" s="12"/>
      <c r="J1401" s="12"/>
      <c r="K1401" s="12"/>
      <c r="L1401" s="12"/>
      <c r="M1401" s="12"/>
      <c r="N1401" s="12"/>
      <c r="O1401" s="12"/>
      <c r="P1401" s="12"/>
      <c r="Q1401" s="12"/>
      <c r="R1401" s="12"/>
      <c r="S1401" s="12"/>
      <c r="T1401" s="12"/>
      <c r="U1401" s="12"/>
      <c r="V1401" s="12"/>
      <c r="W1401" s="12"/>
      <c r="X1401" s="12"/>
      <c r="Y1401" s="12"/>
      <c r="Z1401" s="12"/>
    </row>
    <row r="1402" ht="15.0" customHeight="1">
      <c r="A1402" s="171" t="s">
        <v>1916</v>
      </c>
      <c r="B1402" s="171">
        <v>1.0</v>
      </c>
      <c r="C1402" s="112">
        <v>2.0</v>
      </c>
      <c r="D1402" s="171">
        <v>3.0</v>
      </c>
      <c r="E1402" s="171">
        <v>4.0</v>
      </c>
      <c r="F1402" s="171">
        <v>5.0</v>
      </c>
      <c r="G1402" s="171">
        <v>6.0</v>
      </c>
      <c r="H1402" s="12"/>
      <c r="I1402" s="12"/>
      <c r="J1402" s="12"/>
      <c r="K1402" s="12"/>
      <c r="L1402" s="12"/>
      <c r="M1402" s="12"/>
      <c r="N1402" s="12"/>
      <c r="O1402" s="12"/>
      <c r="P1402" s="12"/>
      <c r="Q1402" s="12"/>
      <c r="R1402" s="12"/>
      <c r="S1402" s="12"/>
      <c r="T1402" s="12"/>
      <c r="U1402" s="12"/>
      <c r="V1402" s="12"/>
      <c r="W1402" s="12"/>
      <c r="X1402" s="12"/>
      <c r="Y1402" s="12"/>
      <c r="Z1402" s="12"/>
    </row>
    <row r="1403" ht="15.0" customHeight="1">
      <c r="A1403" s="352">
        <v>15000.0</v>
      </c>
      <c r="B1403" s="113">
        <f>IF(AND(PPT=3,PPT=4),16%,IF(AND(PPT&gt;=5,PPT&lt;=14),17%,19%))</f>
        <v>0.17</v>
      </c>
      <c r="C1403" s="113">
        <f>IF(AND(PPT=3,PPT=4),16%,IF(AND(PPT&gt;=5,PPT&lt;=14),17%,19%))</f>
        <v>0.17</v>
      </c>
      <c r="D1403" s="342">
        <v>0.03</v>
      </c>
      <c r="E1403" s="342">
        <v>0.03</v>
      </c>
      <c r="F1403" s="342">
        <v>0.03</v>
      </c>
      <c r="G1403" s="342">
        <v>0.0</v>
      </c>
      <c r="H1403" s="12"/>
      <c r="I1403" s="12"/>
      <c r="J1403" s="12"/>
      <c r="K1403" s="12"/>
      <c r="L1403" s="12"/>
      <c r="M1403" s="12"/>
      <c r="N1403" s="12"/>
      <c r="O1403" s="12"/>
      <c r="P1403" s="12"/>
      <c r="Q1403" s="12"/>
      <c r="R1403" s="12"/>
      <c r="S1403" s="12"/>
      <c r="T1403" s="12"/>
      <c r="U1403" s="12"/>
      <c r="V1403" s="12"/>
      <c r="W1403" s="12"/>
      <c r="X1403" s="12"/>
      <c r="Y1403" s="12"/>
      <c r="Z1403" s="12"/>
    </row>
    <row r="1404" ht="15.0" customHeight="1">
      <c r="A1404" s="353">
        <v>25000.0</v>
      </c>
      <c r="B1404" s="113">
        <f>IF(AND(PPT=3,PPT=4),15%,IF(AND(PPT&gt;=5,PPT&lt;=14),16%,18%))</f>
        <v>0.16</v>
      </c>
      <c r="C1404" s="113">
        <f>IF(AND(PPT=3,PPT=4),15%,IF(AND(PPT&gt;=5,PPT&lt;=14),16%,18%))</f>
        <v>0.16</v>
      </c>
      <c r="D1404" s="342">
        <v>0.03</v>
      </c>
      <c r="E1404" s="342">
        <v>0.03</v>
      </c>
      <c r="F1404" s="342">
        <v>0.03</v>
      </c>
      <c r="G1404" s="342">
        <v>0.0</v>
      </c>
      <c r="H1404" s="12"/>
      <c r="I1404" s="12"/>
      <c r="J1404" s="12"/>
      <c r="K1404" s="12"/>
      <c r="L1404" s="12"/>
      <c r="M1404" s="12"/>
      <c r="N1404" s="12"/>
      <c r="O1404" s="12"/>
      <c r="P1404" s="12"/>
      <c r="Q1404" s="12"/>
      <c r="R1404" s="12"/>
      <c r="S1404" s="12"/>
      <c r="T1404" s="12"/>
      <c r="U1404" s="12"/>
      <c r="V1404" s="12"/>
      <c r="W1404" s="12"/>
      <c r="X1404" s="12"/>
      <c r="Y1404" s="12"/>
      <c r="Z1404" s="12"/>
    </row>
    <row r="1405" ht="15.0" customHeight="1">
      <c r="A1405" s="352">
        <v>500000.0</v>
      </c>
      <c r="B1405" s="113">
        <f>IF(AND(PPT=3,PPT=4),13%,IF(AND(PPT&gt;=5,PPT&lt;=14),14%,15%))</f>
        <v>0.14</v>
      </c>
      <c r="C1405" s="113">
        <f>IF(AND(PPT=3,PPT=4),13%,IF(AND(PPT&gt;=5,PPT&lt;=14),14%,15%))</f>
        <v>0.14</v>
      </c>
      <c r="D1405" s="342">
        <v>0.03</v>
      </c>
      <c r="E1405" s="342">
        <v>0.03</v>
      </c>
      <c r="F1405" s="342">
        <v>0.03</v>
      </c>
      <c r="G1405" s="342">
        <v>0.0</v>
      </c>
      <c r="H1405" s="12"/>
      <c r="I1405" s="12"/>
      <c r="J1405" s="12"/>
      <c r="K1405" s="12"/>
      <c r="L1405" s="12"/>
      <c r="M1405" s="12"/>
      <c r="N1405" s="12"/>
      <c r="O1405" s="12"/>
      <c r="P1405" s="12"/>
      <c r="Q1405" s="12"/>
      <c r="R1405" s="12"/>
      <c r="S1405" s="12"/>
      <c r="T1405" s="12"/>
      <c r="U1405" s="12"/>
      <c r="V1405" s="12"/>
      <c r="W1405" s="12"/>
      <c r="X1405" s="12"/>
      <c r="Y1405" s="12"/>
      <c r="Z1405" s="12"/>
    </row>
    <row r="1406" ht="15.0" customHeight="1">
      <c r="A1406" s="352">
        <v>1000000.0</v>
      </c>
      <c r="B1406" s="113">
        <v>0.09</v>
      </c>
      <c r="C1406" s="113">
        <v>0.09</v>
      </c>
      <c r="D1406" s="342">
        <v>0.03</v>
      </c>
      <c r="E1406" s="342">
        <v>0.03</v>
      </c>
      <c r="F1406" s="342">
        <v>0.03</v>
      </c>
      <c r="G1406" s="342">
        <v>0.0</v>
      </c>
      <c r="H1406" s="12"/>
      <c r="I1406" s="12"/>
      <c r="J1406" s="12"/>
      <c r="K1406" s="12"/>
      <c r="L1406" s="12"/>
      <c r="M1406" s="12"/>
      <c r="N1406" s="12"/>
      <c r="O1406" s="12"/>
      <c r="P1406" s="12"/>
      <c r="Q1406" s="12"/>
      <c r="R1406" s="12"/>
      <c r="S1406" s="12"/>
      <c r="T1406" s="12"/>
      <c r="U1406" s="12"/>
      <c r="V1406" s="12"/>
      <c r="W1406" s="12"/>
      <c r="X1406" s="12"/>
      <c r="Y1406" s="12"/>
      <c r="Z1406" s="12"/>
    </row>
    <row r="1407" ht="15.0" customHeight="1">
      <c r="A1407" s="353">
        <v>2000000.0</v>
      </c>
      <c r="B1407" s="113">
        <v>0.09</v>
      </c>
      <c r="C1407" s="113">
        <v>0.09</v>
      </c>
      <c r="D1407" s="355">
        <v>0.015</v>
      </c>
      <c r="E1407" s="355">
        <v>0.015</v>
      </c>
      <c r="F1407" s="355">
        <v>0.015</v>
      </c>
      <c r="G1407" s="342">
        <v>0.0</v>
      </c>
      <c r="H1407" s="12"/>
      <c r="I1407" s="12"/>
      <c r="J1407" s="12"/>
      <c r="K1407" s="12"/>
      <c r="L1407" s="12"/>
      <c r="M1407" s="12"/>
      <c r="N1407" s="12"/>
      <c r="O1407" s="12"/>
      <c r="P1407" s="12"/>
      <c r="Q1407" s="12"/>
      <c r="R1407" s="12"/>
      <c r="S1407" s="12"/>
      <c r="T1407" s="12"/>
      <c r="U1407" s="12"/>
      <c r="V1407" s="12"/>
      <c r="W1407" s="12"/>
      <c r="X1407" s="12"/>
      <c r="Y1407" s="12"/>
      <c r="Z1407" s="12"/>
    </row>
    <row r="1408" ht="15.0" customHeight="1">
      <c r="A1408" s="352">
        <v>1.0E7</v>
      </c>
      <c r="B1408" s="113">
        <v>0.015</v>
      </c>
      <c r="C1408" s="113">
        <v>0.015</v>
      </c>
      <c r="D1408" s="355">
        <v>0.015</v>
      </c>
      <c r="E1408" s="355">
        <v>0.015</v>
      </c>
      <c r="F1408" s="355">
        <v>0.015</v>
      </c>
      <c r="G1408" s="342">
        <v>0.0</v>
      </c>
      <c r="H1408" s="12"/>
      <c r="I1408" s="12"/>
      <c r="J1408" s="12"/>
      <c r="K1408" s="12"/>
      <c r="L1408" s="12"/>
      <c r="M1408" s="12"/>
      <c r="N1408" s="12"/>
      <c r="O1408" s="12"/>
      <c r="P1408" s="12"/>
      <c r="Q1408" s="12"/>
      <c r="R1408" s="12"/>
      <c r="S1408" s="12"/>
      <c r="T1408" s="12"/>
      <c r="U1408" s="12"/>
      <c r="V1408" s="12"/>
      <c r="W1408" s="12"/>
      <c r="X1408" s="12"/>
      <c r="Y1408" s="12"/>
      <c r="Z1408" s="12"/>
    </row>
    <row r="1409" ht="15.0" customHeight="1">
      <c r="A1409" s="349"/>
      <c r="B1409" s="350"/>
      <c r="C1409" s="12"/>
      <c r="D1409" s="12"/>
      <c r="E1409" s="12"/>
      <c r="F1409" s="12"/>
      <c r="G1409" s="12"/>
      <c r="H1409" s="12"/>
      <c r="I1409" s="12"/>
      <c r="J1409" s="12"/>
      <c r="K1409" s="12"/>
      <c r="L1409" s="12"/>
      <c r="M1409" s="12"/>
      <c r="N1409" s="12"/>
      <c r="O1409" s="12"/>
      <c r="P1409" s="12"/>
      <c r="Q1409" s="12"/>
      <c r="R1409" s="12"/>
      <c r="S1409" s="12"/>
      <c r="T1409" s="12"/>
      <c r="U1409" s="12"/>
      <c r="V1409" s="12"/>
      <c r="W1409" s="12"/>
      <c r="X1409" s="12"/>
      <c r="Y1409" s="12"/>
      <c r="Z1409" s="12"/>
    </row>
    <row r="1410" ht="15.0" customHeight="1">
      <c r="A1410" s="357" t="s">
        <v>1451</v>
      </c>
      <c r="B1410" s="350"/>
      <c r="C1410" s="12"/>
      <c r="D1410" s="12"/>
      <c r="E1410" s="12"/>
      <c r="F1410" s="12"/>
      <c r="G1410" s="12"/>
      <c r="H1410" s="12"/>
      <c r="I1410" s="12"/>
      <c r="J1410" s="12"/>
      <c r="K1410" s="12"/>
      <c r="L1410" s="12"/>
      <c r="M1410" s="12"/>
      <c r="N1410" s="12"/>
      <c r="O1410" s="12"/>
      <c r="P1410" s="12"/>
      <c r="Q1410" s="12"/>
      <c r="R1410" s="12"/>
      <c r="S1410" s="12"/>
      <c r="T1410" s="12"/>
      <c r="U1410" s="12"/>
      <c r="V1410" s="12"/>
      <c r="W1410" s="12"/>
      <c r="X1410" s="12"/>
      <c r="Y1410" s="12"/>
      <c r="Z1410" s="12"/>
    </row>
    <row r="1411" ht="15.0" customHeight="1">
      <c r="A1411" s="349"/>
      <c r="B1411" s="350"/>
      <c r="C1411" s="12"/>
      <c r="D1411" s="12"/>
      <c r="E1411" s="12"/>
      <c r="F1411" s="12"/>
      <c r="G1411" s="12"/>
      <c r="H1411" s="12"/>
      <c r="I1411" s="12"/>
      <c r="J1411" s="12"/>
      <c r="K1411" s="12"/>
      <c r="L1411" s="12"/>
      <c r="M1411" s="12"/>
      <c r="N1411" s="12"/>
      <c r="O1411" s="12"/>
      <c r="P1411" s="12"/>
      <c r="Q1411" s="12"/>
      <c r="R1411" s="12"/>
      <c r="S1411" s="12"/>
      <c r="T1411" s="12"/>
      <c r="U1411" s="12"/>
      <c r="V1411" s="12"/>
      <c r="W1411" s="12"/>
      <c r="X1411" s="12"/>
      <c r="Y1411" s="12"/>
      <c r="Z1411" s="12"/>
    </row>
    <row r="1412" ht="15.0" customHeight="1">
      <c r="A1412" s="171" t="s">
        <v>1916</v>
      </c>
      <c r="B1412" s="171">
        <v>1.0</v>
      </c>
      <c r="C1412" s="12"/>
      <c r="D1412" s="12"/>
      <c r="E1412" s="12"/>
      <c r="F1412" s="12"/>
      <c r="G1412" s="12"/>
      <c r="H1412" s="12"/>
      <c r="I1412" s="12"/>
      <c r="J1412" s="12"/>
      <c r="K1412" s="12"/>
      <c r="L1412" s="12"/>
      <c r="M1412" s="12"/>
      <c r="N1412" s="12"/>
      <c r="O1412" s="12"/>
      <c r="P1412" s="12"/>
      <c r="Q1412" s="12"/>
      <c r="R1412" s="12"/>
      <c r="S1412" s="12"/>
      <c r="T1412" s="12"/>
      <c r="U1412" s="12"/>
      <c r="V1412" s="12"/>
      <c r="W1412" s="12"/>
      <c r="X1412" s="12"/>
      <c r="Y1412" s="12"/>
      <c r="Z1412" s="12"/>
    </row>
    <row r="1413" ht="15.0" customHeight="1">
      <c r="A1413" s="352">
        <v>25000.0</v>
      </c>
      <c r="B1413" s="113">
        <v>0.06</v>
      </c>
      <c r="C1413" s="12"/>
      <c r="D1413" s="12"/>
      <c r="E1413" s="12"/>
      <c r="F1413" s="12"/>
      <c r="G1413" s="12"/>
      <c r="H1413" s="12"/>
      <c r="I1413" s="12"/>
      <c r="J1413" s="12"/>
      <c r="K1413" s="12"/>
      <c r="L1413" s="12"/>
      <c r="M1413" s="12"/>
      <c r="N1413" s="12"/>
      <c r="O1413" s="12"/>
      <c r="P1413" s="12"/>
      <c r="Q1413" s="12"/>
      <c r="R1413" s="12"/>
      <c r="S1413" s="12"/>
      <c r="T1413" s="12"/>
      <c r="U1413" s="12"/>
      <c r="V1413" s="12"/>
      <c r="W1413" s="12"/>
      <c r="X1413" s="12"/>
      <c r="Y1413" s="12"/>
      <c r="Z1413" s="12"/>
    </row>
    <row r="1414" ht="15.0" customHeight="1">
      <c r="A1414" s="352">
        <v>100000.0</v>
      </c>
      <c r="B1414" s="113">
        <v>0.04</v>
      </c>
      <c r="C1414" s="12"/>
      <c r="D1414" s="12"/>
      <c r="E1414" s="12"/>
      <c r="F1414" s="12"/>
      <c r="G1414" s="12"/>
      <c r="H1414" s="12"/>
      <c r="I1414" s="12"/>
      <c r="J1414" s="12"/>
      <c r="K1414" s="12"/>
      <c r="L1414" s="12"/>
      <c r="M1414" s="12"/>
      <c r="N1414" s="12"/>
      <c r="O1414" s="12"/>
      <c r="P1414" s="12"/>
      <c r="Q1414" s="12"/>
      <c r="R1414" s="12"/>
      <c r="S1414" s="12"/>
      <c r="T1414" s="12"/>
      <c r="U1414" s="12"/>
      <c r="V1414" s="12"/>
      <c r="W1414" s="12"/>
      <c r="X1414" s="12"/>
      <c r="Y1414" s="12"/>
      <c r="Z1414" s="12"/>
    </row>
    <row r="1415" ht="15.0" customHeight="1">
      <c r="A1415" s="352">
        <v>500000.0</v>
      </c>
      <c r="B1415" s="113">
        <v>0.03</v>
      </c>
      <c r="C1415" s="12"/>
      <c r="D1415" s="12"/>
      <c r="E1415" s="12"/>
      <c r="F1415" s="12"/>
      <c r="G1415" s="12"/>
      <c r="H1415" s="12"/>
      <c r="I1415" s="12"/>
      <c r="J1415" s="12"/>
      <c r="K1415" s="12"/>
      <c r="L1415" s="12"/>
      <c r="M1415" s="12"/>
      <c r="N1415" s="12"/>
      <c r="O1415" s="12"/>
      <c r="P1415" s="12"/>
      <c r="Q1415" s="12"/>
      <c r="R1415" s="12"/>
      <c r="S1415" s="12"/>
      <c r="T1415" s="12"/>
      <c r="U1415" s="12"/>
      <c r="V1415" s="12"/>
      <c r="W1415" s="12"/>
      <c r="X1415" s="12"/>
      <c r="Y1415" s="12"/>
      <c r="Z1415" s="12"/>
    </row>
    <row r="1416" ht="15.0" customHeight="1">
      <c r="A1416" s="352">
        <v>1.0E7</v>
      </c>
      <c r="B1416" s="113">
        <v>0.02</v>
      </c>
      <c r="C1416" s="12"/>
      <c r="D1416" s="12"/>
      <c r="E1416" s="12"/>
      <c r="F1416" s="12"/>
      <c r="G1416" s="12"/>
      <c r="H1416" s="12"/>
      <c r="I1416" s="12"/>
      <c r="J1416" s="12"/>
      <c r="K1416" s="12"/>
      <c r="L1416" s="12"/>
      <c r="M1416" s="12"/>
      <c r="N1416" s="12"/>
      <c r="O1416" s="12"/>
      <c r="P1416" s="12"/>
      <c r="Q1416" s="12"/>
      <c r="R1416" s="12"/>
      <c r="S1416" s="12"/>
      <c r="T1416" s="12"/>
      <c r="U1416" s="12"/>
      <c r="V1416" s="12"/>
      <c r="W1416" s="12"/>
      <c r="X1416" s="12"/>
      <c r="Y1416" s="12"/>
      <c r="Z1416" s="12"/>
    </row>
    <row r="1417" ht="15.0" customHeight="1">
      <c r="A1417" s="349"/>
      <c r="B1417" s="350"/>
      <c r="C1417" s="12"/>
      <c r="D1417" s="12"/>
      <c r="E1417" s="12"/>
      <c r="F1417" s="12"/>
      <c r="G1417" s="12"/>
      <c r="H1417" s="12"/>
      <c r="I1417" s="12"/>
      <c r="J1417" s="12"/>
      <c r="K1417" s="12"/>
      <c r="L1417" s="12"/>
      <c r="M1417" s="12"/>
      <c r="N1417" s="12"/>
      <c r="O1417" s="12"/>
      <c r="P1417" s="12"/>
      <c r="Q1417" s="12"/>
      <c r="R1417" s="12"/>
      <c r="S1417" s="12"/>
      <c r="T1417" s="12"/>
      <c r="U1417" s="12"/>
      <c r="V1417" s="12"/>
      <c r="W1417" s="12"/>
      <c r="X1417" s="12"/>
      <c r="Y1417" s="12"/>
      <c r="Z1417" s="12"/>
    </row>
    <row r="1418" ht="15.0" customHeight="1">
      <c r="A1418" s="357" t="s">
        <v>1455</v>
      </c>
      <c r="B1418" s="350"/>
      <c r="C1418" s="12"/>
      <c r="D1418" s="12"/>
      <c r="E1418" s="12"/>
      <c r="F1418" s="12"/>
      <c r="G1418" s="12"/>
      <c r="H1418" s="12"/>
      <c r="I1418" s="12"/>
      <c r="J1418" s="12"/>
      <c r="K1418" s="12"/>
      <c r="L1418" s="12"/>
      <c r="M1418" s="12"/>
      <c r="N1418" s="12"/>
      <c r="O1418" s="12"/>
      <c r="P1418" s="12"/>
      <c r="Q1418" s="12"/>
      <c r="R1418" s="12"/>
      <c r="S1418" s="12"/>
      <c r="T1418" s="12"/>
      <c r="U1418" s="12"/>
      <c r="V1418" s="12"/>
      <c r="W1418" s="12"/>
      <c r="X1418" s="12"/>
      <c r="Y1418" s="12"/>
      <c r="Z1418" s="12"/>
    </row>
    <row r="1419" ht="15.0" customHeight="1">
      <c r="A1419" s="349"/>
      <c r="B1419" s="350"/>
      <c r="C1419" s="12"/>
      <c r="D1419" s="12"/>
      <c r="E1419" s="12"/>
      <c r="F1419" s="12"/>
      <c r="G1419" s="12"/>
      <c r="H1419" s="12"/>
      <c r="I1419" s="12"/>
      <c r="J1419" s="12"/>
      <c r="K1419" s="12"/>
      <c r="L1419" s="12"/>
      <c r="M1419" s="12"/>
      <c r="N1419" s="12"/>
      <c r="O1419" s="12"/>
      <c r="P1419" s="12"/>
      <c r="Q1419" s="12"/>
      <c r="R1419" s="12"/>
      <c r="S1419" s="12"/>
      <c r="T1419" s="12"/>
      <c r="U1419" s="12"/>
      <c r="V1419" s="12"/>
      <c r="W1419" s="12"/>
      <c r="X1419" s="12"/>
      <c r="Y1419" s="12"/>
      <c r="Z1419" s="12"/>
    </row>
    <row r="1420" ht="15.0" customHeight="1">
      <c r="A1420" s="291" t="s">
        <v>1917</v>
      </c>
      <c r="B1420" s="291" t="s">
        <v>1918</v>
      </c>
      <c r="C1420" s="12"/>
      <c r="D1420" s="12"/>
      <c r="E1420" s="12"/>
      <c r="F1420" s="12"/>
      <c r="G1420" s="12"/>
      <c r="H1420" s="12"/>
      <c r="I1420" s="12"/>
      <c r="J1420" s="12"/>
      <c r="K1420" s="12"/>
      <c r="L1420" s="12"/>
      <c r="M1420" s="12"/>
      <c r="N1420" s="12"/>
      <c r="O1420" s="12"/>
      <c r="P1420" s="12"/>
      <c r="Q1420" s="12"/>
      <c r="R1420" s="12"/>
      <c r="S1420" s="12"/>
      <c r="T1420" s="12"/>
      <c r="U1420" s="12"/>
      <c r="V1420" s="12"/>
      <c r="W1420" s="12"/>
      <c r="X1420" s="12"/>
      <c r="Y1420" s="12"/>
      <c r="Z1420" s="12"/>
    </row>
    <row r="1421" ht="15.0" customHeight="1">
      <c r="A1421" s="332">
        <v>1.0</v>
      </c>
      <c r="B1421" s="351">
        <v>0.4</v>
      </c>
      <c r="C1421" s="12"/>
      <c r="D1421" s="12"/>
      <c r="E1421" s="12"/>
      <c r="F1421" s="12"/>
      <c r="G1421" s="12"/>
      <c r="H1421" s="12"/>
      <c r="I1421" s="12"/>
      <c r="J1421" s="12"/>
      <c r="K1421" s="12"/>
      <c r="L1421" s="12"/>
      <c r="M1421" s="12"/>
      <c r="N1421" s="12"/>
      <c r="O1421" s="12"/>
      <c r="P1421" s="12"/>
      <c r="Q1421" s="12"/>
      <c r="R1421" s="12"/>
      <c r="S1421" s="12"/>
      <c r="T1421" s="12"/>
      <c r="U1421" s="12"/>
      <c r="V1421" s="12"/>
      <c r="W1421" s="12"/>
      <c r="X1421" s="12"/>
      <c r="Y1421" s="12"/>
      <c r="Z1421" s="12"/>
    </row>
    <row r="1422" ht="15.0" customHeight="1">
      <c r="A1422" s="332">
        <v>2.0</v>
      </c>
      <c r="B1422" s="351">
        <v>0.2</v>
      </c>
      <c r="C1422" s="12"/>
      <c r="D1422" s="12"/>
      <c r="E1422" s="12"/>
      <c r="F1422" s="12"/>
      <c r="G1422" s="12"/>
      <c r="H1422" s="12"/>
      <c r="I1422" s="12"/>
      <c r="J1422" s="12"/>
      <c r="K1422" s="12"/>
      <c r="L1422" s="12"/>
      <c r="M1422" s="12"/>
      <c r="N1422" s="12"/>
      <c r="O1422" s="12"/>
      <c r="P1422" s="12"/>
      <c r="Q1422" s="12"/>
      <c r="R1422" s="12"/>
      <c r="S1422" s="12"/>
      <c r="T1422" s="12"/>
      <c r="U1422" s="12"/>
      <c r="V1422" s="12"/>
      <c r="W1422" s="12"/>
      <c r="X1422" s="12"/>
      <c r="Y1422" s="12"/>
      <c r="Z1422" s="12"/>
    </row>
    <row r="1423" ht="15.0" customHeight="1">
      <c r="A1423" s="332">
        <v>3.0</v>
      </c>
      <c r="B1423" s="351">
        <v>0.03</v>
      </c>
      <c r="C1423" s="12"/>
      <c r="D1423" s="12"/>
      <c r="E1423" s="12"/>
      <c r="F1423" s="12"/>
      <c r="G1423" s="12"/>
      <c r="H1423" s="12"/>
      <c r="I1423" s="12"/>
      <c r="J1423" s="12"/>
      <c r="K1423" s="12"/>
      <c r="L1423" s="12"/>
      <c r="M1423" s="12"/>
      <c r="N1423" s="12"/>
      <c r="O1423" s="12"/>
      <c r="P1423" s="12"/>
      <c r="Q1423" s="12"/>
      <c r="R1423" s="12"/>
      <c r="S1423" s="12"/>
      <c r="T1423" s="12"/>
      <c r="U1423" s="12"/>
      <c r="V1423" s="12"/>
      <c r="W1423" s="12"/>
      <c r="X1423" s="12"/>
      <c r="Y1423" s="12"/>
      <c r="Z1423" s="12"/>
    </row>
    <row r="1424" ht="15.0" customHeight="1">
      <c r="A1424" s="349"/>
      <c r="B1424" s="350"/>
      <c r="C1424" s="12"/>
      <c r="D1424" s="12"/>
      <c r="E1424" s="12"/>
      <c r="F1424" s="12"/>
      <c r="G1424" s="12"/>
      <c r="H1424" s="12"/>
      <c r="I1424" s="12"/>
      <c r="J1424" s="12"/>
      <c r="K1424" s="12"/>
      <c r="L1424" s="12"/>
      <c r="M1424" s="12"/>
      <c r="N1424" s="12"/>
      <c r="O1424" s="12"/>
      <c r="P1424" s="12"/>
      <c r="Q1424" s="12"/>
      <c r="R1424" s="12"/>
      <c r="S1424" s="12"/>
      <c r="T1424" s="12"/>
      <c r="U1424" s="12"/>
      <c r="V1424" s="12"/>
      <c r="W1424" s="12"/>
      <c r="X1424" s="12"/>
      <c r="Y1424" s="12"/>
      <c r="Z1424" s="12"/>
    </row>
    <row r="1425" ht="15.0" customHeight="1">
      <c r="A1425" s="357" t="s">
        <v>1459</v>
      </c>
      <c r="B1425" s="350"/>
      <c r="C1425" s="12"/>
      <c r="D1425" s="12"/>
      <c r="E1425" s="12"/>
      <c r="F1425" s="12"/>
      <c r="G1425" s="12"/>
      <c r="H1425" s="12"/>
      <c r="I1425" s="12"/>
      <c r="J1425" s="12"/>
      <c r="K1425" s="12"/>
      <c r="L1425" s="12"/>
      <c r="M1425" s="12"/>
      <c r="N1425" s="12"/>
      <c r="O1425" s="12"/>
      <c r="P1425" s="12"/>
      <c r="Q1425" s="12"/>
      <c r="R1425" s="12"/>
      <c r="S1425" s="12"/>
      <c r="T1425" s="12"/>
      <c r="U1425" s="12"/>
      <c r="V1425" s="12"/>
      <c r="W1425" s="12"/>
      <c r="X1425" s="12"/>
      <c r="Y1425" s="12"/>
      <c r="Z1425" s="12"/>
    </row>
    <row r="1426" ht="15.0" customHeight="1">
      <c r="A1426" s="349"/>
      <c r="B1426" s="350"/>
      <c r="C1426" s="12"/>
      <c r="D1426" s="12"/>
      <c r="E1426" s="12"/>
      <c r="F1426" s="12"/>
      <c r="G1426" s="12"/>
      <c r="H1426" s="12"/>
      <c r="I1426" s="12"/>
      <c r="J1426" s="12"/>
      <c r="K1426" s="12"/>
      <c r="L1426" s="12"/>
      <c r="M1426" s="12"/>
      <c r="N1426" s="12"/>
      <c r="O1426" s="12"/>
      <c r="P1426" s="12"/>
      <c r="Q1426" s="12"/>
      <c r="R1426" s="12"/>
      <c r="S1426" s="12"/>
      <c r="T1426" s="12"/>
      <c r="U1426" s="12"/>
      <c r="V1426" s="12"/>
      <c r="W1426" s="12"/>
      <c r="X1426" s="12"/>
      <c r="Y1426" s="12"/>
      <c r="Z1426" s="12"/>
    </row>
    <row r="1427" ht="15.0" customHeight="1">
      <c r="A1427" s="171" t="s">
        <v>1916</v>
      </c>
      <c r="B1427" s="171">
        <v>1.0</v>
      </c>
      <c r="C1427" s="112">
        <v>2.0</v>
      </c>
      <c r="D1427" s="171">
        <v>3.0</v>
      </c>
      <c r="E1427" s="171">
        <v>4.0</v>
      </c>
      <c r="F1427" s="171">
        <v>5.0</v>
      </c>
      <c r="G1427" s="171">
        <v>6.0</v>
      </c>
      <c r="H1427" s="12"/>
      <c r="I1427" s="12"/>
      <c r="J1427" s="12"/>
      <c r="K1427" s="12"/>
      <c r="L1427" s="12"/>
      <c r="M1427" s="12"/>
      <c r="N1427" s="12"/>
      <c r="O1427" s="12"/>
      <c r="P1427" s="12"/>
      <c r="Q1427" s="12"/>
      <c r="R1427" s="12"/>
      <c r="S1427" s="12"/>
      <c r="T1427" s="12"/>
      <c r="U1427" s="12"/>
      <c r="V1427" s="12"/>
      <c r="W1427" s="12"/>
      <c r="X1427" s="12"/>
      <c r="Y1427" s="12"/>
      <c r="Z1427" s="12"/>
    </row>
    <row r="1428" ht="15.0" customHeight="1">
      <c r="A1428" s="352">
        <v>15000.0</v>
      </c>
      <c r="B1428" s="113">
        <f>IF(AND(PPT&gt;=10,PPT&lt;=14),17%,19%)</f>
        <v>0.17</v>
      </c>
      <c r="C1428" s="113">
        <f>IF(AND(PPT&gt;=10,PPT&lt;=14),17%,19%)</f>
        <v>0.17</v>
      </c>
      <c r="D1428" s="342">
        <v>0.03</v>
      </c>
      <c r="E1428" s="342">
        <v>0.03</v>
      </c>
      <c r="F1428" s="342">
        <v>0.03</v>
      </c>
      <c r="G1428" s="342">
        <v>0.0</v>
      </c>
      <c r="H1428" s="12"/>
      <c r="I1428" s="12"/>
      <c r="J1428" s="12"/>
      <c r="K1428" s="12"/>
      <c r="L1428" s="12"/>
      <c r="M1428" s="12"/>
      <c r="N1428" s="12"/>
      <c r="O1428" s="12"/>
      <c r="P1428" s="12"/>
      <c r="Q1428" s="12"/>
      <c r="R1428" s="12"/>
      <c r="S1428" s="12"/>
      <c r="T1428" s="12"/>
      <c r="U1428" s="12"/>
      <c r="V1428" s="12"/>
      <c r="W1428" s="12"/>
      <c r="X1428" s="12"/>
      <c r="Y1428" s="12"/>
      <c r="Z1428" s="12"/>
    </row>
    <row r="1429" ht="15.0" customHeight="1">
      <c r="A1429" s="353">
        <v>25000.0</v>
      </c>
      <c r="B1429" s="113">
        <f>IF(AND(PPT&gt;=10,PPT&lt;=14),16%,18%)</f>
        <v>0.16</v>
      </c>
      <c r="C1429" s="113">
        <f>IF(AND(PPT&gt;=10,PPT&lt;=14),16%,18%)</f>
        <v>0.16</v>
      </c>
      <c r="D1429" s="342">
        <v>0.03</v>
      </c>
      <c r="E1429" s="342">
        <v>0.03</v>
      </c>
      <c r="F1429" s="342">
        <v>0.03</v>
      </c>
      <c r="G1429" s="342">
        <v>0.0</v>
      </c>
      <c r="H1429" s="12"/>
      <c r="I1429" s="12"/>
      <c r="J1429" s="12"/>
      <c r="K1429" s="12"/>
      <c r="L1429" s="12"/>
      <c r="M1429" s="12"/>
      <c r="N1429" s="12"/>
      <c r="O1429" s="12"/>
      <c r="P1429" s="12"/>
      <c r="Q1429" s="12"/>
      <c r="R1429" s="12"/>
      <c r="S1429" s="12"/>
      <c r="T1429" s="12"/>
      <c r="U1429" s="12"/>
      <c r="V1429" s="12"/>
      <c r="W1429" s="12"/>
      <c r="X1429" s="12"/>
      <c r="Y1429" s="12"/>
      <c r="Z1429" s="12"/>
    </row>
    <row r="1430" ht="15.0" customHeight="1">
      <c r="A1430" s="352">
        <v>500000.0</v>
      </c>
      <c r="B1430" s="113">
        <f>IF(AND(PPT&gt;=10,PPT&lt;=14),14%,15%)</f>
        <v>0.14</v>
      </c>
      <c r="C1430" s="113">
        <f>IF(AND(PPT&gt;=10,PPT&lt;=14),14%,15%)</f>
        <v>0.14</v>
      </c>
      <c r="D1430" s="342">
        <v>0.03</v>
      </c>
      <c r="E1430" s="342">
        <v>0.03</v>
      </c>
      <c r="F1430" s="342">
        <v>0.03</v>
      </c>
      <c r="G1430" s="342">
        <v>0.0</v>
      </c>
      <c r="H1430" s="12"/>
      <c r="I1430" s="12"/>
      <c r="J1430" s="12"/>
      <c r="K1430" s="12"/>
      <c r="L1430" s="12"/>
      <c r="M1430" s="12"/>
      <c r="N1430" s="12"/>
      <c r="O1430" s="12"/>
      <c r="P1430" s="12"/>
      <c r="Q1430" s="12"/>
      <c r="R1430" s="12"/>
      <c r="S1430" s="12"/>
      <c r="T1430" s="12"/>
      <c r="U1430" s="12"/>
      <c r="V1430" s="12"/>
      <c r="W1430" s="12"/>
      <c r="X1430" s="12"/>
      <c r="Y1430" s="12"/>
      <c r="Z1430" s="12"/>
    </row>
    <row r="1431" ht="15.0" customHeight="1">
      <c r="A1431" s="352">
        <v>1000000.0</v>
      </c>
      <c r="B1431" s="113">
        <v>0.09</v>
      </c>
      <c r="C1431" s="113">
        <v>0.09</v>
      </c>
      <c r="D1431" s="342">
        <v>0.03</v>
      </c>
      <c r="E1431" s="342">
        <v>0.03</v>
      </c>
      <c r="F1431" s="342">
        <v>0.03</v>
      </c>
      <c r="G1431" s="342">
        <v>0.0</v>
      </c>
      <c r="H1431" s="12"/>
      <c r="I1431" s="12"/>
      <c r="J1431" s="12"/>
      <c r="K1431" s="12"/>
      <c r="L1431" s="12"/>
      <c r="M1431" s="12"/>
      <c r="N1431" s="12"/>
      <c r="O1431" s="12"/>
      <c r="P1431" s="12"/>
      <c r="Q1431" s="12"/>
      <c r="R1431" s="12"/>
      <c r="S1431" s="12"/>
      <c r="T1431" s="12"/>
      <c r="U1431" s="12"/>
      <c r="V1431" s="12"/>
      <c r="W1431" s="12"/>
      <c r="X1431" s="12"/>
      <c r="Y1431" s="12"/>
      <c r="Z1431" s="12"/>
    </row>
    <row r="1432" ht="15.0" customHeight="1">
      <c r="A1432" s="353">
        <v>2000000.0</v>
      </c>
      <c r="B1432" s="113">
        <v>0.09</v>
      </c>
      <c r="C1432" s="113">
        <v>0.09</v>
      </c>
      <c r="D1432" s="355">
        <v>0.015</v>
      </c>
      <c r="E1432" s="355">
        <v>0.015</v>
      </c>
      <c r="F1432" s="355">
        <v>0.015</v>
      </c>
      <c r="G1432" s="342">
        <v>0.0</v>
      </c>
      <c r="H1432" s="12"/>
      <c r="I1432" s="12"/>
      <c r="J1432" s="12"/>
      <c r="K1432" s="12"/>
      <c r="L1432" s="12"/>
      <c r="M1432" s="12"/>
      <c r="N1432" s="12"/>
      <c r="O1432" s="12"/>
      <c r="P1432" s="12"/>
      <c r="Q1432" s="12"/>
      <c r="R1432" s="12"/>
      <c r="S1432" s="12"/>
      <c r="T1432" s="12"/>
      <c r="U1432" s="12"/>
      <c r="V1432" s="12"/>
      <c r="W1432" s="12"/>
      <c r="X1432" s="12"/>
      <c r="Y1432" s="12"/>
      <c r="Z1432" s="12"/>
    </row>
    <row r="1433" ht="15.0" customHeight="1">
      <c r="A1433" s="352">
        <v>1.0E7</v>
      </c>
      <c r="B1433" s="113">
        <v>0.015</v>
      </c>
      <c r="C1433" s="113">
        <v>0.015</v>
      </c>
      <c r="D1433" s="355">
        <v>0.015</v>
      </c>
      <c r="E1433" s="355">
        <v>0.015</v>
      </c>
      <c r="F1433" s="355">
        <v>0.015</v>
      </c>
      <c r="G1433" s="342">
        <v>0.0</v>
      </c>
      <c r="H1433" s="12"/>
      <c r="I1433" s="12"/>
      <c r="J1433" s="12"/>
      <c r="K1433" s="12"/>
      <c r="L1433" s="12"/>
      <c r="M1433" s="12"/>
      <c r="N1433" s="12"/>
      <c r="O1433" s="12"/>
      <c r="P1433" s="12"/>
      <c r="Q1433" s="12"/>
      <c r="R1433" s="12"/>
      <c r="S1433" s="12"/>
      <c r="T1433" s="12"/>
      <c r="U1433" s="12"/>
      <c r="V1433" s="12"/>
      <c r="W1433" s="12"/>
      <c r="X1433" s="12"/>
      <c r="Y1433" s="12"/>
      <c r="Z1433" s="12"/>
    </row>
    <row r="1434" ht="15.0" customHeight="1">
      <c r="A1434" s="349"/>
      <c r="B1434" s="350"/>
      <c r="C1434" s="12"/>
      <c r="D1434" s="12"/>
      <c r="E1434" s="12"/>
      <c r="F1434" s="12"/>
      <c r="G1434" s="12"/>
      <c r="H1434" s="12"/>
      <c r="I1434" s="12"/>
      <c r="J1434" s="12"/>
      <c r="K1434" s="12"/>
      <c r="L1434" s="12"/>
      <c r="M1434" s="12"/>
      <c r="N1434" s="12"/>
      <c r="O1434" s="12"/>
      <c r="P1434" s="12"/>
      <c r="Q1434" s="12"/>
      <c r="R1434" s="12"/>
      <c r="S1434" s="12"/>
      <c r="T1434" s="12"/>
      <c r="U1434" s="12"/>
      <c r="V1434" s="12"/>
      <c r="W1434" s="12"/>
      <c r="X1434" s="12"/>
      <c r="Y1434" s="12"/>
      <c r="Z1434" s="12"/>
    </row>
    <row r="1435" ht="15.0" customHeight="1">
      <c r="A1435" s="357" t="s">
        <v>1463</v>
      </c>
      <c r="B1435" s="350"/>
      <c r="C1435" s="12"/>
      <c r="D1435" s="12"/>
      <c r="E1435" s="12"/>
      <c r="F1435" s="12"/>
      <c r="G1435" s="12"/>
      <c r="H1435" s="12"/>
      <c r="I1435" s="12"/>
      <c r="J1435" s="12"/>
      <c r="K1435" s="12"/>
      <c r="L1435" s="12"/>
      <c r="M1435" s="12"/>
      <c r="N1435" s="12"/>
      <c r="O1435" s="12"/>
      <c r="P1435" s="12"/>
      <c r="Q1435" s="12"/>
      <c r="R1435" s="12"/>
      <c r="S1435" s="12"/>
      <c r="T1435" s="12"/>
      <c r="U1435" s="12"/>
      <c r="V1435" s="12"/>
      <c r="W1435" s="12"/>
      <c r="X1435" s="12"/>
      <c r="Y1435" s="12"/>
      <c r="Z1435" s="12"/>
    </row>
    <row r="1436" ht="15.0" customHeight="1">
      <c r="A1436" s="349"/>
      <c r="B1436" s="350"/>
      <c r="C1436" s="12"/>
      <c r="D1436" s="12"/>
      <c r="E1436" s="12"/>
      <c r="F1436" s="12"/>
      <c r="G1436" s="12"/>
      <c r="H1436" s="12"/>
      <c r="I1436" s="12"/>
      <c r="J1436" s="12"/>
      <c r="K1436" s="12"/>
      <c r="L1436" s="12"/>
      <c r="M1436" s="12"/>
      <c r="N1436" s="12"/>
      <c r="O1436" s="12"/>
      <c r="P1436" s="12"/>
      <c r="Q1436" s="12"/>
      <c r="R1436" s="12"/>
      <c r="S1436" s="12"/>
      <c r="T1436" s="12"/>
      <c r="U1436" s="12"/>
      <c r="V1436" s="12"/>
      <c r="W1436" s="12"/>
      <c r="X1436" s="12"/>
      <c r="Y1436" s="12"/>
      <c r="Z1436" s="12"/>
    </row>
    <row r="1437" ht="15.0" customHeight="1">
      <c r="A1437" s="171" t="s">
        <v>1916</v>
      </c>
      <c r="B1437" s="171">
        <v>1.0</v>
      </c>
      <c r="C1437" s="112">
        <v>2.0</v>
      </c>
      <c r="D1437" s="171">
        <v>3.0</v>
      </c>
      <c r="E1437" s="171">
        <v>4.0</v>
      </c>
      <c r="F1437" s="171">
        <v>5.0</v>
      </c>
      <c r="G1437" s="171">
        <v>6.0</v>
      </c>
      <c r="H1437" s="171">
        <v>7.0</v>
      </c>
      <c r="I1437" s="171">
        <v>8.0</v>
      </c>
      <c r="J1437" s="171">
        <v>9.0</v>
      </c>
      <c r="K1437" s="171">
        <v>10.0</v>
      </c>
      <c r="L1437" s="12"/>
      <c r="M1437" s="12"/>
      <c r="N1437" s="12"/>
      <c r="O1437" s="12"/>
      <c r="P1437" s="12"/>
      <c r="Q1437" s="12"/>
      <c r="R1437" s="12"/>
      <c r="S1437" s="12"/>
      <c r="T1437" s="12"/>
      <c r="U1437" s="12"/>
      <c r="V1437" s="12"/>
      <c r="W1437" s="12"/>
      <c r="X1437" s="12"/>
      <c r="Y1437" s="12"/>
      <c r="Z1437" s="12"/>
    </row>
    <row r="1438" ht="15.0" customHeight="1">
      <c r="A1438" s="352">
        <v>15000.0</v>
      </c>
      <c r="B1438" s="113">
        <v>1.0</v>
      </c>
      <c r="C1438" s="113">
        <v>0.08</v>
      </c>
      <c r="D1438" s="113">
        <v>0.08</v>
      </c>
      <c r="E1438" s="342">
        <v>0.05</v>
      </c>
      <c r="F1438" s="342">
        <v>0.05</v>
      </c>
      <c r="G1438" s="342">
        <v>0.03</v>
      </c>
      <c r="H1438" s="342">
        <v>0.03</v>
      </c>
      <c r="I1438" s="342">
        <v>0.03</v>
      </c>
      <c r="J1438" s="342">
        <v>0.03</v>
      </c>
      <c r="K1438" s="342">
        <v>0.0</v>
      </c>
      <c r="L1438" s="12"/>
      <c r="M1438" s="12"/>
      <c r="N1438" s="12"/>
      <c r="O1438" s="12"/>
      <c r="P1438" s="12"/>
      <c r="Q1438" s="12"/>
      <c r="R1438" s="12"/>
      <c r="S1438" s="12"/>
      <c r="T1438" s="12"/>
      <c r="U1438" s="12"/>
      <c r="V1438" s="12"/>
      <c r="W1438" s="12"/>
      <c r="X1438" s="12"/>
      <c r="Y1438" s="12"/>
      <c r="Z1438" s="12"/>
    </row>
    <row r="1439" ht="15.0" customHeight="1">
      <c r="A1439" s="353">
        <v>50000.0</v>
      </c>
      <c r="B1439" s="113">
        <v>1.0</v>
      </c>
      <c r="C1439" s="113">
        <v>0.03</v>
      </c>
      <c r="D1439" s="113">
        <v>0.03</v>
      </c>
      <c r="E1439" s="342">
        <v>0.02</v>
      </c>
      <c r="F1439" s="342">
        <v>0.02</v>
      </c>
      <c r="G1439" s="342">
        <v>0.01</v>
      </c>
      <c r="H1439" s="342">
        <v>0.01</v>
      </c>
      <c r="I1439" s="342">
        <v>0.01</v>
      </c>
      <c r="J1439" s="342">
        <v>0.01</v>
      </c>
      <c r="K1439" s="342">
        <v>0.0</v>
      </c>
      <c r="L1439" s="12"/>
      <c r="M1439" s="12"/>
      <c r="N1439" s="12"/>
      <c r="O1439" s="12"/>
      <c r="P1439" s="12"/>
      <c r="Q1439" s="12"/>
      <c r="R1439" s="12"/>
      <c r="S1439" s="12"/>
      <c r="T1439" s="12"/>
      <c r="U1439" s="12"/>
      <c r="V1439" s="12"/>
      <c r="W1439" s="12"/>
      <c r="X1439" s="12"/>
      <c r="Y1439" s="12"/>
      <c r="Z1439" s="12"/>
    </row>
    <row r="1440" ht="15.0" customHeight="1">
      <c r="A1440" s="352">
        <v>500000.0</v>
      </c>
      <c r="B1440" s="113">
        <v>1.0</v>
      </c>
      <c r="C1440" s="113">
        <v>0.0</v>
      </c>
      <c r="D1440" s="113">
        <v>0.0</v>
      </c>
      <c r="E1440" s="113">
        <v>0.0</v>
      </c>
      <c r="F1440" s="113">
        <v>0.0</v>
      </c>
      <c r="G1440" s="113">
        <v>0.0</v>
      </c>
      <c r="H1440" s="113">
        <v>0.0</v>
      </c>
      <c r="I1440" s="113">
        <v>0.0</v>
      </c>
      <c r="J1440" s="113">
        <v>0.0</v>
      </c>
      <c r="K1440" s="113">
        <v>0.0</v>
      </c>
      <c r="L1440" s="12"/>
      <c r="M1440" s="12"/>
      <c r="N1440" s="12"/>
      <c r="O1440" s="12"/>
      <c r="P1440" s="12"/>
      <c r="Q1440" s="12"/>
      <c r="R1440" s="12"/>
      <c r="S1440" s="12"/>
      <c r="T1440" s="12"/>
      <c r="U1440" s="12"/>
      <c r="V1440" s="12"/>
      <c r="W1440" s="12"/>
      <c r="X1440" s="12"/>
      <c r="Y1440" s="12"/>
      <c r="Z1440" s="12"/>
    </row>
    <row r="1441" ht="15.0" customHeight="1">
      <c r="A1441" s="349"/>
      <c r="B1441" s="350"/>
      <c r="C1441" s="12"/>
      <c r="D1441" s="12"/>
      <c r="E1441" s="12"/>
      <c r="F1441" s="12"/>
      <c r="G1441" s="12"/>
      <c r="H1441" s="12"/>
      <c r="I1441" s="12"/>
      <c r="J1441" s="12"/>
      <c r="K1441" s="12"/>
      <c r="L1441" s="12"/>
      <c r="M1441" s="12"/>
      <c r="N1441" s="12"/>
      <c r="O1441" s="12"/>
      <c r="P1441" s="12"/>
      <c r="Q1441" s="12"/>
      <c r="R1441" s="12"/>
      <c r="S1441" s="12"/>
      <c r="T1441" s="12"/>
      <c r="U1441" s="12"/>
      <c r="V1441" s="12"/>
      <c r="W1441" s="12"/>
      <c r="X1441" s="12"/>
      <c r="Y1441" s="12"/>
      <c r="Z1441" s="12"/>
    </row>
    <row r="1442" ht="15.0" customHeight="1">
      <c r="A1442" s="357" t="s">
        <v>1473</v>
      </c>
      <c r="B1442" s="350"/>
      <c r="C1442" s="12"/>
      <c r="D1442" s="12"/>
      <c r="E1442" s="12"/>
      <c r="F1442" s="12"/>
      <c r="G1442" s="12"/>
      <c r="H1442" s="12"/>
      <c r="I1442" s="12"/>
      <c r="J1442" s="12"/>
      <c r="K1442" s="12"/>
      <c r="L1442" s="12"/>
      <c r="M1442" s="12"/>
      <c r="N1442" s="12"/>
      <c r="O1442" s="12"/>
      <c r="P1442" s="12"/>
      <c r="Q1442" s="12"/>
      <c r="R1442" s="12"/>
      <c r="S1442" s="12"/>
      <c r="T1442" s="12"/>
      <c r="U1442" s="12"/>
      <c r="V1442" s="12"/>
      <c r="W1442" s="12"/>
      <c r="X1442" s="12"/>
      <c r="Y1442" s="12"/>
      <c r="Z1442" s="12"/>
    </row>
    <row r="1443" ht="15.0" customHeight="1">
      <c r="A1443" s="349"/>
      <c r="B1443" s="350"/>
      <c r="C1443" s="12"/>
      <c r="D1443" s="12"/>
      <c r="E1443" s="12"/>
      <c r="F1443" s="12"/>
      <c r="G1443" s="12"/>
      <c r="H1443" s="12"/>
      <c r="I1443" s="12"/>
      <c r="J1443" s="12"/>
      <c r="K1443" s="12"/>
      <c r="L1443" s="12"/>
      <c r="M1443" s="12"/>
      <c r="N1443" s="12"/>
      <c r="O1443" s="12"/>
      <c r="P1443" s="12"/>
      <c r="Q1443" s="12"/>
      <c r="R1443" s="12"/>
      <c r="S1443" s="12"/>
      <c r="T1443" s="12"/>
      <c r="U1443" s="12"/>
      <c r="V1443" s="12"/>
      <c r="W1443" s="12"/>
      <c r="X1443" s="12"/>
      <c r="Y1443" s="12"/>
      <c r="Z1443" s="12"/>
    </row>
    <row r="1444" ht="15.0" customHeight="1">
      <c r="A1444" s="291" t="s">
        <v>1917</v>
      </c>
      <c r="B1444" s="291" t="s">
        <v>1918</v>
      </c>
      <c r="C1444" s="12"/>
      <c r="D1444" s="12"/>
      <c r="E1444" s="12"/>
      <c r="F1444" s="12"/>
      <c r="G1444" s="12"/>
      <c r="H1444" s="12"/>
      <c r="I1444" s="12"/>
      <c r="J1444" s="12"/>
      <c r="K1444" s="12"/>
      <c r="L1444" s="12"/>
      <c r="M1444" s="12"/>
      <c r="N1444" s="12"/>
      <c r="O1444" s="12"/>
      <c r="P1444" s="12"/>
      <c r="Q1444" s="12"/>
      <c r="R1444" s="12"/>
      <c r="S1444" s="12"/>
      <c r="T1444" s="12"/>
      <c r="U1444" s="12"/>
      <c r="V1444" s="12"/>
      <c r="W1444" s="12"/>
      <c r="X1444" s="12"/>
      <c r="Y1444" s="12"/>
      <c r="Z1444" s="12"/>
    </row>
    <row r="1445" ht="15.0" customHeight="1">
      <c r="A1445" s="332">
        <v>1.0</v>
      </c>
      <c r="B1445" s="351">
        <v>0.095</v>
      </c>
      <c r="C1445" s="12"/>
      <c r="D1445" s="12"/>
      <c r="E1445" s="12"/>
      <c r="F1445" s="12"/>
      <c r="G1445" s="12"/>
      <c r="H1445" s="12"/>
      <c r="I1445" s="12"/>
      <c r="J1445" s="12"/>
      <c r="K1445" s="12"/>
      <c r="L1445" s="12"/>
      <c r="M1445" s="12"/>
      <c r="N1445" s="12"/>
      <c r="O1445" s="12"/>
      <c r="P1445" s="12"/>
      <c r="Q1445" s="12"/>
      <c r="R1445" s="12"/>
      <c r="S1445" s="12"/>
      <c r="T1445" s="12"/>
      <c r="U1445" s="12"/>
      <c r="V1445" s="12"/>
      <c r="W1445" s="12"/>
      <c r="X1445" s="12"/>
      <c r="Y1445" s="12"/>
      <c r="Z1445" s="12"/>
    </row>
    <row r="1446" ht="15.0" customHeight="1">
      <c r="A1446" s="332">
        <v>2.0</v>
      </c>
      <c r="B1446" s="351">
        <v>0.04</v>
      </c>
      <c r="C1446" s="12"/>
      <c r="D1446" s="12"/>
      <c r="E1446" s="12"/>
      <c r="F1446" s="12"/>
      <c r="G1446" s="12"/>
      <c r="H1446" s="12"/>
      <c r="I1446" s="12"/>
      <c r="J1446" s="12"/>
      <c r="K1446" s="12"/>
      <c r="L1446" s="12"/>
      <c r="M1446" s="12"/>
      <c r="N1446" s="12"/>
      <c r="O1446" s="12"/>
      <c r="P1446" s="12"/>
      <c r="Q1446" s="12"/>
      <c r="R1446" s="12"/>
      <c r="S1446" s="12"/>
      <c r="T1446" s="12"/>
      <c r="U1446" s="12"/>
      <c r="V1446" s="12"/>
      <c r="W1446" s="12"/>
      <c r="X1446" s="12"/>
      <c r="Y1446" s="12"/>
      <c r="Z1446" s="12"/>
    </row>
    <row r="1447" ht="15.0" customHeight="1">
      <c r="A1447" s="332">
        <v>3.0</v>
      </c>
      <c r="B1447" s="351">
        <v>0.04</v>
      </c>
      <c r="C1447" s="12"/>
      <c r="D1447" s="12"/>
      <c r="E1447" s="12"/>
      <c r="F1447" s="12"/>
      <c r="G1447" s="12"/>
      <c r="H1447" s="12"/>
      <c r="I1447" s="12"/>
      <c r="J1447" s="12"/>
      <c r="K1447" s="12"/>
      <c r="L1447" s="12"/>
      <c r="M1447" s="12"/>
      <c r="N1447" s="12"/>
      <c r="O1447" s="12"/>
      <c r="P1447" s="12"/>
      <c r="Q1447" s="12"/>
      <c r="R1447" s="12"/>
      <c r="S1447" s="12"/>
      <c r="T1447" s="12"/>
      <c r="U1447" s="12"/>
      <c r="V1447" s="12"/>
      <c r="W1447" s="12"/>
      <c r="X1447" s="12"/>
      <c r="Y1447" s="12"/>
      <c r="Z1447" s="12"/>
    </row>
    <row r="1448" ht="15.0" customHeight="1">
      <c r="A1448" s="332">
        <v>4.0</v>
      </c>
      <c r="B1448" s="351">
        <v>0.0</v>
      </c>
      <c r="C1448" s="12"/>
      <c r="D1448" s="12"/>
      <c r="E1448" s="12"/>
      <c r="F1448" s="12"/>
      <c r="G1448" s="12"/>
      <c r="H1448" s="12"/>
      <c r="I1448" s="12"/>
      <c r="J1448" s="12"/>
      <c r="K1448" s="12"/>
      <c r="L1448" s="12"/>
      <c r="M1448" s="12"/>
      <c r="N1448" s="12"/>
      <c r="O1448" s="12"/>
      <c r="P1448" s="12"/>
      <c r="Q1448" s="12"/>
      <c r="R1448" s="12"/>
      <c r="S1448" s="12"/>
      <c r="T1448" s="12"/>
      <c r="U1448" s="12"/>
      <c r="V1448" s="12"/>
      <c r="W1448" s="12"/>
      <c r="X1448" s="12"/>
      <c r="Y1448" s="12"/>
      <c r="Z1448" s="12"/>
    </row>
    <row r="1449" ht="15.0" customHeight="1">
      <c r="A1449" s="349"/>
      <c r="B1449" s="350"/>
      <c r="C1449" s="12"/>
      <c r="D1449" s="12"/>
      <c r="E1449" s="12"/>
      <c r="F1449" s="12"/>
      <c r="G1449" s="12"/>
      <c r="H1449" s="12"/>
      <c r="I1449" s="12"/>
      <c r="J1449" s="12"/>
      <c r="K1449" s="12"/>
      <c r="L1449" s="12"/>
      <c r="M1449" s="12"/>
      <c r="N1449" s="12"/>
      <c r="O1449" s="12"/>
      <c r="P1449" s="12"/>
      <c r="Q1449" s="12"/>
      <c r="R1449" s="12"/>
      <c r="S1449" s="12"/>
      <c r="T1449" s="12"/>
      <c r="U1449" s="12"/>
      <c r="V1449" s="12"/>
      <c r="W1449" s="12"/>
      <c r="X1449" s="12"/>
      <c r="Y1449" s="12"/>
      <c r="Z1449" s="12"/>
    </row>
    <row r="1450" ht="15.0" customHeight="1">
      <c r="A1450" s="357" t="s">
        <v>1477</v>
      </c>
      <c r="B1450" s="350"/>
      <c r="C1450" s="12"/>
      <c r="D1450" s="12"/>
      <c r="E1450" s="12"/>
      <c r="F1450" s="12"/>
      <c r="G1450" s="12"/>
      <c r="H1450" s="12"/>
      <c r="I1450" s="12"/>
      <c r="J1450" s="12"/>
      <c r="K1450" s="12"/>
      <c r="L1450" s="12"/>
      <c r="M1450" s="12"/>
      <c r="N1450" s="12"/>
      <c r="O1450" s="12"/>
      <c r="P1450" s="12"/>
      <c r="Q1450" s="12"/>
      <c r="R1450" s="12"/>
      <c r="S1450" s="12"/>
      <c r="T1450" s="12"/>
      <c r="U1450" s="12"/>
      <c r="V1450" s="12"/>
      <c r="W1450" s="12"/>
      <c r="X1450" s="12"/>
      <c r="Y1450" s="12"/>
      <c r="Z1450" s="12"/>
    </row>
    <row r="1451" ht="15.0" customHeight="1">
      <c r="A1451" s="349"/>
      <c r="B1451" s="350"/>
      <c r="C1451" s="12"/>
      <c r="D1451" s="12"/>
      <c r="E1451" s="12"/>
      <c r="F1451" s="12"/>
      <c r="G1451" s="12"/>
      <c r="H1451" s="12"/>
      <c r="I1451" s="12"/>
      <c r="J1451" s="12"/>
      <c r="K1451" s="12"/>
      <c r="L1451" s="12"/>
      <c r="M1451" s="12"/>
      <c r="N1451" s="12"/>
      <c r="O1451" s="12"/>
      <c r="P1451" s="12"/>
      <c r="Q1451" s="12"/>
      <c r="R1451" s="12"/>
      <c r="S1451" s="12"/>
      <c r="T1451" s="12"/>
      <c r="U1451" s="12"/>
      <c r="V1451" s="12"/>
      <c r="W1451" s="12"/>
      <c r="X1451" s="12"/>
      <c r="Y1451" s="12"/>
      <c r="Z1451" s="12"/>
    </row>
    <row r="1452" ht="15.0" customHeight="1">
      <c r="A1452" s="291" t="s">
        <v>1917</v>
      </c>
      <c r="B1452" s="291" t="s">
        <v>1918</v>
      </c>
      <c r="C1452" s="12"/>
      <c r="D1452" s="12"/>
      <c r="E1452" s="12"/>
      <c r="F1452" s="12"/>
      <c r="G1452" s="12"/>
      <c r="H1452" s="12"/>
      <c r="I1452" s="12"/>
      <c r="J1452" s="12"/>
      <c r="K1452" s="12"/>
      <c r="L1452" s="12"/>
      <c r="M1452" s="12"/>
      <c r="N1452" s="12"/>
      <c r="O1452" s="12"/>
      <c r="P1452" s="12"/>
      <c r="Q1452" s="12"/>
      <c r="R1452" s="12"/>
      <c r="S1452" s="12"/>
      <c r="T1452" s="12"/>
      <c r="U1452" s="12"/>
      <c r="V1452" s="12"/>
      <c r="W1452" s="12"/>
      <c r="X1452" s="12"/>
      <c r="Y1452" s="12"/>
      <c r="Z1452" s="12"/>
    </row>
    <row r="1453" ht="15.0" customHeight="1">
      <c r="A1453" s="332">
        <v>1.0</v>
      </c>
      <c r="B1453" s="351">
        <v>0.3</v>
      </c>
      <c r="C1453" s="12"/>
      <c r="D1453" s="12"/>
      <c r="E1453" s="12"/>
      <c r="F1453" s="12"/>
      <c r="G1453" s="12"/>
      <c r="H1453" s="12"/>
      <c r="I1453" s="12"/>
      <c r="J1453" s="12"/>
      <c r="K1453" s="12"/>
      <c r="L1453" s="12"/>
      <c r="M1453" s="12"/>
      <c r="N1453" s="12"/>
      <c r="O1453" s="12"/>
      <c r="P1453" s="12"/>
      <c r="Q1453" s="12"/>
      <c r="R1453" s="12"/>
      <c r="S1453" s="12"/>
      <c r="T1453" s="12"/>
      <c r="U1453" s="12"/>
      <c r="V1453" s="12"/>
      <c r="W1453" s="12"/>
      <c r="X1453" s="12"/>
      <c r="Y1453" s="12"/>
      <c r="Z1453" s="12"/>
    </row>
    <row r="1454" ht="15.0" customHeight="1">
      <c r="A1454" s="332">
        <v>2.0</v>
      </c>
      <c r="B1454" s="351">
        <v>0.0</v>
      </c>
      <c r="C1454" s="12"/>
      <c r="D1454" s="12"/>
      <c r="E1454" s="12"/>
      <c r="F1454" s="12"/>
      <c r="G1454" s="12"/>
      <c r="H1454" s="12"/>
      <c r="I1454" s="12"/>
      <c r="J1454" s="12"/>
      <c r="K1454" s="12"/>
      <c r="L1454" s="12"/>
      <c r="M1454" s="12"/>
      <c r="N1454" s="12"/>
      <c r="O1454" s="12"/>
      <c r="P1454" s="12"/>
      <c r="Q1454" s="12"/>
      <c r="R1454" s="12"/>
      <c r="S1454" s="12"/>
      <c r="T1454" s="12"/>
      <c r="U1454" s="12"/>
      <c r="V1454" s="12"/>
      <c r="W1454" s="12"/>
      <c r="X1454" s="12"/>
      <c r="Y1454" s="12"/>
      <c r="Z1454" s="12"/>
    </row>
    <row r="1455" ht="15.0" customHeight="1">
      <c r="A1455" s="349"/>
      <c r="B1455" s="350"/>
      <c r="C1455" s="12"/>
      <c r="D1455" s="12"/>
      <c r="E1455" s="12"/>
      <c r="F1455" s="12"/>
      <c r="G1455" s="12"/>
      <c r="H1455" s="12"/>
      <c r="I1455" s="12"/>
      <c r="J1455" s="12"/>
      <c r="K1455" s="12"/>
      <c r="L1455" s="12"/>
      <c r="M1455" s="12"/>
      <c r="N1455" s="12"/>
      <c r="O1455" s="12"/>
      <c r="P1455" s="12"/>
      <c r="Q1455" s="12"/>
      <c r="R1455" s="12"/>
      <c r="S1455" s="12"/>
      <c r="T1455" s="12"/>
      <c r="U1455" s="12"/>
      <c r="V1455" s="12"/>
      <c r="W1455" s="12"/>
      <c r="X1455" s="12"/>
      <c r="Y1455" s="12"/>
      <c r="Z1455" s="12"/>
    </row>
    <row r="1456" ht="15.0" customHeight="1">
      <c r="A1456" s="357" t="s">
        <v>1484</v>
      </c>
      <c r="B1456" s="350"/>
      <c r="C1456" s="12"/>
      <c r="D1456" s="12"/>
      <c r="E1456" s="12"/>
      <c r="F1456" s="12"/>
      <c r="G1456" s="12"/>
      <c r="H1456" s="12"/>
      <c r="I1456" s="12"/>
      <c r="J1456" s="12"/>
      <c r="K1456" s="12"/>
      <c r="L1456" s="12"/>
      <c r="M1456" s="12"/>
      <c r="N1456" s="12"/>
      <c r="O1456" s="12"/>
      <c r="P1456" s="12"/>
      <c r="Q1456" s="12"/>
      <c r="R1456" s="12"/>
      <c r="S1456" s="12"/>
      <c r="T1456" s="12"/>
      <c r="U1456" s="12"/>
      <c r="V1456" s="12"/>
      <c r="W1456" s="12"/>
      <c r="X1456" s="12"/>
      <c r="Y1456" s="12"/>
      <c r="Z1456" s="12"/>
    </row>
    <row r="1457" ht="15.0" customHeight="1">
      <c r="A1457" s="349"/>
      <c r="B1457" s="350"/>
      <c r="C1457" s="12"/>
      <c r="D1457" s="12"/>
      <c r="E1457" s="12"/>
      <c r="F1457" s="12"/>
      <c r="G1457" s="12"/>
      <c r="H1457" s="12"/>
      <c r="I1457" s="12"/>
      <c r="J1457" s="12"/>
      <c r="K1457" s="12"/>
      <c r="L1457" s="12"/>
      <c r="M1457" s="12"/>
      <c r="N1457" s="12"/>
      <c r="O1457" s="12"/>
      <c r="P1457" s="12"/>
      <c r="Q1457" s="12"/>
      <c r="R1457" s="12"/>
      <c r="S1457" s="12"/>
      <c r="T1457" s="12"/>
      <c r="U1457" s="12"/>
      <c r="V1457" s="12"/>
      <c r="W1457" s="12"/>
      <c r="X1457" s="12"/>
      <c r="Y1457" s="12"/>
      <c r="Z1457" s="12"/>
    </row>
    <row r="1458" ht="15.0" customHeight="1">
      <c r="A1458" s="171" t="s">
        <v>1916</v>
      </c>
      <c r="B1458" s="171">
        <v>1.0</v>
      </c>
      <c r="C1458" s="112">
        <v>2.0</v>
      </c>
      <c r="D1458" s="171">
        <v>3.0</v>
      </c>
      <c r="E1458" s="171">
        <v>4.0</v>
      </c>
      <c r="F1458" s="171">
        <v>5.0</v>
      </c>
      <c r="G1458" s="171">
        <v>6.0</v>
      </c>
      <c r="H1458" s="12"/>
      <c r="I1458" s="12"/>
      <c r="J1458" s="12"/>
      <c r="K1458" s="12"/>
      <c r="L1458" s="12"/>
      <c r="M1458" s="12"/>
      <c r="N1458" s="12"/>
      <c r="O1458" s="12"/>
      <c r="P1458" s="12"/>
      <c r="Q1458" s="12"/>
      <c r="R1458" s="12"/>
      <c r="S1458" s="12"/>
      <c r="T1458" s="12"/>
      <c r="U1458" s="12"/>
      <c r="V1458" s="12"/>
      <c r="W1458" s="12"/>
      <c r="X1458" s="12"/>
      <c r="Y1458" s="12"/>
      <c r="Z1458" s="12"/>
    </row>
    <row r="1459" ht="15.0" customHeight="1">
      <c r="A1459" s="352">
        <v>20000.0</v>
      </c>
      <c r="B1459" s="113">
        <f>IF(PPT=5,0,IF(AND(PPT&gt;=10,PPT&lt;=14),13%,IF(AND(PPT&gt;=15,PPT&lt;=19),22%,IF(AND(PPT&gt;=20,PPT&lt;=25),26%))))</f>
        <v>0.13</v>
      </c>
      <c r="C1459" s="113">
        <f>IF(PPT=5,0,IF(AND(PPT&gt;=10,PPT&lt;=14),13%,IF(AND(PPT&gt;=15,PPT&lt;=19),22%,IF(AND(PPT&gt;=20,PPT&lt;=25),26%))))</f>
        <v>0.13</v>
      </c>
      <c r="D1459" s="342">
        <v>0.03</v>
      </c>
      <c r="E1459" s="342">
        <v>0.03</v>
      </c>
      <c r="F1459" s="342">
        <v>0.03</v>
      </c>
      <c r="G1459" s="342">
        <v>0.01</v>
      </c>
      <c r="H1459" s="12"/>
      <c r="I1459" s="12"/>
      <c r="J1459" s="12"/>
      <c r="K1459" s="12"/>
      <c r="L1459" s="12"/>
      <c r="M1459" s="12"/>
      <c r="N1459" s="12"/>
      <c r="O1459" s="12"/>
      <c r="P1459" s="12"/>
      <c r="Q1459" s="12"/>
      <c r="R1459" s="12"/>
      <c r="S1459" s="12"/>
      <c r="T1459" s="12"/>
      <c r="U1459" s="12"/>
      <c r="V1459" s="12"/>
      <c r="W1459" s="12"/>
      <c r="X1459" s="12"/>
      <c r="Y1459" s="12"/>
      <c r="Z1459" s="12"/>
    </row>
    <row r="1460" ht="15.0" customHeight="1">
      <c r="A1460" s="353">
        <v>25000.0</v>
      </c>
      <c r="B1460" s="113">
        <f>IF(PPT=5,8%,IF(AND(PPT&gt;=10,PPT&lt;=14),12%,IF(AND(PPT&gt;=15,PPT&lt;=19),21%,IF(AND(PPT&gt;=20,PPT&lt;=25),25%))))</f>
        <v>0.12</v>
      </c>
      <c r="C1460" s="113">
        <f>IF(PPT=5,8%,IF(AND(PPT&gt;=10,PPT&lt;=14),12%,IF(AND(PPT&gt;=15,PPT&lt;=19),21%,IF(AND(PPT&gt;=20,PPT&lt;=25),25%))))</f>
        <v>0.12</v>
      </c>
      <c r="D1460" s="342">
        <v>0.03</v>
      </c>
      <c r="E1460" s="342">
        <v>0.03</v>
      </c>
      <c r="F1460" s="342">
        <v>0.03</v>
      </c>
      <c r="G1460" s="342">
        <v>0.01</v>
      </c>
      <c r="H1460" s="12"/>
      <c r="I1460" s="12"/>
      <c r="J1460" s="12"/>
      <c r="K1460" s="12"/>
      <c r="L1460" s="12"/>
      <c r="M1460" s="12"/>
      <c r="N1460" s="12"/>
      <c r="O1460" s="12"/>
      <c r="P1460" s="12"/>
      <c r="Q1460" s="12"/>
      <c r="R1460" s="12"/>
      <c r="S1460" s="12"/>
      <c r="T1460" s="12"/>
      <c r="U1460" s="12"/>
      <c r="V1460" s="12"/>
      <c r="W1460" s="12"/>
      <c r="X1460" s="12"/>
      <c r="Y1460" s="12"/>
      <c r="Z1460" s="12"/>
    </row>
    <row r="1461" ht="15.0" customHeight="1">
      <c r="A1461" s="352">
        <v>500000.0</v>
      </c>
      <c r="B1461" s="113">
        <f>IF(PPT=5,6%,IF(AND(PPT&gt;=10,PPT&lt;=14),10%,IF(AND(PPT&gt;=15,PPT&lt;=19),18%,IF(AND(PPT&gt;=20,PPT&lt;=25),21%))))</f>
        <v>0.1</v>
      </c>
      <c r="C1461" s="113">
        <f>IF(PPT=5,6%,IF(AND(PPT&gt;=10,PPT&lt;=14),10%,IF(AND(PPT&gt;=15,PPT&lt;=19),18%,IF(AND(PPT&gt;=20,PPT&lt;=25),21%))))</f>
        <v>0.1</v>
      </c>
      <c r="D1461" s="342">
        <v>0.03</v>
      </c>
      <c r="E1461" s="342">
        <v>0.03</v>
      </c>
      <c r="F1461" s="342">
        <v>0.03</v>
      </c>
      <c r="G1461" s="342">
        <v>0.01</v>
      </c>
      <c r="H1461" s="12"/>
      <c r="I1461" s="12"/>
      <c r="J1461" s="12"/>
      <c r="K1461" s="12"/>
      <c r="L1461" s="12"/>
      <c r="M1461" s="12"/>
      <c r="N1461" s="12"/>
      <c r="O1461" s="12"/>
      <c r="P1461" s="12"/>
      <c r="Q1461" s="12"/>
      <c r="R1461" s="12"/>
      <c r="S1461" s="12"/>
      <c r="T1461" s="12"/>
      <c r="U1461" s="12"/>
      <c r="V1461" s="12"/>
      <c r="W1461" s="12"/>
      <c r="X1461" s="12"/>
      <c r="Y1461" s="12"/>
      <c r="Z1461" s="12"/>
    </row>
    <row r="1462" ht="15.0" customHeight="1">
      <c r="A1462" s="352">
        <v>1000000.0</v>
      </c>
      <c r="B1462" s="113">
        <f>IF(PPT=5,4%,IF(AND(PPT&gt;=10,PPT&lt;=14),8%,IF(AND(PPT&gt;=15,PPT&lt;=19),16%,IF(AND(PPT&gt;=20,PPT&lt;=25),20%))))</f>
        <v>0.08</v>
      </c>
      <c r="C1462" s="113">
        <f>IF(PPT=5,4%,IF(AND(PPT&gt;=10,PPT&lt;=14),8%,IF(AND(PPT&gt;=15,PPT&lt;=19),16%,IF(AND(PPT&gt;=20,PPT&lt;=25),20%))))</f>
        <v>0.08</v>
      </c>
      <c r="D1462" s="342">
        <v>0.03</v>
      </c>
      <c r="E1462" s="342">
        <v>0.03</v>
      </c>
      <c r="F1462" s="342">
        <v>0.03</v>
      </c>
      <c r="G1462" s="342">
        <v>0.01</v>
      </c>
      <c r="H1462" s="12"/>
      <c r="I1462" s="12"/>
      <c r="J1462" s="12"/>
      <c r="K1462" s="12"/>
      <c r="L1462" s="12"/>
      <c r="M1462" s="12"/>
      <c r="N1462" s="12"/>
      <c r="O1462" s="12"/>
      <c r="P1462" s="12"/>
      <c r="Q1462" s="12"/>
      <c r="R1462" s="12"/>
      <c r="S1462" s="12"/>
      <c r="T1462" s="12"/>
      <c r="U1462" s="12"/>
      <c r="V1462" s="12"/>
      <c r="W1462" s="12"/>
      <c r="X1462" s="12"/>
      <c r="Y1462" s="12"/>
      <c r="Z1462" s="12"/>
    </row>
    <row r="1463" ht="15.0" customHeight="1">
      <c r="A1463" s="353">
        <v>2000000.0</v>
      </c>
      <c r="B1463" s="113">
        <f>IF(PPT=5,4%,IF(AND(PPT&gt;=10,PPT&lt;=14),8%,IF(AND(PPT&gt;=15,PPT&lt;=19),16%,IF(AND(PPT&gt;=20,PPT&lt;=25),20%))))</f>
        <v>0.08</v>
      </c>
      <c r="C1463" s="113">
        <f>IF(PPT=5,4%,IF(AND(PPT&gt;=10,PPT&lt;=14),8%,IF(AND(PPT&gt;=15,PPT&lt;=19),16%,IF(AND(PPT&gt;=20,PPT&lt;=25),20%))))</f>
        <v>0.08</v>
      </c>
      <c r="D1463" s="355">
        <v>0.015</v>
      </c>
      <c r="E1463" s="355">
        <v>0.015</v>
      </c>
      <c r="F1463" s="355">
        <v>0.015</v>
      </c>
      <c r="G1463" s="342">
        <v>0.01</v>
      </c>
      <c r="H1463" s="12"/>
      <c r="I1463" s="12"/>
      <c r="J1463" s="12"/>
      <c r="K1463" s="12"/>
      <c r="L1463" s="12"/>
      <c r="M1463" s="12"/>
      <c r="N1463" s="12"/>
      <c r="O1463" s="12"/>
      <c r="P1463" s="12"/>
      <c r="Q1463" s="12"/>
      <c r="R1463" s="12"/>
      <c r="S1463" s="12"/>
      <c r="T1463" s="12"/>
      <c r="U1463" s="12"/>
      <c r="V1463" s="12"/>
      <c r="W1463" s="12"/>
      <c r="X1463" s="12"/>
      <c r="Y1463" s="12"/>
      <c r="Z1463" s="12"/>
    </row>
    <row r="1464" ht="15.0" customHeight="1">
      <c r="A1464" s="352">
        <v>1.0E7</v>
      </c>
      <c r="B1464" s="113">
        <f>IF(PPT=5,4%,IF(AND(PPT&gt;=10,PPT&lt;=14),8%,IF(AND(PPT&gt;=15,PPT&lt;=19),16%,IF(AND(PPT&gt;=20,PPT&lt;=25),20%))))</f>
        <v>0.08</v>
      </c>
      <c r="C1464" s="113">
        <f>IF(PPT=5,4%,IF(AND(PPT&gt;=10,PPT&lt;=14),8%,IF(AND(PPT&gt;=15,PPT&lt;=19),16%,IF(AND(PPT&gt;=20,PPT&lt;=25),20%))))</f>
        <v>0.08</v>
      </c>
      <c r="D1464" s="355">
        <v>0.015</v>
      </c>
      <c r="E1464" s="355">
        <v>0.015</v>
      </c>
      <c r="F1464" s="355">
        <v>0.015</v>
      </c>
      <c r="G1464" s="342">
        <v>0.01</v>
      </c>
      <c r="H1464" s="12"/>
      <c r="I1464" s="12"/>
      <c r="J1464" s="12"/>
      <c r="K1464" s="12"/>
      <c r="L1464" s="12"/>
      <c r="M1464" s="12"/>
      <c r="N1464" s="12"/>
      <c r="O1464" s="12"/>
      <c r="P1464" s="12"/>
      <c r="Q1464" s="12"/>
      <c r="R1464" s="12"/>
      <c r="S1464" s="12"/>
      <c r="T1464" s="12"/>
      <c r="U1464" s="12"/>
      <c r="V1464" s="12"/>
      <c r="W1464" s="12"/>
      <c r="X1464" s="12"/>
      <c r="Y1464" s="12"/>
      <c r="Z1464" s="12"/>
    </row>
    <row r="1465" ht="15.0" customHeight="1">
      <c r="A1465" s="349"/>
      <c r="B1465" s="350"/>
      <c r="C1465" s="12"/>
      <c r="D1465" s="12"/>
      <c r="E1465" s="12"/>
      <c r="F1465" s="12"/>
      <c r="G1465" s="12"/>
      <c r="H1465" s="12"/>
      <c r="I1465" s="12"/>
      <c r="J1465" s="12"/>
      <c r="K1465" s="12"/>
      <c r="L1465" s="12"/>
      <c r="M1465" s="12"/>
      <c r="N1465" s="12"/>
      <c r="O1465" s="12"/>
      <c r="P1465" s="12"/>
      <c r="Q1465" s="12"/>
      <c r="R1465" s="12"/>
      <c r="S1465" s="12"/>
      <c r="T1465" s="12"/>
      <c r="U1465" s="12"/>
      <c r="V1465" s="12"/>
      <c r="W1465" s="12"/>
      <c r="X1465" s="12"/>
      <c r="Y1465" s="12"/>
      <c r="Z1465" s="12"/>
    </row>
    <row r="1466" ht="15.0" customHeight="1">
      <c r="A1466" s="357" t="s">
        <v>1488</v>
      </c>
      <c r="B1466" s="350"/>
      <c r="C1466" s="12"/>
      <c r="D1466" s="12"/>
      <c r="E1466" s="12"/>
      <c r="F1466" s="12"/>
      <c r="G1466" s="12"/>
      <c r="H1466" s="12"/>
      <c r="I1466" s="12"/>
      <c r="J1466" s="12"/>
      <c r="K1466" s="12"/>
      <c r="L1466" s="12"/>
      <c r="M1466" s="12"/>
      <c r="N1466" s="12"/>
      <c r="O1466" s="12"/>
      <c r="P1466" s="12"/>
      <c r="Q1466" s="12"/>
      <c r="R1466" s="12"/>
      <c r="S1466" s="12"/>
      <c r="T1466" s="12"/>
      <c r="U1466" s="12"/>
      <c r="V1466" s="12"/>
      <c r="W1466" s="12"/>
      <c r="X1466" s="12"/>
      <c r="Y1466" s="12"/>
      <c r="Z1466" s="12"/>
    </row>
    <row r="1467" ht="15.0" customHeight="1">
      <c r="A1467" s="349"/>
      <c r="B1467" s="350"/>
      <c r="C1467" s="12"/>
      <c r="D1467" s="12"/>
      <c r="E1467" s="12"/>
      <c r="F1467" s="12"/>
      <c r="G1467" s="12"/>
      <c r="H1467" s="12"/>
      <c r="I1467" s="12"/>
      <c r="J1467" s="12"/>
      <c r="K1467" s="12"/>
      <c r="L1467" s="12"/>
      <c r="M1467" s="12"/>
      <c r="N1467" s="12"/>
      <c r="O1467" s="12"/>
      <c r="P1467" s="12"/>
      <c r="Q1467" s="12"/>
      <c r="R1467" s="12"/>
      <c r="S1467" s="12"/>
      <c r="T1467" s="12"/>
      <c r="U1467" s="12"/>
      <c r="V1467" s="12"/>
      <c r="W1467" s="12"/>
      <c r="X1467" s="12"/>
      <c r="Y1467" s="12"/>
      <c r="Z1467" s="12"/>
    </row>
    <row r="1468" ht="15.0" customHeight="1">
      <c r="A1468" s="291" t="s">
        <v>1917</v>
      </c>
      <c r="B1468" s="291" t="s">
        <v>1918</v>
      </c>
      <c r="C1468" s="12"/>
      <c r="D1468" s="12"/>
      <c r="E1468" s="12"/>
      <c r="F1468" s="12"/>
      <c r="G1468" s="12"/>
      <c r="H1468" s="12"/>
      <c r="I1468" s="12"/>
      <c r="J1468" s="12"/>
      <c r="K1468" s="12"/>
      <c r="L1468" s="12"/>
      <c r="M1468" s="12"/>
      <c r="N1468" s="12"/>
      <c r="O1468" s="12"/>
      <c r="P1468" s="12"/>
      <c r="Q1468" s="12"/>
      <c r="R1468" s="12"/>
      <c r="S1468" s="12"/>
      <c r="T1468" s="12"/>
      <c r="U1468" s="12"/>
      <c r="V1468" s="12"/>
      <c r="W1468" s="12"/>
      <c r="X1468" s="12"/>
      <c r="Y1468" s="12"/>
      <c r="Z1468" s="12"/>
    </row>
    <row r="1469" ht="15.0" customHeight="1">
      <c r="A1469" s="332">
        <v>1.0</v>
      </c>
      <c r="B1469" s="351">
        <v>1.0</v>
      </c>
      <c r="C1469" s="12"/>
      <c r="D1469" s="12"/>
      <c r="E1469" s="12"/>
      <c r="F1469" s="12"/>
      <c r="G1469" s="12"/>
      <c r="H1469" s="12"/>
      <c r="I1469" s="12"/>
      <c r="J1469" s="12"/>
      <c r="K1469" s="12"/>
      <c r="L1469" s="12"/>
      <c r="M1469" s="12"/>
      <c r="N1469" s="12"/>
      <c r="O1469" s="12"/>
      <c r="P1469" s="12"/>
      <c r="Q1469" s="12"/>
      <c r="R1469" s="12"/>
      <c r="S1469" s="12"/>
      <c r="T1469" s="12"/>
      <c r="U1469" s="12"/>
      <c r="V1469" s="12"/>
      <c r="W1469" s="12"/>
      <c r="X1469" s="12"/>
      <c r="Y1469" s="12"/>
      <c r="Z1469" s="12"/>
    </row>
    <row r="1470" ht="15.0" customHeight="1">
      <c r="A1470" s="332">
        <v>2.0</v>
      </c>
      <c r="B1470" s="351">
        <f>IF(Mod_Prem&gt;=500000,0%,4%)</f>
        <v>0.04</v>
      </c>
      <c r="C1470" s="12"/>
      <c r="D1470" s="12"/>
      <c r="E1470" s="12"/>
      <c r="F1470" s="12"/>
      <c r="G1470" s="12"/>
      <c r="H1470" s="12"/>
      <c r="I1470" s="12"/>
      <c r="J1470" s="12"/>
      <c r="K1470" s="12"/>
      <c r="L1470" s="12"/>
      <c r="M1470" s="12"/>
      <c r="N1470" s="12"/>
      <c r="O1470" s="12"/>
      <c r="P1470" s="12"/>
      <c r="Q1470" s="12"/>
      <c r="R1470" s="12"/>
      <c r="S1470" s="12"/>
      <c r="T1470" s="12"/>
      <c r="U1470" s="12"/>
      <c r="V1470" s="12"/>
      <c r="W1470" s="12"/>
      <c r="X1470" s="12"/>
      <c r="Y1470" s="12"/>
      <c r="Z1470" s="12"/>
    </row>
    <row r="1471" ht="15.0" customHeight="1">
      <c r="A1471" s="332">
        <v>3.0</v>
      </c>
      <c r="B1471" s="351">
        <f>IF(Mod_Prem&gt;=500000,0%,4%)</f>
        <v>0.04</v>
      </c>
      <c r="C1471" s="12"/>
      <c r="D1471" s="12"/>
      <c r="E1471" s="12"/>
      <c r="F1471" s="12"/>
      <c r="G1471" s="12"/>
      <c r="H1471" s="12"/>
      <c r="I1471" s="12"/>
      <c r="J1471" s="12"/>
      <c r="K1471" s="12"/>
      <c r="L1471" s="12"/>
      <c r="M1471" s="12"/>
      <c r="N1471" s="12"/>
      <c r="O1471" s="12"/>
      <c r="P1471" s="12"/>
      <c r="Q1471" s="12"/>
      <c r="R1471" s="12"/>
      <c r="S1471" s="12"/>
      <c r="T1471" s="12"/>
      <c r="U1471" s="12"/>
      <c r="V1471" s="12"/>
      <c r="W1471" s="12"/>
      <c r="X1471" s="12"/>
      <c r="Y1471" s="12"/>
      <c r="Z1471" s="12"/>
    </row>
    <row r="1472" ht="15.0" customHeight="1">
      <c r="A1472" s="332">
        <v>4.0</v>
      </c>
      <c r="B1472" s="351">
        <v>0.0</v>
      </c>
      <c r="C1472" s="12"/>
      <c r="D1472" s="12"/>
      <c r="E1472" s="12"/>
      <c r="F1472" s="12"/>
      <c r="G1472" s="12"/>
      <c r="H1472" s="12"/>
      <c r="I1472" s="12"/>
      <c r="J1472" s="12"/>
      <c r="K1472" s="12"/>
      <c r="L1472" s="12"/>
      <c r="M1472" s="12"/>
      <c r="N1472" s="12"/>
      <c r="O1472" s="12"/>
      <c r="P1472" s="12"/>
      <c r="Q1472" s="12"/>
      <c r="R1472" s="12"/>
      <c r="S1472" s="12"/>
      <c r="T1472" s="12"/>
      <c r="U1472" s="12"/>
      <c r="V1472" s="12"/>
      <c r="W1472" s="12"/>
      <c r="X1472" s="12"/>
      <c r="Y1472" s="12"/>
      <c r="Z1472" s="12"/>
    </row>
    <row r="1473" ht="15.0" customHeight="1">
      <c r="A1473" s="349"/>
      <c r="B1473" s="350"/>
      <c r="C1473" s="12"/>
      <c r="D1473" s="12"/>
      <c r="E1473" s="12"/>
      <c r="F1473" s="12"/>
      <c r="G1473" s="12"/>
      <c r="H1473" s="12"/>
      <c r="I1473" s="12"/>
      <c r="J1473" s="12"/>
      <c r="K1473" s="12"/>
      <c r="L1473" s="12"/>
      <c r="M1473" s="12"/>
      <c r="N1473" s="12"/>
      <c r="O1473" s="12"/>
      <c r="P1473" s="12"/>
      <c r="Q1473" s="12"/>
      <c r="R1473" s="12"/>
      <c r="S1473" s="12"/>
      <c r="T1473" s="12"/>
      <c r="U1473" s="12"/>
      <c r="V1473" s="12"/>
      <c r="W1473" s="12"/>
      <c r="X1473" s="12"/>
      <c r="Y1473" s="12"/>
      <c r="Z1473" s="12"/>
    </row>
    <row r="1474" ht="15.0" customHeight="1">
      <c r="A1474" s="357" t="s">
        <v>1492</v>
      </c>
      <c r="B1474" s="350"/>
      <c r="C1474" s="12"/>
      <c r="D1474" s="12"/>
      <c r="E1474" s="12"/>
      <c r="F1474" s="12"/>
      <c r="G1474" s="12"/>
      <c r="H1474" s="12"/>
      <c r="I1474" s="12"/>
      <c r="J1474" s="12"/>
      <c r="K1474" s="12"/>
      <c r="L1474" s="12"/>
      <c r="M1474" s="12"/>
      <c r="N1474" s="12"/>
      <c r="O1474" s="12"/>
      <c r="P1474" s="12"/>
      <c r="Q1474" s="12"/>
      <c r="R1474" s="12"/>
      <c r="S1474" s="12"/>
      <c r="T1474" s="12"/>
      <c r="U1474" s="12"/>
      <c r="V1474" s="12"/>
      <c r="W1474" s="12"/>
      <c r="X1474" s="12"/>
      <c r="Y1474" s="12"/>
      <c r="Z1474" s="12"/>
    </row>
    <row r="1475" ht="15.0" customHeight="1">
      <c r="A1475" s="349"/>
      <c r="B1475" s="350"/>
      <c r="C1475" s="12"/>
      <c r="D1475" s="12"/>
      <c r="E1475" s="12"/>
      <c r="F1475" s="12"/>
      <c r="G1475" s="12"/>
      <c r="H1475" s="12"/>
      <c r="I1475" s="12"/>
      <c r="J1475" s="12"/>
      <c r="K1475" s="12"/>
      <c r="L1475" s="12"/>
      <c r="M1475" s="12"/>
      <c r="N1475" s="12"/>
      <c r="O1475" s="12"/>
      <c r="P1475" s="12"/>
      <c r="Q1475" s="12"/>
      <c r="R1475" s="12"/>
      <c r="S1475" s="12"/>
      <c r="T1475" s="12"/>
      <c r="U1475" s="12"/>
      <c r="V1475" s="12"/>
      <c r="W1475" s="12"/>
      <c r="X1475" s="12"/>
      <c r="Y1475" s="12"/>
      <c r="Z1475" s="12"/>
    </row>
    <row r="1476" ht="15.0" customHeight="1">
      <c r="A1476" s="291" t="s">
        <v>1917</v>
      </c>
      <c r="B1476" s="291" t="s">
        <v>1918</v>
      </c>
      <c r="C1476" s="12"/>
      <c r="D1476" s="12"/>
      <c r="E1476" s="12"/>
      <c r="F1476" s="12"/>
      <c r="G1476" s="12"/>
      <c r="H1476" s="12"/>
      <c r="I1476" s="12"/>
      <c r="J1476" s="12"/>
      <c r="K1476" s="12"/>
      <c r="L1476" s="12"/>
      <c r="M1476" s="12"/>
      <c r="N1476" s="12"/>
      <c r="O1476" s="12"/>
      <c r="P1476" s="12"/>
      <c r="Q1476" s="12"/>
      <c r="R1476" s="12"/>
      <c r="S1476" s="12"/>
      <c r="T1476" s="12"/>
      <c r="U1476" s="12"/>
      <c r="V1476" s="12"/>
      <c r="W1476" s="12"/>
      <c r="X1476" s="12"/>
      <c r="Y1476" s="12"/>
      <c r="Z1476" s="12"/>
    </row>
    <row r="1477" ht="15.0" customHeight="1">
      <c r="A1477" s="332">
        <v>1.0</v>
      </c>
      <c r="B1477" s="351">
        <v>0.35</v>
      </c>
      <c r="C1477" s="12"/>
      <c r="D1477" s="12"/>
      <c r="E1477" s="12"/>
      <c r="F1477" s="12"/>
      <c r="G1477" s="12"/>
      <c r="H1477" s="12"/>
      <c r="I1477" s="12"/>
      <c r="J1477" s="12"/>
      <c r="K1477" s="12"/>
      <c r="L1477" s="12"/>
      <c r="M1477" s="12"/>
      <c r="N1477" s="12"/>
      <c r="O1477" s="12"/>
      <c r="P1477" s="12"/>
      <c r="Q1477" s="12"/>
      <c r="R1477" s="12"/>
      <c r="S1477" s="12"/>
      <c r="T1477" s="12"/>
      <c r="U1477" s="12"/>
      <c r="V1477" s="12"/>
      <c r="W1477" s="12"/>
      <c r="X1477" s="12"/>
      <c r="Y1477" s="12"/>
      <c r="Z1477" s="12"/>
    </row>
    <row r="1478" ht="15.0" customHeight="1">
      <c r="A1478" s="332">
        <v>2.0</v>
      </c>
      <c r="B1478" s="351">
        <v>0.1</v>
      </c>
      <c r="C1478" s="12"/>
      <c r="D1478" s="12"/>
      <c r="E1478" s="12"/>
      <c r="F1478" s="12"/>
      <c r="G1478" s="12"/>
      <c r="H1478" s="12"/>
      <c r="I1478" s="12"/>
      <c r="J1478" s="12"/>
      <c r="K1478" s="12"/>
      <c r="L1478" s="12"/>
      <c r="M1478" s="12"/>
      <c r="N1478" s="12"/>
      <c r="O1478" s="12"/>
      <c r="P1478" s="12"/>
      <c r="Q1478" s="12"/>
      <c r="R1478" s="12"/>
      <c r="S1478" s="12"/>
      <c r="T1478" s="12"/>
      <c r="U1478" s="12"/>
      <c r="V1478" s="12"/>
      <c r="W1478" s="12"/>
      <c r="X1478" s="12"/>
      <c r="Y1478" s="12"/>
      <c r="Z1478" s="12"/>
    </row>
    <row r="1479" ht="15.0" customHeight="1">
      <c r="A1479" s="332">
        <v>3.0</v>
      </c>
      <c r="B1479" s="351">
        <v>0.0</v>
      </c>
      <c r="C1479" s="12"/>
      <c r="D1479" s="12"/>
      <c r="E1479" s="12"/>
      <c r="F1479" s="12"/>
      <c r="G1479" s="12"/>
      <c r="H1479" s="12"/>
      <c r="I1479" s="12"/>
      <c r="J1479" s="12"/>
      <c r="K1479" s="12"/>
      <c r="L1479" s="12"/>
      <c r="M1479" s="12"/>
      <c r="N1479" s="12"/>
      <c r="O1479" s="12"/>
      <c r="P1479" s="12"/>
      <c r="Q1479" s="12"/>
      <c r="R1479" s="12"/>
      <c r="S1479" s="12"/>
      <c r="T1479" s="12"/>
      <c r="U1479" s="12"/>
      <c r="V1479" s="12"/>
      <c r="W1479" s="12"/>
      <c r="X1479" s="12"/>
      <c r="Y1479" s="12"/>
      <c r="Z1479" s="12"/>
    </row>
    <row r="1480" ht="15.0" customHeight="1">
      <c r="A1480" s="349"/>
      <c r="B1480" s="350"/>
      <c r="C1480" s="12"/>
      <c r="D1480" s="12"/>
      <c r="E1480" s="12"/>
      <c r="F1480" s="12"/>
      <c r="G1480" s="12"/>
      <c r="H1480" s="12"/>
      <c r="I1480" s="12"/>
      <c r="J1480" s="12"/>
      <c r="K1480" s="12"/>
      <c r="L1480" s="12"/>
      <c r="M1480" s="12"/>
      <c r="N1480" s="12"/>
      <c r="O1480" s="12"/>
      <c r="P1480" s="12"/>
      <c r="Q1480" s="12"/>
      <c r="R1480" s="12"/>
      <c r="S1480" s="12"/>
      <c r="T1480" s="12"/>
      <c r="U1480" s="12"/>
      <c r="V1480" s="12"/>
      <c r="W1480" s="12"/>
      <c r="X1480" s="12"/>
      <c r="Y1480" s="12"/>
      <c r="Z1480" s="12"/>
    </row>
    <row r="1481" ht="15.0" customHeight="1">
      <c r="A1481" s="357" t="s">
        <v>1496</v>
      </c>
      <c r="B1481" s="350"/>
      <c r="C1481" s="12"/>
      <c r="D1481" s="12"/>
      <c r="E1481" s="12"/>
      <c r="F1481" s="12"/>
      <c r="G1481" s="12"/>
      <c r="H1481" s="12"/>
      <c r="I1481" s="12"/>
      <c r="J1481" s="12"/>
      <c r="K1481" s="12"/>
      <c r="L1481" s="12"/>
      <c r="M1481" s="12"/>
      <c r="N1481" s="12"/>
      <c r="O1481" s="12"/>
      <c r="P1481" s="12"/>
      <c r="Q1481" s="12"/>
      <c r="R1481" s="12"/>
      <c r="S1481" s="12"/>
      <c r="T1481" s="12"/>
      <c r="U1481" s="12"/>
      <c r="V1481" s="12"/>
      <c r="W1481" s="12"/>
      <c r="X1481" s="12"/>
      <c r="Y1481" s="12"/>
      <c r="Z1481" s="12"/>
    </row>
    <row r="1482" ht="15.0" customHeight="1">
      <c r="A1482" s="349"/>
      <c r="B1482" s="350"/>
      <c r="C1482" s="12"/>
      <c r="D1482" s="12"/>
      <c r="E1482" s="12"/>
      <c r="F1482" s="12"/>
      <c r="G1482" s="12"/>
      <c r="H1482" s="12"/>
      <c r="I1482" s="12"/>
      <c r="J1482" s="12"/>
      <c r="K1482" s="12"/>
      <c r="L1482" s="12"/>
      <c r="M1482" s="12"/>
      <c r="N1482" s="12"/>
      <c r="O1482" s="12"/>
      <c r="P1482" s="12"/>
      <c r="Q1482" s="12"/>
      <c r="R1482" s="12"/>
      <c r="S1482" s="12"/>
      <c r="T1482" s="12"/>
      <c r="U1482" s="12"/>
      <c r="V1482" s="12"/>
      <c r="W1482" s="12"/>
      <c r="X1482" s="12"/>
      <c r="Y1482" s="12"/>
      <c r="Z1482" s="12"/>
    </row>
    <row r="1483" ht="15.0" customHeight="1">
      <c r="A1483" s="291" t="s">
        <v>1917</v>
      </c>
      <c r="B1483" s="291" t="s">
        <v>1918</v>
      </c>
      <c r="C1483" s="12"/>
      <c r="D1483" s="12"/>
      <c r="E1483" s="12"/>
      <c r="F1483" s="12"/>
      <c r="G1483" s="12"/>
      <c r="H1483" s="12"/>
      <c r="I1483" s="12"/>
      <c r="J1483" s="12"/>
      <c r="K1483" s="12"/>
      <c r="L1483" s="12"/>
      <c r="M1483" s="12"/>
      <c r="N1483" s="12"/>
      <c r="O1483" s="12"/>
      <c r="P1483" s="12"/>
      <c r="Q1483" s="12"/>
      <c r="R1483" s="12"/>
      <c r="S1483" s="12"/>
      <c r="T1483" s="12"/>
      <c r="U1483" s="12"/>
      <c r="V1483" s="12"/>
      <c r="W1483" s="12"/>
      <c r="X1483" s="12"/>
      <c r="Y1483" s="12"/>
      <c r="Z1483" s="12"/>
    </row>
    <row r="1484" ht="15.0" customHeight="1">
      <c r="A1484" s="332">
        <v>1.0</v>
      </c>
      <c r="B1484" s="351">
        <v>0.3</v>
      </c>
      <c r="C1484" s="12"/>
      <c r="D1484" s="12"/>
      <c r="E1484" s="12"/>
      <c r="F1484" s="12"/>
      <c r="G1484" s="12"/>
      <c r="H1484" s="12"/>
      <c r="I1484" s="12"/>
      <c r="J1484" s="12"/>
      <c r="K1484" s="12"/>
      <c r="L1484" s="12"/>
      <c r="M1484" s="12"/>
      <c r="N1484" s="12"/>
      <c r="O1484" s="12"/>
      <c r="P1484" s="12"/>
      <c r="Q1484" s="12"/>
      <c r="R1484" s="12"/>
      <c r="S1484" s="12"/>
      <c r="T1484" s="12"/>
      <c r="U1484" s="12"/>
      <c r="V1484" s="12"/>
      <c r="W1484" s="12"/>
      <c r="X1484" s="12"/>
      <c r="Y1484" s="12"/>
      <c r="Z1484" s="12"/>
    </row>
    <row r="1485" ht="15.0" customHeight="1">
      <c r="A1485" s="332">
        <v>2.0</v>
      </c>
      <c r="B1485" s="351">
        <v>0.0</v>
      </c>
      <c r="C1485" s="12"/>
      <c r="D1485" s="12"/>
      <c r="E1485" s="12"/>
      <c r="F1485" s="12"/>
      <c r="G1485" s="12"/>
      <c r="H1485" s="12"/>
      <c r="I1485" s="12"/>
      <c r="J1485" s="12"/>
      <c r="K1485" s="12"/>
      <c r="L1485" s="12"/>
      <c r="M1485" s="12"/>
      <c r="N1485" s="12"/>
      <c r="O1485" s="12"/>
      <c r="P1485" s="12"/>
      <c r="Q1485" s="12"/>
      <c r="R1485" s="12"/>
      <c r="S1485" s="12"/>
      <c r="T1485" s="12"/>
      <c r="U1485" s="12"/>
      <c r="V1485" s="12"/>
      <c r="W1485" s="12"/>
      <c r="X1485" s="12"/>
      <c r="Y1485" s="12"/>
      <c r="Z1485" s="12"/>
    </row>
    <row r="1486" ht="15.0" customHeight="1">
      <c r="A1486" s="349"/>
      <c r="B1486" s="350"/>
      <c r="C1486" s="12"/>
      <c r="D1486" s="12"/>
      <c r="E1486" s="12"/>
      <c r="F1486" s="12"/>
      <c r="G1486" s="12"/>
      <c r="H1486" s="12"/>
      <c r="I1486" s="12"/>
      <c r="J1486" s="12"/>
      <c r="K1486" s="12"/>
      <c r="L1486" s="12"/>
      <c r="M1486" s="12"/>
      <c r="N1486" s="12"/>
      <c r="O1486" s="12"/>
      <c r="P1486" s="12"/>
      <c r="Q1486" s="12"/>
      <c r="R1486" s="12"/>
      <c r="S1486" s="12"/>
      <c r="T1486" s="12"/>
      <c r="U1486" s="12"/>
      <c r="V1486" s="12"/>
      <c r="W1486" s="12"/>
      <c r="X1486" s="12"/>
      <c r="Y1486" s="12"/>
      <c r="Z1486" s="12"/>
    </row>
    <row r="1487" ht="15.0" customHeight="1">
      <c r="A1487" s="357" t="s">
        <v>1500</v>
      </c>
      <c r="B1487" s="350"/>
      <c r="C1487" s="12"/>
      <c r="D1487" s="12"/>
      <c r="E1487" s="12"/>
      <c r="F1487" s="12"/>
      <c r="G1487" s="12"/>
      <c r="H1487" s="12"/>
      <c r="I1487" s="12"/>
      <c r="J1487" s="12"/>
      <c r="K1487" s="12"/>
      <c r="L1487" s="12"/>
      <c r="M1487" s="12"/>
      <c r="N1487" s="12"/>
      <c r="O1487" s="12"/>
      <c r="P1487" s="12"/>
      <c r="Q1487" s="12"/>
      <c r="R1487" s="12"/>
      <c r="S1487" s="12"/>
      <c r="T1487" s="12"/>
      <c r="U1487" s="12"/>
      <c r="V1487" s="12"/>
      <c r="W1487" s="12"/>
      <c r="X1487" s="12"/>
      <c r="Y1487" s="12"/>
      <c r="Z1487" s="12"/>
    </row>
    <row r="1488" ht="15.0" customHeight="1">
      <c r="A1488" s="349"/>
      <c r="B1488" s="350"/>
      <c r="C1488" s="12"/>
      <c r="D1488" s="12"/>
      <c r="E1488" s="12"/>
      <c r="F1488" s="12"/>
      <c r="G1488" s="12"/>
      <c r="H1488" s="12"/>
      <c r="I1488" s="12"/>
      <c r="J1488" s="12"/>
      <c r="K1488" s="12"/>
      <c r="L1488" s="12"/>
      <c r="M1488" s="12"/>
      <c r="N1488" s="12"/>
      <c r="O1488" s="12"/>
      <c r="P1488" s="12"/>
      <c r="Q1488" s="12"/>
      <c r="R1488" s="12"/>
      <c r="S1488" s="12"/>
      <c r="T1488" s="12"/>
      <c r="U1488" s="12"/>
      <c r="V1488" s="12"/>
      <c r="W1488" s="12"/>
      <c r="X1488" s="12"/>
      <c r="Y1488" s="12"/>
      <c r="Z1488" s="12"/>
    </row>
    <row r="1489" ht="15.0" customHeight="1">
      <c r="A1489" s="171" t="s">
        <v>1916</v>
      </c>
      <c r="B1489" s="171">
        <v>1.0</v>
      </c>
      <c r="C1489" s="112">
        <v>2.0</v>
      </c>
      <c r="D1489" s="171">
        <v>3.0</v>
      </c>
      <c r="E1489" s="171">
        <v>4.0</v>
      </c>
      <c r="F1489" s="171">
        <v>5.0</v>
      </c>
      <c r="G1489" s="171">
        <v>6.0</v>
      </c>
      <c r="H1489" s="12"/>
      <c r="I1489" s="12"/>
      <c r="J1489" s="12"/>
      <c r="K1489" s="12"/>
      <c r="L1489" s="12"/>
      <c r="M1489" s="12"/>
      <c r="N1489" s="12"/>
      <c r="O1489" s="12"/>
      <c r="P1489" s="12"/>
      <c r="Q1489" s="12"/>
      <c r="R1489" s="12"/>
      <c r="S1489" s="12"/>
      <c r="T1489" s="12"/>
      <c r="U1489" s="12"/>
      <c r="V1489" s="12"/>
      <c r="W1489" s="12"/>
      <c r="X1489" s="12"/>
      <c r="Y1489" s="12"/>
      <c r="Z1489" s="12"/>
    </row>
    <row r="1490" ht="15.0" customHeight="1">
      <c r="A1490" s="352">
        <v>15000.0</v>
      </c>
      <c r="B1490" s="113">
        <f>IF(PPT=3,0%,IF(PPT=5,12%,IF(PPT=10,15%,IF(AND(PPT&gt;=15,PPT&lt;=19),22%,IF(PPT&gt;=20,26%)))))</f>
        <v>0.15</v>
      </c>
      <c r="C1490" s="113">
        <f>IF(PPT=3,0%,IF(PPT=5,12%,IF(PPT=10,15%,IF(AND(PPT&gt;=15,PPT&lt;=19),22%,IF(PPT&gt;=20,26%)))))</f>
        <v>0.15</v>
      </c>
      <c r="D1490" s="113">
        <v>0.03</v>
      </c>
      <c r="E1490" s="113">
        <f>IF(PPT=3,0%,3%)</f>
        <v>0.03</v>
      </c>
      <c r="F1490" s="113">
        <f>IF(PPT=3,0%,3%)</f>
        <v>0.03</v>
      </c>
      <c r="G1490" s="113">
        <f>IF(AND(PPT=3,PPT=5),0%,1%)</f>
        <v>0.01</v>
      </c>
      <c r="H1490" s="12"/>
      <c r="I1490" s="12"/>
      <c r="J1490" s="12"/>
      <c r="K1490" s="12"/>
      <c r="L1490" s="12"/>
      <c r="M1490" s="12"/>
      <c r="N1490" s="12"/>
      <c r="O1490" s="12"/>
      <c r="P1490" s="12"/>
      <c r="Q1490" s="12"/>
      <c r="R1490" s="12"/>
      <c r="S1490" s="12"/>
      <c r="T1490" s="12"/>
      <c r="U1490" s="12"/>
      <c r="V1490" s="12"/>
      <c r="W1490" s="12"/>
      <c r="X1490" s="12"/>
      <c r="Y1490" s="12"/>
      <c r="Z1490" s="12"/>
    </row>
    <row r="1491" ht="15.0" customHeight="1">
      <c r="A1491" s="353">
        <v>25000.0</v>
      </c>
      <c r="B1491" s="113">
        <f>IF(PPT=3,11%,IF(PPT=5,11%,IF(PPT=10,14%,IF(AND(PPT&gt;=15,PPT&lt;=19),21%,IF(PPT&gt;=20,25%)))))</f>
        <v>0.14</v>
      </c>
      <c r="C1491" s="113">
        <f>IF(PPT=3,11%,IF(PPT=5,11%,IF(PPT=10,14%,IF(AND(PPT&gt;=15,PPT&lt;=19),21%,IF(PPT&gt;=20,25%)))))</f>
        <v>0.14</v>
      </c>
      <c r="D1491" s="113">
        <v>0.03</v>
      </c>
      <c r="E1491" s="113">
        <f>IF(PPT=3,0%,3%)</f>
        <v>0.03</v>
      </c>
      <c r="F1491" s="113">
        <f>IF(PPT=3,0%,3%)</f>
        <v>0.03</v>
      </c>
      <c r="G1491" s="113">
        <f>IF(AND(PPT=3,PPT=5),0%,1%)</f>
        <v>0.01</v>
      </c>
      <c r="H1491" s="12"/>
      <c r="I1491" s="12"/>
      <c r="J1491" s="12"/>
      <c r="K1491" s="12"/>
      <c r="L1491" s="12"/>
      <c r="M1491" s="12"/>
      <c r="N1491" s="12"/>
      <c r="O1491" s="12"/>
      <c r="P1491" s="12"/>
      <c r="Q1491" s="12"/>
      <c r="R1491" s="12"/>
      <c r="S1491" s="12"/>
      <c r="T1491" s="12"/>
      <c r="U1491" s="12"/>
      <c r="V1491" s="12"/>
      <c r="W1491" s="12"/>
      <c r="X1491" s="12"/>
      <c r="Y1491" s="12"/>
      <c r="Z1491" s="12"/>
    </row>
    <row r="1492" ht="15.0" customHeight="1">
      <c r="A1492" s="352">
        <v>500000.0</v>
      </c>
      <c r="B1492" s="113">
        <f>IF(PPT=3,8%,IF(PPT=5,8%,IF(PPT=10,11%,IF(AND(PPT&gt;=15,PPT&lt;=19),18%,IF(PPT&gt;=20,21%)))))</f>
        <v>0.11</v>
      </c>
      <c r="C1492" s="113">
        <f>IF(PPT=3,8%,IF(PPT=5,8%,IF(PPT=10,11%,IF(AND(PPT&gt;=15,PPT&lt;=19),18%,IF(PPT&gt;=20,21%)))))</f>
        <v>0.11</v>
      </c>
      <c r="D1492" s="113">
        <v>0.03</v>
      </c>
      <c r="E1492" s="113">
        <f>IF(PPT=3,0%,3%)</f>
        <v>0.03</v>
      </c>
      <c r="F1492" s="113">
        <f>IF(PPT=3,0%,3%)</f>
        <v>0.03</v>
      </c>
      <c r="G1492" s="113">
        <f>IF(AND(PPT=3,PPT=5),0%,1%)</f>
        <v>0.01</v>
      </c>
      <c r="H1492" s="12"/>
      <c r="I1492" s="12"/>
      <c r="J1492" s="12"/>
      <c r="K1492" s="12"/>
      <c r="L1492" s="12"/>
      <c r="M1492" s="12"/>
      <c r="N1492" s="12"/>
      <c r="O1492" s="12"/>
      <c r="P1492" s="12"/>
      <c r="Q1492" s="12"/>
      <c r="R1492" s="12"/>
      <c r="S1492" s="12"/>
      <c r="T1492" s="12"/>
      <c r="U1492" s="12"/>
      <c r="V1492" s="12"/>
      <c r="W1492" s="12"/>
      <c r="X1492" s="12"/>
      <c r="Y1492" s="12"/>
      <c r="Z1492" s="12"/>
    </row>
    <row r="1493" ht="15.0" customHeight="1">
      <c r="A1493" s="352">
        <v>1000000.0</v>
      </c>
      <c r="B1493" s="113">
        <f>IF(PPT=3,6%,IF(PPT=5,6%,IF(PPT=10,9%,IF(AND(PPT&gt;=15,PPT&lt;=19),16%,IF(PPT&gt;=20,19%)))))</f>
        <v>0.09</v>
      </c>
      <c r="C1493" s="113">
        <f>IF(PPT=3,6%,IF(PPT=5,6%,IF(PPT=10,9%,IF(AND(PPT&gt;=15,PPT&lt;=19),16%,IF(PPT&gt;=20,19%)))))</f>
        <v>0.09</v>
      </c>
      <c r="D1493" s="113">
        <v>0.03</v>
      </c>
      <c r="E1493" s="113">
        <f>IF(PPT=3,0%,3%)</f>
        <v>0.03</v>
      </c>
      <c r="F1493" s="113">
        <f>IF(PPT=3,0%,3%)</f>
        <v>0.03</v>
      </c>
      <c r="G1493" s="113">
        <f>IF(AND(PPT=3,PPT=5),0%,1%)</f>
        <v>0.01</v>
      </c>
      <c r="H1493" s="12"/>
      <c r="I1493" s="12"/>
      <c r="J1493" s="12"/>
      <c r="K1493" s="12"/>
      <c r="L1493" s="12"/>
      <c r="M1493" s="12"/>
      <c r="N1493" s="12"/>
      <c r="O1493" s="12"/>
      <c r="P1493" s="12"/>
      <c r="Q1493" s="12"/>
      <c r="R1493" s="12"/>
      <c r="S1493" s="12"/>
      <c r="T1493" s="12"/>
      <c r="U1493" s="12"/>
      <c r="V1493" s="12"/>
      <c r="W1493" s="12"/>
      <c r="X1493" s="12"/>
      <c r="Y1493" s="12"/>
      <c r="Z1493" s="12"/>
    </row>
    <row r="1494" ht="15.0" customHeight="1">
      <c r="A1494" s="353">
        <v>2000000.0</v>
      </c>
      <c r="B1494" s="113">
        <f>IF(PPT=3,6%,IF(PPT=5,6%,IF(PPT=10,9%,IF(AND(PPT&gt;=15,PPT&lt;=19),16%,IF(PPT&gt;=20,19%)))))</f>
        <v>0.09</v>
      </c>
      <c r="C1494" s="113">
        <f>IF(PPT=3,6%,IF(PPT=5,6%,IF(PPT=10,9%,IF(AND(PPT&gt;=15,PPT&lt;=19),16%,IF(PPT&gt;=20,19%)))))</f>
        <v>0.09</v>
      </c>
      <c r="D1494" s="113">
        <v>0.015</v>
      </c>
      <c r="E1494" s="113">
        <f>IF(PPT=3,0%,1.5%)</f>
        <v>0.015</v>
      </c>
      <c r="F1494" s="113">
        <f>IF(PPT=3,0%,1.5%)</f>
        <v>0.015</v>
      </c>
      <c r="G1494" s="113">
        <f>IF(AND(PPT=3,PPT=5),0%,1%)</f>
        <v>0.01</v>
      </c>
      <c r="H1494" s="12"/>
      <c r="I1494" s="12"/>
      <c r="J1494" s="12"/>
      <c r="K1494" s="12"/>
      <c r="L1494" s="12"/>
      <c r="M1494" s="12"/>
      <c r="N1494" s="12"/>
      <c r="O1494" s="12"/>
      <c r="P1494" s="12"/>
      <c r="Q1494" s="12"/>
      <c r="R1494" s="12"/>
      <c r="S1494" s="12"/>
      <c r="T1494" s="12"/>
      <c r="U1494" s="12"/>
      <c r="V1494" s="12"/>
      <c r="W1494" s="12"/>
      <c r="X1494" s="12"/>
      <c r="Y1494" s="12"/>
      <c r="Z1494" s="12"/>
    </row>
    <row r="1495" ht="15.0" customHeight="1">
      <c r="A1495" s="349"/>
      <c r="B1495" s="350"/>
      <c r="C1495" s="12"/>
      <c r="D1495" s="12"/>
      <c r="E1495" s="12"/>
      <c r="F1495" s="12"/>
      <c r="G1495" s="12"/>
      <c r="H1495" s="12"/>
      <c r="I1495" s="12"/>
      <c r="J1495" s="12"/>
      <c r="K1495" s="12"/>
      <c r="L1495" s="12"/>
      <c r="M1495" s="12"/>
      <c r="N1495" s="12"/>
      <c r="O1495" s="12"/>
      <c r="P1495" s="12"/>
      <c r="Q1495" s="12"/>
      <c r="R1495" s="12"/>
      <c r="S1495" s="12"/>
      <c r="T1495" s="12"/>
      <c r="U1495" s="12"/>
      <c r="V1495" s="12"/>
      <c r="W1495" s="12"/>
      <c r="X1495" s="12"/>
      <c r="Y1495" s="12"/>
      <c r="Z1495" s="12"/>
    </row>
    <row r="1496" ht="15.0" customHeight="1">
      <c r="A1496" s="357" t="s">
        <v>1504</v>
      </c>
      <c r="B1496" s="350"/>
      <c r="C1496" s="12"/>
      <c r="D1496" s="12"/>
      <c r="E1496" s="12"/>
      <c r="F1496" s="12"/>
      <c r="G1496" s="12"/>
      <c r="H1496" s="12"/>
      <c r="I1496" s="12"/>
      <c r="J1496" s="12"/>
      <c r="K1496" s="12"/>
      <c r="L1496" s="12"/>
      <c r="M1496" s="12"/>
      <c r="N1496" s="12"/>
      <c r="O1496" s="12"/>
      <c r="P1496" s="12"/>
      <c r="Q1496" s="12"/>
      <c r="R1496" s="12"/>
      <c r="S1496" s="12"/>
      <c r="T1496" s="12"/>
      <c r="U1496" s="12"/>
      <c r="V1496" s="12"/>
      <c r="W1496" s="12"/>
      <c r="X1496" s="12"/>
      <c r="Y1496" s="12"/>
      <c r="Z1496" s="12"/>
    </row>
    <row r="1497" ht="15.0" customHeight="1">
      <c r="A1497" s="349"/>
      <c r="B1497" s="350"/>
      <c r="C1497" s="12"/>
      <c r="D1497" s="12"/>
      <c r="E1497" s="12"/>
      <c r="F1497" s="12"/>
      <c r="G1497" s="12"/>
      <c r="H1497" s="12"/>
      <c r="I1497" s="12"/>
      <c r="J1497" s="12"/>
      <c r="K1497" s="12"/>
      <c r="L1497" s="12"/>
      <c r="M1497" s="12"/>
      <c r="N1497" s="12"/>
      <c r="O1497" s="12"/>
      <c r="P1497" s="12"/>
      <c r="Q1497" s="12"/>
      <c r="R1497" s="12"/>
      <c r="S1497" s="12"/>
      <c r="T1497" s="12"/>
      <c r="U1497" s="12"/>
      <c r="V1497" s="12"/>
      <c r="W1497" s="12"/>
      <c r="X1497" s="12"/>
      <c r="Y1497" s="12"/>
      <c r="Z1497" s="12"/>
    </row>
    <row r="1498" ht="15.0" customHeight="1">
      <c r="A1498" s="291" t="s">
        <v>1917</v>
      </c>
      <c r="B1498" s="291" t="s">
        <v>1918</v>
      </c>
      <c r="C1498" s="12"/>
      <c r="D1498" s="12"/>
      <c r="E1498" s="12"/>
      <c r="F1498" s="12"/>
      <c r="G1498" s="12"/>
      <c r="H1498" s="12"/>
      <c r="I1498" s="12"/>
      <c r="J1498" s="12"/>
      <c r="K1498" s="12"/>
      <c r="L1498" s="12"/>
      <c r="M1498" s="12"/>
      <c r="N1498" s="12"/>
      <c r="O1498" s="12"/>
      <c r="P1498" s="12"/>
      <c r="Q1498" s="12"/>
      <c r="R1498" s="12"/>
      <c r="S1498" s="12"/>
      <c r="T1498" s="12"/>
      <c r="U1498" s="12"/>
      <c r="V1498" s="12"/>
      <c r="W1498" s="12"/>
      <c r="X1498" s="12"/>
      <c r="Y1498" s="12"/>
      <c r="Z1498" s="12"/>
    </row>
    <row r="1499" ht="15.0" customHeight="1">
      <c r="A1499" s="332">
        <v>1.0</v>
      </c>
      <c r="B1499" s="351">
        <v>0.09</v>
      </c>
      <c r="C1499" s="12"/>
      <c r="D1499" s="12"/>
      <c r="E1499" s="12"/>
      <c r="F1499" s="12"/>
      <c r="G1499" s="12"/>
      <c r="H1499" s="12"/>
      <c r="I1499" s="12"/>
      <c r="J1499" s="12"/>
      <c r="K1499" s="12"/>
      <c r="L1499" s="12"/>
      <c r="M1499" s="12"/>
      <c r="N1499" s="12"/>
      <c r="O1499" s="12"/>
      <c r="P1499" s="12"/>
      <c r="Q1499" s="12"/>
      <c r="R1499" s="12"/>
      <c r="S1499" s="12"/>
      <c r="T1499" s="12"/>
      <c r="U1499" s="12"/>
      <c r="V1499" s="12"/>
      <c r="W1499" s="12"/>
      <c r="X1499" s="12"/>
      <c r="Y1499" s="12"/>
      <c r="Z1499" s="12"/>
    </row>
    <row r="1500" ht="15.0" customHeight="1">
      <c r="A1500" s="332">
        <v>2.0</v>
      </c>
      <c r="B1500" s="351">
        <v>0.01</v>
      </c>
      <c r="C1500" s="12"/>
      <c r="D1500" s="12"/>
      <c r="E1500" s="12"/>
      <c r="F1500" s="12"/>
      <c r="G1500" s="12"/>
      <c r="H1500" s="12"/>
      <c r="I1500" s="12"/>
      <c r="J1500" s="12"/>
      <c r="K1500" s="12"/>
      <c r="L1500" s="12"/>
      <c r="M1500" s="12"/>
      <c r="N1500" s="12"/>
      <c r="O1500" s="12"/>
      <c r="P1500" s="12"/>
      <c r="Q1500" s="12"/>
      <c r="R1500" s="12"/>
      <c r="S1500" s="12"/>
      <c r="T1500" s="12"/>
      <c r="U1500" s="12"/>
      <c r="V1500" s="12"/>
      <c r="W1500" s="12"/>
      <c r="X1500" s="12"/>
      <c r="Y1500" s="12"/>
      <c r="Z1500" s="12"/>
    </row>
    <row r="1501" ht="15.0" customHeight="1">
      <c r="A1501" s="349"/>
      <c r="B1501" s="350"/>
      <c r="C1501" s="12"/>
      <c r="D1501" s="12"/>
      <c r="E1501" s="12"/>
      <c r="F1501" s="12"/>
      <c r="G1501" s="12"/>
      <c r="H1501" s="12"/>
      <c r="I1501" s="12"/>
      <c r="J1501" s="12"/>
      <c r="K1501" s="12"/>
      <c r="L1501" s="12"/>
      <c r="M1501" s="12"/>
      <c r="N1501" s="12"/>
      <c r="O1501" s="12"/>
      <c r="P1501" s="12"/>
      <c r="Q1501" s="12"/>
      <c r="R1501" s="12"/>
      <c r="S1501" s="12"/>
      <c r="T1501" s="12"/>
      <c r="U1501" s="12"/>
      <c r="V1501" s="12"/>
      <c r="W1501" s="12"/>
      <c r="X1501" s="12"/>
      <c r="Y1501" s="12"/>
      <c r="Z1501" s="12"/>
    </row>
    <row r="1502" ht="15.0" customHeight="1">
      <c r="A1502" s="357" t="s">
        <v>1510</v>
      </c>
      <c r="B1502" s="350"/>
      <c r="C1502" s="12"/>
      <c r="D1502" s="12"/>
      <c r="E1502" s="12"/>
      <c r="F1502" s="12"/>
      <c r="G1502" s="12"/>
      <c r="H1502" s="12"/>
      <c r="I1502" s="12"/>
      <c r="J1502" s="12"/>
      <c r="K1502" s="12"/>
      <c r="L1502" s="12"/>
      <c r="M1502" s="12"/>
      <c r="N1502" s="12"/>
      <c r="O1502" s="12"/>
      <c r="P1502" s="12"/>
      <c r="Q1502" s="12"/>
      <c r="R1502" s="12"/>
      <c r="S1502" s="12"/>
      <c r="T1502" s="12"/>
      <c r="U1502" s="12"/>
      <c r="V1502" s="12"/>
      <c r="W1502" s="12"/>
      <c r="X1502" s="12"/>
      <c r="Y1502" s="12"/>
      <c r="Z1502" s="12"/>
    </row>
    <row r="1503" ht="15.0" customHeight="1">
      <c r="A1503" s="349"/>
      <c r="B1503" s="350"/>
      <c r="C1503" s="12"/>
      <c r="D1503" s="12"/>
      <c r="E1503" s="12"/>
      <c r="F1503" s="12"/>
      <c r="G1503" s="12"/>
      <c r="H1503" s="12"/>
      <c r="I1503" s="12"/>
      <c r="J1503" s="12"/>
      <c r="K1503" s="12"/>
      <c r="L1503" s="12"/>
      <c r="M1503" s="12"/>
      <c r="N1503" s="12"/>
      <c r="O1503" s="12"/>
      <c r="P1503" s="12"/>
      <c r="Q1503" s="12"/>
      <c r="R1503" s="12"/>
      <c r="S1503" s="12"/>
      <c r="T1503" s="12"/>
      <c r="U1503" s="12"/>
      <c r="V1503" s="12"/>
      <c r="W1503" s="12"/>
      <c r="X1503" s="12"/>
      <c r="Y1503" s="12"/>
      <c r="Z1503" s="12"/>
    </row>
    <row r="1504" ht="15.0" customHeight="1">
      <c r="A1504" s="291" t="s">
        <v>1917</v>
      </c>
      <c r="B1504" s="291" t="s">
        <v>1918</v>
      </c>
      <c r="C1504" s="12"/>
      <c r="D1504" s="12"/>
      <c r="E1504" s="12"/>
      <c r="F1504" s="12"/>
      <c r="G1504" s="12"/>
      <c r="H1504" s="12"/>
      <c r="I1504" s="12"/>
      <c r="J1504" s="12"/>
      <c r="K1504" s="12"/>
      <c r="L1504" s="12"/>
      <c r="M1504" s="12"/>
      <c r="N1504" s="12"/>
      <c r="O1504" s="12"/>
      <c r="P1504" s="12"/>
      <c r="Q1504" s="12"/>
      <c r="R1504" s="12"/>
      <c r="S1504" s="12"/>
      <c r="T1504" s="12"/>
      <c r="U1504" s="12"/>
      <c r="V1504" s="12"/>
      <c r="W1504" s="12"/>
      <c r="X1504" s="12"/>
      <c r="Y1504" s="12"/>
      <c r="Z1504" s="12"/>
    </row>
    <row r="1505" ht="15.0" customHeight="1">
      <c r="A1505" s="332">
        <v>1.0</v>
      </c>
      <c r="B1505" s="351">
        <v>0.14</v>
      </c>
      <c r="C1505" s="12"/>
      <c r="D1505" s="12"/>
      <c r="E1505" s="12"/>
      <c r="F1505" s="12"/>
      <c r="G1505" s="12"/>
      <c r="H1505" s="12"/>
      <c r="I1505" s="12"/>
      <c r="J1505" s="12"/>
      <c r="K1505" s="12"/>
      <c r="L1505" s="12"/>
      <c r="M1505" s="12"/>
      <c r="N1505" s="12"/>
      <c r="O1505" s="12"/>
      <c r="P1505" s="12"/>
      <c r="Q1505" s="12"/>
      <c r="R1505" s="12"/>
      <c r="S1505" s="12"/>
      <c r="T1505" s="12"/>
      <c r="U1505" s="12"/>
      <c r="V1505" s="12"/>
      <c r="W1505" s="12"/>
      <c r="X1505" s="12"/>
      <c r="Y1505" s="12"/>
      <c r="Z1505" s="12"/>
    </row>
    <row r="1506" ht="15.0" customHeight="1">
      <c r="A1506" s="332">
        <v>2.0</v>
      </c>
      <c r="B1506" s="351">
        <f>IF(Mod_Prem&gt;=500000,0%,4%)</f>
        <v>0.04</v>
      </c>
      <c r="C1506" s="12"/>
      <c r="D1506" s="12"/>
      <c r="E1506" s="12"/>
      <c r="F1506" s="12"/>
      <c r="G1506" s="12"/>
      <c r="H1506" s="12"/>
      <c r="I1506" s="12"/>
      <c r="J1506" s="12"/>
      <c r="K1506" s="12"/>
      <c r="L1506" s="12"/>
      <c r="M1506" s="12"/>
      <c r="N1506" s="12"/>
      <c r="O1506" s="12"/>
      <c r="P1506" s="12"/>
      <c r="Q1506" s="12"/>
      <c r="R1506" s="12"/>
      <c r="S1506" s="12"/>
      <c r="T1506" s="12"/>
      <c r="U1506" s="12"/>
      <c r="V1506" s="12"/>
      <c r="W1506" s="12"/>
      <c r="X1506" s="12"/>
      <c r="Y1506" s="12"/>
      <c r="Z1506" s="12"/>
    </row>
    <row r="1507" ht="15.0" customHeight="1">
      <c r="A1507" s="332">
        <v>3.0</v>
      </c>
      <c r="B1507" s="351">
        <f>IF(Mod_Prem&gt;=500000,0%,4%)</f>
        <v>0.04</v>
      </c>
      <c r="C1507" s="12"/>
      <c r="D1507" s="12"/>
      <c r="E1507" s="12"/>
      <c r="F1507" s="12"/>
      <c r="G1507" s="12"/>
      <c r="H1507" s="12"/>
      <c r="I1507" s="12"/>
      <c r="J1507" s="12"/>
      <c r="K1507" s="12"/>
      <c r="L1507" s="12"/>
      <c r="M1507" s="12"/>
      <c r="N1507" s="12"/>
      <c r="O1507" s="12"/>
      <c r="P1507" s="12"/>
      <c r="Q1507" s="12"/>
      <c r="R1507" s="12"/>
      <c r="S1507" s="12"/>
      <c r="T1507" s="12"/>
      <c r="U1507" s="12"/>
      <c r="V1507" s="12"/>
      <c r="W1507" s="12"/>
      <c r="X1507" s="12"/>
      <c r="Y1507" s="12"/>
      <c r="Z1507" s="12"/>
    </row>
    <row r="1508" ht="15.0" customHeight="1">
      <c r="A1508" s="332">
        <v>4.0</v>
      </c>
      <c r="B1508" s="351">
        <v>0.0</v>
      </c>
      <c r="C1508" s="12"/>
      <c r="D1508" s="12"/>
      <c r="E1508" s="12"/>
      <c r="F1508" s="12"/>
      <c r="G1508" s="12"/>
      <c r="H1508" s="12"/>
      <c r="I1508" s="12"/>
      <c r="J1508" s="12"/>
      <c r="K1508" s="12"/>
      <c r="L1508" s="12"/>
      <c r="M1508" s="12"/>
      <c r="N1508" s="12"/>
      <c r="O1508" s="12"/>
      <c r="P1508" s="12"/>
      <c r="Q1508" s="12"/>
      <c r="R1508" s="12"/>
      <c r="S1508" s="12"/>
      <c r="T1508" s="12"/>
      <c r="U1508" s="12"/>
      <c r="V1508" s="12"/>
      <c r="W1508" s="12"/>
      <c r="X1508" s="12"/>
      <c r="Y1508" s="12"/>
      <c r="Z1508" s="12"/>
    </row>
    <row r="1509" ht="15.0" customHeight="1">
      <c r="A1509" s="349"/>
      <c r="B1509" s="350"/>
      <c r="C1509" s="12"/>
      <c r="D1509" s="12"/>
      <c r="E1509" s="12"/>
      <c r="F1509" s="12"/>
      <c r="G1509" s="12"/>
      <c r="H1509" s="12"/>
      <c r="I1509" s="12"/>
      <c r="J1509" s="12"/>
      <c r="K1509" s="12"/>
      <c r="L1509" s="12"/>
      <c r="M1509" s="12"/>
      <c r="N1509" s="12"/>
      <c r="O1509" s="12"/>
      <c r="P1509" s="12"/>
      <c r="Q1509" s="12"/>
      <c r="R1509" s="12"/>
      <c r="S1509" s="12"/>
      <c r="T1509" s="12"/>
      <c r="U1509" s="12"/>
      <c r="V1509" s="12"/>
      <c r="W1509" s="12"/>
      <c r="X1509" s="12"/>
      <c r="Y1509" s="12"/>
      <c r="Z1509" s="12"/>
    </row>
    <row r="1510" ht="15.0" customHeight="1">
      <c r="A1510" s="357" t="s">
        <v>1529</v>
      </c>
      <c r="B1510" s="350"/>
      <c r="C1510" s="12"/>
      <c r="D1510" s="12"/>
      <c r="E1510" s="12"/>
      <c r="F1510" s="12"/>
      <c r="G1510" s="12"/>
      <c r="H1510" s="12"/>
      <c r="I1510" s="12"/>
      <c r="J1510" s="12"/>
      <c r="K1510" s="12"/>
      <c r="L1510" s="12"/>
      <c r="M1510" s="12"/>
      <c r="N1510" s="12"/>
      <c r="O1510" s="12"/>
      <c r="P1510" s="12"/>
      <c r="Q1510" s="12"/>
      <c r="R1510" s="12"/>
      <c r="S1510" s="12"/>
      <c r="T1510" s="12"/>
      <c r="U1510" s="12"/>
      <c r="V1510" s="12"/>
      <c r="W1510" s="12"/>
      <c r="X1510" s="12"/>
      <c r="Y1510" s="12"/>
      <c r="Z1510" s="12"/>
    </row>
    <row r="1511" ht="15.0" customHeight="1">
      <c r="A1511" s="349"/>
      <c r="B1511" s="350"/>
      <c r="C1511" s="12"/>
      <c r="D1511" s="12"/>
      <c r="E1511" s="12"/>
      <c r="F1511" s="12"/>
      <c r="G1511" s="12"/>
      <c r="H1511" s="12"/>
      <c r="I1511" s="12"/>
      <c r="J1511" s="12"/>
      <c r="K1511" s="12"/>
      <c r="L1511" s="12"/>
      <c r="M1511" s="12"/>
      <c r="N1511" s="12"/>
      <c r="O1511" s="12"/>
      <c r="P1511" s="12"/>
      <c r="Q1511" s="12"/>
      <c r="R1511" s="12"/>
      <c r="S1511" s="12"/>
      <c r="T1511" s="12"/>
      <c r="U1511" s="12"/>
      <c r="V1511" s="12"/>
      <c r="W1511" s="12"/>
      <c r="X1511" s="12"/>
      <c r="Y1511" s="12"/>
      <c r="Z1511" s="12"/>
    </row>
    <row r="1512" ht="15.0" customHeight="1">
      <c r="A1512" s="171" t="s">
        <v>1916</v>
      </c>
      <c r="B1512" s="171">
        <v>1.0</v>
      </c>
      <c r="C1512" s="12"/>
      <c r="D1512" s="12"/>
      <c r="E1512" s="12"/>
      <c r="F1512" s="12"/>
      <c r="G1512" s="12"/>
      <c r="H1512" s="12"/>
      <c r="I1512" s="12"/>
      <c r="J1512" s="12"/>
      <c r="K1512" s="12"/>
      <c r="L1512" s="12"/>
      <c r="M1512" s="12"/>
      <c r="N1512" s="12"/>
      <c r="O1512" s="12"/>
      <c r="P1512" s="12"/>
      <c r="Q1512" s="12"/>
      <c r="R1512" s="12"/>
      <c r="S1512" s="12"/>
      <c r="T1512" s="12"/>
      <c r="U1512" s="12"/>
      <c r="V1512" s="12"/>
      <c r="W1512" s="12"/>
      <c r="X1512" s="12"/>
      <c r="Y1512" s="12"/>
      <c r="Z1512" s="12"/>
    </row>
    <row r="1513" ht="15.0" customHeight="1">
      <c r="A1513" s="352">
        <v>25000.0</v>
      </c>
      <c r="B1513" s="113">
        <f>IF(PT=10,5%,6%)</f>
        <v>0.05</v>
      </c>
      <c r="C1513" s="12"/>
      <c r="D1513" s="12"/>
      <c r="E1513" s="12"/>
      <c r="F1513" s="12"/>
      <c r="G1513" s="12"/>
      <c r="H1513" s="12"/>
      <c r="I1513" s="12"/>
      <c r="J1513" s="12"/>
      <c r="K1513" s="12"/>
      <c r="L1513" s="12"/>
      <c r="M1513" s="12"/>
      <c r="N1513" s="12"/>
      <c r="O1513" s="12"/>
      <c r="P1513" s="12"/>
      <c r="Q1513" s="12"/>
      <c r="R1513" s="12"/>
      <c r="S1513" s="12"/>
      <c r="T1513" s="12"/>
      <c r="U1513" s="12"/>
      <c r="V1513" s="12"/>
      <c r="W1513" s="12"/>
      <c r="X1513" s="12"/>
      <c r="Y1513" s="12"/>
      <c r="Z1513" s="12"/>
    </row>
    <row r="1514" ht="15.0" customHeight="1">
      <c r="A1514" s="353">
        <v>100000.0</v>
      </c>
      <c r="B1514" s="113">
        <f>IF(PT=10,4%,4%)</f>
        <v>0.04</v>
      </c>
      <c r="C1514" s="12"/>
      <c r="D1514" s="12"/>
      <c r="E1514" s="12"/>
      <c r="F1514" s="12"/>
      <c r="G1514" s="12"/>
      <c r="H1514" s="12"/>
      <c r="I1514" s="12"/>
      <c r="J1514" s="12"/>
      <c r="K1514" s="12"/>
      <c r="L1514" s="12"/>
      <c r="M1514" s="12"/>
      <c r="N1514" s="12"/>
      <c r="O1514" s="12"/>
      <c r="P1514" s="12"/>
      <c r="Q1514" s="12"/>
      <c r="R1514" s="12"/>
      <c r="S1514" s="12"/>
      <c r="T1514" s="12"/>
      <c r="U1514" s="12"/>
      <c r="V1514" s="12"/>
      <c r="W1514" s="12"/>
      <c r="X1514" s="12"/>
      <c r="Y1514" s="12"/>
      <c r="Z1514" s="12"/>
    </row>
    <row r="1515" ht="15.0" customHeight="1">
      <c r="A1515" s="352">
        <v>500000.0</v>
      </c>
      <c r="B1515" s="113">
        <f>IF(PT=10,3%,3%)</f>
        <v>0.03</v>
      </c>
      <c r="C1515" s="12"/>
      <c r="D1515" s="12"/>
      <c r="E1515" s="12"/>
      <c r="F1515" s="12"/>
      <c r="G1515" s="12"/>
      <c r="H1515" s="12"/>
      <c r="I1515" s="12"/>
      <c r="J1515" s="12"/>
      <c r="K1515" s="12"/>
      <c r="L1515" s="12"/>
      <c r="M1515" s="12"/>
      <c r="N1515" s="12"/>
      <c r="O1515" s="12"/>
      <c r="P1515" s="12"/>
      <c r="Q1515" s="12"/>
      <c r="R1515" s="12"/>
      <c r="S1515" s="12"/>
      <c r="T1515" s="12"/>
      <c r="U1515" s="12"/>
      <c r="V1515" s="12"/>
      <c r="W1515" s="12"/>
      <c r="X1515" s="12"/>
      <c r="Y1515" s="12"/>
      <c r="Z1515" s="12"/>
    </row>
    <row r="1516" ht="15.0" customHeight="1">
      <c r="A1516" s="352">
        <v>1.0E7</v>
      </c>
      <c r="B1516" s="113">
        <f>IF(PT=10,0.25%,0.5%)</f>
        <v>0.0025</v>
      </c>
      <c r="C1516" s="12"/>
      <c r="D1516" s="12"/>
      <c r="E1516" s="12"/>
      <c r="F1516" s="12"/>
      <c r="G1516" s="12"/>
      <c r="H1516" s="12"/>
      <c r="I1516" s="12"/>
      <c r="J1516" s="12"/>
      <c r="K1516" s="12"/>
      <c r="L1516" s="12"/>
      <c r="M1516" s="12"/>
      <c r="N1516" s="12"/>
      <c r="O1516" s="12"/>
      <c r="P1516" s="12"/>
      <c r="Q1516" s="12"/>
      <c r="R1516" s="12"/>
      <c r="S1516" s="12"/>
      <c r="T1516" s="12"/>
      <c r="U1516" s="12"/>
      <c r="V1516" s="12"/>
      <c r="W1516" s="12"/>
      <c r="X1516" s="12"/>
      <c r="Y1516" s="12"/>
      <c r="Z1516" s="12"/>
    </row>
    <row r="1517" ht="15.0" customHeight="1">
      <c r="A1517" s="349"/>
      <c r="B1517" s="350"/>
      <c r="C1517" s="12"/>
      <c r="D1517" s="12"/>
      <c r="E1517" s="12"/>
      <c r="F1517" s="12"/>
      <c r="G1517" s="12"/>
      <c r="H1517" s="12"/>
      <c r="I1517" s="12"/>
      <c r="J1517" s="12"/>
      <c r="K1517" s="12"/>
      <c r="L1517" s="12"/>
      <c r="M1517" s="12"/>
      <c r="N1517" s="12"/>
      <c r="O1517" s="12"/>
      <c r="P1517" s="12"/>
      <c r="Q1517" s="12"/>
      <c r="R1517" s="12"/>
      <c r="S1517" s="12"/>
      <c r="T1517" s="12"/>
      <c r="U1517" s="12"/>
      <c r="V1517" s="12"/>
      <c r="W1517" s="12"/>
      <c r="X1517" s="12"/>
      <c r="Y1517" s="12"/>
      <c r="Z1517" s="12"/>
    </row>
    <row r="1518" ht="15.0" customHeight="1">
      <c r="A1518" s="357" t="s">
        <v>1535</v>
      </c>
      <c r="B1518" s="350"/>
      <c r="C1518" s="12"/>
      <c r="D1518" s="12"/>
      <c r="E1518" s="12"/>
      <c r="F1518" s="12"/>
      <c r="G1518" s="12"/>
      <c r="H1518" s="12"/>
      <c r="I1518" s="12"/>
      <c r="J1518" s="12"/>
      <c r="K1518" s="12"/>
      <c r="L1518" s="12"/>
      <c r="M1518" s="12"/>
      <c r="N1518" s="12"/>
      <c r="O1518" s="12"/>
      <c r="P1518" s="12"/>
      <c r="Q1518" s="12"/>
      <c r="R1518" s="12"/>
      <c r="S1518" s="12"/>
      <c r="T1518" s="12"/>
      <c r="U1518" s="12"/>
      <c r="V1518" s="12"/>
      <c r="W1518" s="12"/>
      <c r="X1518" s="12"/>
      <c r="Y1518" s="12"/>
      <c r="Z1518" s="12"/>
    </row>
    <row r="1519" ht="15.0" customHeight="1">
      <c r="A1519" s="349"/>
      <c r="B1519" s="350"/>
      <c r="C1519" s="12"/>
      <c r="D1519" s="12"/>
      <c r="E1519" s="12"/>
      <c r="F1519" s="12"/>
      <c r="G1519" s="12"/>
      <c r="H1519" s="12"/>
      <c r="I1519" s="12"/>
      <c r="J1519" s="12"/>
      <c r="K1519" s="12"/>
      <c r="L1519" s="12"/>
      <c r="M1519" s="12"/>
      <c r="N1519" s="12"/>
      <c r="O1519" s="12"/>
      <c r="P1519" s="12"/>
      <c r="Q1519" s="12"/>
      <c r="R1519" s="12"/>
      <c r="S1519" s="12"/>
      <c r="T1519" s="12"/>
      <c r="U1519" s="12"/>
      <c r="V1519" s="12"/>
      <c r="W1519" s="12"/>
      <c r="X1519" s="12"/>
      <c r="Y1519" s="12"/>
      <c r="Z1519" s="12"/>
    </row>
    <row r="1520" ht="15.0" customHeight="1">
      <c r="A1520" s="291" t="s">
        <v>1917</v>
      </c>
      <c r="B1520" s="291" t="s">
        <v>1918</v>
      </c>
      <c r="C1520" s="12"/>
      <c r="D1520" s="12"/>
      <c r="E1520" s="12"/>
      <c r="F1520" s="12"/>
      <c r="G1520" s="12"/>
      <c r="H1520" s="12"/>
      <c r="I1520" s="12"/>
      <c r="J1520" s="12"/>
      <c r="K1520" s="12"/>
      <c r="L1520" s="12"/>
      <c r="M1520" s="12"/>
      <c r="N1520" s="12"/>
      <c r="O1520" s="12"/>
      <c r="P1520" s="12"/>
      <c r="Q1520" s="12"/>
      <c r="R1520" s="12"/>
      <c r="S1520" s="12"/>
      <c r="T1520" s="12"/>
      <c r="U1520" s="12"/>
      <c r="V1520" s="12"/>
      <c r="W1520" s="12"/>
      <c r="X1520" s="12"/>
      <c r="Y1520" s="12"/>
      <c r="Z1520" s="12"/>
    </row>
    <row r="1521" ht="15.0" customHeight="1">
      <c r="A1521" s="332">
        <v>1.0</v>
      </c>
      <c r="B1521" s="351">
        <v>0.3</v>
      </c>
      <c r="C1521" s="12"/>
      <c r="D1521" s="12"/>
      <c r="E1521" s="12"/>
      <c r="F1521" s="12"/>
      <c r="G1521" s="12"/>
      <c r="H1521" s="12"/>
      <c r="I1521" s="12"/>
      <c r="J1521" s="12"/>
      <c r="K1521" s="12"/>
      <c r="L1521" s="12"/>
      <c r="M1521" s="12"/>
      <c r="N1521" s="12"/>
      <c r="O1521" s="12"/>
      <c r="P1521" s="12"/>
      <c r="Q1521" s="12"/>
      <c r="R1521" s="12"/>
      <c r="S1521" s="12"/>
      <c r="T1521" s="12"/>
      <c r="U1521" s="12"/>
      <c r="V1521" s="12"/>
      <c r="W1521" s="12"/>
      <c r="X1521" s="12"/>
      <c r="Y1521" s="12"/>
      <c r="Z1521" s="12"/>
    </row>
    <row r="1522" ht="15.0" customHeight="1">
      <c r="A1522" s="332">
        <v>2.0</v>
      </c>
      <c r="B1522" s="351">
        <v>0.04</v>
      </c>
      <c r="C1522" s="12"/>
      <c r="D1522" s="12"/>
      <c r="E1522" s="12"/>
      <c r="F1522" s="12"/>
      <c r="G1522" s="12"/>
      <c r="H1522" s="12"/>
      <c r="I1522" s="12"/>
      <c r="J1522" s="12"/>
      <c r="K1522" s="12"/>
      <c r="L1522" s="12"/>
      <c r="M1522" s="12"/>
      <c r="N1522" s="12"/>
      <c r="O1522" s="12"/>
      <c r="P1522" s="12"/>
      <c r="Q1522" s="12"/>
      <c r="R1522" s="12"/>
      <c r="S1522" s="12"/>
      <c r="T1522" s="12"/>
      <c r="U1522" s="12"/>
      <c r="V1522" s="12"/>
      <c r="W1522" s="12"/>
      <c r="X1522" s="12"/>
      <c r="Y1522" s="12"/>
      <c r="Z1522" s="12"/>
    </row>
    <row r="1523" ht="15.0" customHeight="1">
      <c r="A1523" s="332">
        <v>3.0</v>
      </c>
      <c r="B1523" s="351">
        <v>0.04</v>
      </c>
      <c r="C1523" s="12"/>
      <c r="D1523" s="12"/>
      <c r="E1523" s="12"/>
      <c r="F1523" s="12"/>
      <c r="G1523" s="12"/>
      <c r="H1523" s="12"/>
      <c r="I1523" s="12"/>
      <c r="J1523" s="12"/>
      <c r="K1523" s="12"/>
      <c r="L1523" s="12"/>
      <c r="M1523" s="12"/>
      <c r="N1523" s="12"/>
      <c r="O1523" s="12"/>
      <c r="P1523" s="12"/>
      <c r="Q1523" s="12"/>
      <c r="R1523" s="12"/>
      <c r="S1523" s="12"/>
      <c r="T1523" s="12"/>
      <c r="U1523" s="12"/>
      <c r="V1523" s="12"/>
      <c r="W1523" s="12"/>
      <c r="X1523" s="12"/>
      <c r="Y1523" s="12"/>
      <c r="Z1523" s="12"/>
    </row>
    <row r="1524" ht="15.0" customHeight="1">
      <c r="A1524" s="332">
        <v>4.0</v>
      </c>
      <c r="B1524" s="351">
        <v>0.04</v>
      </c>
      <c r="C1524" s="12"/>
      <c r="D1524" s="12"/>
      <c r="E1524" s="12"/>
      <c r="F1524" s="12"/>
      <c r="G1524" s="12"/>
      <c r="H1524" s="12"/>
      <c r="I1524" s="12"/>
      <c r="J1524" s="12"/>
      <c r="K1524" s="12"/>
      <c r="L1524" s="12"/>
      <c r="M1524" s="12"/>
      <c r="N1524" s="12"/>
      <c r="O1524" s="12"/>
      <c r="P1524" s="12"/>
      <c r="Q1524" s="12"/>
      <c r="R1524" s="12"/>
      <c r="S1524" s="12"/>
      <c r="T1524" s="12"/>
      <c r="U1524" s="12"/>
      <c r="V1524" s="12"/>
      <c r="W1524" s="12"/>
      <c r="X1524" s="12"/>
      <c r="Y1524" s="12"/>
      <c r="Z1524" s="12"/>
    </row>
    <row r="1525" ht="15.0" customHeight="1">
      <c r="A1525" s="332">
        <v>5.0</v>
      </c>
      <c r="B1525" s="351">
        <v>0.04</v>
      </c>
      <c r="C1525" s="12"/>
      <c r="D1525" s="12"/>
      <c r="E1525" s="12"/>
      <c r="F1525" s="12"/>
      <c r="G1525" s="12"/>
      <c r="H1525" s="12"/>
      <c r="I1525" s="12"/>
      <c r="J1525" s="12"/>
      <c r="K1525" s="12"/>
      <c r="L1525" s="12"/>
      <c r="M1525" s="12"/>
      <c r="N1525" s="12"/>
      <c r="O1525" s="12"/>
      <c r="P1525" s="12"/>
      <c r="Q1525" s="12"/>
      <c r="R1525" s="12"/>
      <c r="S1525" s="12"/>
      <c r="T1525" s="12"/>
      <c r="U1525" s="12"/>
      <c r="V1525" s="12"/>
      <c r="W1525" s="12"/>
      <c r="X1525" s="12"/>
      <c r="Y1525" s="12"/>
      <c r="Z1525" s="12"/>
    </row>
    <row r="1526" ht="15.0" customHeight="1">
      <c r="A1526" s="171">
        <v>6.0</v>
      </c>
      <c r="B1526" s="351">
        <v>0.0</v>
      </c>
      <c r="C1526" s="12"/>
      <c r="D1526" s="12"/>
      <c r="E1526" s="12"/>
      <c r="F1526" s="12"/>
      <c r="G1526" s="12"/>
      <c r="H1526" s="12"/>
      <c r="I1526" s="12"/>
      <c r="J1526" s="12"/>
      <c r="K1526" s="12"/>
      <c r="L1526" s="12"/>
      <c r="M1526" s="12"/>
      <c r="N1526" s="12"/>
      <c r="O1526" s="12"/>
      <c r="P1526" s="12"/>
      <c r="Q1526" s="12"/>
      <c r="R1526" s="12"/>
      <c r="S1526" s="12"/>
      <c r="T1526" s="12"/>
      <c r="U1526" s="12"/>
      <c r="V1526" s="12"/>
      <c r="W1526" s="12"/>
      <c r="X1526" s="12"/>
      <c r="Y1526" s="12"/>
      <c r="Z1526" s="12"/>
    </row>
    <row r="1527" ht="15.0" customHeight="1">
      <c r="A1527" s="349"/>
      <c r="B1527" s="350"/>
      <c r="C1527" s="12"/>
      <c r="D1527" s="12"/>
      <c r="E1527" s="12"/>
      <c r="F1527" s="12"/>
      <c r="G1527" s="12"/>
      <c r="H1527" s="12"/>
      <c r="I1527" s="12"/>
      <c r="J1527" s="12"/>
      <c r="K1527" s="12"/>
      <c r="L1527" s="12"/>
      <c r="M1527" s="12"/>
      <c r="N1527" s="12"/>
      <c r="O1527" s="12"/>
      <c r="P1527" s="12"/>
      <c r="Q1527" s="12"/>
      <c r="R1527" s="12"/>
      <c r="S1527" s="12"/>
      <c r="T1527" s="12"/>
      <c r="U1527" s="12"/>
      <c r="V1527" s="12"/>
      <c r="W1527" s="12"/>
      <c r="X1527" s="12"/>
      <c r="Y1527" s="12"/>
      <c r="Z1527" s="12"/>
    </row>
    <row r="1528" ht="15.0" customHeight="1">
      <c r="A1528" s="357" t="s">
        <v>1539</v>
      </c>
      <c r="B1528" s="350"/>
      <c r="C1528" s="12"/>
      <c r="D1528" s="12"/>
      <c r="E1528" s="12"/>
      <c r="F1528" s="12"/>
      <c r="G1528" s="12"/>
      <c r="H1528" s="12"/>
      <c r="I1528" s="12"/>
      <c r="J1528" s="12"/>
      <c r="K1528" s="12"/>
      <c r="L1528" s="12"/>
      <c r="M1528" s="12"/>
      <c r="N1528" s="12"/>
      <c r="O1528" s="12"/>
      <c r="P1528" s="12"/>
      <c r="Q1528" s="12"/>
      <c r="R1528" s="12"/>
      <c r="S1528" s="12"/>
      <c r="T1528" s="12"/>
      <c r="U1528" s="12"/>
      <c r="V1528" s="12"/>
      <c r="W1528" s="12"/>
      <c r="X1528" s="12"/>
      <c r="Y1528" s="12"/>
      <c r="Z1528" s="12"/>
    </row>
    <row r="1529" ht="15.0" customHeight="1">
      <c r="A1529" s="349"/>
      <c r="B1529" s="350"/>
      <c r="C1529" s="12"/>
      <c r="D1529" s="12"/>
      <c r="E1529" s="12"/>
      <c r="F1529" s="12"/>
      <c r="G1529" s="12"/>
      <c r="H1529" s="12"/>
      <c r="I1529" s="12"/>
      <c r="J1529" s="12"/>
      <c r="K1529" s="12"/>
      <c r="L1529" s="12"/>
      <c r="M1529" s="12"/>
      <c r="N1529" s="12"/>
      <c r="O1529" s="12"/>
      <c r="P1529" s="12"/>
      <c r="Q1529" s="12"/>
      <c r="R1529" s="12"/>
      <c r="S1529" s="12"/>
      <c r="T1529" s="12"/>
      <c r="U1529" s="12"/>
      <c r="V1529" s="12"/>
      <c r="W1529" s="12"/>
      <c r="X1529" s="12"/>
      <c r="Y1529" s="12"/>
      <c r="Z1529" s="12"/>
    </row>
    <row r="1530" ht="15.0" customHeight="1">
      <c r="A1530" s="171" t="s">
        <v>1916</v>
      </c>
      <c r="B1530" s="171">
        <v>1.0</v>
      </c>
      <c r="C1530" s="171">
        <v>2.0</v>
      </c>
      <c r="D1530" s="171">
        <v>3.0</v>
      </c>
      <c r="E1530" s="171">
        <v>4.0</v>
      </c>
      <c r="F1530" s="171">
        <v>5.0</v>
      </c>
      <c r="G1530" s="171">
        <v>6.0</v>
      </c>
      <c r="H1530" s="171">
        <v>7.0</v>
      </c>
      <c r="I1530" s="171">
        <v>8.0</v>
      </c>
      <c r="J1530" s="171">
        <v>9.0</v>
      </c>
      <c r="K1530" s="171">
        <v>10.0</v>
      </c>
      <c r="L1530" s="171">
        <v>11.0</v>
      </c>
      <c r="M1530" s="12"/>
      <c r="N1530" s="12"/>
      <c r="O1530" s="12"/>
      <c r="P1530" s="12"/>
      <c r="Q1530" s="12"/>
      <c r="R1530" s="12"/>
      <c r="S1530" s="12"/>
      <c r="T1530" s="12"/>
      <c r="U1530" s="12"/>
      <c r="V1530" s="12"/>
      <c r="W1530" s="12"/>
      <c r="X1530" s="12"/>
      <c r="Y1530" s="12"/>
      <c r="Z1530" s="12"/>
    </row>
    <row r="1531" ht="15.0" customHeight="1">
      <c r="A1531" s="322">
        <v>15000.0</v>
      </c>
      <c r="B1531" s="113">
        <v>0.3</v>
      </c>
      <c r="C1531" s="355">
        <v>0.12</v>
      </c>
      <c r="D1531" s="355">
        <v>0.03</v>
      </c>
      <c r="E1531" s="355">
        <v>0.03</v>
      </c>
      <c r="F1531" s="355">
        <v>0.03</v>
      </c>
      <c r="G1531" s="355">
        <v>0.01</v>
      </c>
      <c r="H1531" s="355">
        <v>0.01</v>
      </c>
      <c r="I1531" s="355">
        <v>0.01</v>
      </c>
      <c r="J1531" s="355">
        <v>0.01</v>
      </c>
      <c r="K1531" s="355">
        <v>0.01</v>
      </c>
      <c r="L1531" s="355">
        <v>0.0</v>
      </c>
      <c r="M1531" s="12"/>
      <c r="N1531" s="12"/>
      <c r="O1531" s="12"/>
      <c r="P1531" s="12"/>
      <c r="Q1531" s="12"/>
      <c r="R1531" s="12"/>
      <c r="S1531" s="12"/>
      <c r="T1531" s="12"/>
      <c r="U1531" s="12"/>
      <c r="V1531" s="12"/>
      <c r="W1531" s="12"/>
      <c r="X1531" s="12"/>
      <c r="Y1531" s="12"/>
      <c r="Z1531" s="12"/>
    </row>
    <row r="1532" ht="15.0" customHeight="1">
      <c r="A1532" s="352">
        <v>25000.0</v>
      </c>
      <c r="B1532" s="113">
        <v>0.28</v>
      </c>
      <c r="C1532" s="355">
        <v>0.12</v>
      </c>
      <c r="D1532" s="355">
        <v>0.03</v>
      </c>
      <c r="E1532" s="355">
        <v>0.03</v>
      </c>
      <c r="F1532" s="355">
        <v>0.03</v>
      </c>
      <c r="G1532" s="355">
        <v>0.01</v>
      </c>
      <c r="H1532" s="355">
        <v>0.01</v>
      </c>
      <c r="I1532" s="355">
        <v>0.01</v>
      </c>
      <c r="J1532" s="355">
        <v>0.01</v>
      </c>
      <c r="K1532" s="355">
        <v>0.01</v>
      </c>
      <c r="L1532" s="355">
        <v>0.0</v>
      </c>
      <c r="M1532" s="12"/>
      <c r="N1532" s="12"/>
      <c r="O1532" s="12"/>
      <c r="P1532" s="12"/>
      <c r="Q1532" s="12"/>
      <c r="R1532" s="12"/>
      <c r="S1532" s="12"/>
      <c r="T1532" s="12"/>
      <c r="U1532" s="12"/>
      <c r="V1532" s="12"/>
      <c r="W1532" s="12"/>
      <c r="X1532" s="12"/>
      <c r="Y1532" s="12"/>
      <c r="Z1532" s="12"/>
    </row>
    <row r="1533" ht="15.0" customHeight="1">
      <c r="A1533" s="352">
        <v>50000.0</v>
      </c>
      <c r="B1533" s="113">
        <v>0.26</v>
      </c>
      <c r="C1533" s="355">
        <v>0.12</v>
      </c>
      <c r="D1533" s="355">
        <v>0.03</v>
      </c>
      <c r="E1533" s="355">
        <v>0.03</v>
      </c>
      <c r="F1533" s="355">
        <v>0.03</v>
      </c>
      <c r="G1533" s="355">
        <v>0.01</v>
      </c>
      <c r="H1533" s="355">
        <v>0.01</v>
      </c>
      <c r="I1533" s="355">
        <v>0.01</v>
      </c>
      <c r="J1533" s="355">
        <v>0.01</v>
      </c>
      <c r="K1533" s="355">
        <v>0.01</v>
      </c>
      <c r="L1533" s="355">
        <v>0.0</v>
      </c>
      <c r="M1533" s="12"/>
      <c r="N1533" s="12"/>
      <c r="O1533" s="12"/>
      <c r="P1533" s="12"/>
      <c r="Q1533" s="12"/>
      <c r="R1533" s="12"/>
      <c r="S1533" s="12"/>
      <c r="T1533" s="12"/>
      <c r="U1533" s="12"/>
      <c r="V1533" s="12"/>
      <c r="W1533" s="12"/>
      <c r="X1533" s="12"/>
      <c r="Y1533" s="12"/>
      <c r="Z1533" s="12"/>
    </row>
    <row r="1534" ht="15.0" customHeight="1">
      <c r="A1534" s="352">
        <v>100000.0</v>
      </c>
      <c r="B1534" s="113">
        <v>0.24</v>
      </c>
      <c r="C1534" s="355">
        <v>0.12</v>
      </c>
      <c r="D1534" s="355">
        <v>0.03</v>
      </c>
      <c r="E1534" s="355">
        <v>0.03</v>
      </c>
      <c r="F1534" s="355">
        <v>0.03</v>
      </c>
      <c r="G1534" s="355">
        <v>0.01</v>
      </c>
      <c r="H1534" s="355">
        <v>0.01</v>
      </c>
      <c r="I1534" s="355">
        <v>0.01</v>
      </c>
      <c r="J1534" s="355">
        <v>0.01</v>
      </c>
      <c r="K1534" s="355">
        <v>0.01</v>
      </c>
      <c r="L1534" s="355">
        <v>0.0</v>
      </c>
      <c r="M1534" s="12"/>
      <c r="N1534" s="12"/>
      <c r="O1534" s="12"/>
      <c r="P1534" s="12"/>
      <c r="Q1534" s="12"/>
      <c r="R1534" s="12"/>
      <c r="S1534" s="12"/>
      <c r="T1534" s="12"/>
      <c r="U1534" s="12"/>
      <c r="V1534" s="12"/>
      <c r="W1534" s="12"/>
      <c r="X1534" s="12"/>
      <c r="Y1534" s="12"/>
      <c r="Z1534" s="12"/>
    </row>
    <row r="1535" ht="15.0" customHeight="1">
      <c r="A1535" s="349"/>
      <c r="B1535" s="350"/>
      <c r="C1535" s="12"/>
      <c r="D1535" s="12"/>
      <c r="E1535" s="12"/>
      <c r="F1535" s="12"/>
      <c r="G1535" s="12"/>
      <c r="H1535" s="12"/>
      <c r="I1535" s="12"/>
      <c r="J1535" s="12"/>
      <c r="K1535" s="12"/>
      <c r="L1535" s="12"/>
      <c r="M1535" s="12"/>
      <c r="N1535" s="12"/>
      <c r="O1535" s="12"/>
      <c r="P1535" s="12"/>
      <c r="Q1535" s="12"/>
      <c r="R1535" s="12"/>
      <c r="S1535" s="12"/>
      <c r="T1535" s="12"/>
      <c r="U1535" s="12"/>
      <c r="V1535" s="12"/>
      <c r="W1535" s="12"/>
      <c r="X1535" s="12"/>
      <c r="Y1535" s="12"/>
      <c r="Z1535" s="12"/>
    </row>
    <row r="1536" ht="15.0" customHeight="1">
      <c r="A1536" s="357" t="s">
        <v>1543</v>
      </c>
      <c r="B1536" s="350"/>
      <c r="C1536" s="12"/>
      <c r="D1536" s="12"/>
      <c r="E1536" s="12"/>
      <c r="F1536" s="12"/>
      <c r="G1536" s="12"/>
      <c r="H1536" s="12"/>
      <c r="I1536" s="12"/>
      <c r="J1536" s="12"/>
      <c r="K1536" s="12"/>
      <c r="L1536" s="12"/>
      <c r="M1536" s="12"/>
      <c r="N1536" s="12"/>
      <c r="O1536" s="12"/>
      <c r="P1536" s="12"/>
      <c r="Q1536" s="12"/>
      <c r="R1536" s="12"/>
      <c r="S1536" s="12"/>
      <c r="T1536" s="12"/>
      <c r="U1536" s="12"/>
      <c r="V1536" s="12"/>
      <c r="W1536" s="12"/>
      <c r="X1536" s="12"/>
      <c r="Y1536" s="12"/>
      <c r="Z1536" s="12"/>
    </row>
    <row r="1537" ht="15.0" customHeight="1">
      <c r="A1537" s="349"/>
      <c r="B1537" s="350"/>
      <c r="C1537" s="12"/>
      <c r="D1537" s="12"/>
      <c r="E1537" s="12"/>
      <c r="F1537" s="12"/>
      <c r="G1537" s="12"/>
      <c r="H1537" s="12"/>
      <c r="I1537" s="12"/>
      <c r="J1537" s="12"/>
      <c r="K1537" s="12"/>
      <c r="L1537" s="12"/>
      <c r="M1537" s="12"/>
      <c r="N1537" s="12"/>
      <c r="O1537" s="12"/>
      <c r="P1537" s="12"/>
      <c r="Q1537" s="12"/>
      <c r="R1537" s="12"/>
      <c r="S1537" s="12"/>
      <c r="T1537" s="12"/>
      <c r="U1537" s="12"/>
      <c r="V1537" s="12"/>
      <c r="W1537" s="12"/>
      <c r="X1537" s="12"/>
      <c r="Y1537" s="12"/>
      <c r="Z1537" s="12"/>
    </row>
    <row r="1538" ht="15.0" customHeight="1">
      <c r="A1538" s="171" t="s">
        <v>1916</v>
      </c>
      <c r="B1538" s="171">
        <v>1.0</v>
      </c>
      <c r="C1538" s="171">
        <v>2.0</v>
      </c>
      <c r="D1538" s="171">
        <v>3.0</v>
      </c>
      <c r="E1538" s="171">
        <v>4.0</v>
      </c>
      <c r="F1538" s="171">
        <v>5.0</v>
      </c>
      <c r="G1538" s="171">
        <v>6.0</v>
      </c>
      <c r="H1538" s="171">
        <v>7.0</v>
      </c>
      <c r="I1538" s="171">
        <v>8.0</v>
      </c>
      <c r="J1538" s="171">
        <v>9.0</v>
      </c>
      <c r="K1538" s="171">
        <v>10.0</v>
      </c>
      <c r="L1538" s="171">
        <v>11.0</v>
      </c>
      <c r="M1538" s="171">
        <v>12.0</v>
      </c>
      <c r="N1538" s="171">
        <v>13.0</v>
      </c>
      <c r="O1538" s="171">
        <v>14.0</v>
      </c>
      <c r="P1538" s="171">
        <v>15.0</v>
      </c>
      <c r="Q1538" s="171">
        <v>16.0</v>
      </c>
      <c r="R1538" s="12"/>
      <c r="S1538" s="12"/>
      <c r="T1538" s="12"/>
      <c r="U1538" s="12"/>
      <c r="V1538" s="12"/>
      <c r="W1538" s="12"/>
      <c r="X1538" s="12"/>
      <c r="Y1538" s="12"/>
      <c r="Z1538" s="12"/>
    </row>
    <row r="1539" ht="15.0" customHeight="1">
      <c r="A1539" s="322">
        <v>0.0</v>
      </c>
      <c r="B1539" s="113">
        <v>0.03</v>
      </c>
      <c r="C1539" s="355">
        <v>0.03</v>
      </c>
      <c r="D1539" s="355">
        <v>0.03</v>
      </c>
      <c r="E1539" s="355">
        <v>0.02</v>
      </c>
      <c r="F1539" s="355">
        <v>0.02</v>
      </c>
      <c r="G1539" s="355">
        <v>0.02</v>
      </c>
      <c r="H1539" s="355">
        <v>0.02</v>
      </c>
      <c r="I1539" s="355">
        <v>0.02</v>
      </c>
      <c r="J1539" s="355">
        <v>0.02</v>
      </c>
      <c r="K1539" s="355">
        <v>0.02</v>
      </c>
      <c r="L1539" s="355">
        <v>0.01</v>
      </c>
      <c r="M1539" s="355">
        <v>0.01</v>
      </c>
      <c r="N1539" s="355">
        <v>0.01</v>
      </c>
      <c r="O1539" s="355">
        <v>0.01</v>
      </c>
      <c r="P1539" s="355">
        <v>0.01</v>
      </c>
      <c r="Q1539" s="355">
        <v>0.0</v>
      </c>
      <c r="R1539" s="12"/>
      <c r="S1539" s="12"/>
      <c r="T1539" s="12"/>
      <c r="U1539" s="12"/>
      <c r="V1539" s="12"/>
      <c r="W1539" s="12"/>
      <c r="X1539" s="12"/>
      <c r="Y1539" s="12"/>
      <c r="Z1539" s="12"/>
    </row>
    <row r="1540" ht="15.0" customHeight="1">
      <c r="A1540" s="352">
        <v>30000.0</v>
      </c>
      <c r="B1540" s="113">
        <v>0.02</v>
      </c>
      <c r="C1540" s="355">
        <v>0.02</v>
      </c>
      <c r="D1540" s="355">
        <v>0.02</v>
      </c>
      <c r="E1540" s="355">
        <v>0.02</v>
      </c>
      <c r="F1540" s="355">
        <v>0.02</v>
      </c>
      <c r="G1540" s="355">
        <v>0.02</v>
      </c>
      <c r="H1540" s="355">
        <v>0.02</v>
      </c>
      <c r="I1540" s="355">
        <v>0.02</v>
      </c>
      <c r="J1540" s="355">
        <v>0.02</v>
      </c>
      <c r="K1540" s="355">
        <v>0.02</v>
      </c>
      <c r="L1540" s="355">
        <v>0.01</v>
      </c>
      <c r="M1540" s="355">
        <v>0.01</v>
      </c>
      <c r="N1540" s="355">
        <v>0.01</v>
      </c>
      <c r="O1540" s="355">
        <v>0.01</v>
      </c>
      <c r="P1540" s="355">
        <v>0.01</v>
      </c>
      <c r="Q1540" s="355">
        <v>0.0</v>
      </c>
      <c r="R1540" s="12"/>
      <c r="S1540" s="12"/>
      <c r="T1540" s="12"/>
      <c r="U1540" s="12"/>
      <c r="V1540" s="12"/>
      <c r="W1540" s="12"/>
      <c r="X1540" s="12"/>
      <c r="Y1540" s="12"/>
      <c r="Z1540" s="12"/>
    </row>
    <row r="1541" ht="15.0" customHeight="1">
      <c r="A1541" s="349"/>
      <c r="B1541" s="350"/>
      <c r="C1541" s="12"/>
      <c r="D1541" s="12"/>
      <c r="E1541" s="12"/>
      <c r="F1541" s="12"/>
      <c r="G1541" s="12"/>
      <c r="H1541" s="12"/>
      <c r="I1541" s="12"/>
      <c r="J1541" s="12"/>
      <c r="K1541" s="12"/>
      <c r="L1541" s="12"/>
      <c r="M1541" s="12"/>
      <c r="N1541" s="12"/>
      <c r="O1541" s="12"/>
      <c r="P1541" s="12"/>
      <c r="Q1541" s="12"/>
      <c r="R1541" s="12"/>
      <c r="S1541" s="12"/>
      <c r="T1541" s="12"/>
      <c r="U1541" s="12"/>
      <c r="V1541" s="12"/>
      <c r="W1541" s="12"/>
      <c r="X1541" s="12"/>
      <c r="Y1541" s="12"/>
      <c r="Z1541" s="12"/>
    </row>
    <row r="1542" ht="15.0" customHeight="1">
      <c r="A1542" s="357" t="s">
        <v>1547</v>
      </c>
      <c r="B1542" s="350"/>
      <c r="C1542" s="12"/>
      <c r="D1542" s="12"/>
      <c r="E1542" s="12"/>
      <c r="F1542" s="12"/>
      <c r="G1542" s="12"/>
      <c r="H1542" s="12"/>
      <c r="I1542" s="12"/>
      <c r="J1542" s="12"/>
      <c r="K1542" s="12"/>
      <c r="L1542" s="12"/>
      <c r="M1542" s="12"/>
      <c r="N1542" s="12"/>
      <c r="O1542" s="12"/>
      <c r="P1542" s="12"/>
      <c r="Q1542" s="12"/>
      <c r="R1542" s="12"/>
      <c r="S1542" s="12"/>
      <c r="T1542" s="12"/>
      <c r="U1542" s="12"/>
      <c r="V1542" s="12"/>
      <c r="W1542" s="12"/>
      <c r="X1542" s="12"/>
      <c r="Y1542" s="12"/>
      <c r="Z1542" s="12"/>
    </row>
    <row r="1543" ht="15.0" customHeight="1">
      <c r="A1543" s="349"/>
      <c r="B1543" s="350"/>
      <c r="C1543" s="12"/>
      <c r="D1543" s="12"/>
      <c r="E1543" s="12"/>
      <c r="F1543" s="12"/>
      <c r="G1543" s="12"/>
      <c r="H1543" s="12"/>
      <c r="I1543" s="12"/>
      <c r="J1543" s="12"/>
      <c r="K1543" s="12"/>
      <c r="L1543" s="12"/>
      <c r="M1543" s="12"/>
      <c r="N1543" s="12"/>
      <c r="O1543" s="12"/>
      <c r="P1543" s="12"/>
      <c r="Q1543" s="12"/>
      <c r="R1543" s="12"/>
      <c r="S1543" s="12"/>
      <c r="T1543" s="12"/>
      <c r="U1543" s="12"/>
      <c r="V1543" s="12"/>
      <c r="W1543" s="12"/>
      <c r="X1543" s="12"/>
      <c r="Y1543" s="12"/>
      <c r="Z1543" s="12"/>
    </row>
    <row r="1544" ht="15.0" customHeight="1">
      <c r="A1544" s="291" t="s">
        <v>1917</v>
      </c>
      <c r="B1544" s="291" t="s">
        <v>1918</v>
      </c>
      <c r="C1544" s="12"/>
      <c r="D1544" s="12"/>
      <c r="E1544" s="12"/>
      <c r="F1544" s="12"/>
      <c r="G1544" s="12"/>
      <c r="H1544" s="12"/>
      <c r="I1544" s="12"/>
      <c r="J1544" s="12"/>
      <c r="K1544" s="12"/>
      <c r="L1544" s="12"/>
      <c r="M1544" s="12"/>
      <c r="N1544" s="12"/>
      <c r="O1544" s="12"/>
      <c r="P1544" s="12"/>
      <c r="Q1544" s="12"/>
      <c r="R1544" s="12"/>
      <c r="S1544" s="12"/>
      <c r="T1544" s="12"/>
      <c r="U1544" s="12"/>
      <c r="V1544" s="12"/>
      <c r="W1544" s="12"/>
      <c r="X1544" s="12"/>
      <c r="Y1544" s="12"/>
      <c r="Z1544" s="12"/>
    </row>
    <row r="1545" ht="15.0" customHeight="1">
      <c r="A1545" s="332">
        <v>1.0</v>
      </c>
      <c r="B1545" s="351">
        <v>0.03</v>
      </c>
      <c r="C1545" s="12"/>
      <c r="D1545" s="12"/>
      <c r="E1545" s="12"/>
      <c r="F1545" s="12"/>
      <c r="G1545" s="12"/>
      <c r="H1545" s="12"/>
      <c r="I1545" s="12"/>
      <c r="J1545" s="12"/>
      <c r="K1545" s="12"/>
      <c r="L1545" s="12"/>
      <c r="M1545" s="12"/>
      <c r="N1545" s="12"/>
      <c r="O1545" s="12"/>
      <c r="P1545" s="12"/>
      <c r="Q1545" s="12"/>
      <c r="R1545" s="12"/>
      <c r="S1545" s="12"/>
      <c r="T1545" s="12"/>
      <c r="U1545" s="12"/>
      <c r="V1545" s="12"/>
      <c r="W1545" s="12"/>
      <c r="X1545" s="12"/>
      <c r="Y1545" s="12"/>
      <c r="Z1545" s="12"/>
    </row>
    <row r="1546" ht="15.0" customHeight="1">
      <c r="A1546" s="332">
        <v>2.0</v>
      </c>
      <c r="B1546" s="351">
        <v>0.02</v>
      </c>
      <c r="C1546" s="12"/>
      <c r="D1546" s="12"/>
      <c r="E1546" s="12"/>
      <c r="F1546" s="12"/>
      <c r="G1546" s="12"/>
      <c r="H1546" s="12"/>
      <c r="I1546" s="12"/>
      <c r="J1546" s="12"/>
      <c r="K1546" s="12"/>
      <c r="L1546" s="12"/>
      <c r="M1546" s="12"/>
      <c r="N1546" s="12"/>
      <c r="O1546" s="12"/>
      <c r="P1546" s="12"/>
      <c r="Q1546" s="12"/>
      <c r="R1546" s="12"/>
      <c r="S1546" s="12"/>
      <c r="T1546" s="12"/>
      <c r="U1546" s="12"/>
      <c r="V1546" s="12"/>
      <c r="W1546" s="12"/>
      <c r="X1546" s="12"/>
      <c r="Y1546" s="12"/>
      <c r="Z1546" s="12"/>
    </row>
    <row r="1547" ht="15.0" customHeight="1">
      <c r="A1547" s="332">
        <v>3.0</v>
      </c>
      <c r="B1547" s="351">
        <v>0.02</v>
      </c>
      <c r="C1547" s="12"/>
      <c r="D1547" s="12"/>
      <c r="E1547" s="12"/>
      <c r="F1547" s="12"/>
      <c r="G1547" s="12"/>
      <c r="H1547" s="12"/>
      <c r="I1547" s="12"/>
      <c r="J1547" s="12"/>
      <c r="K1547" s="12"/>
      <c r="L1547" s="12"/>
      <c r="M1547" s="12"/>
      <c r="N1547" s="12"/>
      <c r="O1547" s="12"/>
      <c r="P1547" s="12"/>
      <c r="Q1547" s="12"/>
      <c r="R1547" s="12"/>
      <c r="S1547" s="12"/>
      <c r="T1547" s="12"/>
      <c r="U1547" s="12"/>
      <c r="V1547" s="12"/>
      <c r="W1547" s="12"/>
      <c r="X1547" s="12"/>
      <c r="Y1547" s="12"/>
      <c r="Z1547" s="12"/>
    </row>
    <row r="1548" ht="15.0" customHeight="1">
      <c r="A1548" s="332">
        <v>4.0</v>
      </c>
      <c r="B1548" s="351">
        <v>0.02</v>
      </c>
      <c r="C1548" s="12"/>
      <c r="D1548" s="12"/>
      <c r="E1548" s="12"/>
      <c r="F1548" s="12"/>
      <c r="G1548" s="12"/>
      <c r="H1548" s="12"/>
      <c r="I1548" s="12"/>
      <c r="J1548" s="12"/>
      <c r="K1548" s="12"/>
      <c r="L1548" s="12"/>
      <c r="M1548" s="12"/>
      <c r="N1548" s="12"/>
      <c r="O1548" s="12"/>
      <c r="P1548" s="12"/>
      <c r="Q1548" s="12"/>
      <c r="R1548" s="12"/>
      <c r="S1548" s="12"/>
      <c r="T1548" s="12"/>
      <c r="U1548" s="12"/>
      <c r="V1548" s="12"/>
      <c r="W1548" s="12"/>
      <c r="X1548" s="12"/>
      <c r="Y1548" s="12"/>
      <c r="Z1548" s="12"/>
    </row>
    <row r="1549" ht="15.0" customHeight="1">
      <c r="A1549" s="332">
        <v>5.0</v>
      </c>
      <c r="B1549" s="351">
        <v>0.02</v>
      </c>
      <c r="C1549" s="12"/>
      <c r="D1549" s="12"/>
      <c r="E1549" s="12"/>
      <c r="F1549" s="12"/>
      <c r="G1549" s="12"/>
      <c r="H1549" s="12"/>
      <c r="I1549" s="12"/>
      <c r="J1549" s="12"/>
      <c r="K1549" s="12"/>
      <c r="L1549" s="12"/>
      <c r="M1549" s="12"/>
      <c r="N1549" s="12"/>
      <c r="O1549" s="12"/>
      <c r="P1549" s="12"/>
      <c r="Q1549" s="12"/>
      <c r="R1549" s="12"/>
      <c r="S1549" s="12"/>
      <c r="T1549" s="12"/>
      <c r="U1549" s="12"/>
      <c r="V1549" s="12"/>
      <c r="W1549" s="12"/>
      <c r="X1549" s="12"/>
      <c r="Y1549" s="12"/>
      <c r="Z1549" s="12"/>
    </row>
    <row r="1550" ht="15.0" customHeight="1">
      <c r="A1550" s="171">
        <v>6.0</v>
      </c>
      <c r="B1550" s="351">
        <v>0.02</v>
      </c>
      <c r="C1550" s="12"/>
      <c r="D1550" s="12"/>
      <c r="E1550" s="12"/>
      <c r="F1550" s="12"/>
      <c r="G1550" s="12"/>
      <c r="H1550" s="12"/>
      <c r="I1550" s="12"/>
      <c r="J1550" s="12"/>
      <c r="K1550" s="12"/>
      <c r="L1550" s="12"/>
      <c r="M1550" s="12"/>
      <c r="N1550" s="12"/>
      <c r="O1550" s="12"/>
      <c r="P1550" s="12"/>
      <c r="Q1550" s="12"/>
      <c r="R1550" s="12"/>
      <c r="S1550" s="12"/>
      <c r="T1550" s="12"/>
      <c r="U1550" s="12"/>
      <c r="V1550" s="12"/>
      <c r="W1550" s="12"/>
      <c r="X1550" s="12"/>
      <c r="Y1550" s="12"/>
      <c r="Z1550" s="12"/>
    </row>
    <row r="1551" ht="15.0" customHeight="1">
      <c r="A1551" s="332">
        <v>7.0</v>
      </c>
      <c r="B1551" s="351">
        <v>0.02</v>
      </c>
      <c r="C1551" s="12"/>
      <c r="D1551" s="12"/>
      <c r="E1551" s="12"/>
      <c r="F1551" s="12"/>
      <c r="G1551" s="12"/>
      <c r="H1551" s="12"/>
      <c r="I1551" s="12"/>
      <c r="J1551" s="12"/>
      <c r="K1551" s="12"/>
      <c r="L1551" s="12"/>
      <c r="M1551" s="12"/>
      <c r="N1551" s="12"/>
      <c r="O1551" s="12"/>
      <c r="P1551" s="12"/>
      <c r="Q1551" s="12"/>
      <c r="R1551" s="12"/>
      <c r="S1551" s="12"/>
      <c r="T1551" s="12"/>
      <c r="U1551" s="12"/>
      <c r="V1551" s="12"/>
      <c r="W1551" s="12"/>
      <c r="X1551" s="12"/>
      <c r="Y1551" s="12"/>
      <c r="Z1551" s="12"/>
    </row>
    <row r="1552" ht="15.0" customHeight="1">
      <c r="A1552" s="171">
        <v>8.0</v>
      </c>
      <c r="B1552" s="351">
        <v>0.02</v>
      </c>
      <c r="C1552" s="12"/>
      <c r="D1552" s="12"/>
      <c r="E1552" s="12"/>
      <c r="F1552" s="12"/>
      <c r="G1552" s="12"/>
      <c r="H1552" s="12"/>
      <c r="I1552" s="12"/>
      <c r="J1552" s="12"/>
      <c r="K1552" s="12"/>
      <c r="L1552" s="12"/>
      <c r="M1552" s="12"/>
      <c r="N1552" s="12"/>
      <c r="O1552" s="12"/>
      <c r="P1552" s="12"/>
      <c r="Q1552" s="12"/>
      <c r="R1552" s="12"/>
      <c r="S1552" s="12"/>
      <c r="T1552" s="12"/>
      <c r="U1552" s="12"/>
      <c r="V1552" s="12"/>
      <c r="W1552" s="12"/>
      <c r="X1552" s="12"/>
      <c r="Y1552" s="12"/>
      <c r="Z1552" s="12"/>
    </row>
    <row r="1553" ht="15.0" customHeight="1">
      <c r="A1553" s="332">
        <v>9.0</v>
      </c>
      <c r="B1553" s="351">
        <v>0.02</v>
      </c>
      <c r="C1553" s="12"/>
      <c r="D1553" s="12"/>
      <c r="E1553" s="12"/>
      <c r="F1553" s="12"/>
      <c r="G1553" s="12"/>
      <c r="H1553" s="12"/>
      <c r="I1553" s="12"/>
      <c r="J1553" s="12"/>
      <c r="K1553" s="12"/>
      <c r="L1553" s="12"/>
      <c r="M1553" s="12"/>
      <c r="N1553" s="12"/>
      <c r="O1553" s="12"/>
      <c r="P1553" s="12"/>
      <c r="Q1553" s="12"/>
      <c r="R1553" s="12"/>
      <c r="S1553" s="12"/>
      <c r="T1553" s="12"/>
      <c r="U1553" s="12"/>
      <c r="V1553" s="12"/>
      <c r="W1553" s="12"/>
      <c r="X1553" s="12"/>
      <c r="Y1553" s="12"/>
      <c r="Z1553" s="12"/>
    </row>
    <row r="1554" ht="15.0" customHeight="1">
      <c r="A1554" s="171">
        <v>10.0</v>
      </c>
      <c r="B1554" s="351">
        <v>0.02</v>
      </c>
      <c r="C1554" s="12"/>
      <c r="D1554" s="12"/>
      <c r="E1554" s="12"/>
      <c r="F1554" s="12"/>
      <c r="G1554" s="12"/>
      <c r="H1554" s="12"/>
      <c r="I1554" s="12"/>
      <c r="J1554" s="12"/>
      <c r="K1554" s="12"/>
      <c r="L1554" s="12"/>
      <c r="M1554" s="12"/>
      <c r="N1554" s="12"/>
      <c r="O1554" s="12"/>
      <c r="P1554" s="12"/>
      <c r="Q1554" s="12"/>
      <c r="R1554" s="12"/>
      <c r="S1554" s="12"/>
      <c r="T1554" s="12"/>
      <c r="U1554" s="12"/>
      <c r="V1554" s="12"/>
      <c r="W1554" s="12"/>
      <c r="X1554" s="12"/>
      <c r="Y1554" s="12"/>
      <c r="Z1554" s="12"/>
    </row>
    <row r="1555" ht="15.0" customHeight="1">
      <c r="A1555" s="332">
        <v>11.0</v>
      </c>
      <c r="B1555" s="351">
        <v>0.01</v>
      </c>
      <c r="C1555" s="12"/>
      <c r="D1555" s="12"/>
      <c r="E1555" s="12"/>
      <c r="F1555" s="12"/>
      <c r="G1555" s="12"/>
      <c r="H1555" s="12"/>
      <c r="I1555" s="12"/>
      <c r="J1555" s="12"/>
      <c r="K1555" s="12"/>
      <c r="L1555" s="12"/>
      <c r="M1555" s="12"/>
      <c r="N1555" s="12"/>
      <c r="O1555" s="12"/>
      <c r="P1555" s="12"/>
      <c r="Q1555" s="12"/>
      <c r="R1555" s="12"/>
      <c r="S1555" s="12"/>
      <c r="T1555" s="12"/>
      <c r="U1555" s="12"/>
      <c r="V1555" s="12"/>
      <c r="W1555" s="12"/>
      <c r="X1555" s="12"/>
      <c r="Y1555" s="12"/>
      <c r="Z1555" s="12"/>
    </row>
    <row r="1556" ht="15.0" customHeight="1">
      <c r="A1556" s="349"/>
      <c r="B1556" s="350"/>
      <c r="C1556" s="12"/>
      <c r="D1556" s="12"/>
      <c r="E1556" s="12"/>
      <c r="F1556" s="12"/>
      <c r="G1556" s="12"/>
      <c r="H1556" s="12"/>
      <c r="I1556" s="12"/>
      <c r="J1556" s="12"/>
      <c r="K1556" s="12"/>
      <c r="L1556" s="12"/>
      <c r="M1556" s="12"/>
      <c r="N1556" s="12"/>
      <c r="O1556" s="12"/>
      <c r="P1556" s="12"/>
      <c r="Q1556" s="12"/>
      <c r="R1556" s="12"/>
      <c r="S1556" s="12"/>
      <c r="T1556" s="12"/>
      <c r="U1556" s="12"/>
      <c r="V1556" s="12"/>
      <c r="W1556" s="12"/>
      <c r="X1556" s="12"/>
      <c r="Y1556" s="12"/>
      <c r="Z1556" s="12"/>
    </row>
    <row r="1557" ht="15.0" customHeight="1">
      <c r="A1557" s="357" t="s">
        <v>1551</v>
      </c>
      <c r="B1557" s="350"/>
      <c r="C1557" s="12"/>
      <c r="D1557" s="12"/>
      <c r="E1557" s="12"/>
      <c r="F1557" s="12"/>
      <c r="G1557" s="12"/>
      <c r="H1557" s="12"/>
      <c r="I1557" s="12"/>
      <c r="J1557" s="12"/>
      <c r="K1557" s="12"/>
      <c r="L1557" s="12"/>
      <c r="M1557" s="12"/>
      <c r="N1557" s="12"/>
      <c r="O1557" s="12"/>
      <c r="P1557" s="12"/>
      <c r="Q1557" s="12"/>
      <c r="R1557" s="12"/>
      <c r="S1557" s="12"/>
      <c r="T1557" s="12"/>
      <c r="U1557" s="12"/>
      <c r="V1557" s="12"/>
      <c r="W1557" s="12"/>
      <c r="X1557" s="12"/>
      <c r="Y1557" s="12"/>
      <c r="Z1557" s="12"/>
    </row>
    <row r="1558" ht="15.0" customHeight="1">
      <c r="A1558" s="349"/>
      <c r="B1558" s="350"/>
      <c r="C1558" s="12"/>
      <c r="D1558" s="12"/>
      <c r="E1558" s="12"/>
      <c r="F1558" s="12"/>
      <c r="G1558" s="12"/>
      <c r="H1558" s="12"/>
      <c r="I1558" s="12"/>
      <c r="J1558" s="12"/>
      <c r="K1558" s="12"/>
      <c r="L1558" s="12"/>
      <c r="M1558" s="12"/>
      <c r="N1558" s="12"/>
      <c r="O1558" s="12"/>
      <c r="P1558" s="12"/>
      <c r="Q1558" s="12"/>
      <c r="R1558" s="12"/>
      <c r="S1558" s="12"/>
      <c r="T1558" s="12"/>
      <c r="U1558" s="12"/>
      <c r="V1558" s="12"/>
      <c r="W1558" s="12"/>
      <c r="X1558" s="12"/>
      <c r="Y1558" s="12"/>
      <c r="Z1558" s="12"/>
    </row>
    <row r="1559" ht="15.0" customHeight="1">
      <c r="A1559" s="171" t="s">
        <v>1916</v>
      </c>
      <c r="B1559" s="171">
        <v>1.0</v>
      </c>
      <c r="C1559" s="12"/>
      <c r="D1559" s="12"/>
      <c r="E1559" s="12"/>
      <c r="F1559" s="12"/>
      <c r="G1559" s="12"/>
      <c r="H1559" s="12"/>
      <c r="I1559" s="12"/>
      <c r="J1559" s="12"/>
      <c r="K1559" s="12"/>
      <c r="L1559" s="12"/>
      <c r="M1559" s="12"/>
      <c r="N1559" s="12"/>
      <c r="O1559" s="12"/>
      <c r="P1559" s="12"/>
      <c r="Q1559" s="12"/>
      <c r="R1559" s="12"/>
      <c r="S1559" s="12"/>
      <c r="T1559" s="12"/>
      <c r="U1559" s="12"/>
      <c r="V1559" s="12"/>
      <c r="W1559" s="12"/>
      <c r="X1559" s="12"/>
      <c r="Y1559" s="12"/>
      <c r="Z1559" s="12"/>
    </row>
    <row r="1560" ht="15.0" customHeight="1">
      <c r="A1560" s="322">
        <v>48000.0</v>
      </c>
      <c r="B1560" s="113">
        <v>0.05</v>
      </c>
      <c r="C1560" s="12"/>
      <c r="D1560" s="12"/>
      <c r="E1560" s="12"/>
      <c r="F1560" s="12"/>
      <c r="G1560" s="12"/>
      <c r="H1560" s="12"/>
      <c r="I1560" s="12"/>
      <c r="J1560" s="12"/>
      <c r="K1560" s="12"/>
      <c r="L1560" s="12"/>
      <c r="M1560" s="12"/>
      <c r="N1560" s="12"/>
      <c r="O1560" s="12"/>
      <c r="P1560" s="12"/>
      <c r="Q1560" s="12"/>
      <c r="R1560" s="12"/>
      <c r="S1560" s="12"/>
      <c r="T1560" s="12"/>
      <c r="U1560" s="12"/>
      <c r="V1560" s="12"/>
      <c r="W1560" s="12"/>
      <c r="X1560" s="12"/>
      <c r="Y1560" s="12"/>
      <c r="Z1560" s="12"/>
    </row>
    <row r="1561" ht="15.0" customHeight="1">
      <c r="A1561" s="352">
        <v>100000.0</v>
      </c>
      <c r="B1561" s="113">
        <v>0.035</v>
      </c>
      <c r="C1561" s="12"/>
      <c r="D1561" s="12"/>
      <c r="E1561" s="12"/>
      <c r="F1561" s="12"/>
      <c r="G1561" s="12"/>
      <c r="H1561" s="12"/>
      <c r="I1561" s="12"/>
      <c r="J1561" s="12"/>
      <c r="K1561" s="12"/>
      <c r="L1561" s="12"/>
      <c r="M1561" s="12"/>
      <c r="N1561" s="12"/>
      <c r="O1561" s="12"/>
      <c r="P1561" s="12"/>
      <c r="Q1561" s="12"/>
      <c r="R1561" s="12"/>
      <c r="S1561" s="12"/>
      <c r="T1561" s="12"/>
      <c r="U1561" s="12"/>
      <c r="V1561" s="12"/>
      <c r="W1561" s="12"/>
      <c r="X1561" s="12"/>
      <c r="Y1561" s="12"/>
      <c r="Z1561" s="12"/>
    </row>
    <row r="1562" ht="15.0" customHeight="1">
      <c r="A1562" s="352">
        <v>500000.0</v>
      </c>
      <c r="B1562" s="113">
        <v>0.025</v>
      </c>
      <c r="C1562" s="12"/>
      <c r="D1562" s="12"/>
      <c r="E1562" s="12"/>
      <c r="F1562" s="12"/>
      <c r="G1562" s="12"/>
      <c r="H1562" s="12"/>
      <c r="I1562" s="12"/>
      <c r="J1562" s="12"/>
      <c r="K1562" s="12"/>
      <c r="L1562" s="12"/>
      <c r="M1562" s="12"/>
      <c r="N1562" s="12"/>
      <c r="O1562" s="12"/>
      <c r="P1562" s="12"/>
      <c r="Q1562" s="12"/>
      <c r="R1562" s="12"/>
      <c r="S1562" s="12"/>
      <c r="T1562" s="12"/>
      <c r="U1562" s="12"/>
      <c r="V1562" s="12"/>
      <c r="W1562" s="12"/>
      <c r="X1562" s="12"/>
      <c r="Y1562" s="12"/>
      <c r="Z1562" s="12"/>
    </row>
    <row r="1563" ht="15.0" customHeight="1">
      <c r="A1563" s="349"/>
      <c r="B1563" s="350"/>
      <c r="C1563" s="12"/>
      <c r="D1563" s="12"/>
      <c r="E1563" s="12"/>
      <c r="F1563" s="12"/>
      <c r="G1563" s="12"/>
      <c r="H1563" s="12"/>
      <c r="I1563" s="12"/>
      <c r="J1563" s="12"/>
      <c r="K1563" s="12"/>
      <c r="L1563" s="12"/>
      <c r="M1563" s="12"/>
      <c r="N1563" s="12"/>
      <c r="O1563" s="12"/>
      <c r="P1563" s="12"/>
      <c r="Q1563" s="12"/>
      <c r="R1563" s="12"/>
      <c r="S1563" s="12"/>
      <c r="T1563" s="12"/>
      <c r="U1563" s="12"/>
      <c r="V1563" s="12"/>
      <c r="W1563" s="12"/>
      <c r="X1563" s="12"/>
      <c r="Y1563" s="12"/>
      <c r="Z1563" s="12"/>
    </row>
    <row r="1564" ht="15.0" customHeight="1">
      <c r="A1564" s="357" t="s">
        <v>1555</v>
      </c>
      <c r="B1564" s="350"/>
      <c r="C1564" s="12"/>
      <c r="D1564" s="12"/>
      <c r="E1564" s="12"/>
      <c r="F1564" s="12"/>
      <c r="G1564" s="12"/>
      <c r="H1564" s="12"/>
      <c r="I1564" s="12"/>
      <c r="J1564" s="12"/>
      <c r="K1564" s="12"/>
      <c r="L1564" s="12"/>
      <c r="M1564" s="12"/>
      <c r="N1564" s="12"/>
      <c r="O1564" s="12"/>
      <c r="P1564" s="12"/>
      <c r="Q1564" s="12"/>
      <c r="R1564" s="12"/>
      <c r="S1564" s="12"/>
      <c r="T1564" s="12"/>
      <c r="U1564" s="12"/>
      <c r="V1564" s="12"/>
      <c r="W1564" s="12"/>
      <c r="X1564" s="12"/>
      <c r="Y1564" s="12"/>
      <c r="Z1564" s="12"/>
    </row>
    <row r="1565" ht="15.0" customHeight="1">
      <c r="A1565" s="349"/>
      <c r="B1565" s="350"/>
      <c r="C1565" s="12"/>
      <c r="D1565" s="12"/>
      <c r="E1565" s="12"/>
      <c r="F1565" s="12"/>
      <c r="G1565" s="12"/>
      <c r="H1565" s="12"/>
      <c r="I1565" s="12"/>
      <c r="J1565" s="12"/>
      <c r="K1565" s="12"/>
      <c r="L1565" s="12"/>
      <c r="M1565" s="12"/>
      <c r="N1565" s="12"/>
      <c r="O1565" s="12"/>
      <c r="P1565" s="12"/>
      <c r="Q1565" s="12"/>
      <c r="R1565" s="12"/>
      <c r="S1565" s="12"/>
      <c r="T1565" s="12"/>
      <c r="U1565" s="12"/>
      <c r="V1565" s="12"/>
      <c r="W1565" s="12"/>
      <c r="X1565" s="12"/>
      <c r="Y1565" s="12"/>
      <c r="Z1565" s="12"/>
    </row>
    <row r="1566" ht="15.0" customHeight="1">
      <c r="A1566" s="171" t="s">
        <v>1916</v>
      </c>
      <c r="B1566" s="171">
        <v>1.0</v>
      </c>
      <c r="C1566" s="171">
        <v>2.0</v>
      </c>
      <c r="D1566" s="171">
        <v>3.0</v>
      </c>
      <c r="E1566" s="171">
        <v>4.0</v>
      </c>
      <c r="F1566" s="12"/>
      <c r="G1566" s="12"/>
      <c r="H1566" s="12"/>
      <c r="I1566" s="12"/>
      <c r="J1566" s="12"/>
      <c r="K1566" s="12"/>
      <c r="L1566" s="12"/>
      <c r="M1566" s="12"/>
      <c r="N1566" s="12"/>
      <c r="O1566" s="12"/>
      <c r="P1566" s="12"/>
      <c r="Q1566" s="12"/>
      <c r="R1566" s="12"/>
      <c r="S1566" s="12"/>
      <c r="T1566" s="12"/>
      <c r="U1566" s="12"/>
      <c r="V1566" s="12"/>
      <c r="W1566" s="12"/>
      <c r="X1566" s="12"/>
      <c r="Y1566" s="12"/>
      <c r="Z1566" s="12"/>
    </row>
    <row r="1567" ht="15.0" customHeight="1">
      <c r="A1567" s="322">
        <v>0.0</v>
      </c>
      <c r="B1567" s="113">
        <v>0.03</v>
      </c>
      <c r="C1567" s="355">
        <v>0.03</v>
      </c>
      <c r="D1567" s="355">
        <v>0.03</v>
      </c>
      <c r="E1567" s="355">
        <v>0.02</v>
      </c>
      <c r="F1567" s="12"/>
      <c r="G1567" s="12"/>
      <c r="H1567" s="12"/>
      <c r="I1567" s="12"/>
      <c r="J1567" s="12"/>
      <c r="K1567" s="12"/>
      <c r="L1567" s="12"/>
      <c r="M1567" s="12"/>
      <c r="N1567" s="12"/>
      <c r="O1567" s="12"/>
      <c r="P1567" s="12"/>
      <c r="Q1567" s="12"/>
      <c r="R1567" s="12"/>
      <c r="S1567" s="12"/>
      <c r="T1567" s="12"/>
      <c r="U1567" s="12"/>
      <c r="V1567" s="12"/>
      <c r="W1567" s="12"/>
      <c r="X1567" s="12"/>
      <c r="Y1567" s="12"/>
      <c r="Z1567" s="12"/>
    </row>
    <row r="1568" ht="15.0" customHeight="1">
      <c r="A1568" s="352">
        <v>30000.0</v>
      </c>
      <c r="B1568" s="113">
        <v>0.02</v>
      </c>
      <c r="C1568" s="355">
        <v>0.02</v>
      </c>
      <c r="D1568" s="355">
        <v>0.02</v>
      </c>
      <c r="E1568" s="355">
        <v>0.02</v>
      </c>
      <c r="F1568" s="12"/>
      <c r="G1568" s="12"/>
      <c r="H1568" s="12"/>
      <c r="I1568" s="12"/>
      <c r="J1568" s="12"/>
      <c r="K1568" s="12"/>
      <c r="L1568" s="12"/>
      <c r="M1568" s="12"/>
      <c r="N1568" s="12"/>
      <c r="O1568" s="12"/>
      <c r="P1568" s="12"/>
      <c r="Q1568" s="12"/>
      <c r="R1568" s="12"/>
      <c r="S1568" s="12"/>
      <c r="T1568" s="12"/>
      <c r="U1568" s="12"/>
      <c r="V1568" s="12"/>
      <c r="W1568" s="12"/>
      <c r="X1568" s="12"/>
      <c r="Y1568" s="12"/>
      <c r="Z1568" s="12"/>
    </row>
    <row r="1569" ht="15.0" customHeight="1">
      <c r="A1569" s="349"/>
      <c r="B1569" s="350"/>
      <c r="C1569" s="12"/>
      <c r="D1569" s="12"/>
      <c r="E1569" s="12"/>
      <c r="F1569" s="12"/>
      <c r="G1569" s="12"/>
      <c r="H1569" s="12"/>
      <c r="I1569" s="12"/>
      <c r="J1569" s="12"/>
      <c r="K1569" s="12"/>
      <c r="L1569" s="12"/>
      <c r="M1569" s="12"/>
      <c r="N1569" s="12"/>
      <c r="O1569" s="12"/>
      <c r="P1569" s="12"/>
      <c r="Q1569" s="12"/>
      <c r="R1569" s="12"/>
      <c r="S1569" s="12"/>
      <c r="T1569" s="12"/>
      <c r="U1569" s="12"/>
      <c r="V1569" s="12"/>
      <c r="W1569" s="12"/>
      <c r="X1569" s="12"/>
      <c r="Y1569" s="12"/>
      <c r="Z1569" s="12"/>
    </row>
    <row r="1570" ht="15.0" customHeight="1">
      <c r="A1570" s="357" t="s">
        <v>1558</v>
      </c>
      <c r="B1570" s="350"/>
      <c r="C1570" s="12"/>
      <c r="D1570" s="12"/>
      <c r="E1570" s="12"/>
      <c r="F1570" s="12"/>
      <c r="G1570" s="12"/>
      <c r="H1570" s="12"/>
      <c r="I1570" s="12"/>
      <c r="J1570" s="12"/>
      <c r="K1570" s="12"/>
      <c r="L1570" s="12"/>
      <c r="M1570" s="12"/>
      <c r="N1570" s="12"/>
      <c r="O1570" s="12"/>
      <c r="P1570" s="12"/>
      <c r="Q1570" s="12"/>
      <c r="R1570" s="12"/>
      <c r="S1570" s="12"/>
      <c r="T1570" s="12"/>
      <c r="U1570" s="12"/>
      <c r="V1570" s="12"/>
      <c r="W1570" s="12"/>
      <c r="X1570" s="12"/>
      <c r="Y1570" s="12"/>
      <c r="Z1570" s="12"/>
    </row>
    <row r="1571" ht="15.0" customHeight="1">
      <c r="A1571" s="349"/>
      <c r="B1571" s="350"/>
      <c r="C1571" s="12"/>
      <c r="D1571" s="12"/>
      <c r="E1571" s="12"/>
      <c r="F1571" s="12"/>
      <c r="G1571" s="12"/>
      <c r="H1571" s="12"/>
      <c r="I1571" s="12"/>
      <c r="J1571" s="12"/>
      <c r="K1571" s="12"/>
      <c r="L1571" s="12"/>
      <c r="M1571" s="12"/>
      <c r="N1571" s="12"/>
      <c r="O1571" s="12"/>
      <c r="P1571" s="12"/>
      <c r="Q1571" s="12"/>
      <c r="R1571" s="12"/>
      <c r="S1571" s="12"/>
      <c r="T1571" s="12"/>
      <c r="U1571" s="12"/>
      <c r="V1571" s="12"/>
      <c r="W1571" s="12"/>
      <c r="X1571" s="12"/>
      <c r="Y1571" s="12"/>
      <c r="Z1571" s="12"/>
    </row>
    <row r="1572" ht="15.0" customHeight="1">
      <c r="A1572" s="291" t="s">
        <v>1917</v>
      </c>
      <c r="B1572" s="291" t="s">
        <v>1918</v>
      </c>
      <c r="C1572" s="12"/>
      <c r="D1572" s="12"/>
      <c r="E1572" s="12"/>
      <c r="F1572" s="12"/>
      <c r="G1572" s="12"/>
      <c r="H1572" s="12"/>
      <c r="I1572" s="12"/>
      <c r="J1572" s="12"/>
      <c r="K1572" s="12"/>
      <c r="L1572" s="12"/>
      <c r="M1572" s="12"/>
      <c r="N1572" s="12"/>
      <c r="O1572" s="12"/>
      <c r="P1572" s="12"/>
      <c r="Q1572" s="12"/>
      <c r="R1572" s="12"/>
      <c r="S1572" s="12"/>
      <c r="T1572" s="12"/>
      <c r="U1572" s="12"/>
      <c r="V1572" s="12"/>
      <c r="W1572" s="12"/>
      <c r="X1572" s="12"/>
      <c r="Y1572" s="12"/>
      <c r="Z1572" s="12"/>
    </row>
    <row r="1573" ht="15.0" customHeight="1">
      <c r="A1573" s="332">
        <v>1.0</v>
      </c>
      <c r="B1573" s="351">
        <v>0.03</v>
      </c>
      <c r="C1573" s="12"/>
      <c r="D1573" s="12"/>
      <c r="E1573" s="12"/>
      <c r="F1573" s="12"/>
      <c r="G1573" s="12"/>
      <c r="H1573" s="12"/>
      <c r="I1573" s="12"/>
      <c r="J1573" s="12"/>
      <c r="K1573" s="12"/>
      <c r="L1573" s="12"/>
      <c r="M1573" s="12"/>
      <c r="N1573" s="12"/>
      <c r="O1573" s="12"/>
      <c r="P1573" s="12"/>
      <c r="Q1573" s="12"/>
      <c r="R1573" s="12"/>
      <c r="S1573" s="12"/>
      <c r="T1573" s="12"/>
      <c r="U1573" s="12"/>
      <c r="V1573" s="12"/>
      <c r="W1573" s="12"/>
      <c r="X1573" s="12"/>
      <c r="Y1573" s="12"/>
      <c r="Z1573" s="12"/>
    </row>
    <row r="1574" ht="15.0" customHeight="1">
      <c r="A1574" s="332">
        <v>2.0</v>
      </c>
      <c r="B1574" s="351">
        <v>0.03</v>
      </c>
      <c r="C1574" s="12"/>
      <c r="D1574" s="12"/>
      <c r="E1574" s="12"/>
      <c r="F1574" s="12"/>
      <c r="G1574" s="12"/>
      <c r="H1574" s="12"/>
      <c r="I1574" s="12"/>
      <c r="J1574" s="12"/>
      <c r="K1574" s="12"/>
      <c r="L1574" s="12"/>
      <c r="M1574" s="12"/>
      <c r="N1574" s="12"/>
      <c r="O1574" s="12"/>
      <c r="P1574" s="12"/>
      <c r="Q1574" s="12"/>
      <c r="R1574" s="12"/>
      <c r="S1574" s="12"/>
      <c r="T1574" s="12"/>
      <c r="U1574" s="12"/>
      <c r="V1574" s="12"/>
      <c r="W1574" s="12"/>
      <c r="X1574" s="12"/>
      <c r="Y1574" s="12"/>
      <c r="Z1574" s="12"/>
    </row>
    <row r="1575" ht="15.0" customHeight="1">
      <c r="A1575" s="332">
        <v>3.0</v>
      </c>
      <c r="B1575" s="351">
        <v>0.02</v>
      </c>
      <c r="C1575" s="12"/>
      <c r="D1575" s="12"/>
      <c r="E1575" s="12"/>
      <c r="F1575" s="12"/>
      <c r="G1575" s="12"/>
      <c r="H1575" s="12"/>
      <c r="I1575" s="12"/>
      <c r="J1575" s="12"/>
      <c r="K1575" s="12"/>
      <c r="L1575" s="12"/>
      <c r="M1575" s="12"/>
      <c r="N1575" s="12"/>
      <c r="O1575" s="12"/>
      <c r="P1575" s="12"/>
      <c r="Q1575" s="12"/>
      <c r="R1575" s="12"/>
      <c r="S1575" s="12"/>
      <c r="T1575" s="12"/>
      <c r="U1575" s="12"/>
      <c r="V1575" s="12"/>
      <c r="W1575" s="12"/>
      <c r="X1575" s="12"/>
      <c r="Y1575" s="12"/>
      <c r="Z1575" s="12"/>
    </row>
    <row r="1576" ht="15.0" customHeight="1">
      <c r="A1576" s="332">
        <v>4.0</v>
      </c>
      <c r="B1576" s="351">
        <v>0.02</v>
      </c>
      <c r="C1576" s="12"/>
      <c r="D1576" s="12"/>
      <c r="E1576" s="12"/>
      <c r="F1576" s="12"/>
      <c r="G1576" s="12"/>
      <c r="H1576" s="12"/>
      <c r="I1576" s="12"/>
      <c r="J1576" s="12"/>
      <c r="K1576" s="12"/>
      <c r="L1576" s="12"/>
      <c r="M1576" s="12"/>
      <c r="N1576" s="12"/>
      <c r="O1576" s="12"/>
      <c r="P1576" s="12"/>
      <c r="Q1576" s="12"/>
      <c r="R1576" s="12"/>
      <c r="S1576" s="12"/>
      <c r="T1576" s="12"/>
      <c r="U1576" s="12"/>
      <c r="V1576" s="12"/>
      <c r="W1576" s="12"/>
      <c r="X1576" s="12"/>
      <c r="Y1576" s="12"/>
      <c r="Z1576" s="12"/>
    </row>
    <row r="1577" ht="15.0" customHeight="1">
      <c r="A1577" s="332">
        <v>5.0</v>
      </c>
      <c r="B1577" s="351">
        <v>0.02</v>
      </c>
      <c r="C1577" s="12"/>
      <c r="D1577" s="12"/>
      <c r="E1577" s="12"/>
      <c r="F1577" s="12"/>
      <c r="G1577" s="12"/>
      <c r="H1577" s="12"/>
      <c r="I1577" s="12"/>
      <c r="J1577" s="12"/>
      <c r="K1577" s="12"/>
      <c r="L1577" s="12"/>
      <c r="M1577" s="12"/>
      <c r="N1577" s="12"/>
      <c r="O1577" s="12"/>
      <c r="P1577" s="12"/>
      <c r="Q1577" s="12"/>
      <c r="R1577" s="12"/>
      <c r="S1577" s="12"/>
      <c r="T1577" s="12"/>
      <c r="U1577" s="12"/>
      <c r="V1577" s="12"/>
      <c r="W1577" s="12"/>
      <c r="X1577" s="12"/>
      <c r="Y1577" s="12"/>
      <c r="Z1577" s="12"/>
    </row>
    <row r="1578" ht="15.0" customHeight="1">
      <c r="A1578" s="171">
        <v>6.0</v>
      </c>
      <c r="B1578" s="351">
        <v>0.0</v>
      </c>
      <c r="C1578" s="12"/>
      <c r="D1578" s="12"/>
      <c r="E1578" s="12"/>
      <c r="F1578" s="12"/>
      <c r="G1578" s="12"/>
      <c r="H1578" s="12"/>
      <c r="I1578" s="12"/>
      <c r="J1578" s="12"/>
      <c r="K1578" s="12"/>
      <c r="L1578" s="12"/>
      <c r="M1578" s="12"/>
      <c r="N1578" s="12"/>
      <c r="O1578" s="12"/>
      <c r="P1578" s="12"/>
      <c r="Q1578" s="12"/>
      <c r="R1578" s="12"/>
      <c r="S1578" s="12"/>
      <c r="T1578" s="12"/>
      <c r="U1578" s="12"/>
      <c r="V1578" s="12"/>
      <c r="W1578" s="12"/>
      <c r="X1578" s="12"/>
      <c r="Y1578" s="12"/>
      <c r="Z1578" s="12"/>
    </row>
    <row r="1579" ht="15.0" customHeight="1">
      <c r="A1579" s="349"/>
      <c r="B1579" s="350"/>
      <c r="C1579" s="12"/>
      <c r="D1579" s="12"/>
      <c r="E1579" s="12"/>
      <c r="F1579" s="12"/>
      <c r="G1579" s="12"/>
      <c r="H1579" s="12"/>
      <c r="I1579" s="12"/>
      <c r="J1579" s="12"/>
      <c r="K1579" s="12"/>
      <c r="L1579" s="12"/>
      <c r="M1579" s="12"/>
      <c r="N1579" s="12"/>
      <c r="O1579" s="12"/>
      <c r="P1579" s="12"/>
      <c r="Q1579" s="12"/>
      <c r="R1579" s="12"/>
      <c r="S1579" s="12"/>
      <c r="T1579" s="12"/>
      <c r="U1579" s="12"/>
      <c r="V1579" s="12"/>
      <c r="W1579" s="12"/>
      <c r="X1579" s="12"/>
      <c r="Y1579" s="12"/>
      <c r="Z1579" s="12"/>
    </row>
    <row r="1580" ht="15.0" customHeight="1">
      <c r="A1580" s="357" t="s">
        <v>1562</v>
      </c>
      <c r="B1580" s="350"/>
      <c r="C1580" s="12"/>
      <c r="D1580" s="12"/>
      <c r="E1580" s="12"/>
      <c r="F1580" s="12"/>
      <c r="G1580" s="12"/>
      <c r="H1580" s="12"/>
      <c r="I1580" s="12"/>
      <c r="J1580" s="12"/>
      <c r="K1580" s="12"/>
      <c r="L1580" s="12"/>
      <c r="M1580" s="12"/>
      <c r="N1580" s="12"/>
      <c r="O1580" s="12"/>
      <c r="P1580" s="12"/>
      <c r="Q1580" s="12"/>
      <c r="R1580" s="12"/>
      <c r="S1580" s="12"/>
      <c r="T1580" s="12"/>
      <c r="U1580" s="12"/>
      <c r="V1580" s="12"/>
      <c r="W1580" s="12"/>
      <c r="X1580" s="12"/>
      <c r="Y1580" s="12"/>
      <c r="Z1580" s="12"/>
    </row>
    <row r="1581" ht="15.0" customHeight="1">
      <c r="A1581" s="349"/>
      <c r="B1581" s="350"/>
      <c r="C1581" s="12"/>
      <c r="D1581" s="12"/>
      <c r="E1581" s="12"/>
      <c r="F1581" s="12"/>
      <c r="G1581" s="12"/>
      <c r="H1581" s="12"/>
      <c r="I1581" s="12"/>
      <c r="J1581" s="12"/>
      <c r="K1581" s="12"/>
      <c r="L1581" s="12"/>
      <c r="M1581" s="12"/>
      <c r="N1581" s="12"/>
      <c r="O1581" s="12"/>
      <c r="P1581" s="12"/>
      <c r="Q1581" s="12"/>
      <c r="R1581" s="12"/>
      <c r="S1581" s="12"/>
      <c r="T1581" s="12"/>
      <c r="U1581" s="12"/>
      <c r="V1581" s="12"/>
      <c r="W1581" s="12"/>
      <c r="X1581" s="12"/>
      <c r="Y1581" s="12"/>
      <c r="Z1581" s="12"/>
    </row>
    <row r="1582" ht="15.0" customHeight="1">
      <c r="A1582" s="291" t="s">
        <v>1917</v>
      </c>
      <c r="B1582" s="291" t="s">
        <v>1918</v>
      </c>
      <c r="C1582" s="12"/>
      <c r="D1582" s="12"/>
      <c r="E1582" s="12"/>
      <c r="F1582" s="12"/>
      <c r="G1582" s="12"/>
      <c r="H1582" s="12"/>
      <c r="I1582" s="12"/>
      <c r="J1582" s="12"/>
      <c r="K1582" s="12"/>
      <c r="L1582" s="12"/>
      <c r="M1582" s="12"/>
      <c r="N1582" s="12"/>
      <c r="O1582" s="12"/>
      <c r="P1582" s="12"/>
      <c r="Q1582" s="12"/>
      <c r="R1582" s="12"/>
      <c r="S1582" s="12"/>
      <c r="T1582" s="12"/>
      <c r="U1582" s="12"/>
      <c r="V1582" s="12"/>
      <c r="W1582" s="12"/>
      <c r="X1582" s="12"/>
      <c r="Y1582" s="12"/>
      <c r="Z1582" s="12"/>
    </row>
    <row r="1583" ht="15.0" customHeight="1">
      <c r="A1583" s="332">
        <v>1.0</v>
      </c>
      <c r="B1583" s="351">
        <v>0.025</v>
      </c>
      <c r="C1583" s="12"/>
      <c r="D1583" s="12"/>
      <c r="E1583" s="12"/>
      <c r="F1583" s="12"/>
      <c r="G1583" s="12"/>
      <c r="H1583" s="12"/>
      <c r="I1583" s="12"/>
      <c r="J1583" s="12"/>
      <c r="K1583" s="12"/>
      <c r="L1583" s="12"/>
      <c r="M1583" s="12"/>
      <c r="N1583" s="12"/>
      <c r="O1583" s="12"/>
      <c r="P1583" s="12"/>
      <c r="Q1583" s="12"/>
      <c r="R1583" s="12"/>
      <c r="S1583" s="12"/>
      <c r="T1583" s="12"/>
      <c r="U1583" s="12"/>
      <c r="V1583" s="12"/>
      <c r="W1583" s="12"/>
      <c r="X1583" s="12"/>
      <c r="Y1583" s="12"/>
      <c r="Z1583" s="12"/>
    </row>
    <row r="1584" ht="15.0" customHeight="1">
      <c r="A1584" s="332">
        <v>2.0</v>
      </c>
      <c r="B1584" s="351">
        <v>0.0</v>
      </c>
      <c r="C1584" s="12"/>
      <c r="D1584" s="12"/>
      <c r="E1584" s="12"/>
      <c r="F1584" s="12"/>
      <c r="G1584" s="12"/>
      <c r="H1584" s="12"/>
      <c r="I1584" s="12"/>
      <c r="J1584" s="12"/>
      <c r="K1584" s="12"/>
      <c r="L1584" s="12"/>
      <c r="M1584" s="12"/>
      <c r="N1584" s="12"/>
      <c r="O1584" s="12"/>
      <c r="P1584" s="12"/>
      <c r="Q1584" s="12"/>
      <c r="R1584" s="12"/>
      <c r="S1584" s="12"/>
      <c r="T1584" s="12"/>
      <c r="U1584" s="12"/>
      <c r="V1584" s="12"/>
      <c r="W1584" s="12"/>
      <c r="X1584" s="12"/>
      <c r="Y1584" s="12"/>
      <c r="Z1584" s="12"/>
    </row>
    <row r="1585" ht="15.0" customHeight="1">
      <c r="A1585" s="349"/>
      <c r="B1585" s="350"/>
      <c r="C1585" s="12"/>
      <c r="D1585" s="12"/>
      <c r="E1585" s="12"/>
      <c r="F1585" s="12"/>
      <c r="G1585" s="12"/>
      <c r="H1585" s="12"/>
      <c r="I1585" s="12"/>
      <c r="J1585" s="12"/>
      <c r="K1585" s="12"/>
      <c r="L1585" s="12"/>
      <c r="M1585" s="12"/>
      <c r="N1585" s="12"/>
      <c r="O1585" s="12"/>
      <c r="P1585" s="12"/>
      <c r="Q1585" s="12"/>
      <c r="R1585" s="12"/>
      <c r="S1585" s="12"/>
      <c r="T1585" s="12"/>
      <c r="U1585" s="12"/>
      <c r="V1585" s="12"/>
      <c r="W1585" s="12"/>
      <c r="X1585" s="12"/>
      <c r="Y1585" s="12"/>
      <c r="Z1585" s="12"/>
    </row>
    <row r="1586" ht="15.0" customHeight="1">
      <c r="A1586" s="357" t="s">
        <v>1566</v>
      </c>
      <c r="B1586" s="350"/>
      <c r="C1586" s="12"/>
      <c r="D1586" s="12"/>
      <c r="E1586" s="12"/>
      <c r="F1586" s="12"/>
      <c r="G1586" s="12"/>
      <c r="H1586" s="12"/>
      <c r="I1586" s="12"/>
      <c r="J1586" s="12"/>
      <c r="K1586" s="12"/>
      <c r="L1586" s="12"/>
      <c r="M1586" s="12"/>
      <c r="N1586" s="12"/>
      <c r="O1586" s="12"/>
      <c r="P1586" s="12"/>
      <c r="Q1586" s="12"/>
      <c r="R1586" s="12"/>
      <c r="S1586" s="12"/>
      <c r="T1586" s="12"/>
      <c r="U1586" s="12"/>
      <c r="V1586" s="12"/>
      <c r="W1586" s="12"/>
      <c r="X1586" s="12"/>
      <c r="Y1586" s="12"/>
      <c r="Z1586" s="12"/>
    </row>
    <row r="1587" ht="15.0" customHeight="1">
      <c r="A1587" s="349"/>
      <c r="B1587" s="350"/>
      <c r="C1587" s="12"/>
      <c r="D1587" s="12"/>
      <c r="E1587" s="12"/>
      <c r="F1587" s="12"/>
      <c r="G1587" s="12"/>
      <c r="H1587" s="12"/>
      <c r="I1587" s="12"/>
      <c r="J1587" s="12"/>
      <c r="K1587" s="12"/>
      <c r="L1587" s="12"/>
      <c r="M1587" s="12"/>
      <c r="N1587" s="12"/>
      <c r="O1587" s="12"/>
      <c r="P1587" s="12"/>
      <c r="Q1587" s="12"/>
      <c r="R1587" s="12"/>
      <c r="S1587" s="12"/>
      <c r="T1587" s="12"/>
      <c r="U1587" s="12"/>
      <c r="V1587" s="12"/>
      <c r="W1587" s="12"/>
      <c r="X1587" s="12"/>
      <c r="Y1587" s="12"/>
      <c r="Z1587" s="12"/>
    </row>
    <row r="1588" ht="15.0" customHeight="1">
      <c r="A1588" s="291" t="s">
        <v>1917</v>
      </c>
      <c r="B1588" s="291" t="s">
        <v>1918</v>
      </c>
      <c r="C1588" s="12"/>
      <c r="D1588" s="12"/>
      <c r="E1588" s="12"/>
      <c r="F1588" s="12"/>
      <c r="G1588" s="12"/>
      <c r="H1588" s="12"/>
      <c r="I1588" s="12"/>
      <c r="J1588" s="12"/>
      <c r="K1588" s="12"/>
      <c r="L1588" s="12"/>
      <c r="M1588" s="12"/>
      <c r="N1588" s="12"/>
      <c r="O1588" s="12"/>
      <c r="P1588" s="12"/>
      <c r="Q1588" s="12"/>
      <c r="R1588" s="12"/>
      <c r="S1588" s="12"/>
      <c r="T1588" s="12"/>
      <c r="U1588" s="12"/>
      <c r="V1588" s="12"/>
      <c r="W1588" s="12"/>
      <c r="X1588" s="12"/>
      <c r="Y1588" s="12"/>
      <c r="Z1588" s="12"/>
    </row>
    <row r="1589" ht="15.0" customHeight="1">
      <c r="A1589" s="332">
        <v>1.0</v>
      </c>
      <c r="B1589" s="351">
        <v>0.05</v>
      </c>
      <c r="C1589" s="12"/>
      <c r="D1589" s="12"/>
      <c r="E1589" s="12"/>
      <c r="F1589" s="12"/>
      <c r="G1589" s="12"/>
      <c r="H1589" s="12"/>
      <c r="I1589" s="12"/>
      <c r="J1589" s="12"/>
      <c r="K1589" s="12"/>
      <c r="L1589" s="12"/>
      <c r="M1589" s="12"/>
      <c r="N1589" s="12"/>
      <c r="O1589" s="12"/>
      <c r="P1589" s="12"/>
      <c r="Q1589" s="12"/>
      <c r="R1589" s="12"/>
      <c r="S1589" s="12"/>
      <c r="T1589" s="12"/>
      <c r="U1589" s="12"/>
      <c r="V1589" s="12"/>
      <c r="W1589" s="12"/>
      <c r="X1589" s="12"/>
      <c r="Y1589" s="12"/>
      <c r="Z1589" s="12"/>
    </row>
    <row r="1590" ht="15.0" customHeight="1">
      <c r="A1590" s="332">
        <v>2.0</v>
      </c>
      <c r="B1590" s="351">
        <v>0.05</v>
      </c>
      <c r="C1590" s="12"/>
      <c r="D1590" s="12"/>
      <c r="E1590" s="12"/>
      <c r="F1590" s="12"/>
      <c r="G1590" s="12"/>
      <c r="H1590" s="12"/>
      <c r="I1590" s="12"/>
      <c r="J1590" s="12"/>
      <c r="K1590" s="12"/>
      <c r="L1590" s="12"/>
      <c r="M1590" s="12"/>
      <c r="N1590" s="12"/>
      <c r="O1590" s="12"/>
      <c r="P1590" s="12"/>
      <c r="Q1590" s="12"/>
      <c r="R1590" s="12"/>
      <c r="S1590" s="12"/>
      <c r="T1590" s="12"/>
      <c r="U1590" s="12"/>
      <c r="V1590" s="12"/>
      <c r="W1590" s="12"/>
      <c r="X1590" s="12"/>
      <c r="Y1590" s="12"/>
      <c r="Z1590" s="12"/>
    </row>
    <row r="1591" ht="15.0" customHeight="1">
      <c r="A1591" s="332">
        <v>3.0</v>
      </c>
      <c r="B1591" s="351">
        <v>0.05</v>
      </c>
      <c r="C1591" s="12"/>
      <c r="D1591" s="12"/>
      <c r="E1591" s="12"/>
      <c r="F1591" s="12"/>
      <c r="G1591" s="12"/>
      <c r="H1591" s="12"/>
      <c r="I1591" s="12"/>
      <c r="J1591" s="12"/>
      <c r="K1591" s="12"/>
      <c r="L1591" s="12"/>
      <c r="M1591" s="12"/>
      <c r="N1591" s="12"/>
      <c r="O1591" s="12"/>
      <c r="P1591" s="12"/>
      <c r="Q1591" s="12"/>
      <c r="R1591" s="12"/>
      <c r="S1591" s="12"/>
      <c r="T1591" s="12"/>
      <c r="U1591" s="12"/>
      <c r="V1591" s="12"/>
      <c r="W1591" s="12"/>
      <c r="X1591" s="12"/>
      <c r="Y1591" s="12"/>
      <c r="Z1591" s="12"/>
    </row>
    <row r="1592" ht="15.0" customHeight="1">
      <c r="A1592" s="332">
        <v>4.0</v>
      </c>
      <c r="B1592" s="351">
        <v>0.04</v>
      </c>
      <c r="C1592" s="12"/>
      <c r="D1592" s="12"/>
      <c r="E1592" s="12"/>
      <c r="F1592" s="12"/>
      <c r="G1592" s="12"/>
      <c r="H1592" s="12"/>
      <c r="I1592" s="12"/>
      <c r="J1592" s="12"/>
      <c r="K1592" s="12"/>
      <c r="L1592" s="12"/>
      <c r="M1592" s="12"/>
      <c r="N1592" s="12"/>
      <c r="O1592" s="12"/>
      <c r="P1592" s="12"/>
      <c r="Q1592" s="12"/>
      <c r="R1592" s="12"/>
      <c r="S1592" s="12"/>
      <c r="T1592" s="12"/>
      <c r="U1592" s="12"/>
      <c r="V1592" s="12"/>
      <c r="W1592" s="12"/>
      <c r="X1592" s="12"/>
      <c r="Y1592" s="12"/>
      <c r="Z1592" s="12"/>
    </row>
    <row r="1593" ht="15.0" customHeight="1">
      <c r="A1593" s="349"/>
      <c r="B1593" s="350"/>
      <c r="C1593" s="12"/>
      <c r="D1593" s="12"/>
      <c r="E1593" s="12"/>
      <c r="F1593" s="12"/>
      <c r="G1593" s="12"/>
      <c r="H1593" s="12"/>
      <c r="I1593" s="12"/>
      <c r="J1593" s="12"/>
      <c r="K1593" s="12"/>
      <c r="L1593" s="12"/>
      <c r="M1593" s="12"/>
      <c r="N1593" s="12"/>
      <c r="O1593" s="12"/>
      <c r="P1593" s="12"/>
      <c r="Q1593" s="12"/>
      <c r="R1593" s="12"/>
      <c r="S1593" s="12"/>
      <c r="T1593" s="12"/>
      <c r="U1593" s="12"/>
      <c r="V1593" s="12"/>
      <c r="W1593" s="12"/>
      <c r="X1593" s="12"/>
      <c r="Y1593" s="12"/>
      <c r="Z1593" s="12"/>
    </row>
    <row r="1594" ht="15.0" customHeight="1">
      <c r="A1594" s="357" t="s">
        <v>1570</v>
      </c>
      <c r="B1594" s="350"/>
      <c r="C1594" s="12"/>
      <c r="D1594" s="12"/>
      <c r="E1594" s="12"/>
      <c r="F1594" s="12"/>
      <c r="G1594" s="12"/>
      <c r="H1594" s="12"/>
      <c r="I1594" s="12"/>
      <c r="J1594" s="12"/>
      <c r="K1594" s="12"/>
      <c r="L1594" s="12"/>
      <c r="M1594" s="12"/>
      <c r="N1594" s="12"/>
      <c r="O1594" s="12"/>
      <c r="P1594" s="12"/>
      <c r="Q1594" s="12"/>
      <c r="R1594" s="12"/>
      <c r="S1594" s="12"/>
      <c r="T1594" s="12"/>
      <c r="U1594" s="12"/>
      <c r="V1594" s="12"/>
      <c r="W1594" s="12"/>
      <c r="X1594" s="12"/>
      <c r="Y1594" s="12"/>
      <c r="Z1594" s="12"/>
    </row>
    <row r="1595" ht="15.0" customHeight="1">
      <c r="A1595" s="349"/>
      <c r="B1595" s="350"/>
      <c r="C1595" s="12"/>
      <c r="D1595" s="12"/>
      <c r="E1595" s="12"/>
      <c r="F1595" s="12"/>
      <c r="G1595" s="12"/>
      <c r="H1595" s="12"/>
      <c r="I1595" s="12"/>
      <c r="J1595" s="12"/>
      <c r="K1595" s="12"/>
      <c r="L1595" s="12"/>
      <c r="M1595" s="12"/>
      <c r="N1595" s="12"/>
      <c r="O1595" s="12"/>
      <c r="P1595" s="12"/>
      <c r="Q1595" s="12"/>
      <c r="R1595" s="12"/>
      <c r="S1595" s="12"/>
      <c r="T1595" s="12"/>
      <c r="U1595" s="12"/>
      <c r="V1595" s="12"/>
      <c r="W1595" s="12"/>
      <c r="X1595" s="12"/>
      <c r="Y1595" s="12"/>
      <c r="Z1595" s="12"/>
    </row>
    <row r="1596" ht="15.0" customHeight="1">
      <c r="A1596" s="291" t="s">
        <v>1917</v>
      </c>
      <c r="B1596" s="291" t="s">
        <v>1918</v>
      </c>
      <c r="C1596" s="12"/>
      <c r="D1596" s="12"/>
      <c r="E1596" s="12"/>
      <c r="F1596" s="12"/>
      <c r="G1596" s="12"/>
      <c r="H1596" s="12"/>
      <c r="I1596" s="12"/>
      <c r="J1596" s="12"/>
      <c r="K1596" s="12"/>
      <c r="L1596" s="12"/>
      <c r="M1596" s="12"/>
      <c r="N1596" s="12"/>
      <c r="O1596" s="12"/>
      <c r="P1596" s="12"/>
      <c r="Q1596" s="12"/>
      <c r="R1596" s="12"/>
      <c r="S1596" s="12"/>
      <c r="T1596" s="12"/>
      <c r="U1596" s="12"/>
      <c r="V1596" s="12"/>
      <c r="W1596" s="12"/>
      <c r="X1596" s="12"/>
      <c r="Y1596" s="12"/>
      <c r="Z1596" s="12"/>
    </row>
    <row r="1597" ht="15.0" customHeight="1">
      <c r="A1597" s="332">
        <v>1.0</v>
      </c>
      <c r="B1597" s="351">
        <v>0.05</v>
      </c>
      <c r="C1597" s="12"/>
      <c r="D1597" s="12"/>
      <c r="E1597" s="12"/>
      <c r="F1597" s="12"/>
      <c r="G1597" s="12"/>
      <c r="H1597" s="12"/>
      <c r="I1597" s="12"/>
      <c r="J1597" s="12"/>
      <c r="K1597" s="12"/>
      <c r="L1597" s="12"/>
      <c r="M1597" s="12"/>
      <c r="N1597" s="12"/>
      <c r="O1597" s="12"/>
      <c r="P1597" s="12"/>
      <c r="Q1597" s="12"/>
      <c r="R1597" s="12"/>
      <c r="S1597" s="12"/>
      <c r="T1597" s="12"/>
      <c r="U1597" s="12"/>
      <c r="V1597" s="12"/>
      <c r="W1597" s="12"/>
      <c r="X1597" s="12"/>
      <c r="Y1597" s="12"/>
      <c r="Z1597" s="12"/>
    </row>
    <row r="1598" ht="15.0" customHeight="1">
      <c r="A1598" s="332">
        <v>2.0</v>
      </c>
      <c r="B1598" s="351">
        <v>0.05</v>
      </c>
      <c r="C1598" s="12"/>
      <c r="D1598" s="12"/>
      <c r="E1598" s="12"/>
      <c r="F1598" s="12"/>
      <c r="G1598" s="12"/>
      <c r="H1598" s="12"/>
      <c r="I1598" s="12"/>
      <c r="J1598" s="12"/>
      <c r="K1598" s="12"/>
      <c r="L1598" s="12"/>
      <c r="M1598" s="12"/>
      <c r="N1598" s="12"/>
      <c r="O1598" s="12"/>
      <c r="P1598" s="12"/>
      <c r="Q1598" s="12"/>
      <c r="R1598" s="12"/>
      <c r="S1598" s="12"/>
      <c r="T1598" s="12"/>
      <c r="U1598" s="12"/>
      <c r="V1598" s="12"/>
      <c r="W1598" s="12"/>
      <c r="X1598" s="12"/>
      <c r="Y1598" s="12"/>
      <c r="Z1598" s="12"/>
    </row>
    <row r="1599" ht="15.0" customHeight="1">
      <c r="A1599" s="332">
        <v>3.0</v>
      </c>
      <c r="B1599" s="351">
        <v>0.05</v>
      </c>
      <c r="C1599" s="12"/>
      <c r="D1599" s="12"/>
      <c r="E1599" s="12"/>
      <c r="F1599" s="12"/>
      <c r="G1599" s="12"/>
      <c r="H1599" s="12"/>
      <c r="I1599" s="12"/>
      <c r="J1599" s="12"/>
      <c r="K1599" s="12"/>
      <c r="L1599" s="12"/>
      <c r="M1599" s="12"/>
      <c r="N1599" s="12"/>
      <c r="O1599" s="12"/>
      <c r="P1599" s="12"/>
      <c r="Q1599" s="12"/>
      <c r="R1599" s="12"/>
      <c r="S1599" s="12"/>
      <c r="T1599" s="12"/>
      <c r="U1599" s="12"/>
      <c r="V1599" s="12"/>
      <c r="W1599" s="12"/>
      <c r="X1599" s="12"/>
      <c r="Y1599" s="12"/>
      <c r="Z1599" s="12"/>
    </row>
    <row r="1600" ht="15.0" customHeight="1">
      <c r="A1600" s="332">
        <v>4.0</v>
      </c>
      <c r="B1600" s="351">
        <v>0.04</v>
      </c>
      <c r="C1600" s="12"/>
      <c r="D1600" s="12"/>
      <c r="E1600" s="12"/>
      <c r="F1600" s="12"/>
      <c r="G1600" s="12"/>
      <c r="H1600" s="12"/>
      <c r="I1600" s="12"/>
      <c r="J1600" s="12"/>
      <c r="K1600" s="12"/>
      <c r="L1600" s="12"/>
      <c r="M1600" s="12"/>
      <c r="N1600" s="12"/>
      <c r="O1600" s="12"/>
      <c r="P1600" s="12"/>
      <c r="Q1600" s="12"/>
      <c r="R1600" s="12"/>
      <c r="S1600" s="12"/>
      <c r="T1600" s="12"/>
      <c r="U1600" s="12"/>
      <c r="V1600" s="12"/>
      <c r="W1600" s="12"/>
      <c r="X1600" s="12"/>
      <c r="Y1600" s="12"/>
      <c r="Z1600" s="12"/>
    </row>
    <row r="1601" ht="15.0" customHeight="1">
      <c r="A1601" s="349"/>
      <c r="B1601" s="350"/>
      <c r="C1601" s="12"/>
      <c r="D1601" s="12"/>
      <c r="E1601" s="12"/>
      <c r="F1601" s="12"/>
      <c r="G1601" s="12"/>
      <c r="H1601" s="12"/>
      <c r="I1601" s="12"/>
      <c r="J1601" s="12"/>
      <c r="K1601" s="12"/>
      <c r="L1601" s="12"/>
      <c r="M1601" s="12"/>
      <c r="N1601" s="12"/>
      <c r="O1601" s="12"/>
      <c r="P1601" s="12"/>
      <c r="Q1601" s="12"/>
      <c r="R1601" s="12"/>
      <c r="S1601" s="12"/>
      <c r="T1601" s="12"/>
      <c r="U1601" s="12"/>
      <c r="V1601" s="12"/>
      <c r="W1601" s="12"/>
      <c r="X1601" s="12"/>
      <c r="Y1601" s="12"/>
      <c r="Z1601" s="12"/>
    </row>
    <row r="1602" ht="15.0" customHeight="1">
      <c r="A1602" s="357" t="s">
        <v>1574</v>
      </c>
      <c r="B1602" s="350"/>
      <c r="C1602" s="12"/>
      <c r="D1602" s="12"/>
      <c r="E1602" s="12"/>
      <c r="F1602" s="12"/>
      <c r="G1602" s="12"/>
      <c r="H1602" s="12"/>
      <c r="I1602" s="12"/>
      <c r="J1602" s="12"/>
      <c r="K1602" s="12"/>
      <c r="L1602" s="12"/>
      <c r="M1602" s="12"/>
      <c r="N1602" s="12"/>
      <c r="O1602" s="12"/>
      <c r="P1602" s="12"/>
      <c r="Q1602" s="12"/>
      <c r="R1602" s="12"/>
      <c r="S1602" s="12"/>
      <c r="T1602" s="12"/>
      <c r="U1602" s="12"/>
      <c r="V1602" s="12"/>
      <c r="W1602" s="12"/>
      <c r="X1602" s="12"/>
      <c r="Y1602" s="12"/>
      <c r="Z1602" s="12"/>
    </row>
    <row r="1603" ht="15.0" customHeight="1">
      <c r="A1603" s="349"/>
      <c r="B1603" s="350"/>
      <c r="C1603" s="12"/>
      <c r="D1603" s="12"/>
      <c r="E1603" s="12"/>
      <c r="F1603" s="12"/>
      <c r="G1603" s="12"/>
      <c r="H1603" s="12"/>
      <c r="I1603" s="12"/>
      <c r="J1603" s="12"/>
      <c r="K1603" s="12"/>
      <c r="L1603" s="12"/>
      <c r="M1603" s="12"/>
      <c r="N1603" s="12"/>
      <c r="O1603" s="12"/>
      <c r="P1603" s="12"/>
      <c r="Q1603" s="12"/>
      <c r="R1603" s="12"/>
      <c r="S1603" s="12"/>
      <c r="T1603" s="12"/>
      <c r="U1603" s="12"/>
      <c r="V1603" s="12"/>
      <c r="W1603" s="12"/>
      <c r="X1603" s="12"/>
      <c r="Y1603" s="12"/>
      <c r="Z1603" s="12"/>
    </row>
    <row r="1604" ht="15.0" customHeight="1">
      <c r="A1604" s="171" t="s">
        <v>1916</v>
      </c>
      <c r="B1604" s="171">
        <v>1.0</v>
      </c>
      <c r="C1604" s="171">
        <v>2.0</v>
      </c>
      <c r="D1604" s="171">
        <v>3.0</v>
      </c>
      <c r="E1604" s="171">
        <v>4.0</v>
      </c>
      <c r="F1604" s="171">
        <v>5.0</v>
      </c>
      <c r="G1604" s="171">
        <v>6.0</v>
      </c>
      <c r="H1604" s="171">
        <v>7.0</v>
      </c>
      <c r="I1604" s="171">
        <v>8.0</v>
      </c>
      <c r="J1604" s="171">
        <v>9.0</v>
      </c>
      <c r="K1604" s="171">
        <v>10.0</v>
      </c>
      <c r="L1604" s="171">
        <v>11.0</v>
      </c>
      <c r="M1604" s="171">
        <v>12.0</v>
      </c>
      <c r="N1604" s="171">
        <v>13.0</v>
      </c>
      <c r="O1604" s="171">
        <v>14.0</v>
      </c>
      <c r="P1604" s="171">
        <v>15.0</v>
      </c>
      <c r="Q1604" s="171">
        <v>16.0</v>
      </c>
      <c r="R1604" s="12"/>
      <c r="S1604" s="12"/>
      <c r="T1604" s="12"/>
      <c r="U1604" s="12"/>
      <c r="V1604" s="12"/>
      <c r="W1604" s="12"/>
      <c r="X1604" s="12"/>
      <c r="Y1604" s="12"/>
      <c r="Z1604" s="12"/>
    </row>
    <row r="1605" ht="15.0" customHeight="1">
      <c r="A1605" s="322">
        <v>20000.0</v>
      </c>
      <c r="B1605" s="113">
        <v>0.03</v>
      </c>
      <c r="C1605" s="355">
        <v>0.03</v>
      </c>
      <c r="D1605" s="355">
        <v>0.03</v>
      </c>
      <c r="E1605" s="355">
        <v>0.02</v>
      </c>
      <c r="F1605" s="355">
        <v>0.02</v>
      </c>
      <c r="G1605" s="355">
        <v>0.02</v>
      </c>
      <c r="H1605" s="355">
        <v>0.02</v>
      </c>
      <c r="I1605" s="355">
        <v>0.02</v>
      </c>
      <c r="J1605" s="355">
        <v>0.02</v>
      </c>
      <c r="K1605" s="355">
        <v>0.02</v>
      </c>
      <c r="L1605" s="355">
        <v>0.01</v>
      </c>
      <c r="M1605" s="355">
        <v>0.01</v>
      </c>
      <c r="N1605" s="355">
        <v>0.01</v>
      </c>
      <c r="O1605" s="355">
        <v>0.01</v>
      </c>
      <c r="P1605" s="355">
        <v>0.01</v>
      </c>
      <c r="Q1605" s="355">
        <v>0.0</v>
      </c>
      <c r="R1605" s="12"/>
      <c r="S1605" s="12"/>
      <c r="T1605" s="12"/>
      <c r="U1605" s="12"/>
      <c r="V1605" s="12"/>
      <c r="W1605" s="12"/>
      <c r="X1605" s="12"/>
      <c r="Y1605" s="12"/>
      <c r="Z1605" s="12"/>
    </row>
    <row r="1606" ht="15.0" customHeight="1">
      <c r="A1606" s="352">
        <v>30000.0</v>
      </c>
      <c r="B1606" s="113">
        <v>0.02</v>
      </c>
      <c r="C1606" s="355">
        <v>0.02</v>
      </c>
      <c r="D1606" s="355">
        <v>0.02</v>
      </c>
      <c r="E1606" s="355">
        <v>0.02</v>
      </c>
      <c r="F1606" s="355">
        <v>0.02</v>
      </c>
      <c r="G1606" s="355">
        <v>0.02</v>
      </c>
      <c r="H1606" s="355">
        <v>0.02</v>
      </c>
      <c r="I1606" s="355">
        <v>0.02</v>
      </c>
      <c r="J1606" s="355">
        <v>0.02</v>
      </c>
      <c r="K1606" s="355">
        <v>0.02</v>
      </c>
      <c r="L1606" s="355">
        <v>0.01</v>
      </c>
      <c r="M1606" s="355">
        <v>0.01</v>
      </c>
      <c r="N1606" s="355">
        <v>0.01</v>
      </c>
      <c r="O1606" s="355">
        <v>0.01</v>
      </c>
      <c r="P1606" s="355">
        <v>0.01</v>
      </c>
      <c r="Q1606" s="355">
        <v>0.0</v>
      </c>
      <c r="R1606" s="12"/>
      <c r="S1606" s="12"/>
      <c r="T1606" s="12"/>
      <c r="U1606" s="12"/>
      <c r="V1606" s="12"/>
      <c r="W1606" s="12"/>
      <c r="X1606" s="12"/>
      <c r="Y1606" s="12"/>
      <c r="Z1606" s="12"/>
    </row>
    <row r="1607" ht="15.0" customHeight="1">
      <c r="A1607" s="349"/>
      <c r="B1607" s="350"/>
      <c r="C1607" s="12"/>
      <c r="D1607" s="12"/>
      <c r="E1607" s="12"/>
      <c r="F1607" s="12"/>
      <c r="G1607" s="12"/>
      <c r="H1607" s="12"/>
      <c r="I1607" s="12"/>
      <c r="J1607" s="12"/>
      <c r="K1607" s="12"/>
      <c r="L1607" s="12"/>
      <c r="M1607" s="12"/>
      <c r="N1607" s="12"/>
      <c r="O1607" s="12"/>
      <c r="P1607" s="12"/>
      <c r="Q1607" s="12"/>
      <c r="R1607" s="12"/>
      <c r="S1607" s="12"/>
      <c r="T1607" s="12"/>
      <c r="U1607" s="12"/>
      <c r="V1607" s="12"/>
      <c r="W1607" s="12"/>
      <c r="X1607" s="12"/>
      <c r="Y1607" s="12"/>
      <c r="Z1607" s="12"/>
    </row>
    <row r="1608" ht="15.0" customHeight="1">
      <c r="A1608" s="357" t="s">
        <v>1578</v>
      </c>
      <c r="B1608" s="350"/>
      <c r="C1608" s="12"/>
      <c r="D1608" s="12"/>
      <c r="E1608" s="12"/>
      <c r="F1608" s="12"/>
      <c r="G1608" s="12"/>
      <c r="H1608" s="12"/>
      <c r="I1608" s="12"/>
      <c r="J1608" s="12"/>
      <c r="K1608" s="12"/>
      <c r="L1608" s="12"/>
      <c r="M1608" s="12"/>
      <c r="N1608" s="12"/>
      <c r="O1608" s="12"/>
      <c r="P1608" s="12"/>
      <c r="Q1608" s="12"/>
      <c r="R1608" s="12"/>
      <c r="S1608" s="12"/>
      <c r="T1608" s="12"/>
      <c r="U1608" s="12"/>
      <c r="V1608" s="12"/>
      <c r="W1608" s="12"/>
      <c r="X1608" s="12"/>
      <c r="Y1608" s="12"/>
      <c r="Z1608" s="12"/>
    </row>
    <row r="1609" ht="15.0" customHeight="1">
      <c r="A1609" s="349"/>
      <c r="B1609" s="350"/>
      <c r="C1609" s="12"/>
      <c r="D1609" s="12"/>
      <c r="E1609" s="12"/>
      <c r="F1609" s="12"/>
      <c r="G1609" s="12"/>
      <c r="H1609" s="12"/>
      <c r="I1609" s="12"/>
      <c r="J1609" s="12"/>
      <c r="K1609" s="12"/>
      <c r="L1609" s="12"/>
      <c r="M1609" s="12"/>
      <c r="N1609" s="12"/>
      <c r="O1609" s="12"/>
      <c r="P1609" s="12"/>
      <c r="Q1609" s="12"/>
      <c r="R1609" s="12"/>
      <c r="S1609" s="12"/>
      <c r="T1609" s="12"/>
      <c r="U1609" s="12"/>
      <c r="V1609" s="12"/>
      <c r="W1609" s="12"/>
      <c r="X1609" s="12"/>
      <c r="Y1609" s="12"/>
      <c r="Z1609" s="12"/>
    </row>
    <row r="1610" ht="15.0" customHeight="1">
      <c r="A1610" s="171" t="s">
        <v>1916</v>
      </c>
      <c r="B1610" s="171">
        <v>1.0</v>
      </c>
      <c r="C1610" s="171">
        <v>2.0</v>
      </c>
      <c r="D1610" s="171">
        <v>3.0</v>
      </c>
      <c r="E1610" s="171">
        <v>4.0</v>
      </c>
      <c r="F1610" s="171">
        <v>5.0</v>
      </c>
      <c r="G1610" s="171">
        <v>6.0</v>
      </c>
      <c r="H1610" s="171">
        <v>7.0</v>
      </c>
      <c r="I1610" s="171">
        <v>8.0</v>
      </c>
      <c r="J1610" s="171">
        <v>9.0</v>
      </c>
      <c r="K1610" s="171">
        <v>10.0</v>
      </c>
      <c r="L1610" s="171">
        <v>11.0</v>
      </c>
      <c r="M1610" s="12"/>
      <c r="N1610" s="12"/>
      <c r="O1610" s="12"/>
      <c r="P1610" s="12"/>
      <c r="Q1610" s="12"/>
      <c r="R1610" s="12"/>
      <c r="S1610" s="12"/>
      <c r="T1610" s="12"/>
      <c r="U1610" s="12"/>
      <c r="V1610" s="12"/>
      <c r="W1610" s="12"/>
      <c r="X1610" s="12"/>
      <c r="Y1610" s="12"/>
      <c r="Z1610" s="12"/>
    </row>
    <row r="1611" ht="15.0" customHeight="1">
      <c r="A1611" s="322">
        <v>24000.0</v>
      </c>
      <c r="B1611" s="113">
        <v>0.03</v>
      </c>
      <c r="C1611" s="355">
        <v>0.02</v>
      </c>
      <c r="D1611" s="355">
        <v>0.02</v>
      </c>
      <c r="E1611" s="355">
        <v>0.02</v>
      </c>
      <c r="F1611" s="355">
        <v>0.02</v>
      </c>
      <c r="G1611" s="355">
        <v>0.02</v>
      </c>
      <c r="H1611" s="355">
        <v>0.02</v>
      </c>
      <c r="I1611" s="355">
        <v>0.02</v>
      </c>
      <c r="J1611" s="355">
        <v>0.02</v>
      </c>
      <c r="K1611" s="355">
        <v>0.02</v>
      </c>
      <c r="L1611" s="355">
        <v>0.01</v>
      </c>
      <c r="M1611" s="12"/>
      <c r="N1611" s="12"/>
      <c r="O1611" s="12"/>
      <c r="P1611" s="12"/>
      <c r="Q1611" s="12"/>
      <c r="R1611" s="12"/>
      <c r="S1611" s="12"/>
      <c r="T1611" s="12"/>
      <c r="U1611" s="12"/>
      <c r="V1611" s="12"/>
      <c r="W1611" s="12"/>
      <c r="X1611" s="12"/>
      <c r="Y1611" s="12"/>
      <c r="Z1611" s="12"/>
    </row>
    <row r="1612" ht="15.0" customHeight="1">
      <c r="A1612" s="352">
        <v>30000.0</v>
      </c>
      <c r="B1612" s="113">
        <v>0.02</v>
      </c>
      <c r="C1612" s="355">
        <v>0.02</v>
      </c>
      <c r="D1612" s="355">
        <v>0.02</v>
      </c>
      <c r="E1612" s="355">
        <v>0.02</v>
      </c>
      <c r="F1612" s="355">
        <v>0.02</v>
      </c>
      <c r="G1612" s="355">
        <v>0.02</v>
      </c>
      <c r="H1612" s="355">
        <v>0.02</v>
      </c>
      <c r="I1612" s="355">
        <v>0.02</v>
      </c>
      <c r="J1612" s="355">
        <v>0.02</v>
      </c>
      <c r="K1612" s="355">
        <v>0.02</v>
      </c>
      <c r="L1612" s="355">
        <v>0.01</v>
      </c>
      <c r="M1612" s="12"/>
      <c r="N1612" s="12"/>
      <c r="O1612" s="12"/>
      <c r="P1612" s="12"/>
      <c r="Q1612" s="12"/>
      <c r="R1612" s="12"/>
      <c r="S1612" s="12"/>
      <c r="T1612" s="12"/>
      <c r="U1612" s="12"/>
      <c r="V1612" s="12"/>
      <c r="W1612" s="12"/>
      <c r="X1612" s="12"/>
      <c r="Y1612" s="12"/>
      <c r="Z1612" s="12"/>
    </row>
    <row r="1613" ht="15.0" customHeight="1">
      <c r="A1613" s="349"/>
      <c r="B1613" s="350"/>
      <c r="C1613" s="12"/>
      <c r="D1613" s="12"/>
      <c r="E1613" s="12"/>
      <c r="F1613" s="12"/>
      <c r="G1613" s="12"/>
      <c r="H1613" s="12"/>
      <c r="I1613" s="12"/>
      <c r="J1613" s="12"/>
      <c r="K1613" s="12"/>
      <c r="L1613" s="12"/>
      <c r="M1613" s="12"/>
      <c r="N1613" s="12"/>
      <c r="O1613" s="12"/>
      <c r="P1613" s="12"/>
      <c r="Q1613" s="12"/>
      <c r="R1613" s="12"/>
      <c r="S1613" s="12"/>
      <c r="T1613" s="12"/>
      <c r="U1613" s="12"/>
      <c r="V1613" s="12"/>
      <c r="W1613" s="12"/>
      <c r="X1613" s="12"/>
      <c r="Y1613" s="12"/>
      <c r="Z1613" s="12"/>
    </row>
    <row r="1614" ht="15.0" customHeight="1">
      <c r="A1614" s="357" t="s">
        <v>1582</v>
      </c>
      <c r="B1614" s="350"/>
      <c r="C1614" s="12"/>
      <c r="D1614" s="12"/>
      <c r="E1614" s="12"/>
      <c r="F1614" s="12"/>
      <c r="G1614" s="12"/>
      <c r="H1614" s="12"/>
      <c r="I1614" s="12"/>
      <c r="J1614" s="12"/>
      <c r="K1614" s="12"/>
      <c r="L1614" s="12"/>
      <c r="M1614" s="12"/>
      <c r="N1614" s="12"/>
      <c r="O1614" s="12"/>
      <c r="P1614" s="12"/>
      <c r="Q1614" s="12"/>
      <c r="R1614" s="12"/>
      <c r="S1614" s="12"/>
      <c r="T1614" s="12"/>
      <c r="U1614" s="12"/>
      <c r="V1614" s="12"/>
      <c r="W1614" s="12"/>
      <c r="X1614" s="12"/>
      <c r="Y1614" s="12"/>
      <c r="Z1614" s="12"/>
    </row>
    <row r="1615" ht="15.0" customHeight="1">
      <c r="A1615" s="349"/>
      <c r="B1615" s="350"/>
      <c r="C1615" s="12"/>
      <c r="D1615" s="12"/>
      <c r="E1615" s="12"/>
      <c r="F1615" s="12"/>
      <c r="G1615" s="12"/>
      <c r="H1615" s="12"/>
      <c r="I1615" s="12"/>
      <c r="J1615" s="12"/>
      <c r="K1615" s="12"/>
      <c r="L1615" s="12"/>
      <c r="M1615" s="12"/>
      <c r="N1615" s="12"/>
      <c r="O1615" s="12"/>
      <c r="P1615" s="12"/>
      <c r="Q1615" s="12"/>
      <c r="R1615" s="12"/>
      <c r="S1615" s="12"/>
      <c r="T1615" s="12"/>
      <c r="U1615" s="12"/>
      <c r="V1615" s="12"/>
      <c r="W1615" s="12"/>
      <c r="X1615" s="12"/>
      <c r="Y1615" s="12"/>
      <c r="Z1615" s="12"/>
    </row>
    <row r="1616" ht="15.0" customHeight="1">
      <c r="A1616" s="291" t="s">
        <v>1917</v>
      </c>
      <c r="B1616" s="291" t="s">
        <v>1918</v>
      </c>
      <c r="C1616" s="12"/>
      <c r="D1616" s="12"/>
      <c r="E1616" s="12"/>
      <c r="F1616" s="12"/>
      <c r="G1616" s="12"/>
      <c r="H1616" s="12"/>
      <c r="I1616" s="12"/>
      <c r="J1616" s="12"/>
      <c r="K1616" s="12"/>
      <c r="L1616" s="12"/>
      <c r="M1616" s="12"/>
      <c r="N1616" s="12"/>
      <c r="O1616" s="12"/>
      <c r="P1616" s="12"/>
      <c r="Q1616" s="12"/>
      <c r="R1616" s="12"/>
      <c r="S1616" s="12"/>
      <c r="T1616" s="12"/>
      <c r="U1616" s="12"/>
      <c r="V1616" s="12"/>
      <c r="W1616" s="12"/>
      <c r="X1616" s="12"/>
      <c r="Y1616" s="12"/>
      <c r="Z1616" s="12"/>
    </row>
    <row r="1617" ht="15.0" customHeight="1">
      <c r="A1617" s="332">
        <v>1.0</v>
      </c>
      <c r="B1617" s="351">
        <v>0.03</v>
      </c>
      <c r="C1617" s="12"/>
      <c r="D1617" s="12"/>
      <c r="E1617" s="12"/>
      <c r="F1617" s="12"/>
      <c r="G1617" s="12"/>
      <c r="H1617" s="12"/>
      <c r="I1617" s="12"/>
      <c r="J1617" s="12"/>
      <c r="K1617" s="12"/>
      <c r="L1617" s="12"/>
      <c r="M1617" s="12"/>
      <c r="N1617" s="12"/>
      <c r="O1617" s="12"/>
      <c r="P1617" s="12"/>
      <c r="Q1617" s="12"/>
      <c r="R1617" s="12"/>
      <c r="S1617" s="12"/>
      <c r="T1617" s="12"/>
      <c r="U1617" s="12"/>
      <c r="V1617" s="12"/>
      <c r="W1617" s="12"/>
      <c r="X1617" s="12"/>
      <c r="Y1617" s="12"/>
      <c r="Z1617" s="12"/>
    </row>
    <row r="1618" ht="15.0" customHeight="1">
      <c r="A1618" s="332">
        <v>2.0</v>
      </c>
      <c r="B1618" s="351">
        <v>0.03</v>
      </c>
      <c r="C1618" s="12"/>
      <c r="D1618" s="12"/>
      <c r="E1618" s="12"/>
      <c r="F1618" s="12"/>
      <c r="G1618" s="12"/>
      <c r="H1618" s="12"/>
      <c r="I1618" s="12"/>
      <c r="J1618" s="12"/>
      <c r="K1618" s="12"/>
      <c r="L1618" s="12"/>
      <c r="M1618" s="12"/>
      <c r="N1618" s="12"/>
      <c r="O1618" s="12"/>
      <c r="P1618" s="12"/>
      <c r="Q1618" s="12"/>
      <c r="R1618" s="12"/>
      <c r="S1618" s="12"/>
      <c r="T1618" s="12"/>
      <c r="U1618" s="12"/>
      <c r="V1618" s="12"/>
      <c r="W1618" s="12"/>
      <c r="X1618" s="12"/>
      <c r="Y1618" s="12"/>
      <c r="Z1618" s="12"/>
    </row>
    <row r="1619" ht="15.0" customHeight="1">
      <c r="A1619" s="332">
        <v>3.0</v>
      </c>
      <c r="B1619" s="351">
        <v>0.03</v>
      </c>
      <c r="C1619" s="12"/>
      <c r="D1619" s="12"/>
      <c r="E1619" s="12"/>
      <c r="F1619" s="12"/>
      <c r="G1619" s="12"/>
      <c r="H1619" s="12"/>
      <c r="I1619" s="12"/>
      <c r="J1619" s="12"/>
      <c r="K1619" s="12"/>
      <c r="L1619" s="12"/>
      <c r="M1619" s="12"/>
      <c r="N1619" s="12"/>
      <c r="O1619" s="12"/>
      <c r="P1619" s="12"/>
      <c r="Q1619" s="12"/>
      <c r="R1619" s="12"/>
      <c r="S1619" s="12"/>
      <c r="T1619" s="12"/>
      <c r="U1619" s="12"/>
      <c r="V1619" s="12"/>
      <c r="W1619" s="12"/>
      <c r="X1619" s="12"/>
      <c r="Y1619" s="12"/>
      <c r="Z1619" s="12"/>
    </row>
    <row r="1620" ht="15.0" customHeight="1">
      <c r="A1620" s="332">
        <v>4.0</v>
      </c>
      <c r="B1620" s="351">
        <v>0.02</v>
      </c>
      <c r="C1620" s="12"/>
      <c r="D1620" s="12"/>
      <c r="E1620" s="12"/>
      <c r="F1620" s="12"/>
      <c r="G1620" s="12"/>
      <c r="H1620" s="12"/>
      <c r="I1620" s="12"/>
      <c r="J1620" s="12"/>
      <c r="K1620" s="12"/>
      <c r="L1620" s="12"/>
      <c r="M1620" s="12"/>
      <c r="N1620" s="12"/>
      <c r="O1620" s="12"/>
      <c r="P1620" s="12"/>
      <c r="Q1620" s="12"/>
      <c r="R1620" s="12"/>
      <c r="S1620" s="12"/>
      <c r="T1620" s="12"/>
      <c r="U1620" s="12"/>
      <c r="V1620" s="12"/>
      <c r="W1620" s="12"/>
      <c r="X1620" s="12"/>
      <c r="Y1620" s="12"/>
      <c r="Z1620" s="12"/>
    </row>
    <row r="1621" ht="15.0" customHeight="1">
      <c r="A1621" s="332">
        <v>5.0</v>
      </c>
      <c r="B1621" s="351">
        <v>0.02</v>
      </c>
      <c r="C1621" s="12"/>
      <c r="D1621" s="12"/>
      <c r="E1621" s="12"/>
      <c r="F1621" s="12"/>
      <c r="G1621" s="12"/>
      <c r="H1621" s="12"/>
      <c r="I1621" s="12"/>
      <c r="J1621" s="12"/>
      <c r="K1621" s="12"/>
      <c r="L1621" s="12"/>
      <c r="M1621" s="12"/>
      <c r="N1621" s="12"/>
      <c r="O1621" s="12"/>
      <c r="P1621" s="12"/>
      <c r="Q1621" s="12"/>
      <c r="R1621" s="12"/>
      <c r="S1621" s="12"/>
      <c r="T1621" s="12"/>
      <c r="U1621" s="12"/>
      <c r="V1621" s="12"/>
      <c r="W1621" s="12"/>
      <c r="X1621" s="12"/>
      <c r="Y1621" s="12"/>
      <c r="Z1621" s="12"/>
    </row>
    <row r="1622" ht="15.0" customHeight="1">
      <c r="A1622" s="171">
        <v>6.0</v>
      </c>
      <c r="B1622" s="351">
        <v>0.02</v>
      </c>
      <c r="C1622" s="12"/>
      <c r="D1622" s="12"/>
      <c r="E1622" s="12"/>
      <c r="F1622" s="12"/>
      <c r="G1622" s="12"/>
      <c r="H1622" s="12"/>
      <c r="I1622" s="12"/>
      <c r="J1622" s="12"/>
      <c r="K1622" s="12"/>
      <c r="L1622" s="12"/>
      <c r="M1622" s="12"/>
      <c r="N1622" s="12"/>
      <c r="O1622" s="12"/>
      <c r="P1622" s="12"/>
      <c r="Q1622" s="12"/>
      <c r="R1622" s="12"/>
      <c r="S1622" s="12"/>
      <c r="T1622" s="12"/>
      <c r="U1622" s="12"/>
      <c r="V1622" s="12"/>
      <c r="W1622" s="12"/>
      <c r="X1622" s="12"/>
      <c r="Y1622" s="12"/>
      <c r="Z1622" s="12"/>
    </row>
    <row r="1623" ht="15.0" customHeight="1">
      <c r="A1623" s="332">
        <v>7.0</v>
      </c>
      <c r="B1623" s="351">
        <v>0.02</v>
      </c>
      <c r="C1623" s="12"/>
      <c r="D1623" s="12"/>
      <c r="E1623" s="12"/>
      <c r="F1623" s="12"/>
      <c r="G1623" s="12"/>
      <c r="H1623" s="12"/>
      <c r="I1623" s="12"/>
      <c r="J1623" s="12"/>
      <c r="K1623" s="12"/>
      <c r="L1623" s="12"/>
      <c r="M1623" s="12"/>
      <c r="N1623" s="12"/>
      <c r="O1623" s="12"/>
      <c r="P1623" s="12"/>
      <c r="Q1623" s="12"/>
      <c r="R1623" s="12"/>
      <c r="S1623" s="12"/>
      <c r="T1623" s="12"/>
      <c r="U1623" s="12"/>
      <c r="V1623" s="12"/>
      <c r="W1623" s="12"/>
      <c r="X1623" s="12"/>
      <c r="Y1623" s="12"/>
      <c r="Z1623" s="12"/>
    </row>
    <row r="1624" ht="15.0" customHeight="1">
      <c r="A1624" s="171">
        <v>8.0</v>
      </c>
      <c r="B1624" s="351">
        <v>0.02</v>
      </c>
      <c r="C1624" s="12"/>
      <c r="D1624" s="12"/>
      <c r="E1624" s="12"/>
      <c r="F1624" s="12"/>
      <c r="G1624" s="12"/>
      <c r="H1624" s="12"/>
      <c r="I1624" s="12"/>
      <c r="J1624" s="12"/>
      <c r="K1624" s="12"/>
      <c r="L1624" s="12"/>
      <c r="M1624" s="12"/>
      <c r="N1624" s="12"/>
      <c r="O1624" s="12"/>
      <c r="P1624" s="12"/>
      <c r="Q1624" s="12"/>
      <c r="R1624" s="12"/>
      <c r="S1624" s="12"/>
      <c r="T1624" s="12"/>
      <c r="U1624" s="12"/>
      <c r="V1624" s="12"/>
      <c r="W1624" s="12"/>
      <c r="X1624" s="12"/>
      <c r="Y1624" s="12"/>
      <c r="Z1624" s="12"/>
    </row>
    <row r="1625" ht="15.0" customHeight="1">
      <c r="A1625" s="332">
        <v>9.0</v>
      </c>
      <c r="B1625" s="351">
        <v>0.02</v>
      </c>
      <c r="C1625" s="12"/>
      <c r="D1625" s="12"/>
      <c r="E1625" s="12"/>
      <c r="F1625" s="12"/>
      <c r="G1625" s="12"/>
      <c r="H1625" s="12"/>
      <c r="I1625" s="12"/>
      <c r="J1625" s="12"/>
      <c r="K1625" s="12"/>
      <c r="L1625" s="12"/>
      <c r="M1625" s="12"/>
      <c r="N1625" s="12"/>
      <c r="O1625" s="12"/>
      <c r="P1625" s="12"/>
      <c r="Q1625" s="12"/>
      <c r="R1625" s="12"/>
      <c r="S1625" s="12"/>
      <c r="T1625" s="12"/>
      <c r="U1625" s="12"/>
      <c r="V1625" s="12"/>
      <c r="W1625" s="12"/>
      <c r="X1625" s="12"/>
      <c r="Y1625" s="12"/>
      <c r="Z1625" s="12"/>
    </row>
    <row r="1626" ht="15.0" customHeight="1">
      <c r="A1626" s="171">
        <v>10.0</v>
      </c>
      <c r="B1626" s="351">
        <v>0.02</v>
      </c>
      <c r="C1626" s="12"/>
      <c r="D1626" s="12"/>
      <c r="E1626" s="12"/>
      <c r="F1626" s="12"/>
      <c r="G1626" s="12"/>
      <c r="H1626" s="12"/>
      <c r="I1626" s="12"/>
      <c r="J1626" s="12"/>
      <c r="K1626" s="12"/>
      <c r="L1626" s="12"/>
      <c r="M1626" s="12"/>
      <c r="N1626" s="12"/>
      <c r="O1626" s="12"/>
      <c r="P1626" s="12"/>
      <c r="Q1626" s="12"/>
      <c r="R1626" s="12"/>
      <c r="S1626" s="12"/>
      <c r="T1626" s="12"/>
      <c r="U1626" s="12"/>
      <c r="V1626" s="12"/>
      <c r="W1626" s="12"/>
      <c r="X1626" s="12"/>
      <c r="Y1626" s="12"/>
      <c r="Z1626" s="12"/>
    </row>
    <row r="1627" ht="15.0" customHeight="1">
      <c r="A1627" s="332">
        <v>11.0</v>
      </c>
      <c r="B1627" s="351">
        <v>0.01</v>
      </c>
      <c r="C1627" s="12"/>
      <c r="D1627" s="12"/>
      <c r="E1627" s="12"/>
      <c r="F1627" s="12"/>
      <c r="G1627" s="12"/>
      <c r="H1627" s="12"/>
      <c r="I1627" s="12"/>
      <c r="J1627" s="12"/>
      <c r="K1627" s="12"/>
      <c r="L1627" s="12"/>
      <c r="M1627" s="12"/>
      <c r="N1627" s="12"/>
      <c r="O1627" s="12"/>
      <c r="P1627" s="12"/>
      <c r="Q1627" s="12"/>
      <c r="R1627" s="12"/>
      <c r="S1627" s="12"/>
      <c r="T1627" s="12"/>
      <c r="U1627" s="12"/>
      <c r="V1627" s="12"/>
      <c r="W1627" s="12"/>
      <c r="X1627" s="12"/>
      <c r="Y1627" s="12"/>
      <c r="Z1627" s="12"/>
    </row>
    <row r="1628" ht="15.0" customHeight="1">
      <c r="A1628" s="171">
        <v>12.0</v>
      </c>
      <c r="B1628" s="351">
        <v>0.01</v>
      </c>
      <c r="C1628" s="12"/>
      <c r="D1628" s="12"/>
      <c r="E1628" s="12"/>
      <c r="F1628" s="12"/>
      <c r="G1628" s="12"/>
      <c r="H1628" s="12"/>
      <c r="I1628" s="12"/>
      <c r="J1628" s="12"/>
      <c r="K1628" s="12"/>
      <c r="L1628" s="12"/>
      <c r="M1628" s="12"/>
      <c r="N1628" s="12"/>
      <c r="O1628" s="12"/>
      <c r="P1628" s="12"/>
      <c r="Q1628" s="12"/>
      <c r="R1628" s="12"/>
      <c r="S1628" s="12"/>
      <c r="T1628" s="12"/>
      <c r="U1628" s="12"/>
      <c r="V1628" s="12"/>
      <c r="W1628" s="12"/>
      <c r="X1628" s="12"/>
      <c r="Y1628" s="12"/>
      <c r="Z1628" s="12"/>
    </row>
    <row r="1629" ht="15.0" customHeight="1">
      <c r="A1629" s="332">
        <v>13.0</v>
      </c>
      <c r="B1629" s="351">
        <v>0.01</v>
      </c>
      <c r="C1629" s="12"/>
      <c r="D1629" s="12"/>
      <c r="E1629" s="12"/>
      <c r="F1629" s="12"/>
      <c r="G1629" s="12"/>
      <c r="H1629" s="12"/>
      <c r="I1629" s="12"/>
      <c r="J1629" s="12"/>
      <c r="K1629" s="12"/>
      <c r="L1629" s="12"/>
      <c r="M1629" s="12"/>
      <c r="N1629" s="12"/>
      <c r="O1629" s="12"/>
      <c r="P1629" s="12"/>
      <c r="Q1629" s="12"/>
      <c r="R1629" s="12"/>
      <c r="S1629" s="12"/>
      <c r="T1629" s="12"/>
      <c r="U1629" s="12"/>
      <c r="V1629" s="12"/>
      <c r="W1629" s="12"/>
      <c r="X1629" s="12"/>
      <c r="Y1629" s="12"/>
      <c r="Z1629" s="12"/>
    </row>
    <row r="1630" ht="15.0" customHeight="1">
      <c r="A1630" s="171">
        <v>14.0</v>
      </c>
      <c r="B1630" s="351">
        <v>0.01</v>
      </c>
      <c r="C1630" s="12"/>
      <c r="D1630" s="12"/>
      <c r="E1630" s="12"/>
      <c r="F1630" s="12"/>
      <c r="G1630" s="12"/>
      <c r="H1630" s="12"/>
      <c r="I1630" s="12"/>
      <c r="J1630" s="12"/>
      <c r="K1630" s="12"/>
      <c r="L1630" s="12"/>
      <c r="M1630" s="12"/>
      <c r="N1630" s="12"/>
      <c r="O1630" s="12"/>
      <c r="P1630" s="12"/>
      <c r="Q1630" s="12"/>
      <c r="R1630" s="12"/>
      <c r="S1630" s="12"/>
      <c r="T1630" s="12"/>
      <c r="U1630" s="12"/>
      <c r="V1630" s="12"/>
      <c r="W1630" s="12"/>
      <c r="X1630" s="12"/>
      <c r="Y1630" s="12"/>
      <c r="Z1630" s="12"/>
    </row>
    <row r="1631" ht="15.0" customHeight="1">
      <c r="A1631" s="332">
        <v>15.0</v>
      </c>
      <c r="B1631" s="351">
        <v>0.01</v>
      </c>
      <c r="C1631" s="12"/>
      <c r="D1631" s="12"/>
      <c r="E1631" s="12"/>
      <c r="F1631" s="12"/>
      <c r="G1631" s="12"/>
      <c r="H1631" s="12"/>
      <c r="I1631" s="12"/>
      <c r="J1631" s="12"/>
      <c r="K1631" s="12"/>
      <c r="L1631" s="12"/>
      <c r="M1631" s="12"/>
      <c r="N1631" s="12"/>
      <c r="O1631" s="12"/>
      <c r="P1631" s="12"/>
      <c r="Q1631" s="12"/>
      <c r="R1631" s="12"/>
      <c r="S1631" s="12"/>
      <c r="T1631" s="12"/>
      <c r="U1631" s="12"/>
      <c r="V1631" s="12"/>
      <c r="W1631" s="12"/>
      <c r="X1631" s="12"/>
      <c r="Y1631" s="12"/>
      <c r="Z1631" s="12"/>
    </row>
    <row r="1632" ht="15.0" customHeight="1">
      <c r="A1632" s="171">
        <v>16.0</v>
      </c>
      <c r="B1632" s="351">
        <v>0.0</v>
      </c>
      <c r="C1632" s="12"/>
      <c r="D1632" s="12"/>
      <c r="E1632" s="12"/>
      <c r="F1632" s="12"/>
      <c r="G1632" s="12"/>
      <c r="H1632" s="12"/>
      <c r="I1632" s="12"/>
      <c r="J1632" s="12"/>
      <c r="K1632" s="12"/>
      <c r="L1632" s="12"/>
      <c r="M1632" s="12"/>
      <c r="N1632" s="12"/>
      <c r="O1632" s="12"/>
      <c r="P1632" s="12"/>
      <c r="Q1632" s="12"/>
      <c r="R1632" s="12"/>
      <c r="S1632" s="12"/>
      <c r="T1632" s="12"/>
      <c r="U1632" s="12"/>
      <c r="V1632" s="12"/>
      <c r="W1632" s="12"/>
      <c r="X1632" s="12"/>
      <c r="Y1632" s="12"/>
      <c r="Z1632" s="12"/>
    </row>
    <row r="1633" ht="15.0" customHeight="1">
      <c r="A1633" s="349"/>
      <c r="B1633" s="350"/>
      <c r="C1633" s="12"/>
      <c r="D1633" s="12"/>
      <c r="E1633" s="12"/>
      <c r="F1633" s="12"/>
      <c r="G1633" s="12"/>
      <c r="H1633" s="12"/>
      <c r="I1633" s="12"/>
      <c r="J1633" s="12"/>
      <c r="K1633" s="12"/>
      <c r="L1633" s="12"/>
      <c r="M1633" s="12"/>
      <c r="N1633" s="12"/>
      <c r="O1633" s="12"/>
      <c r="P1633" s="12"/>
      <c r="Q1633" s="12"/>
      <c r="R1633" s="12"/>
      <c r="S1633" s="12"/>
      <c r="T1633" s="12"/>
      <c r="U1633" s="12"/>
      <c r="V1633" s="12"/>
      <c r="W1633" s="12"/>
      <c r="X1633" s="12"/>
      <c r="Y1633" s="12"/>
      <c r="Z1633" s="12"/>
    </row>
    <row r="1634" ht="15.0" customHeight="1">
      <c r="A1634" s="357" t="s">
        <v>1586</v>
      </c>
      <c r="B1634" s="350"/>
      <c r="C1634" s="12"/>
      <c r="D1634" s="12"/>
      <c r="E1634" s="12"/>
      <c r="F1634" s="12"/>
      <c r="G1634" s="12"/>
      <c r="H1634" s="12"/>
      <c r="I1634" s="12"/>
      <c r="J1634" s="12"/>
      <c r="K1634" s="12"/>
      <c r="L1634" s="12"/>
      <c r="M1634" s="12"/>
      <c r="N1634" s="12"/>
      <c r="O1634" s="12"/>
      <c r="P1634" s="12"/>
      <c r="Q1634" s="12"/>
      <c r="R1634" s="12"/>
      <c r="S1634" s="12"/>
      <c r="T1634" s="12"/>
      <c r="U1634" s="12"/>
      <c r="V1634" s="12"/>
      <c r="W1634" s="12"/>
      <c r="X1634" s="12"/>
      <c r="Y1634" s="12"/>
      <c r="Z1634" s="12"/>
    </row>
    <row r="1635" ht="15.0" customHeight="1">
      <c r="A1635" s="349"/>
      <c r="B1635" s="350"/>
      <c r="C1635" s="12"/>
      <c r="D1635" s="12"/>
      <c r="E1635" s="12"/>
      <c r="F1635" s="12"/>
      <c r="G1635" s="12"/>
      <c r="H1635" s="12"/>
      <c r="I1635" s="12"/>
      <c r="J1635" s="12"/>
      <c r="K1635" s="12"/>
      <c r="L1635" s="12"/>
      <c r="M1635" s="12"/>
      <c r="N1635" s="12"/>
      <c r="O1635" s="12"/>
      <c r="P1635" s="12"/>
      <c r="Q1635" s="12"/>
      <c r="R1635" s="12"/>
      <c r="S1635" s="12"/>
      <c r="T1635" s="12"/>
      <c r="U1635" s="12"/>
      <c r="V1635" s="12"/>
      <c r="W1635" s="12"/>
      <c r="X1635" s="12"/>
      <c r="Y1635" s="12"/>
      <c r="Z1635" s="12"/>
    </row>
    <row r="1636" ht="15.0" customHeight="1">
      <c r="A1636" s="291" t="s">
        <v>1917</v>
      </c>
      <c r="B1636" s="291" t="s">
        <v>1918</v>
      </c>
      <c r="C1636" s="12"/>
      <c r="D1636" s="12"/>
      <c r="E1636" s="12"/>
      <c r="F1636" s="12"/>
      <c r="G1636" s="12"/>
      <c r="H1636" s="12"/>
      <c r="I1636" s="12"/>
      <c r="J1636" s="12"/>
      <c r="K1636" s="12"/>
      <c r="L1636" s="12"/>
      <c r="M1636" s="12"/>
      <c r="N1636" s="12"/>
      <c r="O1636" s="12"/>
      <c r="P1636" s="12"/>
      <c r="Q1636" s="12"/>
      <c r="R1636" s="12"/>
      <c r="S1636" s="12"/>
      <c r="T1636" s="12"/>
      <c r="U1636" s="12"/>
      <c r="V1636" s="12"/>
      <c r="W1636" s="12"/>
      <c r="X1636" s="12"/>
      <c r="Y1636" s="12"/>
      <c r="Z1636" s="12"/>
    </row>
    <row r="1637" ht="15.0" customHeight="1">
      <c r="A1637" s="332">
        <v>1.0</v>
      </c>
      <c r="B1637" s="351">
        <v>0.03</v>
      </c>
      <c r="C1637" s="12"/>
      <c r="D1637" s="12"/>
      <c r="E1637" s="12"/>
      <c r="F1637" s="12"/>
      <c r="G1637" s="12"/>
      <c r="H1637" s="12"/>
      <c r="I1637" s="12"/>
      <c r="J1637" s="12"/>
      <c r="K1637" s="12"/>
      <c r="L1637" s="12"/>
      <c r="M1637" s="12"/>
      <c r="N1637" s="12"/>
      <c r="O1637" s="12"/>
      <c r="P1637" s="12"/>
      <c r="Q1637" s="12"/>
      <c r="R1637" s="12"/>
      <c r="S1637" s="12"/>
      <c r="T1637" s="12"/>
      <c r="U1637" s="12"/>
      <c r="V1637" s="12"/>
      <c r="W1637" s="12"/>
      <c r="X1637" s="12"/>
      <c r="Y1637" s="12"/>
      <c r="Z1637" s="12"/>
    </row>
    <row r="1638" ht="15.0" customHeight="1">
      <c r="A1638" s="332">
        <v>2.0</v>
      </c>
      <c r="B1638" s="351">
        <v>0.03</v>
      </c>
      <c r="C1638" s="12"/>
      <c r="D1638" s="12"/>
      <c r="E1638" s="12"/>
      <c r="F1638" s="12"/>
      <c r="G1638" s="12"/>
      <c r="H1638" s="12"/>
      <c r="I1638" s="12"/>
      <c r="J1638" s="12"/>
      <c r="K1638" s="12"/>
      <c r="L1638" s="12"/>
      <c r="M1638" s="12"/>
      <c r="N1638" s="12"/>
      <c r="O1638" s="12"/>
      <c r="P1638" s="12"/>
      <c r="Q1638" s="12"/>
      <c r="R1638" s="12"/>
      <c r="S1638" s="12"/>
      <c r="T1638" s="12"/>
      <c r="U1638" s="12"/>
      <c r="V1638" s="12"/>
      <c r="W1638" s="12"/>
      <c r="X1638" s="12"/>
      <c r="Y1638" s="12"/>
      <c r="Z1638" s="12"/>
    </row>
    <row r="1639" ht="15.0" customHeight="1">
      <c r="A1639" s="332">
        <v>3.0</v>
      </c>
      <c r="B1639" s="351">
        <v>0.03</v>
      </c>
      <c r="C1639" s="12"/>
      <c r="D1639" s="12"/>
      <c r="E1639" s="12"/>
      <c r="F1639" s="12"/>
      <c r="G1639" s="12"/>
      <c r="H1639" s="12"/>
      <c r="I1639" s="12"/>
      <c r="J1639" s="12"/>
      <c r="K1639" s="12"/>
      <c r="L1639" s="12"/>
      <c r="M1639" s="12"/>
      <c r="N1639" s="12"/>
      <c r="O1639" s="12"/>
      <c r="P1639" s="12"/>
      <c r="Q1639" s="12"/>
      <c r="R1639" s="12"/>
      <c r="S1639" s="12"/>
      <c r="T1639" s="12"/>
      <c r="U1639" s="12"/>
      <c r="V1639" s="12"/>
      <c r="W1639" s="12"/>
      <c r="X1639" s="12"/>
      <c r="Y1639" s="12"/>
      <c r="Z1639" s="12"/>
    </row>
    <row r="1640" ht="15.0" customHeight="1">
      <c r="A1640" s="332">
        <v>4.0</v>
      </c>
      <c r="B1640" s="351">
        <v>0.02</v>
      </c>
      <c r="C1640" s="12"/>
      <c r="D1640" s="12"/>
      <c r="E1640" s="12"/>
      <c r="F1640" s="12"/>
      <c r="G1640" s="12"/>
      <c r="H1640" s="12"/>
      <c r="I1640" s="12"/>
      <c r="J1640" s="12"/>
      <c r="K1640" s="12"/>
      <c r="L1640" s="12"/>
      <c r="M1640" s="12"/>
      <c r="N1640" s="12"/>
      <c r="O1640" s="12"/>
      <c r="P1640" s="12"/>
      <c r="Q1640" s="12"/>
      <c r="R1640" s="12"/>
      <c r="S1640" s="12"/>
      <c r="T1640" s="12"/>
      <c r="U1640" s="12"/>
      <c r="V1640" s="12"/>
      <c r="W1640" s="12"/>
      <c r="X1640" s="12"/>
      <c r="Y1640" s="12"/>
      <c r="Z1640" s="12"/>
    </row>
    <row r="1641" ht="15.0" customHeight="1">
      <c r="A1641" s="332">
        <v>5.0</v>
      </c>
      <c r="B1641" s="351">
        <v>0.02</v>
      </c>
      <c r="C1641" s="12"/>
      <c r="D1641" s="12"/>
      <c r="E1641" s="12"/>
      <c r="F1641" s="12"/>
      <c r="G1641" s="12"/>
      <c r="H1641" s="12"/>
      <c r="I1641" s="12"/>
      <c r="J1641" s="12"/>
      <c r="K1641" s="12"/>
      <c r="L1641" s="12"/>
      <c r="M1641" s="12"/>
      <c r="N1641" s="12"/>
      <c r="O1641" s="12"/>
      <c r="P1641" s="12"/>
      <c r="Q1641" s="12"/>
      <c r="R1641" s="12"/>
      <c r="S1641" s="12"/>
      <c r="T1641" s="12"/>
      <c r="U1641" s="12"/>
      <c r="V1641" s="12"/>
      <c r="W1641" s="12"/>
      <c r="X1641" s="12"/>
      <c r="Y1641" s="12"/>
      <c r="Z1641" s="12"/>
    </row>
    <row r="1642" ht="15.0" customHeight="1">
      <c r="A1642" s="171">
        <v>6.0</v>
      </c>
      <c r="B1642" s="351">
        <v>0.02</v>
      </c>
      <c r="C1642" s="12"/>
      <c r="D1642" s="12"/>
      <c r="E1642" s="12"/>
      <c r="F1642" s="12"/>
      <c r="G1642" s="12"/>
      <c r="H1642" s="12"/>
      <c r="I1642" s="12"/>
      <c r="J1642" s="12"/>
      <c r="K1642" s="12"/>
      <c r="L1642" s="12"/>
      <c r="M1642" s="12"/>
      <c r="N1642" s="12"/>
      <c r="O1642" s="12"/>
      <c r="P1642" s="12"/>
      <c r="Q1642" s="12"/>
      <c r="R1642" s="12"/>
      <c r="S1642" s="12"/>
      <c r="T1642" s="12"/>
      <c r="U1642" s="12"/>
      <c r="V1642" s="12"/>
      <c r="W1642" s="12"/>
      <c r="X1642" s="12"/>
      <c r="Y1642" s="12"/>
      <c r="Z1642" s="12"/>
    </row>
    <row r="1643" ht="15.0" customHeight="1">
      <c r="A1643" s="332">
        <v>7.0</v>
      </c>
      <c r="B1643" s="351">
        <v>0.02</v>
      </c>
      <c r="C1643" s="12"/>
      <c r="D1643" s="12"/>
      <c r="E1643" s="12"/>
      <c r="F1643" s="12"/>
      <c r="G1643" s="12"/>
      <c r="H1643" s="12"/>
      <c r="I1643" s="12"/>
      <c r="J1643" s="12"/>
      <c r="K1643" s="12"/>
      <c r="L1643" s="12"/>
      <c r="M1643" s="12"/>
      <c r="N1643" s="12"/>
      <c r="O1643" s="12"/>
      <c r="P1643" s="12"/>
      <c r="Q1643" s="12"/>
      <c r="R1643" s="12"/>
      <c r="S1643" s="12"/>
      <c r="T1643" s="12"/>
      <c r="U1643" s="12"/>
      <c r="V1643" s="12"/>
      <c r="W1643" s="12"/>
      <c r="X1643" s="12"/>
      <c r="Y1643" s="12"/>
      <c r="Z1643" s="12"/>
    </row>
    <row r="1644" ht="15.0" customHeight="1">
      <c r="A1644" s="171">
        <v>8.0</v>
      </c>
      <c r="B1644" s="351">
        <v>0.02</v>
      </c>
      <c r="C1644" s="12"/>
      <c r="D1644" s="12"/>
      <c r="E1644" s="12"/>
      <c r="F1644" s="12"/>
      <c r="G1644" s="12"/>
      <c r="H1644" s="12"/>
      <c r="I1644" s="12"/>
      <c r="J1644" s="12"/>
      <c r="K1644" s="12"/>
      <c r="L1644" s="12"/>
      <c r="M1644" s="12"/>
      <c r="N1644" s="12"/>
      <c r="O1644" s="12"/>
      <c r="P1644" s="12"/>
      <c r="Q1644" s="12"/>
      <c r="R1644" s="12"/>
      <c r="S1644" s="12"/>
      <c r="T1644" s="12"/>
      <c r="U1644" s="12"/>
      <c r="V1644" s="12"/>
      <c r="W1644" s="12"/>
      <c r="X1644" s="12"/>
      <c r="Y1644" s="12"/>
      <c r="Z1644" s="12"/>
    </row>
    <row r="1645" ht="15.0" customHeight="1">
      <c r="A1645" s="332">
        <v>9.0</v>
      </c>
      <c r="B1645" s="351">
        <v>0.02</v>
      </c>
      <c r="C1645" s="12"/>
      <c r="D1645" s="12"/>
      <c r="E1645" s="12"/>
      <c r="F1645" s="12"/>
      <c r="G1645" s="12"/>
      <c r="H1645" s="12"/>
      <c r="I1645" s="12"/>
      <c r="J1645" s="12"/>
      <c r="K1645" s="12"/>
      <c r="L1645" s="12"/>
      <c r="M1645" s="12"/>
      <c r="N1645" s="12"/>
      <c r="O1645" s="12"/>
      <c r="P1645" s="12"/>
      <c r="Q1645" s="12"/>
      <c r="R1645" s="12"/>
      <c r="S1645" s="12"/>
      <c r="T1645" s="12"/>
      <c r="U1645" s="12"/>
      <c r="V1645" s="12"/>
      <c r="W1645" s="12"/>
      <c r="X1645" s="12"/>
      <c r="Y1645" s="12"/>
      <c r="Z1645" s="12"/>
    </row>
    <row r="1646" ht="15.0" customHeight="1">
      <c r="A1646" s="171">
        <v>10.0</v>
      </c>
      <c r="B1646" s="351">
        <v>0.02</v>
      </c>
      <c r="C1646" s="12"/>
      <c r="D1646" s="12"/>
      <c r="E1646" s="12"/>
      <c r="F1646" s="12"/>
      <c r="G1646" s="12"/>
      <c r="H1646" s="12"/>
      <c r="I1646" s="12"/>
      <c r="J1646" s="12"/>
      <c r="K1646" s="12"/>
      <c r="L1646" s="12"/>
      <c r="M1646" s="12"/>
      <c r="N1646" s="12"/>
      <c r="O1646" s="12"/>
      <c r="P1646" s="12"/>
      <c r="Q1646" s="12"/>
      <c r="R1646" s="12"/>
      <c r="S1646" s="12"/>
      <c r="T1646" s="12"/>
      <c r="U1646" s="12"/>
      <c r="V1646" s="12"/>
      <c r="W1646" s="12"/>
      <c r="X1646" s="12"/>
      <c r="Y1646" s="12"/>
      <c r="Z1646" s="12"/>
    </row>
    <row r="1647" ht="15.0" customHeight="1">
      <c r="A1647" s="332">
        <v>11.0</v>
      </c>
      <c r="B1647" s="351">
        <v>0.01</v>
      </c>
      <c r="C1647" s="12"/>
      <c r="D1647" s="12"/>
      <c r="E1647" s="12"/>
      <c r="F1647" s="12"/>
      <c r="G1647" s="12"/>
      <c r="H1647" s="12"/>
      <c r="I1647" s="12"/>
      <c r="J1647" s="12"/>
      <c r="K1647" s="12"/>
      <c r="L1647" s="12"/>
      <c r="M1647" s="12"/>
      <c r="N1647" s="12"/>
      <c r="O1647" s="12"/>
      <c r="P1647" s="12"/>
      <c r="Q1647" s="12"/>
      <c r="R1647" s="12"/>
      <c r="S1647" s="12"/>
      <c r="T1647" s="12"/>
      <c r="U1647" s="12"/>
      <c r="V1647" s="12"/>
      <c r="W1647" s="12"/>
      <c r="X1647" s="12"/>
      <c r="Y1647" s="12"/>
      <c r="Z1647" s="12"/>
    </row>
    <row r="1648" ht="15.0" customHeight="1">
      <c r="A1648" s="171">
        <v>12.0</v>
      </c>
      <c r="B1648" s="351">
        <v>0.01</v>
      </c>
      <c r="C1648" s="12"/>
      <c r="D1648" s="12"/>
      <c r="E1648" s="12"/>
      <c r="F1648" s="12"/>
      <c r="G1648" s="12"/>
      <c r="H1648" s="12"/>
      <c r="I1648" s="12"/>
      <c r="J1648" s="12"/>
      <c r="K1648" s="12"/>
      <c r="L1648" s="12"/>
      <c r="M1648" s="12"/>
      <c r="N1648" s="12"/>
      <c r="O1648" s="12"/>
      <c r="P1648" s="12"/>
      <c r="Q1648" s="12"/>
      <c r="R1648" s="12"/>
      <c r="S1648" s="12"/>
      <c r="T1648" s="12"/>
      <c r="U1648" s="12"/>
      <c r="V1648" s="12"/>
      <c r="W1648" s="12"/>
      <c r="X1648" s="12"/>
      <c r="Y1648" s="12"/>
      <c r="Z1648" s="12"/>
    </row>
    <row r="1649" ht="15.0" customHeight="1">
      <c r="A1649" s="332">
        <v>13.0</v>
      </c>
      <c r="B1649" s="351">
        <v>0.01</v>
      </c>
      <c r="C1649" s="12"/>
      <c r="D1649" s="12"/>
      <c r="E1649" s="12"/>
      <c r="F1649" s="12"/>
      <c r="G1649" s="12"/>
      <c r="H1649" s="12"/>
      <c r="I1649" s="12"/>
      <c r="J1649" s="12"/>
      <c r="K1649" s="12"/>
      <c r="L1649" s="12"/>
      <c r="M1649" s="12"/>
      <c r="N1649" s="12"/>
      <c r="O1649" s="12"/>
      <c r="P1649" s="12"/>
      <c r="Q1649" s="12"/>
      <c r="R1649" s="12"/>
      <c r="S1649" s="12"/>
      <c r="T1649" s="12"/>
      <c r="U1649" s="12"/>
      <c r="V1649" s="12"/>
      <c r="W1649" s="12"/>
      <c r="X1649" s="12"/>
      <c r="Y1649" s="12"/>
      <c r="Z1649" s="12"/>
    </row>
    <row r="1650" ht="15.0" customHeight="1">
      <c r="A1650" s="171">
        <v>14.0</v>
      </c>
      <c r="B1650" s="351">
        <v>0.01</v>
      </c>
      <c r="C1650" s="12"/>
      <c r="D1650" s="12"/>
      <c r="E1650" s="12"/>
      <c r="F1650" s="12"/>
      <c r="G1650" s="12"/>
      <c r="H1650" s="12"/>
      <c r="I1650" s="12"/>
      <c r="J1650" s="12"/>
      <c r="K1650" s="12"/>
      <c r="L1650" s="12"/>
      <c r="M1650" s="12"/>
      <c r="N1650" s="12"/>
      <c r="O1650" s="12"/>
      <c r="P1650" s="12"/>
      <c r="Q1650" s="12"/>
      <c r="R1650" s="12"/>
      <c r="S1650" s="12"/>
      <c r="T1650" s="12"/>
      <c r="U1650" s="12"/>
      <c r="V1650" s="12"/>
      <c r="W1650" s="12"/>
      <c r="X1650" s="12"/>
      <c r="Y1650" s="12"/>
      <c r="Z1650" s="12"/>
    </row>
    <row r="1651" ht="15.0" customHeight="1">
      <c r="A1651" s="332">
        <v>15.0</v>
      </c>
      <c r="B1651" s="351">
        <v>0.01</v>
      </c>
      <c r="C1651" s="12"/>
      <c r="D1651" s="12"/>
      <c r="E1651" s="12"/>
      <c r="F1651" s="12"/>
      <c r="G1651" s="12"/>
      <c r="H1651" s="12"/>
      <c r="I1651" s="12"/>
      <c r="J1651" s="12"/>
      <c r="K1651" s="12"/>
      <c r="L1651" s="12"/>
      <c r="M1651" s="12"/>
      <c r="N1651" s="12"/>
      <c r="O1651" s="12"/>
      <c r="P1651" s="12"/>
      <c r="Q1651" s="12"/>
      <c r="R1651" s="12"/>
      <c r="S1651" s="12"/>
      <c r="T1651" s="12"/>
      <c r="U1651" s="12"/>
      <c r="V1651" s="12"/>
      <c r="W1651" s="12"/>
      <c r="X1651" s="12"/>
      <c r="Y1651" s="12"/>
      <c r="Z1651" s="12"/>
    </row>
    <row r="1652" ht="15.0" customHeight="1">
      <c r="A1652" s="171">
        <v>16.0</v>
      </c>
      <c r="B1652" s="351">
        <v>0.0</v>
      </c>
      <c r="C1652" s="12"/>
      <c r="D1652" s="12"/>
      <c r="E1652" s="12"/>
      <c r="F1652" s="12"/>
      <c r="G1652" s="12"/>
      <c r="H1652" s="12"/>
      <c r="I1652" s="12"/>
      <c r="J1652" s="12"/>
      <c r="K1652" s="12"/>
      <c r="L1652" s="12"/>
      <c r="M1652" s="12"/>
      <c r="N1652" s="12"/>
      <c r="O1652" s="12"/>
      <c r="P1652" s="12"/>
      <c r="Q1652" s="12"/>
      <c r="R1652" s="12"/>
      <c r="S1652" s="12"/>
      <c r="T1652" s="12"/>
      <c r="U1652" s="12"/>
      <c r="V1652" s="12"/>
      <c r="W1652" s="12"/>
      <c r="X1652" s="12"/>
      <c r="Y1652" s="12"/>
      <c r="Z1652" s="12"/>
    </row>
    <row r="1653" ht="15.0" customHeight="1">
      <c r="A1653" s="349"/>
      <c r="B1653" s="350"/>
      <c r="C1653" s="12"/>
      <c r="D1653" s="12"/>
      <c r="E1653" s="12"/>
      <c r="F1653" s="12"/>
      <c r="G1653" s="12"/>
      <c r="H1653" s="12"/>
      <c r="I1653" s="12"/>
      <c r="J1653" s="12"/>
      <c r="K1653" s="12"/>
      <c r="L1653" s="12"/>
      <c r="M1653" s="12"/>
      <c r="N1653" s="12"/>
      <c r="O1653" s="12"/>
      <c r="P1653" s="12"/>
      <c r="Q1653" s="12"/>
      <c r="R1653" s="12"/>
      <c r="S1653" s="12"/>
      <c r="T1653" s="12"/>
      <c r="U1653" s="12"/>
      <c r="V1653" s="12"/>
      <c r="W1653" s="12"/>
      <c r="X1653" s="12"/>
      <c r="Y1653" s="12"/>
      <c r="Z1653" s="12"/>
    </row>
    <row r="1654" ht="15.0" customHeight="1">
      <c r="A1654" s="357" t="s">
        <v>1590</v>
      </c>
      <c r="B1654" s="350"/>
      <c r="C1654" s="12"/>
      <c r="D1654" s="12"/>
      <c r="E1654" s="12"/>
      <c r="F1654" s="12"/>
      <c r="G1654" s="12"/>
      <c r="H1654" s="12"/>
      <c r="I1654" s="12"/>
      <c r="J1654" s="12"/>
      <c r="K1654" s="12"/>
      <c r="L1654" s="12"/>
      <c r="M1654" s="12"/>
      <c r="N1654" s="12"/>
      <c r="O1654" s="12"/>
      <c r="P1654" s="12"/>
      <c r="Q1654" s="12"/>
      <c r="R1654" s="12"/>
      <c r="S1654" s="12"/>
      <c r="T1654" s="12"/>
      <c r="U1654" s="12"/>
      <c r="V1654" s="12"/>
      <c r="W1654" s="12"/>
      <c r="X1654" s="12"/>
      <c r="Y1654" s="12"/>
      <c r="Z1654" s="12"/>
    </row>
    <row r="1655" ht="15.0" customHeight="1">
      <c r="A1655" s="349"/>
      <c r="B1655" s="350"/>
      <c r="C1655" s="12"/>
      <c r="D1655" s="12"/>
      <c r="E1655" s="12"/>
      <c r="F1655" s="12"/>
      <c r="G1655" s="12"/>
      <c r="H1655" s="12"/>
      <c r="I1655" s="12"/>
      <c r="J1655" s="12"/>
      <c r="K1655" s="12"/>
      <c r="L1655" s="12"/>
      <c r="M1655" s="12"/>
      <c r="N1655" s="12"/>
      <c r="O1655" s="12"/>
      <c r="P1655" s="12"/>
      <c r="Q1655" s="12"/>
      <c r="R1655" s="12"/>
      <c r="S1655" s="12"/>
      <c r="T1655" s="12"/>
      <c r="U1655" s="12"/>
      <c r="V1655" s="12"/>
      <c r="W1655" s="12"/>
      <c r="X1655" s="12"/>
      <c r="Y1655" s="12"/>
      <c r="Z1655" s="12"/>
    </row>
    <row r="1656" ht="15.0" customHeight="1">
      <c r="A1656" s="171" t="s">
        <v>1916</v>
      </c>
      <c r="B1656" s="171">
        <v>1.0</v>
      </c>
      <c r="C1656" s="171">
        <v>2.0</v>
      </c>
      <c r="D1656" s="171">
        <v>3.0</v>
      </c>
      <c r="E1656" s="171">
        <v>4.0</v>
      </c>
      <c r="F1656" s="171">
        <v>5.0</v>
      </c>
      <c r="G1656" s="171">
        <v>6.0</v>
      </c>
      <c r="H1656" s="171">
        <v>7.0</v>
      </c>
      <c r="I1656" s="171">
        <v>8.0</v>
      </c>
      <c r="J1656" s="171">
        <v>9.0</v>
      </c>
      <c r="K1656" s="171">
        <v>10.0</v>
      </c>
      <c r="L1656" s="171">
        <v>11.0</v>
      </c>
      <c r="M1656" s="12"/>
      <c r="N1656" s="12"/>
      <c r="O1656" s="12"/>
      <c r="P1656" s="12"/>
      <c r="Q1656" s="12"/>
      <c r="R1656" s="12"/>
      <c r="S1656" s="12"/>
      <c r="T1656" s="12"/>
      <c r="U1656" s="12"/>
      <c r="V1656" s="12"/>
      <c r="W1656" s="12"/>
      <c r="X1656" s="12"/>
      <c r="Y1656" s="12"/>
      <c r="Z1656" s="12"/>
    </row>
    <row r="1657" ht="15.0" customHeight="1">
      <c r="A1657" s="322">
        <v>0.0</v>
      </c>
      <c r="B1657" s="113">
        <v>0.06</v>
      </c>
      <c r="C1657" s="355">
        <v>0.055</v>
      </c>
      <c r="D1657" s="355">
        <v>0.05</v>
      </c>
      <c r="E1657" s="355">
        <v>0.05</v>
      </c>
      <c r="F1657" s="355">
        <v>0.05</v>
      </c>
      <c r="G1657" s="355">
        <v>0.04</v>
      </c>
      <c r="H1657" s="355">
        <v>0.04</v>
      </c>
      <c r="I1657" s="355">
        <v>0.03</v>
      </c>
      <c r="J1657" s="355">
        <v>0.03</v>
      </c>
      <c r="K1657" s="355">
        <v>0.03</v>
      </c>
      <c r="L1657" s="355">
        <v>0.015</v>
      </c>
      <c r="M1657" s="12"/>
      <c r="N1657" s="12"/>
      <c r="O1657" s="12"/>
      <c r="P1657" s="12"/>
      <c r="Q1657" s="12"/>
      <c r="R1657" s="12"/>
      <c r="S1657" s="12"/>
      <c r="T1657" s="12"/>
      <c r="U1657" s="12"/>
      <c r="V1657" s="12"/>
      <c r="W1657" s="12"/>
      <c r="X1657" s="12"/>
      <c r="Y1657" s="12"/>
      <c r="Z1657" s="12"/>
    </row>
    <row r="1658" ht="15.0" customHeight="1">
      <c r="A1658" s="352">
        <v>500000.0</v>
      </c>
      <c r="B1658" s="113">
        <v>0.055</v>
      </c>
      <c r="C1658" s="355">
        <v>0.05</v>
      </c>
      <c r="D1658" s="355">
        <v>0.045</v>
      </c>
      <c r="E1658" s="355">
        <v>0.045</v>
      </c>
      <c r="F1658" s="355">
        <v>0.045</v>
      </c>
      <c r="G1658" s="355">
        <v>0.035</v>
      </c>
      <c r="H1658" s="355">
        <v>0.035</v>
      </c>
      <c r="I1658" s="355">
        <v>0.025</v>
      </c>
      <c r="J1658" s="355">
        <v>0.025</v>
      </c>
      <c r="K1658" s="355">
        <v>0.025</v>
      </c>
      <c r="L1658" s="355">
        <v>0.01</v>
      </c>
      <c r="M1658" s="12"/>
      <c r="N1658" s="12"/>
      <c r="O1658" s="12"/>
      <c r="P1658" s="12"/>
      <c r="Q1658" s="12"/>
      <c r="R1658" s="12"/>
      <c r="S1658" s="12"/>
      <c r="T1658" s="12"/>
      <c r="U1658" s="12"/>
      <c r="V1658" s="12"/>
      <c r="W1658" s="12"/>
      <c r="X1658" s="12"/>
      <c r="Y1658" s="12"/>
      <c r="Z1658" s="12"/>
    </row>
    <row r="1659" ht="15.0" customHeight="1">
      <c r="A1659" s="349"/>
      <c r="B1659" s="350"/>
      <c r="C1659" s="12"/>
      <c r="D1659" s="12"/>
      <c r="E1659" s="12"/>
      <c r="F1659" s="12"/>
      <c r="G1659" s="12"/>
      <c r="H1659" s="12"/>
      <c r="I1659" s="12"/>
      <c r="J1659" s="12"/>
      <c r="K1659" s="12"/>
      <c r="L1659" s="12"/>
      <c r="M1659" s="12"/>
      <c r="N1659" s="12"/>
      <c r="O1659" s="12"/>
      <c r="P1659" s="12"/>
      <c r="Q1659" s="12"/>
      <c r="R1659" s="12"/>
      <c r="S1659" s="12"/>
      <c r="T1659" s="12"/>
      <c r="U1659" s="12"/>
      <c r="V1659" s="12"/>
      <c r="W1659" s="12"/>
      <c r="X1659" s="12"/>
      <c r="Y1659" s="12"/>
      <c r="Z1659" s="12"/>
    </row>
    <row r="1660" ht="15.0" customHeight="1">
      <c r="A1660" s="357" t="s">
        <v>1596</v>
      </c>
      <c r="B1660" s="350"/>
      <c r="C1660" s="12"/>
      <c r="D1660" s="12"/>
      <c r="E1660" s="12"/>
      <c r="F1660" s="12"/>
      <c r="G1660" s="12"/>
      <c r="H1660" s="12"/>
      <c r="I1660" s="12"/>
      <c r="J1660" s="12"/>
      <c r="K1660" s="12"/>
      <c r="L1660" s="12"/>
      <c r="M1660" s="12"/>
      <c r="N1660" s="12"/>
      <c r="O1660" s="12"/>
      <c r="P1660" s="12"/>
      <c r="Q1660" s="12"/>
      <c r="R1660" s="12"/>
      <c r="S1660" s="12"/>
      <c r="T1660" s="12"/>
      <c r="U1660" s="12"/>
      <c r="V1660" s="12"/>
      <c r="W1660" s="12"/>
      <c r="X1660" s="12"/>
      <c r="Y1660" s="12"/>
      <c r="Z1660" s="12"/>
    </row>
    <row r="1661" ht="15.0" customHeight="1">
      <c r="A1661" s="349"/>
      <c r="B1661" s="350"/>
      <c r="C1661" s="12"/>
      <c r="D1661" s="12"/>
      <c r="E1661" s="12"/>
      <c r="F1661" s="12"/>
      <c r="G1661" s="12"/>
      <c r="H1661" s="12"/>
      <c r="I1661" s="12"/>
      <c r="J1661" s="12"/>
      <c r="K1661" s="12"/>
      <c r="L1661" s="12"/>
      <c r="M1661" s="12"/>
      <c r="N1661" s="12"/>
      <c r="O1661" s="12"/>
      <c r="P1661" s="12"/>
      <c r="Q1661" s="12"/>
      <c r="R1661" s="12"/>
      <c r="S1661" s="12"/>
      <c r="T1661" s="12"/>
      <c r="U1661" s="12"/>
      <c r="V1661" s="12"/>
      <c r="W1661" s="12"/>
      <c r="X1661" s="12"/>
      <c r="Y1661" s="12"/>
      <c r="Z1661" s="12"/>
    </row>
    <row r="1662" ht="15.0" customHeight="1">
      <c r="A1662" s="291" t="s">
        <v>1917</v>
      </c>
      <c r="B1662" s="291" t="s">
        <v>1918</v>
      </c>
      <c r="C1662" s="12"/>
      <c r="D1662" s="12"/>
      <c r="E1662" s="12"/>
      <c r="F1662" s="12"/>
      <c r="G1662" s="12"/>
      <c r="H1662" s="12"/>
      <c r="I1662" s="12"/>
      <c r="J1662" s="12"/>
      <c r="K1662" s="12"/>
      <c r="L1662" s="12"/>
      <c r="M1662" s="12"/>
      <c r="N1662" s="12"/>
      <c r="O1662" s="12"/>
      <c r="P1662" s="12"/>
      <c r="Q1662" s="12"/>
      <c r="R1662" s="12"/>
      <c r="S1662" s="12"/>
      <c r="T1662" s="12"/>
      <c r="U1662" s="12"/>
      <c r="V1662" s="12"/>
      <c r="W1662" s="12"/>
      <c r="X1662" s="12"/>
      <c r="Y1662" s="12"/>
      <c r="Z1662" s="12"/>
    </row>
    <row r="1663" ht="15.0" customHeight="1">
      <c r="A1663" s="332">
        <v>1.0</v>
      </c>
      <c r="B1663" s="351">
        <v>0.06</v>
      </c>
      <c r="C1663" s="12"/>
      <c r="D1663" s="12"/>
      <c r="E1663" s="12"/>
      <c r="F1663" s="12"/>
      <c r="G1663" s="12"/>
      <c r="H1663" s="12"/>
      <c r="I1663" s="12"/>
      <c r="J1663" s="12"/>
      <c r="K1663" s="12"/>
      <c r="L1663" s="12"/>
      <c r="M1663" s="12"/>
      <c r="N1663" s="12"/>
      <c r="O1663" s="12"/>
      <c r="P1663" s="12"/>
      <c r="Q1663" s="12"/>
      <c r="R1663" s="12"/>
      <c r="S1663" s="12"/>
      <c r="T1663" s="12"/>
      <c r="U1663" s="12"/>
      <c r="V1663" s="12"/>
      <c r="W1663" s="12"/>
      <c r="X1663" s="12"/>
      <c r="Y1663" s="12"/>
      <c r="Z1663" s="12"/>
    </row>
    <row r="1664" ht="15.0" customHeight="1">
      <c r="A1664" s="332">
        <v>2.0</v>
      </c>
      <c r="B1664" s="351">
        <v>0.06</v>
      </c>
      <c r="C1664" s="12"/>
      <c r="D1664" s="12"/>
      <c r="E1664" s="12"/>
      <c r="F1664" s="12"/>
      <c r="G1664" s="12"/>
      <c r="H1664" s="12"/>
      <c r="I1664" s="12"/>
      <c r="J1664" s="12"/>
      <c r="K1664" s="12"/>
      <c r="L1664" s="12"/>
      <c r="M1664" s="12"/>
      <c r="N1664" s="12"/>
      <c r="O1664" s="12"/>
      <c r="P1664" s="12"/>
      <c r="Q1664" s="12"/>
      <c r="R1664" s="12"/>
      <c r="S1664" s="12"/>
      <c r="T1664" s="12"/>
      <c r="U1664" s="12"/>
      <c r="V1664" s="12"/>
      <c r="W1664" s="12"/>
      <c r="X1664" s="12"/>
      <c r="Y1664" s="12"/>
      <c r="Z1664" s="12"/>
    </row>
    <row r="1665" ht="15.0" customHeight="1">
      <c r="A1665" s="332">
        <v>3.0</v>
      </c>
      <c r="B1665" s="351">
        <v>0.055</v>
      </c>
      <c r="C1665" s="12"/>
      <c r="D1665" s="12"/>
      <c r="E1665" s="12"/>
      <c r="F1665" s="12"/>
      <c r="G1665" s="12"/>
      <c r="H1665" s="12"/>
      <c r="I1665" s="12"/>
      <c r="J1665" s="12"/>
      <c r="K1665" s="12"/>
      <c r="L1665" s="12"/>
      <c r="M1665" s="12"/>
      <c r="N1665" s="12"/>
      <c r="O1665" s="12"/>
      <c r="P1665" s="12"/>
      <c r="Q1665" s="12"/>
      <c r="R1665" s="12"/>
      <c r="S1665" s="12"/>
      <c r="T1665" s="12"/>
      <c r="U1665" s="12"/>
      <c r="V1665" s="12"/>
      <c r="W1665" s="12"/>
      <c r="X1665" s="12"/>
      <c r="Y1665" s="12"/>
      <c r="Z1665" s="12"/>
    </row>
    <row r="1666" ht="15.0" customHeight="1">
      <c r="A1666" s="332">
        <v>4.0</v>
      </c>
      <c r="B1666" s="351">
        <v>0.055</v>
      </c>
      <c r="C1666" s="12"/>
      <c r="D1666" s="12"/>
      <c r="E1666" s="12"/>
      <c r="F1666" s="12"/>
      <c r="G1666" s="12"/>
      <c r="H1666" s="12"/>
      <c r="I1666" s="12"/>
      <c r="J1666" s="12"/>
      <c r="K1666" s="12"/>
      <c r="L1666" s="12"/>
      <c r="M1666" s="12"/>
      <c r="N1666" s="12"/>
      <c r="O1666" s="12"/>
      <c r="P1666" s="12"/>
      <c r="Q1666" s="12"/>
      <c r="R1666" s="12"/>
      <c r="S1666" s="12"/>
      <c r="T1666" s="12"/>
      <c r="U1666" s="12"/>
      <c r="V1666" s="12"/>
      <c r="W1666" s="12"/>
      <c r="X1666" s="12"/>
      <c r="Y1666" s="12"/>
      <c r="Z1666" s="12"/>
    </row>
    <row r="1667" ht="15.0" customHeight="1">
      <c r="A1667" s="332">
        <v>5.0</v>
      </c>
      <c r="B1667" s="351">
        <v>0.055</v>
      </c>
      <c r="C1667" s="12"/>
      <c r="D1667" s="12"/>
      <c r="E1667" s="12"/>
      <c r="F1667" s="12"/>
      <c r="G1667" s="12"/>
      <c r="H1667" s="12"/>
      <c r="I1667" s="12"/>
      <c r="J1667" s="12"/>
      <c r="K1667" s="12"/>
      <c r="L1667" s="12"/>
      <c r="M1667" s="12"/>
      <c r="N1667" s="12"/>
      <c r="O1667" s="12"/>
      <c r="P1667" s="12"/>
      <c r="Q1667" s="12"/>
      <c r="R1667" s="12"/>
      <c r="S1667" s="12"/>
      <c r="T1667" s="12"/>
      <c r="U1667" s="12"/>
      <c r="V1667" s="12"/>
      <c r="W1667" s="12"/>
      <c r="X1667" s="12"/>
      <c r="Y1667" s="12"/>
      <c r="Z1667" s="12"/>
    </row>
    <row r="1668" ht="15.0" customHeight="1">
      <c r="A1668" s="171">
        <v>6.0</v>
      </c>
      <c r="B1668" s="351">
        <v>0.045</v>
      </c>
      <c r="C1668" s="12"/>
      <c r="D1668" s="12"/>
      <c r="E1668" s="12"/>
      <c r="F1668" s="12"/>
      <c r="G1668" s="12"/>
      <c r="H1668" s="12"/>
      <c r="I1668" s="12"/>
      <c r="J1668" s="12"/>
      <c r="K1668" s="12"/>
      <c r="L1668" s="12"/>
      <c r="M1668" s="12"/>
      <c r="N1668" s="12"/>
      <c r="O1668" s="12"/>
      <c r="P1668" s="12"/>
      <c r="Q1668" s="12"/>
      <c r="R1668" s="12"/>
      <c r="S1668" s="12"/>
      <c r="T1668" s="12"/>
      <c r="U1668" s="12"/>
      <c r="V1668" s="12"/>
      <c r="W1668" s="12"/>
      <c r="X1668" s="12"/>
      <c r="Y1668" s="12"/>
      <c r="Z1668" s="12"/>
    </row>
    <row r="1669" ht="15.0" customHeight="1">
      <c r="A1669" s="332">
        <v>7.0</v>
      </c>
      <c r="B1669" s="351">
        <v>0.045</v>
      </c>
      <c r="C1669" s="12"/>
      <c r="D1669" s="12"/>
      <c r="E1669" s="12"/>
      <c r="F1669" s="12"/>
      <c r="G1669" s="12"/>
      <c r="H1669" s="12"/>
      <c r="I1669" s="12"/>
      <c r="J1669" s="12"/>
      <c r="K1669" s="12"/>
      <c r="L1669" s="12"/>
      <c r="M1669" s="12"/>
      <c r="N1669" s="12"/>
      <c r="O1669" s="12"/>
      <c r="P1669" s="12"/>
      <c r="Q1669" s="12"/>
      <c r="R1669" s="12"/>
      <c r="S1669" s="12"/>
      <c r="T1669" s="12"/>
      <c r="U1669" s="12"/>
      <c r="V1669" s="12"/>
      <c r="W1669" s="12"/>
      <c r="X1669" s="12"/>
      <c r="Y1669" s="12"/>
      <c r="Z1669" s="12"/>
    </row>
    <row r="1670" ht="15.0" customHeight="1">
      <c r="A1670" s="171">
        <v>8.0</v>
      </c>
      <c r="B1670" s="351">
        <v>0.035</v>
      </c>
      <c r="C1670" s="12"/>
      <c r="D1670" s="12"/>
      <c r="E1670" s="12"/>
      <c r="F1670" s="12"/>
      <c r="G1670" s="12"/>
      <c r="H1670" s="12"/>
      <c r="I1670" s="12"/>
      <c r="J1670" s="12"/>
      <c r="K1670" s="12"/>
      <c r="L1670" s="12"/>
      <c r="M1670" s="12"/>
      <c r="N1670" s="12"/>
      <c r="O1670" s="12"/>
      <c r="P1670" s="12"/>
      <c r="Q1670" s="12"/>
      <c r="R1670" s="12"/>
      <c r="S1670" s="12"/>
      <c r="T1670" s="12"/>
      <c r="U1670" s="12"/>
      <c r="V1670" s="12"/>
      <c r="W1670" s="12"/>
      <c r="X1670" s="12"/>
      <c r="Y1670" s="12"/>
      <c r="Z1670" s="12"/>
    </row>
    <row r="1671" ht="15.0" customHeight="1">
      <c r="A1671" s="332">
        <v>9.0</v>
      </c>
      <c r="B1671" s="351">
        <v>0.035</v>
      </c>
      <c r="C1671" s="12"/>
      <c r="D1671" s="12"/>
      <c r="E1671" s="12"/>
      <c r="F1671" s="12"/>
      <c r="G1671" s="12"/>
      <c r="H1671" s="12"/>
      <c r="I1671" s="12"/>
      <c r="J1671" s="12"/>
      <c r="K1671" s="12"/>
      <c r="L1671" s="12"/>
      <c r="M1671" s="12"/>
      <c r="N1671" s="12"/>
      <c r="O1671" s="12"/>
      <c r="P1671" s="12"/>
      <c r="Q1671" s="12"/>
      <c r="R1671" s="12"/>
      <c r="S1671" s="12"/>
      <c r="T1671" s="12"/>
      <c r="U1671" s="12"/>
      <c r="V1671" s="12"/>
      <c r="W1671" s="12"/>
      <c r="X1671" s="12"/>
      <c r="Y1671" s="12"/>
      <c r="Z1671" s="12"/>
    </row>
    <row r="1672" ht="15.0" customHeight="1">
      <c r="A1672" s="171">
        <v>10.0</v>
      </c>
      <c r="B1672" s="351">
        <v>0.035</v>
      </c>
      <c r="C1672" s="12"/>
      <c r="D1672" s="12"/>
      <c r="E1672" s="12"/>
      <c r="F1672" s="12"/>
      <c r="G1672" s="12"/>
      <c r="H1672" s="12"/>
      <c r="I1672" s="12"/>
      <c r="J1672" s="12"/>
      <c r="K1672" s="12"/>
      <c r="L1672" s="12"/>
      <c r="M1672" s="12"/>
      <c r="N1672" s="12"/>
      <c r="O1672" s="12"/>
      <c r="P1672" s="12"/>
      <c r="Q1672" s="12"/>
      <c r="R1672" s="12"/>
      <c r="S1672" s="12"/>
      <c r="T1672" s="12"/>
      <c r="U1672" s="12"/>
      <c r="V1672" s="12"/>
      <c r="W1672" s="12"/>
      <c r="X1672" s="12"/>
      <c r="Y1672" s="12"/>
      <c r="Z1672" s="12"/>
    </row>
    <row r="1673" ht="15.0" customHeight="1">
      <c r="A1673" s="332">
        <v>11.0</v>
      </c>
      <c r="B1673" s="351">
        <v>0.02</v>
      </c>
      <c r="C1673" s="12"/>
      <c r="D1673" s="12"/>
      <c r="E1673" s="12"/>
      <c r="F1673" s="12"/>
      <c r="G1673" s="12"/>
      <c r="H1673" s="12"/>
      <c r="I1673" s="12"/>
      <c r="J1673" s="12"/>
      <c r="K1673" s="12"/>
      <c r="L1673" s="12"/>
      <c r="M1673" s="12"/>
      <c r="N1673" s="12"/>
      <c r="O1673" s="12"/>
      <c r="P1673" s="12"/>
      <c r="Q1673" s="12"/>
      <c r="R1673" s="12"/>
      <c r="S1673" s="12"/>
      <c r="T1673" s="12"/>
      <c r="U1673" s="12"/>
      <c r="V1673" s="12"/>
      <c r="W1673" s="12"/>
      <c r="X1673" s="12"/>
      <c r="Y1673" s="12"/>
      <c r="Z1673" s="12"/>
    </row>
    <row r="1674" ht="15.0" customHeight="1">
      <c r="A1674" s="349"/>
      <c r="B1674" s="350"/>
      <c r="C1674" s="12"/>
      <c r="D1674" s="12"/>
      <c r="E1674" s="12"/>
      <c r="F1674" s="12"/>
      <c r="G1674" s="12"/>
      <c r="H1674" s="12"/>
      <c r="I1674" s="12"/>
      <c r="J1674" s="12"/>
      <c r="K1674" s="12"/>
      <c r="L1674" s="12"/>
      <c r="M1674" s="12"/>
      <c r="N1674" s="12"/>
      <c r="O1674" s="12"/>
      <c r="P1674" s="12"/>
      <c r="Q1674" s="12"/>
      <c r="R1674" s="12"/>
      <c r="S1674" s="12"/>
      <c r="T1674" s="12"/>
      <c r="U1674" s="12"/>
      <c r="V1674" s="12"/>
      <c r="W1674" s="12"/>
      <c r="X1674" s="12"/>
      <c r="Y1674" s="12"/>
      <c r="Z1674" s="12"/>
    </row>
    <row r="1675" ht="15.0" customHeight="1">
      <c r="A1675" s="357" t="s">
        <v>1603</v>
      </c>
      <c r="B1675" s="350"/>
      <c r="C1675" s="12"/>
      <c r="D1675" s="12"/>
      <c r="E1675" s="12"/>
      <c r="F1675" s="12"/>
      <c r="G1675" s="12"/>
      <c r="H1675" s="12"/>
      <c r="I1675" s="12"/>
      <c r="J1675" s="12"/>
      <c r="K1675" s="12"/>
      <c r="L1675" s="12"/>
      <c r="M1675" s="12"/>
      <c r="N1675" s="12"/>
      <c r="O1675" s="12"/>
      <c r="P1675" s="12"/>
      <c r="Q1675" s="12"/>
      <c r="R1675" s="12"/>
      <c r="S1675" s="12"/>
      <c r="T1675" s="12"/>
      <c r="U1675" s="12"/>
      <c r="V1675" s="12"/>
      <c r="W1675" s="12"/>
      <c r="X1675" s="12"/>
      <c r="Y1675" s="12"/>
      <c r="Z1675" s="12"/>
    </row>
    <row r="1676" ht="15.0" customHeight="1">
      <c r="A1676" s="349"/>
      <c r="B1676" s="350"/>
      <c r="C1676" s="12"/>
      <c r="D1676" s="12"/>
      <c r="E1676" s="12"/>
      <c r="F1676" s="12"/>
      <c r="G1676" s="12"/>
      <c r="H1676" s="12"/>
      <c r="I1676" s="12"/>
      <c r="J1676" s="12"/>
      <c r="K1676" s="12"/>
      <c r="L1676" s="12"/>
      <c r="M1676" s="12"/>
      <c r="N1676" s="12"/>
      <c r="O1676" s="12"/>
      <c r="P1676" s="12"/>
      <c r="Q1676" s="12"/>
      <c r="R1676" s="12"/>
      <c r="S1676" s="12"/>
      <c r="T1676" s="12"/>
      <c r="U1676" s="12"/>
      <c r="V1676" s="12"/>
      <c r="W1676" s="12"/>
      <c r="X1676" s="12"/>
      <c r="Y1676" s="12"/>
      <c r="Z1676" s="12"/>
    </row>
    <row r="1677" ht="15.0" customHeight="1">
      <c r="A1677" s="291" t="s">
        <v>1917</v>
      </c>
      <c r="B1677" s="291" t="s">
        <v>1918</v>
      </c>
      <c r="C1677" s="12"/>
      <c r="D1677" s="12"/>
      <c r="E1677" s="12"/>
      <c r="F1677" s="12"/>
      <c r="G1677" s="12"/>
      <c r="H1677" s="12"/>
      <c r="I1677" s="12"/>
      <c r="J1677" s="12"/>
      <c r="K1677" s="12"/>
      <c r="L1677" s="12"/>
      <c r="M1677" s="12"/>
      <c r="N1677" s="12"/>
      <c r="O1677" s="12"/>
      <c r="P1677" s="12"/>
      <c r="Q1677" s="12"/>
      <c r="R1677" s="12"/>
      <c r="S1677" s="12"/>
      <c r="T1677" s="12"/>
      <c r="U1677" s="12"/>
      <c r="V1677" s="12"/>
      <c r="W1677" s="12"/>
      <c r="X1677" s="12"/>
      <c r="Y1677" s="12"/>
      <c r="Z1677" s="12"/>
    </row>
    <row r="1678" ht="15.0" customHeight="1">
      <c r="A1678" s="332">
        <v>1.0</v>
      </c>
      <c r="B1678" s="351">
        <v>0.06</v>
      </c>
      <c r="C1678" s="12"/>
      <c r="D1678" s="12"/>
      <c r="E1678" s="12"/>
      <c r="F1678" s="12"/>
      <c r="G1678" s="12"/>
      <c r="H1678" s="12"/>
      <c r="I1678" s="12"/>
      <c r="J1678" s="12"/>
      <c r="K1678" s="12"/>
      <c r="L1678" s="12"/>
      <c r="M1678" s="12"/>
      <c r="N1678" s="12"/>
      <c r="O1678" s="12"/>
      <c r="P1678" s="12"/>
      <c r="Q1678" s="12"/>
      <c r="R1678" s="12"/>
      <c r="S1678" s="12"/>
      <c r="T1678" s="12"/>
      <c r="U1678" s="12"/>
      <c r="V1678" s="12"/>
      <c r="W1678" s="12"/>
      <c r="X1678" s="12"/>
      <c r="Y1678" s="12"/>
      <c r="Z1678" s="12"/>
    </row>
    <row r="1679" ht="15.0" customHeight="1">
      <c r="A1679" s="332">
        <v>2.0</v>
      </c>
      <c r="B1679" s="351">
        <v>0.06</v>
      </c>
      <c r="C1679" s="12"/>
      <c r="D1679" s="12"/>
      <c r="E1679" s="12"/>
      <c r="F1679" s="12"/>
      <c r="G1679" s="12"/>
      <c r="H1679" s="12"/>
      <c r="I1679" s="12"/>
      <c r="J1679" s="12"/>
      <c r="K1679" s="12"/>
      <c r="L1679" s="12"/>
      <c r="M1679" s="12"/>
      <c r="N1679" s="12"/>
      <c r="O1679" s="12"/>
      <c r="P1679" s="12"/>
      <c r="Q1679" s="12"/>
      <c r="R1679" s="12"/>
      <c r="S1679" s="12"/>
      <c r="T1679" s="12"/>
      <c r="U1679" s="12"/>
      <c r="V1679" s="12"/>
      <c r="W1679" s="12"/>
      <c r="X1679" s="12"/>
      <c r="Y1679" s="12"/>
      <c r="Z1679" s="12"/>
    </row>
    <row r="1680" ht="15.0" customHeight="1">
      <c r="A1680" s="332">
        <v>3.0</v>
      </c>
      <c r="B1680" s="351">
        <v>0.055</v>
      </c>
      <c r="C1680" s="12"/>
      <c r="D1680" s="12"/>
      <c r="E1680" s="12"/>
      <c r="F1680" s="12"/>
      <c r="G1680" s="12"/>
      <c r="H1680" s="12"/>
      <c r="I1680" s="12"/>
      <c r="J1680" s="12"/>
      <c r="K1680" s="12"/>
      <c r="L1680" s="12"/>
      <c r="M1680" s="12"/>
      <c r="N1680" s="12"/>
      <c r="O1680" s="12"/>
      <c r="P1680" s="12"/>
      <c r="Q1680" s="12"/>
      <c r="R1680" s="12"/>
      <c r="S1680" s="12"/>
      <c r="T1680" s="12"/>
      <c r="U1680" s="12"/>
      <c r="V1680" s="12"/>
      <c r="W1680" s="12"/>
      <c r="X1680" s="12"/>
      <c r="Y1680" s="12"/>
      <c r="Z1680" s="12"/>
    </row>
    <row r="1681" ht="15.0" customHeight="1">
      <c r="A1681" s="332">
        <v>4.0</v>
      </c>
      <c r="B1681" s="351">
        <v>0.055</v>
      </c>
      <c r="C1681" s="12"/>
      <c r="D1681" s="12"/>
      <c r="E1681" s="12"/>
      <c r="F1681" s="12"/>
      <c r="G1681" s="12"/>
      <c r="H1681" s="12"/>
      <c r="I1681" s="12"/>
      <c r="J1681" s="12"/>
      <c r="K1681" s="12"/>
      <c r="L1681" s="12"/>
      <c r="M1681" s="12"/>
      <c r="N1681" s="12"/>
      <c r="O1681" s="12"/>
      <c r="P1681" s="12"/>
      <c r="Q1681" s="12"/>
      <c r="R1681" s="12"/>
      <c r="S1681" s="12"/>
      <c r="T1681" s="12"/>
      <c r="U1681" s="12"/>
      <c r="V1681" s="12"/>
      <c r="W1681" s="12"/>
      <c r="X1681" s="12"/>
      <c r="Y1681" s="12"/>
      <c r="Z1681" s="12"/>
    </row>
    <row r="1682" ht="15.0" customHeight="1">
      <c r="A1682" s="332">
        <v>5.0</v>
      </c>
      <c r="B1682" s="351">
        <v>0.055</v>
      </c>
      <c r="C1682" s="12"/>
      <c r="D1682" s="12"/>
      <c r="E1682" s="12"/>
      <c r="F1682" s="12"/>
      <c r="G1682" s="12"/>
      <c r="H1682" s="12"/>
      <c r="I1682" s="12"/>
      <c r="J1682" s="12"/>
      <c r="K1682" s="12"/>
      <c r="L1682" s="12"/>
      <c r="M1682" s="12"/>
      <c r="N1682" s="12"/>
      <c r="O1682" s="12"/>
      <c r="P1682" s="12"/>
      <c r="Q1682" s="12"/>
      <c r="R1682" s="12"/>
      <c r="S1682" s="12"/>
      <c r="T1682" s="12"/>
      <c r="U1682" s="12"/>
      <c r="V1682" s="12"/>
      <c r="W1682" s="12"/>
      <c r="X1682" s="12"/>
      <c r="Y1682" s="12"/>
      <c r="Z1682" s="12"/>
    </row>
    <row r="1683" ht="15.0" customHeight="1">
      <c r="A1683" s="171">
        <v>6.0</v>
      </c>
      <c r="B1683" s="351">
        <v>0.045</v>
      </c>
      <c r="C1683" s="12"/>
      <c r="D1683" s="12"/>
      <c r="E1683" s="12"/>
      <c r="F1683" s="12"/>
      <c r="G1683" s="12"/>
      <c r="H1683" s="12"/>
      <c r="I1683" s="12"/>
      <c r="J1683" s="12"/>
      <c r="K1683" s="12"/>
      <c r="L1683" s="12"/>
      <c r="M1683" s="12"/>
      <c r="N1683" s="12"/>
      <c r="O1683" s="12"/>
      <c r="P1683" s="12"/>
      <c r="Q1683" s="12"/>
      <c r="R1683" s="12"/>
      <c r="S1683" s="12"/>
      <c r="T1683" s="12"/>
      <c r="U1683" s="12"/>
      <c r="V1683" s="12"/>
      <c r="W1683" s="12"/>
      <c r="X1683" s="12"/>
      <c r="Y1683" s="12"/>
      <c r="Z1683" s="12"/>
    </row>
    <row r="1684" ht="15.0" customHeight="1">
      <c r="A1684" s="332">
        <v>7.0</v>
      </c>
      <c r="B1684" s="351">
        <v>0.045</v>
      </c>
      <c r="C1684" s="12"/>
      <c r="D1684" s="12"/>
      <c r="E1684" s="12"/>
      <c r="F1684" s="12"/>
      <c r="G1684" s="12"/>
      <c r="H1684" s="12"/>
      <c r="I1684" s="12"/>
      <c r="J1684" s="12"/>
      <c r="K1684" s="12"/>
      <c r="L1684" s="12"/>
      <c r="M1684" s="12"/>
      <c r="N1684" s="12"/>
      <c r="O1684" s="12"/>
      <c r="P1684" s="12"/>
      <c r="Q1684" s="12"/>
      <c r="R1684" s="12"/>
      <c r="S1684" s="12"/>
      <c r="T1684" s="12"/>
      <c r="U1684" s="12"/>
      <c r="V1684" s="12"/>
      <c r="W1684" s="12"/>
      <c r="X1684" s="12"/>
      <c r="Y1684" s="12"/>
      <c r="Z1684" s="12"/>
    </row>
    <row r="1685" ht="15.0" customHeight="1">
      <c r="A1685" s="171">
        <v>8.0</v>
      </c>
      <c r="B1685" s="351">
        <v>0.035</v>
      </c>
      <c r="C1685" s="12"/>
      <c r="D1685" s="12"/>
      <c r="E1685" s="12"/>
      <c r="F1685" s="12"/>
      <c r="G1685" s="12"/>
      <c r="H1685" s="12"/>
      <c r="I1685" s="12"/>
      <c r="J1685" s="12"/>
      <c r="K1685" s="12"/>
      <c r="L1685" s="12"/>
      <c r="M1685" s="12"/>
      <c r="N1685" s="12"/>
      <c r="O1685" s="12"/>
      <c r="P1685" s="12"/>
      <c r="Q1685" s="12"/>
      <c r="R1685" s="12"/>
      <c r="S1685" s="12"/>
      <c r="T1685" s="12"/>
      <c r="U1685" s="12"/>
      <c r="V1685" s="12"/>
      <c r="W1685" s="12"/>
      <c r="X1685" s="12"/>
      <c r="Y1685" s="12"/>
      <c r="Z1685" s="12"/>
    </row>
    <row r="1686" ht="15.0" customHeight="1">
      <c r="A1686" s="332">
        <v>9.0</v>
      </c>
      <c r="B1686" s="351">
        <v>0.035</v>
      </c>
      <c r="C1686" s="12"/>
      <c r="D1686" s="12"/>
      <c r="E1686" s="12"/>
      <c r="F1686" s="12"/>
      <c r="G1686" s="12"/>
      <c r="H1686" s="12"/>
      <c r="I1686" s="12"/>
      <c r="J1686" s="12"/>
      <c r="K1686" s="12"/>
      <c r="L1686" s="12"/>
      <c r="M1686" s="12"/>
      <c r="N1686" s="12"/>
      <c r="O1686" s="12"/>
      <c r="P1686" s="12"/>
      <c r="Q1686" s="12"/>
      <c r="R1686" s="12"/>
      <c r="S1686" s="12"/>
      <c r="T1686" s="12"/>
      <c r="U1686" s="12"/>
      <c r="V1686" s="12"/>
      <c r="W1686" s="12"/>
      <c r="X1686" s="12"/>
      <c r="Y1686" s="12"/>
      <c r="Z1686" s="12"/>
    </row>
    <row r="1687" ht="15.0" customHeight="1">
      <c r="A1687" s="171">
        <v>10.0</v>
      </c>
      <c r="B1687" s="351">
        <v>0.035</v>
      </c>
      <c r="C1687" s="12"/>
      <c r="D1687" s="12"/>
      <c r="E1687" s="12"/>
      <c r="F1687" s="12"/>
      <c r="G1687" s="12"/>
      <c r="H1687" s="12"/>
      <c r="I1687" s="12"/>
      <c r="J1687" s="12"/>
      <c r="K1687" s="12"/>
      <c r="L1687" s="12"/>
      <c r="M1687" s="12"/>
      <c r="N1687" s="12"/>
      <c r="O1687" s="12"/>
      <c r="P1687" s="12"/>
      <c r="Q1687" s="12"/>
      <c r="R1687" s="12"/>
      <c r="S1687" s="12"/>
      <c r="T1687" s="12"/>
      <c r="U1687" s="12"/>
      <c r="V1687" s="12"/>
      <c r="W1687" s="12"/>
      <c r="X1687" s="12"/>
      <c r="Y1687" s="12"/>
      <c r="Z1687" s="12"/>
    </row>
    <row r="1688" ht="15.0" customHeight="1">
      <c r="A1688" s="332">
        <v>11.0</v>
      </c>
      <c r="B1688" s="351">
        <v>0.02</v>
      </c>
      <c r="C1688" s="12"/>
      <c r="D1688" s="12"/>
      <c r="E1688" s="12"/>
      <c r="F1688" s="12"/>
      <c r="G1688" s="12"/>
      <c r="H1688" s="12"/>
      <c r="I1688" s="12"/>
      <c r="J1688" s="12"/>
      <c r="K1688" s="12"/>
      <c r="L1688" s="12"/>
      <c r="M1688" s="12"/>
      <c r="N1688" s="12"/>
      <c r="O1688" s="12"/>
      <c r="P1688" s="12"/>
      <c r="Q1688" s="12"/>
      <c r="R1688" s="12"/>
      <c r="S1688" s="12"/>
      <c r="T1688" s="12"/>
      <c r="U1688" s="12"/>
      <c r="V1688" s="12"/>
      <c r="W1688" s="12"/>
      <c r="X1688" s="12"/>
      <c r="Y1688" s="12"/>
      <c r="Z1688" s="12"/>
    </row>
    <row r="1689" ht="15.0" customHeight="1">
      <c r="A1689" s="349"/>
      <c r="B1689" s="350"/>
      <c r="C1689" s="12"/>
      <c r="D1689" s="12"/>
      <c r="E1689" s="12"/>
      <c r="F1689" s="12"/>
      <c r="G1689" s="12"/>
      <c r="H1689" s="12"/>
      <c r="I1689" s="12"/>
      <c r="J1689" s="12"/>
      <c r="K1689" s="12"/>
      <c r="L1689" s="12"/>
      <c r="M1689" s="12"/>
      <c r="N1689" s="12"/>
      <c r="O1689" s="12"/>
      <c r="P1689" s="12"/>
      <c r="Q1689" s="12"/>
      <c r="R1689" s="12"/>
      <c r="S1689" s="12"/>
      <c r="T1689" s="12"/>
      <c r="U1689" s="12"/>
      <c r="V1689" s="12"/>
      <c r="W1689" s="12"/>
      <c r="X1689" s="12"/>
      <c r="Y1689" s="12"/>
      <c r="Z1689" s="12"/>
    </row>
    <row r="1690" ht="15.0" customHeight="1">
      <c r="A1690" s="357" t="s">
        <v>1609</v>
      </c>
      <c r="B1690" s="350"/>
      <c r="C1690" s="12"/>
      <c r="D1690" s="12"/>
      <c r="E1690" s="12"/>
      <c r="F1690" s="12"/>
      <c r="G1690" s="12"/>
      <c r="H1690" s="12"/>
      <c r="I1690" s="12"/>
      <c r="J1690" s="12"/>
      <c r="K1690" s="12"/>
      <c r="L1690" s="12"/>
      <c r="M1690" s="12"/>
      <c r="N1690" s="12"/>
      <c r="O1690" s="12"/>
      <c r="P1690" s="12"/>
      <c r="Q1690" s="12"/>
      <c r="R1690" s="12"/>
      <c r="S1690" s="12"/>
      <c r="T1690" s="12"/>
      <c r="U1690" s="12"/>
      <c r="V1690" s="12"/>
      <c r="W1690" s="12"/>
      <c r="X1690" s="12"/>
      <c r="Y1690" s="12"/>
      <c r="Z1690" s="12"/>
    </row>
    <row r="1691" ht="15.0" customHeight="1">
      <c r="A1691" s="349"/>
      <c r="B1691" s="350"/>
      <c r="C1691" s="12"/>
      <c r="D1691" s="12"/>
      <c r="E1691" s="12"/>
      <c r="F1691" s="12"/>
      <c r="G1691" s="12"/>
      <c r="H1691" s="12"/>
      <c r="I1691" s="12"/>
      <c r="J1691" s="12"/>
      <c r="K1691" s="12"/>
      <c r="L1691" s="12"/>
      <c r="M1691" s="12"/>
      <c r="N1691" s="12"/>
      <c r="O1691" s="12"/>
      <c r="P1691" s="12"/>
      <c r="Q1691" s="12"/>
      <c r="R1691" s="12"/>
      <c r="S1691" s="12"/>
      <c r="T1691" s="12"/>
      <c r="U1691" s="12"/>
      <c r="V1691" s="12"/>
      <c r="W1691" s="12"/>
      <c r="X1691" s="12"/>
      <c r="Y1691" s="12"/>
      <c r="Z1691" s="12"/>
    </row>
    <row r="1692" ht="15.0" customHeight="1">
      <c r="A1692" s="171" t="s">
        <v>1916</v>
      </c>
      <c r="B1692" s="171">
        <v>1.0</v>
      </c>
      <c r="C1692" s="171">
        <v>2.0</v>
      </c>
      <c r="D1692" s="171">
        <v>3.0</v>
      </c>
      <c r="E1692" s="171">
        <v>4.0</v>
      </c>
      <c r="F1692" s="171">
        <v>5.0</v>
      </c>
      <c r="G1692" s="171">
        <v>6.0</v>
      </c>
      <c r="H1692" s="171">
        <v>7.0</v>
      </c>
      <c r="I1692" s="171">
        <v>8.0</v>
      </c>
      <c r="J1692" s="171">
        <v>9.0</v>
      </c>
      <c r="K1692" s="171">
        <v>10.0</v>
      </c>
      <c r="L1692" s="171">
        <v>11.0</v>
      </c>
      <c r="M1692" s="12"/>
      <c r="N1692" s="12"/>
      <c r="O1692" s="12"/>
      <c r="P1692" s="12"/>
      <c r="Q1692" s="12"/>
      <c r="R1692" s="12"/>
      <c r="S1692" s="12"/>
      <c r="T1692" s="12"/>
      <c r="U1692" s="12"/>
      <c r="V1692" s="12"/>
      <c r="W1692" s="12"/>
      <c r="X1692" s="12"/>
      <c r="Y1692" s="12"/>
      <c r="Z1692" s="12"/>
    </row>
    <row r="1693" ht="15.0" customHeight="1">
      <c r="A1693" s="322">
        <v>0.0</v>
      </c>
      <c r="B1693" s="113">
        <v>0.06</v>
      </c>
      <c r="C1693" s="355">
        <v>0.055</v>
      </c>
      <c r="D1693" s="355">
        <v>0.05</v>
      </c>
      <c r="E1693" s="355">
        <v>0.05</v>
      </c>
      <c r="F1693" s="355">
        <v>0.05</v>
      </c>
      <c r="G1693" s="355">
        <v>0.04</v>
      </c>
      <c r="H1693" s="355">
        <v>0.04</v>
      </c>
      <c r="I1693" s="355">
        <v>0.03</v>
      </c>
      <c r="J1693" s="355">
        <v>0.03</v>
      </c>
      <c r="K1693" s="355">
        <v>0.03</v>
      </c>
      <c r="L1693" s="355">
        <v>0.015</v>
      </c>
      <c r="M1693" s="12"/>
      <c r="N1693" s="12"/>
      <c r="O1693" s="12"/>
      <c r="P1693" s="12"/>
      <c r="Q1693" s="12"/>
      <c r="R1693" s="12"/>
      <c r="S1693" s="12"/>
      <c r="T1693" s="12"/>
      <c r="U1693" s="12"/>
      <c r="V1693" s="12"/>
      <c r="W1693" s="12"/>
      <c r="X1693" s="12"/>
      <c r="Y1693" s="12"/>
      <c r="Z1693" s="12"/>
    </row>
    <row r="1694" ht="15.0" customHeight="1">
      <c r="A1694" s="352">
        <v>500000.0</v>
      </c>
      <c r="B1694" s="113">
        <v>0.055</v>
      </c>
      <c r="C1694" s="355">
        <v>0.05</v>
      </c>
      <c r="D1694" s="355">
        <v>0.045</v>
      </c>
      <c r="E1694" s="355">
        <v>0.045</v>
      </c>
      <c r="F1694" s="355">
        <v>0.045</v>
      </c>
      <c r="G1694" s="355">
        <v>0.035</v>
      </c>
      <c r="H1694" s="355">
        <v>0.035</v>
      </c>
      <c r="I1694" s="355">
        <v>0.025</v>
      </c>
      <c r="J1694" s="355">
        <v>0.025</v>
      </c>
      <c r="K1694" s="355">
        <v>0.025</v>
      </c>
      <c r="L1694" s="355">
        <v>0.01</v>
      </c>
      <c r="M1694" s="12"/>
      <c r="N1694" s="12"/>
      <c r="O1694" s="12"/>
      <c r="P1694" s="12"/>
      <c r="Q1694" s="12"/>
      <c r="R1694" s="12"/>
      <c r="S1694" s="12"/>
      <c r="T1694" s="12"/>
      <c r="U1694" s="12"/>
      <c r="V1694" s="12"/>
      <c r="W1694" s="12"/>
      <c r="X1694" s="12"/>
      <c r="Y1694" s="12"/>
      <c r="Z1694" s="12"/>
    </row>
    <row r="1695" ht="15.0" customHeight="1">
      <c r="A1695" s="349"/>
      <c r="B1695" s="350"/>
      <c r="C1695" s="12"/>
      <c r="D1695" s="12"/>
      <c r="E1695" s="12"/>
      <c r="F1695" s="12"/>
      <c r="G1695" s="12"/>
      <c r="H1695" s="12"/>
      <c r="I1695" s="12"/>
      <c r="J1695" s="12"/>
      <c r="K1695" s="12"/>
      <c r="L1695" s="12"/>
      <c r="M1695" s="12"/>
      <c r="N1695" s="12"/>
      <c r="O1695" s="12"/>
      <c r="P1695" s="12"/>
      <c r="Q1695" s="12"/>
      <c r="R1695" s="12"/>
      <c r="S1695" s="12"/>
      <c r="T1695" s="12"/>
      <c r="U1695" s="12"/>
      <c r="V1695" s="12"/>
      <c r="W1695" s="12"/>
      <c r="X1695" s="12"/>
      <c r="Y1695" s="12"/>
      <c r="Z1695" s="12"/>
    </row>
    <row r="1696" ht="15.0" customHeight="1">
      <c r="A1696" s="357" t="s">
        <v>1615</v>
      </c>
      <c r="B1696" s="350"/>
      <c r="C1696" s="12"/>
      <c r="D1696" s="12"/>
      <c r="E1696" s="12"/>
      <c r="F1696" s="12"/>
      <c r="G1696" s="12"/>
      <c r="H1696" s="12"/>
      <c r="I1696" s="12"/>
      <c r="J1696" s="12"/>
      <c r="K1696" s="12"/>
      <c r="L1696" s="12"/>
      <c r="M1696" s="12"/>
      <c r="N1696" s="12"/>
      <c r="O1696" s="12"/>
      <c r="P1696" s="12"/>
      <c r="Q1696" s="12"/>
      <c r="R1696" s="12"/>
      <c r="S1696" s="12"/>
      <c r="T1696" s="12"/>
      <c r="U1696" s="12"/>
      <c r="V1696" s="12"/>
      <c r="W1696" s="12"/>
      <c r="X1696" s="12"/>
      <c r="Y1696" s="12"/>
      <c r="Z1696" s="12"/>
    </row>
    <row r="1697" ht="15.0" customHeight="1">
      <c r="A1697" s="349"/>
      <c r="B1697" s="350"/>
      <c r="C1697" s="12"/>
      <c r="D1697" s="12"/>
      <c r="E1697" s="12"/>
      <c r="F1697" s="12"/>
      <c r="G1697" s="12"/>
      <c r="H1697" s="12"/>
      <c r="I1697" s="12"/>
      <c r="J1697" s="12"/>
      <c r="K1697" s="12"/>
      <c r="L1697" s="12"/>
      <c r="M1697" s="12"/>
      <c r="N1697" s="12"/>
      <c r="O1697" s="12"/>
      <c r="P1697" s="12"/>
      <c r="Q1697" s="12"/>
      <c r="R1697" s="12"/>
      <c r="S1697" s="12"/>
      <c r="T1697" s="12"/>
      <c r="U1697" s="12"/>
      <c r="V1697" s="12"/>
      <c r="W1697" s="12"/>
      <c r="X1697" s="12"/>
      <c r="Y1697" s="12"/>
      <c r="Z1697" s="12"/>
    </row>
    <row r="1698" ht="15.0" customHeight="1">
      <c r="A1698" s="291" t="s">
        <v>1917</v>
      </c>
      <c r="B1698" s="291" t="s">
        <v>1918</v>
      </c>
      <c r="C1698" s="12"/>
      <c r="D1698" s="12"/>
      <c r="E1698" s="12"/>
      <c r="F1698" s="12"/>
      <c r="G1698" s="12"/>
      <c r="H1698" s="12"/>
      <c r="I1698" s="12"/>
      <c r="J1698" s="12"/>
      <c r="K1698" s="12"/>
      <c r="L1698" s="12"/>
      <c r="M1698" s="12"/>
      <c r="N1698" s="12"/>
      <c r="O1698" s="12"/>
      <c r="P1698" s="12"/>
      <c r="Q1698" s="12"/>
      <c r="R1698" s="12"/>
      <c r="S1698" s="12"/>
      <c r="T1698" s="12"/>
      <c r="U1698" s="12"/>
      <c r="V1698" s="12"/>
      <c r="W1698" s="12"/>
      <c r="X1698" s="12"/>
      <c r="Y1698" s="12"/>
      <c r="Z1698" s="12"/>
    </row>
    <row r="1699" ht="15.0" customHeight="1">
      <c r="A1699" s="332">
        <v>1.0</v>
      </c>
      <c r="B1699" s="351">
        <v>0.02</v>
      </c>
      <c r="C1699" s="12"/>
      <c r="D1699" s="12"/>
      <c r="E1699" s="12"/>
      <c r="F1699" s="12"/>
      <c r="G1699" s="12"/>
      <c r="H1699" s="12"/>
      <c r="I1699" s="12"/>
      <c r="J1699" s="12"/>
      <c r="K1699" s="12"/>
      <c r="L1699" s="12"/>
      <c r="M1699" s="12"/>
      <c r="N1699" s="12"/>
      <c r="O1699" s="12"/>
      <c r="P1699" s="12"/>
      <c r="Q1699" s="12"/>
      <c r="R1699" s="12"/>
      <c r="S1699" s="12"/>
      <c r="T1699" s="12"/>
      <c r="U1699" s="12"/>
      <c r="V1699" s="12"/>
      <c r="W1699" s="12"/>
      <c r="X1699" s="12"/>
      <c r="Y1699" s="12"/>
      <c r="Z1699" s="12"/>
    </row>
    <row r="1700" ht="15.0" customHeight="1">
      <c r="A1700" s="332">
        <v>2.0</v>
      </c>
      <c r="B1700" s="351">
        <v>0.0</v>
      </c>
      <c r="C1700" s="12"/>
      <c r="D1700" s="12"/>
      <c r="E1700" s="12"/>
      <c r="F1700" s="12"/>
      <c r="G1700" s="12"/>
      <c r="H1700" s="12"/>
      <c r="I1700" s="12"/>
      <c r="J1700" s="12"/>
      <c r="K1700" s="12"/>
      <c r="L1700" s="12"/>
      <c r="M1700" s="12"/>
      <c r="N1700" s="12"/>
      <c r="O1700" s="12"/>
      <c r="P1700" s="12"/>
      <c r="Q1700" s="12"/>
      <c r="R1700" s="12"/>
      <c r="S1700" s="12"/>
      <c r="T1700" s="12"/>
      <c r="U1700" s="12"/>
      <c r="V1700" s="12"/>
      <c r="W1700" s="12"/>
      <c r="X1700" s="12"/>
      <c r="Y1700" s="12"/>
      <c r="Z1700" s="12"/>
    </row>
    <row r="1701" ht="15.0" customHeight="1">
      <c r="A1701" s="349"/>
      <c r="B1701" s="350"/>
      <c r="C1701" s="12"/>
      <c r="D1701" s="12"/>
      <c r="E1701" s="12"/>
      <c r="F1701" s="12"/>
      <c r="G1701" s="12"/>
      <c r="H1701" s="12"/>
      <c r="I1701" s="12"/>
      <c r="J1701" s="12"/>
      <c r="K1701" s="12"/>
      <c r="L1701" s="12"/>
      <c r="M1701" s="12"/>
      <c r="N1701" s="12"/>
      <c r="O1701" s="12"/>
      <c r="P1701" s="12"/>
      <c r="Q1701" s="12"/>
      <c r="R1701" s="12"/>
      <c r="S1701" s="12"/>
      <c r="T1701" s="12"/>
      <c r="U1701" s="12"/>
      <c r="V1701" s="12"/>
      <c r="W1701" s="12"/>
      <c r="X1701" s="12"/>
      <c r="Y1701" s="12"/>
      <c r="Z1701" s="12"/>
    </row>
    <row r="1702" ht="15.0" customHeight="1">
      <c r="A1702" s="357" t="s">
        <v>1619</v>
      </c>
      <c r="B1702" s="350"/>
      <c r="C1702" s="12"/>
      <c r="D1702" s="12"/>
      <c r="E1702" s="12"/>
      <c r="F1702" s="12"/>
      <c r="G1702" s="12"/>
      <c r="H1702" s="12"/>
      <c r="I1702" s="12"/>
      <c r="J1702" s="12"/>
      <c r="K1702" s="12"/>
      <c r="L1702" s="12"/>
      <c r="M1702" s="12"/>
      <c r="N1702" s="12"/>
      <c r="O1702" s="12"/>
      <c r="P1702" s="12"/>
      <c r="Q1702" s="12"/>
      <c r="R1702" s="12"/>
      <c r="S1702" s="12"/>
      <c r="T1702" s="12"/>
      <c r="U1702" s="12"/>
      <c r="V1702" s="12"/>
      <c r="W1702" s="12"/>
      <c r="X1702" s="12"/>
      <c r="Y1702" s="12"/>
      <c r="Z1702" s="12"/>
    </row>
    <row r="1703" ht="15.0" customHeight="1">
      <c r="A1703" s="349"/>
      <c r="B1703" s="350"/>
      <c r="C1703" s="12"/>
      <c r="D1703" s="12"/>
      <c r="E1703" s="12"/>
      <c r="F1703" s="12"/>
      <c r="G1703" s="12"/>
      <c r="H1703" s="12"/>
      <c r="I1703" s="12"/>
      <c r="J1703" s="12"/>
      <c r="K1703" s="12"/>
      <c r="L1703" s="12"/>
      <c r="M1703" s="12"/>
      <c r="N1703" s="12"/>
      <c r="O1703" s="12"/>
      <c r="P1703" s="12"/>
      <c r="Q1703" s="12"/>
      <c r="R1703" s="12"/>
      <c r="S1703" s="12"/>
      <c r="T1703" s="12"/>
      <c r="U1703" s="12"/>
      <c r="V1703" s="12"/>
      <c r="W1703" s="12"/>
      <c r="X1703" s="12"/>
      <c r="Y1703" s="12"/>
      <c r="Z1703" s="12"/>
    </row>
    <row r="1704" ht="15.0" customHeight="1">
      <c r="A1704" s="291" t="s">
        <v>1917</v>
      </c>
      <c r="B1704" s="291" t="s">
        <v>1918</v>
      </c>
      <c r="C1704" s="12"/>
      <c r="D1704" s="12"/>
      <c r="E1704" s="12"/>
      <c r="F1704" s="12"/>
      <c r="G1704" s="12"/>
      <c r="H1704" s="12"/>
      <c r="I1704" s="12"/>
      <c r="J1704" s="12"/>
      <c r="K1704" s="12"/>
      <c r="L1704" s="12"/>
      <c r="M1704" s="12"/>
      <c r="N1704" s="12"/>
      <c r="O1704" s="12"/>
      <c r="P1704" s="12"/>
      <c r="Q1704" s="12"/>
      <c r="R1704" s="12"/>
      <c r="S1704" s="12"/>
      <c r="T1704" s="12"/>
      <c r="U1704" s="12"/>
      <c r="V1704" s="12"/>
      <c r="W1704" s="12"/>
      <c r="X1704" s="12"/>
      <c r="Y1704" s="12"/>
      <c r="Z1704" s="12"/>
    </row>
    <row r="1705" ht="15.0" customHeight="1">
      <c r="A1705" s="332">
        <v>1.0</v>
      </c>
      <c r="B1705" s="351">
        <v>0.0525</v>
      </c>
      <c r="C1705" s="12"/>
      <c r="D1705" s="12"/>
      <c r="E1705" s="12"/>
      <c r="F1705" s="12"/>
      <c r="G1705" s="12"/>
      <c r="H1705" s="12"/>
      <c r="I1705" s="12"/>
      <c r="J1705" s="12"/>
      <c r="K1705" s="12"/>
      <c r="L1705" s="12"/>
      <c r="M1705" s="12"/>
      <c r="N1705" s="12"/>
      <c r="O1705" s="12"/>
      <c r="P1705" s="12"/>
      <c r="Q1705" s="12"/>
      <c r="R1705" s="12"/>
      <c r="S1705" s="12"/>
      <c r="T1705" s="12"/>
      <c r="U1705" s="12"/>
      <c r="V1705" s="12"/>
      <c r="W1705" s="12"/>
      <c r="X1705" s="12"/>
      <c r="Y1705" s="12"/>
      <c r="Z1705" s="12"/>
    </row>
    <row r="1706" ht="15.0" customHeight="1">
      <c r="A1706" s="332">
        <v>2.0</v>
      </c>
      <c r="B1706" s="351">
        <v>0.05</v>
      </c>
      <c r="C1706" s="12"/>
      <c r="D1706" s="12"/>
      <c r="E1706" s="12"/>
      <c r="F1706" s="12"/>
      <c r="G1706" s="12"/>
      <c r="H1706" s="12"/>
      <c r="I1706" s="12"/>
      <c r="J1706" s="12"/>
      <c r="K1706" s="12"/>
      <c r="L1706" s="12"/>
      <c r="M1706" s="12"/>
      <c r="N1706" s="12"/>
      <c r="O1706" s="12"/>
      <c r="P1706" s="12"/>
      <c r="Q1706" s="12"/>
      <c r="R1706" s="12"/>
      <c r="S1706" s="12"/>
      <c r="T1706" s="12"/>
      <c r="U1706" s="12"/>
      <c r="V1706" s="12"/>
      <c r="W1706" s="12"/>
      <c r="X1706" s="12"/>
      <c r="Y1706" s="12"/>
      <c r="Z1706" s="12"/>
    </row>
    <row r="1707" ht="15.0" customHeight="1">
      <c r="A1707" s="332">
        <v>3.0</v>
      </c>
      <c r="B1707" s="351">
        <v>0.045</v>
      </c>
      <c r="C1707" s="12"/>
      <c r="D1707" s="12"/>
      <c r="E1707" s="12"/>
      <c r="F1707" s="12"/>
      <c r="G1707" s="12"/>
      <c r="H1707" s="12"/>
      <c r="I1707" s="12"/>
      <c r="J1707" s="12"/>
      <c r="K1707" s="12"/>
      <c r="L1707" s="12"/>
      <c r="M1707" s="12"/>
      <c r="N1707" s="12"/>
      <c r="O1707" s="12"/>
      <c r="P1707" s="12"/>
      <c r="Q1707" s="12"/>
      <c r="R1707" s="12"/>
      <c r="S1707" s="12"/>
      <c r="T1707" s="12"/>
      <c r="U1707" s="12"/>
      <c r="V1707" s="12"/>
      <c r="W1707" s="12"/>
      <c r="X1707" s="12"/>
      <c r="Y1707" s="12"/>
      <c r="Z1707" s="12"/>
    </row>
    <row r="1708" ht="15.0" customHeight="1">
      <c r="A1708" s="332">
        <v>4.0</v>
      </c>
      <c r="B1708" s="351">
        <v>0.04</v>
      </c>
      <c r="C1708" s="12"/>
      <c r="D1708" s="12"/>
      <c r="E1708" s="12"/>
      <c r="F1708" s="12"/>
      <c r="G1708" s="12"/>
      <c r="H1708" s="12"/>
      <c r="I1708" s="12"/>
      <c r="J1708" s="12"/>
      <c r="K1708" s="12"/>
      <c r="L1708" s="12"/>
      <c r="M1708" s="12"/>
      <c r="N1708" s="12"/>
      <c r="O1708" s="12"/>
      <c r="P1708" s="12"/>
      <c r="Q1708" s="12"/>
      <c r="R1708" s="12"/>
      <c r="S1708" s="12"/>
      <c r="T1708" s="12"/>
      <c r="U1708" s="12"/>
      <c r="V1708" s="12"/>
      <c r="W1708" s="12"/>
      <c r="X1708" s="12"/>
      <c r="Y1708" s="12"/>
      <c r="Z1708" s="12"/>
    </row>
    <row r="1709" ht="15.0" customHeight="1">
      <c r="A1709" s="332">
        <v>5.0</v>
      </c>
      <c r="B1709" s="351">
        <v>0.035</v>
      </c>
      <c r="C1709" s="12"/>
      <c r="D1709" s="12"/>
      <c r="E1709" s="12"/>
      <c r="F1709" s="12"/>
      <c r="G1709" s="12"/>
      <c r="H1709" s="12"/>
      <c r="I1709" s="12"/>
      <c r="J1709" s="12"/>
      <c r="K1709" s="12"/>
      <c r="L1709" s="12"/>
      <c r="M1709" s="12"/>
      <c r="N1709" s="12"/>
      <c r="O1709" s="12"/>
      <c r="P1709" s="12"/>
      <c r="Q1709" s="12"/>
      <c r="R1709" s="12"/>
      <c r="S1709" s="12"/>
      <c r="T1709" s="12"/>
      <c r="U1709" s="12"/>
      <c r="V1709" s="12"/>
      <c r="W1709" s="12"/>
      <c r="X1709" s="12"/>
      <c r="Y1709" s="12"/>
      <c r="Z1709" s="12"/>
    </row>
    <row r="1710" ht="15.0" customHeight="1">
      <c r="A1710" s="171">
        <v>6.0</v>
      </c>
      <c r="B1710" s="351">
        <v>0.03</v>
      </c>
      <c r="C1710" s="12"/>
      <c r="D1710" s="12"/>
      <c r="E1710" s="12"/>
      <c r="F1710" s="12"/>
      <c r="G1710" s="12"/>
      <c r="H1710" s="12"/>
      <c r="I1710" s="12"/>
      <c r="J1710" s="12"/>
      <c r="K1710" s="12"/>
      <c r="L1710" s="12"/>
      <c r="M1710" s="12"/>
      <c r="N1710" s="12"/>
      <c r="O1710" s="12"/>
      <c r="P1710" s="12"/>
      <c r="Q1710" s="12"/>
      <c r="R1710" s="12"/>
      <c r="S1710" s="12"/>
      <c r="T1710" s="12"/>
      <c r="U1710" s="12"/>
      <c r="V1710" s="12"/>
      <c r="W1710" s="12"/>
      <c r="X1710" s="12"/>
      <c r="Y1710" s="12"/>
      <c r="Z1710" s="12"/>
    </row>
    <row r="1711" ht="15.0" customHeight="1">
      <c r="A1711" s="332">
        <v>7.0</v>
      </c>
      <c r="B1711" s="351">
        <v>0.03</v>
      </c>
      <c r="C1711" s="12"/>
      <c r="D1711" s="12"/>
      <c r="E1711" s="12"/>
      <c r="F1711" s="12"/>
      <c r="G1711" s="12"/>
      <c r="H1711" s="12"/>
      <c r="I1711" s="12"/>
      <c r="J1711" s="12"/>
      <c r="K1711" s="12"/>
      <c r="L1711" s="12"/>
      <c r="M1711" s="12"/>
      <c r="N1711" s="12"/>
      <c r="O1711" s="12"/>
      <c r="P1711" s="12"/>
      <c r="Q1711" s="12"/>
      <c r="R1711" s="12"/>
      <c r="S1711" s="12"/>
      <c r="T1711" s="12"/>
      <c r="U1711" s="12"/>
      <c r="V1711" s="12"/>
      <c r="W1711" s="12"/>
      <c r="X1711" s="12"/>
      <c r="Y1711" s="12"/>
      <c r="Z1711" s="12"/>
    </row>
    <row r="1712" ht="15.0" customHeight="1">
      <c r="A1712" s="171">
        <v>8.0</v>
      </c>
      <c r="B1712" s="351">
        <v>0.03</v>
      </c>
      <c r="C1712" s="12"/>
      <c r="D1712" s="12"/>
      <c r="E1712" s="12"/>
      <c r="F1712" s="12"/>
      <c r="G1712" s="12"/>
      <c r="H1712" s="12"/>
      <c r="I1712" s="12"/>
      <c r="J1712" s="12"/>
      <c r="K1712" s="12"/>
      <c r="L1712" s="12"/>
      <c r="M1712" s="12"/>
      <c r="N1712" s="12"/>
      <c r="O1712" s="12"/>
      <c r="P1712" s="12"/>
      <c r="Q1712" s="12"/>
      <c r="R1712" s="12"/>
      <c r="S1712" s="12"/>
      <c r="T1712" s="12"/>
      <c r="U1712" s="12"/>
      <c r="V1712" s="12"/>
      <c r="W1712" s="12"/>
      <c r="X1712" s="12"/>
      <c r="Y1712" s="12"/>
      <c r="Z1712" s="12"/>
    </row>
    <row r="1713" ht="15.0" customHeight="1">
      <c r="A1713" s="332">
        <v>9.0</v>
      </c>
      <c r="B1713" s="351">
        <v>0.03</v>
      </c>
      <c r="C1713" s="12"/>
      <c r="D1713" s="12"/>
      <c r="E1713" s="12"/>
      <c r="F1713" s="12"/>
      <c r="G1713" s="12"/>
      <c r="H1713" s="12"/>
      <c r="I1713" s="12"/>
      <c r="J1713" s="12"/>
      <c r="K1713" s="12"/>
      <c r="L1713" s="12"/>
      <c r="M1713" s="12"/>
      <c r="N1713" s="12"/>
      <c r="O1713" s="12"/>
      <c r="P1713" s="12"/>
      <c r="Q1713" s="12"/>
      <c r="R1713" s="12"/>
      <c r="S1713" s="12"/>
      <c r="T1713" s="12"/>
      <c r="U1713" s="12"/>
      <c r="V1713" s="12"/>
      <c r="W1713" s="12"/>
      <c r="X1713" s="12"/>
      <c r="Y1713" s="12"/>
      <c r="Z1713" s="12"/>
    </row>
    <row r="1714" ht="15.0" customHeight="1">
      <c r="A1714" s="171">
        <v>10.0</v>
      </c>
      <c r="B1714" s="351">
        <v>0.03</v>
      </c>
      <c r="C1714" s="12"/>
      <c r="D1714" s="12"/>
      <c r="E1714" s="12"/>
      <c r="F1714" s="12"/>
      <c r="G1714" s="12"/>
      <c r="H1714" s="12"/>
      <c r="I1714" s="12"/>
      <c r="J1714" s="12"/>
      <c r="K1714" s="12"/>
      <c r="L1714" s="12"/>
      <c r="M1714" s="12"/>
      <c r="N1714" s="12"/>
      <c r="O1714" s="12"/>
      <c r="P1714" s="12"/>
      <c r="Q1714" s="12"/>
      <c r="R1714" s="12"/>
      <c r="S1714" s="12"/>
      <c r="T1714" s="12"/>
      <c r="U1714" s="12"/>
      <c r="V1714" s="12"/>
      <c r="W1714" s="12"/>
      <c r="X1714" s="12"/>
      <c r="Y1714" s="12"/>
      <c r="Z1714" s="12"/>
    </row>
    <row r="1715" ht="15.0" customHeight="1">
      <c r="A1715" s="349"/>
      <c r="B1715" s="350"/>
      <c r="C1715" s="12"/>
      <c r="D1715" s="12"/>
      <c r="E1715" s="12"/>
      <c r="F1715" s="12"/>
      <c r="G1715" s="12"/>
      <c r="H1715" s="12"/>
      <c r="I1715" s="12"/>
      <c r="J1715" s="12"/>
      <c r="K1715" s="12"/>
      <c r="L1715" s="12"/>
      <c r="M1715" s="12"/>
      <c r="N1715" s="12"/>
      <c r="O1715" s="12"/>
      <c r="P1715" s="12"/>
      <c r="Q1715" s="12"/>
      <c r="R1715" s="12"/>
      <c r="S1715" s="12"/>
      <c r="T1715" s="12"/>
      <c r="U1715" s="12"/>
      <c r="V1715" s="12"/>
      <c r="W1715" s="12"/>
      <c r="X1715" s="12"/>
      <c r="Y1715" s="12"/>
      <c r="Z1715" s="12"/>
    </row>
    <row r="1716" ht="15.0" customHeight="1">
      <c r="A1716" s="357" t="s">
        <v>1626</v>
      </c>
      <c r="B1716" s="350"/>
      <c r="C1716" s="12"/>
      <c r="D1716" s="12"/>
      <c r="E1716" s="12"/>
      <c r="F1716" s="12"/>
      <c r="G1716" s="12"/>
      <c r="H1716" s="12"/>
      <c r="I1716" s="12"/>
      <c r="J1716" s="12"/>
      <c r="K1716" s="12"/>
      <c r="L1716" s="12"/>
      <c r="M1716" s="12"/>
      <c r="N1716" s="12"/>
      <c r="O1716" s="12"/>
      <c r="P1716" s="12"/>
      <c r="Q1716" s="12"/>
      <c r="R1716" s="12"/>
      <c r="S1716" s="12"/>
      <c r="T1716" s="12"/>
      <c r="U1716" s="12"/>
      <c r="V1716" s="12"/>
      <c r="W1716" s="12"/>
      <c r="X1716" s="12"/>
      <c r="Y1716" s="12"/>
      <c r="Z1716" s="12"/>
    </row>
    <row r="1717" ht="15.0" customHeight="1">
      <c r="A1717" s="349"/>
      <c r="B1717" s="350"/>
      <c r="C1717" s="12"/>
      <c r="D1717" s="12"/>
      <c r="E1717" s="12"/>
      <c r="F1717" s="12"/>
      <c r="G1717" s="12"/>
      <c r="H1717" s="12"/>
      <c r="I1717" s="12"/>
      <c r="J1717" s="12"/>
      <c r="K1717" s="12"/>
      <c r="L1717" s="12"/>
      <c r="M1717" s="12"/>
      <c r="N1717" s="12"/>
      <c r="O1717" s="12"/>
      <c r="P1717" s="12"/>
      <c r="Q1717" s="12"/>
      <c r="R1717" s="12"/>
      <c r="S1717" s="12"/>
      <c r="T1717" s="12"/>
      <c r="U1717" s="12"/>
      <c r="V1717" s="12"/>
      <c r="W1717" s="12"/>
      <c r="X1717" s="12"/>
      <c r="Y1717" s="12"/>
      <c r="Z1717" s="12"/>
    </row>
    <row r="1718" ht="15.0" customHeight="1">
      <c r="A1718" s="291" t="s">
        <v>1917</v>
      </c>
      <c r="B1718" s="291" t="s">
        <v>1918</v>
      </c>
      <c r="C1718" s="12"/>
      <c r="D1718" s="12"/>
      <c r="E1718" s="12"/>
      <c r="F1718" s="12"/>
      <c r="G1718" s="12"/>
      <c r="H1718" s="12"/>
      <c r="I1718" s="12"/>
      <c r="J1718" s="12"/>
      <c r="K1718" s="12"/>
      <c r="L1718" s="12"/>
      <c r="M1718" s="12"/>
      <c r="N1718" s="12"/>
      <c r="O1718" s="12"/>
      <c r="P1718" s="12"/>
      <c r="Q1718" s="12"/>
      <c r="R1718" s="12"/>
      <c r="S1718" s="12"/>
      <c r="T1718" s="12"/>
      <c r="U1718" s="12"/>
      <c r="V1718" s="12"/>
      <c r="W1718" s="12"/>
      <c r="X1718" s="12"/>
      <c r="Y1718" s="12"/>
      <c r="Z1718" s="12"/>
    </row>
    <row r="1719" ht="15.0" customHeight="1">
      <c r="A1719" s="332">
        <v>1.0</v>
      </c>
      <c r="B1719" s="351">
        <v>0.12</v>
      </c>
      <c r="C1719" s="12"/>
      <c r="D1719" s="12"/>
      <c r="E1719" s="12"/>
      <c r="F1719" s="12"/>
      <c r="G1719" s="12"/>
      <c r="H1719" s="12"/>
      <c r="I1719" s="12"/>
      <c r="J1719" s="12"/>
      <c r="K1719" s="12"/>
      <c r="L1719" s="12"/>
      <c r="M1719" s="12"/>
      <c r="N1719" s="12"/>
      <c r="O1719" s="12"/>
      <c r="P1719" s="12"/>
      <c r="Q1719" s="12"/>
      <c r="R1719" s="12"/>
      <c r="S1719" s="12"/>
      <c r="T1719" s="12"/>
      <c r="U1719" s="12"/>
      <c r="V1719" s="12"/>
      <c r="W1719" s="12"/>
      <c r="X1719" s="12"/>
      <c r="Y1719" s="12"/>
      <c r="Z1719" s="12"/>
    </row>
    <row r="1720" ht="15.0" customHeight="1">
      <c r="A1720" s="332">
        <v>2.0</v>
      </c>
      <c r="B1720" s="351">
        <v>0.06</v>
      </c>
      <c r="C1720" s="12"/>
      <c r="D1720" s="12"/>
      <c r="E1720" s="12"/>
      <c r="F1720" s="12"/>
      <c r="G1720" s="12"/>
      <c r="H1720" s="12"/>
      <c r="I1720" s="12"/>
      <c r="J1720" s="12"/>
      <c r="K1720" s="12"/>
      <c r="L1720" s="12"/>
      <c r="M1720" s="12"/>
      <c r="N1720" s="12"/>
      <c r="O1720" s="12"/>
      <c r="P1720" s="12"/>
      <c r="Q1720" s="12"/>
      <c r="R1720" s="12"/>
      <c r="S1720" s="12"/>
      <c r="T1720" s="12"/>
      <c r="U1720" s="12"/>
      <c r="V1720" s="12"/>
      <c r="W1720" s="12"/>
      <c r="X1720" s="12"/>
      <c r="Y1720" s="12"/>
      <c r="Z1720" s="12"/>
    </row>
    <row r="1721" ht="15.0" customHeight="1">
      <c r="A1721" s="332">
        <v>3.0</v>
      </c>
      <c r="B1721" s="351">
        <v>0.05</v>
      </c>
      <c r="C1721" s="12"/>
      <c r="D1721" s="12"/>
      <c r="E1721" s="12"/>
      <c r="F1721" s="12"/>
      <c r="G1721" s="12"/>
      <c r="H1721" s="12"/>
      <c r="I1721" s="12"/>
      <c r="J1721" s="12"/>
      <c r="K1721" s="12"/>
      <c r="L1721" s="12"/>
      <c r="M1721" s="12"/>
      <c r="N1721" s="12"/>
      <c r="O1721" s="12"/>
      <c r="P1721" s="12"/>
      <c r="Q1721" s="12"/>
      <c r="R1721" s="12"/>
      <c r="S1721" s="12"/>
      <c r="T1721" s="12"/>
      <c r="U1721" s="12"/>
      <c r="V1721" s="12"/>
      <c r="W1721" s="12"/>
      <c r="X1721" s="12"/>
      <c r="Y1721" s="12"/>
      <c r="Z1721" s="12"/>
    </row>
    <row r="1722" ht="15.0" customHeight="1">
      <c r="A1722" s="332">
        <v>4.0</v>
      </c>
      <c r="B1722" s="351">
        <v>0.0</v>
      </c>
      <c r="C1722" s="12"/>
      <c r="D1722" s="12"/>
      <c r="E1722" s="12"/>
      <c r="F1722" s="12"/>
      <c r="G1722" s="12"/>
      <c r="H1722" s="12"/>
      <c r="I1722" s="12"/>
      <c r="J1722" s="12"/>
      <c r="K1722" s="12"/>
      <c r="L1722" s="12"/>
      <c r="M1722" s="12"/>
      <c r="N1722" s="12"/>
      <c r="O1722" s="12"/>
      <c r="P1722" s="12"/>
      <c r="Q1722" s="12"/>
      <c r="R1722" s="12"/>
      <c r="S1722" s="12"/>
      <c r="T1722" s="12"/>
      <c r="U1722" s="12"/>
      <c r="V1722" s="12"/>
      <c r="W1722" s="12"/>
      <c r="X1722" s="12"/>
      <c r="Y1722" s="12"/>
      <c r="Z1722" s="12"/>
    </row>
    <row r="1723" ht="15.0" customHeight="1">
      <c r="A1723" s="349"/>
      <c r="B1723" s="350"/>
      <c r="C1723" s="12"/>
      <c r="D1723" s="12"/>
      <c r="E1723" s="12"/>
      <c r="F1723" s="12"/>
      <c r="G1723" s="12"/>
      <c r="H1723" s="12"/>
      <c r="I1723" s="12"/>
      <c r="J1723" s="12"/>
      <c r="K1723" s="12"/>
      <c r="L1723" s="12"/>
      <c r="M1723" s="12"/>
      <c r="N1723" s="12"/>
      <c r="O1723" s="12"/>
      <c r="P1723" s="12"/>
      <c r="Q1723" s="12"/>
      <c r="R1723" s="12"/>
      <c r="S1723" s="12"/>
      <c r="T1723" s="12"/>
      <c r="U1723" s="12"/>
      <c r="V1723" s="12"/>
      <c r="W1723" s="12"/>
      <c r="X1723" s="12"/>
      <c r="Y1723" s="12"/>
      <c r="Z1723" s="12"/>
    </row>
    <row r="1724" ht="15.0" customHeight="1">
      <c r="A1724" s="298" t="s">
        <v>1634</v>
      </c>
      <c r="B1724" s="350"/>
      <c r="C1724" s="12"/>
      <c r="D1724" s="12"/>
      <c r="E1724" s="12"/>
      <c r="F1724" s="12"/>
      <c r="G1724" s="12"/>
      <c r="H1724" s="12"/>
      <c r="I1724" s="12"/>
      <c r="J1724" s="12"/>
      <c r="K1724" s="12"/>
      <c r="L1724" s="12"/>
      <c r="M1724" s="12"/>
      <c r="N1724" s="12"/>
      <c r="O1724" s="12"/>
      <c r="P1724" s="12"/>
      <c r="Q1724" s="12"/>
      <c r="R1724" s="12"/>
      <c r="S1724" s="12"/>
      <c r="T1724" s="12"/>
      <c r="U1724" s="12"/>
      <c r="V1724" s="12"/>
      <c r="W1724" s="12"/>
      <c r="X1724" s="12"/>
      <c r="Y1724" s="12"/>
      <c r="Z1724" s="12"/>
    </row>
    <row r="1725" ht="15.0" customHeight="1">
      <c r="A1725" s="349"/>
      <c r="B1725" s="350"/>
      <c r="C1725" s="12"/>
      <c r="D1725" s="12"/>
      <c r="E1725" s="12"/>
      <c r="F1725" s="12"/>
      <c r="G1725" s="12"/>
      <c r="H1725" s="12"/>
      <c r="I1725" s="12"/>
      <c r="J1725" s="12"/>
      <c r="K1725" s="12"/>
      <c r="L1725" s="12"/>
      <c r="M1725" s="12"/>
      <c r="N1725" s="12"/>
      <c r="O1725" s="12"/>
      <c r="P1725" s="12"/>
      <c r="Q1725" s="12"/>
      <c r="R1725" s="12"/>
      <c r="S1725" s="12"/>
      <c r="T1725" s="12"/>
      <c r="U1725" s="12"/>
      <c r="V1725" s="12"/>
      <c r="W1725" s="12"/>
      <c r="X1725" s="12"/>
      <c r="Y1725" s="12"/>
      <c r="Z1725" s="12"/>
    </row>
    <row r="1726" ht="15.0" customHeight="1">
      <c r="A1726" s="291" t="s">
        <v>1917</v>
      </c>
      <c r="B1726" s="291" t="s">
        <v>1918</v>
      </c>
      <c r="C1726" s="12"/>
      <c r="D1726" s="12"/>
      <c r="E1726" s="12"/>
      <c r="F1726" s="12"/>
      <c r="G1726" s="12"/>
      <c r="H1726" s="12"/>
      <c r="I1726" s="12"/>
      <c r="J1726" s="12"/>
      <c r="K1726" s="12"/>
      <c r="L1726" s="12"/>
      <c r="M1726" s="12"/>
      <c r="N1726" s="12"/>
      <c r="O1726" s="12"/>
      <c r="P1726" s="12"/>
      <c r="Q1726" s="12"/>
      <c r="R1726" s="12"/>
      <c r="S1726" s="12"/>
      <c r="T1726" s="12"/>
      <c r="U1726" s="12"/>
      <c r="V1726" s="12"/>
      <c r="W1726" s="12"/>
      <c r="X1726" s="12"/>
      <c r="Y1726" s="12"/>
      <c r="Z1726" s="12"/>
    </row>
    <row r="1727" ht="15.0" customHeight="1">
      <c r="A1727" s="332">
        <v>1.0</v>
      </c>
      <c r="B1727" s="351">
        <v>0.07</v>
      </c>
      <c r="C1727" s="12"/>
      <c r="D1727" s="12"/>
      <c r="E1727" s="12"/>
      <c r="F1727" s="12"/>
      <c r="G1727" s="12"/>
      <c r="H1727" s="12"/>
      <c r="I1727" s="12"/>
      <c r="J1727" s="12"/>
      <c r="K1727" s="12"/>
      <c r="L1727" s="12"/>
      <c r="M1727" s="12"/>
      <c r="N1727" s="12"/>
      <c r="O1727" s="12"/>
      <c r="P1727" s="12"/>
      <c r="Q1727" s="12"/>
      <c r="R1727" s="12"/>
      <c r="S1727" s="12"/>
      <c r="T1727" s="12"/>
      <c r="U1727" s="12"/>
      <c r="V1727" s="12"/>
      <c r="W1727" s="12"/>
      <c r="X1727" s="12"/>
      <c r="Y1727" s="12"/>
      <c r="Z1727" s="12"/>
    </row>
    <row r="1728" ht="15.0" customHeight="1">
      <c r="A1728" s="349"/>
      <c r="B1728" s="350"/>
      <c r="C1728" s="12"/>
      <c r="D1728" s="12"/>
      <c r="E1728" s="12"/>
      <c r="F1728" s="12"/>
      <c r="G1728" s="12"/>
      <c r="H1728" s="12"/>
      <c r="I1728" s="12"/>
      <c r="J1728" s="12"/>
      <c r="K1728" s="12"/>
      <c r="L1728" s="12"/>
      <c r="M1728" s="12"/>
      <c r="N1728" s="12"/>
      <c r="O1728" s="12"/>
      <c r="P1728" s="12"/>
      <c r="Q1728" s="12"/>
      <c r="R1728" s="12"/>
      <c r="S1728" s="12"/>
      <c r="T1728" s="12"/>
      <c r="U1728" s="12"/>
      <c r="V1728" s="12"/>
      <c r="W1728" s="12"/>
      <c r="X1728" s="12"/>
      <c r="Y1728" s="12"/>
      <c r="Z1728" s="12"/>
    </row>
    <row r="1729" ht="15.0" customHeight="1">
      <c r="A1729" s="298" t="s">
        <v>1640</v>
      </c>
      <c r="B1729" s="350"/>
      <c r="C1729" s="12"/>
      <c r="D1729" s="12"/>
      <c r="E1729" s="12"/>
      <c r="F1729" s="12"/>
      <c r="G1729" s="12"/>
      <c r="H1729" s="12"/>
      <c r="I1729" s="12"/>
      <c r="J1729" s="12"/>
      <c r="K1729" s="12"/>
      <c r="L1729" s="12"/>
      <c r="M1729" s="12"/>
      <c r="N1729" s="12"/>
      <c r="O1729" s="12"/>
      <c r="P1729" s="12"/>
      <c r="Q1729" s="12"/>
      <c r="R1729" s="12"/>
      <c r="S1729" s="12"/>
      <c r="T1729" s="12"/>
      <c r="U1729" s="12"/>
      <c r="V1729" s="12"/>
      <c r="W1729" s="12"/>
      <c r="X1729" s="12"/>
      <c r="Y1729" s="12"/>
      <c r="Z1729" s="12"/>
    </row>
    <row r="1730" ht="15.0" customHeight="1">
      <c r="A1730" s="349"/>
      <c r="B1730" s="350"/>
      <c r="C1730" s="12"/>
      <c r="D1730" s="12"/>
      <c r="E1730" s="12"/>
      <c r="F1730" s="12"/>
      <c r="G1730" s="12"/>
      <c r="H1730" s="12"/>
      <c r="I1730" s="12"/>
      <c r="J1730" s="12"/>
      <c r="K1730" s="12"/>
      <c r="L1730" s="12"/>
      <c r="M1730" s="12"/>
      <c r="N1730" s="12"/>
      <c r="O1730" s="12"/>
      <c r="P1730" s="12"/>
      <c r="Q1730" s="12"/>
      <c r="R1730" s="12"/>
      <c r="S1730" s="12"/>
      <c r="T1730" s="12"/>
      <c r="U1730" s="12"/>
      <c r="V1730" s="12"/>
      <c r="W1730" s="12"/>
      <c r="X1730" s="12"/>
      <c r="Y1730" s="12"/>
      <c r="Z1730" s="12"/>
    </row>
    <row r="1731" ht="15.0" customHeight="1">
      <c r="A1731" s="171" t="s">
        <v>1916</v>
      </c>
      <c r="B1731" s="171">
        <v>1.0</v>
      </c>
      <c r="C1731" s="171">
        <v>2.0</v>
      </c>
      <c r="D1731" s="171">
        <v>3.0</v>
      </c>
      <c r="E1731" s="171">
        <v>4.0</v>
      </c>
      <c r="F1731" s="171">
        <v>5.0</v>
      </c>
      <c r="G1731" s="171">
        <v>6.0</v>
      </c>
      <c r="H1731" s="171">
        <v>7.0</v>
      </c>
      <c r="I1731" s="171">
        <v>8.0</v>
      </c>
      <c r="J1731" s="171">
        <v>9.0</v>
      </c>
      <c r="K1731" s="171">
        <v>10.0</v>
      </c>
      <c r="L1731" s="171">
        <v>11.0</v>
      </c>
      <c r="M1731" s="12"/>
      <c r="N1731" s="12"/>
      <c r="O1731" s="12"/>
      <c r="P1731" s="12"/>
      <c r="Q1731" s="12"/>
      <c r="R1731" s="12"/>
      <c r="S1731" s="12"/>
      <c r="T1731" s="12"/>
      <c r="U1731" s="12"/>
      <c r="V1731" s="12"/>
      <c r="W1731" s="12"/>
      <c r="X1731" s="12"/>
      <c r="Y1731" s="12"/>
      <c r="Z1731" s="12"/>
    </row>
    <row r="1732" ht="15.0" customHeight="1">
      <c r="A1732" s="322">
        <v>0.0</v>
      </c>
      <c r="B1732" s="113">
        <v>0.06</v>
      </c>
      <c r="C1732" s="113">
        <v>0.06</v>
      </c>
      <c r="D1732" s="113">
        <v>0.06</v>
      </c>
      <c r="E1732" s="113">
        <v>0.06</v>
      </c>
      <c r="F1732" s="113">
        <v>0.06</v>
      </c>
      <c r="G1732" s="113">
        <v>0.06</v>
      </c>
      <c r="H1732" s="113">
        <v>0.06</v>
      </c>
      <c r="I1732" s="113">
        <v>0.06</v>
      </c>
      <c r="J1732" s="113">
        <v>0.06</v>
      </c>
      <c r="K1732" s="113">
        <v>0.06</v>
      </c>
      <c r="L1732" s="355">
        <v>0.025</v>
      </c>
      <c r="M1732" s="12"/>
      <c r="N1732" s="12"/>
      <c r="O1732" s="12"/>
      <c r="P1732" s="12"/>
      <c r="Q1732" s="12"/>
      <c r="R1732" s="12"/>
      <c r="S1732" s="12"/>
      <c r="T1732" s="12"/>
      <c r="U1732" s="12"/>
      <c r="V1732" s="12"/>
      <c r="W1732" s="12"/>
      <c r="X1732" s="12"/>
      <c r="Y1732" s="12"/>
      <c r="Z1732" s="12"/>
    </row>
    <row r="1733" ht="15.0" customHeight="1">
      <c r="A1733" s="352">
        <v>30000.0</v>
      </c>
      <c r="B1733" s="113">
        <v>0.055</v>
      </c>
      <c r="C1733" s="113">
        <v>0.055</v>
      </c>
      <c r="D1733" s="113">
        <v>0.055</v>
      </c>
      <c r="E1733" s="113">
        <v>0.055</v>
      </c>
      <c r="F1733" s="113">
        <v>0.055</v>
      </c>
      <c r="G1733" s="113">
        <v>0.055</v>
      </c>
      <c r="H1733" s="113">
        <v>0.055</v>
      </c>
      <c r="I1733" s="113">
        <v>0.055</v>
      </c>
      <c r="J1733" s="113">
        <v>0.055</v>
      </c>
      <c r="K1733" s="113">
        <v>0.055</v>
      </c>
      <c r="L1733" s="355">
        <v>0.025</v>
      </c>
      <c r="M1733" s="12"/>
      <c r="N1733" s="12"/>
      <c r="O1733" s="12"/>
      <c r="P1733" s="12"/>
      <c r="Q1733" s="12"/>
      <c r="R1733" s="12"/>
      <c r="S1733" s="12"/>
      <c r="T1733" s="12"/>
      <c r="U1733" s="12"/>
      <c r="V1733" s="12"/>
      <c r="W1733" s="12"/>
      <c r="X1733" s="12"/>
      <c r="Y1733" s="12"/>
      <c r="Z1733" s="12"/>
    </row>
    <row r="1734" ht="15.0" customHeight="1">
      <c r="A1734" s="352">
        <v>100000.0</v>
      </c>
      <c r="B1734" s="113">
        <v>0.05</v>
      </c>
      <c r="C1734" s="113">
        <v>0.05</v>
      </c>
      <c r="D1734" s="113">
        <v>0.05</v>
      </c>
      <c r="E1734" s="113">
        <v>0.05</v>
      </c>
      <c r="F1734" s="113">
        <v>0.05</v>
      </c>
      <c r="G1734" s="113">
        <v>0.05</v>
      </c>
      <c r="H1734" s="113">
        <v>0.05</v>
      </c>
      <c r="I1734" s="113">
        <v>0.05</v>
      </c>
      <c r="J1734" s="113">
        <v>0.05</v>
      </c>
      <c r="K1734" s="113">
        <v>0.05</v>
      </c>
      <c r="L1734" s="355">
        <v>0.02</v>
      </c>
      <c r="M1734" s="12"/>
      <c r="N1734" s="12"/>
      <c r="O1734" s="12"/>
      <c r="P1734" s="12"/>
      <c r="Q1734" s="12"/>
      <c r="R1734" s="12"/>
      <c r="S1734" s="12"/>
      <c r="T1734" s="12"/>
      <c r="U1734" s="12"/>
      <c r="V1734" s="12"/>
      <c r="W1734" s="12"/>
      <c r="X1734" s="12"/>
      <c r="Y1734" s="12"/>
      <c r="Z1734" s="12"/>
    </row>
    <row r="1735" ht="15.0" customHeight="1">
      <c r="A1735" s="349"/>
      <c r="B1735" s="350"/>
      <c r="C1735" s="12"/>
      <c r="D1735" s="12"/>
      <c r="E1735" s="12"/>
      <c r="F1735" s="12"/>
      <c r="G1735" s="12"/>
      <c r="H1735" s="12"/>
      <c r="I1735" s="12"/>
      <c r="J1735" s="12"/>
      <c r="K1735" s="12"/>
      <c r="L1735" s="12"/>
      <c r="M1735" s="12"/>
      <c r="N1735" s="12"/>
      <c r="O1735" s="12"/>
      <c r="P1735" s="12"/>
      <c r="Q1735" s="12"/>
      <c r="R1735" s="12"/>
      <c r="S1735" s="12"/>
      <c r="T1735" s="12"/>
      <c r="U1735" s="12"/>
      <c r="V1735" s="12"/>
      <c r="W1735" s="12"/>
      <c r="X1735" s="12"/>
      <c r="Y1735" s="12"/>
      <c r="Z1735" s="12"/>
    </row>
    <row r="1736" ht="15.0" customHeight="1">
      <c r="A1736" s="298" t="s">
        <v>1644</v>
      </c>
      <c r="B1736" s="350"/>
      <c r="C1736" s="12"/>
      <c r="D1736" s="12"/>
      <c r="E1736" s="12"/>
      <c r="F1736" s="12"/>
      <c r="G1736" s="12"/>
      <c r="H1736" s="12"/>
      <c r="I1736" s="12"/>
      <c r="J1736" s="12"/>
      <c r="K1736" s="12"/>
      <c r="L1736" s="12"/>
      <c r="M1736" s="12"/>
      <c r="N1736" s="12"/>
      <c r="O1736" s="12"/>
      <c r="P1736" s="12"/>
      <c r="Q1736" s="12"/>
      <c r="R1736" s="12"/>
      <c r="S1736" s="12"/>
      <c r="T1736" s="12"/>
      <c r="U1736" s="12"/>
      <c r="V1736" s="12"/>
      <c r="W1736" s="12"/>
      <c r="X1736" s="12"/>
      <c r="Y1736" s="12"/>
      <c r="Z1736" s="12"/>
    </row>
    <row r="1737" ht="15.0" customHeight="1">
      <c r="A1737" s="349"/>
      <c r="B1737" s="350"/>
      <c r="C1737" s="12"/>
      <c r="D1737" s="12"/>
      <c r="E1737" s="12"/>
      <c r="F1737" s="12"/>
      <c r="G1737" s="12"/>
      <c r="H1737" s="12"/>
      <c r="I1737" s="12"/>
      <c r="J1737" s="12"/>
      <c r="K1737" s="12"/>
      <c r="L1737" s="12"/>
      <c r="M1737" s="12"/>
      <c r="N1737" s="12"/>
      <c r="O1737" s="12"/>
      <c r="P1737" s="12"/>
      <c r="Q1737" s="12"/>
      <c r="R1737" s="12"/>
      <c r="S1737" s="12"/>
      <c r="T1737" s="12"/>
      <c r="U1737" s="12"/>
      <c r="V1737" s="12"/>
      <c r="W1737" s="12"/>
      <c r="X1737" s="12"/>
      <c r="Y1737" s="12"/>
      <c r="Z1737" s="12"/>
    </row>
    <row r="1738" ht="15.0" customHeight="1">
      <c r="A1738" s="171" t="s">
        <v>1916</v>
      </c>
      <c r="B1738" s="171">
        <v>1.0</v>
      </c>
      <c r="C1738" s="171">
        <v>2.0</v>
      </c>
      <c r="D1738" s="171">
        <v>3.0</v>
      </c>
      <c r="E1738" s="171">
        <v>4.0</v>
      </c>
      <c r="F1738" s="171">
        <v>5.0</v>
      </c>
      <c r="G1738" s="171">
        <v>6.0</v>
      </c>
      <c r="H1738" s="171">
        <v>7.0</v>
      </c>
      <c r="I1738" s="171">
        <v>8.0</v>
      </c>
      <c r="J1738" s="171">
        <v>9.0</v>
      </c>
      <c r="K1738" s="171">
        <v>10.0</v>
      </c>
      <c r="L1738" s="171">
        <v>11.0</v>
      </c>
      <c r="M1738" s="12"/>
      <c r="N1738" s="12"/>
      <c r="O1738" s="12"/>
      <c r="P1738" s="12"/>
      <c r="Q1738" s="12"/>
      <c r="R1738" s="12"/>
      <c r="S1738" s="12"/>
      <c r="T1738" s="12"/>
      <c r="U1738" s="12"/>
      <c r="V1738" s="12"/>
      <c r="W1738" s="12"/>
      <c r="X1738" s="12"/>
      <c r="Y1738" s="12"/>
      <c r="Z1738" s="12"/>
    </row>
    <row r="1739" ht="15.0" customHeight="1">
      <c r="A1739" s="322">
        <v>0.0</v>
      </c>
      <c r="B1739" s="113">
        <v>0.06</v>
      </c>
      <c r="C1739" s="113">
        <v>0.06</v>
      </c>
      <c r="D1739" s="113">
        <v>0.06</v>
      </c>
      <c r="E1739" s="113">
        <v>0.06</v>
      </c>
      <c r="F1739" s="113">
        <v>0.06</v>
      </c>
      <c r="G1739" s="113">
        <v>0.06</v>
      </c>
      <c r="H1739" s="113">
        <v>0.06</v>
      </c>
      <c r="I1739" s="113">
        <v>0.06</v>
      </c>
      <c r="J1739" s="113">
        <v>0.06</v>
      </c>
      <c r="K1739" s="113">
        <v>0.06</v>
      </c>
      <c r="L1739" s="355">
        <v>0.025</v>
      </c>
      <c r="M1739" s="12"/>
      <c r="N1739" s="12"/>
      <c r="O1739" s="12"/>
      <c r="P1739" s="12"/>
      <c r="Q1739" s="12"/>
      <c r="R1739" s="12"/>
      <c r="S1739" s="12"/>
      <c r="T1739" s="12"/>
      <c r="U1739" s="12"/>
      <c r="V1739" s="12"/>
      <c r="W1739" s="12"/>
      <c r="X1739" s="12"/>
      <c r="Y1739" s="12"/>
      <c r="Z1739" s="12"/>
    </row>
    <row r="1740" ht="15.0" customHeight="1">
      <c r="A1740" s="352">
        <v>30000.0</v>
      </c>
      <c r="B1740" s="113">
        <v>0.055</v>
      </c>
      <c r="C1740" s="113">
        <v>0.055</v>
      </c>
      <c r="D1740" s="113">
        <v>0.055</v>
      </c>
      <c r="E1740" s="113">
        <v>0.055</v>
      </c>
      <c r="F1740" s="113">
        <v>0.055</v>
      </c>
      <c r="G1740" s="113">
        <v>0.055</v>
      </c>
      <c r="H1740" s="113">
        <v>0.055</v>
      </c>
      <c r="I1740" s="113">
        <v>0.055</v>
      </c>
      <c r="J1740" s="113">
        <v>0.055</v>
      </c>
      <c r="K1740" s="113">
        <v>0.055</v>
      </c>
      <c r="L1740" s="355">
        <v>0.025</v>
      </c>
      <c r="M1740" s="12"/>
      <c r="N1740" s="12"/>
      <c r="O1740" s="12"/>
      <c r="P1740" s="12"/>
      <c r="Q1740" s="12"/>
      <c r="R1740" s="12"/>
      <c r="S1740" s="12"/>
      <c r="T1740" s="12"/>
      <c r="U1740" s="12"/>
      <c r="V1740" s="12"/>
      <c r="W1740" s="12"/>
      <c r="X1740" s="12"/>
      <c r="Y1740" s="12"/>
      <c r="Z1740" s="12"/>
    </row>
    <row r="1741" ht="15.0" customHeight="1">
      <c r="A1741" s="352">
        <v>100000.0</v>
      </c>
      <c r="B1741" s="113">
        <v>0.05</v>
      </c>
      <c r="C1741" s="113">
        <v>0.05</v>
      </c>
      <c r="D1741" s="113">
        <v>0.05</v>
      </c>
      <c r="E1741" s="113">
        <v>0.05</v>
      </c>
      <c r="F1741" s="113">
        <v>0.05</v>
      </c>
      <c r="G1741" s="113">
        <v>0.05</v>
      </c>
      <c r="H1741" s="113">
        <v>0.05</v>
      </c>
      <c r="I1741" s="113">
        <v>0.05</v>
      </c>
      <c r="J1741" s="113">
        <v>0.05</v>
      </c>
      <c r="K1741" s="113">
        <v>0.05</v>
      </c>
      <c r="L1741" s="355">
        <v>0.02</v>
      </c>
      <c r="M1741" s="12"/>
      <c r="N1741" s="12"/>
      <c r="O1741" s="12"/>
      <c r="P1741" s="12"/>
      <c r="Q1741" s="12"/>
      <c r="R1741" s="12"/>
      <c r="S1741" s="12"/>
      <c r="T1741" s="12"/>
      <c r="U1741" s="12"/>
      <c r="V1741" s="12"/>
      <c r="W1741" s="12"/>
      <c r="X1741" s="12"/>
      <c r="Y1741" s="12"/>
      <c r="Z1741" s="12"/>
    </row>
    <row r="1742" ht="15.0" customHeight="1">
      <c r="A1742" s="349"/>
      <c r="B1742" s="350"/>
      <c r="C1742" s="12"/>
      <c r="D1742" s="12"/>
      <c r="E1742" s="12"/>
      <c r="F1742" s="12"/>
      <c r="G1742" s="12"/>
      <c r="H1742" s="12"/>
      <c r="I1742" s="12"/>
      <c r="J1742" s="12"/>
      <c r="K1742" s="12"/>
      <c r="L1742" s="12"/>
      <c r="M1742" s="12"/>
      <c r="N1742" s="12"/>
      <c r="O1742" s="12"/>
      <c r="P1742" s="12"/>
      <c r="Q1742" s="12"/>
      <c r="R1742" s="12"/>
      <c r="S1742" s="12"/>
      <c r="T1742" s="12"/>
      <c r="U1742" s="12"/>
      <c r="V1742" s="12"/>
      <c r="W1742" s="12"/>
      <c r="X1742" s="12"/>
      <c r="Y1742" s="12"/>
      <c r="Z1742" s="12"/>
    </row>
    <row r="1743" ht="15.0" customHeight="1">
      <c r="A1743" s="298" t="s">
        <v>1648</v>
      </c>
      <c r="B1743" s="350"/>
      <c r="C1743" s="12"/>
      <c r="D1743" s="12"/>
      <c r="E1743" s="12"/>
      <c r="F1743" s="12"/>
      <c r="G1743" s="12"/>
      <c r="H1743" s="12"/>
      <c r="I1743" s="12"/>
      <c r="J1743" s="12"/>
      <c r="K1743" s="12"/>
      <c r="L1743" s="12"/>
      <c r="M1743" s="12"/>
      <c r="N1743" s="12"/>
      <c r="O1743" s="12"/>
      <c r="P1743" s="12"/>
      <c r="Q1743" s="12"/>
      <c r="R1743" s="12"/>
      <c r="S1743" s="12"/>
      <c r="T1743" s="12"/>
      <c r="U1743" s="12"/>
      <c r="V1743" s="12"/>
      <c r="W1743" s="12"/>
      <c r="X1743" s="12"/>
      <c r="Y1743" s="12"/>
      <c r="Z1743" s="12"/>
    </row>
    <row r="1744" ht="15.0" customHeight="1">
      <c r="A1744" s="349"/>
      <c r="B1744" s="350"/>
      <c r="C1744" s="12"/>
      <c r="D1744" s="12"/>
      <c r="E1744" s="12"/>
      <c r="F1744" s="12"/>
      <c r="G1744" s="12"/>
      <c r="H1744" s="12"/>
      <c r="I1744" s="12"/>
      <c r="J1744" s="12"/>
      <c r="K1744" s="12"/>
      <c r="L1744" s="12"/>
      <c r="M1744" s="12"/>
      <c r="N1744" s="12"/>
      <c r="O1744" s="12"/>
      <c r="P1744" s="12"/>
      <c r="Q1744" s="12"/>
      <c r="R1744" s="12"/>
      <c r="S1744" s="12"/>
      <c r="T1744" s="12"/>
      <c r="U1744" s="12"/>
      <c r="V1744" s="12"/>
      <c r="W1744" s="12"/>
      <c r="X1744" s="12"/>
      <c r="Y1744" s="12"/>
      <c r="Z1744" s="12"/>
    </row>
    <row r="1745" ht="15.0" customHeight="1">
      <c r="A1745" s="291" t="s">
        <v>1917</v>
      </c>
      <c r="B1745" s="291" t="s">
        <v>1918</v>
      </c>
      <c r="C1745" s="12"/>
      <c r="D1745" s="12"/>
      <c r="E1745" s="12"/>
      <c r="F1745" s="12"/>
      <c r="G1745" s="12"/>
      <c r="H1745" s="12"/>
      <c r="I1745" s="12"/>
      <c r="J1745" s="12"/>
      <c r="K1745" s="12"/>
      <c r="L1745" s="12"/>
      <c r="M1745" s="12"/>
      <c r="N1745" s="12"/>
      <c r="O1745" s="12"/>
      <c r="P1745" s="12"/>
      <c r="Q1745" s="12"/>
      <c r="R1745" s="12"/>
      <c r="S1745" s="12"/>
      <c r="T1745" s="12"/>
      <c r="U1745" s="12"/>
      <c r="V1745" s="12"/>
      <c r="W1745" s="12"/>
      <c r="X1745" s="12"/>
      <c r="Y1745" s="12"/>
      <c r="Z1745" s="12"/>
    </row>
    <row r="1746" ht="15.0" customHeight="1">
      <c r="A1746" s="332">
        <v>1.0</v>
      </c>
      <c r="B1746" s="351">
        <v>0.2</v>
      </c>
      <c r="C1746" s="12"/>
      <c r="D1746" s="12"/>
      <c r="E1746" s="12"/>
      <c r="F1746" s="12"/>
      <c r="G1746" s="12"/>
      <c r="H1746" s="12"/>
      <c r="I1746" s="12"/>
      <c r="J1746" s="12"/>
      <c r="K1746" s="12"/>
      <c r="L1746" s="12"/>
      <c r="M1746" s="12"/>
      <c r="N1746" s="12"/>
      <c r="O1746" s="12"/>
      <c r="P1746" s="12"/>
      <c r="Q1746" s="12"/>
      <c r="R1746" s="12"/>
      <c r="S1746" s="12"/>
      <c r="T1746" s="12"/>
      <c r="U1746" s="12"/>
      <c r="V1746" s="12"/>
      <c r="W1746" s="12"/>
      <c r="X1746" s="12"/>
      <c r="Y1746" s="12"/>
      <c r="Z1746" s="12"/>
    </row>
    <row r="1747" ht="15.0" customHeight="1">
      <c r="A1747" s="332">
        <v>2.0</v>
      </c>
      <c r="B1747" s="351">
        <v>0.02</v>
      </c>
      <c r="C1747" s="12"/>
      <c r="D1747" s="12"/>
      <c r="E1747" s="12"/>
      <c r="F1747" s="12"/>
      <c r="G1747" s="12"/>
      <c r="H1747" s="12"/>
      <c r="I1747" s="12"/>
      <c r="J1747" s="12"/>
      <c r="K1747" s="12"/>
      <c r="L1747" s="12"/>
      <c r="M1747" s="12"/>
      <c r="N1747" s="12"/>
      <c r="O1747" s="12"/>
      <c r="P1747" s="12"/>
      <c r="Q1747" s="12"/>
      <c r="R1747" s="12"/>
      <c r="S1747" s="12"/>
      <c r="T1747" s="12"/>
      <c r="U1747" s="12"/>
      <c r="V1747" s="12"/>
      <c r="W1747" s="12"/>
      <c r="X1747" s="12"/>
      <c r="Y1747" s="12"/>
      <c r="Z1747" s="12"/>
    </row>
    <row r="1748" ht="15.0" customHeight="1">
      <c r="A1748" s="332">
        <v>3.0</v>
      </c>
      <c r="B1748" s="351">
        <v>0.02</v>
      </c>
      <c r="C1748" s="12"/>
      <c r="D1748" s="12"/>
      <c r="E1748" s="12"/>
      <c r="F1748" s="12"/>
      <c r="G1748" s="12"/>
      <c r="H1748" s="12"/>
      <c r="I1748" s="12"/>
      <c r="J1748" s="12"/>
      <c r="K1748" s="12"/>
      <c r="L1748" s="12"/>
      <c r="M1748" s="12"/>
      <c r="N1748" s="12"/>
      <c r="O1748" s="12"/>
      <c r="P1748" s="12"/>
      <c r="Q1748" s="12"/>
      <c r="R1748" s="12"/>
      <c r="S1748" s="12"/>
      <c r="T1748" s="12"/>
      <c r="U1748" s="12"/>
      <c r="V1748" s="12"/>
      <c r="W1748" s="12"/>
      <c r="X1748" s="12"/>
      <c r="Y1748" s="12"/>
      <c r="Z1748" s="12"/>
    </row>
    <row r="1749" ht="15.0" customHeight="1">
      <c r="A1749" s="332">
        <v>4.0</v>
      </c>
      <c r="B1749" s="351">
        <v>0.02</v>
      </c>
      <c r="C1749" s="12"/>
      <c r="D1749" s="12"/>
      <c r="E1749" s="12"/>
      <c r="F1749" s="12"/>
      <c r="G1749" s="12"/>
      <c r="H1749" s="12"/>
      <c r="I1749" s="12"/>
      <c r="J1749" s="12"/>
      <c r="K1749" s="12"/>
      <c r="L1749" s="12"/>
      <c r="M1749" s="12"/>
      <c r="N1749" s="12"/>
      <c r="O1749" s="12"/>
      <c r="P1749" s="12"/>
      <c r="Q1749" s="12"/>
      <c r="R1749" s="12"/>
      <c r="S1749" s="12"/>
      <c r="T1749" s="12"/>
      <c r="U1749" s="12"/>
      <c r="V1749" s="12"/>
      <c r="W1749" s="12"/>
      <c r="X1749" s="12"/>
      <c r="Y1749" s="12"/>
      <c r="Z1749" s="12"/>
    </row>
    <row r="1750" ht="15.0" customHeight="1">
      <c r="A1750" s="332">
        <v>5.0</v>
      </c>
      <c r="B1750" s="351">
        <v>0.02</v>
      </c>
      <c r="C1750" s="12"/>
      <c r="D1750" s="12"/>
      <c r="E1750" s="12"/>
      <c r="F1750" s="12"/>
      <c r="G1750" s="12"/>
      <c r="H1750" s="12"/>
      <c r="I1750" s="12"/>
      <c r="J1750" s="12"/>
      <c r="K1750" s="12"/>
      <c r="L1750" s="12"/>
      <c r="M1750" s="12"/>
      <c r="N1750" s="12"/>
      <c r="O1750" s="12"/>
      <c r="P1750" s="12"/>
      <c r="Q1750" s="12"/>
      <c r="R1750" s="12"/>
      <c r="S1750" s="12"/>
      <c r="T1750" s="12"/>
      <c r="U1750" s="12"/>
      <c r="V1750" s="12"/>
      <c r="W1750" s="12"/>
      <c r="X1750" s="12"/>
      <c r="Y1750" s="12"/>
      <c r="Z1750" s="12"/>
    </row>
    <row r="1751" ht="15.0" customHeight="1">
      <c r="A1751" s="171">
        <v>6.0</v>
      </c>
      <c r="B1751" s="351">
        <v>0.02</v>
      </c>
      <c r="C1751" s="12"/>
      <c r="D1751" s="12"/>
      <c r="E1751" s="12"/>
      <c r="F1751" s="12"/>
      <c r="G1751" s="12"/>
      <c r="H1751" s="12"/>
      <c r="I1751" s="12"/>
      <c r="J1751" s="12"/>
      <c r="K1751" s="12"/>
      <c r="L1751" s="12"/>
      <c r="M1751" s="12"/>
      <c r="N1751" s="12"/>
      <c r="O1751" s="12"/>
      <c r="P1751" s="12"/>
      <c r="Q1751" s="12"/>
      <c r="R1751" s="12"/>
      <c r="S1751" s="12"/>
      <c r="T1751" s="12"/>
      <c r="U1751" s="12"/>
      <c r="V1751" s="12"/>
      <c r="W1751" s="12"/>
      <c r="X1751" s="12"/>
      <c r="Y1751" s="12"/>
      <c r="Z1751" s="12"/>
    </row>
    <row r="1752" ht="15.0" customHeight="1">
      <c r="A1752" s="332">
        <v>7.0</v>
      </c>
      <c r="B1752" s="351">
        <v>0.02</v>
      </c>
      <c r="C1752" s="12"/>
      <c r="D1752" s="12"/>
      <c r="E1752" s="12"/>
      <c r="F1752" s="12"/>
      <c r="G1752" s="12"/>
      <c r="H1752" s="12"/>
      <c r="I1752" s="12"/>
      <c r="J1752" s="12"/>
      <c r="K1752" s="12"/>
      <c r="L1752" s="12"/>
      <c r="M1752" s="12"/>
      <c r="N1752" s="12"/>
      <c r="O1752" s="12"/>
      <c r="P1752" s="12"/>
      <c r="Q1752" s="12"/>
      <c r="R1752" s="12"/>
      <c r="S1752" s="12"/>
      <c r="T1752" s="12"/>
      <c r="U1752" s="12"/>
      <c r="V1752" s="12"/>
      <c r="W1752" s="12"/>
      <c r="X1752" s="12"/>
      <c r="Y1752" s="12"/>
      <c r="Z1752" s="12"/>
    </row>
    <row r="1753" ht="15.0" customHeight="1">
      <c r="A1753" s="171">
        <v>8.0</v>
      </c>
      <c r="B1753" s="351">
        <v>0.02</v>
      </c>
      <c r="C1753" s="12"/>
      <c r="D1753" s="12"/>
      <c r="E1753" s="12"/>
      <c r="F1753" s="12"/>
      <c r="G1753" s="12"/>
      <c r="H1753" s="12"/>
      <c r="I1753" s="12"/>
      <c r="J1753" s="12"/>
      <c r="K1753" s="12"/>
      <c r="L1753" s="12"/>
      <c r="M1753" s="12"/>
      <c r="N1753" s="12"/>
      <c r="O1753" s="12"/>
      <c r="P1753" s="12"/>
      <c r="Q1753" s="12"/>
      <c r="R1753" s="12"/>
      <c r="S1753" s="12"/>
      <c r="T1753" s="12"/>
      <c r="U1753" s="12"/>
      <c r="V1753" s="12"/>
      <c r="W1753" s="12"/>
      <c r="X1753" s="12"/>
      <c r="Y1753" s="12"/>
      <c r="Z1753" s="12"/>
    </row>
    <row r="1754" ht="15.0" customHeight="1">
      <c r="A1754" s="332">
        <v>9.0</v>
      </c>
      <c r="B1754" s="351">
        <v>0.02</v>
      </c>
      <c r="C1754" s="12"/>
      <c r="D1754" s="12"/>
      <c r="E1754" s="12"/>
      <c r="F1754" s="12"/>
      <c r="G1754" s="12"/>
      <c r="H1754" s="12"/>
      <c r="I1754" s="12"/>
      <c r="J1754" s="12"/>
      <c r="K1754" s="12"/>
      <c r="L1754" s="12"/>
      <c r="M1754" s="12"/>
      <c r="N1754" s="12"/>
      <c r="O1754" s="12"/>
      <c r="P1754" s="12"/>
      <c r="Q1754" s="12"/>
      <c r="R1754" s="12"/>
      <c r="S1754" s="12"/>
      <c r="T1754" s="12"/>
      <c r="U1754" s="12"/>
      <c r="V1754" s="12"/>
      <c r="W1754" s="12"/>
      <c r="X1754" s="12"/>
      <c r="Y1754" s="12"/>
      <c r="Z1754" s="12"/>
    </row>
    <row r="1755" ht="15.0" customHeight="1">
      <c r="A1755" s="171">
        <v>10.0</v>
      </c>
      <c r="B1755" s="351">
        <v>0.02</v>
      </c>
      <c r="C1755" s="12"/>
      <c r="D1755" s="12"/>
      <c r="E1755" s="12"/>
      <c r="F1755" s="12"/>
      <c r="G1755" s="12"/>
      <c r="H1755" s="12"/>
      <c r="I1755" s="12"/>
      <c r="J1755" s="12"/>
      <c r="K1755" s="12"/>
      <c r="L1755" s="12"/>
      <c r="M1755" s="12"/>
      <c r="N1755" s="12"/>
      <c r="O1755" s="12"/>
      <c r="P1755" s="12"/>
      <c r="Q1755" s="12"/>
      <c r="R1755" s="12"/>
      <c r="S1755" s="12"/>
      <c r="T1755" s="12"/>
      <c r="U1755" s="12"/>
      <c r="V1755" s="12"/>
      <c r="W1755" s="12"/>
      <c r="X1755" s="12"/>
      <c r="Y1755" s="12"/>
      <c r="Z1755" s="12"/>
    </row>
    <row r="1756" ht="15.0" customHeight="1">
      <c r="A1756" s="332">
        <v>11.0</v>
      </c>
      <c r="B1756" s="351">
        <v>0.01</v>
      </c>
      <c r="C1756" s="12"/>
      <c r="D1756" s="12"/>
      <c r="E1756" s="12"/>
      <c r="F1756" s="12"/>
      <c r="G1756" s="12"/>
      <c r="H1756" s="12"/>
      <c r="I1756" s="12"/>
      <c r="J1756" s="12"/>
      <c r="K1756" s="12"/>
      <c r="L1756" s="12"/>
      <c r="M1756" s="12"/>
      <c r="N1756" s="12"/>
      <c r="O1756" s="12"/>
      <c r="P1756" s="12"/>
      <c r="Q1756" s="12"/>
      <c r="R1756" s="12"/>
      <c r="S1756" s="12"/>
      <c r="T1756" s="12"/>
      <c r="U1756" s="12"/>
      <c r="V1756" s="12"/>
      <c r="W1756" s="12"/>
      <c r="X1756" s="12"/>
      <c r="Y1756" s="12"/>
      <c r="Z1756" s="12"/>
    </row>
    <row r="1757" ht="15.0" customHeight="1">
      <c r="A1757" s="349"/>
      <c r="B1757" s="350"/>
      <c r="C1757" s="12"/>
      <c r="D1757" s="12"/>
      <c r="E1757" s="12"/>
      <c r="F1757" s="12"/>
      <c r="G1757" s="12"/>
      <c r="H1757" s="12"/>
      <c r="I1757" s="12"/>
      <c r="J1757" s="12"/>
      <c r="K1757" s="12"/>
      <c r="L1757" s="12"/>
      <c r="M1757" s="12"/>
      <c r="N1757" s="12"/>
      <c r="O1757" s="12"/>
      <c r="P1757" s="12"/>
      <c r="Q1757" s="12"/>
      <c r="R1757" s="12"/>
      <c r="S1757" s="12"/>
      <c r="T1757" s="12"/>
      <c r="U1757" s="12"/>
      <c r="V1757" s="12"/>
      <c r="W1757" s="12"/>
      <c r="X1757" s="12"/>
      <c r="Y1757" s="12"/>
      <c r="Z1757" s="12"/>
    </row>
    <row r="1758" ht="15.0" customHeight="1">
      <c r="A1758" s="298" t="s">
        <v>1652</v>
      </c>
      <c r="B1758" s="350"/>
      <c r="C1758" s="12"/>
      <c r="D1758" s="12"/>
      <c r="E1758" s="12"/>
      <c r="F1758" s="12"/>
      <c r="G1758" s="12"/>
      <c r="H1758" s="12"/>
      <c r="I1758" s="12"/>
      <c r="J1758" s="12"/>
      <c r="K1758" s="12"/>
      <c r="L1758" s="12"/>
      <c r="M1758" s="12"/>
      <c r="N1758" s="12"/>
      <c r="O1758" s="12"/>
      <c r="P1758" s="12"/>
      <c r="Q1758" s="12"/>
      <c r="R1758" s="12"/>
      <c r="S1758" s="12"/>
      <c r="T1758" s="12"/>
      <c r="U1758" s="12"/>
      <c r="V1758" s="12"/>
      <c r="W1758" s="12"/>
      <c r="X1758" s="12"/>
      <c r="Y1758" s="12"/>
      <c r="Z1758" s="12"/>
    </row>
    <row r="1759" ht="15.0" customHeight="1">
      <c r="A1759" s="349"/>
      <c r="B1759" s="350"/>
      <c r="C1759" s="12"/>
      <c r="D1759" s="12"/>
      <c r="E1759" s="12"/>
      <c r="F1759" s="12"/>
      <c r="G1759" s="12"/>
      <c r="H1759" s="12"/>
      <c r="I1759" s="12"/>
      <c r="J1759" s="12"/>
      <c r="K1759" s="12"/>
      <c r="L1759" s="12"/>
      <c r="M1759" s="12"/>
      <c r="N1759" s="12"/>
      <c r="O1759" s="12"/>
      <c r="P1759" s="12"/>
      <c r="Q1759" s="12"/>
      <c r="R1759" s="12"/>
      <c r="S1759" s="12"/>
      <c r="T1759" s="12"/>
      <c r="U1759" s="12"/>
      <c r="V1759" s="12"/>
      <c r="W1759" s="12"/>
      <c r="X1759" s="12"/>
      <c r="Y1759" s="12"/>
      <c r="Z1759" s="12"/>
    </row>
    <row r="1760" ht="15.0" customHeight="1">
      <c r="A1760" s="171" t="s">
        <v>1916</v>
      </c>
      <c r="B1760" s="171">
        <v>1.0</v>
      </c>
      <c r="C1760" s="12"/>
      <c r="D1760" s="12"/>
      <c r="E1760" s="12"/>
      <c r="F1760" s="12"/>
      <c r="G1760" s="12"/>
      <c r="H1760" s="12"/>
      <c r="I1760" s="12"/>
      <c r="J1760" s="12"/>
      <c r="K1760" s="12"/>
      <c r="L1760" s="12"/>
      <c r="M1760" s="12"/>
      <c r="N1760" s="12"/>
      <c r="O1760" s="12"/>
      <c r="P1760" s="12"/>
      <c r="Q1760" s="12"/>
      <c r="R1760" s="12"/>
      <c r="S1760" s="12"/>
      <c r="T1760" s="12"/>
      <c r="U1760" s="12"/>
      <c r="V1760" s="12"/>
      <c r="W1760" s="12"/>
      <c r="X1760" s="12"/>
      <c r="Y1760" s="12"/>
      <c r="Z1760" s="12"/>
    </row>
    <row r="1761" ht="15.0" customHeight="1">
      <c r="A1761" s="322">
        <v>0.0</v>
      </c>
      <c r="B1761" s="113">
        <v>0.035</v>
      </c>
      <c r="C1761" s="12"/>
      <c r="D1761" s="12"/>
      <c r="E1761" s="12"/>
      <c r="F1761" s="12"/>
      <c r="G1761" s="12"/>
      <c r="H1761" s="12"/>
      <c r="I1761" s="12"/>
      <c r="J1761" s="12"/>
      <c r="K1761" s="12"/>
      <c r="L1761" s="12"/>
      <c r="M1761" s="12"/>
      <c r="N1761" s="12"/>
      <c r="O1761" s="12"/>
      <c r="P1761" s="12"/>
      <c r="Q1761" s="12"/>
      <c r="R1761" s="12"/>
      <c r="S1761" s="12"/>
      <c r="T1761" s="12"/>
      <c r="U1761" s="12"/>
      <c r="V1761" s="12"/>
      <c r="W1761" s="12"/>
      <c r="X1761" s="12"/>
      <c r="Y1761" s="12"/>
      <c r="Z1761" s="12"/>
    </row>
    <row r="1762" ht="15.0" customHeight="1">
      <c r="A1762" s="352">
        <v>100000.0</v>
      </c>
      <c r="B1762" s="113">
        <v>0.03</v>
      </c>
      <c r="C1762" s="12"/>
      <c r="D1762" s="12"/>
      <c r="E1762" s="12"/>
      <c r="F1762" s="12"/>
      <c r="G1762" s="12"/>
      <c r="H1762" s="12"/>
      <c r="I1762" s="12"/>
      <c r="J1762" s="12"/>
      <c r="K1762" s="12"/>
      <c r="L1762" s="12"/>
      <c r="M1762" s="12"/>
      <c r="N1762" s="12"/>
      <c r="O1762" s="12"/>
      <c r="P1762" s="12"/>
      <c r="Q1762" s="12"/>
      <c r="R1762" s="12"/>
      <c r="S1762" s="12"/>
      <c r="T1762" s="12"/>
      <c r="U1762" s="12"/>
      <c r="V1762" s="12"/>
      <c r="W1762" s="12"/>
      <c r="X1762" s="12"/>
      <c r="Y1762" s="12"/>
      <c r="Z1762" s="12"/>
    </row>
    <row r="1763" ht="15.0" customHeight="1">
      <c r="A1763" s="349"/>
      <c r="B1763" s="350"/>
      <c r="C1763" s="12"/>
      <c r="D1763" s="12"/>
      <c r="E1763" s="12"/>
      <c r="F1763" s="12"/>
      <c r="G1763" s="12"/>
      <c r="H1763" s="12"/>
      <c r="I1763" s="12"/>
      <c r="J1763" s="12"/>
      <c r="K1763" s="12"/>
      <c r="L1763" s="12"/>
      <c r="M1763" s="12"/>
      <c r="N1763" s="12"/>
      <c r="O1763" s="12"/>
      <c r="P1763" s="12"/>
      <c r="Q1763" s="12"/>
      <c r="R1763" s="12"/>
      <c r="S1763" s="12"/>
      <c r="T1763" s="12"/>
      <c r="U1763" s="12"/>
      <c r="V1763" s="12"/>
      <c r="W1763" s="12"/>
      <c r="X1763" s="12"/>
      <c r="Y1763" s="12"/>
      <c r="Z1763" s="12"/>
    </row>
    <row r="1764" ht="15.0" customHeight="1">
      <c r="A1764" s="298" t="s">
        <v>1655</v>
      </c>
      <c r="B1764" s="350"/>
      <c r="C1764" s="12"/>
      <c r="D1764" s="12"/>
      <c r="E1764" s="12"/>
      <c r="F1764" s="12"/>
      <c r="G1764" s="12"/>
      <c r="H1764" s="12"/>
      <c r="I1764" s="12"/>
      <c r="J1764" s="12"/>
      <c r="K1764" s="12"/>
      <c r="L1764" s="12"/>
      <c r="M1764" s="12"/>
      <c r="N1764" s="12"/>
      <c r="O1764" s="12"/>
      <c r="P1764" s="12"/>
      <c r="Q1764" s="12"/>
      <c r="R1764" s="12"/>
      <c r="S1764" s="12"/>
      <c r="T1764" s="12"/>
      <c r="U1764" s="12"/>
      <c r="V1764" s="12"/>
      <c r="W1764" s="12"/>
      <c r="X1764" s="12"/>
      <c r="Y1764" s="12"/>
      <c r="Z1764" s="12"/>
    </row>
    <row r="1765" ht="15.0" customHeight="1">
      <c r="A1765" s="349"/>
      <c r="B1765" s="350"/>
      <c r="C1765" s="12"/>
      <c r="D1765" s="12"/>
      <c r="E1765" s="12"/>
      <c r="F1765" s="12"/>
      <c r="G1765" s="12"/>
      <c r="H1765" s="12"/>
      <c r="I1765" s="12"/>
      <c r="J1765" s="12"/>
      <c r="K1765" s="12"/>
      <c r="L1765" s="12"/>
      <c r="M1765" s="12"/>
      <c r="N1765" s="12"/>
      <c r="O1765" s="12"/>
      <c r="P1765" s="12"/>
      <c r="Q1765" s="12"/>
      <c r="R1765" s="12"/>
      <c r="S1765" s="12"/>
      <c r="T1765" s="12"/>
      <c r="U1765" s="12"/>
      <c r="V1765" s="12"/>
      <c r="W1765" s="12"/>
      <c r="X1765" s="12"/>
      <c r="Y1765" s="12"/>
      <c r="Z1765" s="12"/>
    </row>
    <row r="1766" ht="15.0" customHeight="1">
      <c r="A1766" s="171" t="s">
        <v>1916</v>
      </c>
      <c r="B1766" s="171">
        <v>1.0</v>
      </c>
      <c r="C1766" s="12"/>
      <c r="D1766" s="12"/>
      <c r="E1766" s="12"/>
      <c r="F1766" s="12"/>
      <c r="G1766" s="12"/>
      <c r="H1766" s="12"/>
      <c r="I1766" s="12"/>
      <c r="J1766" s="12"/>
      <c r="K1766" s="12"/>
      <c r="L1766" s="12"/>
      <c r="M1766" s="12"/>
      <c r="N1766" s="12"/>
      <c r="O1766" s="12"/>
      <c r="P1766" s="12"/>
      <c r="Q1766" s="12"/>
      <c r="R1766" s="12"/>
      <c r="S1766" s="12"/>
      <c r="T1766" s="12"/>
      <c r="U1766" s="12"/>
      <c r="V1766" s="12"/>
      <c r="W1766" s="12"/>
      <c r="X1766" s="12"/>
      <c r="Y1766" s="12"/>
      <c r="Z1766" s="12"/>
    </row>
    <row r="1767" ht="15.0" customHeight="1">
      <c r="A1767" s="322">
        <v>0.0</v>
      </c>
      <c r="B1767" s="113">
        <v>0.035</v>
      </c>
      <c r="C1767" s="12"/>
      <c r="D1767" s="12"/>
      <c r="E1767" s="12"/>
      <c r="F1767" s="12"/>
      <c r="G1767" s="12"/>
      <c r="H1767" s="12"/>
      <c r="I1767" s="12"/>
      <c r="J1767" s="12"/>
      <c r="K1767" s="12"/>
      <c r="L1767" s="12"/>
      <c r="M1767" s="12"/>
      <c r="N1767" s="12"/>
      <c r="O1767" s="12"/>
      <c r="P1767" s="12"/>
      <c r="Q1767" s="12"/>
      <c r="R1767" s="12"/>
      <c r="S1767" s="12"/>
      <c r="T1767" s="12"/>
      <c r="U1767" s="12"/>
      <c r="V1767" s="12"/>
      <c r="W1767" s="12"/>
      <c r="X1767" s="12"/>
      <c r="Y1767" s="12"/>
      <c r="Z1767" s="12"/>
    </row>
    <row r="1768" ht="15.0" customHeight="1">
      <c r="A1768" s="352">
        <v>100000.0</v>
      </c>
      <c r="B1768" s="113">
        <v>0.03</v>
      </c>
      <c r="C1768" s="12"/>
      <c r="D1768" s="12"/>
      <c r="E1768" s="12"/>
      <c r="F1768" s="12"/>
      <c r="G1768" s="12"/>
      <c r="H1768" s="12"/>
      <c r="I1768" s="12"/>
      <c r="J1768" s="12"/>
      <c r="K1768" s="12"/>
      <c r="L1768" s="12"/>
      <c r="M1768" s="12"/>
      <c r="N1768" s="12"/>
      <c r="O1768" s="12"/>
      <c r="P1768" s="12"/>
      <c r="Q1768" s="12"/>
      <c r="R1768" s="12"/>
      <c r="S1768" s="12"/>
      <c r="T1768" s="12"/>
      <c r="U1768" s="12"/>
      <c r="V1768" s="12"/>
      <c r="W1768" s="12"/>
      <c r="X1768" s="12"/>
      <c r="Y1768" s="12"/>
      <c r="Z1768" s="12"/>
    </row>
    <row r="1769" ht="15.0" customHeight="1">
      <c r="A1769" s="349"/>
      <c r="B1769" s="350"/>
      <c r="C1769" s="12"/>
      <c r="D1769" s="12"/>
      <c r="E1769" s="12"/>
      <c r="F1769" s="12"/>
      <c r="G1769" s="12"/>
      <c r="H1769" s="12"/>
      <c r="I1769" s="12"/>
      <c r="J1769" s="12"/>
      <c r="K1769" s="12"/>
      <c r="L1769" s="12"/>
      <c r="M1769" s="12"/>
      <c r="N1769" s="12"/>
      <c r="O1769" s="12"/>
      <c r="P1769" s="12"/>
      <c r="Q1769" s="12"/>
      <c r="R1769" s="12"/>
      <c r="S1769" s="12"/>
      <c r="T1769" s="12"/>
      <c r="U1769" s="12"/>
      <c r="V1769" s="12"/>
      <c r="W1769" s="12"/>
      <c r="X1769" s="12"/>
      <c r="Y1769" s="12"/>
      <c r="Z1769" s="12"/>
    </row>
    <row r="1770" ht="15.0" customHeight="1">
      <c r="A1770" s="358" t="s">
        <v>1658</v>
      </c>
      <c r="B1770" s="350"/>
      <c r="C1770" s="12"/>
      <c r="D1770" s="12"/>
      <c r="E1770" s="12"/>
      <c r="F1770" s="12"/>
      <c r="G1770" s="12"/>
      <c r="H1770" s="12"/>
      <c r="I1770" s="12"/>
      <c r="J1770" s="12"/>
      <c r="K1770" s="12"/>
      <c r="L1770" s="12"/>
      <c r="M1770" s="12"/>
      <c r="N1770" s="12"/>
      <c r="O1770" s="12"/>
      <c r="P1770" s="12"/>
      <c r="Q1770" s="12"/>
      <c r="R1770" s="12"/>
      <c r="S1770" s="12"/>
      <c r="T1770" s="12"/>
      <c r="U1770" s="12"/>
      <c r="V1770" s="12"/>
      <c r="W1770" s="12"/>
      <c r="X1770" s="12"/>
      <c r="Y1770" s="12"/>
      <c r="Z1770" s="12"/>
    </row>
    <row r="1771" ht="15.0" customHeight="1">
      <c r="A1771" s="349"/>
      <c r="B1771" s="350"/>
      <c r="C1771" s="12"/>
      <c r="D1771" s="12"/>
      <c r="E1771" s="12"/>
      <c r="F1771" s="12"/>
      <c r="G1771" s="12"/>
      <c r="H1771" s="12"/>
      <c r="I1771" s="12"/>
      <c r="J1771" s="12"/>
      <c r="K1771" s="12"/>
      <c r="L1771" s="12"/>
      <c r="M1771" s="12"/>
      <c r="N1771" s="12"/>
      <c r="O1771" s="12"/>
      <c r="P1771" s="12"/>
      <c r="Q1771" s="12"/>
      <c r="R1771" s="12"/>
      <c r="S1771" s="12"/>
      <c r="T1771" s="12"/>
      <c r="U1771" s="12"/>
      <c r="V1771" s="12"/>
      <c r="W1771" s="12"/>
      <c r="X1771" s="12"/>
      <c r="Y1771" s="12"/>
      <c r="Z1771" s="12"/>
    </row>
    <row r="1772" ht="15.0" customHeight="1">
      <c r="A1772" s="171" t="s">
        <v>1916</v>
      </c>
      <c r="B1772" s="171">
        <v>1.0</v>
      </c>
      <c r="C1772" s="171">
        <v>2.0</v>
      </c>
      <c r="D1772" s="171">
        <v>3.0</v>
      </c>
      <c r="E1772" s="171">
        <v>4.0</v>
      </c>
      <c r="F1772" s="171">
        <v>5.0</v>
      </c>
      <c r="G1772" s="171">
        <v>6.0</v>
      </c>
      <c r="H1772" s="171">
        <v>7.0</v>
      </c>
      <c r="I1772" s="171">
        <v>8.0</v>
      </c>
      <c r="J1772" s="171">
        <v>9.0</v>
      </c>
      <c r="K1772" s="171">
        <v>10.0</v>
      </c>
      <c r="L1772" s="171">
        <v>11.0</v>
      </c>
      <c r="M1772" s="171">
        <v>12.0</v>
      </c>
      <c r="N1772" s="171">
        <v>13.0</v>
      </c>
      <c r="O1772" s="171">
        <v>14.0</v>
      </c>
      <c r="P1772" s="171">
        <v>15.0</v>
      </c>
      <c r="Q1772" s="171">
        <v>16.0</v>
      </c>
      <c r="R1772" s="171">
        <v>17.0</v>
      </c>
      <c r="S1772" s="171">
        <v>18.0</v>
      </c>
      <c r="T1772" s="171">
        <v>19.0</v>
      </c>
      <c r="U1772" s="171">
        <v>20.0</v>
      </c>
      <c r="V1772" s="12"/>
      <c r="W1772" s="12"/>
      <c r="X1772" s="12"/>
      <c r="Y1772" s="12"/>
      <c r="Z1772" s="12"/>
    </row>
    <row r="1773" ht="15.0" customHeight="1">
      <c r="A1773" s="322">
        <v>0.0</v>
      </c>
      <c r="B1773" s="113">
        <f>IF(PT=10,30%,40%)</f>
        <v>0.3</v>
      </c>
      <c r="C1773" s="113">
        <v>0.1</v>
      </c>
      <c r="D1773" s="113">
        <v>0.09</v>
      </c>
      <c r="E1773" s="113">
        <v>0.05</v>
      </c>
      <c r="F1773" s="113">
        <v>0.05</v>
      </c>
      <c r="G1773" s="113">
        <f>IF(PT=10,2.5%,4%)</f>
        <v>0.025</v>
      </c>
      <c r="H1773" s="113">
        <f>IF(PT=10,2.5%,4%)</f>
        <v>0.025</v>
      </c>
      <c r="I1773" s="113">
        <f>IF(PT=10,2.5%,4%)</f>
        <v>0.025</v>
      </c>
      <c r="J1773" s="113">
        <f>IF(PT=10,2.5%,4%)</f>
        <v>0.025</v>
      </c>
      <c r="K1773" s="113">
        <f>IF(PT=10,2.5%,4%)</f>
        <v>0.025</v>
      </c>
      <c r="L1773" s="355">
        <v>0.025</v>
      </c>
      <c r="M1773" s="355">
        <v>0.025</v>
      </c>
      <c r="N1773" s="355">
        <v>0.025</v>
      </c>
      <c r="O1773" s="355">
        <v>0.025</v>
      </c>
      <c r="P1773" s="355">
        <v>0.025</v>
      </c>
      <c r="Q1773" s="355">
        <v>0.02</v>
      </c>
      <c r="R1773" s="355">
        <v>0.02</v>
      </c>
      <c r="S1773" s="355">
        <v>0.02</v>
      </c>
      <c r="T1773" s="355">
        <v>0.02</v>
      </c>
      <c r="U1773" s="355">
        <v>0.02</v>
      </c>
      <c r="V1773" s="12"/>
      <c r="W1773" s="12"/>
      <c r="X1773" s="12"/>
      <c r="Y1773" s="12"/>
      <c r="Z1773" s="12"/>
    </row>
    <row r="1774" ht="15.0" customHeight="1">
      <c r="A1774" s="352">
        <v>200000.0</v>
      </c>
      <c r="B1774" s="113">
        <f>IF(PT=10,27%,35%)</f>
        <v>0.27</v>
      </c>
      <c r="C1774" s="113">
        <v>0.1</v>
      </c>
      <c r="D1774" s="113">
        <v>0.09</v>
      </c>
      <c r="E1774" s="113">
        <v>0.05</v>
      </c>
      <c r="F1774" s="113">
        <v>0.05</v>
      </c>
      <c r="G1774" s="113">
        <f>IF(PT=10,2.5%,4%)</f>
        <v>0.025</v>
      </c>
      <c r="H1774" s="113">
        <f>IF(PT=10,2.5%,4%)</f>
        <v>0.025</v>
      </c>
      <c r="I1774" s="113">
        <f>IF(PT=10,2.5%,4%)</f>
        <v>0.025</v>
      </c>
      <c r="J1774" s="113">
        <f>IF(PT=10,2.5%,4%)</f>
        <v>0.025</v>
      </c>
      <c r="K1774" s="113">
        <f>IF(PT=10,2.5%,4%)</f>
        <v>0.025</v>
      </c>
      <c r="L1774" s="355">
        <v>0.025</v>
      </c>
      <c r="M1774" s="355">
        <v>0.025</v>
      </c>
      <c r="N1774" s="355">
        <v>0.025</v>
      </c>
      <c r="O1774" s="355">
        <v>0.025</v>
      </c>
      <c r="P1774" s="355">
        <v>0.025</v>
      </c>
      <c r="Q1774" s="355">
        <v>0.02</v>
      </c>
      <c r="R1774" s="355">
        <v>0.02</v>
      </c>
      <c r="S1774" s="355">
        <v>0.02</v>
      </c>
      <c r="T1774" s="355">
        <v>0.02</v>
      </c>
      <c r="U1774" s="355">
        <v>0.02</v>
      </c>
      <c r="V1774" s="12"/>
      <c r="W1774" s="12"/>
      <c r="X1774" s="12"/>
      <c r="Y1774" s="12"/>
      <c r="Z1774" s="12"/>
    </row>
    <row r="1775" ht="15.0" customHeight="1">
      <c r="A1775" s="349"/>
      <c r="B1775" s="350"/>
      <c r="C1775" s="12"/>
      <c r="D1775" s="12"/>
      <c r="E1775" s="12"/>
      <c r="F1775" s="12"/>
      <c r="G1775" s="12"/>
      <c r="H1775" s="12"/>
      <c r="I1775" s="12"/>
      <c r="J1775" s="12"/>
      <c r="K1775" s="12"/>
      <c r="L1775" s="12"/>
      <c r="M1775" s="12"/>
      <c r="N1775" s="12"/>
      <c r="O1775" s="12"/>
      <c r="P1775" s="12"/>
      <c r="Q1775" s="12"/>
      <c r="R1775" s="12"/>
      <c r="S1775" s="12"/>
      <c r="T1775" s="12"/>
      <c r="U1775" s="12"/>
      <c r="V1775" s="12"/>
      <c r="W1775" s="12"/>
      <c r="X1775" s="12"/>
      <c r="Y1775" s="12"/>
      <c r="Z1775" s="12"/>
    </row>
    <row r="1776" ht="15.0" customHeight="1">
      <c r="A1776" s="298" t="s">
        <v>1666</v>
      </c>
      <c r="B1776" s="350"/>
      <c r="C1776" s="12"/>
      <c r="D1776" s="12"/>
      <c r="E1776" s="12"/>
      <c r="F1776" s="12"/>
      <c r="G1776" s="12"/>
      <c r="H1776" s="12"/>
      <c r="I1776" s="12"/>
      <c r="J1776" s="12"/>
      <c r="K1776" s="12"/>
      <c r="L1776" s="12"/>
      <c r="M1776" s="12"/>
      <c r="N1776" s="12"/>
      <c r="O1776" s="12"/>
      <c r="P1776" s="12"/>
      <c r="Q1776" s="12"/>
      <c r="R1776" s="12"/>
      <c r="S1776" s="12"/>
      <c r="T1776" s="12"/>
      <c r="U1776" s="12"/>
      <c r="V1776" s="12"/>
      <c r="W1776" s="12"/>
      <c r="X1776" s="12"/>
      <c r="Y1776" s="12"/>
      <c r="Z1776" s="12"/>
    </row>
    <row r="1777" ht="15.0" customHeight="1">
      <c r="A1777" s="349"/>
      <c r="B1777" s="350"/>
      <c r="C1777" s="12"/>
      <c r="D1777" s="12"/>
      <c r="E1777" s="12"/>
      <c r="F1777" s="12"/>
      <c r="G1777" s="12"/>
      <c r="H1777" s="12"/>
      <c r="I1777" s="12"/>
      <c r="J1777" s="12"/>
      <c r="K1777" s="12"/>
      <c r="L1777" s="12"/>
      <c r="M1777" s="12"/>
      <c r="N1777" s="12"/>
      <c r="O1777" s="12"/>
      <c r="P1777" s="12"/>
      <c r="Q1777" s="12"/>
      <c r="R1777" s="12"/>
      <c r="S1777" s="12"/>
      <c r="T1777" s="12"/>
      <c r="U1777" s="12"/>
      <c r="V1777" s="12"/>
      <c r="W1777" s="12"/>
      <c r="X1777" s="12"/>
      <c r="Y1777" s="12"/>
      <c r="Z1777" s="12"/>
    </row>
    <row r="1778" ht="15.0" customHeight="1">
      <c r="A1778" s="171" t="s">
        <v>1916</v>
      </c>
      <c r="B1778" s="171">
        <v>1.0</v>
      </c>
      <c r="C1778" s="171">
        <v>2.0</v>
      </c>
      <c r="D1778" s="171">
        <v>3.0</v>
      </c>
      <c r="E1778" s="171">
        <v>4.0</v>
      </c>
      <c r="F1778" s="171">
        <v>5.0</v>
      </c>
      <c r="G1778" s="171">
        <v>6.0</v>
      </c>
      <c r="H1778" s="171">
        <v>7.0</v>
      </c>
      <c r="I1778" s="171">
        <v>8.0</v>
      </c>
      <c r="J1778" s="171">
        <v>9.0</v>
      </c>
      <c r="K1778" s="171">
        <v>10.0</v>
      </c>
      <c r="L1778" s="171">
        <v>11.0</v>
      </c>
      <c r="M1778" s="12"/>
      <c r="N1778" s="12"/>
      <c r="O1778" s="12"/>
      <c r="P1778" s="12"/>
      <c r="Q1778" s="12"/>
      <c r="R1778" s="12"/>
      <c r="S1778" s="12"/>
      <c r="T1778" s="12"/>
      <c r="U1778" s="12"/>
      <c r="V1778" s="12"/>
      <c r="W1778" s="12"/>
      <c r="X1778" s="12"/>
      <c r="Y1778" s="12"/>
      <c r="Z1778" s="12"/>
    </row>
    <row r="1779" ht="15.0" customHeight="1">
      <c r="A1779" s="322">
        <v>0.0</v>
      </c>
      <c r="B1779" s="113">
        <f>IF(PT=10,20%,22%)</f>
        <v>0.2</v>
      </c>
      <c r="C1779" s="113">
        <f>IF(PT=10,4%,5%)</f>
        <v>0.04</v>
      </c>
      <c r="D1779" s="113">
        <f>IF(PT=10,4%,5%)</f>
        <v>0.04</v>
      </c>
      <c r="E1779" s="113">
        <f>IF(PT=10,3%,4%)</f>
        <v>0.03</v>
      </c>
      <c r="F1779" s="113">
        <f>IF(PT=10,3%,4%)</f>
        <v>0.03</v>
      </c>
      <c r="G1779" s="113">
        <f>IF(PT=10,2%,3%)</f>
        <v>0.02</v>
      </c>
      <c r="H1779" s="113">
        <f>IF(PT=10,2%,3%)</f>
        <v>0.02</v>
      </c>
      <c r="I1779" s="113">
        <f>IF(PT=10,2%,3%)</f>
        <v>0.02</v>
      </c>
      <c r="J1779" s="113">
        <f>IF(PT=10,2%,3%)</f>
        <v>0.02</v>
      </c>
      <c r="K1779" s="113">
        <f>IF(PT=10,2%,3%)</f>
        <v>0.02</v>
      </c>
      <c r="L1779" s="113">
        <v>0.02</v>
      </c>
      <c r="M1779" s="12"/>
      <c r="N1779" s="12"/>
      <c r="O1779" s="12"/>
      <c r="P1779" s="12"/>
      <c r="Q1779" s="12"/>
      <c r="R1779" s="12"/>
      <c r="S1779" s="12"/>
      <c r="T1779" s="12"/>
      <c r="U1779" s="12"/>
      <c r="V1779" s="12"/>
      <c r="W1779" s="12"/>
      <c r="X1779" s="12"/>
      <c r="Y1779" s="12"/>
      <c r="Z1779" s="12"/>
    </row>
    <row r="1780" ht="15.0" customHeight="1">
      <c r="A1780" s="352">
        <v>100000.0</v>
      </c>
      <c r="B1780" s="113">
        <f>IF(PT=10,18%,19%)</f>
        <v>0.18</v>
      </c>
      <c r="C1780" s="113">
        <f>IF(PT=10,4%,5%)</f>
        <v>0.04</v>
      </c>
      <c r="D1780" s="113">
        <f>IF(PT=10,4%,5%)</f>
        <v>0.04</v>
      </c>
      <c r="E1780" s="113">
        <f>IF(PT=10,3%,4%)</f>
        <v>0.03</v>
      </c>
      <c r="F1780" s="113">
        <f>IF(PT=10,3%,4%)</f>
        <v>0.03</v>
      </c>
      <c r="G1780" s="113">
        <f>IF(PT=10,2%,3%)</f>
        <v>0.02</v>
      </c>
      <c r="H1780" s="113">
        <f>IF(PT=10,2%,3%)</f>
        <v>0.02</v>
      </c>
      <c r="I1780" s="113">
        <f>IF(PT=10,2%,3%)</f>
        <v>0.02</v>
      </c>
      <c r="J1780" s="113">
        <f>IF(PT=10,2%,3%)</f>
        <v>0.02</v>
      </c>
      <c r="K1780" s="113">
        <f>IF(PT=10,2%,3%)</f>
        <v>0.02</v>
      </c>
      <c r="L1780" s="113">
        <v>0.02</v>
      </c>
      <c r="M1780" s="12"/>
      <c r="N1780" s="12"/>
      <c r="O1780" s="12"/>
      <c r="P1780" s="12"/>
      <c r="Q1780" s="12"/>
      <c r="R1780" s="12"/>
      <c r="S1780" s="12"/>
      <c r="T1780" s="12"/>
      <c r="U1780" s="12"/>
      <c r="V1780" s="12"/>
      <c r="W1780" s="12"/>
      <c r="X1780" s="12"/>
      <c r="Y1780" s="12"/>
      <c r="Z1780" s="12"/>
    </row>
    <row r="1781" ht="15.0" customHeight="1">
      <c r="A1781" s="352">
        <v>1000000.0</v>
      </c>
      <c r="B1781" s="113">
        <f>IF(PT=10,12%,14%)</f>
        <v>0.12</v>
      </c>
      <c r="C1781" s="113">
        <f>IF(PT=10,4%,5%)</f>
        <v>0.04</v>
      </c>
      <c r="D1781" s="113">
        <f>IF(PT=10,4%,5%)</f>
        <v>0.04</v>
      </c>
      <c r="E1781" s="113">
        <f>IF(PT=10,3%,4%)</f>
        <v>0.03</v>
      </c>
      <c r="F1781" s="113">
        <f>IF(PT=10,3%,4%)</f>
        <v>0.03</v>
      </c>
      <c r="G1781" s="113">
        <f>IF(PT=10,2%,3%)</f>
        <v>0.02</v>
      </c>
      <c r="H1781" s="113">
        <f>IF(PT=10,2%,3%)</f>
        <v>0.02</v>
      </c>
      <c r="I1781" s="113">
        <f>IF(PT=10,2%,3%)</f>
        <v>0.02</v>
      </c>
      <c r="J1781" s="113">
        <f>IF(PT=10,2%,3%)</f>
        <v>0.02</v>
      </c>
      <c r="K1781" s="113">
        <f>IF(PT=10,2%,3%)</f>
        <v>0.02</v>
      </c>
      <c r="L1781" s="113">
        <v>0.02</v>
      </c>
      <c r="M1781" s="12"/>
      <c r="N1781" s="12"/>
      <c r="O1781" s="12"/>
      <c r="P1781" s="12"/>
      <c r="Q1781" s="12"/>
      <c r="R1781" s="12"/>
      <c r="S1781" s="12"/>
      <c r="T1781" s="12"/>
      <c r="U1781" s="12"/>
      <c r="V1781" s="12"/>
      <c r="W1781" s="12"/>
      <c r="X1781" s="12"/>
      <c r="Y1781" s="12"/>
      <c r="Z1781" s="12"/>
    </row>
    <row r="1782" ht="15.0" customHeight="1">
      <c r="A1782" s="349"/>
      <c r="B1782" s="350"/>
      <c r="C1782" s="12"/>
      <c r="D1782" s="12"/>
      <c r="E1782" s="12"/>
      <c r="F1782" s="12"/>
      <c r="G1782" s="12"/>
      <c r="H1782" s="12"/>
      <c r="I1782" s="12"/>
      <c r="J1782" s="12"/>
      <c r="K1782" s="12"/>
      <c r="L1782" s="12"/>
      <c r="M1782" s="12"/>
      <c r="N1782" s="12"/>
      <c r="O1782" s="12"/>
      <c r="P1782" s="12"/>
      <c r="Q1782" s="12"/>
      <c r="R1782" s="12"/>
      <c r="S1782" s="12"/>
      <c r="T1782" s="12"/>
      <c r="U1782" s="12"/>
      <c r="V1782" s="12"/>
      <c r="W1782" s="12"/>
      <c r="X1782" s="12"/>
      <c r="Y1782" s="12"/>
      <c r="Z1782" s="12"/>
    </row>
    <row r="1783" ht="15.0" customHeight="1">
      <c r="A1783" s="298" t="s">
        <v>1670</v>
      </c>
      <c r="B1783" s="350"/>
      <c r="C1783" s="12"/>
      <c r="D1783" s="12"/>
      <c r="E1783" s="12"/>
      <c r="F1783" s="12"/>
      <c r="G1783" s="12"/>
      <c r="H1783" s="12"/>
      <c r="I1783" s="12"/>
      <c r="J1783" s="12"/>
      <c r="K1783" s="12"/>
      <c r="L1783" s="12"/>
      <c r="M1783" s="12"/>
      <c r="N1783" s="12"/>
      <c r="O1783" s="12"/>
      <c r="P1783" s="12"/>
      <c r="Q1783" s="12"/>
      <c r="R1783" s="12"/>
      <c r="S1783" s="12"/>
      <c r="T1783" s="12"/>
      <c r="U1783" s="12"/>
      <c r="V1783" s="12"/>
      <c r="W1783" s="12"/>
      <c r="X1783" s="12"/>
      <c r="Y1783" s="12"/>
      <c r="Z1783" s="12"/>
    </row>
    <row r="1784" ht="15.0" customHeight="1">
      <c r="A1784" s="349"/>
      <c r="B1784" s="350"/>
      <c r="C1784" s="12"/>
      <c r="D1784" s="12"/>
      <c r="E1784" s="12"/>
      <c r="F1784" s="12"/>
      <c r="G1784" s="12"/>
      <c r="H1784" s="12"/>
      <c r="I1784" s="12"/>
      <c r="J1784" s="12"/>
      <c r="K1784" s="12"/>
      <c r="L1784" s="12"/>
      <c r="M1784" s="12"/>
      <c r="N1784" s="12"/>
      <c r="O1784" s="12"/>
      <c r="P1784" s="12"/>
      <c r="Q1784" s="12"/>
      <c r="R1784" s="12"/>
      <c r="S1784" s="12"/>
      <c r="T1784" s="12"/>
      <c r="U1784" s="12"/>
      <c r="V1784" s="12"/>
      <c r="W1784" s="12"/>
      <c r="X1784" s="12"/>
      <c r="Y1784" s="12"/>
      <c r="Z1784" s="12"/>
    </row>
    <row r="1785" ht="15.0" customHeight="1">
      <c r="A1785" s="291" t="s">
        <v>1917</v>
      </c>
      <c r="B1785" s="291" t="s">
        <v>1918</v>
      </c>
      <c r="C1785" s="12"/>
      <c r="D1785" s="12"/>
      <c r="E1785" s="12"/>
      <c r="F1785" s="12"/>
      <c r="G1785" s="12"/>
      <c r="H1785" s="12"/>
      <c r="I1785" s="12"/>
      <c r="J1785" s="12"/>
      <c r="K1785" s="12"/>
      <c r="L1785" s="12"/>
      <c r="M1785" s="12"/>
      <c r="N1785" s="12"/>
      <c r="O1785" s="12"/>
      <c r="P1785" s="12"/>
      <c r="Q1785" s="12"/>
      <c r="R1785" s="12"/>
      <c r="S1785" s="12"/>
      <c r="T1785" s="12"/>
      <c r="U1785" s="12"/>
      <c r="V1785" s="12"/>
      <c r="W1785" s="12"/>
      <c r="X1785" s="12"/>
      <c r="Y1785" s="12"/>
      <c r="Z1785" s="12"/>
    </row>
    <row r="1786" ht="15.0" customHeight="1">
      <c r="A1786" s="332">
        <v>1.0</v>
      </c>
      <c r="B1786" s="351">
        <v>1.0</v>
      </c>
      <c r="C1786" s="12"/>
      <c r="D1786" s="12"/>
      <c r="E1786" s="12"/>
      <c r="F1786" s="12"/>
      <c r="G1786" s="12"/>
      <c r="H1786" s="12"/>
      <c r="I1786" s="12"/>
      <c r="J1786" s="12"/>
      <c r="K1786" s="12"/>
      <c r="L1786" s="12"/>
      <c r="M1786" s="12"/>
      <c r="N1786" s="12"/>
      <c r="O1786" s="12"/>
      <c r="P1786" s="12"/>
      <c r="Q1786" s="12"/>
      <c r="R1786" s="12"/>
      <c r="S1786" s="12"/>
      <c r="T1786" s="12"/>
      <c r="U1786" s="12"/>
      <c r="V1786" s="12"/>
      <c r="W1786" s="12"/>
      <c r="X1786" s="12"/>
      <c r="Y1786" s="12"/>
      <c r="Z1786" s="12"/>
    </row>
    <row r="1787" ht="15.0" customHeight="1">
      <c r="A1787" s="332">
        <v>2.0</v>
      </c>
      <c r="B1787" s="351">
        <v>0.0</v>
      </c>
      <c r="C1787" s="12"/>
      <c r="D1787" s="12"/>
      <c r="E1787" s="12"/>
      <c r="F1787" s="12"/>
      <c r="G1787" s="12"/>
      <c r="H1787" s="12"/>
      <c r="I1787" s="12"/>
      <c r="J1787" s="12"/>
      <c r="K1787" s="12"/>
      <c r="L1787" s="12"/>
      <c r="M1787" s="12"/>
      <c r="N1787" s="12"/>
      <c r="O1787" s="12"/>
      <c r="P1787" s="12"/>
      <c r="Q1787" s="12"/>
      <c r="R1787" s="12"/>
      <c r="S1787" s="12"/>
      <c r="T1787" s="12"/>
      <c r="U1787" s="12"/>
      <c r="V1787" s="12"/>
      <c r="W1787" s="12"/>
      <c r="X1787" s="12"/>
      <c r="Y1787" s="12"/>
      <c r="Z1787" s="12"/>
    </row>
    <row r="1788" ht="15.0" customHeight="1">
      <c r="A1788" s="349"/>
      <c r="B1788" s="350"/>
      <c r="C1788" s="12"/>
      <c r="D1788" s="12"/>
      <c r="E1788" s="12"/>
      <c r="F1788" s="12"/>
      <c r="G1788" s="12"/>
      <c r="H1788" s="12"/>
      <c r="I1788" s="12"/>
      <c r="J1788" s="12"/>
      <c r="K1788" s="12"/>
      <c r="L1788" s="12"/>
      <c r="M1788" s="12"/>
      <c r="N1788" s="12"/>
      <c r="O1788" s="12"/>
      <c r="P1788" s="12"/>
      <c r="Q1788" s="12"/>
      <c r="R1788" s="12"/>
      <c r="S1788" s="12"/>
      <c r="T1788" s="12"/>
      <c r="U1788" s="12"/>
      <c r="V1788" s="12"/>
      <c r="W1788" s="12"/>
      <c r="X1788" s="12"/>
      <c r="Y1788" s="12"/>
      <c r="Z1788" s="12"/>
    </row>
    <row r="1789" ht="15.0" customHeight="1">
      <c r="A1789" s="298" t="s">
        <v>1674</v>
      </c>
      <c r="B1789" s="350"/>
      <c r="C1789" s="12"/>
      <c r="D1789" s="12"/>
      <c r="E1789" s="12"/>
      <c r="F1789" s="12"/>
      <c r="G1789" s="12"/>
      <c r="H1789" s="12"/>
      <c r="I1789" s="12"/>
      <c r="J1789" s="12"/>
      <c r="K1789" s="12"/>
      <c r="L1789" s="12"/>
      <c r="M1789" s="12"/>
      <c r="N1789" s="12"/>
      <c r="O1789" s="12"/>
      <c r="P1789" s="12"/>
      <c r="Q1789" s="12"/>
      <c r="R1789" s="12"/>
      <c r="S1789" s="12"/>
      <c r="T1789" s="12"/>
      <c r="U1789" s="12"/>
      <c r="V1789" s="12"/>
      <c r="W1789" s="12"/>
      <c r="X1789" s="12"/>
      <c r="Y1789" s="12"/>
      <c r="Z1789" s="12"/>
    </row>
    <row r="1790" ht="15.0" customHeight="1">
      <c r="A1790" s="349"/>
      <c r="B1790" s="350"/>
      <c r="C1790" s="12"/>
      <c r="D1790" s="12"/>
      <c r="E1790" s="12"/>
      <c r="F1790" s="12"/>
      <c r="G1790" s="12"/>
      <c r="H1790" s="12"/>
      <c r="I1790" s="12"/>
      <c r="J1790" s="12"/>
      <c r="K1790" s="12"/>
      <c r="L1790" s="12"/>
      <c r="M1790" s="12"/>
      <c r="N1790" s="12"/>
      <c r="O1790" s="12"/>
      <c r="P1790" s="12"/>
      <c r="Q1790" s="12"/>
      <c r="R1790" s="12"/>
      <c r="S1790" s="12"/>
      <c r="T1790" s="12"/>
      <c r="U1790" s="12"/>
      <c r="V1790" s="12"/>
      <c r="W1790" s="12"/>
      <c r="X1790" s="12"/>
      <c r="Y1790" s="12"/>
      <c r="Z1790" s="12"/>
    </row>
    <row r="1791" ht="15.0" customHeight="1">
      <c r="A1791" s="291" t="s">
        <v>1917</v>
      </c>
      <c r="B1791" s="291" t="s">
        <v>1918</v>
      </c>
      <c r="C1791" s="12"/>
      <c r="D1791" s="12"/>
      <c r="E1791" s="12"/>
      <c r="F1791" s="12"/>
      <c r="G1791" s="12"/>
      <c r="H1791" s="12"/>
      <c r="I1791" s="12"/>
      <c r="J1791" s="12"/>
      <c r="K1791" s="12"/>
      <c r="L1791" s="12"/>
      <c r="M1791" s="12"/>
      <c r="N1791" s="12"/>
      <c r="O1791" s="12"/>
      <c r="P1791" s="12"/>
      <c r="Q1791" s="12"/>
      <c r="R1791" s="12"/>
      <c r="S1791" s="12"/>
      <c r="T1791" s="12"/>
      <c r="U1791" s="12"/>
      <c r="V1791" s="12"/>
      <c r="W1791" s="12"/>
      <c r="X1791" s="12"/>
      <c r="Y1791" s="12"/>
      <c r="Z1791" s="12"/>
    </row>
    <row r="1792" ht="15.0" customHeight="1">
      <c r="A1792" s="332">
        <v>1.0</v>
      </c>
      <c r="B1792" s="351">
        <v>0.15</v>
      </c>
      <c r="C1792" s="12"/>
      <c r="D1792" s="12"/>
      <c r="E1792" s="12"/>
      <c r="F1792" s="12"/>
      <c r="G1792" s="12"/>
      <c r="H1792" s="12"/>
      <c r="I1792" s="12"/>
      <c r="J1792" s="12"/>
      <c r="K1792" s="12"/>
      <c r="L1792" s="12"/>
      <c r="M1792" s="12"/>
      <c r="N1792" s="12"/>
      <c r="O1792" s="12"/>
      <c r="P1792" s="12"/>
      <c r="Q1792" s="12"/>
      <c r="R1792" s="12"/>
      <c r="S1792" s="12"/>
      <c r="T1792" s="12"/>
      <c r="U1792" s="12"/>
      <c r="V1792" s="12"/>
      <c r="W1792" s="12"/>
      <c r="X1792" s="12"/>
      <c r="Y1792" s="12"/>
      <c r="Z1792" s="12"/>
    </row>
    <row r="1793" ht="15.0" customHeight="1">
      <c r="A1793" s="332">
        <v>2.0</v>
      </c>
      <c r="B1793" s="351">
        <v>0.1</v>
      </c>
      <c r="C1793" s="12"/>
      <c r="D1793" s="12"/>
      <c r="E1793" s="12"/>
      <c r="F1793" s="12"/>
      <c r="G1793" s="12"/>
      <c r="H1793" s="12"/>
      <c r="I1793" s="12"/>
      <c r="J1793" s="12"/>
      <c r="K1793" s="12"/>
      <c r="L1793" s="12"/>
      <c r="M1793" s="12"/>
      <c r="N1793" s="12"/>
      <c r="O1793" s="12"/>
      <c r="P1793" s="12"/>
      <c r="Q1793" s="12"/>
      <c r="R1793" s="12"/>
      <c r="S1793" s="12"/>
      <c r="T1793" s="12"/>
      <c r="U1793" s="12"/>
      <c r="V1793" s="12"/>
      <c r="W1793" s="12"/>
      <c r="X1793" s="12"/>
      <c r="Y1793" s="12"/>
      <c r="Z1793" s="12"/>
    </row>
    <row r="1794" ht="15.0" customHeight="1">
      <c r="A1794" s="332">
        <v>3.0</v>
      </c>
      <c r="B1794" s="351">
        <v>0.02</v>
      </c>
      <c r="C1794" s="12"/>
      <c r="D1794" s="12"/>
      <c r="E1794" s="12"/>
      <c r="F1794" s="12"/>
      <c r="G1794" s="12"/>
      <c r="H1794" s="12"/>
      <c r="I1794" s="12"/>
      <c r="J1794" s="12"/>
      <c r="K1794" s="12"/>
      <c r="L1794" s="12"/>
      <c r="M1794" s="12"/>
      <c r="N1794" s="12"/>
      <c r="O1794" s="12"/>
      <c r="P1794" s="12"/>
      <c r="Q1794" s="12"/>
      <c r="R1794" s="12"/>
      <c r="S1794" s="12"/>
      <c r="T1794" s="12"/>
      <c r="U1794" s="12"/>
      <c r="V1794" s="12"/>
      <c r="W1794" s="12"/>
      <c r="X1794" s="12"/>
      <c r="Y1794" s="12"/>
      <c r="Z1794" s="12"/>
    </row>
    <row r="1795" ht="15.0" customHeight="1">
      <c r="A1795" s="349"/>
      <c r="B1795" s="350"/>
      <c r="C1795" s="12"/>
      <c r="D1795" s="12"/>
      <c r="E1795" s="12"/>
      <c r="F1795" s="12"/>
      <c r="G1795" s="12"/>
      <c r="H1795" s="12"/>
      <c r="I1795" s="12"/>
      <c r="J1795" s="12"/>
      <c r="K1795" s="12"/>
      <c r="L1795" s="12"/>
      <c r="M1795" s="12"/>
      <c r="N1795" s="12"/>
      <c r="O1795" s="12"/>
      <c r="P1795" s="12"/>
      <c r="Q1795" s="12"/>
      <c r="R1795" s="12"/>
      <c r="S1795" s="12"/>
      <c r="T1795" s="12"/>
      <c r="U1795" s="12"/>
      <c r="V1795" s="12"/>
      <c r="W1795" s="12"/>
      <c r="X1795" s="12"/>
      <c r="Y1795" s="12"/>
      <c r="Z1795" s="12"/>
    </row>
    <row r="1796" ht="15.0" customHeight="1">
      <c r="A1796" s="298" t="s">
        <v>1678</v>
      </c>
      <c r="B1796" s="350"/>
      <c r="C1796" s="12"/>
      <c r="D1796" s="12"/>
      <c r="E1796" s="12"/>
      <c r="F1796" s="12"/>
      <c r="G1796" s="12"/>
      <c r="H1796" s="12"/>
      <c r="I1796" s="12"/>
      <c r="J1796" s="12"/>
      <c r="K1796" s="12"/>
      <c r="L1796" s="12"/>
      <c r="M1796" s="12"/>
      <c r="N1796" s="12"/>
      <c r="O1796" s="12"/>
      <c r="P1796" s="12"/>
      <c r="Q1796" s="12"/>
      <c r="R1796" s="12"/>
      <c r="S1796" s="12"/>
      <c r="T1796" s="12"/>
      <c r="U1796" s="12"/>
      <c r="V1796" s="12"/>
      <c r="W1796" s="12"/>
      <c r="X1796" s="12"/>
      <c r="Y1796" s="12"/>
      <c r="Z1796" s="12"/>
    </row>
    <row r="1797" ht="15.0" customHeight="1">
      <c r="A1797" s="349"/>
      <c r="B1797" s="350"/>
      <c r="C1797" s="12"/>
      <c r="D1797" s="12"/>
      <c r="E1797" s="12"/>
      <c r="F1797" s="12"/>
      <c r="G1797" s="12"/>
      <c r="H1797" s="12"/>
      <c r="I1797" s="12"/>
      <c r="J1797" s="12"/>
      <c r="K1797" s="12"/>
      <c r="L1797" s="12"/>
      <c r="M1797" s="12"/>
      <c r="N1797" s="12"/>
      <c r="O1797" s="12"/>
      <c r="P1797" s="12"/>
      <c r="Q1797" s="12"/>
      <c r="R1797" s="12"/>
      <c r="S1797" s="12"/>
      <c r="T1797" s="12"/>
      <c r="U1797" s="12"/>
      <c r="V1797" s="12"/>
      <c r="W1797" s="12"/>
      <c r="X1797" s="12"/>
      <c r="Y1797" s="12"/>
      <c r="Z1797" s="12"/>
    </row>
    <row r="1798" ht="15.0" customHeight="1">
      <c r="A1798" s="291" t="s">
        <v>1917</v>
      </c>
      <c r="B1798" s="291" t="s">
        <v>1918</v>
      </c>
      <c r="C1798" s="12"/>
      <c r="D1798" s="12"/>
      <c r="E1798" s="12"/>
      <c r="F1798" s="12"/>
      <c r="G1798" s="12"/>
      <c r="H1798" s="12"/>
      <c r="I1798" s="12"/>
      <c r="J1798" s="12"/>
      <c r="K1798" s="12"/>
      <c r="L1798" s="12"/>
      <c r="M1798" s="12"/>
      <c r="N1798" s="12"/>
      <c r="O1798" s="12"/>
      <c r="P1798" s="12"/>
      <c r="Q1798" s="12"/>
      <c r="R1798" s="12"/>
      <c r="S1798" s="12"/>
      <c r="T1798" s="12"/>
      <c r="U1798" s="12"/>
      <c r="V1798" s="12"/>
      <c r="W1798" s="12"/>
      <c r="X1798" s="12"/>
      <c r="Y1798" s="12"/>
      <c r="Z1798" s="12"/>
    </row>
    <row r="1799" ht="15.0" customHeight="1">
      <c r="A1799" s="332">
        <v>1.0</v>
      </c>
      <c r="B1799" s="351">
        <f>IF(PT=10,31%,IF(PT=15,37%,45%))</f>
        <v>0.31</v>
      </c>
      <c r="C1799" s="12"/>
      <c r="D1799" s="12"/>
      <c r="E1799" s="12"/>
      <c r="F1799" s="12"/>
      <c r="G1799" s="12"/>
      <c r="H1799" s="12"/>
      <c r="I1799" s="12"/>
      <c r="J1799" s="12"/>
      <c r="K1799" s="12"/>
      <c r="L1799" s="12"/>
      <c r="M1799" s="12"/>
      <c r="N1799" s="12"/>
      <c r="O1799" s="12"/>
      <c r="P1799" s="12"/>
      <c r="Q1799" s="12"/>
      <c r="R1799" s="12"/>
      <c r="S1799" s="12"/>
      <c r="T1799" s="12"/>
      <c r="U1799" s="12"/>
      <c r="V1799" s="12"/>
      <c r="W1799" s="12"/>
      <c r="X1799" s="12"/>
      <c r="Y1799" s="12"/>
      <c r="Z1799" s="12"/>
    </row>
    <row r="1800" ht="15.0" customHeight="1">
      <c r="A1800" s="332">
        <v>2.0</v>
      </c>
      <c r="B1800" s="351">
        <f>IF(PT=10,31%,IF(PT=15,37%,45%))</f>
        <v>0.31</v>
      </c>
      <c r="C1800" s="12"/>
      <c r="D1800" s="12"/>
      <c r="E1800" s="12"/>
      <c r="F1800" s="12"/>
      <c r="G1800" s="12"/>
      <c r="H1800" s="12"/>
      <c r="I1800" s="12"/>
      <c r="J1800" s="12"/>
      <c r="K1800" s="12"/>
      <c r="L1800" s="12"/>
      <c r="M1800" s="12"/>
      <c r="N1800" s="12"/>
      <c r="O1800" s="12"/>
      <c r="P1800" s="12"/>
      <c r="Q1800" s="12"/>
      <c r="R1800" s="12"/>
      <c r="S1800" s="12"/>
      <c r="T1800" s="12"/>
      <c r="U1800" s="12"/>
      <c r="V1800" s="12"/>
      <c r="W1800" s="12"/>
      <c r="X1800" s="12"/>
      <c r="Y1800" s="12"/>
      <c r="Z1800" s="12"/>
    </row>
    <row r="1801" ht="15.0" customHeight="1">
      <c r="A1801" s="332">
        <v>3.0</v>
      </c>
      <c r="B1801" s="351">
        <v>0.0</v>
      </c>
      <c r="C1801" s="12"/>
      <c r="D1801" s="12"/>
      <c r="E1801" s="12"/>
      <c r="F1801" s="12"/>
      <c r="G1801" s="12"/>
      <c r="H1801" s="12"/>
      <c r="I1801" s="12"/>
      <c r="J1801" s="12"/>
      <c r="K1801" s="12"/>
      <c r="L1801" s="12"/>
      <c r="M1801" s="12"/>
      <c r="N1801" s="12"/>
      <c r="O1801" s="12"/>
      <c r="P1801" s="12"/>
      <c r="Q1801" s="12"/>
      <c r="R1801" s="12"/>
      <c r="S1801" s="12"/>
      <c r="T1801" s="12"/>
      <c r="U1801" s="12"/>
      <c r="V1801" s="12"/>
      <c r="W1801" s="12"/>
      <c r="X1801" s="12"/>
      <c r="Y1801" s="12"/>
      <c r="Z1801" s="12"/>
    </row>
    <row r="1802" ht="15.0" customHeight="1">
      <c r="A1802" s="349"/>
      <c r="B1802" s="350"/>
      <c r="C1802" s="12"/>
      <c r="D1802" s="12"/>
      <c r="E1802" s="12"/>
      <c r="F1802" s="12"/>
      <c r="G1802" s="12"/>
      <c r="H1802" s="12"/>
      <c r="I1802" s="12"/>
      <c r="J1802" s="12"/>
      <c r="K1802" s="12"/>
      <c r="L1802" s="12"/>
      <c r="M1802" s="12"/>
      <c r="N1802" s="12"/>
      <c r="O1802" s="12"/>
      <c r="P1802" s="12"/>
      <c r="Q1802" s="12"/>
      <c r="R1802" s="12"/>
      <c r="S1802" s="12"/>
      <c r="T1802" s="12"/>
      <c r="U1802" s="12"/>
      <c r="V1802" s="12"/>
      <c r="W1802" s="12"/>
      <c r="X1802" s="12"/>
      <c r="Y1802" s="12"/>
      <c r="Z1802" s="12"/>
    </row>
    <row r="1803" ht="15.0" customHeight="1">
      <c r="A1803" s="298" t="s">
        <v>1690</v>
      </c>
      <c r="B1803" s="350"/>
      <c r="C1803" s="12"/>
      <c r="D1803" s="12"/>
      <c r="E1803" s="12"/>
      <c r="F1803" s="12"/>
      <c r="G1803" s="12"/>
      <c r="H1803" s="12"/>
      <c r="I1803" s="12"/>
      <c r="J1803" s="12"/>
      <c r="K1803" s="12"/>
      <c r="L1803" s="12"/>
      <c r="M1803" s="12"/>
      <c r="N1803" s="12"/>
      <c r="O1803" s="12"/>
      <c r="P1803" s="12"/>
      <c r="Q1803" s="12"/>
      <c r="R1803" s="12"/>
      <c r="S1803" s="12"/>
      <c r="T1803" s="12"/>
      <c r="U1803" s="12"/>
      <c r="V1803" s="12"/>
      <c r="W1803" s="12"/>
      <c r="X1803" s="12"/>
      <c r="Y1803" s="12"/>
      <c r="Z1803" s="12"/>
    </row>
    <row r="1804" ht="15.0" customHeight="1">
      <c r="A1804" s="349"/>
      <c r="B1804" s="350"/>
      <c r="C1804" s="12"/>
      <c r="D1804" s="12"/>
      <c r="E1804" s="12"/>
      <c r="F1804" s="12"/>
      <c r="G1804" s="12"/>
      <c r="H1804" s="12"/>
      <c r="I1804" s="12"/>
      <c r="J1804" s="12"/>
      <c r="K1804" s="12"/>
      <c r="L1804" s="12"/>
      <c r="M1804" s="12"/>
      <c r="N1804" s="12"/>
      <c r="O1804" s="12"/>
      <c r="P1804" s="12"/>
      <c r="Q1804" s="12"/>
      <c r="R1804" s="12"/>
      <c r="S1804" s="12"/>
      <c r="T1804" s="12"/>
      <c r="U1804" s="12"/>
      <c r="V1804" s="12"/>
      <c r="W1804" s="12"/>
      <c r="X1804" s="12"/>
      <c r="Y1804" s="12"/>
      <c r="Z1804" s="12"/>
    </row>
    <row r="1805" ht="15.0" customHeight="1">
      <c r="A1805" s="291" t="s">
        <v>1917</v>
      </c>
      <c r="B1805" s="291" t="s">
        <v>1918</v>
      </c>
      <c r="C1805" s="12"/>
      <c r="D1805" s="12"/>
      <c r="E1805" s="12"/>
      <c r="F1805" s="12"/>
      <c r="G1805" s="12"/>
      <c r="H1805" s="12"/>
      <c r="I1805" s="12"/>
      <c r="J1805" s="12"/>
      <c r="K1805" s="12"/>
      <c r="L1805" s="12"/>
      <c r="M1805" s="12"/>
      <c r="N1805" s="12"/>
      <c r="O1805" s="12"/>
      <c r="P1805" s="12"/>
      <c r="Q1805" s="12"/>
      <c r="R1805" s="12"/>
      <c r="S1805" s="12"/>
      <c r="T1805" s="12"/>
      <c r="U1805" s="12"/>
      <c r="V1805" s="12"/>
      <c r="W1805" s="12"/>
      <c r="X1805" s="12"/>
      <c r="Y1805" s="12"/>
      <c r="Z1805" s="12"/>
    </row>
    <row r="1806" ht="15.0" customHeight="1">
      <c r="A1806" s="332">
        <v>1.0</v>
      </c>
      <c r="B1806" s="351">
        <f>IF(PT=20,25%,35%)</f>
        <v>0.35</v>
      </c>
      <c r="C1806" s="12"/>
      <c r="D1806" s="12"/>
      <c r="E1806" s="12"/>
      <c r="F1806" s="12"/>
      <c r="G1806" s="12"/>
      <c r="H1806" s="12"/>
      <c r="I1806" s="12"/>
      <c r="J1806" s="12"/>
      <c r="K1806" s="12"/>
      <c r="L1806" s="12"/>
      <c r="M1806" s="12"/>
      <c r="N1806" s="12"/>
      <c r="O1806" s="12"/>
      <c r="P1806" s="12"/>
      <c r="Q1806" s="12"/>
      <c r="R1806" s="12"/>
      <c r="S1806" s="12"/>
      <c r="T1806" s="12"/>
      <c r="U1806" s="12"/>
      <c r="V1806" s="12"/>
      <c r="W1806" s="12"/>
      <c r="X1806" s="12"/>
      <c r="Y1806" s="12"/>
      <c r="Z1806" s="12"/>
    </row>
    <row r="1807" ht="15.0" customHeight="1">
      <c r="A1807" s="332">
        <v>2.0</v>
      </c>
      <c r="B1807" s="351">
        <f>IF(PT=20,2%,5%)</f>
        <v>0.05</v>
      </c>
      <c r="C1807" s="12"/>
      <c r="D1807" s="12"/>
      <c r="E1807" s="12"/>
      <c r="F1807" s="12"/>
      <c r="G1807" s="12"/>
      <c r="H1807" s="12"/>
      <c r="I1807" s="12"/>
      <c r="J1807" s="12"/>
      <c r="K1807" s="12"/>
      <c r="L1807" s="12"/>
      <c r="M1807" s="12"/>
      <c r="N1807" s="12"/>
      <c r="O1807" s="12"/>
      <c r="P1807" s="12"/>
      <c r="Q1807" s="12"/>
      <c r="R1807" s="12"/>
      <c r="S1807" s="12"/>
      <c r="T1807" s="12"/>
      <c r="U1807" s="12"/>
      <c r="V1807" s="12"/>
      <c r="W1807" s="12"/>
      <c r="X1807" s="12"/>
      <c r="Y1807" s="12"/>
      <c r="Z1807" s="12"/>
    </row>
    <row r="1808" ht="15.0" customHeight="1">
      <c r="A1808" s="332">
        <v>3.0</v>
      </c>
      <c r="B1808" s="351">
        <f>IF(PT=20,2%,5%)</f>
        <v>0.05</v>
      </c>
      <c r="C1808" s="12"/>
      <c r="D1808" s="12"/>
      <c r="E1808" s="12"/>
      <c r="F1808" s="12"/>
      <c r="G1808" s="12"/>
      <c r="H1808" s="12"/>
      <c r="I1808" s="12"/>
      <c r="J1808" s="12"/>
      <c r="K1808" s="12"/>
      <c r="L1808" s="12"/>
      <c r="M1808" s="12"/>
      <c r="N1808" s="12"/>
      <c r="O1808" s="12"/>
      <c r="P1808" s="12"/>
      <c r="Q1808" s="12"/>
      <c r="R1808" s="12"/>
      <c r="S1808" s="12"/>
      <c r="T1808" s="12"/>
      <c r="U1808" s="12"/>
      <c r="V1808" s="12"/>
      <c r="W1808" s="12"/>
      <c r="X1808" s="12"/>
      <c r="Y1808" s="12"/>
      <c r="Z1808" s="12"/>
    </row>
    <row r="1809" ht="15.0" customHeight="1">
      <c r="A1809" s="332">
        <v>4.0</v>
      </c>
      <c r="B1809" s="351">
        <f>IF(PT=20,2%,5%)</f>
        <v>0.05</v>
      </c>
      <c r="C1809" s="12"/>
      <c r="D1809" s="12"/>
      <c r="E1809" s="12"/>
      <c r="F1809" s="12"/>
      <c r="G1809" s="12"/>
      <c r="H1809" s="12"/>
      <c r="I1809" s="12"/>
      <c r="J1809" s="12"/>
      <c r="K1809" s="12"/>
      <c r="L1809" s="12"/>
      <c r="M1809" s="12"/>
      <c r="N1809" s="12"/>
      <c r="O1809" s="12"/>
      <c r="P1809" s="12"/>
      <c r="Q1809" s="12"/>
      <c r="R1809" s="12"/>
      <c r="S1809" s="12"/>
      <c r="T1809" s="12"/>
      <c r="U1809" s="12"/>
      <c r="V1809" s="12"/>
      <c r="W1809" s="12"/>
      <c r="X1809" s="12"/>
      <c r="Y1809" s="12"/>
      <c r="Z1809" s="12"/>
    </row>
    <row r="1810" ht="15.0" customHeight="1">
      <c r="A1810" s="332">
        <v>5.0</v>
      </c>
      <c r="B1810" s="351">
        <f>IF(PT=20,2%,5%)</f>
        <v>0.05</v>
      </c>
      <c r="C1810" s="12"/>
      <c r="D1810" s="12"/>
      <c r="E1810" s="12"/>
      <c r="F1810" s="12"/>
      <c r="G1810" s="12"/>
      <c r="H1810" s="12"/>
      <c r="I1810" s="12"/>
      <c r="J1810" s="12"/>
      <c r="K1810" s="12"/>
      <c r="L1810" s="12"/>
      <c r="M1810" s="12"/>
      <c r="N1810" s="12"/>
      <c r="O1810" s="12"/>
      <c r="P1810" s="12"/>
      <c r="Q1810" s="12"/>
      <c r="R1810" s="12"/>
      <c r="S1810" s="12"/>
      <c r="T1810" s="12"/>
      <c r="U1810" s="12"/>
      <c r="V1810" s="12"/>
      <c r="W1810" s="12"/>
      <c r="X1810" s="12"/>
      <c r="Y1810" s="12"/>
      <c r="Z1810" s="12"/>
    </row>
    <row r="1811" ht="15.0" customHeight="1">
      <c r="A1811" s="171">
        <v>6.0</v>
      </c>
      <c r="B1811" s="351">
        <v>0.02</v>
      </c>
      <c r="C1811" s="12"/>
      <c r="D1811" s="12"/>
      <c r="E1811" s="12"/>
      <c r="F1811" s="12"/>
      <c r="G1811" s="12"/>
      <c r="H1811" s="12"/>
      <c r="I1811" s="12"/>
      <c r="J1811" s="12"/>
      <c r="K1811" s="12"/>
      <c r="L1811" s="12"/>
      <c r="M1811" s="12"/>
      <c r="N1811" s="12"/>
      <c r="O1811" s="12"/>
      <c r="P1811" s="12"/>
      <c r="Q1811" s="12"/>
      <c r="R1811" s="12"/>
      <c r="S1811" s="12"/>
      <c r="T1811" s="12"/>
      <c r="U1811" s="12"/>
      <c r="V1811" s="12"/>
      <c r="W1811" s="12"/>
      <c r="X1811" s="12"/>
      <c r="Y1811" s="12"/>
      <c r="Z1811" s="12"/>
    </row>
    <row r="1812" ht="15.0" customHeight="1">
      <c r="A1812" s="349"/>
      <c r="B1812" s="350"/>
      <c r="C1812" s="12"/>
      <c r="D1812" s="12"/>
      <c r="E1812" s="12"/>
      <c r="F1812" s="12"/>
      <c r="G1812" s="12"/>
      <c r="H1812" s="12"/>
      <c r="I1812" s="12"/>
      <c r="J1812" s="12"/>
      <c r="K1812" s="12"/>
      <c r="L1812" s="12"/>
      <c r="M1812" s="12"/>
      <c r="N1812" s="12"/>
      <c r="O1812" s="12"/>
      <c r="P1812" s="12"/>
      <c r="Q1812" s="12"/>
      <c r="R1812" s="12"/>
      <c r="S1812" s="12"/>
      <c r="T1812" s="12"/>
      <c r="U1812" s="12"/>
      <c r="V1812" s="12"/>
      <c r="W1812" s="12"/>
      <c r="X1812" s="12"/>
      <c r="Y1812" s="12"/>
      <c r="Z1812" s="12"/>
    </row>
    <row r="1813" ht="15.0" customHeight="1">
      <c r="A1813" s="298" t="s">
        <v>1696</v>
      </c>
      <c r="B1813" s="350"/>
      <c r="C1813" s="12"/>
      <c r="D1813" s="12"/>
      <c r="E1813" s="12"/>
      <c r="F1813" s="12"/>
      <c r="G1813" s="12"/>
      <c r="H1813" s="12"/>
      <c r="I1813" s="12"/>
      <c r="J1813" s="12"/>
      <c r="K1813" s="12"/>
      <c r="L1813" s="12"/>
      <c r="M1813" s="12"/>
      <c r="N1813" s="12"/>
      <c r="O1813" s="12"/>
      <c r="P1813" s="12"/>
      <c r="Q1813" s="12"/>
      <c r="R1813" s="12"/>
      <c r="S1813" s="12"/>
      <c r="T1813" s="12"/>
      <c r="U1813" s="12"/>
      <c r="V1813" s="12"/>
      <c r="W1813" s="12"/>
      <c r="X1813" s="12"/>
      <c r="Y1813" s="12"/>
      <c r="Z1813" s="12"/>
    </row>
    <row r="1814" ht="15.0" customHeight="1">
      <c r="A1814" s="349"/>
      <c r="B1814" s="350"/>
      <c r="C1814" s="12"/>
      <c r="D1814" s="12"/>
      <c r="E1814" s="12"/>
      <c r="F1814" s="12"/>
      <c r="G1814" s="12"/>
      <c r="H1814" s="12"/>
      <c r="I1814" s="12"/>
      <c r="J1814" s="12"/>
      <c r="K1814" s="12"/>
      <c r="L1814" s="12"/>
      <c r="M1814" s="12"/>
      <c r="N1814" s="12"/>
      <c r="O1814" s="12"/>
      <c r="P1814" s="12"/>
      <c r="Q1814" s="12"/>
      <c r="R1814" s="12"/>
      <c r="S1814" s="12"/>
      <c r="T1814" s="12"/>
      <c r="U1814" s="12"/>
      <c r="V1814" s="12"/>
      <c r="W1814" s="12"/>
      <c r="X1814" s="12"/>
      <c r="Y1814" s="12"/>
      <c r="Z1814" s="12"/>
    </row>
    <row r="1815" ht="15.0" customHeight="1">
      <c r="A1815" s="291" t="s">
        <v>1917</v>
      </c>
      <c r="B1815" s="291" t="s">
        <v>1918</v>
      </c>
      <c r="C1815" s="12"/>
      <c r="D1815" s="12"/>
      <c r="E1815" s="12"/>
      <c r="F1815" s="12"/>
      <c r="G1815" s="12"/>
      <c r="H1815" s="12"/>
      <c r="I1815" s="12"/>
      <c r="J1815" s="12"/>
      <c r="K1815" s="12"/>
      <c r="L1815" s="12"/>
      <c r="M1815" s="12"/>
      <c r="N1815" s="12"/>
      <c r="O1815" s="12"/>
      <c r="P1815" s="12"/>
      <c r="Q1815" s="12"/>
      <c r="R1815" s="12"/>
      <c r="S1815" s="12"/>
      <c r="T1815" s="12"/>
      <c r="U1815" s="12"/>
      <c r="V1815" s="12"/>
      <c r="W1815" s="12"/>
      <c r="X1815" s="12"/>
      <c r="Y1815" s="12"/>
      <c r="Z1815" s="12"/>
    </row>
    <row r="1816" ht="15.0" customHeight="1">
      <c r="A1816" s="332">
        <v>1.0</v>
      </c>
      <c r="B1816" s="351">
        <v>0.28</v>
      </c>
      <c r="C1816" s="12"/>
      <c r="D1816" s="12"/>
      <c r="E1816" s="12"/>
      <c r="F1816" s="12"/>
      <c r="G1816" s="12"/>
      <c r="H1816" s="12"/>
      <c r="I1816" s="12"/>
      <c r="J1816" s="12"/>
      <c r="K1816" s="12"/>
      <c r="L1816" s="12"/>
      <c r="M1816" s="12"/>
      <c r="N1816" s="12"/>
      <c r="O1816" s="12"/>
      <c r="P1816" s="12"/>
      <c r="Q1816" s="12"/>
      <c r="R1816" s="12"/>
      <c r="S1816" s="12"/>
      <c r="T1816" s="12"/>
      <c r="U1816" s="12"/>
      <c r="V1816" s="12"/>
      <c r="W1816" s="12"/>
      <c r="X1816" s="12"/>
      <c r="Y1816" s="12"/>
      <c r="Z1816" s="12"/>
    </row>
    <row r="1817" ht="15.0" customHeight="1">
      <c r="A1817" s="332">
        <v>2.0</v>
      </c>
      <c r="B1817" s="351">
        <v>0.28</v>
      </c>
      <c r="C1817" s="12"/>
      <c r="D1817" s="12"/>
      <c r="E1817" s="12"/>
      <c r="F1817" s="12"/>
      <c r="G1817" s="12"/>
      <c r="H1817" s="12"/>
      <c r="I1817" s="12"/>
      <c r="J1817" s="12"/>
      <c r="K1817" s="12"/>
      <c r="L1817" s="12"/>
      <c r="M1817" s="12"/>
      <c r="N1817" s="12"/>
      <c r="O1817" s="12"/>
      <c r="P1817" s="12"/>
      <c r="Q1817" s="12"/>
      <c r="R1817" s="12"/>
      <c r="S1817" s="12"/>
      <c r="T1817" s="12"/>
      <c r="U1817" s="12"/>
      <c r="V1817" s="12"/>
      <c r="W1817" s="12"/>
      <c r="X1817" s="12"/>
      <c r="Y1817" s="12"/>
      <c r="Z1817" s="12"/>
    </row>
    <row r="1818" ht="15.0" customHeight="1">
      <c r="A1818" s="332">
        <v>3.0</v>
      </c>
      <c r="B1818" s="351">
        <v>0.0</v>
      </c>
      <c r="C1818" s="12"/>
      <c r="D1818" s="12"/>
      <c r="E1818" s="12"/>
      <c r="F1818" s="12"/>
      <c r="G1818" s="12"/>
      <c r="H1818" s="12"/>
      <c r="I1818" s="12"/>
      <c r="J1818" s="12"/>
      <c r="K1818" s="12"/>
      <c r="L1818" s="12"/>
      <c r="M1818" s="12"/>
      <c r="N1818" s="12"/>
      <c r="O1818" s="12"/>
      <c r="P1818" s="12"/>
      <c r="Q1818" s="12"/>
      <c r="R1818" s="12"/>
      <c r="S1818" s="12"/>
      <c r="T1818" s="12"/>
      <c r="U1818" s="12"/>
      <c r="V1818" s="12"/>
      <c r="W1818" s="12"/>
      <c r="X1818" s="12"/>
      <c r="Y1818" s="12"/>
      <c r="Z1818" s="12"/>
    </row>
    <row r="1819" ht="15.0" customHeight="1">
      <c r="A1819" s="349"/>
      <c r="B1819" s="350"/>
      <c r="C1819" s="12"/>
      <c r="D1819" s="12"/>
      <c r="E1819" s="12"/>
      <c r="F1819" s="12"/>
      <c r="G1819" s="12"/>
      <c r="H1819" s="12"/>
      <c r="I1819" s="12"/>
      <c r="J1819" s="12"/>
      <c r="K1819" s="12"/>
      <c r="L1819" s="12"/>
      <c r="M1819" s="12"/>
      <c r="N1819" s="12"/>
      <c r="O1819" s="12"/>
      <c r="P1819" s="12"/>
      <c r="Q1819" s="12"/>
      <c r="R1819" s="12"/>
      <c r="S1819" s="12"/>
      <c r="T1819" s="12"/>
      <c r="U1819" s="12"/>
      <c r="V1819" s="12"/>
      <c r="W1819" s="12"/>
      <c r="X1819" s="12"/>
      <c r="Y1819" s="12"/>
      <c r="Z1819" s="12"/>
    </row>
    <row r="1820" ht="15.0" customHeight="1">
      <c r="A1820" s="298" t="s">
        <v>1711</v>
      </c>
      <c r="B1820" s="350"/>
      <c r="C1820" s="12"/>
      <c r="D1820" s="12"/>
      <c r="E1820" s="12"/>
      <c r="F1820" s="12"/>
      <c r="G1820" s="12"/>
      <c r="H1820" s="12"/>
      <c r="I1820" s="12"/>
      <c r="J1820" s="12"/>
      <c r="K1820" s="12"/>
      <c r="L1820" s="12"/>
      <c r="M1820" s="12"/>
      <c r="N1820" s="12"/>
      <c r="O1820" s="12"/>
      <c r="P1820" s="12"/>
      <c r="Q1820" s="12"/>
      <c r="R1820" s="12"/>
      <c r="S1820" s="12"/>
      <c r="T1820" s="12"/>
      <c r="U1820" s="12"/>
      <c r="V1820" s="12"/>
      <c r="W1820" s="12"/>
      <c r="X1820" s="12"/>
      <c r="Y1820" s="12"/>
      <c r="Z1820" s="12"/>
    </row>
    <row r="1821" ht="15.0" customHeight="1">
      <c r="A1821" s="349"/>
      <c r="B1821" s="350"/>
      <c r="C1821" s="12"/>
      <c r="D1821" s="12"/>
      <c r="E1821" s="12"/>
      <c r="F1821" s="12"/>
      <c r="G1821" s="12"/>
      <c r="H1821" s="12"/>
      <c r="I1821" s="12"/>
      <c r="J1821" s="12"/>
      <c r="K1821" s="12"/>
      <c r="L1821" s="12"/>
      <c r="M1821" s="12"/>
      <c r="N1821" s="12"/>
      <c r="O1821" s="12"/>
      <c r="P1821" s="12"/>
      <c r="Q1821" s="12"/>
      <c r="R1821" s="12"/>
      <c r="S1821" s="12"/>
      <c r="T1821" s="12"/>
      <c r="U1821" s="12"/>
      <c r="V1821" s="12"/>
      <c r="W1821" s="12"/>
      <c r="X1821" s="12"/>
      <c r="Y1821" s="12"/>
      <c r="Z1821" s="12"/>
    </row>
    <row r="1822" ht="15.0" customHeight="1">
      <c r="A1822" s="171" t="s">
        <v>1916</v>
      </c>
      <c r="B1822" s="171">
        <v>1.0</v>
      </c>
      <c r="C1822" s="171">
        <v>2.0</v>
      </c>
      <c r="D1822" s="171">
        <v>3.0</v>
      </c>
      <c r="E1822" s="171">
        <v>4.0</v>
      </c>
      <c r="F1822" s="171">
        <v>5.0</v>
      </c>
      <c r="G1822" s="171">
        <v>6.0</v>
      </c>
      <c r="H1822" s="171">
        <v>7.0</v>
      </c>
      <c r="I1822" s="171">
        <v>8.0</v>
      </c>
      <c r="J1822" s="171">
        <v>9.0</v>
      </c>
      <c r="K1822" s="171">
        <v>10.0</v>
      </c>
      <c r="L1822" s="171">
        <v>11.0</v>
      </c>
      <c r="M1822" s="12"/>
      <c r="N1822" s="12"/>
      <c r="O1822" s="12"/>
      <c r="P1822" s="12"/>
      <c r="Q1822" s="12"/>
      <c r="R1822" s="12"/>
      <c r="S1822" s="12"/>
      <c r="T1822" s="12"/>
      <c r="U1822" s="12"/>
      <c r="V1822" s="12"/>
      <c r="W1822" s="12"/>
      <c r="X1822" s="12"/>
      <c r="Y1822" s="12"/>
      <c r="Z1822" s="12"/>
    </row>
    <row r="1823" ht="15.0" customHeight="1">
      <c r="A1823" s="322">
        <v>0.0</v>
      </c>
      <c r="B1823" s="113">
        <v>0.06</v>
      </c>
      <c r="C1823" s="113">
        <v>0.06</v>
      </c>
      <c r="D1823" s="113">
        <v>0.06</v>
      </c>
      <c r="E1823" s="113">
        <v>0.06</v>
      </c>
      <c r="F1823" s="113">
        <v>0.06</v>
      </c>
      <c r="G1823" s="113">
        <f>IF(PPT=5,0%,2.5%)</f>
        <v>0.025</v>
      </c>
      <c r="H1823" s="113">
        <f>IF(PPT=5,0%,2.5%)</f>
        <v>0.025</v>
      </c>
      <c r="I1823" s="113">
        <f>IF(PPT=5,0%,2.5%)</f>
        <v>0.025</v>
      </c>
      <c r="J1823" s="113">
        <f>IF(PPT=5,0%,2.5%)</f>
        <v>0.025</v>
      </c>
      <c r="K1823" s="113">
        <f>IF(PPT=5,0%,2.5%)</f>
        <v>0.025</v>
      </c>
      <c r="L1823" s="355">
        <v>0.0</v>
      </c>
      <c r="M1823" s="12"/>
      <c r="N1823" s="12"/>
      <c r="O1823" s="12"/>
      <c r="P1823" s="12"/>
      <c r="Q1823" s="12"/>
      <c r="R1823" s="12"/>
      <c r="S1823" s="12"/>
      <c r="T1823" s="12"/>
      <c r="U1823" s="12"/>
      <c r="V1823" s="12"/>
      <c r="W1823" s="12"/>
      <c r="X1823" s="12"/>
      <c r="Y1823" s="12"/>
      <c r="Z1823" s="12"/>
    </row>
    <row r="1824" ht="15.0" customHeight="1">
      <c r="A1824" s="352">
        <v>50000.0</v>
      </c>
      <c r="B1824" s="113">
        <v>0.055</v>
      </c>
      <c r="C1824" s="113">
        <v>0.055</v>
      </c>
      <c r="D1824" s="113">
        <v>0.055</v>
      </c>
      <c r="E1824" s="113">
        <v>0.055</v>
      </c>
      <c r="F1824" s="113">
        <v>0.055</v>
      </c>
      <c r="G1824" s="113">
        <f>IF(PPT=5,0%,2.5%)</f>
        <v>0.025</v>
      </c>
      <c r="H1824" s="113">
        <f>IF(PPT=5,0%,2.5%)</f>
        <v>0.025</v>
      </c>
      <c r="I1824" s="113">
        <f>IF(PPT=5,0%,2.5%)</f>
        <v>0.025</v>
      </c>
      <c r="J1824" s="113">
        <f>IF(PPT=5,0%,2.5%)</f>
        <v>0.025</v>
      </c>
      <c r="K1824" s="113">
        <f>IF(PPT=5,0%,2.5%)</f>
        <v>0.025</v>
      </c>
      <c r="L1824" s="355">
        <v>0.0</v>
      </c>
      <c r="M1824" s="12"/>
      <c r="N1824" s="12"/>
      <c r="O1824" s="12"/>
      <c r="P1824" s="12"/>
      <c r="Q1824" s="12"/>
      <c r="R1824" s="12"/>
      <c r="S1824" s="12"/>
      <c r="T1824" s="12"/>
      <c r="U1824" s="12"/>
      <c r="V1824" s="12"/>
      <c r="W1824" s="12"/>
      <c r="X1824" s="12"/>
      <c r="Y1824" s="12"/>
      <c r="Z1824" s="12"/>
    </row>
    <row r="1825" ht="15.0" customHeight="1">
      <c r="A1825" s="349"/>
      <c r="B1825" s="350"/>
      <c r="C1825" s="12"/>
      <c r="D1825" s="12"/>
      <c r="E1825" s="12"/>
      <c r="F1825" s="12"/>
      <c r="G1825" s="12"/>
      <c r="H1825" s="12"/>
      <c r="I1825" s="12"/>
      <c r="J1825" s="12"/>
      <c r="K1825" s="12"/>
      <c r="L1825" s="12"/>
      <c r="M1825" s="12"/>
      <c r="N1825" s="12"/>
      <c r="O1825" s="12"/>
      <c r="P1825" s="12"/>
      <c r="Q1825" s="12"/>
      <c r="R1825" s="12"/>
      <c r="S1825" s="12"/>
      <c r="T1825" s="12"/>
      <c r="U1825" s="12"/>
      <c r="V1825" s="12"/>
      <c r="W1825" s="12"/>
      <c r="X1825" s="12"/>
      <c r="Y1825" s="12"/>
      <c r="Z1825" s="12"/>
    </row>
    <row r="1826" ht="15.0" customHeight="1">
      <c r="A1826" s="298" t="s">
        <v>1719</v>
      </c>
      <c r="B1826" s="350"/>
      <c r="C1826" s="12"/>
      <c r="D1826" s="12"/>
      <c r="E1826" s="12"/>
      <c r="F1826" s="12"/>
      <c r="G1826" s="12"/>
      <c r="H1826" s="12"/>
      <c r="I1826" s="12"/>
      <c r="J1826" s="12"/>
      <c r="K1826" s="12"/>
      <c r="L1826" s="12"/>
      <c r="M1826" s="12"/>
      <c r="N1826" s="12"/>
      <c r="O1826" s="12"/>
      <c r="P1826" s="12"/>
      <c r="Q1826" s="12"/>
      <c r="R1826" s="12"/>
      <c r="S1826" s="12"/>
      <c r="T1826" s="12"/>
      <c r="U1826" s="12"/>
      <c r="V1826" s="12"/>
      <c r="W1826" s="12"/>
      <c r="X1826" s="12"/>
      <c r="Y1826" s="12"/>
      <c r="Z1826" s="12"/>
    </row>
    <row r="1827" ht="15.0" customHeight="1">
      <c r="A1827" s="349"/>
      <c r="B1827" s="350"/>
      <c r="C1827" s="12"/>
      <c r="D1827" s="12"/>
      <c r="E1827" s="12"/>
      <c r="F1827" s="12"/>
      <c r="G1827" s="12"/>
      <c r="H1827" s="12"/>
      <c r="I1827" s="12"/>
      <c r="J1827" s="12"/>
      <c r="K1827" s="12"/>
      <c r="L1827" s="12"/>
      <c r="M1827" s="12"/>
      <c r="N1827" s="12"/>
      <c r="O1827" s="12"/>
      <c r="P1827" s="12"/>
      <c r="Q1827" s="12"/>
      <c r="R1827" s="12"/>
      <c r="S1827" s="12"/>
      <c r="T1827" s="12"/>
      <c r="U1827" s="12"/>
      <c r="V1827" s="12"/>
      <c r="W1827" s="12"/>
      <c r="X1827" s="12"/>
      <c r="Y1827" s="12"/>
      <c r="Z1827" s="12"/>
    </row>
    <row r="1828" ht="15.0" customHeight="1">
      <c r="A1828" s="171" t="s">
        <v>1916</v>
      </c>
      <c r="B1828" s="171">
        <v>1.0</v>
      </c>
      <c r="C1828" s="12"/>
      <c r="D1828" s="12"/>
      <c r="E1828" s="12"/>
      <c r="F1828" s="12"/>
      <c r="G1828" s="12"/>
      <c r="H1828" s="12"/>
      <c r="I1828" s="12"/>
      <c r="J1828" s="12"/>
      <c r="K1828" s="12"/>
      <c r="L1828" s="12"/>
      <c r="M1828" s="12"/>
      <c r="N1828" s="12"/>
      <c r="O1828" s="12"/>
      <c r="P1828" s="12"/>
      <c r="Q1828" s="12"/>
      <c r="R1828" s="12"/>
      <c r="S1828" s="12"/>
      <c r="T1828" s="12"/>
      <c r="U1828" s="12"/>
      <c r="V1828" s="12"/>
      <c r="W1828" s="12"/>
      <c r="X1828" s="12"/>
      <c r="Y1828" s="12"/>
      <c r="Z1828" s="12"/>
    </row>
    <row r="1829" ht="15.0" customHeight="1">
      <c r="A1829" s="322">
        <v>0.0</v>
      </c>
      <c r="B1829" s="113">
        <v>0.03</v>
      </c>
      <c r="C1829" s="12"/>
      <c r="D1829" s="12"/>
      <c r="E1829" s="12"/>
      <c r="F1829" s="12"/>
      <c r="G1829" s="12"/>
      <c r="H1829" s="12"/>
      <c r="I1829" s="12"/>
      <c r="J1829" s="12"/>
      <c r="K1829" s="12"/>
      <c r="L1829" s="12"/>
      <c r="M1829" s="12"/>
      <c r="N1829" s="12"/>
      <c r="O1829" s="12"/>
      <c r="P1829" s="12"/>
      <c r="Q1829" s="12"/>
      <c r="R1829" s="12"/>
      <c r="S1829" s="12"/>
      <c r="T1829" s="12"/>
      <c r="U1829" s="12"/>
      <c r="V1829" s="12"/>
      <c r="W1829" s="12"/>
      <c r="X1829" s="12"/>
      <c r="Y1829" s="12"/>
      <c r="Z1829" s="12"/>
    </row>
    <row r="1830" ht="15.0" customHeight="1">
      <c r="A1830" s="352">
        <v>50000.0</v>
      </c>
      <c r="B1830" s="113">
        <v>0.02</v>
      </c>
      <c r="C1830" s="12"/>
      <c r="D1830" s="12"/>
      <c r="E1830" s="12"/>
      <c r="F1830" s="12"/>
      <c r="G1830" s="12"/>
      <c r="H1830" s="12"/>
      <c r="I1830" s="12"/>
      <c r="J1830" s="12"/>
      <c r="K1830" s="12"/>
      <c r="L1830" s="12"/>
      <c r="M1830" s="12"/>
      <c r="N1830" s="12"/>
      <c r="O1830" s="12"/>
      <c r="P1830" s="12"/>
      <c r="Q1830" s="12"/>
      <c r="R1830" s="12"/>
      <c r="S1830" s="12"/>
      <c r="T1830" s="12"/>
      <c r="U1830" s="12"/>
      <c r="V1830" s="12"/>
      <c r="W1830" s="12"/>
      <c r="X1830" s="12"/>
      <c r="Y1830" s="12"/>
      <c r="Z1830" s="12"/>
    </row>
    <row r="1831" ht="15.0" customHeight="1">
      <c r="A1831" s="349"/>
      <c r="B1831" s="350"/>
      <c r="C1831" s="12"/>
      <c r="D1831" s="12"/>
      <c r="E1831" s="12"/>
      <c r="F1831" s="12"/>
      <c r="G1831" s="12"/>
      <c r="H1831" s="12"/>
      <c r="I1831" s="12"/>
      <c r="J1831" s="12"/>
      <c r="K1831" s="12"/>
      <c r="L1831" s="12"/>
      <c r="M1831" s="12"/>
      <c r="N1831" s="12"/>
      <c r="O1831" s="12"/>
      <c r="P1831" s="12"/>
      <c r="Q1831" s="12"/>
      <c r="R1831" s="12"/>
      <c r="S1831" s="12"/>
      <c r="T1831" s="12"/>
      <c r="U1831" s="12"/>
      <c r="V1831" s="12"/>
      <c r="W1831" s="12"/>
      <c r="X1831" s="12"/>
      <c r="Y1831" s="12"/>
      <c r="Z1831" s="12"/>
    </row>
    <row r="1832" ht="15.0" customHeight="1">
      <c r="A1832" s="298" t="s">
        <v>1724</v>
      </c>
      <c r="B1832" s="350"/>
      <c r="C1832" s="12"/>
      <c r="D1832" s="12"/>
      <c r="E1832" s="12"/>
      <c r="F1832" s="12"/>
      <c r="G1832" s="12"/>
      <c r="H1832" s="12"/>
      <c r="I1832" s="12"/>
      <c r="J1832" s="12"/>
      <c r="K1832" s="12"/>
      <c r="L1832" s="12"/>
      <c r="M1832" s="12"/>
      <c r="N1832" s="12"/>
      <c r="O1832" s="12"/>
      <c r="P1832" s="12"/>
      <c r="Q1832" s="12"/>
      <c r="R1832" s="12"/>
      <c r="S1832" s="12"/>
      <c r="T1832" s="12"/>
      <c r="U1832" s="12"/>
      <c r="V1832" s="12"/>
      <c r="W1832" s="12"/>
      <c r="X1832" s="12"/>
      <c r="Y1832" s="12"/>
      <c r="Z1832" s="12"/>
    </row>
    <row r="1833" ht="15.0" customHeight="1">
      <c r="A1833" s="349"/>
      <c r="B1833" s="350"/>
      <c r="C1833" s="12"/>
      <c r="D1833" s="12"/>
      <c r="E1833" s="12"/>
      <c r="F1833" s="12"/>
      <c r="G1833" s="12"/>
      <c r="H1833" s="12"/>
      <c r="I1833" s="12"/>
      <c r="J1833" s="12"/>
      <c r="K1833" s="12"/>
      <c r="L1833" s="12"/>
      <c r="M1833" s="12"/>
      <c r="N1833" s="12"/>
      <c r="O1833" s="12"/>
      <c r="P1833" s="12"/>
      <c r="Q1833" s="12"/>
      <c r="R1833" s="12"/>
      <c r="S1833" s="12"/>
      <c r="T1833" s="12"/>
      <c r="U1833" s="12"/>
      <c r="V1833" s="12"/>
      <c r="W1833" s="12"/>
      <c r="X1833" s="12"/>
      <c r="Y1833" s="12"/>
      <c r="Z1833" s="12"/>
    </row>
    <row r="1834" ht="15.0" customHeight="1">
      <c r="A1834" s="291" t="s">
        <v>1917</v>
      </c>
      <c r="B1834" s="291" t="s">
        <v>1918</v>
      </c>
      <c r="C1834" s="12"/>
      <c r="D1834" s="12"/>
      <c r="E1834" s="12"/>
      <c r="F1834" s="12"/>
      <c r="G1834" s="12"/>
      <c r="H1834" s="12"/>
      <c r="I1834" s="12"/>
      <c r="J1834" s="12"/>
      <c r="K1834" s="12"/>
      <c r="L1834" s="12"/>
      <c r="M1834" s="12"/>
      <c r="N1834" s="12"/>
      <c r="O1834" s="12"/>
      <c r="P1834" s="12"/>
      <c r="Q1834" s="12"/>
      <c r="R1834" s="12"/>
      <c r="S1834" s="12"/>
      <c r="T1834" s="12"/>
      <c r="U1834" s="12"/>
      <c r="V1834" s="12"/>
      <c r="W1834" s="12"/>
      <c r="X1834" s="12"/>
      <c r="Y1834" s="12"/>
      <c r="Z1834" s="12"/>
    </row>
    <row r="1835" ht="15.0" customHeight="1">
      <c r="A1835" s="332">
        <v>1.0</v>
      </c>
      <c r="B1835" s="351">
        <v>0.0915</v>
      </c>
      <c r="C1835" s="12"/>
      <c r="D1835" s="12"/>
      <c r="E1835" s="12"/>
      <c r="F1835" s="12"/>
      <c r="G1835" s="12"/>
      <c r="H1835" s="12"/>
      <c r="I1835" s="12"/>
      <c r="J1835" s="12"/>
      <c r="K1835" s="12"/>
      <c r="L1835" s="12"/>
      <c r="M1835" s="12"/>
      <c r="N1835" s="12"/>
      <c r="O1835" s="12"/>
      <c r="P1835" s="12"/>
      <c r="Q1835" s="12"/>
      <c r="R1835" s="12"/>
      <c r="S1835" s="12"/>
      <c r="T1835" s="12"/>
      <c r="U1835" s="12"/>
      <c r="V1835" s="12"/>
      <c r="W1835" s="12"/>
      <c r="X1835" s="12"/>
      <c r="Y1835" s="12"/>
      <c r="Z1835" s="12"/>
    </row>
    <row r="1836" ht="15.0" customHeight="1">
      <c r="A1836" s="332">
        <v>2.0</v>
      </c>
      <c r="B1836" s="351">
        <v>0.069</v>
      </c>
      <c r="C1836" s="12"/>
      <c r="D1836" s="12"/>
      <c r="E1836" s="12"/>
      <c r="F1836" s="12"/>
      <c r="G1836" s="12"/>
      <c r="H1836" s="12"/>
      <c r="I1836" s="12"/>
      <c r="J1836" s="12"/>
      <c r="K1836" s="12"/>
      <c r="L1836" s="12"/>
      <c r="M1836" s="12"/>
      <c r="N1836" s="12"/>
      <c r="O1836" s="12"/>
      <c r="P1836" s="12"/>
      <c r="Q1836" s="12"/>
      <c r="R1836" s="12"/>
      <c r="S1836" s="12"/>
      <c r="T1836" s="12"/>
      <c r="U1836" s="12"/>
      <c r="V1836" s="12"/>
      <c r="W1836" s="12"/>
      <c r="X1836" s="12"/>
      <c r="Y1836" s="12"/>
      <c r="Z1836" s="12"/>
    </row>
    <row r="1837" ht="15.0" customHeight="1">
      <c r="A1837" s="332">
        <v>3.0</v>
      </c>
      <c r="B1837" s="351">
        <v>0.069</v>
      </c>
      <c r="C1837" s="12"/>
      <c r="D1837" s="12"/>
      <c r="E1837" s="12"/>
      <c r="F1837" s="12"/>
      <c r="G1837" s="12"/>
      <c r="H1837" s="12"/>
      <c r="I1837" s="12"/>
      <c r="J1837" s="12"/>
      <c r="K1837" s="12"/>
      <c r="L1837" s="12"/>
      <c r="M1837" s="12"/>
      <c r="N1837" s="12"/>
      <c r="O1837" s="12"/>
      <c r="P1837" s="12"/>
      <c r="Q1837" s="12"/>
      <c r="R1837" s="12"/>
      <c r="S1837" s="12"/>
      <c r="T1837" s="12"/>
      <c r="U1837" s="12"/>
      <c r="V1837" s="12"/>
      <c r="W1837" s="12"/>
      <c r="X1837" s="12"/>
      <c r="Y1837" s="12"/>
      <c r="Z1837" s="12"/>
    </row>
    <row r="1838" ht="15.0" customHeight="1">
      <c r="A1838" s="332">
        <v>4.0</v>
      </c>
      <c r="B1838" s="351">
        <v>0.069</v>
      </c>
      <c r="C1838" s="12"/>
      <c r="D1838" s="12"/>
      <c r="E1838" s="12"/>
      <c r="F1838" s="12"/>
      <c r="G1838" s="12"/>
      <c r="H1838" s="12"/>
      <c r="I1838" s="12"/>
      <c r="J1838" s="12"/>
      <c r="K1838" s="12"/>
      <c r="L1838" s="12"/>
      <c r="M1838" s="12"/>
      <c r="N1838" s="12"/>
      <c r="O1838" s="12"/>
      <c r="P1838" s="12"/>
      <c r="Q1838" s="12"/>
      <c r="R1838" s="12"/>
      <c r="S1838" s="12"/>
      <c r="T1838" s="12"/>
      <c r="U1838" s="12"/>
      <c r="V1838" s="12"/>
      <c r="W1838" s="12"/>
      <c r="X1838" s="12"/>
      <c r="Y1838" s="12"/>
      <c r="Z1838" s="12"/>
    </row>
    <row r="1839" ht="15.0" customHeight="1">
      <c r="A1839" s="332">
        <v>5.0</v>
      </c>
      <c r="B1839" s="351">
        <v>0.069</v>
      </c>
      <c r="C1839" s="12"/>
      <c r="D1839" s="12"/>
      <c r="E1839" s="12"/>
      <c r="F1839" s="12"/>
      <c r="G1839" s="12"/>
      <c r="H1839" s="12"/>
      <c r="I1839" s="12"/>
      <c r="J1839" s="12"/>
      <c r="K1839" s="12"/>
      <c r="L1839" s="12"/>
      <c r="M1839" s="12"/>
      <c r="N1839" s="12"/>
      <c r="O1839" s="12"/>
      <c r="P1839" s="12"/>
      <c r="Q1839" s="12"/>
      <c r="R1839" s="12"/>
      <c r="S1839" s="12"/>
      <c r="T1839" s="12"/>
      <c r="U1839" s="12"/>
      <c r="V1839" s="12"/>
      <c r="W1839" s="12"/>
      <c r="X1839" s="12"/>
      <c r="Y1839" s="12"/>
      <c r="Z1839" s="12"/>
    </row>
    <row r="1840" ht="15.0" customHeight="1">
      <c r="A1840" s="171">
        <v>6.0</v>
      </c>
      <c r="B1840" s="351">
        <v>0.05</v>
      </c>
      <c r="C1840" s="12"/>
      <c r="D1840" s="12"/>
      <c r="E1840" s="12"/>
      <c r="F1840" s="12"/>
      <c r="G1840" s="12"/>
      <c r="H1840" s="12"/>
      <c r="I1840" s="12"/>
      <c r="J1840" s="12"/>
      <c r="K1840" s="12"/>
      <c r="L1840" s="12"/>
      <c r="M1840" s="12"/>
      <c r="N1840" s="12"/>
      <c r="O1840" s="12"/>
      <c r="P1840" s="12"/>
      <c r="Q1840" s="12"/>
      <c r="R1840" s="12"/>
      <c r="S1840" s="12"/>
      <c r="T1840" s="12"/>
      <c r="U1840" s="12"/>
      <c r="V1840" s="12"/>
      <c r="W1840" s="12"/>
      <c r="X1840" s="12"/>
      <c r="Y1840" s="12"/>
      <c r="Z1840" s="12"/>
    </row>
    <row r="1841" ht="15.0" customHeight="1">
      <c r="A1841" s="349"/>
      <c r="B1841" s="350"/>
      <c r="C1841" s="12"/>
      <c r="D1841" s="12"/>
      <c r="E1841" s="12"/>
      <c r="F1841" s="12"/>
      <c r="G1841" s="12"/>
      <c r="H1841" s="12"/>
      <c r="I1841" s="12"/>
      <c r="J1841" s="12"/>
      <c r="K1841" s="12"/>
      <c r="L1841" s="12"/>
      <c r="M1841" s="12"/>
      <c r="N1841" s="12"/>
      <c r="O1841" s="12"/>
      <c r="P1841" s="12"/>
      <c r="Q1841" s="12"/>
      <c r="R1841" s="12"/>
      <c r="S1841" s="12"/>
      <c r="T1841" s="12"/>
      <c r="U1841" s="12"/>
      <c r="V1841" s="12"/>
      <c r="W1841" s="12"/>
      <c r="X1841" s="12"/>
      <c r="Y1841" s="12"/>
      <c r="Z1841" s="12"/>
    </row>
    <row r="1842" ht="15.0" customHeight="1">
      <c r="A1842" s="298" t="s">
        <v>1730</v>
      </c>
      <c r="B1842" s="350"/>
      <c r="C1842" s="12"/>
      <c r="D1842" s="12"/>
      <c r="E1842" s="12"/>
      <c r="F1842" s="12"/>
      <c r="G1842" s="12"/>
      <c r="H1842" s="12"/>
      <c r="I1842" s="12"/>
      <c r="J1842" s="12"/>
      <c r="K1842" s="12"/>
      <c r="L1842" s="12"/>
      <c r="M1842" s="12"/>
      <c r="N1842" s="12"/>
      <c r="O1842" s="12"/>
      <c r="P1842" s="12"/>
      <c r="Q1842" s="12"/>
      <c r="R1842" s="12"/>
      <c r="S1842" s="12"/>
      <c r="T1842" s="12"/>
      <c r="U1842" s="12"/>
      <c r="V1842" s="12"/>
      <c r="W1842" s="12"/>
      <c r="X1842" s="12"/>
      <c r="Y1842" s="12"/>
      <c r="Z1842" s="12"/>
    </row>
    <row r="1843" ht="15.0" customHeight="1">
      <c r="A1843" s="349"/>
      <c r="B1843" s="350"/>
      <c r="C1843" s="12"/>
      <c r="D1843" s="12"/>
      <c r="E1843" s="12"/>
      <c r="F1843" s="12"/>
      <c r="G1843" s="12"/>
      <c r="H1843" s="12"/>
      <c r="I1843" s="12"/>
      <c r="J1843" s="12"/>
      <c r="K1843" s="12"/>
      <c r="L1843" s="12"/>
      <c r="M1843" s="12"/>
      <c r="N1843" s="12"/>
      <c r="O1843" s="12"/>
      <c r="P1843" s="12"/>
      <c r="Q1843" s="12"/>
      <c r="R1843" s="12"/>
      <c r="S1843" s="12"/>
      <c r="T1843" s="12"/>
      <c r="U1843" s="12"/>
      <c r="V1843" s="12"/>
      <c r="W1843" s="12"/>
      <c r="X1843" s="12"/>
      <c r="Y1843" s="12"/>
      <c r="Z1843" s="12"/>
    </row>
    <row r="1844" ht="15.0" customHeight="1">
      <c r="A1844" s="291" t="s">
        <v>1917</v>
      </c>
      <c r="B1844" s="291" t="s">
        <v>1918</v>
      </c>
      <c r="C1844" s="12"/>
      <c r="D1844" s="12"/>
      <c r="E1844" s="12"/>
      <c r="F1844" s="12"/>
      <c r="G1844" s="12"/>
      <c r="H1844" s="12"/>
      <c r="I1844" s="12"/>
      <c r="J1844" s="12"/>
      <c r="K1844" s="12"/>
      <c r="L1844" s="12"/>
      <c r="M1844" s="12"/>
      <c r="N1844" s="12"/>
      <c r="O1844" s="12"/>
      <c r="P1844" s="12"/>
      <c r="Q1844" s="12"/>
      <c r="R1844" s="12"/>
      <c r="S1844" s="12"/>
      <c r="T1844" s="12"/>
      <c r="U1844" s="12"/>
      <c r="V1844" s="12"/>
      <c r="W1844" s="12"/>
      <c r="X1844" s="12"/>
      <c r="Y1844" s="12"/>
      <c r="Z1844" s="12"/>
    </row>
    <row r="1845" ht="15.0" customHeight="1">
      <c r="A1845" s="332">
        <v>1.0</v>
      </c>
      <c r="B1845" s="351">
        <v>0.07</v>
      </c>
      <c r="C1845" s="12"/>
      <c r="D1845" s="12"/>
      <c r="E1845" s="12"/>
      <c r="F1845" s="12"/>
      <c r="G1845" s="12"/>
      <c r="H1845" s="12"/>
      <c r="I1845" s="12"/>
      <c r="J1845" s="12"/>
      <c r="K1845" s="12"/>
      <c r="L1845" s="12"/>
      <c r="M1845" s="12"/>
      <c r="N1845" s="12"/>
      <c r="O1845" s="12"/>
      <c r="P1845" s="12"/>
      <c r="Q1845" s="12"/>
      <c r="R1845" s="12"/>
      <c r="S1845" s="12"/>
      <c r="T1845" s="12"/>
      <c r="U1845" s="12"/>
      <c r="V1845" s="12"/>
      <c r="W1845" s="12"/>
      <c r="X1845" s="12"/>
      <c r="Y1845" s="12"/>
      <c r="Z1845" s="12"/>
    </row>
    <row r="1846" ht="15.0" customHeight="1">
      <c r="A1846" s="332">
        <v>2.0</v>
      </c>
      <c r="B1846" s="351">
        <v>0.06</v>
      </c>
      <c r="C1846" s="12"/>
      <c r="D1846" s="12"/>
      <c r="E1846" s="12"/>
      <c r="F1846" s="12"/>
      <c r="G1846" s="12"/>
      <c r="H1846" s="12"/>
      <c r="I1846" s="12"/>
      <c r="J1846" s="12"/>
      <c r="K1846" s="12"/>
      <c r="L1846" s="12"/>
      <c r="M1846" s="12"/>
      <c r="N1846" s="12"/>
      <c r="O1846" s="12"/>
      <c r="P1846" s="12"/>
      <c r="Q1846" s="12"/>
      <c r="R1846" s="12"/>
      <c r="S1846" s="12"/>
      <c r="T1846" s="12"/>
      <c r="U1846" s="12"/>
      <c r="V1846" s="12"/>
      <c r="W1846" s="12"/>
      <c r="X1846" s="12"/>
      <c r="Y1846" s="12"/>
      <c r="Z1846" s="12"/>
    </row>
    <row r="1847" ht="15.0" customHeight="1">
      <c r="A1847" s="332">
        <v>3.0</v>
      </c>
      <c r="B1847" s="351">
        <v>0.05</v>
      </c>
      <c r="C1847" s="12"/>
      <c r="D1847" s="12"/>
      <c r="E1847" s="12"/>
      <c r="F1847" s="12"/>
      <c r="G1847" s="12"/>
      <c r="H1847" s="12"/>
      <c r="I1847" s="12"/>
      <c r="J1847" s="12"/>
      <c r="K1847" s="12"/>
      <c r="L1847" s="12"/>
      <c r="M1847" s="12"/>
      <c r="N1847" s="12"/>
      <c r="O1847" s="12"/>
      <c r="P1847" s="12"/>
      <c r="Q1847" s="12"/>
      <c r="R1847" s="12"/>
      <c r="S1847" s="12"/>
      <c r="T1847" s="12"/>
      <c r="U1847" s="12"/>
      <c r="V1847" s="12"/>
      <c r="W1847" s="12"/>
      <c r="X1847" s="12"/>
      <c r="Y1847" s="12"/>
      <c r="Z1847" s="12"/>
    </row>
    <row r="1848" ht="15.0" customHeight="1">
      <c r="A1848" s="349"/>
      <c r="B1848" s="350"/>
      <c r="C1848" s="12"/>
      <c r="D1848" s="12"/>
      <c r="E1848" s="12"/>
      <c r="F1848" s="12"/>
      <c r="G1848" s="12"/>
      <c r="H1848" s="12"/>
      <c r="I1848" s="12"/>
      <c r="J1848" s="12"/>
      <c r="K1848" s="12"/>
      <c r="L1848" s="12"/>
      <c r="M1848" s="12"/>
      <c r="N1848" s="12"/>
      <c r="O1848" s="12"/>
      <c r="P1848" s="12"/>
      <c r="Q1848" s="12"/>
      <c r="R1848" s="12"/>
      <c r="S1848" s="12"/>
      <c r="T1848" s="12"/>
      <c r="U1848" s="12"/>
      <c r="V1848" s="12"/>
      <c r="W1848" s="12"/>
      <c r="X1848" s="12"/>
      <c r="Y1848" s="12"/>
      <c r="Z1848" s="12"/>
    </row>
    <row r="1849" ht="15.0" customHeight="1">
      <c r="A1849" s="298" t="s">
        <v>1736</v>
      </c>
      <c r="B1849" s="350"/>
      <c r="C1849" s="12"/>
      <c r="D1849" s="12"/>
      <c r="E1849" s="12"/>
      <c r="F1849" s="12"/>
      <c r="G1849" s="12"/>
      <c r="H1849" s="12"/>
      <c r="I1849" s="12"/>
      <c r="J1849" s="12"/>
      <c r="K1849" s="12"/>
      <c r="L1849" s="12"/>
      <c r="M1849" s="12"/>
      <c r="N1849" s="12"/>
      <c r="O1849" s="12"/>
      <c r="P1849" s="12"/>
      <c r="Q1849" s="12"/>
      <c r="R1849" s="12"/>
      <c r="S1849" s="12"/>
      <c r="T1849" s="12"/>
      <c r="U1849" s="12"/>
      <c r="V1849" s="12"/>
      <c r="W1849" s="12"/>
      <c r="X1849" s="12"/>
      <c r="Y1849" s="12"/>
      <c r="Z1849" s="12"/>
    </row>
    <row r="1850" ht="15.0" customHeight="1">
      <c r="A1850" s="349"/>
      <c r="B1850" s="350"/>
      <c r="C1850" s="12"/>
      <c r="D1850" s="12"/>
      <c r="E1850" s="12"/>
      <c r="F1850" s="12"/>
      <c r="G1850" s="12"/>
      <c r="H1850" s="12"/>
      <c r="I1850" s="12"/>
      <c r="J1850" s="12"/>
      <c r="K1850" s="12"/>
      <c r="L1850" s="12"/>
      <c r="M1850" s="12"/>
      <c r="N1850" s="12"/>
      <c r="O1850" s="12"/>
      <c r="P1850" s="12"/>
      <c r="Q1850" s="12"/>
      <c r="R1850" s="12"/>
      <c r="S1850" s="12"/>
      <c r="T1850" s="12"/>
      <c r="U1850" s="12"/>
      <c r="V1850" s="12"/>
      <c r="W1850" s="12"/>
      <c r="X1850" s="12"/>
      <c r="Y1850" s="12"/>
      <c r="Z1850" s="12"/>
    </row>
    <row r="1851" ht="15.0" customHeight="1">
      <c r="A1851" s="291" t="s">
        <v>1917</v>
      </c>
      <c r="B1851" s="291" t="s">
        <v>1918</v>
      </c>
      <c r="C1851" s="12"/>
      <c r="D1851" s="12"/>
      <c r="E1851" s="12"/>
      <c r="F1851" s="12"/>
      <c r="G1851" s="12"/>
      <c r="H1851" s="12"/>
      <c r="I1851" s="12"/>
      <c r="J1851" s="12"/>
      <c r="K1851" s="12"/>
      <c r="L1851" s="12"/>
      <c r="M1851" s="12"/>
      <c r="N1851" s="12"/>
      <c r="O1851" s="12"/>
      <c r="P1851" s="12"/>
      <c r="Q1851" s="12"/>
      <c r="R1851" s="12"/>
      <c r="S1851" s="12"/>
      <c r="T1851" s="12"/>
      <c r="U1851" s="12"/>
      <c r="V1851" s="12"/>
      <c r="W1851" s="12"/>
      <c r="X1851" s="12"/>
      <c r="Y1851" s="12"/>
      <c r="Z1851" s="12"/>
    </row>
    <row r="1852" ht="15.0" customHeight="1">
      <c r="A1852" s="332">
        <v>1.0</v>
      </c>
      <c r="B1852" s="351">
        <v>0.035</v>
      </c>
      <c r="C1852" s="12"/>
      <c r="D1852" s="12"/>
      <c r="E1852" s="12"/>
      <c r="F1852" s="12"/>
      <c r="G1852" s="12"/>
      <c r="H1852" s="12"/>
      <c r="I1852" s="12"/>
      <c r="J1852" s="12"/>
      <c r="K1852" s="12"/>
      <c r="L1852" s="12"/>
      <c r="M1852" s="12"/>
      <c r="N1852" s="12"/>
      <c r="O1852" s="12"/>
      <c r="P1852" s="12"/>
      <c r="Q1852" s="12"/>
      <c r="R1852" s="12"/>
      <c r="S1852" s="12"/>
      <c r="T1852" s="12"/>
      <c r="U1852" s="12"/>
      <c r="V1852" s="12"/>
      <c r="W1852" s="12"/>
      <c r="X1852" s="12"/>
      <c r="Y1852" s="12"/>
      <c r="Z1852" s="12"/>
    </row>
    <row r="1853" ht="15.0" customHeight="1">
      <c r="A1853" s="349"/>
      <c r="B1853" s="350"/>
      <c r="C1853" s="12"/>
      <c r="D1853" s="12"/>
      <c r="E1853" s="12"/>
      <c r="F1853" s="12"/>
      <c r="G1853" s="12"/>
      <c r="H1853" s="12"/>
      <c r="I1853" s="12"/>
      <c r="J1853" s="12"/>
      <c r="K1853" s="12"/>
      <c r="L1853" s="12"/>
      <c r="M1853" s="12"/>
      <c r="N1853" s="12"/>
      <c r="O1853" s="12"/>
      <c r="P1853" s="12"/>
      <c r="Q1853" s="12"/>
      <c r="R1853" s="12"/>
      <c r="S1853" s="12"/>
      <c r="T1853" s="12"/>
      <c r="U1853" s="12"/>
      <c r="V1853" s="12"/>
      <c r="W1853" s="12"/>
      <c r="X1853" s="12"/>
      <c r="Y1853" s="12"/>
      <c r="Z1853" s="12"/>
    </row>
    <row r="1854" ht="15.0" customHeight="1">
      <c r="A1854" s="112" t="s">
        <v>1742</v>
      </c>
      <c r="B1854" s="350"/>
      <c r="C1854" s="12"/>
      <c r="D1854" s="12"/>
      <c r="E1854" s="12"/>
      <c r="F1854" s="12"/>
      <c r="G1854" s="12"/>
      <c r="H1854" s="12"/>
      <c r="I1854" s="12"/>
      <c r="J1854" s="12"/>
      <c r="K1854" s="12"/>
      <c r="L1854" s="12"/>
      <c r="M1854" s="12"/>
      <c r="N1854" s="12"/>
      <c r="O1854" s="12"/>
      <c r="P1854" s="12"/>
      <c r="Q1854" s="12"/>
      <c r="R1854" s="12"/>
      <c r="S1854" s="12"/>
      <c r="T1854" s="12"/>
      <c r="U1854" s="12"/>
      <c r="V1854" s="12"/>
      <c r="W1854" s="12"/>
      <c r="X1854" s="12"/>
      <c r="Y1854" s="12"/>
      <c r="Z1854" s="12"/>
    </row>
    <row r="1855" ht="15.0" customHeight="1">
      <c r="A1855" s="349"/>
      <c r="B1855" s="350"/>
      <c r="C1855" s="12"/>
      <c r="D1855" s="12"/>
      <c r="E1855" s="12"/>
      <c r="F1855" s="12"/>
      <c r="G1855" s="12"/>
      <c r="H1855" s="12"/>
      <c r="I1855" s="12"/>
      <c r="J1855" s="12"/>
      <c r="K1855" s="12"/>
      <c r="L1855" s="12"/>
      <c r="M1855" s="12"/>
      <c r="N1855" s="12"/>
      <c r="O1855" s="12"/>
      <c r="P1855" s="12"/>
      <c r="Q1855" s="12"/>
      <c r="R1855" s="12"/>
      <c r="S1855" s="12"/>
      <c r="T1855" s="12"/>
      <c r="U1855" s="12"/>
      <c r="V1855" s="12"/>
      <c r="W1855" s="12"/>
      <c r="X1855" s="12"/>
      <c r="Y1855" s="12"/>
      <c r="Z1855" s="12"/>
    </row>
    <row r="1856" ht="15.0" customHeight="1">
      <c r="A1856" s="171" t="s">
        <v>1916</v>
      </c>
      <c r="B1856" s="171">
        <v>1.0</v>
      </c>
      <c r="C1856" s="171">
        <v>2.0</v>
      </c>
      <c r="D1856" s="171">
        <v>3.0</v>
      </c>
      <c r="E1856" s="171">
        <v>4.0</v>
      </c>
      <c r="F1856" s="171">
        <v>5.0</v>
      </c>
      <c r="G1856" s="171">
        <v>6.0</v>
      </c>
      <c r="H1856" s="12"/>
      <c r="I1856" s="12"/>
      <c r="J1856" s="12"/>
      <c r="K1856" s="12"/>
      <c r="L1856" s="12"/>
      <c r="M1856" s="12"/>
      <c r="N1856" s="12"/>
      <c r="O1856" s="12"/>
      <c r="P1856" s="12"/>
      <c r="Q1856" s="12"/>
      <c r="R1856" s="12"/>
      <c r="S1856" s="12"/>
      <c r="T1856" s="12"/>
      <c r="U1856" s="12"/>
      <c r="V1856" s="12"/>
      <c r="W1856" s="12"/>
      <c r="X1856" s="12"/>
      <c r="Y1856" s="12"/>
      <c r="Z1856" s="12"/>
    </row>
    <row r="1857" ht="15.0" customHeight="1">
      <c r="A1857" s="322">
        <v>0.0</v>
      </c>
      <c r="B1857" s="113">
        <v>0.04</v>
      </c>
      <c r="C1857" s="113">
        <v>0.04</v>
      </c>
      <c r="D1857" s="113">
        <v>0.04</v>
      </c>
      <c r="E1857" s="113">
        <v>0.04</v>
      </c>
      <c r="F1857" s="113">
        <v>0.03</v>
      </c>
      <c r="G1857" s="113">
        <v>0.03</v>
      </c>
      <c r="H1857" s="12"/>
      <c r="I1857" s="12"/>
      <c r="J1857" s="12"/>
      <c r="K1857" s="12"/>
      <c r="L1857" s="12"/>
      <c r="M1857" s="12"/>
      <c r="N1857" s="12"/>
      <c r="O1857" s="12"/>
      <c r="P1857" s="12"/>
      <c r="Q1857" s="12"/>
      <c r="R1857" s="12"/>
      <c r="S1857" s="12"/>
      <c r="T1857" s="12"/>
      <c r="U1857" s="12"/>
      <c r="V1857" s="12"/>
      <c r="W1857" s="12"/>
      <c r="X1857" s="12"/>
      <c r="Y1857" s="12"/>
      <c r="Z1857" s="12"/>
    </row>
    <row r="1858" ht="15.0" customHeight="1">
      <c r="A1858" s="352">
        <v>200000.0</v>
      </c>
      <c r="B1858" s="113">
        <v>0.04</v>
      </c>
      <c r="C1858" s="113">
        <v>0.04</v>
      </c>
      <c r="D1858" s="113">
        <v>0.04</v>
      </c>
      <c r="E1858" s="113">
        <v>0.03</v>
      </c>
      <c r="F1858" s="113">
        <v>0.03</v>
      </c>
      <c r="G1858" s="113">
        <v>0.02</v>
      </c>
      <c r="H1858" s="12"/>
      <c r="I1858" s="12"/>
      <c r="J1858" s="12"/>
      <c r="K1858" s="12"/>
      <c r="L1858" s="12"/>
      <c r="M1858" s="12"/>
      <c r="N1858" s="12"/>
      <c r="O1858" s="12"/>
      <c r="P1858" s="12"/>
      <c r="Q1858" s="12"/>
      <c r="R1858" s="12"/>
      <c r="S1858" s="12"/>
      <c r="T1858" s="12"/>
      <c r="U1858" s="12"/>
      <c r="V1858" s="12"/>
      <c r="W1858" s="12"/>
      <c r="X1858" s="12"/>
      <c r="Y1858" s="12"/>
      <c r="Z1858" s="12"/>
    </row>
    <row r="1859" ht="15.0" customHeight="1">
      <c r="A1859" s="352">
        <v>500000.0</v>
      </c>
      <c r="B1859" s="113">
        <v>0.04</v>
      </c>
      <c r="C1859" s="113">
        <v>0.03</v>
      </c>
      <c r="D1859" s="113">
        <v>0.03</v>
      </c>
      <c r="E1859" s="113">
        <v>0.03</v>
      </c>
      <c r="F1859" s="113">
        <v>0.03</v>
      </c>
      <c r="G1859" s="113">
        <v>0.02</v>
      </c>
      <c r="H1859" s="12"/>
      <c r="I1859" s="12"/>
      <c r="J1859" s="12"/>
      <c r="K1859" s="12"/>
      <c r="L1859" s="12"/>
      <c r="M1859" s="12"/>
      <c r="N1859" s="12"/>
      <c r="O1859" s="12"/>
      <c r="P1859" s="12"/>
      <c r="Q1859" s="12"/>
      <c r="R1859" s="12"/>
      <c r="S1859" s="12"/>
      <c r="T1859" s="12"/>
      <c r="U1859" s="12"/>
      <c r="V1859" s="12"/>
      <c r="W1859" s="12"/>
      <c r="X1859" s="12"/>
      <c r="Y1859" s="12"/>
      <c r="Z1859" s="12"/>
    </row>
    <row r="1860" ht="15.0" customHeight="1">
      <c r="A1860" s="349"/>
      <c r="B1860" s="350"/>
      <c r="C1860" s="12"/>
      <c r="D1860" s="12"/>
      <c r="E1860" s="12"/>
      <c r="F1860" s="12"/>
      <c r="G1860" s="12"/>
      <c r="H1860" s="12"/>
      <c r="I1860" s="12"/>
      <c r="J1860" s="12"/>
      <c r="K1860" s="12"/>
      <c r="L1860" s="12"/>
      <c r="M1860" s="12"/>
      <c r="N1860" s="12"/>
      <c r="O1860" s="12"/>
      <c r="P1860" s="12"/>
      <c r="Q1860" s="12"/>
      <c r="R1860" s="12"/>
      <c r="S1860" s="12"/>
      <c r="T1860" s="12"/>
      <c r="U1860" s="12"/>
      <c r="V1860" s="12"/>
      <c r="W1860" s="12"/>
      <c r="X1860" s="12"/>
      <c r="Y1860" s="12"/>
      <c r="Z1860" s="12"/>
    </row>
    <row r="1861" ht="15.0" customHeight="1">
      <c r="A1861" s="112" t="s">
        <v>1747</v>
      </c>
      <c r="B1861" s="350"/>
      <c r="C1861" s="12"/>
      <c r="D1861" s="12"/>
      <c r="E1861" s="12"/>
      <c r="F1861" s="12"/>
      <c r="G1861" s="12"/>
      <c r="H1861" s="12"/>
      <c r="I1861" s="12"/>
      <c r="J1861" s="12"/>
      <c r="K1861" s="12"/>
      <c r="L1861" s="12"/>
      <c r="M1861" s="12"/>
      <c r="N1861" s="12"/>
      <c r="O1861" s="12"/>
      <c r="P1861" s="12"/>
      <c r="Q1861" s="12"/>
      <c r="R1861" s="12"/>
      <c r="S1861" s="12"/>
      <c r="T1861" s="12"/>
      <c r="U1861" s="12"/>
      <c r="V1861" s="12"/>
      <c r="W1861" s="12"/>
      <c r="X1861" s="12"/>
      <c r="Y1861" s="12"/>
      <c r="Z1861" s="12"/>
    </row>
    <row r="1862" ht="15.0" customHeight="1">
      <c r="A1862" s="349"/>
      <c r="B1862" s="350"/>
      <c r="C1862" s="12"/>
      <c r="D1862" s="12"/>
      <c r="E1862" s="12"/>
      <c r="F1862" s="12"/>
      <c r="G1862" s="12"/>
      <c r="H1862" s="12"/>
      <c r="I1862" s="12"/>
      <c r="J1862" s="12"/>
      <c r="K1862" s="12"/>
      <c r="L1862" s="12"/>
      <c r="M1862" s="12"/>
      <c r="N1862" s="12"/>
      <c r="O1862" s="12"/>
      <c r="P1862" s="12"/>
      <c r="Q1862" s="12"/>
      <c r="R1862" s="12"/>
      <c r="S1862" s="12"/>
      <c r="T1862" s="12"/>
      <c r="U1862" s="12"/>
      <c r="V1862" s="12"/>
      <c r="W1862" s="12"/>
      <c r="X1862" s="12"/>
      <c r="Y1862" s="12"/>
      <c r="Z1862" s="12"/>
    </row>
    <row r="1863" ht="15.0" customHeight="1">
      <c r="A1863" s="291" t="s">
        <v>1917</v>
      </c>
      <c r="B1863" s="291" t="s">
        <v>1918</v>
      </c>
      <c r="C1863" s="12"/>
      <c r="D1863" s="12"/>
      <c r="E1863" s="12"/>
      <c r="F1863" s="12"/>
      <c r="G1863" s="12"/>
      <c r="H1863" s="12"/>
      <c r="I1863" s="12"/>
      <c r="J1863" s="12"/>
      <c r="K1863" s="12"/>
      <c r="L1863" s="12"/>
      <c r="M1863" s="12"/>
      <c r="N1863" s="12"/>
      <c r="O1863" s="12"/>
      <c r="P1863" s="12"/>
      <c r="Q1863" s="12"/>
      <c r="R1863" s="12"/>
      <c r="S1863" s="12"/>
      <c r="T1863" s="12"/>
      <c r="U1863" s="12"/>
      <c r="V1863" s="12"/>
      <c r="W1863" s="12"/>
      <c r="X1863" s="12"/>
      <c r="Y1863" s="12"/>
      <c r="Z1863" s="12"/>
    </row>
    <row r="1864" ht="15.0" customHeight="1">
      <c r="A1864" s="332">
        <v>1.0</v>
      </c>
      <c r="B1864" s="351">
        <v>0.055</v>
      </c>
      <c r="C1864" s="12"/>
      <c r="D1864" s="12"/>
      <c r="E1864" s="12"/>
      <c r="F1864" s="12"/>
      <c r="G1864" s="12"/>
      <c r="H1864" s="12"/>
      <c r="I1864" s="12"/>
      <c r="J1864" s="12"/>
      <c r="K1864" s="12"/>
      <c r="L1864" s="12"/>
      <c r="M1864" s="12"/>
      <c r="N1864" s="12"/>
      <c r="O1864" s="12"/>
      <c r="P1864" s="12"/>
      <c r="Q1864" s="12"/>
      <c r="R1864" s="12"/>
      <c r="S1864" s="12"/>
      <c r="T1864" s="12"/>
      <c r="U1864" s="12"/>
      <c r="V1864" s="12"/>
      <c r="W1864" s="12"/>
      <c r="X1864" s="12"/>
      <c r="Y1864" s="12"/>
      <c r="Z1864" s="12"/>
    </row>
    <row r="1865" ht="15.0" customHeight="1">
      <c r="A1865" s="332">
        <v>2.0</v>
      </c>
      <c r="B1865" s="351">
        <v>0.055</v>
      </c>
      <c r="C1865" s="12"/>
      <c r="D1865" s="12"/>
      <c r="E1865" s="12"/>
      <c r="F1865" s="12"/>
      <c r="G1865" s="12"/>
      <c r="H1865" s="12"/>
      <c r="I1865" s="12"/>
      <c r="J1865" s="12"/>
      <c r="K1865" s="12"/>
      <c r="L1865" s="12"/>
      <c r="M1865" s="12"/>
      <c r="N1865" s="12"/>
      <c r="O1865" s="12"/>
      <c r="P1865" s="12"/>
      <c r="Q1865" s="12"/>
      <c r="R1865" s="12"/>
      <c r="S1865" s="12"/>
      <c r="T1865" s="12"/>
      <c r="U1865" s="12"/>
      <c r="V1865" s="12"/>
      <c r="W1865" s="12"/>
      <c r="X1865" s="12"/>
      <c r="Y1865" s="12"/>
      <c r="Z1865" s="12"/>
    </row>
    <row r="1866" ht="15.0" customHeight="1">
      <c r="A1866" s="332">
        <v>3.0</v>
      </c>
      <c r="B1866" s="351">
        <v>0.055</v>
      </c>
      <c r="C1866" s="12"/>
      <c r="D1866" s="12"/>
      <c r="E1866" s="12"/>
      <c r="F1866" s="12"/>
      <c r="G1866" s="12"/>
      <c r="H1866" s="12"/>
      <c r="I1866" s="12"/>
      <c r="J1866" s="12"/>
      <c r="K1866" s="12"/>
      <c r="L1866" s="12"/>
      <c r="M1866" s="12"/>
      <c r="N1866" s="12"/>
      <c r="O1866" s="12"/>
      <c r="P1866" s="12"/>
      <c r="Q1866" s="12"/>
      <c r="R1866" s="12"/>
      <c r="S1866" s="12"/>
      <c r="T1866" s="12"/>
      <c r="U1866" s="12"/>
      <c r="V1866" s="12"/>
      <c r="W1866" s="12"/>
      <c r="X1866" s="12"/>
      <c r="Y1866" s="12"/>
      <c r="Z1866" s="12"/>
    </row>
    <row r="1867" ht="15.0" customHeight="1">
      <c r="A1867" s="332">
        <v>4.0</v>
      </c>
      <c r="B1867" s="351">
        <v>0.055</v>
      </c>
      <c r="C1867" s="12"/>
      <c r="D1867" s="12"/>
      <c r="E1867" s="12"/>
      <c r="F1867" s="12"/>
      <c r="G1867" s="12"/>
      <c r="H1867" s="12"/>
      <c r="I1867" s="12"/>
      <c r="J1867" s="12"/>
      <c r="K1867" s="12"/>
      <c r="L1867" s="12"/>
      <c r="M1867" s="12"/>
      <c r="N1867" s="12"/>
      <c r="O1867" s="12"/>
      <c r="P1867" s="12"/>
      <c r="Q1867" s="12"/>
      <c r="R1867" s="12"/>
      <c r="S1867" s="12"/>
      <c r="T1867" s="12"/>
      <c r="U1867" s="12"/>
      <c r="V1867" s="12"/>
      <c r="W1867" s="12"/>
      <c r="X1867" s="12"/>
      <c r="Y1867" s="12"/>
      <c r="Z1867" s="12"/>
    </row>
    <row r="1868" ht="15.0" customHeight="1">
      <c r="A1868" s="332">
        <v>5.0</v>
      </c>
      <c r="B1868" s="351">
        <v>0.055</v>
      </c>
      <c r="C1868" s="12"/>
      <c r="D1868" s="12"/>
      <c r="E1868" s="12"/>
      <c r="F1868" s="12"/>
      <c r="G1868" s="12"/>
      <c r="H1868" s="12"/>
      <c r="I1868" s="12"/>
      <c r="J1868" s="12"/>
      <c r="K1868" s="12"/>
      <c r="L1868" s="12"/>
      <c r="M1868" s="12"/>
      <c r="N1868" s="12"/>
      <c r="O1868" s="12"/>
      <c r="P1868" s="12"/>
      <c r="Q1868" s="12"/>
      <c r="R1868" s="12"/>
      <c r="S1868" s="12"/>
      <c r="T1868" s="12"/>
      <c r="U1868" s="12"/>
      <c r="V1868" s="12"/>
      <c r="W1868" s="12"/>
      <c r="X1868" s="12"/>
      <c r="Y1868" s="12"/>
      <c r="Z1868" s="12"/>
    </row>
    <row r="1869" ht="15.0" customHeight="1">
      <c r="A1869" s="171">
        <v>6.0</v>
      </c>
      <c r="B1869" s="351">
        <v>0.025</v>
      </c>
      <c r="C1869" s="12"/>
      <c r="D1869" s="12"/>
      <c r="E1869" s="12"/>
      <c r="F1869" s="12"/>
      <c r="G1869" s="12"/>
      <c r="H1869" s="12"/>
      <c r="I1869" s="12"/>
      <c r="J1869" s="12"/>
      <c r="K1869" s="12"/>
      <c r="L1869" s="12"/>
      <c r="M1869" s="12"/>
      <c r="N1869" s="12"/>
      <c r="O1869" s="12"/>
      <c r="P1869" s="12"/>
      <c r="Q1869" s="12"/>
      <c r="R1869" s="12"/>
      <c r="S1869" s="12"/>
      <c r="T1869" s="12"/>
      <c r="U1869" s="12"/>
      <c r="V1869" s="12"/>
      <c r="W1869" s="12"/>
      <c r="X1869" s="12"/>
      <c r="Y1869" s="12"/>
      <c r="Z1869" s="12"/>
    </row>
    <row r="1870" ht="15.0" customHeight="1">
      <c r="A1870" s="332">
        <v>7.0</v>
      </c>
      <c r="B1870" s="351">
        <v>0.025</v>
      </c>
      <c r="C1870" s="12"/>
      <c r="D1870" s="12"/>
      <c r="E1870" s="12"/>
      <c r="F1870" s="12"/>
      <c r="G1870" s="12"/>
      <c r="H1870" s="12"/>
      <c r="I1870" s="12"/>
      <c r="J1870" s="12"/>
      <c r="K1870" s="12"/>
      <c r="L1870" s="12"/>
      <c r="M1870" s="12"/>
      <c r="N1870" s="12"/>
      <c r="O1870" s="12"/>
      <c r="P1870" s="12"/>
      <c r="Q1870" s="12"/>
      <c r="R1870" s="12"/>
      <c r="S1870" s="12"/>
      <c r="T1870" s="12"/>
      <c r="U1870" s="12"/>
      <c r="V1870" s="12"/>
      <c r="W1870" s="12"/>
      <c r="X1870" s="12"/>
      <c r="Y1870" s="12"/>
      <c r="Z1870" s="12"/>
    </row>
    <row r="1871" ht="15.0" customHeight="1">
      <c r="A1871" s="171">
        <v>8.0</v>
      </c>
      <c r="B1871" s="351">
        <v>0.025</v>
      </c>
      <c r="C1871" s="12"/>
      <c r="D1871" s="12"/>
      <c r="E1871" s="12"/>
      <c r="F1871" s="12"/>
      <c r="G1871" s="12"/>
      <c r="H1871" s="12"/>
      <c r="I1871" s="12"/>
      <c r="J1871" s="12"/>
      <c r="K1871" s="12"/>
      <c r="L1871" s="12"/>
      <c r="M1871" s="12"/>
      <c r="N1871" s="12"/>
      <c r="O1871" s="12"/>
      <c r="P1871" s="12"/>
      <c r="Q1871" s="12"/>
      <c r="R1871" s="12"/>
      <c r="S1871" s="12"/>
      <c r="T1871" s="12"/>
      <c r="U1871" s="12"/>
      <c r="V1871" s="12"/>
      <c r="W1871" s="12"/>
      <c r="X1871" s="12"/>
      <c r="Y1871" s="12"/>
      <c r="Z1871" s="12"/>
    </row>
    <row r="1872" ht="15.0" customHeight="1">
      <c r="A1872" s="332">
        <v>9.0</v>
      </c>
      <c r="B1872" s="351">
        <v>0.025</v>
      </c>
      <c r="C1872" s="12"/>
      <c r="D1872" s="12"/>
      <c r="E1872" s="12"/>
      <c r="F1872" s="12"/>
      <c r="G1872" s="12"/>
      <c r="H1872" s="12"/>
      <c r="I1872" s="12"/>
      <c r="J1872" s="12"/>
      <c r="K1872" s="12"/>
      <c r="L1872" s="12"/>
      <c r="M1872" s="12"/>
      <c r="N1872" s="12"/>
      <c r="O1872" s="12"/>
      <c r="P1872" s="12"/>
      <c r="Q1872" s="12"/>
      <c r="R1872" s="12"/>
      <c r="S1872" s="12"/>
      <c r="T1872" s="12"/>
      <c r="U1872" s="12"/>
      <c r="V1872" s="12"/>
      <c r="W1872" s="12"/>
      <c r="X1872" s="12"/>
      <c r="Y1872" s="12"/>
      <c r="Z1872" s="12"/>
    </row>
    <row r="1873" ht="15.0" customHeight="1">
      <c r="A1873" s="171">
        <v>10.0</v>
      </c>
      <c r="B1873" s="351">
        <v>0.025</v>
      </c>
      <c r="C1873" s="12"/>
      <c r="D1873" s="12"/>
      <c r="E1873" s="12"/>
      <c r="F1873" s="12"/>
      <c r="G1873" s="12"/>
      <c r="H1873" s="12"/>
      <c r="I1873" s="12"/>
      <c r="J1873" s="12"/>
      <c r="K1873" s="12"/>
      <c r="L1873" s="12"/>
      <c r="M1873" s="12"/>
      <c r="N1873" s="12"/>
      <c r="O1873" s="12"/>
      <c r="P1873" s="12"/>
      <c r="Q1873" s="12"/>
      <c r="R1873" s="12"/>
      <c r="S1873" s="12"/>
      <c r="T1873" s="12"/>
      <c r="U1873" s="12"/>
      <c r="V1873" s="12"/>
      <c r="W1873" s="12"/>
      <c r="X1873" s="12"/>
      <c r="Y1873" s="12"/>
      <c r="Z1873" s="12"/>
    </row>
    <row r="1874" ht="15.0" customHeight="1">
      <c r="A1874" s="332">
        <v>11.0</v>
      </c>
      <c r="B1874" s="351">
        <v>0.0</v>
      </c>
      <c r="C1874" s="12"/>
      <c r="D1874" s="12"/>
      <c r="E1874" s="12"/>
      <c r="F1874" s="12"/>
      <c r="G1874" s="12"/>
      <c r="H1874" s="12"/>
      <c r="I1874" s="12"/>
      <c r="J1874" s="12"/>
      <c r="K1874" s="12"/>
      <c r="L1874" s="12"/>
      <c r="M1874" s="12"/>
      <c r="N1874" s="12"/>
      <c r="O1874" s="12"/>
      <c r="P1874" s="12"/>
      <c r="Q1874" s="12"/>
      <c r="R1874" s="12"/>
      <c r="S1874" s="12"/>
      <c r="T1874" s="12"/>
      <c r="U1874" s="12"/>
      <c r="V1874" s="12"/>
      <c r="W1874" s="12"/>
      <c r="X1874" s="12"/>
      <c r="Y1874" s="12"/>
      <c r="Z1874" s="12"/>
    </row>
    <row r="1875" ht="15.0" customHeight="1">
      <c r="A1875" s="349"/>
      <c r="B1875" s="350"/>
      <c r="C1875" s="12"/>
      <c r="D1875" s="12"/>
      <c r="E1875" s="12"/>
      <c r="F1875" s="12"/>
      <c r="G1875" s="12"/>
      <c r="H1875" s="12"/>
      <c r="I1875" s="12"/>
      <c r="J1875" s="12"/>
      <c r="K1875" s="12"/>
      <c r="L1875" s="12"/>
      <c r="M1875" s="12"/>
      <c r="N1875" s="12"/>
      <c r="O1875" s="12"/>
      <c r="P1875" s="12"/>
      <c r="Q1875" s="12"/>
      <c r="R1875" s="12"/>
      <c r="S1875" s="12"/>
      <c r="T1875" s="12"/>
      <c r="U1875" s="12"/>
      <c r="V1875" s="12"/>
      <c r="W1875" s="12"/>
      <c r="X1875" s="12"/>
      <c r="Y1875" s="12"/>
      <c r="Z1875" s="12"/>
    </row>
    <row r="1876" ht="15.0" customHeight="1">
      <c r="A1876" s="112" t="s">
        <v>1751</v>
      </c>
      <c r="B1876" s="350"/>
      <c r="C1876" s="12"/>
      <c r="D1876" s="12"/>
      <c r="E1876" s="12"/>
      <c r="F1876" s="12"/>
      <c r="G1876" s="12"/>
      <c r="H1876" s="12"/>
      <c r="I1876" s="12"/>
      <c r="J1876" s="12"/>
      <c r="K1876" s="12"/>
      <c r="L1876" s="12"/>
      <c r="M1876" s="12"/>
      <c r="N1876" s="12"/>
      <c r="O1876" s="12"/>
      <c r="P1876" s="12"/>
      <c r="Q1876" s="12"/>
      <c r="R1876" s="12"/>
      <c r="S1876" s="12"/>
      <c r="T1876" s="12"/>
      <c r="U1876" s="12"/>
      <c r="V1876" s="12"/>
      <c r="W1876" s="12"/>
      <c r="X1876" s="12"/>
      <c r="Y1876" s="12"/>
      <c r="Z1876" s="12"/>
    </row>
    <row r="1877" ht="15.0" customHeight="1">
      <c r="A1877" s="349"/>
      <c r="B1877" s="350"/>
      <c r="C1877" s="12"/>
      <c r="D1877" s="12"/>
      <c r="E1877" s="12"/>
      <c r="F1877" s="12"/>
      <c r="G1877" s="12"/>
      <c r="H1877" s="12"/>
      <c r="I1877" s="12"/>
      <c r="J1877" s="12"/>
      <c r="K1877" s="12"/>
      <c r="L1877" s="12"/>
      <c r="M1877" s="12"/>
      <c r="N1877" s="12"/>
      <c r="O1877" s="12"/>
      <c r="P1877" s="12"/>
      <c r="Q1877" s="12"/>
      <c r="R1877" s="12"/>
      <c r="S1877" s="12"/>
      <c r="T1877" s="12"/>
      <c r="U1877" s="12"/>
      <c r="V1877" s="12"/>
      <c r="W1877" s="12"/>
      <c r="X1877" s="12"/>
      <c r="Y1877" s="12"/>
      <c r="Z1877" s="12"/>
    </row>
    <row r="1878" ht="15.0" customHeight="1">
      <c r="A1878" s="291" t="s">
        <v>1917</v>
      </c>
      <c r="B1878" s="291" t="s">
        <v>1918</v>
      </c>
      <c r="C1878" s="12"/>
      <c r="D1878" s="12"/>
      <c r="E1878" s="12"/>
      <c r="F1878" s="12"/>
      <c r="G1878" s="12"/>
      <c r="H1878" s="12"/>
      <c r="I1878" s="12"/>
      <c r="J1878" s="12"/>
      <c r="K1878" s="12"/>
      <c r="L1878" s="12"/>
      <c r="M1878" s="12"/>
      <c r="N1878" s="12"/>
      <c r="O1878" s="12"/>
      <c r="P1878" s="12"/>
      <c r="Q1878" s="12"/>
      <c r="R1878" s="12"/>
      <c r="S1878" s="12"/>
      <c r="T1878" s="12"/>
      <c r="U1878" s="12"/>
      <c r="V1878" s="12"/>
      <c r="W1878" s="12"/>
      <c r="X1878" s="12"/>
      <c r="Y1878" s="12"/>
      <c r="Z1878" s="12"/>
    </row>
    <row r="1879" ht="15.0" customHeight="1">
      <c r="A1879" s="332">
        <v>1.0</v>
      </c>
      <c r="B1879" s="351">
        <v>0.12</v>
      </c>
      <c r="C1879" s="12"/>
      <c r="D1879" s="12"/>
      <c r="E1879" s="12"/>
      <c r="F1879" s="12"/>
      <c r="G1879" s="12"/>
      <c r="H1879" s="12"/>
      <c r="I1879" s="12"/>
      <c r="J1879" s="12"/>
      <c r="K1879" s="12"/>
      <c r="L1879" s="12"/>
      <c r="M1879" s="12"/>
      <c r="N1879" s="12"/>
      <c r="O1879" s="12"/>
      <c r="P1879" s="12"/>
      <c r="Q1879" s="12"/>
      <c r="R1879" s="12"/>
      <c r="S1879" s="12"/>
      <c r="T1879" s="12"/>
      <c r="U1879" s="12"/>
      <c r="V1879" s="12"/>
      <c r="W1879" s="12"/>
      <c r="X1879" s="12"/>
      <c r="Y1879" s="12"/>
      <c r="Z1879" s="12"/>
    </row>
    <row r="1880" ht="15.0" customHeight="1">
      <c r="A1880" s="332">
        <v>2.0</v>
      </c>
      <c r="B1880" s="351">
        <v>0.042</v>
      </c>
      <c r="C1880" s="12"/>
      <c r="D1880" s="12"/>
      <c r="E1880" s="12"/>
      <c r="F1880" s="12"/>
      <c r="G1880" s="12"/>
      <c r="H1880" s="12"/>
      <c r="I1880" s="12"/>
      <c r="J1880" s="12"/>
      <c r="K1880" s="12"/>
      <c r="L1880" s="12"/>
      <c r="M1880" s="12"/>
      <c r="N1880" s="12"/>
      <c r="O1880" s="12"/>
      <c r="P1880" s="12"/>
      <c r="Q1880" s="12"/>
      <c r="R1880" s="12"/>
      <c r="S1880" s="12"/>
      <c r="T1880" s="12"/>
      <c r="U1880" s="12"/>
      <c r="V1880" s="12"/>
      <c r="W1880" s="12"/>
      <c r="X1880" s="12"/>
      <c r="Y1880" s="12"/>
      <c r="Z1880" s="12"/>
    </row>
    <row r="1881" ht="15.0" customHeight="1">
      <c r="A1881" s="332">
        <v>3.0</v>
      </c>
      <c r="B1881" s="351">
        <v>0.042</v>
      </c>
      <c r="C1881" s="12"/>
      <c r="D1881" s="12"/>
      <c r="E1881" s="12"/>
      <c r="F1881" s="12"/>
      <c r="G1881" s="12"/>
      <c r="H1881" s="12"/>
      <c r="I1881" s="12"/>
      <c r="J1881" s="12"/>
      <c r="K1881" s="12"/>
      <c r="L1881" s="12"/>
      <c r="M1881" s="12"/>
      <c r="N1881" s="12"/>
      <c r="O1881" s="12"/>
      <c r="P1881" s="12"/>
      <c r="Q1881" s="12"/>
      <c r="R1881" s="12"/>
      <c r="S1881" s="12"/>
      <c r="T1881" s="12"/>
      <c r="U1881" s="12"/>
      <c r="V1881" s="12"/>
      <c r="W1881" s="12"/>
      <c r="X1881" s="12"/>
      <c r="Y1881" s="12"/>
      <c r="Z1881" s="12"/>
    </row>
    <row r="1882" ht="15.0" customHeight="1">
      <c r="A1882" s="332">
        <v>4.0</v>
      </c>
      <c r="B1882" s="351">
        <v>0.042</v>
      </c>
      <c r="C1882" s="12"/>
      <c r="D1882" s="12"/>
      <c r="E1882" s="12"/>
      <c r="F1882" s="12"/>
      <c r="G1882" s="12"/>
      <c r="H1882" s="12"/>
      <c r="I1882" s="12"/>
      <c r="J1882" s="12"/>
      <c r="K1882" s="12"/>
      <c r="L1882" s="12"/>
      <c r="M1882" s="12"/>
      <c r="N1882" s="12"/>
      <c r="O1882" s="12"/>
      <c r="P1882" s="12"/>
      <c r="Q1882" s="12"/>
      <c r="R1882" s="12"/>
      <c r="S1882" s="12"/>
      <c r="T1882" s="12"/>
      <c r="U1882" s="12"/>
      <c r="V1882" s="12"/>
      <c r="W1882" s="12"/>
      <c r="X1882" s="12"/>
      <c r="Y1882" s="12"/>
      <c r="Z1882" s="12"/>
    </row>
    <row r="1883" ht="15.0" customHeight="1">
      <c r="A1883" s="332">
        <v>5.0</v>
      </c>
      <c r="B1883" s="351">
        <v>0.042</v>
      </c>
      <c r="C1883" s="12"/>
      <c r="D1883" s="12"/>
      <c r="E1883" s="12"/>
      <c r="F1883" s="12"/>
      <c r="G1883" s="12"/>
      <c r="H1883" s="12"/>
      <c r="I1883" s="12"/>
      <c r="J1883" s="12"/>
      <c r="K1883" s="12"/>
      <c r="L1883" s="12"/>
      <c r="M1883" s="12"/>
      <c r="N1883" s="12"/>
      <c r="O1883" s="12"/>
      <c r="P1883" s="12"/>
      <c r="Q1883" s="12"/>
      <c r="R1883" s="12"/>
      <c r="S1883" s="12"/>
      <c r="T1883" s="12"/>
      <c r="U1883" s="12"/>
      <c r="V1883" s="12"/>
      <c r="W1883" s="12"/>
      <c r="X1883" s="12"/>
      <c r="Y1883" s="12"/>
      <c r="Z1883" s="12"/>
    </row>
    <row r="1884" ht="15.0" customHeight="1">
      <c r="A1884" s="171">
        <v>6.0</v>
      </c>
      <c r="B1884" s="351">
        <v>0.025</v>
      </c>
      <c r="C1884" s="12"/>
      <c r="D1884" s="12"/>
      <c r="E1884" s="12"/>
      <c r="F1884" s="12"/>
      <c r="G1884" s="12"/>
      <c r="H1884" s="12"/>
      <c r="I1884" s="12"/>
      <c r="J1884" s="12"/>
      <c r="K1884" s="12"/>
      <c r="L1884" s="12"/>
      <c r="M1884" s="12"/>
      <c r="N1884" s="12"/>
      <c r="O1884" s="12"/>
      <c r="P1884" s="12"/>
      <c r="Q1884" s="12"/>
      <c r="R1884" s="12"/>
      <c r="S1884" s="12"/>
      <c r="T1884" s="12"/>
      <c r="U1884" s="12"/>
      <c r="V1884" s="12"/>
      <c r="W1884" s="12"/>
      <c r="X1884" s="12"/>
      <c r="Y1884" s="12"/>
      <c r="Z1884" s="12"/>
    </row>
    <row r="1885" ht="15.0" customHeight="1">
      <c r="A1885" s="332">
        <v>7.0</v>
      </c>
      <c r="B1885" s="351">
        <v>0.025</v>
      </c>
      <c r="C1885" s="12"/>
      <c r="D1885" s="12"/>
      <c r="E1885" s="12"/>
      <c r="F1885" s="12"/>
      <c r="G1885" s="12"/>
      <c r="H1885" s="12"/>
      <c r="I1885" s="12"/>
      <c r="J1885" s="12"/>
      <c r="K1885" s="12"/>
      <c r="L1885" s="12"/>
      <c r="M1885" s="12"/>
      <c r="N1885" s="12"/>
      <c r="O1885" s="12"/>
      <c r="P1885" s="12"/>
      <c r="Q1885" s="12"/>
      <c r="R1885" s="12"/>
      <c r="S1885" s="12"/>
      <c r="T1885" s="12"/>
      <c r="U1885" s="12"/>
      <c r="V1885" s="12"/>
      <c r="W1885" s="12"/>
      <c r="X1885" s="12"/>
      <c r="Y1885" s="12"/>
      <c r="Z1885" s="12"/>
    </row>
    <row r="1886" ht="15.0" customHeight="1">
      <c r="A1886" s="171">
        <v>8.0</v>
      </c>
      <c r="B1886" s="351">
        <v>0.025</v>
      </c>
      <c r="C1886" s="12"/>
      <c r="D1886" s="12"/>
      <c r="E1886" s="12"/>
      <c r="F1886" s="12"/>
      <c r="G1886" s="12"/>
      <c r="H1886" s="12"/>
      <c r="I1886" s="12"/>
      <c r="J1886" s="12"/>
      <c r="K1886" s="12"/>
      <c r="L1886" s="12"/>
      <c r="M1886" s="12"/>
      <c r="N1886" s="12"/>
      <c r="O1886" s="12"/>
      <c r="P1886" s="12"/>
      <c r="Q1886" s="12"/>
      <c r="R1886" s="12"/>
      <c r="S1886" s="12"/>
      <c r="T1886" s="12"/>
      <c r="U1886" s="12"/>
      <c r="V1886" s="12"/>
      <c r="W1886" s="12"/>
      <c r="X1886" s="12"/>
      <c r="Y1886" s="12"/>
      <c r="Z1886" s="12"/>
    </row>
    <row r="1887" ht="15.0" customHeight="1">
      <c r="A1887" s="332">
        <v>9.0</v>
      </c>
      <c r="B1887" s="351">
        <v>0.025</v>
      </c>
      <c r="C1887" s="12"/>
      <c r="D1887" s="12"/>
      <c r="E1887" s="12"/>
      <c r="F1887" s="12"/>
      <c r="G1887" s="12"/>
      <c r="H1887" s="12"/>
      <c r="I1887" s="12"/>
      <c r="J1887" s="12"/>
      <c r="K1887" s="12"/>
      <c r="L1887" s="12"/>
      <c r="M1887" s="12"/>
      <c r="N1887" s="12"/>
      <c r="O1887" s="12"/>
      <c r="P1887" s="12"/>
      <c r="Q1887" s="12"/>
      <c r="R1887" s="12"/>
      <c r="S1887" s="12"/>
      <c r="T1887" s="12"/>
      <c r="U1887" s="12"/>
      <c r="V1887" s="12"/>
      <c r="W1887" s="12"/>
      <c r="X1887" s="12"/>
      <c r="Y1887" s="12"/>
      <c r="Z1887" s="12"/>
    </row>
    <row r="1888" ht="15.0" customHeight="1">
      <c r="A1888" s="171">
        <v>10.0</v>
      </c>
      <c r="B1888" s="351">
        <v>0.025</v>
      </c>
      <c r="C1888" s="12"/>
      <c r="D1888" s="12"/>
      <c r="E1888" s="12"/>
      <c r="F1888" s="12"/>
      <c r="G1888" s="12"/>
      <c r="H1888" s="12"/>
      <c r="I1888" s="12"/>
      <c r="J1888" s="12"/>
      <c r="K1888" s="12"/>
      <c r="L1888" s="12"/>
      <c r="M1888" s="12"/>
      <c r="N1888" s="12"/>
      <c r="O1888" s="12"/>
      <c r="P1888" s="12"/>
      <c r="Q1888" s="12"/>
      <c r="R1888" s="12"/>
      <c r="S1888" s="12"/>
      <c r="T1888" s="12"/>
      <c r="U1888" s="12"/>
      <c r="V1888" s="12"/>
      <c r="W1888" s="12"/>
      <c r="X1888" s="12"/>
      <c r="Y1888" s="12"/>
      <c r="Z1888" s="12"/>
    </row>
    <row r="1889" ht="15.0" customHeight="1">
      <c r="A1889" s="332">
        <v>11.0</v>
      </c>
      <c r="B1889" s="351">
        <v>0.0</v>
      </c>
      <c r="C1889" s="12"/>
      <c r="D1889" s="12"/>
      <c r="E1889" s="12"/>
      <c r="F1889" s="12"/>
      <c r="G1889" s="12"/>
      <c r="H1889" s="12"/>
      <c r="I1889" s="12"/>
      <c r="J1889" s="12"/>
      <c r="K1889" s="12"/>
      <c r="L1889" s="12"/>
      <c r="M1889" s="12"/>
      <c r="N1889" s="12"/>
      <c r="O1889" s="12"/>
      <c r="P1889" s="12"/>
      <c r="Q1889" s="12"/>
      <c r="R1889" s="12"/>
      <c r="S1889" s="12"/>
      <c r="T1889" s="12"/>
      <c r="U1889" s="12"/>
      <c r="V1889" s="12"/>
      <c r="W1889" s="12"/>
      <c r="X1889" s="12"/>
      <c r="Y1889" s="12"/>
      <c r="Z1889" s="12"/>
    </row>
    <row r="1890" ht="15.0" customHeight="1">
      <c r="A1890" s="349"/>
      <c r="B1890" s="350"/>
      <c r="C1890" s="12"/>
      <c r="D1890" s="12"/>
      <c r="E1890" s="12"/>
      <c r="F1890" s="12"/>
      <c r="G1890" s="12"/>
      <c r="H1890" s="12"/>
      <c r="I1890" s="12"/>
      <c r="J1890" s="12"/>
      <c r="K1890" s="12"/>
      <c r="L1890" s="12"/>
      <c r="M1890" s="12"/>
      <c r="N1890" s="12"/>
      <c r="O1890" s="12"/>
      <c r="P1890" s="12"/>
      <c r="Q1890" s="12"/>
      <c r="R1890" s="12"/>
      <c r="S1890" s="12"/>
      <c r="T1890" s="12"/>
      <c r="U1890" s="12"/>
      <c r="V1890" s="12"/>
      <c r="W1890" s="12"/>
      <c r="X1890" s="12"/>
      <c r="Y1890" s="12"/>
      <c r="Z1890" s="12"/>
    </row>
    <row r="1891" ht="15.0" customHeight="1">
      <c r="A1891" s="359" t="s">
        <v>1948</v>
      </c>
      <c r="B1891" s="350"/>
      <c r="C1891" s="12"/>
      <c r="D1891" s="12"/>
      <c r="E1891" s="12"/>
      <c r="F1891" s="12"/>
      <c r="G1891" s="12"/>
      <c r="H1891" s="12"/>
      <c r="I1891" s="12"/>
      <c r="J1891" s="12"/>
      <c r="K1891" s="12"/>
      <c r="L1891" s="12"/>
      <c r="M1891" s="12"/>
      <c r="N1891" s="12"/>
      <c r="O1891" s="12"/>
      <c r="P1891" s="12"/>
      <c r="Q1891" s="12"/>
      <c r="R1891" s="12"/>
      <c r="S1891" s="12"/>
      <c r="T1891" s="12"/>
      <c r="U1891" s="12"/>
      <c r="V1891" s="12"/>
      <c r="W1891" s="12"/>
      <c r="X1891" s="12"/>
      <c r="Y1891" s="12"/>
      <c r="Z1891" s="12"/>
    </row>
    <row r="1892" ht="15.0" customHeight="1">
      <c r="A1892" s="171" t="s">
        <v>1916</v>
      </c>
      <c r="B1892" s="171">
        <v>1.0</v>
      </c>
      <c r="C1892" s="171">
        <v>2.0</v>
      </c>
      <c r="D1892" s="171">
        <v>3.0</v>
      </c>
      <c r="E1892" s="171">
        <v>4.0</v>
      </c>
      <c r="F1892" s="171">
        <v>5.0</v>
      </c>
      <c r="G1892" s="12"/>
      <c r="H1892" s="12"/>
      <c r="I1892" s="12"/>
      <c r="J1892" s="12"/>
      <c r="K1892" s="12"/>
      <c r="L1892" s="12"/>
      <c r="M1892" s="12"/>
      <c r="N1892" s="12"/>
      <c r="O1892" s="12"/>
      <c r="P1892" s="12"/>
      <c r="Q1892" s="12"/>
      <c r="R1892" s="12"/>
      <c r="S1892" s="12"/>
      <c r="T1892" s="12"/>
      <c r="U1892" s="12"/>
      <c r="V1892" s="12"/>
      <c r="W1892" s="12"/>
      <c r="X1892" s="12"/>
      <c r="Y1892" s="12"/>
      <c r="Z1892" s="12"/>
    </row>
    <row r="1893" ht="15.0" customHeight="1">
      <c r="A1893" s="322">
        <v>0.0</v>
      </c>
      <c r="B1893" s="113">
        <v>0.2</v>
      </c>
      <c r="C1893" s="113">
        <v>0.04</v>
      </c>
      <c r="D1893" s="113">
        <v>0.04</v>
      </c>
      <c r="E1893" s="113">
        <v>0.02</v>
      </c>
      <c r="F1893" s="113">
        <v>0.02</v>
      </c>
      <c r="G1893" s="12"/>
      <c r="H1893" s="12"/>
      <c r="I1893" s="12"/>
      <c r="J1893" s="12"/>
      <c r="K1893" s="12"/>
      <c r="L1893" s="12"/>
      <c r="M1893" s="12"/>
      <c r="N1893" s="12"/>
      <c r="O1893" s="12"/>
      <c r="P1893" s="12"/>
      <c r="Q1893" s="12"/>
      <c r="R1893" s="12"/>
      <c r="S1893" s="12"/>
      <c r="T1893" s="12"/>
      <c r="U1893" s="12"/>
      <c r="V1893" s="12"/>
      <c r="W1893" s="12"/>
      <c r="X1893" s="12"/>
      <c r="Y1893" s="12"/>
      <c r="Z1893" s="12"/>
    </row>
    <row r="1894" ht="15.0" customHeight="1">
      <c r="A1894" s="352">
        <v>100000.0</v>
      </c>
      <c r="B1894" s="113">
        <v>0.17</v>
      </c>
      <c r="C1894" s="113">
        <v>0.04</v>
      </c>
      <c r="D1894" s="113">
        <v>0.04</v>
      </c>
      <c r="E1894" s="113">
        <v>0.02</v>
      </c>
      <c r="F1894" s="113">
        <v>0.02</v>
      </c>
      <c r="G1894" s="12"/>
      <c r="H1894" s="12"/>
      <c r="I1894" s="12"/>
      <c r="J1894" s="12"/>
      <c r="K1894" s="12"/>
      <c r="L1894" s="12"/>
      <c r="M1894" s="12"/>
      <c r="N1894" s="12"/>
      <c r="O1894" s="12"/>
      <c r="P1894" s="12"/>
      <c r="Q1894" s="12"/>
      <c r="R1894" s="12"/>
      <c r="S1894" s="12"/>
      <c r="T1894" s="12"/>
      <c r="U1894" s="12"/>
      <c r="V1894" s="12"/>
      <c r="W1894" s="12"/>
      <c r="X1894" s="12"/>
      <c r="Y1894" s="12"/>
      <c r="Z1894" s="12"/>
    </row>
    <row r="1895" ht="15.0" customHeight="1">
      <c r="A1895" s="352">
        <v>200000.0</v>
      </c>
      <c r="B1895" s="113">
        <v>0.15</v>
      </c>
      <c r="C1895" s="113">
        <v>0.04</v>
      </c>
      <c r="D1895" s="113">
        <v>0.04</v>
      </c>
      <c r="E1895" s="113">
        <v>0.02</v>
      </c>
      <c r="F1895" s="113">
        <v>0.02</v>
      </c>
      <c r="G1895" s="12"/>
      <c r="H1895" s="12"/>
      <c r="I1895" s="12"/>
      <c r="J1895" s="12"/>
      <c r="K1895" s="12"/>
      <c r="L1895" s="12"/>
      <c r="M1895" s="12"/>
      <c r="N1895" s="12"/>
      <c r="O1895" s="12"/>
      <c r="P1895" s="12"/>
      <c r="Q1895" s="12"/>
      <c r="R1895" s="12"/>
      <c r="S1895" s="12"/>
      <c r="T1895" s="12"/>
      <c r="U1895" s="12"/>
      <c r="V1895" s="12"/>
      <c r="W1895" s="12"/>
      <c r="X1895" s="12"/>
      <c r="Y1895" s="12"/>
      <c r="Z1895" s="12"/>
    </row>
    <row r="1896" ht="15.0" customHeight="1">
      <c r="A1896" s="352">
        <v>500000.0</v>
      </c>
      <c r="B1896" s="113">
        <v>0.12</v>
      </c>
      <c r="C1896" s="113">
        <v>0.04</v>
      </c>
      <c r="D1896" s="113">
        <v>0.04</v>
      </c>
      <c r="E1896" s="113">
        <v>0.02</v>
      </c>
      <c r="F1896" s="113">
        <v>0.02</v>
      </c>
      <c r="G1896" s="12"/>
      <c r="H1896" s="12"/>
      <c r="I1896" s="12"/>
      <c r="J1896" s="12"/>
      <c r="K1896" s="12"/>
      <c r="L1896" s="12"/>
      <c r="M1896" s="12"/>
      <c r="N1896" s="12"/>
      <c r="O1896" s="12"/>
      <c r="P1896" s="12"/>
      <c r="Q1896" s="12"/>
      <c r="R1896" s="12"/>
      <c r="S1896" s="12"/>
      <c r="T1896" s="12"/>
      <c r="U1896" s="12"/>
      <c r="V1896" s="12"/>
      <c r="W1896" s="12"/>
      <c r="X1896" s="12"/>
      <c r="Y1896" s="12"/>
      <c r="Z1896" s="12"/>
    </row>
    <row r="1897" ht="15.0" customHeight="1">
      <c r="A1897" s="349"/>
      <c r="B1897" s="350"/>
      <c r="C1897" s="12"/>
      <c r="D1897" s="12"/>
      <c r="E1897" s="12"/>
      <c r="F1897" s="12"/>
      <c r="G1897" s="12"/>
      <c r="H1897" s="12"/>
      <c r="I1897" s="12"/>
      <c r="J1897" s="12"/>
      <c r="K1897" s="12"/>
      <c r="L1897" s="12"/>
      <c r="M1897" s="12"/>
      <c r="N1897" s="12"/>
      <c r="O1897" s="12"/>
      <c r="P1897" s="12"/>
      <c r="Q1897" s="12"/>
      <c r="R1897" s="12"/>
      <c r="S1897" s="12"/>
      <c r="T1897" s="12"/>
      <c r="U1897" s="12"/>
      <c r="V1897" s="12"/>
      <c r="W1897" s="12"/>
      <c r="X1897" s="12"/>
      <c r="Y1897" s="12"/>
      <c r="Z1897" s="12"/>
    </row>
    <row r="1898" ht="15.0" customHeight="1">
      <c r="A1898" s="298" t="s">
        <v>1763</v>
      </c>
      <c r="B1898" s="350"/>
      <c r="C1898" s="12"/>
      <c r="D1898" s="12"/>
      <c r="E1898" s="12"/>
      <c r="F1898" s="12"/>
      <c r="G1898" s="12"/>
      <c r="H1898" s="12"/>
      <c r="I1898" s="12"/>
      <c r="J1898" s="12"/>
      <c r="K1898" s="12"/>
      <c r="L1898" s="12"/>
      <c r="M1898" s="12"/>
      <c r="N1898" s="12"/>
      <c r="O1898" s="12"/>
      <c r="P1898" s="12"/>
      <c r="Q1898" s="12"/>
      <c r="R1898" s="12"/>
      <c r="S1898" s="12"/>
      <c r="T1898" s="12"/>
      <c r="U1898" s="12"/>
      <c r="V1898" s="12"/>
      <c r="W1898" s="12"/>
      <c r="X1898" s="12"/>
      <c r="Y1898" s="12"/>
      <c r="Z1898" s="12"/>
    </row>
    <row r="1899" ht="15.0" customHeight="1">
      <c r="A1899" s="171" t="s">
        <v>1916</v>
      </c>
      <c r="B1899" s="171">
        <v>1.0</v>
      </c>
      <c r="C1899" s="171">
        <v>2.0</v>
      </c>
      <c r="D1899" s="171">
        <v>3.0</v>
      </c>
      <c r="E1899" s="171">
        <v>4.0</v>
      </c>
      <c r="F1899" s="171">
        <v>5.0</v>
      </c>
      <c r="G1899" s="171">
        <v>6.0</v>
      </c>
      <c r="H1899" s="171">
        <v>7.0</v>
      </c>
      <c r="I1899" s="171">
        <v>8.0</v>
      </c>
      <c r="J1899" s="171">
        <v>9.0</v>
      </c>
      <c r="K1899" s="171">
        <v>10.0</v>
      </c>
      <c r="L1899" s="171">
        <v>11.0</v>
      </c>
      <c r="M1899" s="12"/>
      <c r="N1899" s="12"/>
      <c r="O1899" s="12"/>
      <c r="P1899" s="12"/>
      <c r="Q1899" s="12"/>
      <c r="R1899" s="12"/>
      <c r="S1899" s="12"/>
      <c r="T1899" s="12"/>
      <c r="U1899" s="12"/>
      <c r="V1899" s="12"/>
      <c r="W1899" s="12"/>
      <c r="X1899" s="12"/>
      <c r="Y1899" s="12"/>
      <c r="Z1899" s="12"/>
    </row>
    <row r="1900" ht="15.0" customHeight="1">
      <c r="A1900" s="322">
        <v>0.0</v>
      </c>
      <c r="B1900" s="113">
        <v>0.5</v>
      </c>
      <c r="C1900" s="113">
        <v>0.15</v>
      </c>
      <c r="D1900" s="113">
        <v>0.15</v>
      </c>
      <c r="E1900" s="113">
        <v>0.075</v>
      </c>
      <c r="F1900" s="113">
        <v>0.075</v>
      </c>
      <c r="G1900" s="113">
        <v>0.03</v>
      </c>
      <c r="H1900" s="113">
        <v>0.03</v>
      </c>
      <c r="I1900" s="113">
        <v>0.03</v>
      </c>
      <c r="J1900" s="113">
        <v>0.03</v>
      </c>
      <c r="K1900" s="113">
        <v>0.03</v>
      </c>
      <c r="L1900" s="355">
        <v>0.015</v>
      </c>
      <c r="M1900" s="12"/>
      <c r="N1900" s="12"/>
      <c r="O1900" s="12"/>
      <c r="P1900" s="12"/>
      <c r="Q1900" s="12"/>
      <c r="R1900" s="12"/>
      <c r="S1900" s="12"/>
      <c r="T1900" s="12"/>
      <c r="U1900" s="12"/>
      <c r="V1900" s="12"/>
      <c r="W1900" s="12"/>
      <c r="X1900" s="12"/>
      <c r="Y1900" s="12"/>
      <c r="Z1900" s="12"/>
    </row>
    <row r="1901" ht="15.0" customHeight="1">
      <c r="A1901" s="352">
        <v>100000.0</v>
      </c>
      <c r="B1901" s="113">
        <v>0.38</v>
      </c>
      <c r="C1901" s="113">
        <v>0.15</v>
      </c>
      <c r="D1901" s="113">
        <v>0.15</v>
      </c>
      <c r="E1901" s="113">
        <v>0.075</v>
      </c>
      <c r="F1901" s="113">
        <v>0.075</v>
      </c>
      <c r="G1901" s="113">
        <v>0.03</v>
      </c>
      <c r="H1901" s="113">
        <v>0.03</v>
      </c>
      <c r="I1901" s="113">
        <v>0.03</v>
      </c>
      <c r="J1901" s="113">
        <v>0.03</v>
      </c>
      <c r="K1901" s="113">
        <v>0.03</v>
      </c>
      <c r="L1901" s="355">
        <v>0.015</v>
      </c>
      <c r="M1901" s="12"/>
      <c r="N1901" s="12"/>
      <c r="O1901" s="12"/>
      <c r="P1901" s="12"/>
      <c r="Q1901" s="12"/>
      <c r="R1901" s="12"/>
      <c r="S1901" s="12"/>
      <c r="T1901" s="12"/>
      <c r="U1901" s="12"/>
      <c r="V1901" s="12"/>
      <c r="W1901" s="12"/>
      <c r="X1901" s="12"/>
      <c r="Y1901" s="12"/>
      <c r="Z1901" s="12"/>
    </row>
    <row r="1902" ht="15.0" customHeight="1">
      <c r="A1902" s="349"/>
      <c r="B1902" s="350"/>
      <c r="C1902" s="12"/>
      <c r="D1902" s="12"/>
      <c r="E1902" s="12"/>
      <c r="F1902" s="12"/>
      <c r="G1902" s="12"/>
      <c r="H1902" s="12"/>
      <c r="I1902" s="12"/>
      <c r="J1902" s="12"/>
      <c r="K1902" s="12"/>
      <c r="L1902" s="12"/>
      <c r="M1902" s="12"/>
      <c r="N1902" s="12"/>
      <c r="O1902" s="12"/>
      <c r="P1902" s="12"/>
      <c r="Q1902" s="12"/>
      <c r="R1902" s="12"/>
      <c r="S1902" s="12"/>
      <c r="T1902" s="12"/>
      <c r="U1902" s="12"/>
      <c r="V1902" s="12"/>
      <c r="W1902" s="12"/>
      <c r="X1902" s="12"/>
      <c r="Y1902" s="12"/>
      <c r="Z1902" s="12"/>
    </row>
    <row r="1903" ht="15.0" customHeight="1">
      <c r="A1903" s="298" t="s">
        <v>1768</v>
      </c>
      <c r="B1903" s="350"/>
      <c r="C1903" s="12"/>
      <c r="D1903" s="12"/>
      <c r="E1903" s="12"/>
      <c r="F1903" s="12"/>
      <c r="G1903" s="12"/>
      <c r="H1903" s="12"/>
      <c r="I1903" s="12"/>
      <c r="J1903" s="12"/>
      <c r="K1903" s="12"/>
      <c r="L1903" s="12"/>
      <c r="M1903" s="12"/>
      <c r="N1903" s="12"/>
      <c r="O1903" s="12"/>
      <c r="P1903" s="12"/>
      <c r="Q1903" s="12"/>
      <c r="R1903" s="12"/>
      <c r="S1903" s="12"/>
      <c r="T1903" s="12"/>
      <c r="U1903" s="12"/>
      <c r="V1903" s="12"/>
      <c r="W1903" s="12"/>
      <c r="X1903" s="12"/>
      <c r="Y1903" s="12"/>
      <c r="Z1903" s="12"/>
    </row>
    <row r="1904" ht="15.0" customHeight="1">
      <c r="A1904" s="171" t="s">
        <v>1916</v>
      </c>
      <c r="B1904" s="171">
        <v>1.0</v>
      </c>
      <c r="C1904" s="171">
        <v>2.0</v>
      </c>
      <c r="D1904" s="171">
        <v>3.0</v>
      </c>
      <c r="E1904" s="171">
        <v>4.0</v>
      </c>
      <c r="F1904" s="171">
        <v>5.0</v>
      </c>
      <c r="G1904" s="171">
        <v>6.0</v>
      </c>
      <c r="H1904" s="171">
        <v>7.0</v>
      </c>
      <c r="I1904" s="171">
        <v>8.0</v>
      </c>
      <c r="J1904" s="171">
        <v>9.0</v>
      </c>
      <c r="K1904" s="171">
        <v>10.0</v>
      </c>
      <c r="L1904" s="171">
        <v>11.0</v>
      </c>
      <c r="M1904" s="12"/>
      <c r="N1904" s="12"/>
      <c r="O1904" s="12"/>
      <c r="P1904" s="12"/>
      <c r="Q1904" s="12"/>
      <c r="R1904" s="12"/>
      <c r="S1904" s="12"/>
      <c r="T1904" s="12"/>
      <c r="U1904" s="12"/>
      <c r="V1904" s="12"/>
      <c r="W1904" s="12"/>
      <c r="X1904" s="12"/>
      <c r="Y1904" s="12"/>
      <c r="Z1904" s="12"/>
    </row>
    <row r="1905" ht="15.0" customHeight="1">
      <c r="A1905" s="322">
        <v>10000.0</v>
      </c>
      <c r="B1905" s="113">
        <v>0.5</v>
      </c>
      <c r="C1905" s="113">
        <v>0.15</v>
      </c>
      <c r="D1905" s="113">
        <v>0.15</v>
      </c>
      <c r="E1905" s="113">
        <v>0.075</v>
      </c>
      <c r="F1905" s="113">
        <v>0.075</v>
      </c>
      <c r="G1905" s="113">
        <v>0.03</v>
      </c>
      <c r="H1905" s="113">
        <v>0.03</v>
      </c>
      <c r="I1905" s="113">
        <v>0.03</v>
      </c>
      <c r="J1905" s="113">
        <v>0.03</v>
      </c>
      <c r="K1905" s="113">
        <v>0.03</v>
      </c>
      <c r="L1905" s="355">
        <v>0.015</v>
      </c>
      <c r="M1905" s="12"/>
      <c r="N1905" s="12"/>
      <c r="O1905" s="12"/>
      <c r="P1905" s="12"/>
      <c r="Q1905" s="12"/>
      <c r="R1905" s="12"/>
      <c r="S1905" s="12"/>
      <c r="T1905" s="12"/>
      <c r="U1905" s="12"/>
      <c r="V1905" s="12"/>
      <c r="W1905" s="12"/>
      <c r="X1905" s="12"/>
      <c r="Y1905" s="12"/>
      <c r="Z1905" s="12"/>
    </row>
    <row r="1906" ht="15.0" customHeight="1">
      <c r="A1906" s="352">
        <v>100000.0</v>
      </c>
      <c r="B1906" s="113">
        <v>0.38</v>
      </c>
      <c r="C1906" s="113">
        <v>0.15</v>
      </c>
      <c r="D1906" s="113">
        <v>0.15</v>
      </c>
      <c r="E1906" s="113">
        <v>0.075</v>
      </c>
      <c r="F1906" s="113">
        <v>0.075</v>
      </c>
      <c r="G1906" s="113">
        <v>0.03</v>
      </c>
      <c r="H1906" s="113">
        <v>0.03</v>
      </c>
      <c r="I1906" s="113">
        <v>0.03</v>
      </c>
      <c r="J1906" s="113">
        <v>0.03</v>
      </c>
      <c r="K1906" s="113">
        <v>0.03</v>
      </c>
      <c r="L1906" s="355">
        <v>0.015</v>
      </c>
      <c r="M1906" s="12"/>
      <c r="N1906" s="12"/>
      <c r="O1906" s="12"/>
      <c r="P1906" s="12"/>
      <c r="Q1906" s="12"/>
      <c r="R1906" s="12"/>
      <c r="S1906" s="12"/>
      <c r="T1906" s="12"/>
      <c r="U1906" s="12"/>
      <c r="V1906" s="12"/>
      <c r="W1906" s="12"/>
      <c r="X1906" s="12"/>
      <c r="Y1906" s="12"/>
      <c r="Z1906" s="12"/>
    </row>
    <row r="1907" ht="15.0" customHeight="1">
      <c r="A1907" s="349"/>
      <c r="B1907" s="350"/>
      <c r="C1907" s="12"/>
      <c r="D1907" s="12"/>
      <c r="E1907" s="12"/>
      <c r="F1907" s="12"/>
      <c r="G1907" s="12"/>
      <c r="H1907" s="12"/>
      <c r="I1907" s="12"/>
      <c r="J1907" s="12"/>
      <c r="K1907" s="12"/>
      <c r="L1907" s="12"/>
      <c r="M1907" s="12"/>
      <c r="N1907" s="12"/>
      <c r="O1907" s="12"/>
      <c r="P1907" s="12"/>
      <c r="Q1907" s="12"/>
      <c r="R1907" s="12"/>
      <c r="S1907" s="12"/>
      <c r="T1907" s="12"/>
      <c r="U1907" s="12"/>
      <c r="V1907" s="12"/>
      <c r="W1907" s="12"/>
      <c r="X1907" s="12"/>
      <c r="Y1907" s="12"/>
      <c r="Z1907" s="12"/>
    </row>
    <row r="1908" ht="15.0" customHeight="1">
      <c r="A1908" s="298" t="s">
        <v>1772</v>
      </c>
      <c r="B1908" s="350"/>
      <c r="C1908" s="12"/>
      <c r="D1908" s="12"/>
      <c r="E1908" s="12"/>
      <c r="F1908" s="12"/>
      <c r="G1908" s="12"/>
      <c r="H1908" s="12"/>
      <c r="I1908" s="12"/>
      <c r="J1908" s="12"/>
      <c r="K1908" s="12"/>
      <c r="L1908" s="12"/>
      <c r="M1908" s="12"/>
      <c r="N1908" s="12"/>
      <c r="O1908" s="12"/>
      <c r="P1908" s="12"/>
      <c r="Q1908" s="12"/>
      <c r="R1908" s="12"/>
      <c r="S1908" s="12"/>
      <c r="T1908" s="12"/>
      <c r="U1908" s="12"/>
      <c r="V1908" s="12"/>
      <c r="W1908" s="12"/>
      <c r="X1908" s="12"/>
      <c r="Y1908" s="12"/>
      <c r="Z1908" s="12"/>
    </row>
    <row r="1909" ht="15.0" customHeight="1">
      <c r="A1909" s="171" t="s">
        <v>1916</v>
      </c>
      <c r="B1909" s="171">
        <v>1.0</v>
      </c>
      <c r="C1909" s="12"/>
      <c r="D1909" s="12"/>
      <c r="E1909" s="12"/>
      <c r="F1909" s="12"/>
      <c r="G1909" s="12"/>
      <c r="H1909" s="12"/>
      <c r="I1909" s="12"/>
      <c r="J1909" s="12"/>
      <c r="K1909" s="12"/>
      <c r="L1909" s="12"/>
      <c r="M1909" s="12"/>
      <c r="N1909" s="12"/>
      <c r="O1909" s="12"/>
      <c r="P1909" s="12"/>
      <c r="Q1909" s="12"/>
      <c r="R1909" s="12"/>
      <c r="S1909" s="12"/>
      <c r="T1909" s="12"/>
      <c r="U1909" s="12"/>
      <c r="V1909" s="12"/>
      <c r="W1909" s="12"/>
      <c r="X1909" s="12"/>
      <c r="Y1909" s="12"/>
      <c r="Z1909" s="12"/>
    </row>
    <row r="1910" ht="15.0" customHeight="1">
      <c r="A1910" s="322">
        <v>100000.0</v>
      </c>
      <c r="B1910" s="113">
        <v>0.0675</v>
      </c>
      <c r="C1910" s="12"/>
      <c r="D1910" s="12"/>
      <c r="E1910" s="12"/>
      <c r="F1910" s="12"/>
      <c r="G1910" s="12"/>
      <c r="H1910" s="12"/>
      <c r="I1910" s="12"/>
      <c r="J1910" s="12"/>
      <c r="K1910" s="12"/>
      <c r="L1910" s="12"/>
      <c r="M1910" s="12"/>
      <c r="N1910" s="12"/>
      <c r="O1910" s="12"/>
      <c r="P1910" s="12"/>
      <c r="Q1910" s="12"/>
      <c r="R1910" s="12"/>
      <c r="S1910" s="12"/>
      <c r="T1910" s="12"/>
      <c r="U1910" s="12"/>
      <c r="V1910" s="12"/>
      <c r="W1910" s="12"/>
      <c r="X1910" s="12"/>
      <c r="Y1910" s="12"/>
      <c r="Z1910" s="12"/>
    </row>
    <row r="1911" ht="15.0" customHeight="1">
      <c r="A1911" s="352">
        <v>200000.0</v>
      </c>
      <c r="B1911" s="113">
        <v>0.06</v>
      </c>
      <c r="C1911" s="12"/>
      <c r="D1911" s="12"/>
      <c r="E1911" s="12"/>
      <c r="F1911" s="12"/>
      <c r="G1911" s="12"/>
      <c r="H1911" s="12"/>
      <c r="I1911" s="12"/>
      <c r="J1911" s="12"/>
      <c r="K1911" s="12"/>
      <c r="L1911" s="12"/>
      <c r="M1911" s="12"/>
      <c r="N1911" s="12"/>
      <c r="O1911" s="12"/>
      <c r="P1911" s="12"/>
      <c r="Q1911" s="12"/>
      <c r="R1911" s="12"/>
      <c r="S1911" s="12"/>
      <c r="T1911" s="12"/>
      <c r="U1911" s="12"/>
      <c r="V1911" s="12"/>
      <c r="W1911" s="12"/>
      <c r="X1911" s="12"/>
      <c r="Y1911" s="12"/>
      <c r="Z1911" s="12"/>
    </row>
    <row r="1912" ht="15.0" customHeight="1">
      <c r="A1912" s="352">
        <v>500000.0</v>
      </c>
      <c r="B1912" s="113">
        <v>0.0475</v>
      </c>
      <c r="C1912" s="12"/>
      <c r="D1912" s="12"/>
      <c r="E1912" s="12"/>
      <c r="F1912" s="12"/>
      <c r="G1912" s="12"/>
      <c r="H1912" s="12"/>
      <c r="I1912" s="12"/>
      <c r="J1912" s="12"/>
      <c r="K1912" s="12"/>
      <c r="L1912" s="12"/>
      <c r="M1912" s="12"/>
      <c r="N1912" s="12"/>
      <c r="O1912" s="12"/>
      <c r="P1912" s="12"/>
      <c r="Q1912" s="12"/>
      <c r="R1912" s="12"/>
      <c r="S1912" s="12"/>
      <c r="T1912" s="12"/>
      <c r="U1912" s="12"/>
      <c r="V1912" s="12"/>
      <c r="W1912" s="12"/>
      <c r="X1912" s="12"/>
      <c r="Y1912" s="12"/>
      <c r="Z1912" s="12"/>
    </row>
    <row r="1913" ht="15.0" customHeight="1">
      <c r="A1913" s="352">
        <v>2500000.0</v>
      </c>
      <c r="B1913" s="113">
        <v>0.0375</v>
      </c>
      <c r="C1913" s="12"/>
      <c r="D1913" s="12"/>
      <c r="E1913" s="12"/>
      <c r="F1913" s="12"/>
      <c r="G1913" s="12"/>
      <c r="H1913" s="12"/>
      <c r="I1913" s="12"/>
      <c r="J1913" s="12"/>
      <c r="K1913" s="12"/>
      <c r="L1913" s="12"/>
      <c r="M1913" s="12"/>
      <c r="N1913" s="12"/>
      <c r="O1913" s="12"/>
      <c r="P1913" s="12"/>
      <c r="Q1913" s="12"/>
      <c r="R1913" s="12"/>
      <c r="S1913" s="12"/>
      <c r="T1913" s="12"/>
      <c r="U1913" s="12"/>
      <c r="V1913" s="12"/>
      <c r="W1913" s="12"/>
      <c r="X1913" s="12"/>
      <c r="Y1913" s="12"/>
      <c r="Z1913" s="12"/>
    </row>
    <row r="1914" ht="15.0" customHeight="1">
      <c r="A1914" s="349"/>
      <c r="B1914" s="350"/>
      <c r="C1914" s="12"/>
      <c r="D1914" s="12"/>
      <c r="E1914" s="12"/>
      <c r="F1914" s="12"/>
      <c r="G1914" s="12"/>
      <c r="H1914" s="12"/>
      <c r="I1914" s="12"/>
      <c r="J1914" s="12"/>
      <c r="K1914" s="12"/>
      <c r="L1914" s="12"/>
      <c r="M1914" s="12"/>
      <c r="N1914" s="12"/>
      <c r="O1914" s="12"/>
      <c r="P1914" s="12"/>
      <c r="Q1914" s="12"/>
      <c r="R1914" s="12"/>
      <c r="S1914" s="12"/>
      <c r="T1914" s="12"/>
      <c r="U1914" s="12"/>
      <c r="V1914" s="12"/>
      <c r="W1914" s="12"/>
      <c r="X1914" s="12"/>
      <c r="Y1914" s="12"/>
      <c r="Z1914" s="12"/>
    </row>
    <row r="1915" ht="15.0" customHeight="1">
      <c r="A1915" s="298" t="s">
        <v>1776</v>
      </c>
      <c r="B1915" s="350"/>
      <c r="C1915" s="12"/>
      <c r="D1915" s="12"/>
      <c r="E1915" s="12"/>
      <c r="F1915" s="12"/>
      <c r="G1915" s="12"/>
      <c r="H1915" s="12"/>
      <c r="I1915" s="12"/>
      <c r="J1915" s="12"/>
      <c r="K1915" s="12"/>
      <c r="L1915" s="12"/>
      <c r="M1915" s="12"/>
      <c r="N1915" s="12"/>
      <c r="O1915" s="12"/>
      <c r="P1915" s="12"/>
      <c r="Q1915" s="12"/>
      <c r="R1915" s="12"/>
      <c r="S1915" s="12"/>
      <c r="T1915" s="12"/>
      <c r="U1915" s="12"/>
      <c r="V1915" s="12"/>
      <c r="W1915" s="12"/>
      <c r="X1915" s="12"/>
      <c r="Y1915" s="12"/>
      <c r="Z1915" s="12"/>
    </row>
    <row r="1916" ht="15.0" customHeight="1">
      <c r="A1916" s="171" t="s">
        <v>1916</v>
      </c>
      <c r="B1916" s="171">
        <v>1.0</v>
      </c>
      <c r="C1916" s="171">
        <v>2.0</v>
      </c>
      <c r="D1916" s="171">
        <v>3.0</v>
      </c>
      <c r="E1916" s="171">
        <v>4.0</v>
      </c>
      <c r="F1916" s="171">
        <v>5.0</v>
      </c>
      <c r="G1916" s="171">
        <v>6.0</v>
      </c>
      <c r="H1916" s="171">
        <v>7.0</v>
      </c>
      <c r="I1916" s="171">
        <v>8.0</v>
      </c>
      <c r="J1916" s="171">
        <v>9.0</v>
      </c>
      <c r="K1916" s="171">
        <v>10.0</v>
      </c>
      <c r="L1916" s="171">
        <v>11.0</v>
      </c>
      <c r="M1916" s="12"/>
      <c r="N1916" s="12"/>
      <c r="O1916" s="12"/>
      <c r="P1916" s="12"/>
      <c r="Q1916" s="12"/>
      <c r="R1916" s="12"/>
      <c r="S1916" s="12"/>
      <c r="T1916" s="12"/>
      <c r="U1916" s="12"/>
      <c r="V1916" s="12"/>
      <c r="W1916" s="12"/>
      <c r="X1916" s="12"/>
      <c r="Y1916" s="12"/>
      <c r="Z1916" s="12"/>
    </row>
    <row r="1917" ht="15.0" customHeight="1">
      <c r="A1917" s="322">
        <v>18000.0</v>
      </c>
      <c r="B1917" s="113">
        <v>0.0</v>
      </c>
      <c r="C1917" s="113">
        <v>0.03</v>
      </c>
      <c r="D1917" s="113">
        <v>0.03</v>
      </c>
      <c r="E1917" s="113">
        <v>0.02</v>
      </c>
      <c r="F1917" s="113">
        <v>0.02</v>
      </c>
      <c r="G1917" s="113">
        <v>0.01</v>
      </c>
      <c r="H1917" s="113">
        <v>0.01</v>
      </c>
      <c r="I1917" s="113">
        <v>0.01</v>
      </c>
      <c r="J1917" s="113">
        <v>0.01</v>
      </c>
      <c r="K1917" s="113">
        <v>0.01</v>
      </c>
      <c r="L1917" s="355">
        <v>0.0</v>
      </c>
      <c r="M1917" s="12"/>
      <c r="N1917" s="12"/>
      <c r="O1917" s="12"/>
      <c r="P1917" s="12"/>
      <c r="Q1917" s="12"/>
      <c r="R1917" s="12"/>
      <c r="S1917" s="12"/>
      <c r="T1917" s="12"/>
      <c r="U1917" s="12"/>
      <c r="V1917" s="12"/>
      <c r="W1917" s="12"/>
      <c r="X1917" s="12"/>
      <c r="Y1917" s="12"/>
      <c r="Z1917" s="12"/>
    </row>
    <row r="1918" ht="15.0" customHeight="1">
      <c r="A1918" s="352">
        <v>50000.0</v>
      </c>
      <c r="B1918" s="113">
        <v>0.0</v>
      </c>
      <c r="C1918" s="113">
        <v>0.0</v>
      </c>
      <c r="D1918" s="113">
        <v>0.0</v>
      </c>
      <c r="E1918" s="113">
        <v>0.0</v>
      </c>
      <c r="F1918" s="113">
        <v>0.0</v>
      </c>
      <c r="G1918" s="113">
        <v>0.0</v>
      </c>
      <c r="H1918" s="113">
        <v>0.0</v>
      </c>
      <c r="I1918" s="113">
        <v>0.0</v>
      </c>
      <c r="J1918" s="113">
        <v>0.0</v>
      </c>
      <c r="K1918" s="113">
        <v>0.0</v>
      </c>
      <c r="L1918" s="113">
        <v>0.0</v>
      </c>
      <c r="M1918" s="12"/>
      <c r="N1918" s="12"/>
      <c r="O1918" s="12"/>
      <c r="P1918" s="12"/>
      <c r="Q1918" s="12"/>
      <c r="R1918" s="12"/>
      <c r="S1918" s="12"/>
      <c r="T1918" s="12"/>
      <c r="U1918" s="12"/>
      <c r="V1918" s="12"/>
      <c r="W1918" s="12"/>
      <c r="X1918" s="12"/>
      <c r="Y1918" s="12"/>
      <c r="Z1918" s="12"/>
    </row>
    <row r="1919" ht="15.0" customHeight="1">
      <c r="A1919" s="349"/>
      <c r="B1919" s="350"/>
      <c r="C1919" s="12"/>
      <c r="D1919" s="12"/>
      <c r="E1919" s="12"/>
      <c r="F1919" s="12"/>
      <c r="G1919" s="12"/>
      <c r="H1919" s="12"/>
      <c r="I1919" s="12"/>
      <c r="J1919" s="12"/>
      <c r="K1919" s="12"/>
      <c r="L1919" s="12"/>
      <c r="M1919" s="12"/>
      <c r="N1919" s="12"/>
      <c r="O1919" s="12"/>
      <c r="P1919" s="12"/>
      <c r="Q1919" s="12"/>
      <c r="R1919" s="12"/>
      <c r="S1919" s="12"/>
      <c r="T1919" s="12"/>
      <c r="U1919" s="12"/>
      <c r="V1919" s="12"/>
      <c r="W1919" s="12"/>
      <c r="X1919" s="12"/>
      <c r="Y1919" s="12"/>
      <c r="Z1919" s="12"/>
    </row>
    <row r="1920" ht="15.0" customHeight="1">
      <c r="A1920" s="298" t="s">
        <v>1780</v>
      </c>
      <c r="B1920" s="350"/>
      <c r="C1920" s="12"/>
      <c r="D1920" s="12"/>
      <c r="E1920" s="12"/>
      <c r="F1920" s="12"/>
      <c r="G1920" s="12"/>
      <c r="H1920" s="12"/>
      <c r="I1920" s="12"/>
      <c r="J1920" s="12"/>
      <c r="K1920" s="12"/>
      <c r="L1920" s="12"/>
      <c r="M1920" s="12"/>
      <c r="N1920" s="12"/>
      <c r="O1920" s="12"/>
      <c r="P1920" s="12"/>
      <c r="Q1920" s="12"/>
      <c r="R1920" s="12"/>
      <c r="S1920" s="12"/>
      <c r="T1920" s="12"/>
      <c r="U1920" s="12"/>
      <c r="V1920" s="12"/>
      <c r="W1920" s="12"/>
      <c r="X1920" s="12"/>
      <c r="Y1920" s="12"/>
      <c r="Z1920" s="12"/>
    </row>
    <row r="1921" ht="15.0" customHeight="1">
      <c r="A1921" s="171" t="s">
        <v>1916</v>
      </c>
      <c r="B1921" s="171">
        <v>1.0</v>
      </c>
      <c r="C1921" s="171">
        <v>2.0</v>
      </c>
      <c r="D1921" s="171">
        <v>3.0</v>
      </c>
      <c r="E1921" s="171">
        <v>4.0</v>
      </c>
      <c r="F1921" s="171">
        <v>5.0</v>
      </c>
      <c r="G1921" s="171">
        <v>6.0</v>
      </c>
      <c r="H1921" s="12"/>
      <c r="I1921" s="12"/>
      <c r="J1921" s="12"/>
      <c r="K1921" s="12"/>
      <c r="L1921" s="12"/>
      <c r="M1921" s="12"/>
      <c r="N1921" s="12"/>
      <c r="O1921" s="12"/>
      <c r="P1921" s="12"/>
      <c r="Q1921" s="12"/>
      <c r="R1921" s="12"/>
      <c r="S1921" s="12"/>
      <c r="T1921" s="12"/>
      <c r="U1921" s="12"/>
      <c r="V1921" s="12"/>
      <c r="W1921" s="12"/>
      <c r="X1921" s="12"/>
      <c r="Y1921" s="12"/>
      <c r="Z1921" s="12"/>
    </row>
    <row r="1922" ht="15.0" customHeight="1">
      <c r="A1922" s="322">
        <v>12000.0</v>
      </c>
      <c r="B1922" s="113">
        <v>0.21</v>
      </c>
      <c r="C1922" s="113">
        <v>0.1</v>
      </c>
      <c r="D1922" s="113">
        <v>0.08</v>
      </c>
      <c r="E1922" s="113">
        <v>0.01</v>
      </c>
      <c r="F1922" s="113">
        <v>0.01</v>
      </c>
      <c r="G1922" s="113">
        <v>0.0</v>
      </c>
      <c r="H1922" s="12"/>
      <c r="I1922" s="12"/>
      <c r="J1922" s="12"/>
      <c r="K1922" s="12"/>
      <c r="L1922" s="12"/>
      <c r="M1922" s="12"/>
      <c r="N1922" s="12"/>
      <c r="O1922" s="12"/>
      <c r="P1922" s="12"/>
      <c r="Q1922" s="12"/>
      <c r="R1922" s="12"/>
      <c r="S1922" s="12"/>
      <c r="T1922" s="12"/>
      <c r="U1922" s="12"/>
      <c r="V1922" s="12"/>
      <c r="W1922" s="12"/>
      <c r="X1922" s="12"/>
      <c r="Y1922" s="12"/>
      <c r="Z1922" s="12"/>
    </row>
    <row r="1923" ht="15.0" customHeight="1">
      <c r="A1923" s="352">
        <v>25000.0</v>
      </c>
      <c r="B1923" s="113">
        <v>0.17</v>
      </c>
      <c r="C1923" s="113">
        <v>0.1</v>
      </c>
      <c r="D1923" s="113">
        <v>0.08</v>
      </c>
      <c r="E1923" s="113">
        <v>0.01</v>
      </c>
      <c r="F1923" s="113">
        <v>0.01</v>
      </c>
      <c r="G1923" s="113">
        <v>0.0</v>
      </c>
      <c r="H1923" s="12"/>
      <c r="I1923" s="12"/>
      <c r="J1923" s="12"/>
      <c r="K1923" s="12"/>
      <c r="L1923" s="12"/>
      <c r="M1923" s="12"/>
      <c r="N1923" s="12"/>
      <c r="O1923" s="12"/>
      <c r="P1923" s="12"/>
      <c r="Q1923" s="12"/>
      <c r="R1923" s="12"/>
      <c r="S1923" s="12"/>
      <c r="T1923" s="12"/>
      <c r="U1923" s="12"/>
      <c r="V1923" s="12"/>
      <c r="W1923" s="12"/>
      <c r="X1923" s="12"/>
      <c r="Y1923" s="12"/>
      <c r="Z1923" s="12"/>
    </row>
    <row r="1924" ht="15.0" customHeight="1">
      <c r="A1924" s="360">
        <v>50000.0</v>
      </c>
      <c r="B1924" s="113">
        <v>0.15</v>
      </c>
      <c r="C1924" s="113">
        <v>0.1</v>
      </c>
      <c r="D1924" s="113">
        <v>0.08</v>
      </c>
      <c r="E1924" s="113">
        <v>0.01</v>
      </c>
      <c r="F1924" s="113">
        <v>0.01</v>
      </c>
      <c r="G1924" s="113">
        <v>0.0</v>
      </c>
      <c r="H1924" s="12"/>
      <c r="I1924" s="12"/>
      <c r="J1924" s="12"/>
      <c r="K1924" s="12"/>
      <c r="L1924" s="12"/>
      <c r="M1924" s="12"/>
      <c r="N1924" s="12"/>
      <c r="O1924" s="12"/>
      <c r="P1924" s="12"/>
      <c r="Q1924" s="12"/>
      <c r="R1924" s="12"/>
      <c r="S1924" s="12"/>
      <c r="T1924" s="12"/>
      <c r="U1924" s="12"/>
      <c r="V1924" s="12"/>
      <c r="W1924" s="12"/>
      <c r="X1924" s="12"/>
      <c r="Y1924" s="12"/>
      <c r="Z1924" s="12"/>
    </row>
    <row r="1925" ht="15.0" customHeight="1">
      <c r="A1925" s="349"/>
      <c r="B1925" s="350"/>
      <c r="C1925" s="12"/>
      <c r="D1925" s="12"/>
      <c r="E1925" s="12"/>
      <c r="F1925" s="12"/>
      <c r="G1925" s="12"/>
      <c r="H1925" s="12"/>
      <c r="I1925" s="12"/>
      <c r="J1925" s="12"/>
      <c r="K1925" s="12"/>
      <c r="L1925" s="12"/>
      <c r="M1925" s="12"/>
      <c r="N1925" s="12"/>
      <c r="O1925" s="12"/>
      <c r="P1925" s="12"/>
      <c r="Q1925" s="12"/>
      <c r="R1925" s="12"/>
      <c r="S1925" s="12"/>
      <c r="T1925" s="12"/>
      <c r="U1925" s="12"/>
      <c r="V1925" s="12"/>
      <c r="W1925" s="12"/>
      <c r="X1925" s="12"/>
      <c r="Y1925" s="12"/>
      <c r="Z1925" s="12"/>
    </row>
    <row r="1926" ht="15.0" customHeight="1">
      <c r="A1926" s="298" t="s">
        <v>1784</v>
      </c>
      <c r="B1926" s="350"/>
      <c r="C1926" s="12"/>
      <c r="D1926" s="12"/>
      <c r="E1926" s="12"/>
      <c r="F1926" s="12"/>
      <c r="G1926" s="12"/>
      <c r="H1926" s="12"/>
      <c r="I1926" s="12"/>
      <c r="J1926" s="12"/>
      <c r="K1926" s="12"/>
      <c r="L1926" s="12"/>
      <c r="M1926" s="12"/>
      <c r="N1926" s="12"/>
      <c r="O1926" s="12"/>
      <c r="P1926" s="12"/>
      <c r="Q1926" s="12"/>
      <c r="R1926" s="12"/>
      <c r="S1926" s="12"/>
      <c r="T1926" s="12"/>
      <c r="U1926" s="12"/>
      <c r="V1926" s="12"/>
      <c r="W1926" s="12"/>
      <c r="X1926" s="12"/>
      <c r="Y1926" s="12"/>
      <c r="Z1926" s="12"/>
    </row>
    <row r="1927" ht="15.0" customHeight="1">
      <c r="A1927" s="361" t="s">
        <v>1916</v>
      </c>
      <c r="B1927" s="361">
        <v>1.0</v>
      </c>
      <c r="C1927" s="361">
        <v>2.0</v>
      </c>
      <c r="D1927" s="361">
        <v>3.0</v>
      </c>
      <c r="E1927" s="361">
        <v>4.0</v>
      </c>
      <c r="F1927" s="361">
        <v>5.0</v>
      </c>
      <c r="G1927" s="361">
        <v>6.0</v>
      </c>
      <c r="H1927" s="12"/>
      <c r="I1927" s="12"/>
      <c r="J1927" s="12"/>
      <c r="K1927" s="12"/>
      <c r="L1927" s="12"/>
      <c r="M1927" s="12"/>
      <c r="N1927" s="12"/>
      <c r="O1927" s="12"/>
      <c r="P1927" s="12"/>
      <c r="Q1927" s="12"/>
      <c r="R1927" s="12"/>
      <c r="S1927" s="12"/>
      <c r="T1927" s="12"/>
      <c r="U1927" s="12"/>
      <c r="V1927" s="12"/>
      <c r="W1927" s="12"/>
      <c r="X1927" s="12"/>
      <c r="Y1927" s="12"/>
      <c r="Z1927" s="12"/>
    </row>
    <row r="1928" ht="15.0" customHeight="1">
      <c r="A1928" s="362">
        <v>15000.0</v>
      </c>
      <c r="B1928" s="363">
        <f>IF(PT&lt;11,35%, IF(PT=15, 38%,IF(PT=17,40%,45%)))</f>
        <v>0.35</v>
      </c>
      <c r="C1928" s="363">
        <f>IF(PT=7,10%,IF(PT=10,15%,25%))</f>
        <v>0.15</v>
      </c>
      <c r="D1928" s="363">
        <v>0.08</v>
      </c>
      <c r="E1928" s="363">
        <v>0.02</v>
      </c>
      <c r="F1928" s="363">
        <v>0.02</v>
      </c>
      <c r="G1928" s="363">
        <v>0.0</v>
      </c>
      <c r="H1928" s="12"/>
      <c r="I1928" s="12"/>
      <c r="J1928" s="12"/>
      <c r="K1928" s="12"/>
      <c r="L1928" s="12"/>
      <c r="M1928" s="12"/>
      <c r="N1928" s="12"/>
      <c r="O1928" s="12"/>
      <c r="P1928" s="12"/>
      <c r="Q1928" s="12"/>
      <c r="R1928" s="12"/>
      <c r="S1928" s="12"/>
      <c r="T1928" s="12"/>
      <c r="U1928" s="12"/>
      <c r="V1928" s="12"/>
      <c r="W1928" s="12"/>
      <c r="X1928" s="12"/>
      <c r="Y1928" s="12"/>
      <c r="Z1928" s="12"/>
    </row>
    <row r="1929" ht="15.0" customHeight="1">
      <c r="A1929" s="364">
        <v>100000.0</v>
      </c>
      <c r="B1929" s="363">
        <f>IF(PT&lt;16,32%,IF(PT=17,34%,39%))</f>
        <v>0.32</v>
      </c>
      <c r="C1929" s="363">
        <f>IF(PT=7,10%,IF(PT=10,15%,25%))</f>
        <v>0.15</v>
      </c>
      <c r="D1929" s="363">
        <v>0.08</v>
      </c>
      <c r="E1929" s="363">
        <v>0.02</v>
      </c>
      <c r="F1929" s="363">
        <v>0.02</v>
      </c>
      <c r="G1929" s="363">
        <v>0.0</v>
      </c>
      <c r="H1929" s="12"/>
      <c r="I1929" s="12"/>
      <c r="J1929" s="12"/>
      <c r="K1929" s="12"/>
      <c r="L1929" s="12"/>
      <c r="M1929" s="12"/>
      <c r="N1929" s="12"/>
      <c r="O1929" s="12"/>
      <c r="P1929" s="12"/>
      <c r="Q1929" s="12"/>
      <c r="R1929" s="12"/>
      <c r="S1929" s="12"/>
      <c r="T1929" s="12"/>
      <c r="U1929" s="12"/>
      <c r="V1929" s="12"/>
      <c r="W1929" s="12"/>
      <c r="X1929" s="12"/>
      <c r="Y1929" s="12"/>
      <c r="Z1929" s="12"/>
    </row>
    <row r="1930" ht="15.0" customHeight="1">
      <c r="A1930" s="349"/>
      <c r="B1930" s="350"/>
      <c r="C1930" s="12"/>
      <c r="D1930" s="12"/>
      <c r="E1930" s="12"/>
      <c r="F1930" s="12"/>
      <c r="G1930" s="12"/>
      <c r="H1930" s="12"/>
      <c r="I1930" s="12"/>
      <c r="J1930" s="12"/>
      <c r="K1930" s="12"/>
      <c r="L1930" s="12"/>
      <c r="M1930" s="12"/>
      <c r="N1930" s="12"/>
      <c r="O1930" s="12"/>
      <c r="P1930" s="12"/>
      <c r="Q1930" s="12"/>
      <c r="R1930" s="12"/>
      <c r="S1930" s="12"/>
      <c r="T1930" s="12"/>
      <c r="U1930" s="12"/>
      <c r="V1930" s="12"/>
      <c r="W1930" s="12"/>
      <c r="X1930" s="12"/>
      <c r="Y1930" s="12"/>
      <c r="Z1930" s="12"/>
    </row>
    <row r="1931" ht="15.0" customHeight="1">
      <c r="A1931" s="349"/>
      <c r="B1931" s="350"/>
      <c r="C1931" s="12"/>
      <c r="D1931" s="12"/>
      <c r="E1931" s="12"/>
      <c r="F1931" s="12"/>
      <c r="G1931" s="12"/>
      <c r="H1931" s="12"/>
      <c r="I1931" s="12"/>
      <c r="J1931" s="12"/>
      <c r="K1931" s="12"/>
      <c r="L1931" s="12"/>
      <c r="M1931" s="12"/>
      <c r="N1931" s="12"/>
      <c r="O1931" s="12"/>
      <c r="P1931" s="12"/>
      <c r="Q1931" s="12"/>
      <c r="R1931" s="12"/>
      <c r="S1931" s="12"/>
      <c r="T1931" s="12"/>
      <c r="U1931" s="12"/>
      <c r="V1931" s="12"/>
      <c r="W1931" s="12"/>
      <c r="X1931" s="12"/>
      <c r="Y1931" s="12"/>
      <c r="Z1931" s="12"/>
    </row>
    <row r="1932" ht="15.0" customHeight="1">
      <c r="A1932" s="349"/>
      <c r="B1932" s="350"/>
      <c r="C1932" s="12"/>
      <c r="D1932" s="12"/>
      <c r="E1932" s="12"/>
      <c r="F1932" s="12"/>
      <c r="G1932" s="12"/>
      <c r="H1932" s="12"/>
      <c r="I1932" s="12"/>
      <c r="J1932" s="12"/>
      <c r="K1932" s="12"/>
      <c r="L1932" s="12"/>
      <c r="M1932" s="12"/>
      <c r="N1932" s="12"/>
      <c r="O1932" s="12"/>
      <c r="P1932" s="12"/>
      <c r="Q1932" s="12"/>
      <c r="R1932" s="12"/>
      <c r="S1932" s="12"/>
      <c r="T1932" s="12"/>
      <c r="U1932" s="12"/>
      <c r="V1932" s="12"/>
      <c r="W1932" s="12"/>
      <c r="X1932" s="12"/>
      <c r="Y1932" s="12"/>
      <c r="Z1932" s="12"/>
    </row>
    <row r="1933" ht="15.0" customHeight="1">
      <c r="A1933" s="349"/>
      <c r="B1933" s="350"/>
      <c r="C1933" s="12"/>
      <c r="D1933" s="12"/>
      <c r="E1933" s="12"/>
      <c r="F1933" s="12"/>
      <c r="G1933" s="12"/>
      <c r="H1933" s="12"/>
      <c r="I1933" s="12"/>
      <c r="J1933" s="12"/>
      <c r="K1933" s="12"/>
      <c r="L1933" s="12"/>
      <c r="M1933" s="12"/>
      <c r="N1933" s="12"/>
      <c r="O1933" s="12"/>
      <c r="P1933" s="12"/>
      <c r="Q1933" s="12"/>
      <c r="R1933" s="12"/>
      <c r="S1933" s="12"/>
      <c r="T1933" s="12"/>
      <c r="U1933" s="12"/>
      <c r="V1933" s="12"/>
      <c r="W1933" s="12"/>
      <c r="X1933" s="12"/>
      <c r="Y1933" s="12"/>
      <c r="Z1933" s="12"/>
    </row>
    <row r="1934" ht="15.0" customHeight="1">
      <c r="A1934" s="349"/>
      <c r="B1934" s="350"/>
      <c r="C1934" s="12"/>
      <c r="D1934" s="12"/>
      <c r="E1934" s="12"/>
      <c r="F1934" s="12"/>
      <c r="G1934" s="12"/>
      <c r="H1934" s="12"/>
      <c r="I1934" s="12"/>
      <c r="J1934" s="12"/>
      <c r="K1934" s="12"/>
      <c r="L1934" s="12"/>
      <c r="M1934" s="12"/>
      <c r="N1934" s="12"/>
      <c r="O1934" s="12"/>
      <c r="P1934" s="12"/>
      <c r="Q1934" s="12"/>
      <c r="R1934" s="12"/>
      <c r="S1934" s="12"/>
      <c r="T1934" s="12"/>
      <c r="U1934" s="12"/>
      <c r="V1934" s="12"/>
      <c r="W1934" s="12"/>
      <c r="X1934" s="12"/>
      <c r="Y1934" s="12"/>
      <c r="Z1934" s="12"/>
    </row>
    <row r="1935" ht="15.0" customHeight="1">
      <c r="A1935" s="349"/>
      <c r="B1935" s="350"/>
      <c r="C1935" s="12"/>
      <c r="D1935" s="12"/>
      <c r="E1935" s="12"/>
      <c r="F1935" s="12"/>
      <c r="G1935" s="12"/>
      <c r="H1935" s="12"/>
      <c r="I1935" s="12"/>
      <c r="J1935" s="12"/>
      <c r="K1935" s="12"/>
      <c r="L1935" s="12"/>
      <c r="M1935" s="12"/>
      <c r="N1935" s="12"/>
      <c r="O1935" s="12"/>
      <c r="P1935" s="12"/>
      <c r="Q1935" s="12"/>
      <c r="R1935" s="12"/>
      <c r="S1935" s="12"/>
      <c r="T1935" s="12"/>
      <c r="U1935" s="12"/>
      <c r="V1935" s="12"/>
      <c r="W1935" s="12"/>
      <c r="X1935" s="12"/>
      <c r="Y1935" s="12"/>
      <c r="Z1935" s="12"/>
    </row>
    <row r="1936" ht="15.0" customHeight="1">
      <c r="A1936" s="298" t="s">
        <v>1792</v>
      </c>
      <c r="B1936" s="350"/>
      <c r="C1936" s="12"/>
      <c r="D1936" s="12"/>
      <c r="E1936" s="12"/>
      <c r="F1936" s="12"/>
      <c r="G1936" s="12"/>
      <c r="H1936" s="12"/>
      <c r="I1936" s="12"/>
      <c r="J1936" s="12"/>
      <c r="K1936" s="12"/>
      <c r="L1936" s="12"/>
      <c r="M1936" s="12"/>
      <c r="N1936" s="12"/>
      <c r="O1936" s="12"/>
      <c r="P1936" s="12"/>
      <c r="Q1936" s="12"/>
      <c r="R1936" s="12"/>
      <c r="S1936" s="12"/>
      <c r="T1936" s="12"/>
      <c r="U1936" s="12"/>
      <c r="V1936" s="12"/>
      <c r="W1936" s="12"/>
      <c r="X1936" s="12"/>
      <c r="Y1936" s="12"/>
      <c r="Z1936" s="12"/>
    </row>
    <row r="1937" ht="15.0" customHeight="1">
      <c r="A1937" s="291" t="s">
        <v>1917</v>
      </c>
      <c r="B1937" s="291" t="s">
        <v>1918</v>
      </c>
      <c r="C1937" s="12"/>
      <c r="D1937" s="12"/>
      <c r="E1937" s="12"/>
      <c r="F1937" s="12"/>
      <c r="G1937" s="12"/>
      <c r="H1937" s="12"/>
      <c r="I1937" s="12"/>
      <c r="J1937" s="12"/>
      <c r="K1937" s="12"/>
      <c r="L1937" s="12"/>
      <c r="M1937" s="12"/>
      <c r="N1937" s="12"/>
      <c r="O1937" s="12"/>
      <c r="P1937" s="12"/>
      <c r="Q1937" s="12"/>
      <c r="R1937" s="12"/>
      <c r="S1937" s="12"/>
      <c r="T1937" s="12"/>
      <c r="U1937" s="12"/>
      <c r="V1937" s="12"/>
      <c r="W1937" s="12"/>
      <c r="X1937" s="12"/>
      <c r="Y1937" s="12"/>
      <c r="Z1937" s="12"/>
    </row>
    <row r="1938" ht="15.0" customHeight="1">
      <c r="A1938" s="332">
        <v>1.0</v>
      </c>
      <c r="B1938" s="351">
        <v>0.4</v>
      </c>
      <c r="C1938" s="12"/>
      <c r="D1938" s="12"/>
      <c r="E1938" s="12"/>
      <c r="F1938" s="12"/>
      <c r="G1938" s="12"/>
      <c r="H1938" s="12"/>
      <c r="I1938" s="12"/>
      <c r="J1938" s="12"/>
      <c r="K1938" s="12"/>
      <c r="L1938" s="12"/>
      <c r="M1938" s="12"/>
      <c r="N1938" s="12"/>
      <c r="O1938" s="12"/>
      <c r="P1938" s="12"/>
      <c r="Q1938" s="12"/>
      <c r="R1938" s="12"/>
      <c r="S1938" s="12"/>
      <c r="T1938" s="12"/>
      <c r="U1938" s="12"/>
      <c r="V1938" s="12"/>
      <c r="W1938" s="12"/>
      <c r="X1938" s="12"/>
      <c r="Y1938" s="12"/>
      <c r="Z1938" s="12"/>
    </row>
    <row r="1939" ht="15.0" customHeight="1">
      <c r="A1939" s="332">
        <v>2.0</v>
      </c>
      <c r="B1939" s="351">
        <v>0.2</v>
      </c>
      <c r="C1939" s="12"/>
      <c r="D1939" s="12"/>
      <c r="E1939" s="12"/>
      <c r="F1939" s="12"/>
      <c r="G1939" s="12"/>
      <c r="H1939" s="12"/>
      <c r="I1939" s="12"/>
      <c r="J1939" s="12"/>
      <c r="K1939" s="12"/>
      <c r="L1939" s="12"/>
      <c r="M1939" s="12"/>
      <c r="N1939" s="12"/>
      <c r="O1939" s="12"/>
      <c r="P1939" s="12"/>
      <c r="Q1939" s="12"/>
      <c r="R1939" s="12"/>
      <c r="S1939" s="12"/>
      <c r="T1939" s="12"/>
      <c r="U1939" s="12"/>
      <c r="V1939" s="12"/>
      <c r="W1939" s="12"/>
      <c r="X1939" s="12"/>
      <c r="Y1939" s="12"/>
      <c r="Z1939" s="12"/>
    </row>
    <row r="1940" ht="15.0" customHeight="1">
      <c r="A1940" s="332">
        <v>3.0</v>
      </c>
      <c r="B1940" s="351">
        <v>0.15</v>
      </c>
      <c r="C1940" s="12"/>
      <c r="D1940" s="12"/>
      <c r="E1940" s="12"/>
      <c r="F1940" s="12"/>
      <c r="G1940" s="12"/>
      <c r="H1940" s="12"/>
      <c r="I1940" s="12"/>
      <c r="J1940" s="12"/>
      <c r="K1940" s="12"/>
      <c r="L1940" s="12"/>
      <c r="M1940" s="12"/>
      <c r="N1940" s="12"/>
      <c r="O1940" s="12"/>
      <c r="P1940" s="12"/>
      <c r="Q1940" s="12"/>
      <c r="R1940" s="12"/>
      <c r="S1940" s="12"/>
      <c r="T1940" s="12"/>
      <c r="U1940" s="12"/>
      <c r="V1940" s="12"/>
      <c r="W1940" s="12"/>
      <c r="X1940" s="12"/>
      <c r="Y1940" s="12"/>
      <c r="Z1940" s="12"/>
    </row>
    <row r="1941" ht="15.0" customHeight="1">
      <c r="A1941" s="332">
        <v>4.0</v>
      </c>
      <c r="B1941" s="351">
        <v>0.04</v>
      </c>
      <c r="C1941" s="12"/>
      <c r="D1941" s="12"/>
      <c r="E1941" s="12"/>
      <c r="F1941" s="12"/>
      <c r="G1941" s="12"/>
      <c r="H1941" s="12"/>
      <c r="I1941" s="12"/>
      <c r="J1941" s="12"/>
      <c r="K1941" s="12"/>
      <c r="L1941" s="12"/>
      <c r="M1941" s="12"/>
      <c r="N1941" s="12"/>
      <c r="O1941" s="12"/>
      <c r="P1941" s="12"/>
      <c r="Q1941" s="12"/>
      <c r="R1941" s="12"/>
      <c r="S1941" s="12"/>
      <c r="T1941" s="12"/>
      <c r="U1941" s="12"/>
      <c r="V1941" s="12"/>
      <c r="W1941" s="12"/>
      <c r="X1941" s="12"/>
      <c r="Y1941" s="12"/>
      <c r="Z1941" s="12"/>
    </row>
    <row r="1942" ht="15.0" customHeight="1">
      <c r="A1942" s="332">
        <v>5.0</v>
      </c>
      <c r="B1942" s="351">
        <v>0.04</v>
      </c>
      <c r="C1942" s="12"/>
      <c r="D1942" s="12"/>
      <c r="E1942" s="12"/>
      <c r="F1942" s="12"/>
      <c r="G1942" s="12"/>
      <c r="H1942" s="12"/>
      <c r="I1942" s="12"/>
      <c r="J1942" s="12"/>
      <c r="K1942" s="12"/>
      <c r="L1942" s="12"/>
      <c r="M1942" s="12"/>
      <c r="N1942" s="12"/>
      <c r="O1942" s="12"/>
      <c r="P1942" s="12"/>
      <c r="Q1942" s="12"/>
      <c r="R1942" s="12"/>
      <c r="S1942" s="12"/>
      <c r="T1942" s="12"/>
      <c r="U1942" s="12"/>
      <c r="V1942" s="12"/>
      <c r="W1942" s="12"/>
      <c r="X1942" s="12"/>
      <c r="Y1942" s="12"/>
      <c r="Z1942" s="12"/>
    </row>
    <row r="1943" ht="15.0" customHeight="1">
      <c r="A1943" s="171">
        <v>6.0</v>
      </c>
      <c r="B1943" s="351">
        <v>0.0</v>
      </c>
      <c r="C1943" s="12"/>
      <c r="D1943" s="12"/>
      <c r="E1943" s="12"/>
      <c r="F1943" s="12"/>
      <c r="G1943" s="12"/>
      <c r="H1943" s="12"/>
      <c r="I1943" s="12"/>
      <c r="J1943" s="12"/>
      <c r="K1943" s="12"/>
      <c r="L1943" s="12"/>
      <c r="M1943" s="12"/>
      <c r="N1943" s="12"/>
      <c r="O1943" s="12"/>
      <c r="P1943" s="12"/>
      <c r="Q1943" s="12"/>
      <c r="R1943" s="12"/>
      <c r="S1943" s="12"/>
      <c r="T1943" s="12"/>
      <c r="U1943" s="12"/>
      <c r="V1943" s="12"/>
      <c r="W1943" s="12"/>
      <c r="X1943" s="12"/>
      <c r="Y1943" s="12"/>
      <c r="Z1943" s="12"/>
    </row>
    <row r="1944" ht="15.0" customHeight="1">
      <c r="A1944" s="349"/>
      <c r="B1944" s="350"/>
      <c r="C1944" s="12"/>
      <c r="D1944" s="12"/>
      <c r="E1944" s="12"/>
      <c r="F1944" s="12"/>
      <c r="G1944" s="12"/>
      <c r="H1944" s="12"/>
      <c r="I1944" s="12"/>
      <c r="J1944" s="12"/>
      <c r="K1944" s="12"/>
      <c r="L1944" s="12"/>
      <c r="M1944" s="12"/>
      <c r="N1944" s="12"/>
      <c r="O1944" s="12"/>
      <c r="P1944" s="12"/>
      <c r="Q1944" s="12"/>
      <c r="R1944" s="12"/>
      <c r="S1944" s="12"/>
      <c r="T1944" s="12"/>
      <c r="U1944" s="12"/>
      <c r="V1944" s="12"/>
      <c r="W1944" s="12"/>
      <c r="X1944" s="12"/>
      <c r="Y1944" s="12"/>
      <c r="Z1944" s="12"/>
    </row>
    <row r="1945" ht="15.0" customHeight="1">
      <c r="A1945" s="298" t="s">
        <v>1796</v>
      </c>
      <c r="B1945" s="350"/>
      <c r="C1945" s="12"/>
      <c r="D1945" s="12"/>
      <c r="E1945" s="12"/>
      <c r="F1945" s="12"/>
      <c r="G1945" s="12"/>
      <c r="H1945" s="12"/>
      <c r="I1945" s="12"/>
      <c r="J1945" s="12"/>
      <c r="K1945" s="12"/>
      <c r="L1945" s="12"/>
      <c r="M1945" s="12"/>
      <c r="N1945" s="12"/>
      <c r="O1945" s="12"/>
      <c r="P1945" s="12"/>
      <c r="Q1945" s="12"/>
      <c r="R1945" s="12"/>
      <c r="S1945" s="12"/>
      <c r="T1945" s="12"/>
      <c r="U1945" s="12"/>
      <c r="V1945" s="12"/>
      <c r="W1945" s="12"/>
      <c r="X1945" s="12"/>
      <c r="Y1945" s="12"/>
      <c r="Z1945" s="12"/>
    </row>
    <row r="1946" ht="15.0" customHeight="1">
      <c r="A1946" s="291" t="s">
        <v>1917</v>
      </c>
      <c r="B1946" s="291" t="s">
        <v>1918</v>
      </c>
      <c r="C1946" s="12"/>
      <c r="D1946" s="12"/>
      <c r="E1946" s="12"/>
      <c r="F1946" s="12"/>
      <c r="G1946" s="12"/>
      <c r="H1946" s="12"/>
      <c r="I1946" s="12"/>
      <c r="J1946" s="12"/>
      <c r="K1946" s="12"/>
      <c r="L1946" s="12"/>
      <c r="M1946" s="12"/>
      <c r="N1946" s="12"/>
      <c r="O1946" s="12"/>
      <c r="P1946" s="12"/>
      <c r="Q1946" s="12"/>
      <c r="R1946" s="12"/>
      <c r="S1946" s="12"/>
      <c r="T1946" s="12"/>
      <c r="U1946" s="12"/>
      <c r="V1946" s="12"/>
      <c r="W1946" s="12"/>
      <c r="X1946" s="12"/>
      <c r="Y1946" s="12"/>
      <c r="Z1946" s="12"/>
    </row>
    <row r="1947" ht="15.0" customHeight="1">
      <c r="A1947" s="332">
        <v>1.0</v>
      </c>
      <c r="B1947" s="351">
        <v>0.4</v>
      </c>
      <c r="C1947" s="12"/>
      <c r="D1947" s="12"/>
      <c r="E1947" s="12"/>
      <c r="F1947" s="12"/>
      <c r="G1947" s="12"/>
      <c r="H1947" s="12"/>
      <c r="I1947" s="12"/>
      <c r="J1947" s="12"/>
      <c r="K1947" s="12"/>
      <c r="L1947" s="12"/>
      <c r="M1947" s="12"/>
      <c r="N1947" s="12"/>
      <c r="O1947" s="12"/>
      <c r="P1947" s="12"/>
      <c r="Q1947" s="12"/>
      <c r="R1947" s="12"/>
      <c r="S1947" s="12"/>
      <c r="T1947" s="12"/>
      <c r="U1947" s="12"/>
      <c r="V1947" s="12"/>
      <c r="W1947" s="12"/>
      <c r="X1947" s="12"/>
      <c r="Y1947" s="12"/>
      <c r="Z1947" s="12"/>
    </row>
    <row r="1948" ht="15.0" customHeight="1">
      <c r="A1948" s="332">
        <v>2.0</v>
      </c>
      <c r="B1948" s="351">
        <v>0.2</v>
      </c>
      <c r="C1948" s="12"/>
      <c r="D1948" s="12"/>
      <c r="E1948" s="12"/>
      <c r="F1948" s="12"/>
      <c r="G1948" s="12"/>
      <c r="H1948" s="12"/>
      <c r="I1948" s="12"/>
      <c r="J1948" s="12"/>
      <c r="K1948" s="12"/>
      <c r="L1948" s="12"/>
      <c r="M1948" s="12"/>
      <c r="N1948" s="12"/>
      <c r="O1948" s="12"/>
      <c r="P1948" s="12"/>
      <c r="Q1948" s="12"/>
      <c r="R1948" s="12"/>
      <c r="S1948" s="12"/>
      <c r="T1948" s="12"/>
      <c r="U1948" s="12"/>
      <c r="V1948" s="12"/>
      <c r="W1948" s="12"/>
      <c r="X1948" s="12"/>
      <c r="Y1948" s="12"/>
      <c r="Z1948" s="12"/>
    </row>
    <row r="1949" ht="15.0" customHeight="1">
      <c r="A1949" s="332">
        <v>3.0</v>
      </c>
      <c r="B1949" s="351">
        <v>0.15</v>
      </c>
      <c r="C1949" s="12"/>
      <c r="D1949" s="12"/>
      <c r="E1949" s="12"/>
      <c r="F1949" s="12"/>
      <c r="G1949" s="12"/>
      <c r="H1949" s="12"/>
      <c r="I1949" s="12"/>
      <c r="J1949" s="12"/>
      <c r="K1949" s="12"/>
      <c r="L1949" s="12"/>
      <c r="M1949" s="12"/>
      <c r="N1949" s="12"/>
      <c r="O1949" s="12"/>
      <c r="P1949" s="12"/>
      <c r="Q1949" s="12"/>
      <c r="R1949" s="12"/>
      <c r="S1949" s="12"/>
      <c r="T1949" s="12"/>
      <c r="U1949" s="12"/>
      <c r="V1949" s="12"/>
      <c r="W1949" s="12"/>
      <c r="X1949" s="12"/>
      <c r="Y1949" s="12"/>
      <c r="Z1949" s="12"/>
    </row>
    <row r="1950" ht="15.0" customHeight="1">
      <c r="A1950" s="332">
        <v>4.0</v>
      </c>
      <c r="B1950" s="351">
        <v>0.04</v>
      </c>
      <c r="C1950" s="12"/>
      <c r="D1950" s="12"/>
      <c r="E1950" s="12"/>
      <c r="F1950" s="12"/>
      <c r="G1950" s="12"/>
      <c r="H1950" s="12"/>
      <c r="I1950" s="12"/>
      <c r="J1950" s="12"/>
      <c r="K1950" s="12"/>
      <c r="L1950" s="12"/>
      <c r="M1950" s="12"/>
      <c r="N1950" s="12"/>
      <c r="O1950" s="12"/>
      <c r="P1950" s="12"/>
      <c r="Q1950" s="12"/>
      <c r="R1950" s="12"/>
      <c r="S1950" s="12"/>
      <c r="T1950" s="12"/>
      <c r="U1950" s="12"/>
      <c r="V1950" s="12"/>
      <c r="W1950" s="12"/>
      <c r="X1950" s="12"/>
      <c r="Y1950" s="12"/>
      <c r="Z1950" s="12"/>
    </row>
    <row r="1951" ht="15.0" customHeight="1">
      <c r="A1951" s="332">
        <v>5.0</v>
      </c>
      <c r="B1951" s="351">
        <v>0.04</v>
      </c>
      <c r="C1951" s="12"/>
      <c r="D1951" s="12"/>
      <c r="E1951" s="12"/>
      <c r="F1951" s="12"/>
      <c r="G1951" s="12"/>
      <c r="H1951" s="12"/>
      <c r="I1951" s="12"/>
      <c r="J1951" s="12"/>
      <c r="K1951" s="12"/>
      <c r="L1951" s="12"/>
      <c r="M1951" s="12"/>
      <c r="N1951" s="12"/>
      <c r="O1951" s="12"/>
      <c r="P1951" s="12"/>
      <c r="Q1951" s="12"/>
      <c r="R1951" s="12"/>
      <c r="S1951" s="12"/>
      <c r="T1951" s="12"/>
      <c r="U1951" s="12"/>
      <c r="V1951" s="12"/>
      <c r="W1951" s="12"/>
      <c r="X1951" s="12"/>
      <c r="Y1951" s="12"/>
      <c r="Z1951" s="12"/>
    </row>
    <row r="1952" ht="15.0" customHeight="1">
      <c r="A1952" s="171">
        <v>6.0</v>
      </c>
      <c r="B1952" s="351">
        <v>0.0</v>
      </c>
      <c r="C1952" s="12"/>
      <c r="D1952" s="12"/>
      <c r="E1952" s="12"/>
      <c r="F1952" s="12"/>
      <c r="G1952" s="12"/>
      <c r="H1952" s="12"/>
      <c r="I1952" s="12"/>
      <c r="J1952" s="12"/>
      <c r="K1952" s="12"/>
      <c r="L1952" s="12"/>
      <c r="M1952" s="12"/>
      <c r="N1952" s="12"/>
      <c r="O1952" s="12"/>
      <c r="P1952" s="12"/>
      <c r="Q1952" s="12"/>
      <c r="R1952" s="12"/>
      <c r="S1952" s="12"/>
      <c r="T1952" s="12"/>
      <c r="U1952" s="12"/>
      <c r="V1952" s="12"/>
      <c r="W1952" s="12"/>
      <c r="X1952" s="12"/>
      <c r="Y1952" s="12"/>
      <c r="Z1952" s="12"/>
    </row>
    <row r="1953" ht="15.0" customHeight="1">
      <c r="A1953" s="349"/>
      <c r="B1953" s="350"/>
      <c r="C1953" s="12"/>
      <c r="D1953" s="12"/>
      <c r="E1953" s="12"/>
      <c r="F1953" s="12"/>
      <c r="G1953" s="12"/>
      <c r="H1953" s="12"/>
      <c r="I1953" s="12"/>
      <c r="J1953" s="12"/>
      <c r="K1953" s="12"/>
      <c r="L1953" s="12"/>
      <c r="M1953" s="12"/>
      <c r="N1953" s="12"/>
      <c r="O1953" s="12"/>
      <c r="P1953" s="12"/>
      <c r="Q1953" s="12"/>
      <c r="R1953" s="12"/>
      <c r="S1953" s="12"/>
      <c r="T1953" s="12"/>
      <c r="U1953" s="12"/>
      <c r="V1953" s="12"/>
      <c r="W1953" s="12"/>
      <c r="X1953" s="12"/>
      <c r="Y1953" s="12"/>
      <c r="Z1953" s="12"/>
    </row>
    <row r="1954" ht="15.0" customHeight="1">
      <c r="A1954" s="298" t="s">
        <v>1801</v>
      </c>
      <c r="B1954" s="350"/>
      <c r="C1954" s="12"/>
      <c r="D1954" s="12"/>
      <c r="E1954" s="12"/>
      <c r="F1954" s="12"/>
      <c r="G1954" s="12"/>
      <c r="H1954" s="12"/>
      <c r="I1954" s="12"/>
      <c r="J1954" s="12"/>
      <c r="K1954" s="12"/>
      <c r="L1954" s="12"/>
      <c r="M1954" s="12"/>
      <c r="N1954" s="12"/>
      <c r="O1954" s="12"/>
      <c r="P1954" s="12"/>
      <c r="Q1954" s="12"/>
      <c r="R1954" s="12"/>
      <c r="S1954" s="12"/>
      <c r="T1954" s="12"/>
      <c r="U1954" s="12"/>
      <c r="V1954" s="12"/>
      <c r="W1954" s="12"/>
      <c r="X1954" s="12"/>
      <c r="Y1954" s="12"/>
      <c r="Z1954" s="12"/>
    </row>
    <row r="1955" ht="15.0" customHeight="1">
      <c r="A1955" s="291" t="s">
        <v>1917</v>
      </c>
      <c r="B1955" s="291" t="s">
        <v>1918</v>
      </c>
      <c r="C1955" s="12"/>
      <c r="D1955" s="12"/>
      <c r="E1955" s="12"/>
      <c r="F1955" s="12"/>
      <c r="G1955" s="12"/>
      <c r="H1955" s="12"/>
      <c r="I1955" s="12"/>
      <c r="J1955" s="12"/>
      <c r="K1955" s="12"/>
      <c r="L1955" s="12"/>
      <c r="M1955" s="12"/>
      <c r="N1955" s="12"/>
      <c r="O1955" s="12"/>
      <c r="P1955" s="12"/>
      <c r="Q1955" s="12"/>
      <c r="R1955" s="12"/>
      <c r="S1955" s="12"/>
      <c r="T1955" s="12"/>
      <c r="U1955" s="12"/>
      <c r="V1955" s="12"/>
      <c r="W1955" s="12"/>
      <c r="X1955" s="12"/>
      <c r="Y1955" s="12"/>
      <c r="Z1955" s="12"/>
    </row>
    <row r="1956" ht="15.0" customHeight="1">
      <c r="A1956" s="332">
        <v>1.0</v>
      </c>
      <c r="B1956" s="351">
        <v>0.5</v>
      </c>
      <c r="C1956" s="12"/>
      <c r="D1956" s="12"/>
      <c r="E1956" s="12"/>
      <c r="F1956" s="12"/>
      <c r="G1956" s="12"/>
      <c r="H1956" s="12"/>
      <c r="I1956" s="12"/>
      <c r="J1956" s="12"/>
      <c r="K1956" s="12"/>
      <c r="L1956" s="12"/>
      <c r="M1956" s="12"/>
      <c r="N1956" s="12"/>
      <c r="O1956" s="12"/>
      <c r="P1956" s="12"/>
      <c r="Q1956" s="12"/>
      <c r="R1956" s="12"/>
      <c r="S1956" s="12"/>
      <c r="T1956" s="12"/>
      <c r="U1956" s="12"/>
      <c r="V1956" s="12"/>
      <c r="W1956" s="12"/>
      <c r="X1956" s="12"/>
      <c r="Y1956" s="12"/>
      <c r="Z1956" s="12"/>
    </row>
    <row r="1957" ht="15.0" customHeight="1">
      <c r="A1957" s="332">
        <v>2.0</v>
      </c>
      <c r="B1957" s="351">
        <v>0.15</v>
      </c>
      <c r="C1957" s="12"/>
      <c r="D1957" s="12"/>
      <c r="E1957" s="12"/>
      <c r="F1957" s="12"/>
      <c r="G1957" s="12"/>
      <c r="H1957" s="12"/>
      <c r="I1957" s="12"/>
      <c r="J1957" s="12"/>
      <c r="K1957" s="12"/>
      <c r="L1957" s="12"/>
      <c r="M1957" s="12"/>
      <c r="N1957" s="12"/>
      <c r="O1957" s="12"/>
      <c r="P1957" s="12"/>
      <c r="Q1957" s="12"/>
      <c r="R1957" s="12"/>
      <c r="S1957" s="12"/>
      <c r="T1957" s="12"/>
      <c r="U1957" s="12"/>
      <c r="V1957" s="12"/>
      <c r="W1957" s="12"/>
      <c r="X1957" s="12"/>
      <c r="Y1957" s="12"/>
      <c r="Z1957" s="12"/>
    </row>
    <row r="1958" ht="15.0" customHeight="1">
      <c r="A1958" s="332">
        <v>3.0</v>
      </c>
      <c r="B1958" s="351">
        <v>0.15</v>
      </c>
      <c r="C1958" s="12"/>
      <c r="D1958" s="12"/>
      <c r="E1958" s="12"/>
      <c r="F1958" s="12"/>
      <c r="G1958" s="12"/>
      <c r="H1958" s="12"/>
      <c r="I1958" s="12"/>
      <c r="J1958" s="12"/>
      <c r="K1958" s="12"/>
      <c r="L1958" s="12"/>
      <c r="M1958" s="12"/>
      <c r="N1958" s="12"/>
      <c r="O1958" s="12"/>
      <c r="P1958" s="12"/>
      <c r="Q1958" s="12"/>
      <c r="R1958" s="12"/>
      <c r="S1958" s="12"/>
      <c r="T1958" s="12"/>
      <c r="U1958" s="12"/>
      <c r="V1958" s="12"/>
      <c r="W1958" s="12"/>
      <c r="X1958" s="12"/>
      <c r="Y1958" s="12"/>
      <c r="Z1958" s="12"/>
    </row>
    <row r="1959" ht="15.0" customHeight="1">
      <c r="A1959" s="332">
        <v>4.0</v>
      </c>
      <c r="B1959" s="351">
        <v>0.075</v>
      </c>
      <c r="C1959" s="12"/>
      <c r="D1959" s="12"/>
      <c r="E1959" s="12"/>
      <c r="F1959" s="12"/>
      <c r="G1959" s="12"/>
      <c r="H1959" s="12"/>
      <c r="I1959" s="12"/>
      <c r="J1959" s="12"/>
      <c r="K1959" s="12"/>
      <c r="L1959" s="12"/>
      <c r="M1959" s="12"/>
      <c r="N1959" s="12"/>
      <c r="O1959" s="12"/>
      <c r="P1959" s="12"/>
      <c r="Q1959" s="12"/>
      <c r="R1959" s="12"/>
      <c r="S1959" s="12"/>
      <c r="T1959" s="12"/>
      <c r="U1959" s="12"/>
      <c r="V1959" s="12"/>
      <c r="W1959" s="12"/>
      <c r="X1959" s="12"/>
      <c r="Y1959" s="12"/>
      <c r="Z1959" s="12"/>
    </row>
    <row r="1960" ht="15.0" customHeight="1">
      <c r="A1960" s="332">
        <v>5.0</v>
      </c>
      <c r="B1960" s="351">
        <v>0.075</v>
      </c>
      <c r="C1960" s="12"/>
      <c r="D1960" s="12"/>
      <c r="E1960" s="12"/>
      <c r="F1960" s="12"/>
      <c r="G1960" s="12"/>
      <c r="H1960" s="12"/>
      <c r="I1960" s="12"/>
      <c r="J1960" s="12"/>
      <c r="K1960" s="12"/>
      <c r="L1960" s="12"/>
      <c r="M1960" s="12"/>
      <c r="N1960" s="12"/>
      <c r="O1960" s="12"/>
      <c r="P1960" s="12"/>
      <c r="Q1960" s="12"/>
      <c r="R1960" s="12"/>
      <c r="S1960" s="12"/>
      <c r="T1960" s="12"/>
      <c r="U1960" s="12"/>
      <c r="V1960" s="12"/>
      <c r="W1960" s="12"/>
      <c r="X1960" s="12"/>
      <c r="Y1960" s="12"/>
      <c r="Z1960" s="12"/>
    </row>
    <row r="1961" ht="15.0" customHeight="1">
      <c r="A1961" s="171">
        <v>6.0</v>
      </c>
      <c r="B1961" s="351">
        <v>0.0</v>
      </c>
      <c r="C1961" s="12"/>
      <c r="D1961" s="12"/>
      <c r="E1961" s="12"/>
      <c r="F1961" s="12"/>
      <c r="G1961" s="12"/>
      <c r="H1961" s="12"/>
      <c r="I1961" s="12"/>
      <c r="J1961" s="12"/>
      <c r="K1961" s="12"/>
      <c r="L1961" s="12"/>
      <c r="M1961" s="12"/>
      <c r="N1961" s="12"/>
      <c r="O1961" s="12"/>
      <c r="P1961" s="12"/>
      <c r="Q1961" s="12"/>
      <c r="R1961" s="12"/>
      <c r="S1961" s="12"/>
      <c r="T1961" s="12"/>
      <c r="U1961" s="12"/>
      <c r="V1961" s="12"/>
      <c r="W1961" s="12"/>
      <c r="X1961" s="12"/>
      <c r="Y1961" s="12"/>
      <c r="Z1961" s="12"/>
    </row>
    <row r="1962" ht="15.0" customHeight="1">
      <c r="A1962" s="349"/>
      <c r="B1962" s="350"/>
      <c r="C1962" s="12"/>
      <c r="D1962" s="12"/>
      <c r="E1962" s="12"/>
      <c r="F1962" s="12"/>
      <c r="G1962" s="12"/>
      <c r="H1962" s="12"/>
      <c r="I1962" s="12"/>
      <c r="J1962" s="12"/>
      <c r="K1962" s="12"/>
      <c r="L1962" s="12"/>
      <c r="M1962" s="12"/>
      <c r="N1962" s="12"/>
      <c r="O1962" s="12"/>
      <c r="P1962" s="12"/>
      <c r="Q1962" s="12"/>
      <c r="R1962" s="12"/>
      <c r="S1962" s="12"/>
      <c r="T1962" s="12"/>
      <c r="U1962" s="12"/>
      <c r="V1962" s="12"/>
      <c r="W1962" s="12"/>
      <c r="X1962" s="12"/>
      <c r="Y1962" s="12"/>
      <c r="Z1962" s="12"/>
    </row>
    <row r="1963" ht="15.0" customHeight="1">
      <c r="A1963" s="298" t="s">
        <v>1805</v>
      </c>
      <c r="B1963" s="350"/>
      <c r="C1963" s="12"/>
      <c r="D1963" s="12"/>
      <c r="E1963" s="12"/>
      <c r="F1963" s="12"/>
      <c r="G1963" s="12"/>
      <c r="H1963" s="12"/>
      <c r="I1963" s="12"/>
      <c r="J1963" s="12"/>
      <c r="K1963" s="12"/>
      <c r="L1963" s="12"/>
      <c r="M1963" s="12"/>
      <c r="N1963" s="12"/>
      <c r="O1963" s="12"/>
      <c r="P1963" s="12"/>
      <c r="Q1963" s="12"/>
      <c r="R1963" s="12"/>
      <c r="S1963" s="12"/>
      <c r="T1963" s="12"/>
      <c r="U1963" s="12"/>
      <c r="V1963" s="12"/>
      <c r="W1963" s="12"/>
      <c r="X1963" s="12"/>
      <c r="Y1963" s="12"/>
      <c r="Z1963" s="12"/>
    </row>
    <row r="1964" ht="15.0" customHeight="1">
      <c r="A1964" s="291" t="s">
        <v>1917</v>
      </c>
      <c r="B1964" s="291" t="s">
        <v>1918</v>
      </c>
      <c r="C1964" s="12"/>
      <c r="D1964" s="12"/>
      <c r="E1964" s="12"/>
      <c r="F1964" s="12"/>
      <c r="G1964" s="12"/>
      <c r="H1964" s="12"/>
      <c r="I1964" s="12"/>
      <c r="J1964" s="12"/>
      <c r="K1964" s="12"/>
      <c r="L1964" s="12"/>
      <c r="M1964" s="12"/>
      <c r="N1964" s="12"/>
      <c r="O1964" s="12"/>
      <c r="P1964" s="12"/>
      <c r="Q1964" s="12"/>
      <c r="R1964" s="12"/>
      <c r="S1964" s="12"/>
      <c r="T1964" s="12"/>
      <c r="U1964" s="12"/>
      <c r="V1964" s="12"/>
      <c r="W1964" s="12"/>
      <c r="X1964" s="12"/>
      <c r="Y1964" s="12"/>
      <c r="Z1964" s="12"/>
    </row>
    <row r="1965" ht="15.0" customHeight="1">
      <c r="A1965" s="332">
        <v>1.0</v>
      </c>
      <c r="B1965" s="351">
        <v>0.06</v>
      </c>
      <c r="C1965" s="12"/>
      <c r="D1965" s="12"/>
      <c r="E1965" s="12"/>
      <c r="F1965" s="12"/>
      <c r="G1965" s="12"/>
      <c r="H1965" s="12"/>
      <c r="I1965" s="12"/>
      <c r="J1965" s="12"/>
      <c r="K1965" s="12"/>
      <c r="L1965" s="12"/>
      <c r="M1965" s="12"/>
      <c r="N1965" s="12"/>
      <c r="O1965" s="12"/>
      <c r="P1965" s="12"/>
      <c r="Q1965" s="12"/>
      <c r="R1965" s="12"/>
      <c r="S1965" s="12"/>
      <c r="T1965" s="12"/>
      <c r="U1965" s="12"/>
      <c r="V1965" s="12"/>
      <c r="W1965" s="12"/>
      <c r="X1965" s="12"/>
      <c r="Y1965" s="12"/>
      <c r="Z1965" s="12"/>
    </row>
    <row r="1966" ht="15.0" customHeight="1">
      <c r="A1966" s="332">
        <v>2.0</v>
      </c>
      <c r="B1966" s="351">
        <v>0.06</v>
      </c>
      <c r="C1966" s="12"/>
      <c r="D1966" s="12"/>
      <c r="E1966" s="12"/>
      <c r="F1966" s="12"/>
      <c r="G1966" s="12"/>
      <c r="H1966" s="12"/>
      <c r="I1966" s="12"/>
      <c r="J1966" s="12"/>
      <c r="K1966" s="12"/>
      <c r="L1966" s="12"/>
      <c r="M1966" s="12"/>
      <c r="N1966" s="12"/>
      <c r="O1966" s="12"/>
      <c r="P1966" s="12"/>
      <c r="Q1966" s="12"/>
      <c r="R1966" s="12"/>
      <c r="S1966" s="12"/>
      <c r="T1966" s="12"/>
      <c r="U1966" s="12"/>
      <c r="V1966" s="12"/>
      <c r="W1966" s="12"/>
      <c r="X1966" s="12"/>
      <c r="Y1966" s="12"/>
      <c r="Z1966" s="12"/>
    </row>
    <row r="1967" ht="15.0" customHeight="1">
      <c r="A1967" s="332">
        <v>3.0</v>
      </c>
      <c r="B1967" s="351">
        <v>0.06</v>
      </c>
      <c r="C1967" s="12"/>
      <c r="D1967" s="12"/>
      <c r="E1967" s="12"/>
      <c r="F1967" s="12"/>
      <c r="G1967" s="12"/>
      <c r="H1967" s="12"/>
      <c r="I1967" s="12"/>
      <c r="J1967" s="12"/>
      <c r="K1967" s="12"/>
      <c r="L1967" s="12"/>
      <c r="M1967" s="12"/>
      <c r="N1967" s="12"/>
      <c r="O1967" s="12"/>
      <c r="P1967" s="12"/>
      <c r="Q1967" s="12"/>
      <c r="R1967" s="12"/>
      <c r="S1967" s="12"/>
      <c r="T1967" s="12"/>
      <c r="U1967" s="12"/>
      <c r="V1967" s="12"/>
      <c r="W1967" s="12"/>
      <c r="X1967" s="12"/>
      <c r="Y1967" s="12"/>
      <c r="Z1967" s="12"/>
    </row>
    <row r="1968" ht="15.0" customHeight="1">
      <c r="A1968" s="332">
        <v>4.0</v>
      </c>
      <c r="B1968" s="351">
        <v>0.06</v>
      </c>
      <c r="C1968" s="12"/>
      <c r="D1968" s="12"/>
      <c r="E1968" s="12"/>
      <c r="F1968" s="12"/>
      <c r="G1968" s="12"/>
      <c r="H1968" s="12"/>
      <c r="I1968" s="12"/>
      <c r="J1968" s="12"/>
      <c r="K1968" s="12"/>
      <c r="L1968" s="12"/>
      <c r="M1968" s="12"/>
      <c r="N1968" s="12"/>
      <c r="O1968" s="12"/>
      <c r="P1968" s="12"/>
      <c r="Q1968" s="12"/>
      <c r="R1968" s="12"/>
      <c r="S1968" s="12"/>
      <c r="T1968" s="12"/>
      <c r="U1968" s="12"/>
      <c r="V1968" s="12"/>
      <c r="W1968" s="12"/>
      <c r="X1968" s="12"/>
      <c r="Y1968" s="12"/>
      <c r="Z1968" s="12"/>
    </row>
    <row r="1969" ht="15.0" customHeight="1">
      <c r="A1969" s="332">
        <v>5.0</v>
      </c>
      <c r="B1969" s="351">
        <v>0.0</v>
      </c>
      <c r="C1969" s="12"/>
      <c r="D1969" s="12"/>
      <c r="E1969" s="12"/>
      <c r="F1969" s="12"/>
      <c r="G1969" s="12"/>
      <c r="H1969" s="12"/>
      <c r="I1969" s="12"/>
      <c r="J1969" s="12"/>
      <c r="K1969" s="12"/>
      <c r="L1969" s="12"/>
      <c r="M1969" s="12"/>
      <c r="N1969" s="12"/>
      <c r="O1969" s="12"/>
      <c r="P1969" s="12"/>
      <c r="Q1969" s="12"/>
      <c r="R1969" s="12"/>
      <c r="S1969" s="12"/>
      <c r="T1969" s="12"/>
      <c r="U1969" s="12"/>
      <c r="V1969" s="12"/>
      <c r="W1969" s="12"/>
      <c r="X1969" s="12"/>
      <c r="Y1969" s="12"/>
      <c r="Z1969" s="12"/>
    </row>
    <row r="1970" ht="15.0" customHeight="1">
      <c r="A1970" s="349"/>
      <c r="B1970" s="350"/>
      <c r="C1970" s="12"/>
      <c r="D1970" s="12"/>
      <c r="E1970" s="12"/>
      <c r="F1970" s="12"/>
      <c r="G1970" s="12"/>
      <c r="H1970" s="12"/>
      <c r="I1970" s="12"/>
      <c r="J1970" s="12"/>
      <c r="K1970" s="12"/>
      <c r="L1970" s="12"/>
      <c r="M1970" s="12"/>
      <c r="N1970" s="12"/>
      <c r="O1970" s="12"/>
      <c r="P1970" s="12"/>
      <c r="Q1970" s="12"/>
      <c r="R1970" s="12"/>
      <c r="S1970" s="12"/>
      <c r="T1970" s="12"/>
      <c r="U1970" s="12"/>
      <c r="V1970" s="12"/>
      <c r="W1970" s="12"/>
      <c r="X1970" s="12"/>
      <c r="Y1970" s="12"/>
      <c r="Z1970" s="12"/>
    </row>
    <row r="1971" ht="15.0" customHeight="1">
      <c r="A1971" s="298" t="s">
        <v>1809</v>
      </c>
      <c r="B1971" s="350"/>
      <c r="C1971" s="12"/>
      <c r="D1971" s="12"/>
      <c r="E1971" s="12"/>
      <c r="F1971" s="12"/>
      <c r="G1971" s="12"/>
      <c r="H1971" s="12"/>
      <c r="I1971" s="12"/>
      <c r="J1971" s="12"/>
      <c r="K1971" s="12"/>
      <c r="L1971" s="12"/>
      <c r="M1971" s="12"/>
      <c r="N1971" s="12"/>
      <c r="O1971" s="12"/>
      <c r="P1971" s="12"/>
      <c r="Q1971" s="12"/>
      <c r="R1971" s="12"/>
      <c r="S1971" s="12"/>
      <c r="T1971" s="12"/>
      <c r="U1971" s="12"/>
      <c r="V1971" s="12"/>
      <c r="W1971" s="12"/>
      <c r="X1971" s="12"/>
      <c r="Y1971" s="12"/>
      <c r="Z1971" s="12"/>
    </row>
    <row r="1972" ht="15.0" customHeight="1">
      <c r="A1972" s="291" t="s">
        <v>1917</v>
      </c>
      <c r="B1972" s="291" t="s">
        <v>1918</v>
      </c>
      <c r="C1972" s="12"/>
      <c r="D1972" s="12"/>
      <c r="E1972" s="12"/>
      <c r="F1972" s="12"/>
      <c r="G1972" s="12"/>
      <c r="H1972" s="12"/>
      <c r="I1972" s="12"/>
      <c r="J1972" s="12"/>
      <c r="K1972" s="12"/>
      <c r="L1972" s="12"/>
      <c r="M1972" s="12"/>
      <c r="N1972" s="12"/>
      <c r="O1972" s="12"/>
      <c r="P1972" s="12"/>
      <c r="Q1972" s="12"/>
      <c r="R1972" s="12"/>
      <c r="S1972" s="12"/>
      <c r="T1972" s="12"/>
      <c r="U1972" s="12"/>
      <c r="V1972" s="12"/>
      <c r="W1972" s="12"/>
      <c r="X1972" s="12"/>
      <c r="Y1972" s="12"/>
      <c r="Z1972" s="12"/>
    </row>
    <row r="1973" ht="15.0" customHeight="1">
      <c r="A1973" s="332">
        <v>1.0</v>
      </c>
      <c r="B1973" s="351">
        <v>1.0</v>
      </c>
      <c r="C1973" s="12"/>
      <c r="D1973" s="12"/>
      <c r="E1973" s="12"/>
      <c r="F1973" s="12"/>
      <c r="G1973" s="12"/>
      <c r="H1973" s="12"/>
      <c r="I1973" s="12"/>
      <c r="J1973" s="12"/>
      <c r="K1973" s="12"/>
      <c r="L1973" s="12"/>
      <c r="M1973" s="12"/>
      <c r="N1973" s="12"/>
      <c r="O1973" s="12"/>
      <c r="P1973" s="12"/>
      <c r="Q1973" s="12"/>
      <c r="R1973" s="12"/>
      <c r="S1973" s="12"/>
      <c r="T1973" s="12"/>
      <c r="U1973" s="12"/>
      <c r="V1973" s="12"/>
      <c r="W1973" s="12"/>
      <c r="X1973" s="12"/>
      <c r="Y1973" s="12"/>
      <c r="Z1973" s="12"/>
    </row>
    <row r="1974" ht="15.0" customHeight="1">
      <c r="A1974" s="332">
        <v>2.0</v>
      </c>
      <c r="B1974" s="351">
        <v>0.05</v>
      </c>
      <c r="C1974" s="12"/>
      <c r="D1974" s="12"/>
      <c r="E1974" s="12"/>
      <c r="F1974" s="12"/>
      <c r="G1974" s="12"/>
      <c r="H1974" s="12"/>
      <c r="I1974" s="12"/>
      <c r="J1974" s="12"/>
      <c r="K1974" s="12"/>
      <c r="L1974" s="12"/>
      <c r="M1974" s="12"/>
      <c r="N1974" s="12"/>
      <c r="O1974" s="12"/>
      <c r="P1974" s="12"/>
      <c r="Q1974" s="12"/>
      <c r="R1974" s="12"/>
      <c r="S1974" s="12"/>
      <c r="T1974" s="12"/>
      <c r="U1974" s="12"/>
      <c r="V1974" s="12"/>
      <c r="W1974" s="12"/>
      <c r="X1974" s="12"/>
      <c r="Y1974" s="12"/>
      <c r="Z1974" s="12"/>
    </row>
    <row r="1975" ht="15.0" customHeight="1">
      <c r="A1975" s="332">
        <v>3.0</v>
      </c>
      <c r="B1975" s="351">
        <v>0.05</v>
      </c>
      <c r="C1975" s="12"/>
      <c r="D1975" s="12"/>
      <c r="E1975" s="12"/>
      <c r="F1975" s="12"/>
      <c r="G1975" s="12"/>
      <c r="H1975" s="12"/>
      <c r="I1975" s="12"/>
      <c r="J1975" s="12"/>
      <c r="K1975" s="12"/>
      <c r="L1975" s="12"/>
      <c r="M1975" s="12"/>
      <c r="N1975" s="12"/>
      <c r="O1975" s="12"/>
      <c r="P1975" s="12"/>
      <c r="Q1975" s="12"/>
      <c r="R1975" s="12"/>
      <c r="S1975" s="12"/>
      <c r="T1975" s="12"/>
      <c r="U1975" s="12"/>
      <c r="V1975" s="12"/>
      <c r="W1975" s="12"/>
      <c r="X1975" s="12"/>
      <c r="Y1975" s="12"/>
      <c r="Z1975" s="12"/>
    </row>
    <row r="1976" ht="15.0" customHeight="1">
      <c r="A1976" s="332">
        <v>4.0</v>
      </c>
      <c r="B1976" s="351">
        <v>0.05</v>
      </c>
      <c r="C1976" s="12"/>
      <c r="D1976" s="12"/>
      <c r="E1976" s="12"/>
      <c r="F1976" s="12"/>
      <c r="G1976" s="12"/>
      <c r="H1976" s="12"/>
      <c r="I1976" s="12"/>
      <c r="J1976" s="12"/>
      <c r="K1976" s="12"/>
      <c r="L1976" s="12"/>
      <c r="M1976" s="12"/>
      <c r="N1976" s="12"/>
      <c r="O1976" s="12"/>
      <c r="P1976" s="12"/>
      <c r="Q1976" s="12"/>
      <c r="R1976" s="12"/>
      <c r="S1976" s="12"/>
      <c r="T1976" s="12"/>
      <c r="U1976" s="12"/>
      <c r="V1976" s="12"/>
      <c r="W1976" s="12"/>
      <c r="X1976" s="12"/>
      <c r="Y1976" s="12"/>
      <c r="Z1976" s="12"/>
    </row>
    <row r="1977" ht="15.0" customHeight="1">
      <c r="A1977" s="332">
        <v>5.0</v>
      </c>
      <c r="B1977" s="351">
        <v>0.05</v>
      </c>
      <c r="C1977" s="12"/>
      <c r="D1977" s="12"/>
      <c r="E1977" s="12"/>
      <c r="F1977" s="12"/>
      <c r="G1977" s="12"/>
      <c r="H1977" s="12"/>
      <c r="I1977" s="12"/>
      <c r="J1977" s="12"/>
      <c r="K1977" s="12"/>
      <c r="L1977" s="12"/>
      <c r="M1977" s="12"/>
      <c r="N1977" s="12"/>
      <c r="O1977" s="12"/>
      <c r="P1977" s="12"/>
      <c r="Q1977" s="12"/>
      <c r="R1977" s="12"/>
      <c r="S1977" s="12"/>
      <c r="T1977" s="12"/>
      <c r="U1977" s="12"/>
      <c r="V1977" s="12"/>
      <c r="W1977" s="12"/>
      <c r="X1977" s="12"/>
      <c r="Y1977" s="12"/>
      <c r="Z1977" s="12"/>
    </row>
    <row r="1978" ht="15.0" customHeight="1">
      <c r="A1978" s="171">
        <v>6.0</v>
      </c>
      <c r="B1978" s="351">
        <v>0.0</v>
      </c>
      <c r="C1978" s="12"/>
      <c r="D1978" s="12"/>
      <c r="E1978" s="12"/>
      <c r="F1978" s="12"/>
      <c r="G1978" s="12"/>
      <c r="H1978" s="12"/>
      <c r="I1978" s="12"/>
      <c r="J1978" s="12"/>
      <c r="K1978" s="12"/>
      <c r="L1978" s="12"/>
      <c r="M1978" s="12"/>
      <c r="N1978" s="12"/>
      <c r="O1978" s="12"/>
      <c r="P1978" s="12"/>
      <c r="Q1978" s="12"/>
      <c r="R1978" s="12"/>
      <c r="S1978" s="12"/>
      <c r="T1978" s="12"/>
      <c r="U1978" s="12"/>
      <c r="V1978" s="12"/>
      <c r="W1978" s="12"/>
      <c r="X1978" s="12"/>
      <c r="Y1978" s="12"/>
      <c r="Z1978" s="12"/>
    </row>
    <row r="1979" ht="15.0" customHeight="1">
      <c r="A1979" s="349"/>
      <c r="B1979" s="350"/>
      <c r="C1979" s="12"/>
      <c r="D1979" s="12"/>
      <c r="E1979" s="12"/>
      <c r="F1979" s="12"/>
      <c r="G1979" s="12"/>
      <c r="H1979" s="12"/>
      <c r="I1979" s="12"/>
      <c r="J1979" s="12"/>
      <c r="K1979" s="12"/>
      <c r="L1979" s="12"/>
      <c r="M1979" s="12"/>
      <c r="N1979" s="12"/>
      <c r="O1979" s="12"/>
      <c r="P1979" s="12"/>
      <c r="Q1979" s="12"/>
      <c r="R1979" s="12"/>
      <c r="S1979" s="12"/>
      <c r="T1979" s="12"/>
      <c r="U1979" s="12"/>
      <c r="V1979" s="12"/>
      <c r="W1979" s="12"/>
      <c r="X1979" s="12"/>
      <c r="Y1979" s="12"/>
      <c r="Z1979" s="12"/>
    </row>
    <row r="1980" ht="15.0" customHeight="1">
      <c r="A1980" s="298" t="s">
        <v>1813</v>
      </c>
      <c r="B1980" s="350"/>
      <c r="C1980" s="12"/>
      <c r="D1980" s="12"/>
      <c r="E1980" s="12"/>
      <c r="F1980" s="12"/>
      <c r="G1980" s="12"/>
      <c r="H1980" s="12"/>
      <c r="I1980" s="12"/>
      <c r="J1980" s="12"/>
      <c r="K1980" s="12"/>
      <c r="L1980" s="12"/>
      <c r="M1980" s="12"/>
      <c r="N1980" s="12"/>
      <c r="O1980" s="12"/>
      <c r="P1980" s="12"/>
      <c r="Q1980" s="12"/>
      <c r="R1980" s="12"/>
      <c r="S1980" s="12"/>
      <c r="T1980" s="12"/>
      <c r="U1980" s="12"/>
      <c r="V1980" s="12"/>
      <c r="W1980" s="12"/>
      <c r="X1980" s="12"/>
      <c r="Y1980" s="12"/>
      <c r="Z1980" s="12"/>
    </row>
    <row r="1981" ht="15.0" customHeight="1">
      <c r="A1981" s="291" t="s">
        <v>1917</v>
      </c>
      <c r="B1981" s="291" t="s">
        <v>1918</v>
      </c>
      <c r="C1981" s="12"/>
      <c r="D1981" s="12"/>
      <c r="E1981" s="12"/>
      <c r="F1981" s="12"/>
      <c r="G1981" s="12"/>
      <c r="H1981" s="12"/>
      <c r="I1981" s="12"/>
      <c r="J1981" s="12"/>
      <c r="K1981" s="12"/>
      <c r="L1981" s="12"/>
      <c r="M1981" s="12"/>
      <c r="N1981" s="12"/>
      <c r="O1981" s="12"/>
      <c r="P1981" s="12"/>
      <c r="Q1981" s="12"/>
      <c r="R1981" s="12"/>
      <c r="S1981" s="12"/>
      <c r="T1981" s="12"/>
      <c r="U1981" s="12"/>
      <c r="V1981" s="12"/>
      <c r="W1981" s="12"/>
      <c r="X1981" s="12"/>
      <c r="Y1981" s="12"/>
      <c r="Z1981" s="12"/>
    </row>
    <row r="1982" ht="15.0" customHeight="1">
      <c r="A1982" s="332">
        <v>1.0</v>
      </c>
      <c r="B1982" s="351">
        <v>1.0</v>
      </c>
      <c r="C1982" s="12"/>
      <c r="D1982" s="12"/>
      <c r="E1982" s="12"/>
      <c r="F1982" s="12"/>
      <c r="G1982" s="12"/>
      <c r="H1982" s="12"/>
      <c r="I1982" s="12"/>
      <c r="J1982" s="12"/>
      <c r="K1982" s="12"/>
      <c r="L1982" s="12"/>
      <c r="M1982" s="12"/>
      <c r="N1982" s="12"/>
      <c r="O1982" s="12"/>
      <c r="P1982" s="12"/>
      <c r="Q1982" s="12"/>
      <c r="R1982" s="12"/>
      <c r="S1982" s="12"/>
      <c r="T1982" s="12"/>
      <c r="U1982" s="12"/>
      <c r="V1982" s="12"/>
      <c r="W1982" s="12"/>
      <c r="X1982" s="12"/>
      <c r="Y1982" s="12"/>
      <c r="Z1982" s="12"/>
    </row>
    <row r="1983" ht="15.0" customHeight="1">
      <c r="A1983" s="332">
        <v>2.0</v>
      </c>
      <c r="B1983" s="351">
        <v>0.05</v>
      </c>
      <c r="C1983" s="12"/>
      <c r="D1983" s="12"/>
      <c r="E1983" s="12"/>
      <c r="F1983" s="12"/>
      <c r="G1983" s="12"/>
      <c r="H1983" s="12"/>
      <c r="I1983" s="12"/>
      <c r="J1983" s="12"/>
      <c r="K1983" s="12"/>
      <c r="L1983" s="12"/>
      <c r="M1983" s="12"/>
      <c r="N1983" s="12"/>
      <c r="O1983" s="12"/>
      <c r="P1983" s="12"/>
      <c r="Q1983" s="12"/>
      <c r="R1983" s="12"/>
      <c r="S1983" s="12"/>
      <c r="T1983" s="12"/>
      <c r="U1983" s="12"/>
      <c r="V1983" s="12"/>
      <c r="W1983" s="12"/>
      <c r="X1983" s="12"/>
      <c r="Y1983" s="12"/>
      <c r="Z1983" s="12"/>
    </row>
    <row r="1984" ht="15.0" customHeight="1">
      <c r="A1984" s="332">
        <v>3.0</v>
      </c>
      <c r="B1984" s="351">
        <v>0.05</v>
      </c>
      <c r="C1984" s="12"/>
      <c r="D1984" s="12"/>
      <c r="E1984" s="12"/>
      <c r="F1984" s="12"/>
      <c r="G1984" s="12"/>
      <c r="H1984" s="12"/>
      <c r="I1984" s="12"/>
      <c r="J1984" s="12"/>
      <c r="K1984" s="12"/>
      <c r="L1984" s="12"/>
      <c r="M1984" s="12"/>
      <c r="N1984" s="12"/>
      <c r="O1984" s="12"/>
      <c r="P1984" s="12"/>
      <c r="Q1984" s="12"/>
      <c r="R1984" s="12"/>
      <c r="S1984" s="12"/>
      <c r="T1984" s="12"/>
      <c r="U1984" s="12"/>
      <c r="V1984" s="12"/>
      <c r="W1984" s="12"/>
      <c r="X1984" s="12"/>
      <c r="Y1984" s="12"/>
      <c r="Z1984" s="12"/>
    </row>
    <row r="1985" ht="15.0" customHeight="1">
      <c r="A1985" s="332">
        <v>4.0</v>
      </c>
      <c r="B1985" s="351">
        <v>0.05</v>
      </c>
      <c r="C1985" s="12"/>
      <c r="D1985" s="12"/>
      <c r="E1985" s="12"/>
      <c r="F1985" s="12"/>
      <c r="G1985" s="12"/>
      <c r="H1985" s="12"/>
      <c r="I1985" s="12"/>
      <c r="J1985" s="12"/>
      <c r="K1985" s="12"/>
      <c r="L1985" s="12"/>
      <c r="M1985" s="12"/>
      <c r="N1985" s="12"/>
      <c r="O1985" s="12"/>
      <c r="P1985" s="12"/>
      <c r="Q1985" s="12"/>
      <c r="R1985" s="12"/>
      <c r="S1985" s="12"/>
      <c r="T1985" s="12"/>
      <c r="U1985" s="12"/>
      <c r="V1985" s="12"/>
      <c r="W1985" s="12"/>
      <c r="X1985" s="12"/>
      <c r="Y1985" s="12"/>
      <c r="Z1985" s="12"/>
    </row>
    <row r="1986" ht="15.0" customHeight="1">
      <c r="A1986" s="332">
        <v>5.0</v>
      </c>
      <c r="B1986" s="351">
        <v>0.05</v>
      </c>
      <c r="C1986" s="12"/>
      <c r="D1986" s="12"/>
      <c r="E1986" s="12"/>
      <c r="F1986" s="12"/>
      <c r="G1986" s="12"/>
      <c r="H1986" s="12"/>
      <c r="I1986" s="12"/>
      <c r="J1986" s="12"/>
      <c r="K1986" s="12"/>
      <c r="L1986" s="12"/>
      <c r="M1986" s="12"/>
      <c r="N1986" s="12"/>
      <c r="O1986" s="12"/>
      <c r="P1986" s="12"/>
      <c r="Q1986" s="12"/>
      <c r="R1986" s="12"/>
      <c r="S1986" s="12"/>
      <c r="T1986" s="12"/>
      <c r="U1986" s="12"/>
      <c r="V1986" s="12"/>
      <c r="W1986" s="12"/>
      <c r="X1986" s="12"/>
      <c r="Y1986" s="12"/>
      <c r="Z1986" s="12"/>
    </row>
    <row r="1987" ht="15.0" customHeight="1">
      <c r="A1987" s="171">
        <v>6.0</v>
      </c>
      <c r="B1987" s="351">
        <v>0.0</v>
      </c>
      <c r="C1987" s="12"/>
      <c r="D1987" s="12"/>
      <c r="E1987" s="12"/>
      <c r="F1987" s="12"/>
      <c r="G1987" s="12"/>
      <c r="H1987" s="12"/>
      <c r="I1987" s="12"/>
      <c r="J1987" s="12"/>
      <c r="K1987" s="12"/>
      <c r="L1987" s="12"/>
      <c r="M1987" s="12"/>
      <c r="N1987" s="12"/>
      <c r="O1987" s="12"/>
      <c r="P1987" s="12"/>
      <c r="Q1987" s="12"/>
      <c r="R1987" s="12"/>
      <c r="S1987" s="12"/>
      <c r="T1987" s="12"/>
      <c r="U1987" s="12"/>
      <c r="V1987" s="12"/>
      <c r="W1987" s="12"/>
      <c r="X1987" s="12"/>
      <c r="Y1987" s="12"/>
      <c r="Z1987" s="12"/>
    </row>
    <row r="1988" ht="15.0" customHeight="1">
      <c r="A1988" s="349"/>
      <c r="B1988" s="350"/>
      <c r="C1988" s="12"/>
      <c r="D1988" s="12"/>
      <c r="E1988" s="12"/>
      <c r="F1988" s="12"/>
      <c r="G1988" s="12"/>
      <c r="H1988" s="12"/>
      <c r="I1988" s="12"/>
      <c r="J1988" s="12"/>
      <c r="K1988" s="12"/>
      <c r="L1988" s="12"/>
      <c r="M1988" s="12"/>
      <c r="N1988" s="12"/>
      <c r="O1988" s="12"/>
      <c r="P1988" s="12"/>
      <c r="Q1988" s="12"/>
      <c r="R1988" s="12"/>
      <c r="S1988" s="12"/>
      <c r="T1988" s="12"/>
      <c r="U1988" s="12"/>
      <c r="V1988" s="12"/>
      <c r="W1988" s="12"/>
      <c r="X1988" s="12"/>
      <c r="Y1988" s="12"/>
      <c r="Z1988" s="12"/>
    </row>
    <row r="1989" ht="15.0" customHeight="1">
      <c r="A1989" s="298" t="s">
        <v>1817</v>
      </c>
      <c r="B1989" s="350"/>
      <c r="C1989" s="12"/>
      <c r="D1989" s="12"/>
      <c r="E1989" s="12"/>
      <c r="F1989" s="12"/>
      <c r="G1989" s="12"/>
      <c r="H1989" s="12"/>
      <c r="I1989" s="12"/>
      <c r="J1989" s="12"/>
      <c r="K1989" s="12"/>
      <c r="L1989" s="12"/>
      <c r="M1989" s="12"/>
      <c r="N1989" s="12"/>
      <c r="O1989" s="12"/>
      <c r="P1989" s="12"/>
      <c r="Q1989" s="12"/>
      <c r="R1989" s="12"/>
      <c r="S1989" s="12"/>
      <c r="T1989" s="12"/>
      <c r="U1989" s="12"/>
      <c r="V1989" s="12"/>
      <c r="W1989" s="12"/>
      <c r="X1989" s="12"/>
      <c r="Y1989" s="12"/>
      <c r="Z1989" s="12"/>
    </row>
    <row r="1990" ht="15.0" customHeight="1">
      <c r="A1990" s="171" t="s">
        <v>1916</v>
      </c>
      <c r="B1990" s="171">
        <v>1.0</v>
      </c>
      <c r="C1990" s="171">
        <v>2.0</v>
      </c>
      <c r="D1990" s="171">
        <v>3.0</v>
      </c>
      <c r="E1990" s="171">
        <v>4.0</v>
      </c>
      <c r="F1990" s="12"/>
      <c r="G1990" s="12"/>
      <c r="H1990" s="12"/>
      <c r="I1990" s="12"/>
      <c r="J1990" s="12"/>
      <c r="K1990" s="12"/>
      <c r="L1990" s="12"/>
      <c r="M1990" s="12"/>
      <c r="N1990" s="12"/>
      <c r="O1990" s="12"/>
      <c r="P1990" s="12"/>
      <c r="Q1990" s="12"/>
      <c r="R1990" s="12"/>
      <c r="S1990" s="12"/>
      <c r="T1990" s="12"/>
      <c r="U1990" s="12"/>
      <c r="V1990" s="12"/>
      <c r="W1990" s="12"/>
      <c r="X1990" s="12"/>
      <c r="Y1990" s="12"/>
      <c r="Z1990" s="12"/>
    </row>
    <row r="1991" ht="15.0" customHeight="1">
      <c r="A1991" s="322">
        <v>0.0</v>
      </c>
      <c r="B1991" s="113">
        <f>IF(PT=7,28%,IF(PT=10,35%,IF(PT=15,35%,IF(PT=20,45%,50%))))</f>
        <v>0.35</v>
      </c>
      <c r="C1991" s="113">
        <f>IF(PT=7,9%,IF(PT=10,15%,IF(PT=15,15%,24%)))</f>
        <v>0.15</v>
      </c>
      <c r="D1991" s="113">
        <v>0.05</v>
      </c>
      <c r="E1991" s="113">
        <v>0.0</v>
      </c>
      <c r="F1991" s="12"/>
      <c r="G1991" s="12"/>
      <c r="H1991" s="12"/>
      <c r="I1991" s="12"/>
      <c r="J1991" s="12"/>
      <c r="K1991" s="12"/>
      <c r="L1991" s="12"/>
      <c r="M1991" s="12"/>
      <c r="N1991" s="12"/>
      <c r="O1991" s="12"/>
      <c r="P1991" s="12"/>
      <c r="Q1991" s="12"/>
      <c r="R1991" s="12"/>
      <c r="S1991" s="12"/>
      <c r="T1991" s="12"/>
      <c r="U1991" s="12"/>
      <c r="V1991" s="12"/>
      <c r="W1991" s="12"/>
      <c r="X1991" s="12"/>
      <c r="Y1991" s="12"/>
      <c r="Z1991" s="12"/>
    </row>
    <row r="1992" ht="15.0" customHeight="1">
      <c r="A1992" s="352">
        <v>100000.0</v>
      </c>
      <c r="B1992" s="113">
        <f>IF(PT=7,25%,IF(PT=10,32%,IF(PT=15,32%,IF(PT=20,36%,50%))))</f>
        <v>0.32</v>
      </c>
      <c r="C1992" s="113">
        <f>IF(PT=7,9%,IF(PT=10,15%,IF(PT=15,15%,24%)))</f>
        <v>0.15</v>
      </c>
      <c r="D1992" s="113">
        <v>0.05</v>
      </c>
      <c r="E1992" s="113">
        <v>0.0</v>
      </c>
      <c r="F1992" s="12"/>
      <c r="G1992" s="12"/>
      <c r="H1992" s="12"/>
      <c r="I1992" s="12"/>
      <c r="J1992" s="12"/>
      <c r="K1992" s="12"/>
      <c r="L1992" s="12"/>
      <c r="M1992" s="12"/>
      <c r="N1992" s="12"/>
      <c r="O1992" s="12"/>
      <c r="P1992" s="12"/>
      <c r="Q1992" s="12"/>
      <c r="R1992" s="12"/>
      <c r="S1992" s="12"/>
      <c r="T1992" s="12"/>
      <c r="U1992" s="12"/>
      <c r="V1992" s="12"/>
      <c r="W1992" s="12"/>
      <c r="X1992" s="12"/>
      <c r="Y1992" s="12"/>
      <c r="Z1992" s="12"/>
    </row>
    <row r="1993" ht="15.0" customHeight="1">
      <c r="A1993" s="349"/>
      <c r="B1993" s="350"/>
      <c r="C1993" s="12"/>
      <c r="D1993" s="12"/>
      <c r="E1993" s="12"/>
      <c r="F1993" s="12"/>
      <c r="G1993" s="12"/>
      <c r="H1993" s="12"/>
      <c r="I1993" s="12"/>
      <c r="J1993" s="12"/>
      <c r="K1993" s="12"/>
      <c r="L1993" s="12"/>
      <c r="M1993" s="12"/>
      <c r="N1993" s="12"/>
      <c r="O1993" s="12"/>
      <c r="P1993" s="12"/>
      <c r="Q1993" s="12"/>
      <c r="R1993" s="12"/>
      <c r="S1993" s="12"/>
      <c r="T1993" s="12"/>
      <c r="U1993" s="12"/>
      <c r="V1993" s="12"/>
      <c r="W1993" s="12"/>
      <c r="X1993" s="12"/>
      <c r="Y1993" s="12"/>
      <c r="Z1993" s="12"/>
    </row>
    <row r="1994" ht="15.0" customHeight="1">
      <c r="A1994" s="298" t="s">
        <v>1784</v>
      </c>
      <c r="B1994" s="350"/>
      <c r="C1994" s="12"/>
      <c r="D1994" s="12"/>
      <c r="E1994" s="12"/>
      <c r="F1994" s="12"/>
      <c r="G1994" s="12"/>
      <c r="H1994" s="12"/>
      <c r="I1994" s="12"/>
      <c r="J1994" s="12"/>
      <c r="K1994" s="12"/>
      <c r="L1994" s="12"/>
      <c r="M1994" s="12"/>
      <c r="N1994" s="12"/>
      <c r="O1994" s="12"/>
      <c r="P1994" s="12"/>
      <c r="Q1994" s="12"/>
      <c r="R1994" s="12"/>
      <c r="S1994" s="12"/>
      <c r="T1994" s="12"/>
      <c r="U1994" s="12"/>
      <c r="V1994" s="12"/>
      <c r="W1994" s="12"/>
      <c r="X1994" s="12"/>
      <c r="Y1994" s="12"/>
      <c r="Z1994" s="12"/>
    </row>
    <row r="1995" ht="15.0" customHeight="1">
      <c r="A1995" s="291" t="s">
        <v>1917</v>
      </c>
      <c r="B1995" s="291" t="s">
        <v>1918</v>
      </c>
      <c r="C1995" s="12"/>
      <c r="D1995" s="12"/>
      <c r="E1995" s="12"/>
      <c r="F1995" s="12"/>
      <c r="G1995" s="12"/>
      <c r="H1995" s="12"/>
      <c r="I1995" s="12"/>
      <c r="J1995" s="12"/>
      <c r="K1995" s="12"/>
      <c r="L1995" s="12"/>
      <c r="M1995" s="12"/>
      <c r="N1995" s="12"/>
      <c r="O1995" s="12"/>
      <c r="P1995" s="12"/>
      <c r="Q1995" s="12"/>
      <c r="R1995" s="12"/>
      <c r="S1995" s="12"/>
      <c r="T1995" s="12"/>
      <c r="U1995" s="12"/>
      <c r="V1995" s="12"/>
      <c r="W1995" s="12"/>
      <c r="X1995" s="12"/>
      <c r="Y1995" s="12"/>
      <c r="Z1995" s="12"/>
    </row>
    <row r="1996" ht="15.0" customHeight="1">
      <c r="A1996" s="332">
        <v>1.0</v>
      </c>
      <c r="B1996" s="351">
        <v>1.0</v>
      </c>
      <c r="C1996" s="12"/>
      <c r="D1996" s="12"/>
      <c r="E1996" s="12"/>
      <c r="F1996" s="12"/>
      <c r="G1996" s="12"/>
      <c r="H1996" s="12"/>
      <c r="I1996" s="12"/>
      <c r="J1996" s="12"/>
      <c r="K1996" s="12"/>
      <c r="L1996" s="12"/>
      <c r="M1996" s="12"/>
      <c r="N1996" s="12"/>
      <c r="O1996" s="12"/>
      <c r="P1996" s="12"/>
      <c r="Q1996" s="12"/>
      <c r="R1996" s="12"/>
      <c r="S1996" s="12"/>
      <c r="T1996" s="12"/>
      <c r="U1996" s="12"/>
      <c r="V1996" s="12"/>
      <c r="W1996" s="12"/>
      <c r="X1996" s="12"/>
      <c r="Y1996" s="12"/>
      <c r="Z1996" s="12"/>
    </row>
    <row r="1997" ht="15.0" customHeight="1">
      <c r="A1997" s="332">
        <v>2.0</v>
      </c>
      <c r="B1997" s="351">
        <v>0.0</v>
      </c>
      <c r="C1997" s="12"/>
      <c r="D1997" s="12"/>
      <c r="E1997" s="12"/>
      <c r="F1997" s="12"/>
      <c r="G1997" s="12"/>
      <c r="H1997" s="12"/>
      <c r="I1997" s="12"/>
      <c r="J1997" s="12"/>
      <c r="K1997" s="12"/>
      <c r="L1997" s="12"/>
      <c r="M1997" s="12"/>
      <c r="N1997" s="12"/>
      <c r="O1997" s="12"/>
      <c r="P1997" s="12"/>
      <c r="Q1997" s="12"/>
      <c r="R1997" s="12"/>
      <c r="S1997" s="12"/>
      <c r="T1997" s="12"/>
      <c r="U1997" s="12"/>
      <c r="V1997" s="12"/>
      <c r="W1997" s="12"/>
      <c r="X1997" s="12"/>
      <c r="Y1997" s="12"/>
      <c r="Z1997" s="12"/>
    </row>
    <row r="1998" ht="15.0" customHeight="1">
      <c r="A1998" s="349"/>
      <c r="B1998" s="350"/>
      <c r="C1998" s="12"/>
      <c r="D1998" s="12"/>
      <c r="E1998" s="12"/>
      <c r="F1998" s="12"/>
      <c r="G1998" s="12"/>
      <c r="H1998" s="12"/>
      <c r="I1998" s="12"/>
      <c r="J1998" s="12"/>
      <c r="K1998" s="12"/>
      <c r="L1998" s="12"/>
      <c r="M1998" s="12"/>
      <c r="N1998" s="12"/>
      <c r="O1998" s="12"/>
      <c r="P1998" s="12"/>
      <c r="Q1998" s="12"/>
      <c r="R1998" s="12"/>
      <c r="S1998" s="12"/>
      <c r="T1998" s="12"/>
      <c r="U1998" s="12"/>
      <c r="V1998" s="12"/>
      <c r="W1998" s="12"/>
      <c r="X1998" s="12"/>
      <c r="Y1998" s="12"/>
      <c r="Z1998" s="12"/>
    </row>
    <row r="1999" ht="15.0" customHeight="1">
      <c r="A1999" s="349"/>
      <c r="B1999" s="350"/>
      <c r="C1999" s="12"/>
      <c r="D1999" s="12"/>
      <c r="E1999" s="12"/>
      <c r="F1999" s="12"/>
      <c r="G1999" s="12"/>
      <c r="H1999" s="12"/>
      <c r="I1999" s="12"/>
      <c r="J1999" s="12"/>
      <c r="K1999" s="12"/>
      <c r="L1999" s="12"/>
      <c r="M1999" s="12"/>
      <c r="N1999" s="12"/>
      <c r="O1999" s="12"/>
      <c r="P1999" s="12"/>
      <c r="Q1999" s="12"/>
      <c r="R1999" s="12"/>
      <c r="S1999" s="12"/>
      <c r="T1999" s="12"/>
      <c r="U1999" s="12"/>
      <c r="V1999" s="12"/>
      <c r="W1999" s="12"/>
      <c r="X1999" s="12"/>
      <c r="Y1999" s="12"/>
      <c r="Z1999" s="12"/>
    </row>
    <row r="2000" ht="15.0" customHeight="1">
      <c r="A2000" s="298" t="s">
        <v>1821</v>
      </c>
      <c r="B2000" s="350"/>
      <c r="C2000" s="12"/>
      <c r="D2000" s="12"/>
      <c r="E2000" s="12"/>
      <c r="F2000" s="12"/>
      <c r="G2000" s="12"/>
      <c r="H2000" s="12"/>
      <c r="I2000" s="12"/>
      <c r="J2000" s="12"/>
      <c r="K2000" s="12"/>
      <c r="L2000" s="12"/>
      <c r="M2000" s="12"/>
      <c r="N2000" s="12"/>
      <c r="O2000" s="12"/>
      <c r="P2000" s="12"/>
      <c r="Q2000" s="12"/>
      <c r="R2000" s="12"/>
      <c r="S2000" s="12"/>
      <c r="T2000" s="12"/>
      <c r="U2000" s="12"/>
      <c r="V2000" s="12"/>
      <c r="W2000" s="12"/>
      <c r="X2000" s="12"/>
      <c r="Y2000" s="12"/>
      <c r="Z2000" s="12"/>
    </row>
    <row r="2001" ht="15.0" customHeight="1">
      <c r="A2001" s="291" t="s">
        <v>1917</v>
      </c>
      <c r="B2001" s="291" t="s">
        <v>1918</v>
      </c>
      <c r="C2001" s="12"/>
      <c r="D2001" s="12"/>
      <c r="E2001" s="12"/>
      <c r="F2001" s="12"/>
      <c r="G2001" s="12"/>
      <c r="H2001" s="12"/>
      <c r="I2001" s="12"/>
      <c r="J2001" s="12"/>
      <c r="K2001" s="12"/>
      <c r="L2001" s="12"/>
      <c r="M2001" s="12"/>
      <c r="N2001" s="12"/>
      <c r="O2001" s="12"/>
      <c r="P2001" s="12"/>
      <c r="Q2001" s="12"/>
      <c r="R2001" s="12"/>
      <c r="S2001" s="12"/>
      <c r="T2001" s="12"/>
      <c r="U2001" s="12"/>
      <c r="V2001" s="12"/>
      <c r="W2001" s="12"/>
      <c r="X2001" s="12"/>
      <c r="Y2001" s="12"/>
      <c r="Z2001" s="12"/>
    </row>
    <row r="2002" ht="15.0" customHeight="1">
      <c r="A2002" s="332">
        <v>1.0</v>
      </c>
      <c r="B2002" s="351">
        <v>0.5</v>
      </c>
      <c r="C2002" s="12"/>
      <c r="D2002" s="12"/>
      <c r="E2002" s="12"/>
      <c r="F2002" s="12"/>
      <c r="G2002" s="12"/>
      <c r="H2002" s="12"/>
      <c r="I2002" s="12"/>
      <c r="J2002" s="12"/>
      <c r="K2002" s="12"/>
      <c r="L2002" s="12"/>
      <c r="M2002" s="12"/>
      <c r="N2002" s="12"/>
      <c r="O2002" s="12"/>
      <c r="P2002" s="12"/>
      <c r="Q2002" s="12"/>
      <c r="R2002" s="12"/>
      <c r="S2002" s="12"/>
      <c r="T2002" s="12"/>
      <c r="U2002" s="12"/>
      <c r="V2002" s="12"/>
      <c r="W2002" s="12"/>
      <c r="X2002" s="12"/>
      <c r="Y2002" s="12"/>
      <c r="Z2002" s="12"/>
    </row>
    <row r="2003" ht="15.0" customHeight="1">
      <c r="A2003" s="332">
        <v>2.0</v>
      </c>
      <c r="B2003" s="351">
        <v>0.175</v>
      </c>
      <c r="C2003" s="12"/>
      <c r="D2003" s="12"/>
      <c r="E2003" s="12"/>
      <c r="F2003" s="12"/>
      <c r="G2003" s="12"/>
      <c r="H2003" s="12"/>
      <c r="I2003" s="12"/>
      <c r="J2003" s="12"/>
      <c r="K2003" s="12"/>
      <c r="L2003" s="12"/>
      <c r="M2003" s="12"/>
      <c r="N2003" s="12"/>
      <c r="O2003" s="12"/>
      <c r="P2003" s="12"/>
      <c r="Q2003" s="12"/>
      <c r="R2003" s="12"/>
      <c r="S2003" s="12"/>
      <c r="T2003" s="12"/>
      <c r="U2003" s="12"/>
      <c r="V2003" s="12"/>
      <c r="W2003" s="12"/>
      <c r="X2003" s="12"/>
      <c r="Y2003" s="12"/>
      <c r="Z2003" s="12"/>
    </row>
    <row r="2004" ht="15.0" customHeight="1">
      <c r="A2004" s="332">
        <v>3.0</v>
      </c>
      <c r="B2004" s="351">
        <v>0.175</v>
      </c>
      <c r="C2004" s="12"/>
      <c r="D2004" s="12"/>
      <c r="E2004" s="12"/>
      <c r="F2004" s="12"/>
      <c r="G2004" s="12"/>
      <c r="H2004" s="12"/>
      <c r="I2004" s="12"/>
      <c r="J2004" s="12"/>
      <c r="K2004" s="12"/>
      <c r="L2004" s="12"/>
      <c r="M2004" s="12"/>
      <c r="N2004" s="12"/>
      <c r="O2004" s="12"/>
      <c r="P2004" s="12"/>
      <c r="Q2004" s="12"/>
      <c r="R2004" s="12"/>
      <c r="S2004" s="12"/>
      <c r="T2004" s="12"/>
      <c r="U2004" s="12"/>
      <c r="V2004" s="12"/>
      <c r="W2004" s="12"/>
      <c r="X2004" s="12"/>
      <c r="Y2004" s="12"/>
      <c r="Z2004" s="12"/>
    </row>
    <row r="2005" ht="15.0" customHeight="1">
      <c r="A2005" s="332">
        <v>4.0</v>
      </c>
      <c r="B2005" s="351">
        <v>0.075</v>
      </c>
      <c r="C2005" s="12"/>
      <c r="D2005" s="12"/>
      <c r="E2005" s="12"/>
      <c r="F2005" s="12"/>
      <c r="G2005" s="12"/>
      <c r="H2005" s="12"/>
      <c r="I2005" s="12"/>
      <c r="J2005" s="12"/>
      <c r="K2005" s="12"/>
      <c r="L2005" s="12"/>
      <c r="M2005" s="12"/>
      <c r="N2005" s="12"/>
      <c r="O2005" s="12"/>
      <c r="P2005" s="12"/>
      <c r="Q2005" s="12"/>
      <c r="R2005" s="12"/>
      <c r="S2005" s="12"/>
      <c r="T2005" s="12"/>
      <c r="U2005" s="12"/>
      <c r="V2005" s="12"/>
      <c r="W2005" s="12"/>
      <c r="X2005" s="12"/>
      <c r="Y2005" s="12"/>
      <c r="Z2005" s="12"/>
    </row>
    <row r="2006" ht="15.0" customHeight="1">
      <c r="A2006" s="332">
        <v>5.0</v>
      </c>
      <c r="B2006" s="351">
        <v>0.075</v>
      </c>
      <c r="C2006" s="12"/>
      <c r="D2006" s="12"/>
      <c r="E2006" s="12"/>
      <c r="F2006" s="12"/>
      <c r="G2006" s="12"/>
      <c r="H2006" s="12"/>
      <c r="I2006" s="12"/>
      <c r="J2006" s="12"/>
      <c r="K2006" s="12"/>
      <c r="L2006" s="12"/>
      <c r="M2006" s="12"/>
      <c r="N2006" s="12"/>
      <c r="O2006" s="12"/>
      <c r="P2006" s="12"/>
      <c r="Q2006" s="12"/>
      <c r="R2006" s="12"/>
      <c r="S2006" s="12"/>
      <c r="T2006" s="12"/>
      <c r="U2006" s="12"/>
      <c r="V2006" s="12"/>
      <c r="W2006" s="12"/>
      <c r="X2006" s="12"/>
      <c r="Y2006" s="12"/>
      <c r="Z2006" s="12"/>
    </row>
    <row r="2007" ht="15.0" customHeight="1">
      <c r="A2007" s="171">
        <v>6.0</v>
      </c>
      <c r="B2007" s="351">
        <v>0.0</v>
      </c>
      <c r="C2007" s="12"/>
      <c r="D2007" s="12"/>
      <c r="E2007" s="12"/>
      <c r="F2007" s="12"/>
      <c r="G2007" s="12"/>
      <c r="H2007" s="12"/>
      <c r="I2007" s="12"/>
      <c r="J2007" s="12"/>
      <c r="K2007" s="12"/>
      <c r="L2007" s="12"/>
      <c r="M2007" s="12"/>
      <c r="N2007" s="12"/>
      <c r="O2007" s="12"/>
      <c r="P2007" s="12"/>
      <c r="Q2007" s="12"/>
      <c r="R2007" s="12"/>
      <c r="S2007" s="12"/>
      <c r="T2007" s="12"/>
      <c r="U2007" s="12"/>
      <c r="V2007" s="12"/>
      <c r="W2007" s="12"/>
      <c r="X2007" s="12"/>
      <c r="Y2007" s="12"/>
      <c r="Z2007" s="12"/>
    </row>
    <row r="2008" ht="15.0" customHeight="1">
      <c r="A2008" s="349"/>
      <c r="B2008" s="350"/>
      <c r="C2008" s="12"/>
      <c r="D2008" s="12"/>
      <c r="E2008" s="12"/>
      <c r="F2008" s="12"/>
      <c r="G2008" s="12"/>
      <c r="H2008" s="12"/>
      <c r="I2008" s="12"/>
      <c r="J2008" s="12"/>
      <c r="K2008" s="12"/>
      <c r="L2008" s="12"/>
      <c r="M2008" s="12"/>
      <c r="N2008" s="12"/>
      <c r="O2008" s="12"/>
      <c r="P2008" s="12"/>
      <c r="Q2008" s="12"/>
      <c r="R2008" s="12"/>
      <c r="S2008" s="12"/>
      <c r="T2008" s="12"/>
      <c r="U2008" s="12"/>
      <c r="V2008" s="12"/>
      <c r="W2008" s="12"/>
      <c r="X2008" s="12"/>
      <c r="Y2008" s="12"/>
      <c r="Z2008" s="12"/>
    </row>
    <row r="2009" ht="15.0" customHeight="1">
      <c r="A2009" s="298" t="s">
        <v>1825</v>
      </c>
      <c r="B2009" s="350"/>
      <c r="C2009" s="12"/>
      <c r="D2009" s="12"/>
      <c r="E2009" s="12"/>
      <c r="F2009" s="12"/>
      <c r="G2009" s="12"/>
      <c r="H2009" s="12"/>
      <c r="I2009" s="12"/>
      <c r="J2009" s="12"/>
      <c r="K2009" s="12"/>
      <c r="L2009" s="12"/>
      <c r="M2009" s="12"/>
      <c r="N2009" s="12"/>
      <c r="O2009" s="12"/>
      <c r="P2009" s="12"/>
      <c r="Q2009" s="12"/>
      <c r="R2009" s="12"/>
      <c r="S2009" s="12"/>
      <c r="T2009" s="12"/>
      <c r="U2009" s="12"/>
      <c r="V2009" s="12"/>
      <c r="W2009" s="12"/>
      <c r="X2009" s="12"/>
      <c r="Y2009" s="12"/>
      <c r="Z2009" s="12"/>
    </row>
    <row r="2010" ht="15.0" customHeight="1">
      <c r="A2010" s="171" t="s">
        <v>1916</v>
      </c>
      <c r="B2010" s="171">
        <v>1.0</v>
      </c>
      <c r="C2010" s="171">
        <v>2.0</v>
      </c>
      <c r="D2010" s="171">
        <v>3.0</v>
      </c>
      <c r="E2010" s="171">
        <v>4.0</v>
      </c>
      <c r="F2010" s="171">
        <v>5.0</v>
      </c>
      <c r="G2010" s="12"/>
      <c r="H2010" s="12"/>
      <c r="I2010" s="12"/>
      <c r="J2010" s="12"/>
      <c r="K2010" s="12"/>
      <c r="L2010" s="12"/>
      <c r="M2010" s="12"/>
      <c r="N2010" s="12"/>
      <c r="O2010" s="12"/>
      <c r="P2010" s="12"/>
      <c r="Q2010" s="12"/>
      <c r="R2010" s="12"/>
      <c r="S2010" s="12"/>
      <c r="T2010" s="12"/>
      <c r="U2010" s="12"/>
      <c r="V2010" s="12"/>
      <c r="W2010" s="12"/>
      <c r="X2010" s="12"/>
      <c r="Y2010" s="12"/>
      <c r="Z2010" s="12"/>
    </row>
    <row r="2011" ht="15.0" customHeight="1">
      <c r="A2011" s="322">
        <v>12000.0</v>
      </c>
      <c r="B2011" s="113">
        <v>0.19</v>
      </c>
      <c r="C2011" s="113">
        <v>0.09</v>
      </c>
      <c r="D2011" s="113">
        <v>0.09</v>
      </c>
      <c r="E2011" s="113">
        <v>0.09</v>
      </c>
      <c r="F2011" s="113">
        <v>0.0</v>
      </c>
      <c r="G2011" s="12"/>
      <c r="H2011" s="12"/>
      <c r="I2011" s="12"/>
      <c r="J2011" s="12"/>
      <c r="K2011" s="12"/>
      <c r="L2011" s="12"/>
      <c r="M2011" s="12"/>
      <c r="N2011" s="12"/>
      <c r="O2011" s="12"/>
      <c r="P2011" s="12"/>
      <c r="Q2011" s="12"/>
      <c r="R2011" s="12"/>
      <c r="S2011" s="12"/>
      <c r="T2011" s="12"/>
      <c r="U2011" s="12"/>
      <c r="V2011" s="12"/>
      <c r="W2011" s="12"/>
      <c r="X2011" s="12"/>
      <c r="Y2011" s="12"/>
      <c r="Z2011" s="12"/>
    </row>
    <row r="2012" ht="15.0" customHeight="1">
      <c r="A2012" s="352">
        <v>100000.0</v>
      </c>
      <c r="B2012" s="113">
        <v>0.12</v>
      </c>
      <c r="C2012" s="113">
        <v>0.09</v>
      </c>
      <c r="D2012" s="113">
        <v>0.09</v>
      </c>
      <c r="E2012" s="113">
        <v>0.09</v>
      </c>
      <c r="F2012" s="113">
        <v>0.0</v>
      </c>
      <c r="G2012" s="12"/>
      <c r="H2012" s="12"/>
      <c r="I2012" s="12"/>
      <c r="J2012" s="12"/>
      <c r="K2012" s="12"/>
      <c r="L2012" s="12"/>
      <c r="M2012" s="12"/>
      <c r="N2012" s="12"/>
      <c r="O2012" s="12"/>
      <c r="P2012" s="12"/>
      <c r="Q2012" s="12"/>
      <c r="R2012" s="12"/>
      <c r="S2012" s="12"/>
      <c r="T2012" s="12"/>
      <c r="U2012" s="12"/>
      <c r="V2012" s="12"/>
      <c r="W2012" s="12"/>
      <c r="X2012" s="12"/>
      <c r="Y2012" s="12"/>
      <c r="Z2012" s="12"/>
    </row>
    <row r="2013" ht="15.0" customHeight="1">
      <c r="A2013" s="349"/>
      <c r="B2013" s="350"/>
      <c r="C2013" s="12"/>
      <c r="D2013" s="12"/>
      <c r="E2013" s="12"/>
      <c r="F2013" s="12"/>
      <c r="G2013" s="12"/>
      <c r="H2013" s="12"/>
      <c r="I2013" s="12"/>
      <c r="J2013" s="12"/>
      <c r="K2013" s="12"/>
      <c r="L2013" s="12"/>
      <c r="M2013" s="12"/>
      <c r="N2013" s="12"/>
      <c r="O2013" s="12"/>
      <c r="P2013" s="12"/>
      <c r="Q2013" s="12"/>
      <c r="R2013" s="12"/>
      <c r="S2013" s="12"/>
      <c r="T2013" s="12"/>
      <c r="U2013" s="12"/>
      <c r="V2013" s="12"/>
      <c r="W2013" s="12"/>
      <c r="X2013" s="12"/>
      <c r="Y2013" s="12"/>
      <c r="Z2013" s="12"/>
    </row>
    <row r="2014" ht="15.0" customHeight="1">
      <c r="A2014" s="298" t="s">
        <v>1829</v>
      </c>
      <c r="B2014" s="350"/>
      <c r="C2014" s="12"/>
      <c r="D2014" s="12"/>
      <c r="E2014" s="12"/>
      <c r="F2014" s="12"/>
      <c r="G2014" s="12"/>
      <c r="H2014" s="12"/>
      <c r="I2014" s="12"/>
      <c r="J2014" s="12"/>
      <c r="K2014" s="12"/>
      <c r="L2014" s="12"/>
      <c r="M2014" s="12"/>
      <c r="N2014" s="12"/>
      <c r="O2014" s="12"/>
      <c r="P2014" s="12"/>
      <c r="Q2014" s="12"/>
      <c r="R2014" s="12"/>
      <c r="S2014" s="12"/>
      <c r="T2014" s="12"/>
      <c r="U2014" s="12"/>
      <c r="V2014" s="12"/>
      <c r="W2014" s="12"/>
      <c r="X2014" s="12"/>
      <c r="Y2014" s="12"/>
      <c r="Z2014" s="12"/>
    </row>
    <row r="2015" ht="15.0" customHeight="1">
      <c r="A2015" s="291" t="s">
        <v>1917</v>
      </c>
      <c r="B2015" s="291" t="s">
        <v>1918</v>
      </c>
      <c r="C2015" s="12"/>
      <c r="D2015" s="12"/>
      <c r="E2015" s="12"/>
      <c r="F2015" s="12"/>
      <c r="G2015" s="12"/>
      <c r="H2015" s="12"/>
      <c r="I2015" s="12"/>
      <c r="J2015" s="12"/>
      <c r="K2015" s="12"/>
      <c r="L2015" s="12"/>
      <c r="M2015" s="12"/>
      <c r="N2015" s="12"/>
      <c r="O2015" s="12"/>
      <c r="P2015" s="12"/>
      <c r="Q2015" s="12"/>
      <c r="R2015" s="12"/>
      <c r="S2015" s="12"/>
      <c r="T2015" s="12"/>
      <c r="U2015" s="12"/>
      <c r="V2015" s="12"/>
      <c r="W2015" s="12"/>
      <c r="X2015" s="12"/>
      <c r="Y2015" s="12"/>
      <c r="Z2015" s="12"/>
    </row>
    <row r="2016" ht="15.0" customHeight="1">
      <c r="A2016" s="332">
        <v>1.0</v>
      </c>
      <c r="B2016" s="351">
        <v>1.0</v>
      </c>
      <c r="C2016" s="12"/>
      <c r="D2016" s="12"/>
      <c r="E2016" s="12"/>
      <c r="F2016" s="12"/>
      <c r="G2016" s="12"/>
      <c r="H2016" s="12"/>
      <c r="I2016" s="12"/>
      <c r="J2016" s="12"/>
      <c r="K2016" s="12"/>
      <c r="L2016" s="12"/>
      <c r="M2016" s="12"/>
      <c r="N2016" s="12"/>
      <c r="O2016" s="12"/>
      <c r="P2016" s="12"/>
      <c r="Q2016" s="12"/>
      <c r="R2016" s="12"/>
      <c r="S2016" s="12"/>
      <c r="T2016" s="12"/>
      <c r="U2016" s="12"/>
      <c r="V2016" s="12"/>
      <c r="W2016" s="12"/>
      <c r="X2016" s="12"/>
      <c r="Y2016" s="12"/>
      <c r="Z2016" s="12"/>
    </row>
    <row r="2017" ht="15.0" customHeight="1">
      <c r="A2017" s="332">
        <v>2.0</v>
      </c>
      <c r="B2017" s="351">
        <v>0.25</v>
      </c>
      <c r="C2017" s="12"/>
      <c r="D2017" s="12"/>
      <c r="E2017" s="12"/>
      <c r="F2017" s="12"/>
      <c r="G2017" s="12"/>
      <c r="H2017" s="12"/>
      <c r="I2017" s="12"/>
      <c r="J2017" s="12"/>
      <c r="K2017" s="12"/>
      <c r="L2017" s="12"/>
      <c r="M2017" s="12"/>
      <c r="N2017" s="12"/>
      <c r="O2017" s="12"/>
      <c r="P2017" s="12"/>
      <c r="Q2017" s="12"/>
      <c r="R2017" s="12"/>
      <c r="S2017" s="12"/>
      <c r="T2017" s="12"/>
      <c r="U2017" s="12"/>
      <c r="V2017" s="12"/>
      <c r="W2017" s="12"/>
      <c r="X2017" s="12"/>
      <c r="Y2017" s="12"/>
      <c r="Z2017" s="12"/>
    </row>
    <row r="2018" ht="15.0" customHeight="1">
      <c r="A2018" s="332">
        <v>3.0</v>
      </c>
      <c r="B2018" s="351">
        <v>0.2</v>
      </c>
      <c r="C2018" s="12"/>
      <c r="D2018" s="12"/>
      <c r="E2018" s="12"/>
      <c r="F2018" s="12"/>
      <c r="G2018" s="12"/>
      <c r="H2018" s="12"/>
      <c r="I2018" s="12"/>
      <c r="J2018" s="12"/>
      <c r="K2018" s="12"/>
      <c r="L2018" s="12"/>
      <c r="M2018" s="12"/>
      <c r="N2018" s="12"/>
      <c r="O2018" s="12"/>
      <c r="P2018" s="12"/>
      <c r="Q2018" s="12"/>
      <c r="R2018" s="12"/>
      <c r="S2018" s="12"/>
      <c r="T2018" s="12"/>
      <c r="U2018" s="12"/>
      <c r="V2018" s="12"/>
      <c r="W2018" s="12"/>
      <c r="X2018" s="12"/>
      <c r="Y2018" s="12"/>
      <c r="Z2018" s="12"/>
    </row>
    <row r="2019" ht="15.0" customHeight="1">
      <c r="A2019" s="332">
        <v>4.0</v>
      </c>
      <c r="B2019" s="351">
        <v>0.05</v>
      </c>
      <c r="C2019" s="12"/>
      <c r="D2019" s="12"/>
      <c r="E2019" s="12"/>
      <c r="F2019" s="12"/>
      <c r="G2019" s="12"/>
      <c r="H2019" s="12"/>
      <c r="I2019" s="12"/>
      <c r="J2019" s="12"/>
      <c r="K2019" s="12"/>
      <c r="L2019" s="12"/>
      <c r="M2019" s="12"/>
      <c r="N2019" s="12"/>
      <c r="O2019" s="12"/>
      <c r="P2019" s="12"/>
      <c r="Q2019" s="12"/>
      <c r="R2019" s="12"/>
      <c r="S2019" s="12"/>
      <c r="T2019" s="12"/>
      <c r="U2019" s="12"/>
      <c r="V2019" s="12"/>
      <c r="W2019" s="12"/>
      <c r="X2019" s="12"/>
      <c r="Y2019" s="12"/>
      <c r="Z2019" s="12"/>
    </row>
    <row r="2020" ht="15.0" customHeight="1">
      <c r="A2020" s="332">
        <v>5.0</v>
      </c>
      <c r="B2020" s="351">
        <v>0.05</v>
      </c>
      <c r="C2020" s="12"/>
      <c r="D2020" s="12"/>
      <c r="E2020" s="12"/>
      <c r="F2020" s="12"/>
      <c r="G2020" s="12"/>
      <c r="H2020" s="12"/>
      <c r="I2020" s="12"/>
      <c r="J2020" s="12"/>
      <c r="K2020" s="12"/>
      <c r="L2020" s="12"/>
      <c r="M2020" s="12"/>
      <c r="N2020" s="12"/>
      <c r="O2020" s="12"/>
      <c r="P2020" s="12"/>
      <c r="Q2020" s="12"/>
      <c r="R2020" s="12"/>
      <c r="S2020" s="12"/>
      <c r="T2020" s="12"/>
      <c r="U2020" s="12"/>
      <c r="V2020" s="12"/>
      <c r="W2020" s="12"/>
      <c r="X2020" s="12"/>
      <c r="Y2020" s="12"/>
      <c r="Z2020" s="12"/>
    </row>
    <row r="2021" ht="15.0" customHeight="1">
      <c r="A2021" s="171">
        <v>6.0</v>
      </c>
      <c r="B2021" s="351">
        <v>0.0</v>
      </c>
      <c r="C2021" s="12"/>
      <c r="D2021" s="12"/>
      <c r="E2021" s="12"/>
      <c r="F2021" s="12"/>
      <c r="G2021" s="12"/>
      <c r="H2021" s="12"/>
      <c r="I2021" s="12"/>
      <c r="J2021" s="12"/>
      <c r="K2021" s="12"/>
      <c r="L2021" s="12"/>
      <c r="M2021" s="12"/>
      <c r="N2021" s="12"/>
      <c r="O2021" s="12"/>
      <c r="P2021" s="12"/>
      <c r="Q2021" s="12"/>
      <c r="R2021" s="12"/>
      <c r="S2021" s="12"/>
      <c r="T2021" s="12"/>
      <c r="U2021" s="12"/>
      <c r="V2021" s="12"/>
      <c r="W2021" s="12"/>
      <c r="X2021" s="12"/>
      <c r="Y2021" s="12"/>
      <c r="Z2021" s="12"/>
    </row>
    <row r="2022" ht="15.0" customHeight="1">
      <c r="A2022" s="349"/>
      <c r="B2022" s="350"/>
      <c r="C2022" s="12"/>
      <c r="D2022" s="12"/>
      <c r="E2022" s="12"/>
      <c r="F2022" s="12"/>
      <c r="G2022" s="12"/>
      <c r="H2022" s="12"/>
      <c r="I2022" s="12"/>
      <c r="J2022" s="12"/>
      <c r="K2022" s="12"/>
      <c r="L2022" s="12"/>
      <c r="M2022" s="12"/>
      <c r="N2022" s="12"/>
      <c r="O2022" s="12"/>
      <c r="P2022" s="12"/>
      <c r="Q2022" s="12"/>
      <c r="R2022" s="12"/>
      <c r="S2022" s="12"/>
      <c r="T2022" s="12"/>
      <c r="U2022" s="12"/>
      <c r="V2022" s="12"/>
      <c r="W2022" s="12"/>
      <c r="X2022" s="12"/>
      <c r="Y2022" s="12"/>
      <c r="Z2022" s="12"/>
    </row>
    <row r="2023" ht="15.0" customHeight="1">
      <c r="A2023" s="298" t="s">
        <v>1833</v>
      </c>
      <c r="B2023" s="350"/>
      <c r="C2023" s="12"/>
      <c r="D2023" s="12"/>
      <c r="E2023" s="12"/>
      <c r="F2023" s="12"/>
      <c r="G2023" s="12"/>
      <c r="H2023" s="12"/>
      <c r="I2023" s="12"/>
      <c r="J2023" s="12"/>
      <c r="K2023" s="12"/>
      <c r="L2023" s="12"/>
      <c r="M2023" s="12"/>
      <c r="N2023" s="12"/>
      <c r="O2023" s="12"/>
      <c r="P2023" s="12"/>
      <c r="Q2023" s="12"/>
      <c r="R2023" s="12"/>
      <c r="S2023" s="12"/>
      <c r="T2023" s="12"/>
      <c r="U2023" s="12"/>
      <c r="V2023" s="12"/>
      <c r="W2023" s="12"/>
      <c r="X2023" s="12"/>
      <c r="Y2023" s="12"/>
      <c r="Z2023" s="12"/>
    </row>
    <row r="2024" ht="15.0" customHeight="1">
      <c r="A2024" s="291" t="s">
        <v>1917</v>
      </c>
      <c r="B2024" s="291" t="s">
        <v>1918</v>
      </c>
      <c r="C2024" s="12"/>
      <c r="D2024" s="12"/>
      <c r="E2024" s="12"/>
      <c r="F2024" s="12"/>
      <c r="G2024" s="12"/>
      <c r="H2024" s="12"/>
      <c r="I2024" s="12"/>
      <c r="J2024" s="12"/>
      <c r="K2024" s="12"/>
      <c r="L2024" s="12"/>
      <c r="M2024" s="12"/>
      <c r="N2024" s="12"/>
      <c r="O2024" s="12"/>
      <c r="P2024" s="12"/>
      <c r="Q2024" s="12"/>
      <c r="R2024" s="12"/>
      <c r="S2024" s="12"/>
      <c r="T2024" s="12"/>
      <c r="U2024" s="12"/>
      <c r="V2024" s="12"/>
      <c r="W2024" s="12"/>
      <c r="X2024" s="12"/>
      <c r="Y2024" s="12"/>
      <c r="Z2024" s="12"/>
    </row>
    <row r="2025" ht="15.0" customHeight="1">
      <c r="A2025" s="332">
        <v>1.0</v>
      </c>
      <c r="B2025" s="351">
        <v>0.14</v>
      </c>
      <c r="C2025" s="12"/>
      <c r="D2025" s="12"/>
      <c r="E2025" s="12"/>
      <c r="F2025" s="12"/>
      <c r="G2025" s="12"/>
      <c r="H2025" s="12"/>
      <c r="I2025" s="12"/>
      <c r="J2025" s="12"/>
      <c r="K2025" s="12"/>
      <c r="L2025" s="12"/>
      <c r="M2025" s="12"/>
      <c r="N2025" s="12"/>
      <c r="O2025" s="12"/>
      <c r="P2025" s="12"/>
      <c r="Q2025" s="12"/>
      <c r="R2025" s="12"/>
      <c r="S2025" s="12"/>
      <c r="T2025" s="12"/>
      <c r="U2025" s="12"/>
      <c r="V2025" s="12"/>
      <c r="W2025" s="12"/>
      <c r="X2025" s="12"/>
      <c r="Y2025" s="12"/>
      <c r="Z2025" s="12"/>
    </row>
    <row r="2026" ht="15.0" customHeight="1">
      <c r="A2026" s="332">
        <v>2.0</v>
      </c>
      <c r="B2026" s="351">
        <v>0.02</v>
      </c>
      <c r="C2026" s="12"/>
      <c r="D2026" s="12"/>
      <c r="E2026" s="12"/>
      <c r="F2026" s="12"/>
      <c r="G2026" s="12"/>
      <c r="H2026" s="12"/>
      <c r="I2026" s="12"/>
      <c r="J2026" s="12"/>
      <c r="K2026" s="12"/>
      <c r="L2026" s="12"/>
      <c r="M2026" s="12"/>
      <c r="N2026" s="12"/>
      <c r="O2026" s="12"/>
      <c r="P2026" s="12"/>
      <c r="Q2026" s="12"/>
      <c r="R2026" s="12"/>
      <c r="S2026" s="12"/>
      <c r="T2026" s="12"/>
      <c r="U2026" s="12"/>
      <c r="V2026" s="12"/>
      <c r="W2026" s="12"/>
      <c r="X2026" s="12"/>
      <c r="Y2026" s="12"/>
      <c r="Z2026" s="12"/>
    </row>
    <row r="2027" ht="15.0" customHeight="1">
      <c r="A2027" s="332">
        <v>3.0</v>
      </c>
      <c r="B2027" s="351">
        <v>0.02</v>
      </c>
      <c r="C2027" s="12"/>
      <c r="D2027" s="12"/>
      <c r="E2027" s="12"/>
      <c r="F2027" s="12"/>
      <c r="G2027" s="12"/>
      <c r="H2027" s="12"/>
      <c r="I2027" s="12"/>
      <c r="J2027" s="12"/>
      <c r="K2027" s="12"/>
      <c r="L2027" s="12"/>
      <c r="M2027" s="12"/>
      <c r="N2027" s="12"/>
      <c r="O2027" s="12"/>
      <c r="P2027" s="12"/>
      <c r="Q2027" s="12"/>
      <c r="R2027" s="12"/>
      <c r="S2027" s="12"/>
      <c r="T2027" s="12"/>
      <c r="U2027" s="12"/>
      <c r="V2027" s="12"/>
      <c r="W2027" s="12"/>
      <c r="X2027" s="12"/>
      <c r="Y2027" s="12"/>
      <c r="Z2027" s="12"/>
    </row>
    <row r="2028" ht="15.0" customHeight="1">
      <c r="A2028" s="349"/>
      <c r="B2028" s="350"/>
      <c r="C2028" s="12"/>
      <c r="D2028" s="12"/>
      <c r="E2028" s="12"/>
      <c r="F2028" s="12"/>
      <c r="G2028" s="12"/>
      <c r="H2028" s="12"/>
      <c r="I2028" s="12"/>
      <c r="J2028" s="12"/>
      <c r="K2028" s="12"/>
      <c r="L2028" s="12"/>
      <c r="M2028" s="12"/>
      <c r="N2028" s="12"/>
      <c r="O2028" s="12"/>
      <c r="P2028" s="12"/>
      <c r="Q2028" s="12"/>
      <c r="R2028" s="12"/>
      <c r="S2028" s="12"/>
      <c r="T2028" s="12"/>
      <c r="U2028" s="12"/>
      <c r="V2028" s="12"/>
      <c r="W2028" s="12"/>
      <c r="X2028" s="12"/>
      <c r="Y2028" s="12"/>
      <c r="Z2028" s="12"/>
    </row>
    <row r="2029" ht="15.0" customHeight="1">
      <c r="A2029" s="365" t="s">
        <v>1875</v>
      </c>
      <c r="B2029" s="350"/>
      <c r="C2029" s="12"/>
      <c r="D2029" s="12"/>
      <c r="E2029" s="12"/>
      <c r="F2029" s="12"/>
      <c r="G2029" s="12"/>
      <c r="H2029" s="12"/>
      <c r="I2029" s="12"/>
      <c r="J2029" s="12"/>
      <c r="K2029" s="12"/>
      <c r="L2029" s="12"/>
      <c r="M2029" s="12"/>
      <c r="N2029" s="12"/>
      <c r="O2029" s="12"/>
      <c r="P2029" s="12"/>
      <c r="Q2029" s="12"/>
      <c r="R2029" s="12"/>
      <c r="S2029" s="12"/>
      <c r="T2029" s="12"/>
      <c r="U2029" s="12"/>
      <c r="V2029" s="12"/>
      <c r="W2029" s="12"/>
      <c r="X2029" s="12"/>
      <c r="Y2029" s="12"/>
      <c r="Z2029" s="12"/>
    </row>
    <row r="2030" ht="15.0" customHeight="1">
      <c r="A2030" s="291" t="s">
        <v>1917</v>
      </c>
      <c r="B2030" s="291" t="s">
        <v>1918</v>
      </c>
      <c r="C2030" s="12"/>
      <c r="D2030" s="12"/>
      <c r="E2030" s="12"/>
      <c r="F2030" s="12"/>
      <c r="G2030" s="12"/>
      <c r="H2030" s="12"/>
      <c r="I2030" s="12"/>
      <c r="J2030" s="12"/>
      <c r="K2030" s="12"/>
      <c r="L2030" s="12"/>
      <c r="M2030" s="12"/>
      <c r="N2030" s="12"/>
      <c r="O2030" s="12"/>
      <c r="P2030" s="12"/>
      <c r="Q2030" s="12"/>
      <c r="R2030" s="12"/>
      <c r="S2030" s="12"/>
      <c r="T2030" s="12"/>
      <c r="U2030" s="12"/>
      <c r="V2030" s="12"/>
      <c r="W2030" s="12"/>
      <c r="X2030" s="12"/>
      <c r="Y2030" s="12"/>
      <c r="Z2030" s="12"/>
    </row>
    <row r="2031" ht="15.0" customHeight="1">
      <c r="A2031" s="332">
        <v>1.0</v>
      </c>
      <c r="B2031" s="351">
        <f>IF(Mode=12, 9%, 7.5%)</f>
        <v>0.09</v>
      </c>
      <c r="C2031" s="12"/>
      <c r="D2031" s="12"/>
      <c r="E2031" s="12"/>
      <c r="F2031" s="12"/>
      <c r="G2031" s="12"/>
      <c r="H2031" s="12"/>
      <c r="I2031" s="12"/>
      <c r="J2031" s="12"/>
      <c r="K2031" s="12"/>
      <c r="L2031" s="12"/>
      <c r="M2031" s="12"/>
      <c r="N2031" s="12"/>
      <c r="O2031" s="12"/>
      <c r="P2031" s="12"/>
      <c r="Q2031" s="12"/>
      <c r="R2031" s="12"/>
      <c r="S2031" s="12"/>
      <c r="T2031" s="12"/>
      <c r="U2031" s="12"/>
      <c r="V2031" s="12"/>
      <c r="W2031" s="12"/>
      <c r="X2031" s="12"/>
      <c r="Y2031" s="12"/>
      <c r="Z2031" s="12"/>
    </row>
    <row r="2032" ht="15.0" customHeight="1">
      <c r="A2032" s="332">
        <v>2.0</v>
      </c>
      <c r="B2032" s="351">
        <f>IF(Mode=12, 7%, 5%)</f>
        <v>0.07</v>
      </c>
      <c r="C2032" s="12"/>
      <c r="D2032" s="12"/>
      <c r="E2032" s="12"/>
      <c r="F2032" s="12"/>
      <c r="G2032" s="12"/>
      <c r="H2032" s="12"/>
      <c r="I2032" s="12"/>
      <c r="J2032" s="12"/>
      <c r="K2032" s="12"/>
      <c r="L2032" s="12"/>
      <c r="M2032" s="12"/>
      <c r="N2032" s="12"/>
      <c r="O2032" s="12"/>
      <c r="P2032" s="12"/>
      <c r="Q2032" s="12"/>
      <c r="R2032" s="12"/>
      <c r="S2032" s="12"/>
      <c r="T2032" s="12"/>
      <c r="U2032" s="12"/>
      <c r="V2032" s="12"/>
      <c r="W2032" s="12"/>
      <c r="X2032" s="12"/>
      <c r="Y2032" s="12"/>
      <c r="Z2032" s="12"/>
    </row>
    <row r="2033" ht="15.0" customHeight="1">
      <c r="A2033" s="332">
        <v>3.0</v>
      </c>
      <c r="B2033" s="351">
        <f>IF(Mode=12, 5%, 4%)</f>
        <v>0.05</v>
      </c>
      <c r="C2033" s="12"/>
      <c r="D2033" s="12"/>
      <c r="E2033" s="12"/>
      <c r="F2033" s="12"/>
      <c r="G2033" s="12"/>
      <c r="H2033" s="12"/>
      <c r="I2033" s="12"/>
      <c r="J2033" s="12"/>
      <c r="K2033" s="12"/>
      <c r="L2033" s="12"/>
      <c r="M2033" s="12"/>
      <c r="N2033" s="12"/>
      <c r="O2033" s="12"/>
      <c r="P2033" s="12"/>
      <c r="Q2033" s="12"/>
      <c r="R2033" s="12"/>
      <c r="S2033" s="12"/>
      <c r="T2033" s="12"/>
      <c r="U2033" s="12"/>
      <c r="V2033" s="12"/>
      <c r="W2033" s="12"/>
      <c r="X2033" s="12"/>
      <c r="Y2033" s="12"/>
      <c r="Z2033" s="12"/>
    </row>
    <row r="2034" ht="15.0" customHeight="1">
      <c r="A2034" s="332">
        <v>4.0</v>
      </c>
      <c r="B2034" s="351">
        <f>IF(Mode=12, 3%, 2%)</f>
        <v>0.03</v>
      </c>
      <c r="C2034" s="12"/>
      <c r="D2034" s="12"/>
      <c r="E2034" s="12"/>
      <c r="F2034" s="12"/>
      <c r="G2034" s="12"/>
      <c r="H2034" s="12"/>
      <c r="I2034" s="12"/>
      <c r="J2034" s="12"/>
      <c r="K2034" s="12"/>
      <c r="L2034" s="12"/>
      <c r="M2034" s="12"/>
      <c r="N2034" s="12"/>
      <c r="O2034" s="12"/>
      <c r="P2034" s="12"/>
      <c r="Q2034" s="12"/>
      <c r="R2034" s="12"/>
      <c r="S2034" s="12"/>
      <c r="T2034" s="12"/>
      <c r="U2034" s="12"/>
      <c r="V2034" s="12"/>
      <c r="W2034" s="12"/>
      <c r="X2034" s="12"/>
      <c r="Y2034" s="12"/>
      <c r="Z2034" s="12"/>
    </row>
    <row r="2035" ht="15.0" customHeight="1">
      <c r="A2035" s="332">
        <v>5.0</v>
      </c>
      <c r="B2035" s="351">
        <v>0.02</v>
      </c>
      <c r="C2035" s="12"/>
      <c r="D2035" s="12"/>
      <c r="E2035" s="12"/>
      <c r="F2035" s="12"/>
      <c r="G2035" s="12"/>
      <c r="H2035" s="12"/>
      <c r="I2035" s="12"/>
      <c r="J2035" s="12"/>
      <c r="K2035" s="12"/>
      <c r="L2035" s="12"/>
      <c r="M2035" s="12"/>
      <c r="N2035" s="12"/>
      <c r="O2035" s="12"/>
      <c r="P2035" s="12"/>
      <c r="Q2035" s="12"/>
      <c r="R2035" s="12"/>
      <c r="S2035" s="12"/>
      <c r="T2035" s="12"/>
      <c r="U2035" s="12"/>
      <c r="V2035" s="12"/>
      <c r="W2035" s="12"/>
      <c r="X2035" s="12"/>
      <c r="Y2035" s="12"/>
      <c r="Z2035" s="12"/>
    </row>
    <row r="2036" ht="15.0" customHeight="1">
      <c r="A2036" s="349"/>
      <c r="B2036" s="350"/>
      <c r="C2036" s="12"/>
      <c r="D2036" s="12"/>
      <c r="E2036" s="12"/>
      <c r="F2036" s="12"/>
      <c r="G2036" s="12"/>
      <c r="H2036" s="12"/>
      <c r="I2036" s="12"/>
      <c r="J2036" s="12"/>
      <c r="K2036" s="12"/>
      <c r="L2036" s="12"/>
      <c r="M2036" s="12"/>
      <c r="N2036" s="12"/>
      <c r="O2036" s="12"/>
      <c r="P2036" s="12"/>
      <c r="Q2036" s="12"/>
      <c r="R2036" s="12"/>
      <c r="S2036" s="12"/>
      <c r="T2036" s="12"/>
      <c r="U2036" s="12"/>
      <c r="V2036" s="12"/>
      <c r="W2036" s="12"/>
      <c r="X2036" s="12"/>
      <c r="Y2036" s="12"/>
      <c r="Z2036" s="12"/>
    </row>
    <row r="2037" ht="15.0" customHeight="1">
      <c r="A2037" s="298" t="s">
        <v>1852</v>
      </c>
      <c r="B2037" s="350"/>
      <c r="C2037" s="12"/>
      <c r="D2037" s="12"/>
      <c r="E2037" s="12"/>
      <c r="F2037" s="12"/>
      <c r="G2037" s="12"/>
      <c r="H2037" s="12"/>
      <c r="I2037" s="12"/>
      <c r="J2037" s="12"/>
      <c r="K2037" s="12"/>
      <c r="L2037" s="12"/>
      <c r="M2037" s="12"/>
      <c r="N2037" s="12"/>
      <c r="O2037" s="12"/>
      <c r="P2037" s="12"/>
      <c r="Q2037" s="12"/>
      <c r="R2037" s="12"/>
      <c r="S2037" s="12"/>
      <c r="T2037" s="12"/>
      <c r="U2037" s="12"/>
      <c r="V2037" s="12"/>
      <c r="W2037" s="12"/>
      <c r="X2037" s="12"/>
      <c r="Y2037" s="12"/>
      <c r="Z2037" s="12"/>
    </row>
    <row r="2038" ht="15.0" customHeight="1">
      <c r="A2038" s="291" t="s">
        <v>1917</v>
      </c>
      <c r="B2038" s="291" t="s">
        <v>1918</v>
      </c>
      <c r="C2038" s="12"/>
      <c r="D2038" s="12"/>
      <c r="E2038" s="12"/>
      <c r="F2038" s="12"/>
      <c r="G2038" s="12"/>
      <c r="H2038" s="12"/>
      <c r="I2038" s="12"/>
      <c r="J2038" s="12"/>
      <c r="K2038" s="12"/>
      <c r="L2038" s="12"/>
      <c r="M2038" s="12"/>
      <c r="N2038" s="12"/>
      <c r="O2038" s="12"/>
      <c r="P2038" s="12"/>
      <c r="Q2038" s="12"/>
      <c r="R2038" s="12"/>
      <c r="S2038" s="12"/>
      <c r="T2038" s="12"/>
      <c r="U2038" s="12"/>
      <c r="V2038" s="12"/>
      <c r="W2038" s="12"/>
      <c r="X2038" s="12"/>
      <c r="Y2038" s="12"/>
      <c r="Z2038" s="12"/>
    </row>
    <row r="2039" ht="15.0" customHeight="1">
      <c r="A2039" s="332">
        <v>1.0</v>
      </c>
      <c r="B2039" s="351">
        <v>0.08</v>
      </c>
      <c r="C2039" s="12"/>
      <c r="D2039" s="12"/>
      <c r="E2039" s="12"/>
      <c r="F2039" s="12"/>
      <c r="G2039" s="12"/>
      <c r="H2039" s="12"/>
      <c r="I2039" s="12"/>
      <c r="J2039" s="12"/>
      <c r="K2039" s="12"/>
      <c r="L2039" s="12"/>
      <c r="M2039" s="12"/>
      <c r="N2039" s="12"/>
      <c r="O2039" s="12"/>
      <c r="P2039" s="12"/>
      <c r="Q2039" s="12"/>
      <c r="R2039" s="12"/>
      <c r="S2039" s="12"/>
      <c r="T2039" s="12"/>
      <c r="U2039" s="12"/>
      <c r="V2039" s="12"/>
      <c r="W2039" s="12"/>
      <c r="X2039" s="12"/>
      <c r="Y2039" s="12"/>
      <c r="Z2039" s="12"/>
    </row>
    <row r="2040" ht="15.0" customHeight="1">
      <c r="A2040" s="332">
        <v>2.0</v>
      </c>
      <c r="B2040" s="351">
        <v>0.055</v>
      </c>
      <c r="C2040" s="12"/>
      <c r="D2040" s="12"/>
      <c r="E2040" s="12"/>
      <c r="F2040" s="12"/>
      <c r="G2040" s="12"/>
      <c r="H2040" s="12"/>
      <c r="I2040" s="12"/>
      <c r="J2040" s="12"/>
      <c r="K2040" s="12"/>
      <c r="L2040" s="12"/>
      <c r="M2040" s="12"/>
      <c r="N2040" s="12"/>
      <c r="O2040" s="12"/>
      <c r="P2040" s="12"/>
      <c r="Q2040" s="12"/>
      <c r="R2040" s="12"/>
      <c r="S2040" s="12"/>
      <c r="T2040" s="12"/>
      <c r="U2040" s="12"/>
      <c r="V2040" s="12"/>
      <c r="W2040" s="12"/>
      <c r="X2040" s="12"/>
      <c r="Y2040" s="12"/>
      <c r="Z2040" s="12"/>
    </row>
    <row r="2041" ht="15.0" customHeight="1">
      <c r="A2041" s="332">
        <v>3.0</v>
      </c>
      <c r="B2041" s="351">
        <v>0.055</v>
      </c>
      <c r="C2041" s="12"/>
      <c r="D2041" s="12"/>
      <c r="E2041" s="12"/>
      <c r="F2041" s="12"/>
      <c r="G2041" s="12"/>
      <c r="H2041" s="12"/>
      <c r="I2041" s="12"/>
      <c r="J2041" s="12"/>
      <c r="K2041" s="12"/>
      <c r="L2041" s="12"/>
      <c r="M2041" s="12"/>
      <c r="N2041" s="12"/>
      <c r="O2041" s="12"/>
      <c r="P2041" s="12"/>
      <c r="Q2041" s="12"/>
      <c r="R2041" s="12"/>
      <c r="S2041" s="12"/>
      <c r="T2041" s="12"/>
      <c r="U2041" s="12"/>
      <c r="V2041" s="12"/>
      <c r="W2041" s="12"/>
      <c r="X2041" s="12"/>
      <c r="Y2041" s="12"/>
      <c r="Z2041" s="12"/>
    </row>
    <row r="2042" ht="15.0" customHeight="1">
      <c r="A2042" s="332">
        <v>4.0</v>
      </c>
      <c r="B2042" s="351">
        <v>0.055</v>
      </c>
      <c r="C2042" s="12"/>
      <c r="D2042" s="12"/>
      <c r="E2042" s="12"/>
      <c r="F2042" s="12"/>
      <c r="G2042" s="12"/>
      <c r="H2042" s="12"/>
      <c r="I2042" s="12"/>
      <c r="J2042" s="12"/>
      <c r="K2042" s="12"/>
      <c r="L2042" s="12"/>
      <c r="M2042" s="12"/>
      <c r="N2042" s="12"/>
      <c r="O2042" s="12"/>
      <c r="P2042" s="12"/>
      <c r="Q2042" s="12"/>
      <c r="R2042" s="12"/>
      <c r="S2042" s="12"/>
      <c r="T2042" s="12"/>
      <c r="U2042" s="12"/>
      <c r="V2042" s="12"/>
      <c r="W2042" s="12"/>
      <c r="X2042" s="12"/>
      <c r="Y2042" s="12"/>
      <c r="Z2042" s="12"/>
    </row>
    <row r="2043" ht="15.0" customHeight="1">
      <c r="A2043" s="332">
        <v>5.0</v>
      </c>
      <c r="B2043" s="351">
        <v>0.055</v>
      </c>
      <c r="C2043" s="12"/>
      <c r="D2043" s="12"/>
      <c r="E2043" s="12"/>
      <c r="F2043" s="12"/>
      <c r="G2043" s="12"/>
      <c r="H2043" s="12"/>
      <c r="I2043" s="12"/>
      <c r="J2043" s="12"/>
      <c r="K2043" s="12"/>
      <c r="L2043" s="12"/>
      <c r="M2043" s="12"/>
      <c r="N2043" s="12"/>
      <c r="O2043" s="12"/>
      <c r="P2043" s="12"/>
      <c r="Q2043" s="12"/>
      <c r="R2043" s="12"/>
      <c r="S2043" s="12"/>
      <c r="T2043" s="12"/>
      <c r="U2043" s="12"/>
      <c r="V2043" s="12"/>
      <c r="W2043" s="12"/>
      <c r="X2043" s="12"/>
      <c r="Y2043" s="12"/>
      <c r="Z2043" s="12"/>
    </row>
    <row r="2044" ht="15.0" customHeight="1">
      <c r="A2044" s="171">
        <v>6.0</v>
      </c>
      <c r="B2044" s="351">
        <v>0.0</v>
      </c>
      <c r="C2044" s="12"/>
      <c r="D2044" s="12"/>
      <c r="E2044" s="12"/>
      <c r="F2044" s="12"/>
      <c r="G2044" s="12"/>
      <c r="H2044" s="12"/>
      <c r="I2044" s="12"/>
      <c r="J2044" s="12"/>
      <c r="K2044" s="12"/>
      <c r="L2044" s="12"/>
      <c r="M2044" s="12"/>
      <c r="N2044" s="12"/>
      <c r="O2044" s="12"/>
      <c r="P2044" s="12"/>
      <c r="Q2044" s="12"/>
      <c r="R2044" s="12"/>
      <c r="S2044" s="12"/>
      <c r="T2044" s="12"/>
      <c r="U2044" s="12"/>
      <c r="V2044" s="12"/>
      <c r="W2044" s="12"/>
      <c r="X2044" s="12"/>
      <c r="Y2044" s="12"/>
      <c r="Z2044" s="12"/>
    </row>
    <row r="2045" ht="15.0" customHeight="1">
      <c r="A2045" s="349"/>
      <c r="B2045" s="350"/>
      <c r="C2045" s="12"/>
      <c r="D2045" s="12"/>
      <c r="E2045" s="12"/>
      <c r="F2045" s="12"/>
      <c r="G2045" s="12"/>
      <c r="H2045" s="12"/>
      <c r="I2045" s="12"/>
      <c r="J2045" s="12"/>
      <c r="K2045" s="12"/>
      <c r="L2045" s="12"/>
      <c r="M2045" s="12"/>
      <c r="N2045" s="12"/>
      <c r="O2045" s="12"/>
      <c r="P2045" s="12"/>
      <c r="Q2045" s="12"/>
      <c r="R2045" s="12"/>
      <c r="S2045" s="12"/>
      <c r="T2045" s="12"/>
      <c r="U2045" s="12"/>
      <c r="V2045" s="12"/>
      <c r="W2045" s="12"/>
      <c r="X2045" s="12"/>
      <c r="Y2045" s="12"/>
      <c r="Z2045" s="12"/>
    </row>
    <row r="2046" ht="15.0" customHeight="1">
      <c r="A2046" s="298" t="s">
        <v>1848</v>
      </c>
      <c r="B2046" s="350"/>
      <c r="C2046" s="12"/>
      <c r="D2046" s="12"/>
      <c r="E2046" s="12"/>
      <c r="F2046" s="12"/>
      <c r="G2046" s="12"/>
      <c r="H2046" s="12"/>
      <c r="I2046" s="12"/>
      <c r="J2046" s="12"/>
      <c r="K2046" s="12"/>
      <c r="L2046" s="12"/>
      <c r="M2046" s="12"/>
      <c r="N2046" s="12"/>
      <c r="O2046" s="12"/>
      <c r="P2046" s="12"/>
      <c r="Q2046" s="12"/>
      <c r="R2046" s="12"/>
      <c r="S2046" s="12"/>
      <c r="T2046" s="12"/>
      <c r="U2046" s="12"/>
      <c r="V2046" s="12"/>
      <c r="W2046" s="12"/>
      <c r="X2046" s="12"/>
      <c r="Y2046" s="12"/>
      <c r="Z2046" s="12"/>
    </row>
    <row r="2047" ht="15.0" customHeight="1">
      <c r="A2047" s="291" t="s">
        <v>1917</v>
      </c>
      <c r="B2047" s="291" t="s">
        <v>1918</v>
      </c>
      <c r="C2047" s="12"/>
      <c r="D2047" s="12"/>
      <c r="E2047" s="12"/>
      <c r="F2047" s="12"/>
      <c r="G2047" s="12"/>
      <c r="H2047" s="12"/>
      <c r="I2047" s="12"/>
      <c r="J2047" s="12"/>
      <c r="K2047" s="12"/>
      <c r="L2047" s="12"/>
      <c r="M2047" s="12"/>
      <c r="N2047" s="12"/>
      <c r="O2047" s="12"/>
      <c r="P2047" s="12"/>
      <c r="Q2047" s="12"/>
      <c r="R2047" s="12"/>
      <c r="S2047" s="12"/>
      <c r="T2047" s="12"/>
      <c r="U2047" s="12"/>
      <c r="V2047" s="12"/>
      <c r="W2047" s="12"/>
      <c r="X2047" s="12"/>
      <c r="Y2047" s="12"/>
      <c r="Z2047" s="12"/>
    </row>
    <row r="2048" ht="15.0" customHeight="1">
      <c r="A2048" s="332">
        <v>1.0</v>
      </c>
      <c r="B2048" s="351">
        <v>0.085</v>
      </c>
      <c r="C2048" s="12"/>
      <c r="D2048" s="12"/>
      <c r="E2048" s="12"/>
      <c r="F2048" s="12"/>
      <c r="G2048" s="12"/>
      <c r="H2048" s="12"/>
      <c r="I2048" s="12"/>
      <c r="J2048" s="12"/>
      <c r="K2048" s="12"/>
      <c r="L2048" s="12"/>
      <c r="M2048" s="12"/>
      <c r="N2048" s="12"/>
      <c r="O2048" s="12"/>
      <c r="P2048" s="12"/>
      <c r="Q2048" s="12"/>
      <c r="R2048" s="12"/>
      <c r="S2048" s="12"/>
      <c r="T2048" s="12"/>
      <c r="U2048" s="12"/>
      <c r="V2048" s="12"/>
      <c r="W2048" s="12"/>
      <c r="X2048" s="12"/>
      <c r="Y2048" s="12"/>
      <c r="Z2048" s="12"/>
    </row>
    <row r="2049" ht="15.0" customHeight="1">
      <c r="A2049" s="332">
        <v>2.0</v>
      </c>
      <c r="B2049" s="351">
        <v>0.06</v>
      </c>
      <c r="C2049" s="12"/>
      <c r="D2049" s="12"/>
      <c r="E2049" s="12"/>
      <c r="F2049" s="12"/>
      <c r="G2049" s="12"/>
      <c r="H2049" s="12"/>
      <c r="I2049" s="12"/>
      <c r="J2049" s="12"/>
      <c r="K2049" s="12"/>
      <c r="L2049" s="12"/>
      <c r="M2049" s="12"/>
      <c r="N2049" s="12"/>
      <c r="O2049" s="12"/>
      <c r="P2049" s="12"/>
      <c r="Q2049" s="12"/>
      <c r="R2049" s="12"/>
      <c r="S2049" s="12"/>
      <c r="T2049" s="12"/>
      <c r="U2049" s="12"/>
      <c r="V2049" s="12"/>
      <c r="W2049" s="12"/>
      <c r="X2049" s="12"/>
      <c r="Y2049" s="12"/>
      <c r="Z2049" s="12"/>
    </row>
    <row r="2050" ht="15.0" customHeight="1">
      <c r="A2050" s="332">
        <v>3.0</v>
      </c>
      <c r="B2050" s="351">
        <v>0.06</v>
      </c>
      <c r="C2050" s="12"/>
      <c r="D2050" s="12"/>
      <c r="E2050" s="12"/>
      <c r="F2050" s="12"/>
      <c r="G2050" s="12"/>
      <c r="H2050" s="12"/>
      <c r="I2050" s="12"/>
      <c r="J2050" s="12"/>
      <c r="K2050" s="12"/>
      <c r="L2050" s="12"/>
      <c r="M2050" s="12"/>
      <c r="N2050" s="12"/>
      <c r="O2050" s="12"/>
      <c r="P2050" s="12"/>
      <c r="Q2050" s="12"/>
      <c r="R2050" s="12"/>
      <c r="S2050" s="12"/>
      <c r="T2050" s="12"/>
      <c r="U2050" s="12"/>
      <c r="V2050" s="12"/>
      <c r="W2050" s="12"/>
      <c r="X2050" s="12"/>
      <c r="Y2050" s="12"/>
      <c r="Z2050" s="12"/>
    </row>
    <row r="2051" ht="15.0" customHeight="1">
      <c r="A2051" s="332">
        <v>4.0</v>
      </c>
      <c r="B2051" s="351">
        <v>0.06</v>
      </c>
      <c r="C2051" s="12"/>
      <c r="D2051" s="12"/>
      <c r="E2051" s="12"/>
      <c r="F2051" s="12"/>
      <c r="G2051" s="12"/>
      <c r="H2051" s="12"/>
      <c r="I2051" s="12"/>
      <c r="J2051" s="12"/>
      <c r="K2051" s="12"/>
      <c r="L2051" s="12"/>
      <c r="M2051" s="12"/>
      <c r="N2051" s="12"/>
      <c r="O2051" s="12"/>
      <c r="P2051" s="12"/>
      <c r="Q2051" s="12"/>
      <c r="R2051" s="12"/>
      <c r="S2051" s="12"/>
      <c r="T2051" s="12"/>
      <c r="U2051" s="12"/>
      <c r="V2051" s="12"/>
      <c r="W2051" s="12"/>
      <c r="X2051" s="12"/>
      <c r="Y2051" s="12"/>
      <c r="Z2051" s="12"/>
    </row>
    <row r="2052" ht="15.0" customHeight="1">
      <c r="A2052" s="332">
        <v>5.0</v>
      </c>
      <c r="B2052" s="351">
        <v>0.06</v>
      </c>
      <c r="C2052" s="12"/>
      <c r="D2052" s="12"/>
      <c r="E2052" s="12"/>
      <c r="F2052" s="12"/>
      <c r="G2052" s="12"/>
      <c r="H2052" s="12"/>
      <c r="I2052" s="12"/>
      <c r="J2052" s="12"/>
      <c r="K2052" s="12"/>
      <c r="L2052" s="12"/>
      <c r="M2052" s="12"/>
      <c r="N2052" s="12"/>
      <c r="O2052" s="12"/>
      <c r="P2052" s="12"/>
      <c r="Q2052" s="12"/>
      <c r="R2052" s="12"/>
      <c r="S2052" s="12"/>
      <c r="T2052" s="12"/>
      <c r="U2052" s="12"/>
      <c r="V2052" s="12"/>
      <c r="W2052" s="12"/>
      <c r="X2052" s="12"/>
      <c r="Y2052" s="12"/>
      <c r="Z2052" s="12"/>
    </row>
    <row r="2053" ht="15.0" customHeight="1">
      <c r="A2053" s="171">
        <v>6.0</v>
      </c>
      <c r="B2053" s="351">
        <v>0.0</v>
      </c>
      <c r="C2053" s="12"/>
      <c r="D2053" s="12"/>
      <c r="E2053" s="12"/>
      <c r="F2053" s="12"/>
      <c r="G2053" s="12"/>
      <c r="H2053" s="12"/>
      <c r="I2053" s="12"/>
      <c r="J2053" s="12"/>
      <c r="K2053" s="12"/>
      <c r="L2053" s="12"/>
      <c r="M2053" s="12"/>
      <c r="N2053" s="12"/>
      <c r="O2053" s="12"/>
      <c r="P2053" s="12"/>
      <c r="Q2053" s="12"/>
      <c r="R2053" s="12"/>
      <c r="S2053" s="12"/>
      <c r="T2053" s="12"/>
      <c r="U2053" s="12"/>
      <c r="V2053" s="12"/>
      <c r="W2053" s="12"/>
      <c r="X2053" s="12"/>
      <c r="Y2053" s="12"/>
      <c r="Z2053" s="12"/>
    </row>
    <row r="2054" ht="15.0" customHeight="1">
      <c r="A2054" s="12"/>
      <c r="B2054" s="12"/>
      <c r="C2054" s="12"/>
      <c r="D2054" s="12"/>
      <c r="E2054" s="12"/>
      <c r="F2054" s="12"/>
      <c r="G2054" s="12"/>
      <c r="H2054" s="12"/>
      <c r="I2054" s="12"/>
      <c r="J2054" s="12"/>
      <c r="K2054" s="12"/>
      <c r="L2054" s="12"/>
      <c r="M2054" s="12"/>
      <c r="N2054" s="12"/>
      <c r="O2054" s="12"/>
      <c r="P2054" s="12"/>
      <c r="Q2054" s="12"/>
      <c r="R2054" s="12"/>
      <c r="S2054" s="12"/>
      <c r="T2054" s="12"/>
      <c r="U2054" s="12"/>
      <c r="V2054" s="12"/>
      <c r="W2054" s="12"/>
      <c r="X2054" s="12"/>
      <c r="Y2054" s="12"/>
      <c r="Z2054" s="12"/>
    </row>
    <row r="2055" ht="15.0" customHeight="1">
      <c r="A2055" s="298" t="s">
        <v>1837</v>
      </c>
      <c r="B2055" s="12"/>
      <c r="C2055" s="12"/>
      <c r="D2055" s="12"/>
      <c r="E2055" s="12"/>
      <c r="F2055" s="12"/>
      <c r="G2055" s="12"/>
      <c r="H2055" s="12"/>
      <c r="I2055" s="12"/>
      <c r="J2055" s="12"/>
      <c r="K2055" s="12"/>
      <c r="L2055" s="12"/>
      <c r="M2055" s="12"/>
      <c r="N2055" s="12"/>
      <c r="O2055" s="12"/>
      <c r="P2055" s="12"/>
      <c r="Q2055" s="12"/>
      <c r="R2055" s="12"/>
      <c r="S2055" s="12"/>
      <c r="T2055" s="12"/>
      <c r="U2055" s="12"/>
      <c r="V2055" s="12"/>
      <c r="W2055" s="12"/>
      <c r="X2055" s="12"/>
      <c r="Y2055" s="12"/>
      <c r="Z2055" s="12"/>
    </row>
    <row r="2056" ht="15.0" customHeight="1">
      <c r="A2056" s="291" t="s">
        <v>1917</v>
      </c>
      <c r="B2056" s="291" t="s">
        <v>1918</v>
      </c>
      <c r="C2056" s="12"/>
      <c r="D2056" s="12"/>
      <c r="E2056" s="12"/>
      <c r="F2056" s="12"/>
      <c r="G2056" s="12"/>
      <c r="H2056" s="12"/>
      <c r="I2056" s="12"/>
      <c r="J2056" s="12"/>
      <c r="K2056" s="12"/>
      <c r="L2056" s="12"/>
      <c r="M2056" s="12"/>
      <c r="N2056" s="12"/>
      <c r="O2056" s="12"/>
      <c r="P2056" s="12"/>
      <c r="Q2056" s="12"/>
      <c r="R2056" s="12"/>
      <c r="S2056" s="12"/>
      <c r="T2056" s="12"/>
      <c r="U2056" s="12"/>
      <c r="V2056" s="12"/>
      <c r="W2056" s="12"/>
      <c r="X2056" s="12"/>
      <c r="Y2056" s="12"/>
      <c r="Z2056" s="12"/>
    </row>
    <row r="2057" ht="15.0" customHeight="1">
      <c r="A2057" s="332">
        <v>1.0</v>
      </c>
      <c r="B2057" s="351">
        <v>0.08</v>
      </c>
      <c r="C2057" s="12"/>
      <c r="D2057" s="12"/>
      <c r="E2057" s="12"/>
      <c r="F2057" s="12"/>
      <c r="G2057" s="12"/>
      <c r="H2057" s="12"/>
      <c r="I2057" s="12"/>
      <c r="J2057" s="12"/>
      <c r="K2057" s="12"/>
      <c r="L2057" s="12"/>
      <c r="M2057" s="12"/>
      <c r="N2057" s="12"/>
      <c r="O2057" s="12"/>
      <c r="P2057" s="12"/>
      <c r="Q2057" s="12"/>
      <c r="R2057" s="12"/>
      <c r="S2057" s="12"/>
      <c r="T2057" s="12"/>
      <c r="U2057" s="12"/>
      <c r="V2057" s="12"/>
      <c r="W2057" s="12"/>
      <c r="X2057" s="12"/>
      <c r="Y2057" s="12"/>
      <c r="Z2057" s="12"/>
    </row>
    <row r="2058" ht="15.0" customHeight="1">
      <c r="A2058" s="332">
        <v>2.0</v>
      </c>
      <c r="B2058" s="351">
        <v>0.055</v>
      </c>
      <c r="C2058" s="12"/>
      <c r="D2058" s="12"/>
      <c r="E2058" s="12"/>
      <c r="F2058" s="12"/>
      <c r="G2058" s="12"/>
      <c r="H2058" s="12"/>
      <c r="I2058" s="12"/>
      <c r="J2058" s="12"/>
      <c r="K2058" s="12"/>
      <c r="L2058" s="12"/>
      <c r="M2058" s="12"/>
      <c r="N2058" s="12"/>
      <c r="O2058" s="12"/>
      <c r="P2058" s="12"/>
      <c r="Q2058" s="12"/>
      <c r="R2058" s="12"/>
      <c r="S2058" s="12"/>
      <c r="T2058" s="12"/>
      <c r="U2058" s="12"/>
      <c r="V2058" s="12"/>
      <c r="W2058" s="12"/>
      <c r="X2058" s="12"/>
      <c r="Y2058" s="12"/>
      <c r="Z2058" s="12"/>
    </row>
    <row r="2059" ht="15.0" customHeight="1">
      <c r="A2059" s="332">
        <v>3.0</v>
      </c>
      <c r="B2059" s="351">
        <v>0.055</v>
      </c>
      <c r="C2059" s="12"/>
      <c r="D2059" s="12"/>
      <c r="E2059" s="12"/>
      <c r="F2059" s="12"/>
      <c r="G2059" s="12"/>
      <c r="H2059" s="12"/>
      <c r="I2059" s="12"/>
      <c r="J2059" s="12"/>
      <c r="K2059" s="12"/>
      <c r="L2059" s="12"/>
      <c r="M2059" s="12"/>
      <c r="N2059" s="12"/>
      <c r="O2059" s="12"/>
      <c r="P2059" s="12"/>
      <c r="Q2059" s="12"/>
      <c r="R2059" s="12"/>
      <c r="S2059" s="12"/>
      <c r="T2059" s="12"/>
      <c r="U2059" s="12"/>
      <c r="V2059" s="12"/>
      <c r="W2059" s="12"/>
      <c r="X2059" s="12"/>
      <c r="Y2059" s="12"/>
      <c r="Z2059" s="12"/>
    </row>
    <row r="2060" ht="15.0" customHeight="1">
      <c r="A2060" s="332">
        <v>4.0</v>
      </c>
      <c r="B2060" s="351">
        <v>0.055</v>
      </c>
      <c r="C2060" s="12"/>
      <c r="D2060" s="12"/>
      <c r="E2060" s="12"/>
      <c r="F2060" s="12"/>
      <c r="G2060" s="12"/>
      <c r="H2060" s="12"/>
      <c r="I2060" s="12"/>
      <c r="J2060" s="12"/>
      <c r="K2060" s="12"/>
      <c r="L2060" s="12"/>
      <c r="M2060" s="12"/>
      <c r="N2060" s="12"/>
      <c r="O2060" s="12"/>
      <c r="P2060" s="12"/>
      <c r="Q2060" s="12"/>
      <c r="R2060" s="12"/>
      <c r="S2060" s="12"/>
      <c r="T2060" s="12"/>
      <c r="U2060" s="12"/>
      <c r="V2060" s="12"/>
      <c r="W2060" s="12"/>
      <c r="X2060" s="12"/>
      <c r="Y2060" s="12"/>
      <c r="Z2060" s="12"/>
    </row>
    <row r="2061" ht="15.0" customHeight="1">
      <c r="A2061" s="332">
        <v>5.0</v>
      </c>
      <c r="B2061" s="351">
        <v>0.055</v>
      </c>
      <c r="C2061" s="12"/>
      <c r="D2061" s="12"/>
      <c r="E2061" s="12"/>
      <c r="F2061" s="12"/>
      <c r="G2061" s="12"/>
      <c r="H2061" s="12"/>
      <c r="I2061" s="12"/>
      <c r="J2061" s="12"/>
      <c r="K2061" s="12"/>
      <c r="L2061" s="12"/>
      <c r="M2061" s="12"/>
      <c r="N2061" s="12"/>
      <c r="O2061" s="12"/>
      <c r="P2061" s="12"/>
      <c r="Q2061" s="12"/>
      <c r="R2061" s="12"/>
      <c r="S2061" s="12"/>
      <c r="T2061" s="12"/>
      <c r="U2061" s="12"/>
      <c r="V2061" s="12"/>
      <c r="W2061" s="12"/>
      <c r="X2061" s="12"/>
      <c r="Y2061" s="12"/>
      <c r="Z2061" s="12"/>
    </row>
    <row r="2062" ht="15.0" customHeight="1">
      <c r="A2062" s="171">
        <v>6.0</v>
      </c>
      <c r="B2062" s="351">
        <v>0.055</v>
      </c>
      <c r="C2062" s="12"/>
      <c r="D2062" s="12"/>
      <c r="E2062" s="12"/>
      <c r="F2062" s="12"/>
      <c r="G2062" s="12"/>
      <c r="H2062" s="12"/>
      <c r="I2062" s="12"/>
      <c r="J2062" s="12"/>
      <c r="K2062" s="12"/>
      <c r="L2062" s="12"/>
      <c r="M2062" s="12"/>
      <c r="N2062" s="12"/>
      <c r="O2062" s="12"/>
      <c r="P2062" s="12"/>
      <c r="Q2062" s="12"/>
      <c r="R2062" s="12"/>
      <c r="S2062" s="12"/>
      <c r="T2062" s="12"/>
      <c r="U2062" s="12"/>
      <c r="V2062" s="12"/>
      <c r="W2062" s="12"/>
      <c r="X2062" s="12"/>
      <c r="Y2062" s="12"/>
      <c r="Z2062" s="12"/>
    </row>
    <row r="2063" ht="15.0" customHeight="1">
      <c r="A2063" s="332">
        <v>7.0</v>
      </c>
      <c r="B2063" s="351">
        <v>0.055</v>
      </c>
      <c r="C2063" s="12"/>
      <c r="D2063" s="12"/>
      <c r="E2063" s="12"/>
      <c r="F2063" s="12"/>
      <c r="G2063" s="12"/>
      <c r="H2063" s="12"/>
      <c r="I2063" s="12"/>
      <c r="J2063" s="12"/>
      <c r="K2063" s="12"/>
      <c r="L2063" s="12"/>
      <c r="M2063" s="12"/>
      <c r="N2063" s="12"/>
      <c r="O2063" s="12"/>
      <c r="P2063" s="12"/>
      <c r="Q2063" s="12"/>
      <c r="R2063" s="12"/>
      <c r="S2063" s="12"/>
      <c r="T2063" s="12"/>
      <c r="U2063" s="12"/>
      <c r="V2063" s="12"/>
      <c r="W2063" s="12"/>
      <c r="X2063" s="12"/>
      <c r="Y2063" s="12"/>
      <c r="Z2063" s="12"/>
    </row>
    <row r="2064" ht="15.0" customHeight="1">
      <c r="A2064" s="171">
        <v>8.0</v>
      </c>
      <c r="B2064" s="351">
        <v>0.055</v>
      </c>
      <c r="C2064" s="12"/>
      <c r="D2064" s="12"/>
      <c r="E2064" s="12"/>
      <c r="F2064" s="12"/>
      <c r="G2064" s="12"/>
      <c r="H2064" s="12"/>
      <c r="I2064" s="12"/>
      <c r="J2064" s="12"/>
      <c r="K2064" s="12"/>
      <c r="L2064" s="12"/>
      <c r="M2064" s="12"/>
      <c r="N2064" s="12"/>
      <c r="O2064" s="12"/>
      <c r="P2064" s="12"/>
      <c r="Q2064" s="12"/>
      <c r="R2064" s="12"/>
      <c r="S2064" s="12"/>
      <c r="T2064" s="12"/>
      <c r="U2064" s="12"/>
      <c r="V2064" s="12"/>
      <c r="W2064" s="12"/>
      <c r="X2064" s="12"/>
      <c r="Y2064" s="12"/>
      <c r="Z2064" s="12"/>
    </row>
    <row r="2065" ht="15.0" customHeight="1">
      <c r="A2065" s="332">
        <v>9.0</v>
      </c>
      <c r="B2065" s="351">
        <v>0.055</v>
      </c>
      <c r="C2065" s="12"/>
      <c r="D2065" s="12"/>
      <c r="E2065" s="12"/>
      <c r="F2065" s="12"/>
      <c r="G2065" s="12"/>
      <c r="H2065" s="12"/>
      <c r="I2065" s="12"/>
      <c r="J2065" s="12"/>
      <c r="K2065" s="12"/>
      <c r="L2065" s="12"/>
      <c r="M2065" s="12"/>
      <c r="N2065" s="12"/>
      <c r="O2065" s="12"/>
      <c r="P2065" s="12"/>
      <c r="Q2065" s="12"/>
      <c r="R2065" s="12"/>
      <c r="S2065" s="12"/>
      <c r="T2065" s="12"/>
      <c r="U2065" s="12"/>
      <c r="V2065" s="12"/>
      <c r="W2065" s="12"/>
      <c r="X2065" s="12"/>
      <c r="Y2065" s="12"/>
      <c r="Z2065" s="12"/>
    </row>
    <row r="2066" ht="15.0" customHeight="1">
      <c r="A2066" s="171">
        <v>10.0</v>
      </c>
      <c r="B2066" s="351">
        <v>0.055</v>
      </c>
      <c r="C2066" s="12"/>
      <c r="D2066" s="12"/>
      <c r="E2066" s="12"/>
      <c r="F2066" s="12"/>
      <c r="G2066" s="12"/>
      <c r="H2066" s="12"/>
      <c r="I2066" s="12"/>
      <c r="J2066" s="12"/>
      <c r="K2066" s="12"/>
      <c r="L2066" s="12"/>
      <c r="M2066" s="12"/>
      <c r="N2066" s="12"/>
      <c r="O2066" s="12"/>
      <c r="P2066" s="12"/>
      <c r="Q2066" s="12"/>
      <c r="R2066" s="12"/>
      <c r="S2066" s="12"/>
      <c r="T2066" s="12"/>
      <c r="U2066" s="12"/>
      <c r="V2066" s="12"/>
      <c r="W2066" s="12"/>
      <c r="X2066" s="12"/>
      <c r="Y2066" s="12"/>
      <c r="Z2066" s="12"/>
    </row>
    <row r="2067" ht="15.0" customHeight="1">
      <c r="A2067" s="332">
        <v>11.0</v>
      </c>
      <c r="B2067" s="351">
        <v>0.055</v>
      </c>
      <c r="C2067" s="12"/>
      <c r="D2067" s="12"/>
      <c r="E2067" s="12"/>
      <c r="F2067" s="12"/>
      <c r="G2067" s="12"/>
      <c r="H2067" s="12"/>
      <c r="I2067" s="12"/>
      <c r="J2067" s="12"/>
      <c r="K2067" s="12"/>
      <c r="L2067" s="12"/>
      <c r="M2067" s="12"/>
      <c r="N2067" s="12"/>
      <c r="O2067" s="12"/>
      <c r="P2067" s="12"/>
      <c r="Q2067" s="12"/>
      <c r="R2067" s="12"/>
      <c r="S2067" s="12"/>
      <c r="T2067" s="12"/>
      <c r="U2067" s="12"/>
      <c r="V2067" s="12"/>
      <c r="W2067" s="12"/>
      <c r="X2067" s="12"/>
      <c r="Y2067" s="12"/>
      <c r="Z2067" s="12"/>
    </row>
    <row r="2068" ht="15.0" customHeight="1">
      <c r="A2068" s="12">
        <v>12.0</v>
      </c>
      <c r="B2068" s="351">
        <v>0.055</v>
      </c>
      <c r="C2068" s="12"/>
      <c r="D2068" s="12"/>
      <c r="E2068" s="12"/>
      <c r="F2068" s="12"/>
      <c r="G2068" s="12"/>
      <c r="H2068" s="12"/>
      <c r="I2068" s="12"/>
      <c r="J2068" s="12"/>
      <c r="K2068" s="12"/>
      <c r="L2068" s="12"/>
      <c r="M2068" s="12"/>
      <c r="N2068" s="12"/>
      <c r="O2068" s="12"/>
      <c r="P2068" s="12"/>
      <c r="Q2068" s="12"/>
      <c r="R2068" s="12"/>
      <c r="S2068" s="12"/>
      <c r="T2068" s="12"/>
      <c r="U2068" s="12"/>
      <c r="V2068" s="12"/>
      <c r="W2068" s="12"/>
      <c r="X2068" s="12"/>
      <c r="Y2068" s="12"/>
      <c r="Z2068" s="12"/>
    </row>
    <row r="2069" ht="15.0" customHeight="1">
      <c r="A2069" s="12">
        <v>13.0</v>
      </c>
      <c r="B2069" s="121">
        <v>0.0</v>
      </c>
      <c r="C2069" s="12"/>
      <c r="D2069" s="12"/>
      <c r="E2069" s="12"/>
      <c r="F2069" s="12"/>
      <c r="G2069" s="12"/>
      <c r="H2069" s="12"/>
      <c r="I2069" s="12"/>
      <c r="J2069" s="12"/>
      <c r="K2069" s="12"/>
      <c r="L2069" s="12"/>
      <c r="M2069" s="12"/>
      <c r="N2069" s="12"/>
      <c r="O2069" s="12"/>
      <c r="P2069" s="12"/>
      <c r="Q2069" s="12"/>
      <c r="R2069" s="12"/>
      <c r="S2069" s="12"/>
      <c r="T2069" s="12"/>
      <c r="U2069" s="12"/>
      <c r="V2069" s="12"/>
      <c r="W2069" s="12"/>
      <c r="X2069" s="12"/>
      <c r="Y2069" s="12"/>
      <c r="Z2069" s="12"/>
    </row>
    <row r="2070" ht="15.0" customHeight="1">
      <c r="A2070" s="12"/>
      <c r="B2070" s="12"/>
      <c r="C2070" s="12"/>
      <c r="D2070" s="12"/>
      <c r="E2070" s="12"/>
      <c r="F2070" s="12"/>
      <c r="G2070" s="12"/>
      <c r="H2070" s="12"/>
      <c r="I2070" s="12"/>
      <c r="J2070" s="12"/>
      <c r="K2070" s="12"/>
      <c r="L2070" s="12"/>
      <c r="M2070" s="12"/>
      <c r="N2070" s="12"/>
      <c r="O2070" s="12"/>
      <c r="P2070" s="12"/>
      <c r="Q2070" s="12"/>
      <c r="R2070" s="12"/>
      <c r="S2070" s="12"/>
      <c r="T2070" s="12"/>
      <c r="U2070" s="12"/>
      <c r="V2070" s="12"/>
      <c r="W2070" s="12"/>
      <c r="X2070" s="12"/>
      <c r="Y2070" s="12"/>
      <c r="Z2070" s="12"/>
    </row>
    <row r="2071" ht="15.0" customHeight="1">
      <c r="A2071" s="298" t="s">
        <v>1841</v>
      </c>
      <c r="B2071" s="12"/>
      <c r="C2071" s="12"/>
      <c r="D2071" s="12"/>
      <c r="E2071" s="12"/>
      <c r="F2071" s="12"/>
      <c r="G2071" s="12"/>
      <c r="H2071" s="12"/>
      <c r="I2071" s="12"/>
      <c r="J2071" s="12"/>
      <c r="K2071" s="12"/>
      <c r="L2071" s="12"/>
      <c r="M2071" s="12"/>
      <c r="N2071" s="12"/>
      <c r="O2071" s="12"/>
      <c r="P2071" s="12"/>
      <c r="Q2071" s="12"/>
      <c r="R2071" s="12"/>
      <c r="S2071" s="12"/>
      <c r="T2071" s="12"/>
      <c r="U2071" s="12"/>
      <c r="V2071" s="12"/>
      <c r="W2071" s="12"/>
      <c r="X2071" s="12"/>
      <c r="Y2071" s="12"/>
      <c r="Z2071" s="12"/>
    </row>
    <row r="2072" ht="15.0" customHeight="1">
      <c r="A2072" s="291" t="s">
        <v>1917</v>
      </c>
      <c r="B2072" s="291" t="s">
        <v>1918</v>
      </c>
      <c r="C2072" s="12"/>
      <c r="D2072" s="12"/>
      <c r="E2072" s="12"/>
      <c r="F2072" s="12"/>
      <c r="G2072" s="12"/>
      <c r="H2072" s="12"/>
      <c r="I2072" s="12"/>
      <c r="J2072" s="12"/>
      <c r="K2072" s="12"/>
      <c r="L2072" s="12"/>
      <c r="M2072" s="12"/>
      <c r="N2072" s="12"/>
      <c r="O2072" s="12"/>
      <c r="P2072" s="12"/>
      <c r="Q2072" s="12"/>
      <c r="R2072" s="12"/>
      <c r="S2072" s="12"/>
      <c r="T2072" s="12"/>
      <c r="U2072" s="12"/>
      <c r="V2072" s="12"/>
      <c r="W2072" s="12"/>
      <c r="X2072" s="12"/>
      <c r="Y2072" s="12"/>
      <c r="Z2072" s="12"/>
    </row>
    <row r="2073" ht="15.0" customHeight="1">
      <c r="A2073" s="332">
        <v>1.0</v>
      </c>
      <c r="B2073" s="351">
        <v>0.08</v>
      </c>
      <c r="C2073" s="12"/>
      <c r="D2073" s="12"/>
      <c r="E2073" s="12"/>
      <c r="F2073" s="12"/>
      <c r="G2073" s="12"/>
      <c r="H2073" s="12"/>
      <c r="I2073" s="12"/>
      <c r="J2073" s="12"/>
      <c r="K2073" s="12"/>
      <c r="L2073" s="12"/>
      <c r="M2073" s="12"/>
      <c r="N2073" s="12"/>
      <c r="O2073" s="12"/>
      <c r="P2073" s="12"/>
      <c r="Q2073" s="12"/>
      <c r="R2073" s="12"/>
      <c r="S2073" s="12"/>
      <c r="T2073" s="12"/>
      <c r="U2073" s="12"/>
      <c r="V2073" s="12"/>
      <c r="W2073" s="12"/>
      <c r="X2073" s="12"/>
      <c r="Y2073" s="12"/>
      <c r="Z2073" s="12"/>
    </row>
    <row r="2074" ht="15.0" customHeight="1">
      <c r="A2074" s="332">
        <v>2.0</v>
      </c>
      <c r="B2074" s="351">
        <v>0.055</v>
      </c>
      <c r="C2074" s="12"/>
      <c r="D2074" s="12"/>
      <c r="E2074" s="12"/>
      <c r="F2074" s="12"/>
      <c r="G2074" s="12"/>
      <c r="H2074" s="12"/>
      <c r="I2074" s="12"/>
      <c r="J2074" s="12"/>
      <c r="K2074" s="12"/>
      <c r="L2074" s="12"/>
      <c r="M2074" s="12"/>
      <c r="N2074" s="12"/>
      <c r="O2074" s="12"/>
      <c r="P2074" s="12"/>
      <c r="Q2074" s="12"/>
      <c r="R2074" s="12"/>
      <c r="S2074" s="12"/>
      <c r="T2074" s="12"/>
      <c r="U2074" s="12"/>
      <c r="V2074" s="12"/>
      <c r="W2074" s="12"/>
      <c r="X2074" s="12"/>
      <c r="Y2074" s="12"/>
      <c r="Z2074" s="12"/>
    </row>
    <row r="2075" ht="15.0" customHeight="1">
      <c r="A2075" s="332">
        <v>3.0</v>
      </c>
      <c r="B2075" s="351">
        <v>0.055</v>
      </c>
      <c r="C2075" s="12"/>
      <c r="D2075" s="12"/>
      <c r="E2075" s="12"/>
      <c r="F2075" s="12"/>
      <c r="G2075" s="12"/>
      <c r="H2075" s="12"/>
      <c r="I2075" s="12"/>
      <c r="J2075" s="12"/>
      <c r="K2075" s="12"/>
      <c r="L2075" s="12"/>
      <c r="M2075" s="12"/>
      <c r="N2075" s="12"/>
      <c r="O2075" s="12"/>
      <c r="P2075" s="12"/>
      <c r="Q2075" s="12"/>
      <c r="R2075" s="12"/>
      <c r="S2075" s="12"/>
      <c r="T2075" s="12"/>
      <c r="U2075" s="12"/>
      <c r="V2075" s="12"/>
      <c r="W2075" s="12"/>
      <c r="X2075" s="12"/>
      <c r="Y2075" s="12"/>
      <c r="Z2075" s="12"/>
    </row>
    <row r="2076" ht="15.0" customHeight="1">
      <c r="A2076" s="332">
        <v>4.0</v>
      </c>
      <c r="B2076" s="351">
        <v>0.055</v>
      </c>
      <c r="C2076" s="12"/>
      <c r="D2076" s="12"/>
      <c r="E2076" s="12"/>
      <c r="F2076" s="12"/>
      <c r="G2076" s="12"/>
      <c r="H2076" s="12"/>
      <c r="I2076" s="12"/>
      <c r="J2076" s="12"/>
      <c r="K2076" s="12"/>
      <c r="L2076" s="12"/>
      <c r="M2076" s="12"/>
      <c r="N2076" s="12"/>
      <c r="O2076" s="12"/>
      <c r="P2076" s="12"/>
      <c r="Q2076" s="12"/>
      <c r="R2076" s="12"/>
      <c r="S2076" s="12"/>
      <c r="T2076" s="12"/>
      <c r="U2076" s="12"/>
      <c r="V2076" s="12"/>
      <c r="W2076" s="12"/>
      <c r="X2076" s="12"/>
      <c r="Y2076" s="12"/>
      <c r="Z2076" s="12"/>
    </row>
    <row r="2077" ht="15.0" customHeight="1">
      <c r="A2077" s="332">
        <v>5.0</v>
      </c>
      <c r="B2077" s="351">
        <v>0.055</v>
      </c>
      <c r="C2077" s="12"/>
      <c r="D2077" s="12"/>
      <c r="E2077" s="12"/>
      <c r="F2077" s="12"/>
      <c r="G2077" s="12"/>
      <c r="H2077" s="12"/>
      <c r="I2077" s="12"/>
      <c r="J2077" s="12"/>
      <c r="K2077" s="12"/>
      <c r="L2077" s="12"/>
      <c r="M2077" s="12"/>
      <c r="N2077" s="12"/>
      <c r="O2077" s="12"/>
      <c r="P2077" s="12"/>
      <c r="Q2077" s="12"/>
      <c r="R2077" s="12"/>
      <c r="S2077" s="12"/>
      <c r="T2077" s="12"/>
      <c r="U2077" s="12"/>
      <c r="V2077" s="12"/>
      <c r="W2077" s="12"/>
      <c r="X2077" s="12"/>
      <c r="Y2077" s="12"/>
      <c r="Z2077" s="12"/>
    </row>
    <row r="2078" ht="15.0" customHeight="1">
      <c r="A2078" s="171">
        <v>6.0</v>
      </c>
      <c r="B2078" s="351">
        <v>0.0</v>
      </c>
      <c r="C2078" s="12"/>
      <c r="D2078" s="12"/>
      <c r="E2078" s="12"/>
      <c r="F2078" s="12"/>
      <c r="G2078" s="12"/>
      <c r="H2078" s="12"/>
      <c r="I2078" s="12"/>
      <c r="J2078" s="12"/>
      <c r="K2078" s="12"/>
      <c r="L2078" s="12"/>
      <c r="M2078" s="12"/>
      <c r="N2078" s="12"/>
      <c r="O2078" s="12"/>
      <c r="P2078" s="12"/>
      <c r="Q2078" s="12"/>
      <c r="R2078" s="12"/>
      <c r="S2078" s="12"/>
      <c r="T2078" s="12"/>
      <c r="U2078" s="12"/>
      <c r="V2078" s="12"/>
      <c r="W2078" s="12"/>
      <c r="X2078" s="12"/>
      <c r="Y2078" s="12"/>
      <c r="Z2078" s="12"/>
    </row>
  </sheetData>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36" width="12.63"/>
  </cols>
  <sheetData>
    <row r="1" ht="15.0" customHeight="1">
      <c r="A1" s="366" t="s">
        <v>755</v>
      </c>
      <c r="B1" s="367"/>
      <c r="C1" s="367"/>
      <c r="D1" s="367"/>
      <c r="E1" s="367"/>
      <c r="F1" s="367"/>
      <c r="G1" s="367"/>
      <c r="H1" s="367"/>
      <c r="I1" s="367"/>
      <c r="J1" s="367"/>
      <c r="K1" s="367"/>
      <c r="L1" s="367"/>
      <c r="M1" s="367"/>
      <c r="N1" s="367"/>
      <c r="O1" s="367"/>
      <c r="P1" s="367"/>
      <c r="Q1" s="367"/>
      <c r="R1" s="367"/>
      <c r="S1" s="367"/>
      <c r="T1" s="367"/>
      <c r="U1" s="367"/>
      <c r="V1" s="367"/>
      <c r="W1" s="367"/>
      <c r="X1" s="367"/>
      <c r="Y1" s="367"/>
      <c r="Z1" s="367"/>
      <c r="AA1" s="367"/>
      <c r="AB1" s="367"/>
      <c r="AC1" s="367"/>
      <c r="AD1" s="367"/>
      <c r="AE1" s="367"/>
      <c r="AF1" s="367"/>
      <c r="AG1" s="367"/>
      <c r="AH1" s="367"/>
      <c r="AI1" s="367"/>
      <c r="AJ1" s="367"/>
    </row>
    <row r="2">
      <c r="A2" s="367"/>
      <c r="B2" s="367"/>
      <c r="C2" s="367"/>
      <c r="D2" s="367"/>
      <c r="E2" s="367"/>
      <c r="F2" s="367"/>
      <c r="G2" s="367"/>
      <c r="H2" s="367"/>
      <c r="I2" s="367"/>
      <c r="J2" s="367"/>
      <c r="K2" s="367"/>
      <c r="L2" s="367"/>
      <c r="M2" s="367"/>
      <c r="N2" s="367"/>
      <c r="O2" s="367"/>
      <c r="P2" s="367"/>
      <c r="Q2" s="367"/>
      <c r="R2" s="367"/>
      <c r="S2" s="367"/>
      <c r="T2" s="367"/>
      <c r="U2" s="367"/>
      <c r="V2" s="367"/>
      <c r="W2" s="367"/>
      <c r="X2" s="367"/>
      <c r="Y2" s="367"/>
      <c r="Z2" s="367"/>
      <c r="AA2" s="367"/>
      <c r="AB2" s="367"/>
      <c r="AC2" s="367"/>
      <c r="AD2" s="367"/>
      <c r="AE2" s="367"/>
      <c r="AF2" s="367"/>
      <c r="AG2" s="367"/>
      <c r="AH2" s="367"/>
      <c r="AI2" s="367"/>
      <c r="AJ2" s="367"/>
    </row>
    <row r="3">
      <c r="A3" s="367" t="s">
        <v>1949</v>
      </c>
      <c r="B3" s="367">
        <v>1.0</v>
      </c>
      <c r="C3" s="367">
        <v>2.0</v>
      </c>
      <c r="D3" s="367">
        <v>3.0</v>
      </c>
      <c r="E3" s="367">
        <v>4.0</v>
      </c>
      <c r="F3" s="367">
        <v>5.0</v>
      </c>
      <c r="G3" s="367">
        <v>6.0</v>
      </c>
      <c r="H3" s="367">
        <v>7.0</v>
      </c>
      <c r="I3" s="367">
        <v>8.0</v>
      </c>
      <c r="J3" s="367">
        <v>9.0</v>
      </c>
      <c r="K3" s="367">
        <v>10.0</v>
      </c>
      <c r="L3" s="367">
        <v>11.0</v>
      </c>
      <c r="M3" s="367">
        <v>12.0</v>
      </c>
      <c r="N3" s="367">
        <v>13.0</v>
      </c>
      <c r="O3" s="367">
        <v>14.0</v>
      </c>
      <c r="P3" s="367">
        <v>15.0</v>
      </c>
      <c r="Q3" s="367">
        <v>16.0</v>
      </c>
      <c r="R3" s="367">
        <v>17.0</v>
      </c>
      <c r="S3" s="367">
        <v>18.0</v>
      </c>
      <c r="T3" s="367">
        <v>19.0</v>
      </c>
      <c r="U3" s="367">
        <v>20.0</v>
      </c>
      <c r="V3" s="367">
        <v>21.0</v>
      </c>
      <c r="W3" s="367">
        <v>22.0</v>
      </c>
      <c r="X3" s="367">
        <v>23.0</v>
      </c>
      <c r="Y3" s="367">
        <v>24.0</v>
      </c>
      <c r="Z3" s="367">
        <v>25.0</v>
      </c>
      <c r="AA3" s="367">
        <v>26.0</v>
      </c>
      <c r="AB3" s="367">
        <v>27.0</v>
      </c>
      <c r="AC3" s="367">
        <v>28.0</v>
      </c>
      <c r="AD3" s="367">
        <v>29.0</v>
      </c>
      <c r="AE3" s="367">
        <v>30.0</v>
      </c>
      <c r="AF3" s="367"/>
      <c r="AG3" s="367"/>
      <c r="AH3" s="367"/>
      <c r="AI3" s="367"/>
      <c r="AJ3" s="367"/>
    </row>
    <row r="4">
      <c r="A4" s="367">
        <v>25000.0</v>
      </c>
      <c r="B4" s="367">
        <f>0.17%/(Mode/12)</f>
        <v>0.0017</v>
      </c>
      <c r="C4" s="367">
        <f>0.17%/(Mode/12)</f>
        <v>0.0017</v>
      </c>
      <c r="D4" s="367">
        <f>0.17%/(Mode/12)</f>
        <v>0.0017</v>
      </c>
      <c r="E4" s="367">
        <f>0.17%/(Mode/12)</f>
        <v>0.0017</v>
      </c>
      <c r="F4" s="367">
        <f>0.1%/(Mode/12)</f>
        <v>0.001</v>
      </c>
      <c r="G4" s="367">
        <v>0.0</v>
      </c>
      <c r="H4" s="367">
        <v>0.0</v>
      </c>
      <c r="I4" s="367">
        <v>0.0</v>
      </c>
      <c r="J4" s="367">
        <v>0.0</v>
      </c>
      <c r="K4" s="367">
        <v>0.0</v>
      </c>
      <c r="L4" s="367">
        <v>0.0</v>
      </c>
      <c r="M4" s="367">
        <v>0.0</v>
      </c>
      <c r="N4" s="367">
        <v>0.0</v>
      </c>
      <c r="O4" s="367">
        <v>0.0</v>
      </c>
      <c r="P4" s="367">
        <v>0.0</v>
      </c>
      <c r="Q4" s="367">
        <v>0.0</v>
      </c>
      <c r="R4" s="367">
        <v>0.0</v>
      </c>
      <c r="S4" s="367">
        <v>0.0</v>
      </c>
      <c r="T4" s="367">
        <v>0.0</v>
      </c>
      <c r="U4" s="367">
        <v>0.0</v>
      </c>
      <c r="V4" s="367">
        <v>0.0</v>
      </c>
      <c r="W4" s="367">
        <v>0.0</v>
      </c>
      <c r="X4" s="367">
        <v>0.0</v>
      </c>
      <c r="Y4" s="367">
        <v>0.0</v>
      </c>
      <c r="Z4" s="367">
        <v>0.0</v>
      </c>
      <c r="AA4" s="367">
        <v>0.0</v>
      </c>
      <c r="AB4" s="367">
        <v>0.0</v>
      </c>
      <c r="AC4" s="367">
        <v>0.0</v>
      </c>
      <c r="AD4" s="367">
        <v>0.0</v>
      </c>
      <c r="AE4" s="367">
        <v>0.0</v>
      </c>
      <c r="AF4" s="367"/>
      <c r="AG4" s="367"/>
      <c r="AH4" s="367"/>
      <c r="AI4" s="367"/>
      <c r="AJ4" s="367"/>
    </row>
    <row r="5">
      <c r="A5" s="368">
        <v>1000000.0</v>
      </c>
      <c r="B5" s="367">
        <f>0.05%/(Mode/12)</f>
        <v>0.0005</v>
      </c>
      <c r="C5" s="367">
        <f>0.05%/(Mode/12)</f>
        <v>0.0005</v>
      </c>
      <c r="D5" s="367">
        <f>0.05%/(Mode/12)</f>
        <v>0.0005</v>
      </c>
      <c r="E5" s="367">
        <f>0.05%/(Mode/12)</f>
        <v>0.0005</v>
      </c>
      <c r="F5" s="367">
        <f>0.05%/(Mode/12)</f>
        <v>0.0005</v>
      </c>
      <c r="G5" s="367">
        <v>0.0</v>
      </c>
      <c r="H5" s="367">
        <v>0.0</v>
      </c>
      <c r="I5" s="367">
        <v>0.0</v>
      </c>
      <c r="J5" s="367">
        <v>0.0</v>
      </c>
      <c r="K5" s="367">
        <v>0.0</v>
      </c>
      <c r="L5" s="367">
        <v>0.0</v>
      </c>
      <c r="M5" s="367">
        <v>0.0</v>
      </c>
      <c r="N5" s="367">
        <v>0.0</v>
      </c>
      <c r="O5" s="367">
        <v>0.0</v>
      </c>
      <c r="P5" s="367">
        <v>0.0</v>
      </c>
      <c r="Q5" s="367">
        <v>0.0</v>
      </c>
      <c r="R5" s="367">
        <v>0.0</v>
      </c>
      <c r="S5" s="367">
        <v>0.0</v>
      </c>
      <c r="T5" s="367">
        <v>0.0</v>
      </c>
      <c r="U5" s="367">
        <v>0.0</v>
      </c>
      <c r="V5" s="367">
        <v>0.0</v>
      </c>
      <c r="W5" s="367">
        <v>0.0</v>
      </c>
      <c r="X5" s="367">
        <v>0.0</v>
      </c>
      <c r="Y5" s="367">
        <v>0.0</v>
      </c>
      <c r="Z5" s="367">
        <v>0.0</v>
      </c>
      <c r="AA5" s="367">
        <v>0.0</v>
      </c>
      <c r="AB5" s="367">
        <v>0.0</v>
      </c>
      <c r="AC5" s="367">
        <v>0.0</v>
      </c>
      <c r="AD5" s="367">
        <v>0.0</v>
      </c>
      <c r="AE5" s="367">
        <v>0.0</v>
      </c>
      <c r="AF5" s="367"/>
      <c r="AG5" s="367"/>
      <c r="AH5" s="367"/>
      <c r="AI5" s="367"/>
      <c r="AJ5" s="367"/>
    </row>
    <row r="6">
      <c r="A6" s="368"/>
      <c r="B6" s="367"/>
      <c r="C6" s="367"/>
      <c r="D6" s="367"/>
      <c r="E6" s="367"/>
      <c r="F6" s="367"/>
      <c r="G6" s="367"/>
      <c r="H6" s="367"/>
      <c r="I6" s="367"/>
      <c r="J6" s="367"/>
      <c r="K6" s="367"/>
      <c r="L6" s="367"/>
      <c r="M6" s="367"/>
      <c r="N6" s="367"/>
      <c r="O6" s="367"/>
      <c r="P6" s="367"/>
      <c r="Q6" s="367"/>
      <c r="R6" s="367"/>
      <c r="S6" s="367"/>
      <c r="T6" s="367"/>
      <c r="U6" s="367"/>
      <c r="V6" s="367"/>
      <c r="W6" s="367"/>
      <c r="X6" s="367"/>
      <c r="Y6" s="367"/>
      <c r="Z6" s="367"/>
      <c r="AA6" s="367"/>
      <c r="AB6" s="367"/>
      <c r="AC6" s="367"/>
      <c r="AD6" s="367"/>
      <c r="AE6" s="367"/>
      <c r="AF6" s="367"/>
      <c r="AG6" s="367"/>
      <c r="AH6" s="367"/>
      <c r="AI6" s="367"/>
      <c r="AJ6" s="367"/>
    </row>
    <row r="7">
      <c r="A7" s="36" t="s">
        <v>215</v>
      </c>
      <c r="B7" s="36">
        <v>1.0</v>
      </c>
      <c r="C7" s="36">
        <v>2.0</v>
      </c>
      <c r="D7" s="36">
        <v>3.0</v>
      </c>
      <c r="E7" s="12">
        <v>4.0</v>
      </c>
      <c r="F7" s="36">
        <v>5.0</v>
      </c>
      <c r="G7" s="36">
        <v>6.0</v>
      </c>
      <c r="H7" s="36">
        <v>7.0</v>
      </c>
      <c r="I7" s="36">
        <v>8.0</v>
      </c>
      <c r="J7" s="36">
        <v>9.0</v>
      </c>
      <c r="K7" s="36">
        <v>10.0</v>
      </c>
      <c r="L7" s="36">
        <v>11.0</v>
      </c>
      <c r="M7" s="36">
        <v>12.0</v>
      </c>
      <c r="N7" s="36">
        <v>13.0</v>
      </c>
      <c r="O7" s="36">
        <v>14.0</v>
      </c>
      <c r="P7" s="36">
        <v>15.0</v>
      </c>
      <c r="Q7" s="36">
        <v>16.0</v>
      </c>
      <c r="R7" s="36">
        <v>17.0</v>
      </c>
      <c r="S7" s="36">
        <v>18.0</v>
      </c>
      <c r="T7" s="36">
        <v>19.0</v>
      </c>
      <c r="U7" s="36">
        <v>20.0</v>
      </c>
      <c r="V7" s="36">
        <v>21.0</v>
      </c>
      <c r="W7" s="36">
        <v>22.0</v>
      </c>
      <c r="X7" s="36">
        <v>23.0</v>
      </c>
      <c r="Y7" s="36">
        <v>24.0</v>
      </c>
      <c r="Z7" s="36">
        <v>25.0</v>
      </c>
      <c r="AA7" s="36">
        <v>26.0</v>
      </c>
      <c r="AB7" s="36">
        <v>27.0</v>
      </c>
      <c r="AC7" s="36">
        <v>28.0</v>
      </c>
      <c r="AD7" s="36">
        <v>29.0</v>
      </c>
      <c r="AE7" s="36">
        <v>30.0</v>
      </c>
      <c r="AF7" s="369"/>
      <c r="AG7" s="369"/>
      <c r="AH7" s="369"/>
      <c r="AI7" s="369"/>
      <c r="AJ7" s="369"/>
    </row>
    <row r="8">
      <c r="A8" s="370" t="s">
        <v>217</v>
      </c>
      <c r="B8" s="371">
        <v>0.0</v>
      </c>
      <c r="C8" s="371">
        <v>0.0</v>
      </c>
      <c r="D8" s="371">
        <v>0.0</v>
      </c>
      <c r="E8" s="371">
        <v>0.0</v>
      </c>
      <c r="F8" s="371">
        <v>0.0</v>
      </c>
      <c r="G8" s="371">
        <v>0.0</v>
      </c>
      <c r="H8" s="371">
        <v>0.0</v>
      </c>
      <c r="I8" s="371">
        <v>0.0</v>
      </c>
      <c r="J8" s="371">
        <v>0.0</v>
      </c>
      <c r="K8" s="371">
        <v>0.0</v>
      </c>
      <c r="L8" s="371">
        <v>0.0</v>
      </c>
      <c r="M8" s="371">
        <v>0.0</v>
      </c>
      <c r="N8" s="371">
        <v>0.0</v>
      </c>
      <c r="O8" s="371">
        <v>0.0</v>
      </c>
      <c r="P8" s="371">
        <v>0.0</v>
      </c>
      <c r="Q8" s="371">
        <v>0.0</v>
      </c>
      <c r="R8" s="371">
        <v>0.0</v>
      </c>
      <c r="S8" s="371">
        <v>0.0</v>
      </c>
      <c r="T8" s="371">
        <v>0.0</v>
      </c>
      <c r="U8" s="371">
        <v>0.0</v>
      </c>
      <c r="V8" s="371">
        <v>0.0</v>
      </c>
      <c r="W8" s="371">
        <v>0.0</v>
      </c>
      <c r="X8" s="371">
        <v>0.0</v>
      </c>
      <c r="Y8" s="371">
        <v>0.0</v>
      </c>
      <c r="Z8" s="371">
        <v>0.0</v>
      </c>
      <c r="AA8" s="371">
        <v>0.0</v>
      </c>
      <c r="AB8" s="371">
        <v>0.0</v>
      </c>
      <c r="AC8" s="371">
        <v>0.0</v>
      </c>
      <c r="AD8" s="371">
        <v>0.0</v>
      </c>
      <c r="AE8" s="371">
        <v>0.0</v>
      </c>
      <c r="AF8" s="369"/>
      <c r="AG8" s="369"/>
      <c r="AH8" s="369"/>
      <c r="AI8" s="369"/>
      <c r="AJ8" s="369"/>
    </row>
    <row r="9">
      <c r="A9" s="12" t="s">
        <v>218</v>
      </c>
      <c r="B9" s="372">
        <f>IF('Pre-Calculation'!$D$7&lt;$A$5,B4,B5)</f>
        <v>0.0017</v>
      </c>
      <c r="C9" s="372">
        <f>IF('Pre-Calculation'!$D$7&lt;$A$5,C4,C5)</f>
        <v>0.0017</v>
      </c>
      <c r="D9" s="372">
        <f>IF('Pre-Calculation'!$D$7&lt;$A$5,D4,D5)</f>
        <v>0.0017</v>
      </c>
      <c r="E9" s="372">
        <f>IF('Pre-Calculation'!$D$7&lt;$A$5,E4,E5)</f>
        <v>0.0017</v>
      </c>
      <c r="F9" s="372">
        <f>IF('Pre-Calculation'!$D$7&lt;$A$5,F4,F5)</f>
        <v>0.001</v>
      </c>
      <c r="G9" s="372">
        <f>IF('Pre-Calculation'!$D$7&lt;$A$5,G4,G5)</f>
        <v>0</v>
      </c>
      <c r="H9" s="372">
        <f>IF('Pre-Calculation'!$D$7&lt;$A$5,H4,H5)</f>
        <v>0</v>
      </c>
      <c r="I9" s="372">
        <f>IF('Pre-Calculation'!$D$7&lt;$A$5,I4,I5)</f>
        <v>0</v>
      </c>
      <c r="J9" s="372">
        <f>IF('Pre-Calculation'!$D$7&lt;$A$5,J4,J5)</f>
        <v>0</v>
      </c>
      <c r="K9" s="372">
        <f>IF('Pre-Calculation'!$D$7&lt;$A$5,K4,K5)</f>
        <v>0</v>
      </c>
      <c r="L9" s="372">
        <f>IF('Pre-Calculation'!$D$7&lt;$A$5,L4,L5)</f>
        <v>0</v>
      </c>
      <c r="M9" s="372">
        <f>IF('Pre-Calculation'!$D$7&lt;$A$5,M4,M5)</f>
        <v>0</v>
      </c>
      <c r="N9" s="372">
        <f>IF('Pre-Calculation'!$D$7&lt;$A$5,N4,N5)</f>
        <v>0</v>
      </c>
      <c r="O9" s="372">
        <f>IF('Pre-Calculation'!$D$7&lt;$A$5,O4,O5)</f>
        <v>0</v>
      </c>
      <c r="P9" s="372">
        <f>IF('Pre-Calculation'!$D$7&lt;$A$5,P4,P5)</f>
        <v>0</v>
      </c>
      <c r="Q9" s="372">
        <f>IF('Pre-Calculation'!$D$7&lt;$A$5,Q4,Q5)</f>
        <v>0</v>
      </c>
      <c r="R9" s="372">
        <f>IF('Pre-Calculation'!$D$7&lt;$A$5,R4,R5)</f>
        <v>0</v>
      </c>
      <c r="S9" s="372">
        <f>IF('Pre-Calculation'!$D$7&lt;$A$5,S4,S5)</f>
        <v>0</v>
      </c>
      <c r="T9" s="372">
        <f>IF('Pre-Calculation'!$D$7&lt;$A$5,T4,T5)</f>
        <v>0</v>
      </c>
      <c r="U9" s="372">
        <f>IF('Pre-Calculation'!$D$7&lt;$A$5,U4,U5)</f>
        <v>0</v>
      </c>
      <c r="V9" s="372">
        <f>IF('Pre-Calculation'!$D$7&lt;$A$5,V4,V5)</f>
        <v>0</v>
      </c>
      <c r="W9" s="372">
        <f>IF('Pre-Calculation'!$D$7&lt;$A$5,W4,W5)</f>
        <v>0</v>
      </c>
      <c r="X9" s="372">
        <f>IF('Pre-Calculation'!$D$7&lt;$A$5,X4,X5)</f>
        <v>0</v>
      </c>
      <c r="Y9" s="372">
        <f>IF('Pre-Calculation'!$D$7&lt;$A$5,Y4,Y5)</f>
        <v>0</v>
      </c>
      <c r="Z9" s="372">
        <f>IF('Pre-Calculation'!$D$7&lt;$A$5,Z4,Z5)</f>
        <v>0</v>
      </c>
      <c r="AA9" s="372">
        <f>IF('Pre-Calculation'!$D$7&lt;$A$5,AA4,AA5)</f>
        <v>0</v>
      </c>
      <c r="AB9" s="372">
        <f>IF('Pre-Calculation'!$D$7&lt;$A$5,AB4,AB5)</f>
        <v>0</v>
      </c>
      <c r="AC9" s="372">
        <f>IF('Pre-Calculation'!$D$7&lt;$A$5,AC4,AC5)</f>
        <v>0</v>
      </c>
      <c r="AD9" s="372">
        <f>IF('Pre-Calculation'!$D$7&lt;$A$5,AD4,AD5)</f>
        <v>0</v>
      </c>
      <c r="AE9" s="372">
        <f>IF('Pre-Calculation'!$D$7&lt;$A$5,AE4,AE5)</f>
        <v>0</v>
      </c>
      <c r="AF9" s="36"/>
      <c r="AG9" s="36"/>
      <c r="AH9" s="36"/>
      <c r="AI9" s="36"/>
      <c r="AJ9" s="36"/>
    </row>
    <row r="10" ht="15.0" customHeight="1">
      <c r="A10" s="319" t="s">
        <v>577</v>
      </c>
      <c r="B10" s="36"/>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row>
    <row r="11">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row>
    <row r="12" ht="15.0" customHeight="1">
      <c r="A12" s="36" t="s">
        <v>215</v>
      </c>
      <c r="B12" s="36">
        <v>1.0</v>
      </c>
      <c r="C12" s="36">
        <v>2.0</v>
      </c>
      <c r="D12" s="36">
        <v>3.0</v>
      </c>
      <c r="E12" s="12">
        <v>4.0</v>
      </c>
      <c r="F12" s="36">
        <v>5.0</v>
      </c>
      <c r="G12" s="36">
        <v>6.0</v>
      </c>
      <c r="H12" s="36">
        <v>7.0</v>
      </c>
      <c r="I12" s="36">
        <v>8.0</v>
      </c>
      <c r="J12" s="36">
        <v>9.0</v>
      </c>
      <c r="K12" s="36">
        <v>10.0</v>
      </c>
      <c r="L12" s="36">
        <v>11.0</v>
      </c>
      <c r="M12" s="36">
        <v>12.0</v>
      </c>
      <c r="N12" s="36">
        <v>13.0</v>
      </c>
      <c r="O12" s="36">
        <v>14.0</v>
      </c>
      <c r="P12" s="36">
        <v>15.0</v>
      </c>
      <c r="Q12" s="36">
        <v>16.0</v>
      </c>
      <c r="R12" s="36">
        <v>17.0</v>
      </c>
      <c r="S12" s="36">
        <v>18.0</v>
      </c>
      <c r="T12" s="36">
        <v>19.0</v>
      </c>
      <c r="U12" s="36">
        <v>20.0</v>
      </c>
      <c r="V12" s="36">
        <v>21.0</v>
      </c>
      <c r="W12" s="36">
        <v>22.0</v>
      </c>
      <c r="X12" s="36">
        <v>23.0</v>
      </c>
      <c r="Y12" s="36">
        <v>24.0</v>
      </c>
      <c r="Z12" s="36">
        <v>25.0</v>
      </c>
      <c r="AA12" s="36">
        <v>26.0</v>
      </c>
      <c r="AB12" s="36">
        <v>27.0</v>
      </c>
      <c r="AC12" s="36">
        <v>28.0</v>
      </c>
      <c r="AD12" s="36">
        <v>29.0</v>
      </c>
      <c r="AE12" s="36">
        <v>30.0</v>
      </c>
      <c r="AF12" s="36"/>
      <c r="AG12" s="36"/>
      <c r="AH12" s="36"/>
      <c r="AI12" s="36"/>
      <c r="AJ12" s="36"/>
    </row>
    <row r="13" ht="15.0" customHeight="1">
      <c r="A13" s="370" t="s">
        <v>217</v>
      </c>
      <c r="B13" s="373">
        <v>60.0</v>
      </c>
      <c r="C13" s="373">
        <f t="shared" ref="C13:AE13" si="1">B13*1.05</f>
        <v>63</v>
      </c>
      <c r="D13" s="373">
        <f t="shared" si="1"/>
        <v>66.15</v>
      </c>
      <c r="E13" s="373">
        <f t="shared" si="1"/>
        <v>69.4575</v>
      </c>
      <c r="F13" s="373">
        <f t="shared" si="1"/>
        <v>72.930375</v>
      </c>
      <c r="G13" s="373">
        <f t="shared" si="1"/>
        <v>76.57689375</v>
      </c>
      <c r="H13" s="373">
        <f t="shared" si="1"/>
        <v>80.40573844</v>
      </c>
      <c r="I13" s="373">
        <f t="shared" si="1"/>
        <v>84.42602536</v>
      </c>
      <c r="J13" s="373">
        <f t="shared" si="1"/>
        <v>88.64732663</v>
      </c>
      <c r="K13" s="373">
        <f t="shared" si="1"/>
        <v>93.07969296</v>
      </c>
      <c r="L13" s="373">
        <f t="shared" si="1"/>
        <v>97.73367761</v>
      </c>
      <c r="M13" s="373">
        <f t="shared" si="1"/>
        <v>102.6203615</v>
      </c>
      <c r="N13" s="373">
        <f t="shared" si="1"/>
        <v>107.7513796</v>
      </c>
      <c r="O13" s="373">
        <f t="shared" si="1"/>
        <v>113.1389485</v>
      </c>
      <c r="P13" s="373">
        <f t="shared" si="1"/>
        <v>118.795896</v>
      </c>
      <c r="Q13" s="373">
        <f t="shared" si="1"/>
        <v>124.7356908</v>
      </c>
      <c r="R13" s="373">
        <f t="shared" si="1"/>
        <v>130.9724753</v>
      </c>
      <c r="S13" s="373">
        <f t="shared" si="1"/>
        <v>137.5210991</v>
      </c>
      <c r="T13" s="373">
        <f t="shared" si="1"/>
        <v>144.397154</v>
      </c>
      <c r="U13" s="373">
        <f t="shared" si="1"/>
        <v>151.6170117</v>
      </c>
      <c r="V13" s="373">
        <f t="shared" si="1"/>
        <v>159.1978623</v>
      </c>
      <c r="W13" s="373">
        <f t="shared" si="1"/>
        <v>167.1577554</v>
      </c>
      <c r="X13" s="373">
        <f t="shared" si="1"/>
        <v>175.5156432</v>
      </c>
      <c r="Y13" s="373">
        <f t="shared" si="1"/>
        <v>184.2914254</v>
      </c>
      <c r="Z13" s="373">
        <f t="shared" si="1"/>
        <v>193.5059966</v>
      </c>
      <c r="AA13" s="373">
        <f t="shared" si="1"/>
        <v>203.1812965</v>
      </c>
      <c r="AB13" s="373">
        <f t="shared" si="1"/>
        <v>213.3403613</v>
      </c>
      <c r="AC13" s="373">
        <f t="shared" si="1"/>
        <v>224.0073793</v>
      </c>
      <c r="AD13" s="373">
        <f t="shared" si="1"/>
        <v>235.2077483</v>
      </c>
      <c r="AE13" s="373">
        <f t="shared" si="1"/>
        <v>246.9681357</v>
      </c>
      <c r="AF13" s="373"/>
      <c r="AG13" s="373"/>
      <c r="AH13" s="373"/>
      <c r="AI13" s="373"/>
      <c r="AJ13" s="373"/>
    </row>
    <row r="14">
      <c r="A14" s="12" t="s">
        <v>218</v>
      </c>
      <c r="B14" s="12">
        <v>0.0</v>
      </c>
      <c r="C14" s="12">
        <v>0.0</v>
      </c>
      <c r="D14" s="12">
        <v>0.0</v>
      </c>
      <c r="E14" s="12">
        <v>0.0</v>
      </c>
      <c r="F14" s="12">
        <v>0.0</v>
      </c>
      <c r="G14" s="12">
        <v>0.0</v>
      </c>
      <c r="H14" s="12">
        <v>0.0</v>
      </c>
      <c r="I14" s="12">
        <v>0.0</v>
      </c>
      <c r="J14" s="12">
        <v>0.0</v>
      </c>
      <c r="K14" s="12">
        <v>0.0</v>
      </c>
      <c r="L14" s="12">
        <v>0.0</v>
      </c>
      <c r="M14" s="12">
        <v>0.0</v>
      </c>
      <c r="N14" s="12">
        <v>0.0</v>
      </c>
      <c r="O14" s="12">
        <v>0.0</v>
      </c>
      <c r="P14" s="12">
        <v>0.0</v>
      </c>
      <c r="Q14" s="12">
        <v>0.0</v>
      </c>
      <c r="R14" s="12">
        <v>0.0</v>
      </c>
      <c r="S14" s="12">
        <v>0.0</v>
      </c>
      <c r="T14" s="12">
        <v>0.0</v>
      </c>
      <c r="U14" s="12">
        <v>0.0</v>
      </c>
      <c r="V14" s="12">
        <v>0.0</v>
      </c>
      <c r="W14" s="12">
        <v>0.0</v>
      </c>
      <c r="X14" s="12">
        <v>0.0</v>
      </c>
      <c r="Y14" s="12">
        <v>0.0</v>
      </c>
      <c r="Z14" s="12">
        <v>0.0</v>
      </c>
      <c r="AA14" s="12">
        <v>0.0</v>
      </c>
      <c r="AB14" s="12">
        <v>0.0</v>
      </c>
      <c r="AC14" s="12">
        <v>0.0</v>
      </c>
      <c r="AD14" s="12">
        <v>0.0</v>
      </c>
      <c r="AE14" s="12">
        <v>0.0</v>
      </c>
      <c r="AF14" s="36"/>
      <c r="AG14" s="36"/>
      <c r="AH14" s="36"/>
      <c r="AI14" s="36"/>
      <c r="AJ14" s="36"/>
    </row>
    <row r="15" ht="15.0" customHeight="1">
      <c r="A15" s="323"/>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row>
    <row r="16" ht="15.0" customHeight="1">
      <c r="A16" s="319" t="s">
        <v>582</v>
      </c>
      <c r="B16" s="36"/>
      <c r="C16" s="36"/>
      <c r="D16" s="36"/>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row>
    <row r="17">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row>
    <row r="18" ht="15.0" customHeight="1">
      <c r="A18" s="36" t="s">
        <v>215</v>
      </c>
      <c r="B18" s="36">
        <v>1.0</v>
      </c>
      <c r="C18" s="36">
        <v>2.0</v>
      </c>
      <c r="D18" s="36">
        <v>3.0</v>
      </c>
      <c r="E18" s="12">
        <v>4.0</v>
      </c>
      <c r="F18" s="36">
        <v>5.0</v>
      </c>
      <c r="G18" s="36">
        <v>6.0</v>
      </c>
      <c r="H18" s="36">
        <v>7.0</v>
      </c>
      <c r="I18" s="36">
        <v>8.0</v>
      </c>
      <c r="J18" s="36">
        <v>9.0</v>
      </c>
      <c r="K18" s="36">
        <v>10.0</v>
      </c>
      <c r="L18" s="36">
        <v>11.0</v>
      </c>
      <c r="M18" s="36">
        <v>12.0</v>
      </c>
      <c r="N18" s="36">
        <v>13.0</v>
      </c>
      <c r="O18" s="36">
        <v>14.0</v>
      </c>
      <c r="P18" s="36">
        <v>15.0</v>
      </c>
      <c r="Q18" s="36">
        <v>16.0</v>
      </c>
      <c r="R18" s="36">
        <v>17.0</v>
      </c>
      <c r="S18" s="36">
        <v>18.0</v>
      </c>
      <c r="T18" s="36">
        <v>19.0</v>
      </c>
      <c r="U18" s="36">
        <v>20.0</v>
      </c>
      <c r="V18" s="36">
        <v>21.0</v>
      </c>
      <c r="W18" s="36">
        <v>22.0</v>
      </c>
      <c r="X18" s="36">
        <v>23.0</v>
      </c>
      <c r="Y18" s="36">
        <v>24.0</v>
      </c>
      <c r="Z18" s="36">
        <v>25.0</v>
      </c>
      <c r="AA18" s="36">
        <v>26.0</v>
      </c>
      <c r="AB18" s="36">
        <v>27.0</v>
      </c>
      <c r="AC18" s="36">
        <v>28.0</v>
      </c>
      <c r="AD18" s="36">
        <v>29.0</v>
      </c>
      <c r="AE18" s="36">
        <v>30.0</v>
      </c>
      <c r="AF18" s="36"/>
      <c r="AG18" s="36"/>
      <c r="AH18" s="36"/>
      <c r="AI18" s="36"/>
      <c r="AJ18" s="36"/>
    </row>
    <row r="19" ht="15.0" customHeight="1">
      <c r="A19" s="370" t="s">
        <v>217</v>
      </c>
      <c r="B19" s="373">
        <v>60.0</v>
      </c>
      <c r="C19" s="373">
        <f t="shared" ref="C19:AE19" si="2">B19*1.05</f>
        <v>63</v>
      </c>
      <c r="D19" s="373">
        <f t="shared" si="2"/>
        <v>66.15</v>
      </c>
      <c r="E19" s="373">
        <f t="shared" si="2"/>
        <v>69.4575</v>
      </c>
      <c r="F19" s="373">
        <f t="shared" si="2"/>
        <v>72.930375</v>
      </c>
      <c r="G19" s="373">
        <f t="shared" si="2"/>
        <v>76.57689375</v>
      </c>
      <c r="H19" s="373">
        <f t="shared" si="2"/>
        <v>80.40573844</v>
      </c>
      <c r="I19" s="373">
        <f t="shared" si="2"/>
        <v>84.42602536</v>
      </c>
      <c r="J19" s="373">
        <f t="shared" si="2"/>
        <v>88.64732663</v>
      </c>
      <c r="K19" s="373">
        <f t="shared" si="2"/>
        <v>93.07969296</v>
      </c>
      <c r="L19" s="373">
        <f t="shared" si="2"/>
        <v>97.73367761</v>
      </c>
      <c r="M19" s="373">
        <f t="shared" si="2"/>
        <v>102.6203615</v>
      </c>
      <c r="N19" s="373">
        <f t="shared" si="2"/>
        <v>107.7513796</v>
      </c>
      <c r="O19" s="373">
        <f t="shared" si="2"/>
        <v>113.1389485</v>
      </c>
      <c r="P19" s="373">
        <f t="shared" si="2"/>
        <v>118.795896</v>
      </c>
      <c r="Q19" s="373">
        <f t="shared" si="2"/>
        <v>124.7356908</v>
      </c>
      <c r="R19" s="373">
        <f t="shared" si="2"/>
        <v>130.9724753</v>
      </c>
      <c r="S19" s="373">
        <f t="shared" si="2"/>
        <v>137.5210991</v>
      </c>
      <c r="T19" s="373">
        <f t="shared" si="2"/>
        <v>144.397154</v>
      </c>
      <c r="U19" s="373">
        <f t="shared" si="2"/>
        <v>151.6170117</v>
      </c>
      <c r="V19" s="373">
        <f t="shared" si="2"/>
        <v>159.1978623</v>
      </c>
      <c r="W19" s="373">
        <f t="shared" si="2"/>
        <v>167.1577554</v>
      </c>
      <c r="X19" s="373">
        <f t="shared" si="2"/>
        <v>175.5156432</v>
      </c>
      <c r="Y19" s="373">
        <f t="shared" si="2"/>
        <v>184.2914254</v>
      </c>
      <c r="Z19" s="373">
        <f t="shared" si="2"/>
        <v>193.5059966</v>
      </c>
      <c r="AA19" s="373">
        <f t="shared" si="2"/>
        <v>203.1812965</v>
      </c>
      <c r="AB19" s="373">
        <f t="shared" si="2"/>
        <v>213.3403613</v>
      </c>
      <c r="AC19" s="373">
        <f t="shared" si="2"/>
        <v>224.0073793</v>
      </c>
      <c r="AD19" s="373">
        <f t="shared" si="2"/>
        <v>235.2077483</v>
      </c>
      <c r="AE19" s="373">
        <f t="shared" si="2"/>
        <v>246.9681357</v>
      </c>
      <c r="AF19" s="373"/>
      <c r="AG19" s="373"/>
      <c r="AH19" s="373"/>
      <c r="AI19" s="373"/>
      <c r="AJ19" s="373"/>
    </row>
    <row r="20">
      <c r="A20" s="12" t="s">
        <v>218</v>
      </c>
      <c r="B20" s="12">
        <v>0.0</v>
      </c>
      <c r="C20" s="12">
        <v>0.0</v>
      </c>
      <c r="D20" s="12">
        <v>0.0</v>
      </c>
      <c r="E20" s="12">
        <v>0.0</v>
      </c>
      <c r="F20" s="12">
        <v>0.0</v>
      </c>
      <c r="G20" s="12">
        <v>0.0</v>
      </c>
      <c r="H20" s="12">
        <v>0.0</v>
      </c>
      <c r="I20" s="12">
        <v>0.0</v>
      </c>
      <c r="J20" s="12">
        <v>0.0</v>
      </c>
      <c r="K20" s="12">
        <v>0.0</v>
      </c>
      <c r="L20" s="12">
        <v>0.0</v>
      </c>
      <c r="M20" s="12">
        <v>0.0</v>
      </c>
      <c r="N20" s="12">
        <v>0.0</v>
      </c>
      <c r="O20" s="12">
        <v>0.0</v>
      </c>
      <c r="P20" s="12">
        <v>0.0</v>
      </c>
      <c r="Q20" s="12">
        <v>0.0</v>
      </c>
      <c r="R20" s="12">
        <v>0.0</v>
      </c>
      <c r="S20" s="12">
        <v>0.0</v>
      </c>
      <c r="T20" s="12">
        <v>0.0</v>
      </c>
      <c r="U20" s="12">
        <v>0.0</v>
      </c>
      <c r="V20" s="12">
        <v>0.0</v>
      </c>
      <c r="W20" s="12">
        <v>0.0</v>
      </c>
      <c r="X20" s="12">
        <v>0.0</v>
      </c>
      <c r="Y20" s="12">
        <v>0.0</v>
      </c>
      <c r="Z20" s="12">
        <v>0.0</v>
      </c>
      <c r="AA20" s="12">
        <v>0.0</v>
      </c>
      <c r="AB20" s="12">
        <v>0.0</v>
      </c>
      <c r="AC20" s="12">
        <v>0.0</v>
      </c>
      <c r="AD20" s="12">
        <v>0.0</v>
      </c>
      <c r="AE20" s="12">
        <v>0.0</v>
      </c>
      <c r="AF20" s="36"/>
      <c r="AG20" s="36"/>
      <c r="AH20" s="36"/>
      <c r="AI20" s="36"/>
      <c r="AJ20" s="36"/>
    </row>
    <row r="21" ht="15.75" customHeight="1">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row>
    <row r="22" ht="15.0" customHeight="1">
      <c r="A22" s="319" t="s">
        <v>586</v>
      </c>
      <c r="B22" s="36"/>
      <c r="C22" s="36"/>
      <c r="D22" s="36"/>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row>
    <row r="23" ht="15.75" customHeight="1">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row>
    <row r="24" ht="15.0" customHeight="1">
      <c r="A24" s="36" t="s">
        <v>215</v>
      </c>
      <c r="B24" s="36">
        <v>1.0</v>
      </c>
      <c r="C24" s="36">
        <v>2.0</v>
      </c>
      <c r="D24" s="36">
        <v>3.0</v>
      </c>
      <c r="E24" s="36">
        <v>4.0</v>
      </c>
      <c r="F24" s="36">
        <v>5.0</v>
      </c>
      <c r="G24" s="36">
        <v>6.0</v>
      </c>
      <c r="H24" s="36">
        <v>7.0</v>
      </c>
      <c r="I24" s="36">
        <v>8.0</v>
      </c>
      <c r="J24" s="36">
        <v>9.0</v>
      </c>
      <c r="K24" s="36">
        <v>10.0</v>
      </c>
      <c r="L24" s="36">
        <v>11.0</v>
      </c>
      <c r="M24" s="36">
        <v>12.0</v>
      </c>
      <c r="N24" s="36">
        <v>13.0</v>
      </c>
      <c r="O24" s="36">
        <v>14.0</v>
      </c>
      <c r="P24" s="36">
        <v>15.0</v>
      </c>
      <c r="Q24" s="36">
        <v>16.0</v>
      </c>
      <c r="R24" s="36">
        <v>17.0</v>
      </c>
      <c r="S24" s="36">
        <v>18.0</v>
      </c>
      <c r="T24" s="36">
        <v>19.0</v>
      </c>
      <c r="U24" s="36">
        <v>20.0</v>
      </c>
      <c r="V24" s="36">
        <v>21.0</v>
      </c>
      <c r="W24" s="36">
        <v>22.0</v>
      </c>
      <c r="X24" s="36">
        <v>23.0</v>
      </c>
      <c r="Y24" s="36">
        <v>24.0</v>
      </c>
      <c r="Z24" s="36">
        <v>25.0</v>
      </c>
      <c r="AA24" s="36">
        <v>26.0</v>
      </c>
      <c r="AB24" s="36">
        <v>27.0</v>
      </c>
      <c r="AC24" s="36">
        <v>28.0</v>
      </c>
      <c r="AD24" s="36">
        <v>29.0</v>
      </c>
      <c r="AE24" s="36">
        <v>30.0</v>
      </c>
      <c r="AF24" s="36"/>
      <c r="AG24" s="36"/>
      <c r="AH24" s="36"/>
      <c r="AI24" s="36"/>
      <c r="AJ24" s="36"/>
    </row>
    <row r="25" ht="15.0" customHeight="1">
      <c r="A25" s="370" t="s">
        <v>217</v>
      </c>
      <c r="B25" s="373">
        <v>60.0</v>
      </c>
      <c r="C25" s="373">
        <f t="shared" ref="C25:AE25" si="3">B25*1.05</f>
        <v>63</v>
      </c>
      <c r="D25" s="373">
        <f t="shared" si="3"/>
        <v>66.15</v>
      </c>
      <c r="E25" s="373">
        <f t="shared" si="3"/>
        <v>69.4575</v>
      </c>
      <c r="F25" s="373">
        <f t="shared" si="3"/>
        <v>72.930375</v>
      </c>
      <c r="G25" s="373">
        <f t="shared" si="3"/>
        <v>76.57689375</v>
      </c>
      <c r="H25" s="373">
        <f t="shared" si="3"/>
        <v>80.40573844</v>
      </c>
      <c r="I25" s="373">
        <f t="shared" si="3"/>
        <v>84.42602536</v>
      </c>
      <c r="J25" s="373">
        <f t="shared" si="3"/>
        <v>88.64732663</v>
      </c>
      <c r="K25" s="373">
        <f t="shared" si="3"/>
        <v>93.07969296</v>
      </c>
      <c r="L25" s="373">
        <f t="shared" si="3"/>
        <v>97.73367761</v>
      </c>
      <c r="M25" s="373">
        <f t="shared" si="3"/>
        <v>102.6203615</v>
      </c>
      <c r="N25" s="373">
        <f t="shared" si="3"/>
        <v>107.7513796</v>
      </c>
      <c r="O25" s="373">
        <f t="shared" si="3"/>
        <v>113.1389485</v>
      </c>
      <c r="P25" s="373">
        <f t="shared" si="3"/>
        <v>118.795896</v>
      </c>
      <c r="Q25" s="373">
        <f t="shared" si="3"/>
        <v>124.7356908</v>
      </c>
      <c r="R25" s="373">
        <f t="shared" si="3"/>
        <v>130.9724753</v>
      </c>
      <c r="S25" s="373">
        <f t="shared" si="3"/>
        <v>137.5210991</v>
      </c>
      <c r="T25" s="373">
        <f t="shared" si="3"/>
        <v>144.397154</v>
      </c>
      <c r="U25" s="373">
        <f t="shared" si="3"/>
        <v>151.6170117</v>
      </c>
      <c r="V25" s="373">
        <f t="shared" si="3"/>
        <v>159.1978623</v>
      </c>
      <c r="W25" s="373">
        <f t="shared" si="3"/>
        <v>167.1577554</v>
      </c>
      <c r="X25" s="373">
        <f t="shared" si="3"/>
        <v>175.5156432</v>
      </c>
      <c r="Y25" s="373">
        <f t="shared" si="3"/>
        <v>184.2914254</v>
      </c>
      <c r="Z25" s="373">
        <f t="shared" si="3"/>
        <v>193.5059966</v>
      </c>
      <c r="AA25" s="373">
        <f t="shared" si="3"/>
        <v>203.1812965</v>
      </c>
      <c r="AB25" s="373">
        <f t="shared" si="3"/>
        <v>213.3403613</v>
      </c>
      <c r="AC25" s="373">
        <f t="shared" si="3"/>
        <v>224.0073793</v>
      </c>
      <c r="AD25" s="373">
        <f t="shared" si="3"/>
        <v>235.2077483</v>
      </c>
      <c r="AE25" s="373">
        <f t="shared" si="3"/>
        <v>246.9681357</v>
      </c>
      <c r="AF25" s="373"/>
      <c r="AG25" s="373"/>
      <c r="AH25" s="373"/>
      <c r="AI25" s="373"/>
      <c r="AJ25" s="373"/>
    </row>
    <row r="26" ht="15.75" customHeight="1">
      <c r="A26" s="12" t="s">
        <v>218</v>
      </c>
      <c r="B26" s="12">
        <v>0.0</v>
      </c>
      <c r="C26" s="12">
        <v>0.0</v>
      </c>
      <c r="D26" s="12">
        <v>0.0</v>
      </c>
      <c r="E26" s="12">
        <v>0.0</v>
      </c>
      <c r="F26" s="12">
        <v>0.0</v>
      </c>
      <c r="G26" s="12">
        <v>0.0</v>
      </c>
      <c r="H26" s="12">
        <v>0.0</v>
      </c>
      <c r="I26" s="12">
        <v>0.0</v>
      </c>
      <c r="J26" s="12">
        <v>0.0</v>
      </c>
      <c r="K26" s="12">
        <v>0.0</v>
      </c>
      <c r="L26" s="12">
        <v>0.0</v>
      </c>
      <c r="M26" s="12">
        <v>0.0</v>
      </c>
      <c r="N26" s="12">
        <v>0.0</v>
      </c>
      <c r="O26" s="12">
        <v>0.0</v>
      </c>
      <c r="P26" s="12">
        <v>0.0</v>
      </c>
      <c r="Q26" s="12">
        <v>0.0</v>
      </c>
      <c r="R26" s="12">
        <v>0.0</v>
      </c>
      <c r="S26" s="12">
        <v>0.0</v>
      </c>
      <c r="T26" s="12">
        <v>0.0</v>
      </c>
      <c r="U26" s="12">
        <v>0.0</v>
      </c>
      <c r="V26" s="12">
        <v>0.0</v>
      </c>
      <c r="W26" s="12">
        <v>0.0</v>
      </c>
      <c r="X26" s="12">
        <v>0.0</v>
      </c>
      <c r="Y26" s="12">
        <v>0.0</v>
      </c>
      <c r="Z26" s="12">
        <v>0.0</v>
      </c>
      <c r="AA26" s="12">
        <v>0.0</v>
      </c>
      <c r="AB26" s="12">
        <v>0.0</v>
      </c>
      <c r="AC26" s="12">
        <v>0.0</v>
      </c>
      <c r="AD26" s="12">
        <v>0.0</v>
      </c>
      <c r="AE26" s="12">
        <v>0.0</v>
      </c>
      <c r="AF26" s="36"/>
      <c r="AG26" s="36"/>
      <c r="AH26" s="36"/>
      <c r="AI26" s="36"/>
      <c r="AJ26" s="36"/>
    </row>
    <row r="27" ht="15.0" customHeight="1">
      <c r="A27" s="319" t="s">
        <v>1922</v>
      </c>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row>
    <row r="28" ht="15.7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row>
    <row r="29" ht="15.0" customHeight="1">
      <c r="A29" s="36" t="s">
        <v>215</v>
      </c>
      <c r="B29" s="36">
        <v>1.0</v>
      </c>
      <c r="C29" s="36">
        <v>2.0</v>
      </c>
      <c r="D29" s="36">
        <v>3.0</v>
      </c>
      <c r="E29" s="36">
        <v>4.0</v>
      </c>
      <c r="F29" s="36">
        <v>5.0</v>
      </c>
      <c r="G29" s="36">
        <v>6.0</v>
      </c>
      <c r="H29" s="36">
        <v>7.0</v>
      </c>
      <c r="I29" s="36">
        <v>8.0</v>
      </c>
      <c r="J29" s="36">
        <v>9.0</v>
      </c>
      <c r="K29" s="36">
        <v>10.0</v>
      </c>
      <c r="L29" s="36">
        <v>11.0</v>
      </c>
      <c r="M29" s="36">
        <v>12.0</v>
      </c>
      <c r="N29" s="36">
        <v>13.0</v>
      </c>
      <c r="O29" s="36">
        <v>14.0</v>
      </c>
      <c r="P29" s="36">
        <v>15.0</v>
      </c>
      <c r="Q29" s="36">
        <v>16.0</v>
      </c>
      <c r="R29" s="36">
        <v>17.0</v>
      </c>
      <c r="S29" s="36">
        <v>18.0</v>
      </c>
      <c r="T29" s="36">
        <v>19.0</v>
      </c>
      <c r="U29" s="36">
        <v>20.0</v>
      </c>
      <c r="V29" s="36">
        <v>21.0</v>
      </c>
      <c r="W29" s="36">
        <v>22.0</v>
      </c>
      <c r="X29" s="36">
        <v>23.0</v>
      </c>
      <c r="Y29" s="36">
        <v>24.0</v>
      </c>
      <c r="Z29" s="36">
        <v>25.0</v>
      </c>
      <c r="AA29" s="36">
        <v>26.0</v>
      </c>
      <c r="AB29" s="36">
        <v>27.0</v>
      </c>
      <c r="AC29" s="36">
        <v>28.0</v>
      </c>
      <c r="AD29" s="36">
        <v>29.0</v>
      </c>
      <c r="AE29" s="36">
        <v>30.0</v>
      </c>
      <c r="AF29" s="36"/>
      <c r="AG29" s="36"/>
      <c r="AH29" s="36"/>
      <c r="AI29" s="36"/>
      <c r="AJ29" s="36"/>
    </row>
    <row r="30" ht="15.0" customHeight="1">
      <c r="A30" s="370" t="s">
        <v>217</v>
      </c>
      <c r="B30" s="373">
        <v>60.0</v>
      </c>
      <c r="C30" s="373">
        <f t="shared" ref="C30:AE30" si="4">B30*1.05</f>
        <v>63</v>
      </c>
      <c r="D30" s="373">
        <f t="shared" si="4"/>
        <v>66.15</v>
      </c>
      <c r="E30" s="373">
        <f t="shared" si="4"/>
        <v>69.4575</v>
      </c>
      <c r="F30" s="373">
        <f t="shared" si="4"/>
        <v>72.930375</v>
      </c>
      <c r="G30" s="373">
        <f t="shared" si="4"/>
        <v>76.57689375</v>
      </c>
      <c r="H30" s="373">
        <f t="shared" si="4"/>
        <v>80.40573844</v>
      </c>
      <c r="I30" s="373">
        <f t="shared" si="4"/>
        <v>84.42602536</v>
      </c>
      <c r="J30" s="373">
        <f t="shared" si="4"/>
        <v>88.64732663</v>
      </c>
      <c r="K30" s="373">
        <f t="shared" si="4"/>
        <v>93.07969296</v>
      </c>
      <c r="L30" s="373">
        <f t="shared" si="4"/>
        <v>97.73367761</v>
      </c>
      <c r="M30" s="373">
        <f t="shared" si="4"/>
        <v>102.6203615</v>
      </c>
      <c r="N30" s="373">
        <f t="shared" si="4"/>
        <v>107.7513796</v>
      </c>
      <c r="O30" s="373">
        <f t="shared" si="4"/>
        <v>113.1389485</v>
      </c>
      <c r="P30" s="373">
        <f t="shared" si="4"/>
        <v>118.795896</v>
      </c>
      <c r="Q30" s="373">
        <f t="shared" si="4"/>
        <v>124.7356908</v>
      </c>
      <c r="R30" s="373">
        <f t="shared" si="4"/>
        <v>130.9724753</v>
      </c>
      <c r="S30" s="373">
        <f t="shared" si="4"/>
        <v>137.5210991</v>
      </c>
      <c r="T30" s="373">
        <f t="shared" si="4"/>
        <v>144.397154</v>
      </c>
      <c r="U30" s="373">
        <f t="shared" si="4"/>
        <v>151.6170117</v>
      </c>
      <c r="V30" s="373">
        <f t="shared" si="4"/>
        <v>159.1978623</v>
      </c>
      <c r="W30" s="373">
        <f t="shared" si="4"/>
        <v>167.1577554</v>
      </c>
      <c r="X30" s="373">
        <f t="shared" si="4"/>
        <v>175.5156432</v>
      </c>
      <c r="Y30" s="373">
        <f t="shared" si="4"/>
        <v>184.2914254</v>
      </c>
      <c r="Z30" s="373">
        <f t="shared" si="4"/>
        <v>193.5059966</v>
      </c>
      <c r="AA30" s="373">
        <f t="shared" si="4"/>
        <v>203.1812965</v>
      </c>
      <c r="AB30" s="373">
        <f t="shared" si="4"/>
        <v>213.3403613</v>
      </c>
      <c r="AC30" s="373">
        <f t="shared" si="4"/>
        <v>224.0073793</v>
      </c>
      <c r="AD30" s="373">
        <f t="shared" si="4"/>
        <v>235.2077483</v>
      </c>
      <c r="AE30" s="373">
        <f t="shared" si="4"/>
        <v>246.9681357</v>
      </c>
      <c r="AF30" s="373"/>
      <c r="AG30" s="373"/>
      <c r="AH30" s="373"/>
      <c r="AI30" s="373"/>
      <c r="AJ30" s="373"/>
    </row>
    <row r="31" ht="15.75" customHeight="1">
      <c r="A31" s="12" t="s">
        <v>218</v>
      </c>
      <c r="B31" s="12">
        <v>0.0</v>
      </c>
      <c r="C31" s="12">
        <v>0.0</v>
      </c>
      <c r="D31" s="12">
        <v>0.0</v>
      </c>
      <c r="E31" s="12">
        <v>0.0</v>
      </c>
      <c r="F31" s="12">
        <v>0.0</v>
      </c>
      <c r="G31" s="12">
        <v>0.0</v>
      </c>
      <c r="H31" s="12">
        <v>0.0</v>
      </c>
      <c r="I31" s="12">
        <v>0.0</v>
      </c>
      <c r="J31" s="12">
        <v>0.0</v>
      </c>
      <c r="K31" s="12">
        <v>0.0</v>
      </c>
      <c r="L31" s="12">
        <v>0.0</v>
      </c>
      <c r="M31" s="12">
        <v>0.0</v>
      </c>
      <c r="N31" s="12">
        <v>0.0</v>
      </c>
      <c r="O31" s="12">
        <v>0.0</v>
      </c>
      <c r="P31" s="12">
        <v>0.0</v>
      </c>
      <c r="Q31" s="12">
        <v>0.0</v>
      </c>
      <c r="R31" s="12">
        <v>0.0</v>
      </c>
      <c r="S31" s="12">
        <v>0.0</v>
      </c>
      <c r="T31" s="12">
        <v>0.0</v>
      </c>
      <c r="U31" s="12">
        <v>0.0</v>
      </c>
      <c r="V31" s="12">
        <v>0.0</v>
      </c>
      <c r="W31" s="12">
        <v>0.0</v>
      </c>
      <c r="X31" s="12">
        <v>0.0</v>
      </c>
      <c r="Y31" s="12">
        <v>0.0</v>
      </c>
      <c r="Z31" s="12">
        <v>0.0</v>
      </c>
      <c r="AA31" s="12">
        <v>0.0</v>
      </c>
      <c r="AB31" s="12">
        <v>0.0</v>
      </c>
      <c r="AC31" s="12">
        <v>0.0</v>
      </c>
      <c r="AD31" s="12">
        <v>0.0</v>
      </c>
      <c r="AE31" s="12">
        <v>0.0</v>
      </c>
      <c r="AF31" s="36"/>
      <c r="AG31" s="36"/>
      <c r="AH31" s="36"/>
      <c r="AI31" s="36"/>
      <c r="AJ31" s="36"/>
    </row>
    <row r="32" ht="15.0" customHeight="1">
      <c r="A32" s="319" t="s">
        <v>1950</v>
      </c>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row>
    <row r="33" ht="15.7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row>
    <row r="34" ht="15.0" customHeight="1">
      <c r="A34" s="36" t="s">
        <v>215</v>
      </c>
      <c r="B34" s="36">
        <v>1.0</v>
      </c>
      <c r="C34" s="36">
        <v>2.0</v>
      </c>
      <c r="D34" s="36">
        <v>3.0</v>
      </c>
      <c r="E34" s="36">
        <v>4.0</v>
      </c>
      <c r="F34" s="36">
        <v>5.0</v>
      </c>
      <c r="G34" s="36">
        <v>6.0</v>
      </c>
      <c r="H34" s="36">
        <v>7.0</v>
      </c>
      <c r="I34" s="36">
        <v>8.0</v>
      </c>
      <c r="J34" s="36">
        <v>9.0</v>
      </c>
      <c r="K34" s="36">
        <v>10.0</v>
      </c>
      <c r="L34" s="36">
        <v>11.0</v>
      </c>
      <c r="M34" s="36">
        <v>12.0</v>
      </c>
      <c r="N34" s="36">
        <v>13.0</v>
      </c>
      <c r="O34" s="36">
        <v>14.0</v>
      </c>
      <c r="P34" s="36">
        <v>15.0</v>
      </c>
      <c r="Q34" s="36">
        <v>16.0</v>
      </c>
      <c r="R34" s="36">
        <v>17.0</v>
      </c>
      <c r="S34" s="36">
        <v>18.0</v>
      </c>
      <c r="T34" s="36">
        <v>19.0</v>
      </c>
      <c r="U34" s="36">
        <v>20.0</v>
      </c>
      <c r="V34" s="36">
        <v>21.0</v>
      </c>
      <c r="W34" s="36">
        <v>22.0</v>
      </c>
      <c r="X34" s="36">
        <v>23.0</v>
      </c>
      <c r="Y34" s="36">
        <v>24.0</v>
      </c>
      <c r="Z34" s="36">
        <v>25.0</v>
      </c>
      <c r="AA34" s="36">
        <v>26.0</v>
      </c>
      <c r="AB34" s="36">
        <v>27.0</v>
      </c>
      <c r="AC34" s="36">
        <v>28.0</v>
      </c>
      <c r="AD34" s="36">
        <v>29.0</v>
      </c>
      <c r="AE34" s="36">
        <v>30.0</v>
      </c>
      <c r="AF34" s="36"/>
      <c r="AG34" s="36"/>
      <c r="AH34" s="36"/>
      <c r="AI34" s="36"/>
      <c r="AJ34" s="36"/>
    </row>
    <row r="35" ht="15.0" customHeight="1">
      <c r="A35" s="12" t="s">
        <v>217</v>
      </c>
      <c r="B35" s="12">
        <v>0.0</v>
      </c>
      <c r="C35" s="12">
        <v>0.0</v>
      </c>
      <c r="D35" s="12">
        <v>0.0</v>
      </c>
      <c r="E35" s="12">
        <v>0.0</v>
      </c>
      <c r="F35" s="12">
        <v>0.0</v>
      </c>
      <c r="G35" s="12">
        <v>0.0</v>
      </c>
      <c r="H35" s="12">
        <v>0.0</v>
      </c>
      <c r="I35" s="12">
        <v>0.0</v>
      </c>
      <c r="J35" s="12">
        <v>0.0</v>
      </c>
      <c r="K35" s="12">
        <v>0.0</v>
      </c>
      <c r="L35" s="12">
        <v>0.0</v>
      </c>
      <c r="M35" s="12">
        <v>0.0</v>
      </c>
      <c r="N35" s="12">
        <v>0.0</v>
      </c>
      <c r="O35" s="12">
        <v>0.0</v>
      </c>
      <c r="P35" s="12">
        <v>0.0</v>
      </c>
      <c r="Q35" s="12">
        <v>0.0</v>
      </c>
      <c r="R35" s="12">
        <v>0.0</v>
      </c>
      <c r="S35" s="12">
        <v>0.0</v>
      </c>
      <c r="T35" s="12">
        <v>0.0</v>
      </c>
      <c r="U35" s="12">
        <v>0.0</v>
      </c>
      <c r="V35" s="12">
        <v>0.0</v>
      </c>
      <c r="W35" s="12">
        <v>0.0</v>
      </c>
      <c r="X35" s="12">
        <v>0.0</v>
      </c>
      <c r="Y35" s="12">
        <v>0.0</v>
      </c>
      <c r="Z35" s="12">
        <v>0.0</v>
      </c>
      <c r="AA35" s="12">
        <v>0.0</v>
      </c>
      <c r="AB35" s="12">
        <v>0.0</v>
      </c>
      <c r="AC35" s="12">
        <v>0.0</v>
      </c>
      <c r="AD35" s="12">
        <v>0.0</v>
      </c>
      <c r="AE35" s="12">
        <v>0.0</v>
      </c>
      <c r="AF35" s="36"/>
      <c r="AG35" s="36"/>
      <c r="AH35" s="36"/>
      <c r="AI35" s="36"/>
      <c r="AJ35" s="36"/>
    </row>
    <row r="36" ht="15.75" customHeight="1">
      <c r="A36" s="12" t="s">
        <v>218</v>
      </c>
      <c r="B36" s="36">
        <f t="shared" ref="B36:AE36" si="5">0.3%</f>
        <v>0.003</v>
      </c>
      <c r="C36" s="36">
        <f t="shared" si="5"/>
        <v>0.003</v>
      </c>
      <c r="D36" s="36">
        <f t="shared" si="5"/>
        <v>0.003</v>
      </c>
      <c r="E36" s="36">
        <f t="shared" si="5"/>
        <v>0.003</v>
      </c>
      <c r="F36" s="36">
        <f t="shared" si="5"/>
        <v>0.003</v>
      </c>
      <c r="G36" s="36">
        <f t="shared" si="5"/>
        <v>0.003</v>
      </c>
      <c r="H36" s="36">
        <f t="shared" si="5"/>
        <v>0.003</v>
      </c>
      <c r="I36" s="36">
        <f t="shared" si="5"/>
        <v>0.003</v>
      </c>
      <c r="J36" s="36">
        <f t="shared" si="5"/>
        <v>0.003</v>
      </c>
      <c r="K36" s="36">
        <f t="shared" si="5"/>
        <v>0.003</v>
      </c>
      <c r="L36" s="36">
        <f t="shared" si="5"/>
        <v>0.003</v>
      </c>
      <c r="M36" s="36">
        <f t="shared" si="5"/>
        <v>0.003</v>
      </c>
      <c r="N36" s="36">
        <f t="shared" si="5"/>
        <v>0.003</v>
      </c>
      <c r="O36" s="36">
        <f t="shared" si="5"/>
        <v>0.003</v>
      </c>
      <c r="P36" s="36">
        <f t="shared" si="5"/>
        <v>0.003</v>
      </c>
      <c r="Q36" s="36">
        <f t="shared" si="5"/>
        <v>0.003</v>
      </c>
      <c r="R36" s="36">
        <f t="shared" si="5"/>
        <v>0.003</v>
      </c>
      <c r="S36" s="36">
        <f t="shared" si="5"/>
        <v>0.003</v>
      </c>
      <c r="T36" s="36">
        <f t="shared" si="5"/>
        <v>0.003</v>
      </c>
      <c r="U36" s="36">
        <f t="shared" si="5"/>
        <v>0.003</v>
      </c>
      <c r="V36" s="36">
        <f t="shared" si="5"/>
        <v>0.003</v>
      </c>
      <c r="W36" s="36">
        <f t="shared" si="5"/>
        <v>0.003</v>
      </c>
      <c r="X36" s="36">
        <f t="shared" si="5"/>
        <v>0.003</v>
      </c>
      <c r="Y36" s="36">
        <f t="shared" si="5"/>
        <v>0.003</v>
      </c>
      <c r="Z36" s="36">
        <f t="shared" si="5"/>
        <v>0.003</v>
      </c>
      <c r="AA36" s="36">
        <f t="shared" si="5"/>
        <v>0.003</v>
      </c>
      <c r="AB36" s="36">
        <f t="shared" si="5"/>
        <v>0.003</v>
      </c>
      <c r="AC36" s="36">
        <f t="shared" si="5"/>
        <v>0.003</v>
      </c>
      <c r="AD36" s="36">
        <f t="shared" si="5"/>
        <v>0.003</v>
      </c>
      <c r="AE36" s="36">
        <f t="shared" si="5"/>
        <v>0.003</v>
      </c>
      <c r="AF36" s="36"/>
      <c r="AG36" s="36"/>
      <c r="AH36" s="36"/>
      <c r="AI36" s="36"/>
      <c r="AJ36" s="36"/>
    </row>
    <row r="37" ht="15.0" customHeight="1">
      <c r="A37" s="319" t="s">
        <v>603</v>
      </c>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row>
    <row r="38" ht="15.0" customHeight="1">
      <c r="A38" s="319"/>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c r="AG38" s="36"/>
      <c r="AH38" s="36"/>
      <c r="AI38" s="36"/>
      <c r="AJ38" s="36"/>
    </row>
    <row r="39" ht="15.0" customHeight="1">
      <c r="A39" s="36" t="s">
        <v>215</v>
      </c>
      <c r="B39" s="36">
        <v>1.0</v>
      </c>
      <c r="C39" s="36">
        <v>2.0</v>
      </c>
      <c r="D39" s="36">
        <v>3.0</v>
      </c>
      <c r="E39" s="36">
        <v>4.0</v>
      </c>
      <c r="F39" s="36">
        <v>5.0</v>
      </c>
      <c r="G39" s="36">
        <v>6.0</v>
      </c>
      <c r="H39" s="36">
        <v>7.0</v>
      </c>
      <c r="I39" s="36">
        <v>8.0</v>
      </c>
      <c r="J39" s="36">
        <v>9.0</v>
      </c>
      <c r="K39" s="36">
        <v>10.0</v>
      </c>
      <c r="L39" s="36">
        <v>11.0</v>
      </c>
      <c r="M39" s="36">
        <v>12.0</v>
      </c>
      <c r="N39" s="36">
        <v>13.0</v>
      </c>
      <c r="O39" s="36">
        <v>14.0</v>
      </c>
      <c r="P39" s="36">
        <v>15.0</v>
      </c>
      <c r="Q39" s="36">
        <v>16.0</v>
      </c>
      <c r="R39" s="36">
        <v>17.0</v>
      </c>
      <c r="S39" s="36">
        <v>18.0</v>
      </c>
      <c r="T39" s="36">
        <v>19.0</v>
      </c>
      <c r="U39" s="36">
        <v>20.0</v>
      </c>
      <c r="V39" s="36">
        <v>21.0</v>
      </c>
      <c r="W39" s="36">
        <v>22.0</v>
      </c>
      <c r="X39" s="36">
        <v>23.0</v>
      </c>
      <c r="Y39" s="36">
        <v>24.0</v>
      </c>
      <c r="Z39" s="36">
        <v>25.0</v>
      </c>
      <c r="AA39" s="36">
        <v>26.0</v>
      </c>
      <c r="AB39" s="36">
        <v>27.0</v>
      </c>
      <c r="AC39" s="36">
        <v>28.0</v>
      </c>
      <c r="AD39" s="36">
        <v>29.0</v>
      </c>
      <c r="AE39" s="36">
        <v>30.0</v>
      </c>
      <c r="AF39" s="36"/>
      <c r="AG39" s="36"/>
      <c r="AH39" s="36"/>
      <c r="AI39" s="36"/>
      <c r="AJ39" s="36"/>
    </row>
    <row r="40" ht="15.0" customHeight="1">
      <c r="A40" s="370" t="s">
        <v>217</v>
      </c>
      <c r="B40" s="373">
        <v>60.0</v>
      </c>
      <c r="C40" s="373">
        <f t="shared" ref="C40:AE40" si="6">B40*1.05</f>
        <v>63</v>
      </c>
      <c r="D40" s="373">
        <f t="shared" si="6"/>
        <v>66.15</v>
      </c>
      <c r="E40" s="373">
        <f t="shared" si="6"/>
        <v>69.4575</v>
      </c>
      <c r="F40" s="373">
        <f t="shared" si="6"/>
        <v>72.930375</v>
      </c>
      <c r="G40" s="373">
        <f t="shared" si="6"/>
        <v>76.57689375</v>
      </c>
      <c r="H40" s="373">
        <f t="shared" si="6"/>
        <v>80.40573844</v>
      </c>
      <c r="I40" s="373">
        <f t="shared" si="6"/>
        <v>84.42602536</v>
      </c>
      <c r="J40" s="373">
        <f t="shared" si="6"/>
        <v>88.64732663</v>
      </c>
      <c r="K40" s="373">
        <f t="shared" si="6"/>
        <v>93.07969296</v>
      </c>
      <c r="L40" s="373">
        <f t="shared" si="6"/>
        <v>97.73367761</v>
      </c>
      <c r="M40" s="373">
        <f t="shared" si="6"/>
        <v>102.6203615</v>
      </c>
      <c r="N40" s="373">
        <f t="shared" si="6"/>
        <v>107.7513796</v>
      </c>
      <c r="O40" s="373">
        <f t="shared" si="6"/>
        <v>113.1389485</v>
      </c>
      <c r="P40" s="373">
        <f t="shared" si="6"/>
        <v>118.795896</v>
      </c>
      <c r="Q40" s="373">
        <f t="shared" si="6"/>
        <v>124.7356908</v>
      </c>
      <c r="R40" s="373">
        <f t="shared" si="6"/>
        <v>130.9724753</v>
      </c>
      <c r="S40" s="373">
        <f t="shared" si="6"/>
        <v>137.5210991</v>
      </c>
      <c r="T40" s="373">
        <f t="shared" si="6"/>
        <v>144.397154</v>
      </c>
      <c r="U40" s="373">
        <f t="shared" si="6"/>
        <v>151.6170117</v>
      </c>
      <c r="V40" s="373">
        <f t="shared" si="6"/>
        <v>159.1978623</v>
      </c>
      <c r="W40" s="373">
        <f t="shared" si="6"/>
        <v>167.1577554</v>
      </c>
      <c r="X40" s="373">
        <f t="shared" si="6"/>
        <v>175.5156432</v>
      </c>
      <c r="Y40" s="373">
        <f t="shared" si="6"/>
        <v>184.2914254</v>
      </c>
      <c r="Z40" s="373">
        <f t="shared" si="6"/>
        <v>193.5059966</v>
      </c>
      <c r="AA40" s="373">
        <f t="shared" si="6"/>
        <v>203.1812965</v>
      </c>
      <c r="AB40" s="373">
        <f t="shared" si="6"/>
        <v>213.3403613</v>
      </c>
      <c r="AC40" s="373">
        <f t="shared" si="6"/>
        <v>224.0073793</v>
      </c>
      <c r="AD40" s="373">
        <f t="shared" si="6"/>
        <v>235.2077483</v>
      </c>
      <c r="AE40" s="373">
        <f t="shared" si="6"/>
        <v>246.9681357</v>
      </c>
      <c r="AF40" s="373"/>
      <c r="AG40" s="373"/>
      <c r="AH40" s="373"/>
      <c r="AI40" s="373"/>
      <c r="AJ40" s="373"/>
    </row>
    <row r="41" ht="15.75" customHeight="1">
      <c r="A41" s="12" t="s">
        <v>218</v>
      </c>
      <c r="B41" s="12">
        <v>0.0</v>
      </c>
      <c r="C41" s="12">
        <v>0.0</v>
      </c>
      <c r="D41" s="12">
        <v>0.0</v>
      </c>
      <c r="E41" s="12">
        <v>0.0</v>
      </c>
      <c r="F41" s="12">
        <v>0.0</v>
      </c>
      <c r="G41" s="12">
        <v>0.0</v>
      </c>
      <c r="H41" s="12">
        <v>0.0</v>
      </c>
      <c r="I41" s="12">
        <v>0.0</v>
      </c>
      <c r="J41" s="12">
        <v>0.0</v>
      </c>
      <c r="K41" s="12">
        <v>0.0</v>
      </c>
      <c r="L41" s="12">
        <v>0.0</v>
      </c>
      <c r="M41" s="12">
        <v>0.0</v>
      </c>
      <c r="N41" s="12">
        <v>0.0</v>
      </c>
      <c r="O41" s="12">
        <v>0.0</v>
      </c>
      <c r="P41" s="12">
        <v>0.0</v>
      </c>
      <c r="Q41" s="12">
        <v>0.0</v>
      </c>
      <c r="R41" s="12">
        <v>0.0</v>
      </c>
      <c r="S41" s="12">
        <v>0.0</v>
      </c>
      <c r="T41" s="12">
        <v>0.0</v>
      </c>
      <c r="U41" s="12">
        <v>0.0</v>
      </c>
      <c r="V41" s="12">
        <v>0.0</v>
      </c>
      <c r="W41" s="12">
        <v>0.0</v>
      </c>
      <c r="X41" s="12">
        <v>0.0</v>
      </c>
      <c r="Y41" s="12">
        <v>0.0</v>
      </c>
      <c r="Z41" s="12">
        <v>0.0</v>
      </c>
      <c r="AA41" s="12">
        <v>0.0</v>
      </c>
      <c r="AB41" s="12">
        <v>0.0</v>
      </c>
      <c r="AC41" s="12">
        <v>0.0</v>
      </c>
      <c r="AD41" s="12">
        <v>0.0</v>
      </c>
      <c r="AE41" s="12">
        <v>0.0</v>
      </c>
      <c r="AF41" s="36"/>
      <c r="AG41" s="36"/>
      <c r="AH41" s="36"/>
      <c r="AI41" s="36"/>
      <c r="AJ41" s="36"/>
    </row>
    <row r="42" ht="15.0" customHeight="1">
      <c r="A42" s="319" t="s">
        <v>607</v>
      </c>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row>
    <row r="43" ht="15.7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row>
    <row r="44" ht="15.0" customHeight="1">
      <c r="A44" s="36" t="s">
        <v>215</v>
      </c>
      <c r="B44" s="36">
        <v>1.0</v>
      </c>
      <c r="C44" s="36">
        <v>2.0</v>
      </c>
      <c r="D44" s="36">
        <v>3.0</v>
      </c>
      <c r="E44" s="36">
        <v>4.0</v>
      </c>
      <c r="F44" s="36">
        <v>5.0</v>
      </c>
      <c r="G44" s="36">
        <v>6.0</v>
      </c>
      <c r="H44" s="36">
        <v>7.0</v>
      </c>
      <c r="I44" s="36">
        <v>8.0</v>
      </c>
      <c r="J44" s="36">
        <v>9.0</v>
      </c>
      <c r="K44" s="36">
        <v>10.0</v>
      </c>
      <c r="L44" s="36">
        <v>11.0</v>
      </c>
      <c r="M44" s="36">
        <v>12.0</v>
      </c>
      <c r="N44" s="36">
        <v>13.0</v>
      </c>
      <c r="O44" s="36">
        <v>14.0</v>
      </c>
      <c r="P44" s="36">
        <v>15.0</v>
      </c>
      <c r="Q44" s="36">
        <v>16.0</v>
      </c>
      <c r="R44" s="36">
        <v>17.0</v>
      </c>
      <c r="S44" s="36">
        <v>18.0</v>
      </c>
      <c r="T44" s="36">
        <v>19.0</v>
      </c>
      <c r="U44" s="36">
        <v>20.0</v>
      </c>
      <c r="V44" s="36">
        <v>21.0</v>
      </c>
      <c r="W44" s="36">
        <v>22.0</v>
      </c>
      <c r="X44" s="36">
        <v>23.0</v>
      </c>
      <c r="Y44" s="36">
        <v>24.0</v>
      </c>
      <c r="Z44" s="36">
        <v>25.0</v>
      </c>
      <c r="AA44" s="36">
        <v>26.0</v>
      </c>
      <c r="AB44" s="36">
        <v>27.0</v>
      </c>
      <c r="AC44" s="36">
        <v>28.0</v>
      </c>
      <c r="AD44" s="36">
        <v>29.0</v>
      </c>
      <c r="AE44" s="36">
        <v>30.0</v>
      </c>
      <c r="AF44" s="36"/>
      <c r="AG44" s="36"/>
      <c r="AH44" s="36"/>
      <c r="AI44" s="36"/>
      <c r="AJ44" s="36"/>
    </row>
    <row r="45" ht="15.0" customHeight="1">
      <c r="A45" s="370" t="s">
        <v>217</v>
      </c>
      <c r="B45" s="373">
        <v>60.0</v>
      </c>
      <c r="C45" s="373">
        <f t="shared" ref="C45:AE45" si="7">B45*1.05</f>
        <v>63</v>
      </c>
      <c r="D45" s="373">
        <f t="shared" si="7"/>
        <v>66.15</v>
      </c>
      <c r="E45" s="373">
        <f t="shared" si="7"/>
        <v>69.4575</v>
      </c>
      <c r="F45" s="373">
        <f t="shared" si="7"/>
        <v>72.930375</v>
      </c>
      <c r="G45" s="373">
        <f t="shared" si="7"/>
        <v>76.57689375</v>
      </c>
      <c r="H45" s="373">
        <f t="shared" si="7"/>
        <v>80.40573844</v>
      </c>
      <c r="I45" s="373">
        <f t="shared" si="7"/>
        <v>84.42602536</v>
      </c>
      <c r="J45" s="373">
        <f t="shared" si="7"/>
        <v>88.64732663</v>
      </c>
      <c r="K45" s="373">
        <f t="shared" si="7"/>
        <v>93.07969296</v>
      </c>
      <c r="L45" s="373">
        <f t="shared" si="7"/>
        <v>97.73367761</v>
      </c>
      <c r="M45" s="373">
        <f t="shared" si="7"/>
        <v>102.6203615</v>
      </c>
      <c r="N45" s="373">
        <f t="shared" si="7"/>
        <v>107.7513796</v>
      </c>
      <c r="O45" s="373">
        <f t="shared" si="7"/>
        <v>113.1389485</v>
      </c>
      <c r="P45" s="373">
        <f t="shared" si="7"/>
        <v>118.795896</v>
      </c>
      <c r="Q45" s="373">
        <f t="shared" si="7"/>
        <v>124.7356908</v>
      </c>
      <c r="R45" s="373">
        <f t="shared" si="7"/>
        <v>130.9724753</v>
      </c>
      <c r="S45" s="373">
        <f t="shared" si="7"/>
        <v>137.5210991</v>
      </c>
      <c r="T45" s="373">
        <f t="shared" si="7"/>
        <v>144.397154</v>
      </c>
      <c r="U45" s="373">
        <f t="shared" si="7"/>
        <v>151.6170117</v>
      </c>
      <c r="V45" s="373">
        <f t="shared" si="7"/>
        <v>159.1978623</v>
      </c>
      <c r="W45" s="373">
        <f t="shared" si="7"/>
        <v>167.1577554</v>
      </c>
      <c r="X45" s="373">
        <f t="shared" si="7"/>
        <v>175.5156432</v>
      </c>
      <c r="Y45" s="373">
        <f t="shared" si="7"/>
        <v>184.2914254</v>
      </c>
      <c r="Z45" s="373">
        <f t="shared" si="7"/>
        <v>193.5059966</v>
      </c>
      <c r="AA45" s="373">
        <f t="shared" si="7"/>
        <v>203.1812965</v>
      </c>
      <c r="AB45" s="373">
        <f t="shared" si="7"/>
        <v>213.3403613</v>
      </c>
      <c r="AC45" s="373">
        <f t="shared" si="7"/>
        <v>224.0073793</v>
      </c>
      <c r="AD45" s="373">
        <f t="shared" si="7"/>
        <v>235.2077483</v>
      </c>
      <c r="AE45" s="373">
        <f t="shared" si="7"/>
        <v>246.9681357</v>
      </c>
      <c r="AF45" s="373"/>
      <c r="AG45" s="373"/>
      <c r="AH45" s="373"/>
      <c r="AI45" s="373"/>
      <c r="AJ45" s="373"/>
    </row>
    <row r="46" ht="15.75" customHeight="1">
      <c r="A46" s="12" t="s">
        <v>218</v>
      </c>
      <c r="B46" s="12">
        <v>0.0</v>
      </c>
      <c r="C46" s="12">
        <v>0.0</v>
      </c>
      <c r="D46" s="12">
        <v>0.0</v>
      </c>
      <c r="E46" s="12">
        <v>0.0</v>
      </c>
      <c r="F46" s="12">
        <v>0.0</v>
      </c>
      <c r="G46" s="12">
        <v>0.0</v>
      </c>
      <c r="H46" s="12">
        <v>0.0</v>
      </c>
      <c r="I46" s="12">
        <v>0.0</v>
      </c>
      <c r="J46" s="12">
        <v>0.0</v>
      </c>
      <c r="K46" s="12">
        <v>0.0</v>
      </c>
      <c r="L46" s="12">
        <v>0.0</v>
      </c>
      <c r="M46" s="12">
        <v>0.0</v>
      </c>
      <c r="N46" s="12">
        <v>0.0</v>
      </c>
      <c r="O46" s="12">
        <v>0.0</v>
      </c>
      <c r="P46" s="12">
        <v>0.0</v>
      </c>
      <c r="Q46" s="12">
        <v>0.0</v>
      </c>
      <c r="R46" s="12">
        <v>0.0</v>
      </c>
      <c r="S46" s="12">
        <v>0.0</v>
      </c>
      <c r="T46" s="12">
        <v>0.0</v>
      </c>
      <c r="U46" s="12">
        <v>0.0</v>
      </c>
      <c r="V46" s="12">
        <v>0.0</v>
      </c>
      <c r="W46" s="12">
        <v>0.0</v>
      </c>
      <c r="X46" s="12">
        <v>0.0</v>
      </c>
      <c r="Y46" s="12">
        <v>0.0</v>
      </c>
      <c r="Z46" s="12">
        <v>0.0</v>
      </c>
      <c r="AA46" s="12">
        <v>0.0</v>
      </c>
      <c r="AB46" s="12">
        <v>0.0</v>
      </c>
      <c r="AC46" s="12">
        <v>0.0</v>
      </c>
      <c r="AD46" s="12">
        <v>0.0</v>
      </c>
      <c r="AE46" s="12">
        <v>0.0</v>
      </c>
      <c r="AF46" s="36"/>
      <c r="AG46" s="36"/>
      <c r="AH46" s="36"/>
      <c r="AI46" s="36"/>
      <c r="AJ46" s="36"/>
    </row>
    <row r="47" ht="15.0" customHeight="1">
      <c r="A47" s="319" t="s">
        <v>630</v>
      </c>
      <c r="B47" s="36"/>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row>
    <row r="48" ht="15.7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row>
    <row r="49" ht="15.0" customHeight="1">
      <c r="A49" s="36" t="s">
        <v>215</v>
      </c>
      <c r="B49" s="36">
        <v>1.0</v>
      </c>
      <c r="C49" s="36">
        <v>2.0</v>
      </c>
      <c r="D49" s="36">
        <v>3.0</v>
      </c>
      <c r="E49" s="36">
        <v>4.0</v>
      </c>
      <c r="F49" s="36">
        <v>5.0</v>
      </c>
      <c r="G49" s="36">
        <v>6.0</v>
      </c>
      <c r="H49" s="36">
        <v>7.0</v>
      </c>
      <c r="I49" s="36">
        <v>8.0</v>
      </c>
      <c r="J49" s="36">
        <v>9.0</v>
      </c>
      <c r="K49" s="36">
        <v>10.0</v>
      </c>
      <c r="L49" s="36">
        <v>11.0</v>
      </c>
      <c r="M49" s="36">
        <v>12.0</v>
      </c>
      <c r="N49" s="36">
        <v>13.0</v>
      </c>
      <c r="O49" s="36">
        <v>14.0</v>
      </c>
      <c r="P49" s="36">
        <v>15.0</v>
      </c>
      <c r="Q49" s="36">
        <v>16.0</v>
      </c>
      <c r="R49" s="36">
        <v>17.0</v>
      </c>
      <c r="S49" s="36">
        <v>18.0</v>
      </c>
      <c r="T49" s="36">
        <v>19.0</v>
      </c>
      <c r="U49" s="36">
        <v>20.0</v>
      </c>
      <c r="V49" s="36">
        <v>21.0</v>
      </c>
      <c r="W49" s="36">
        <v>22.0</v>
      </c>
      <c r="X49" s="36">
        <v>23.0</v>
      </c>
      <c r="Y49" s="36">
        <v>24.0</v>
      </c>
      <c r="Z49" s="36">
        <v>25.0</v>
      </c>
      <c r="AA49" s="36">
        <v>26.0</v>
      </c>
      <c r="AB49" s="36">
        <v>27.0</v>
      </c>
      <c r="AC49" s="36">
        <v>28.0</v>
      </c>
      <c r="AD49" s="36">
        <v>29.0</v>
      </c>
      <c r="AE49" s="36">
        <v>30.0</v>
      </c>
      <c r="AF49" s="36"/>
      <c r="AG49" s="36"/>
      <c r="AH49" s="36"/>
      <c r="AI49" s="36"/>
      <c r="AJ49" s="36"/>
    </row>
    <row r="50" ht="15.0" customHeight="1">
      <c r="A50" s="370" t="s">
        <v>217</v>
      </c>
      <c r="B50" s="373">
        <v>50.0</v>
      </c>
      <c r="C50" s="373">
        <f t="shared" ref="C50:AE50" si="8">B50*1.05</f>
        <v>52.5</v>
      </c>
      <c r="D50" s="373">
        <f t="shared" si="8"/>
        <v>55.125</v>
      </c>
      <c r="E50" s="373">
        <f t="shared" si="8"/>
        <v>57.88125</v>
      </c>
      <c r="F50" s="373">
        <f t="shared" si="8"/>
        <v>60.7753125</v>
      </c>
      <c r="G50" s="373">
        <f t="shared" si="8"/>
        <v>63.81407813</v>
      </c>
      <c r="H50" s="373">
        <f t="shared" si="8"/>
        <v>67.00478203</v>
      </c>
      <c r="I50" s="373">
        <f t="shared" si="8"/>
        <v>70.35502113</v>
      </c>
      <c r="J50" s="373">
        <f t="shared" si="8"/>
        <v>73.87277219</v>
      </c>
      <c r="K50" s="373">
        <f t="shared" si="8"/>
        <v>77.5664108</v>
      </c>
      <c r="L50" s="373">
        <f t="shared" si="8"/>
        <v>81.44473134</v>
      </c>
      <c r="M50" s="373">
        <f t="shared" si="8"/>
        <v>85.51696791</v>
      </c>
      <c r="N50" s="373">
        <f t="shared" si="8"/>
        <v>89.7928163</v>
      </c>
      <c r="O50" s="373">
        <f t="shared" si="8"/>
        <v>94.28245712</v>
      </c>
      <c r="P50" s="373">
        <f t="shared" si="8"/>
        <v>98.99657997</v>
      </c>
      <c r="Q50" s="373">
        <f t="shared" si="8"/>
        <v>103.946409</v>
      </c>
      <c r="R50" s="373">
        <f t="shared" si="8"/>
        <v>109.1437294</v>
      </c>
      <c r="S50" s="373">
        <f t="shared" si="8"/>
        <v>114.6009159</v>
      </c>
      <c r="T50" s="373">
        <f t="shared" si="8"/>
        <v>120.3309617</v>
      </c>
      <c r="U50" s="373">
        <f t="shared" si="8"/>
        <v>126.3475098</v>
      </c>
      <c r="V50" s="373">
        <f t="shared" si="8"/>
        <v>132.6648853</v>
      </c>
      <c r="W50" s="373">
        <f t="shared" si="8"/>
        <v>139.2981295</v>
      </c>
      <c r="X50" s="373">
        <f t="shared" si="8"/>
        <v>146.263036</v>
      </c>
      <c r="Y50" s="373">
        <f t="shared" si="8"/>
        <v>153.5761878</v>
      </c>
      <c r="Z50" s="373">
        <f t="shared" si="8"/>
        <v>161.2549972</v>
      </c>
      <c r="AA50" s="373">
        <f t="shared" si="8"/>
        <v>169.317747</v>
      </c>
      <c r="AB50" s="373">
        <f t="shared" si="8"/>
        <v>177.7836344</v>
      </c>
      <c r="AC50" s="373">
        <f t="shared" si="8"/>
        <v>186.6728161</v>
      </c>
      <c r="AD50" s="373">
        <f t="shared" si="8"/>
        <v>196.0064569</v>
      </c>
      <c r="AE50" s="373">
        <f t="shared" si="8"/>
        <v>205.8067798</v>
      </c>
      <c r="AF50" s="373"/>
      <c r="AG50" s="373"/>
      <c r="AH50" s="373"/>
      <c r="AI50" s="373"/>
      <c r="AJ50" s="373"/>
    </row>
    <row r="51" ht="15.75" customHeight="1">
      <c r="A51" s="12" t="s">
        <v>218</v>
      </c>
      <c r="B51" s="12">
        <v>0.0</v>
      </c>
      <c r="C51" s="12">
        <v>0.0</v>
      </c>
      <c r="D51" s="12">
        <v>0.0</v>
      </c>
      <c r="E51" s="12">
        <v>0.0</v>
      </c>
      <c r="F51" s="12">
        <v>0.0</v>
      </c>
      <c r="G51" s="12">
        <v>0.0</v>
      </c>
      <c r="H51" s="12">
        <v>0.0</v>
      </c>
      <c r="I51" s="12">
        <v>0.0</v>
      </c>
      <c r="J51" s="12">
        <v>0.0</v>
      </c>
      <c r="K51" s="12">
        <v>0.0</v>
      </c>
      <c r="L51" s="12">
        <v>0.0</v>
      </c>
      <c r="M51" s="12">
        <v>0.0</v>
      </c>
      <c r="N51" s="12">
        <v>0.0</v>
      </c>
      <c r="O51" s="12">
        <v>0.0</v>
      </c>
      <c r="P51" s="12">
        <v>0.0</v>
      </c>
      <c r="Q51" s="12">
        <v>0.0</v>
      </c>
      <c r="R51" s="12">
        <v>0.0</v>
      </c>
      <c r="S51" s="12">
        <v>0.0</v>
      </c>
      <c r="T51" s="12">
        <v>0.0</v>
      </c>
      <c r="U51" s="12">
        <v>0.0</v>
      </c>
      <c r="V51" s="12">
        <v>0.0</v>
      </c>
      <c r="W51" s="12">
        <v>0.0</v>
      </c>
      <c r="X51" s="12">
        <v>0.0</v>
      </c>
      <c r="Y51" s="12">
        <v>0.0</v>
      </c>
      <c r="Z51" s="12">
        <v>0.0</v>
      </c>
      <c r="AA51" s="12">
        <v>0.0</v>
      </c>
      <c r="AB51" s="12">
        <v>0.0</v>
      </c>
      <c r="AC51" s="12">
        <v>0.0</v>
      </c>
      <c r="AD51" s="12">
        <v>0.0</v>
      </c>
      <c r="AE51" s="12">
        <v>0.0</v>
      </c>
      <c r="AF51" s="36"/>
      <c r="AG51" s="36"/>
      <c r="AH51" s="36"/>
      <c r="AI51" s="36"/>
      <c r="AJ51" s="36"/>
    </row>
    <row r="52" ht="15.0" customHeight="1">
      <c r="A52" s="319" t="s">
        <v>635</v>
      </c>
      <c r="B52" s="36"/>
      <c r="C52" s="36"/>
      <c r="D52" s="36"/>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row>
    <row r="53" ht="15.7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row>
    <row r="54" ht="15.0" customHeight="1">
      <c r="A54" s="36" t="s">
        <v>215</v>
      </c>
      <c r="B54" s="36">
        <v>1.0</v>
      </c>
      <c r="C54" s="36">
        <v>2.0</v>
      </c>
      <c r="D54" s="36">
        <v>3.0</v>
      </c>
      <c r="E54" s="36">
        <v>4.0</v>
      </c>
      <c r="F54" s="36">
        <v>5.0</v>
      </c>
      <c r="G54" s="36">
        <v>6.0</v>
      </c>
      <c r="H54" s="36">
        <v>7.0</v>
      </c>
      <c r="I54" s="36">
        <v>8.0</v>
      </c>
      <c r="J54" s="36">
        <v>9.0</v>
      </c>
      <c r="K54" s="36">
        <v>10.0</v>
      </c>
      <c r="L54" s="36">
        <v>11.0</v>
      </c>
      <c r="M54" s="36">
        <v>12.0</v>
      </c>
      <c r="N54" s="36">
        <v>13.0</v>
      </c>
      <c r="O54" s="36">
        <v>14.0</v>
      </c>
      <c r="P54" s="36">
        <v>15.0</v>
      </c>
      <c r="Q54" s="36">
        <v>16.0</v>
      </c>
      <c r="R54" s="36">
        <v>17.0</v>
      </c>
      <c r="S54" s="36">
        <v>18.0</v>
      </c>
      <c r="T54" s="36">
        <v>19.0</v>
      </c>
      <c r="U54" s="36">
        <v>20.0</v>
      </c>
      <c r="V54" s="36">
        <v>21.0</v>
      </c>
      <c r="W54" s="36">
        <v>22.0</v>
      </c>
      <c r="X54" s="36">
        <v>23.0</v>
      </c>
      <c r="Y54" s="36">
        <v>24.0</v>
      </c>
      <c r="Z54" s="36">
        <v>25.0</v>
      </c>
      <c r="AA54" s="36">
        <v>26.0</v>
      </c>
      <c r="AB54" s="36">
        <v>27.0</v>
      </c>
      <c r="AC54" s="36">
        <v>28.0</v>
      </c>
      <c r="AD54" s="36">
        <v>29.0</v>
      </c>
      <c r="AE54" s="36">
        <v>30.0</v>
      </c>
      <c r="AF54" s="36"/>
      <c r="AG54" s="36"/>
      <c r="AH54" s="36"/>
      <c r="AI54" s="36"/>
      <c r="AJ54" s="36"/>
    </row>
    <row r="55" ht="15.0" customHeight="1">
      <c r="A55" s="370" t="s">
        <v>217</v>
      </c>
      <c r="B55" s="373">
        <v>50.0</v>
      </c>
      <c r="C55" s="373">
        <f t="shared" ref="C55:AE55" si="9">B55*1.05</f>
        <v>52.5</v>
      </c>
      <c r="D55" s="373">
        <f t="shared" si="9"/>
        <v>55.125</v>
      </c>
      <c r="E55" s="373">
        <f t="shared" si="9"/>
        <v>57.88125</v>
      </c>
      <c r="F55" s="373">
        <f t="shared" si="9"/>
        <v>60.7753125</v>
      </c>
      <c r="G55" s="373">
        <f t="shared" si="9"/>
        <v>63.81407813</v>
      </c>
      <c r="H55" s="373">
        <f t="shared" si="9"/>
        <v>67.00478203</v>
      </c>
      <c r="I55" s="373">
        <f t="shared" si="9"/>
        <v>70.35502113</v>
      </c>
      <c r="J55" s="373">
        <f t="shared" si="9"/>
        <v>73.87277219</v>
      </c>
      <c r="K55" s="373">
        <f t="shared" si="9"/>
        <v>77.5664108</v>
      </c>
      <c r="L55" s="373">
        <f t="shared" si="9"/>
        <v>81.44473134</v>
      </c>
      <c r="M55" s="373">
        <f t="shared" si="9"/>
        <v>85.51696791</v>
      </c>
      <c r="N55" s="373">
        <f t="shared" si="9"/>
        <v>89.7928163</v>
      </c>
      <c r="O55" s="373">
        <f t="shared" si="9"/>
        <v>94.28245712</v>
      </c>
      <c r="P55" s="373">
        <f t="shared" si="9"/>
        <v>98.99657997</v>
      </c>
      <c r="Q55" s="373">
        <f t="shared" si="9"/>
        <v>103.946409</v>
      </c>
      <c r="R55" s="373">
        <f t="shared" si="9"/>
        <v>109.1437294</v>
      </c>
      <c r="S55" s="373">
        <f t="shared" si="9"/>
        <v>114.6009159</v>
      </c>
      <c r="T55" s="373">
        <f t="shared" si="9"/>
        <v>120.3309617</v>
      </c>
      <c r="U55" s="373">
        <f t="shared" si="9"/>
        <v>126.3475098</v>
      </c>
      <c r="V55" s="373">
        <f t="shared" si="9"/>
        <v>132.6648853</v>
      </c>
      <c r="W55" s="373">
        <f t="shared" si="9"/>
        <v>139.2981295</v>
      </c>
      <c r="X55" s="373">
        <f t="shared" si="9"/>
        <v>146.263036</v>
      </c>
      <c r="Y55" s="373">
        <f t="shared" si="9"/>
        <v>153.5761878</v>
      </c>
      <c r="Z55" s="373">
        <f t="shared" si="9"/>
        <v>161.2549972</v>
      </c>
      <c r="AA55" s="373">
        <f t="shared" si="9"/>
        <v>169.317747</v>
      </c>
      <c r="AB55" s="373">
        <f t="shared" si="9"/>
        <v>177.7836344</v>
      </c>
      <c r="AC55" s="373">
        <f t="shared" si="9"/>
        <v>186.6728161</v>
      </c>
      <c r="AD55" s="373">
        <f t="shared" si="9"/>
        <v>196.0064569</v>
      </c>
      <c r="AE55" s="373">
        <f t="shared" si="9"/>
        <v>205.8067798</v>
      </c>
      <c r="AF55" s="373"/>
      <c r="AG55" s="373"/>
      <c r="AH55" s="373"/>
      <c r="AI55" s="373"/>
      <c r="AJ55" s="373"/>
    </row>
    <row r="56" ht="15.75" customHeight="1">
      <c r="A56" s="12" t="s">
        <v>218</v>
      </c>
      <c r="B56" s="12">
        <v>0.0</v>
      </c>
      <c r="C56" s="12">
        <v>0.0</v>
      </c>
      <c r="D56" s="12">
        <v>0.0</v>
      </c>
      <c r="E56" s="12">
        <v>0.0</v>
      </c>
      <c r="F56" s="12">
        <v>0.0</v>
      </c>
      <c r="G56" s="12">
        <v>0.0</v>
      </c>
      <c r="H56" s="12">
        <v>0.0</v>
      </c>
      <c r="I56" s="12">
        <v>0.0</v>
      </c>
      <c r="J56" s="12">
        <v>0.0</v>
      </c>
      <c r="K56" s="12">
        <v>0.0</v>
      </c>
      <c r="L56" s="12">
        <v>0.0</v>
      </c>
      <c r="M56" s="12">
        <v>0.0</v>
      </c>
      <c r="N56" s="12">
        <v>0.0</v>
      </c>
      <c r="O56" s="12">
        <v>0.0</v>
      </c>
      <c r="P56" s="12">
        <v>0.0</v>
      </c>
      <c r="Q56" s="12">
        <v>0.0</v>
      </c>
      <c r="R56" s="12">
        <v>0.0</v>
      </c>
      <c r="S56" s="12">
        <v>0.0</v>
      </c>
      <c r="T56" s="12">
        <v>0.0</v>
      </c>
      <c r="U56" s="12">
        <v>0.0</v>
      </c>
      <c r="V56" s="12">
        <v>0.0</v>
      </c>
      <c r="W56" s="12">
        <v>0.0</v>
      </c>
      <c r="X56" s="12">
        <v>0.0</v>
      </c>
      <c r="Y56" s="12">
        <v>0.0</v>
      </c>
      <c r="Z56" s="12">
        <v>0.0</v>
      </c>
      <c r="AA56" s="12">
        <v>0.0</v>
      </c>
      <c r="AB56" s="12">
        <v>0.0</v>
      </c>
      <c r="AC56" s="12">
        <v>0.0</v>
      </c>
      <c r="AD56" s="12">
        <v>0.0</v>
      </c>
      <c r="AE56" s="12">
        <v>0.0</v>
      </c>
      <c r="AF56" s="36"/>
      <c r="AG56" s="36"/>
      <c r="AH56" s="36"/>
      <c r="AI56" s="36"/>
      <c r="AJ56" s="36"/>
    </row>
    <row r="57" ht="15.0" customHeight="1">
      <c r="A57" s="319" t="s">
        <v>639</v>
      </c>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row>
    <row r="58" ht="15.7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row>
    <row r="59" ht="15.0" customHeight="1">
      <c r="A59" s="36" t="s">
        <v>215</v>
      </c>
      <c r="B59" s="36">
        <v>1.0</v>
      </c>
      <c r="C59" s="36">
        <v>2.0</v>
      </c>
      <c r="D59" s="36">
        <v>3.0</v>
      </c>
      <c r="E59" s="36">
        <v>4.0</v>
      </c>
      <c r="F59" s="36">
        <v>5.0</v>
      </c>
      <c r="G59" s="36">
        <v>6.0</v>
      </c>
      <c r="H59" s="36">
        <v>7.0</v>
      </c>
      <c r="I59" s="36">
        <v>8.0</v>
      </c>
      <c r="J59" s="36">
        <v>9.0</v>
      </c>
      <c r="K59" s="36">
        <v>10.0</v>
      </c>
      <c r="L59" s="36">
        <v>11.0</v>
      </c>
      <c r="M59" s="36">
        <v>12.0</v>
      </c>
      <c r="N59" s="36">
        <v>13.0</v>
      </c>
      <c r="O59" s="36">
        <v>14.0</v>
      </c>
      <c r="P59" s="36">
        <v>15.0</v>
      </c>
      <c r="Q59" s="36">
        <v>16.0</v>
      </c>
      <c r="R59" s="36">
        <v>17.0</v>
      </c>
      <c r="S59" s="36">
        <v>18.0</v>
      </c>
      <c r="T59" s="36">
        <v>19.0</v>
      </c>
      <c r="U59" s="36">
        <v>20.0</v>
      </c>
      <c r="V59" s="36">
        <v>21.0</v>
      </c>
      <c r="W59" s="36">
        <v>22.0</v>
      </c>
      <c r="X59" s="36">
        <v>23.0</v>
      </c>
      <c r="Y59" s="36">
        <v>24.0</v>
      </c>
      <c r="Z59" s="36">
        <v>25.0</v>
      </c>
      <c r="AA59" s="36">
        <v>26.0</v>
      </c>
      <c r="AB59" s="36">
        <v>27.0</v>
      </c>
      <c r="AC59" s="36">
        <v>28.0</v>
      </c>
      <c r="AD59" s="36">
        <v>29.0</v>
      </c>
      <c r="AE59" s="36">
        <v>30.0</v>
      </c>
      <c r="AF59" s="36"/>
      <c r="AG59" s="36"/>
      <c r="AH59" s="36"/>
      <c r="AI59" s="36"/>
      <c r="AJ59" s="36"/>
    </row>
    <row r="60" ht="15.0" customHeight="1">
      <c r="A60" s="370" t="s">
        <v>217</v>
      </c>
      <c r="B60" s="373">
        <v>50.0</v>
      </c>
      <c r="C60" s="373">
        <f t="shared" ref="C60:AE60" si="10">B60*1.05</f>
        <v>52.5</v>
      </c>
      <c r="D60" s="373">
        <f t="shared" si="10"/>
        <v>55.125</v>
      </c>
      <c r="E60" s="373">
        <f t="shared" si="10"/>
        <v>57.88125</v>
      </c>
      <c r="F60" s="373">
        <f t="shared" si="10"/>
        <v>60.7753125</v>
      </c>
      <c r="G60" s="373">
        <f t="shared" si="10"/>
        <v>63.81407813</v>
      </c>
      <c r="H60" s="373">
        <f t="shared" si="10"/>
        <v>67.00478203</v>
      </c>
      <c r="I60" s="373">
        <f t="shared" si="10"/>
        <v>70.35502113</v>
      </c>
      <c r="J60" s="373">
        <f t="shared" si="10"/>
        <v>73.87277219</v>
      </c>
      <c r="K60" s="373">
        <f t="shared" si="10"/>
        <v>77.5664108</v>
      </c>
      <c r="L60" s="373">
        <f t="shared" si="10"/>
        <v>81.44473134</v>
      </c>
      <c r="M60" s="373">
        <f t="shared" si="10"/>
        <v>85.51696791</v>
      </c>
      <c r="N60" s="373">
        <f t="shared" si="10"/>
        <v>89.7928163</v>
      </c>
      <c r="O60" s="373">
        <f t="shared" si="10"/>
        <v>94.28245712</v>
      </c>
      <c r="P60" s="373">
        <f t="shared" si="10"/>
        <v>98.99657997</v>
      </c>
      <c r="Q60" s="373">
        <f t="shared" si="10"/>
        <v>103.946409</v>
      </c>
      <c r="R60" s="373">
        <f t="shared" si="10"/>
        <v>109.1437294</v>
      </c>
      <c r="S60" s="373">
        <f t="shared" si="10"/>
        <v>114.6009159</v>
      </c>
      <c r="T60" s="373">
        <f t="shared" si="10"/>
        <v>120.3309617</v>
      </c>
      <c r="U60" s="373">
        <f t="shared" si="10"/>
        <v>126.3475098</v>
      </c>
      <c r="V60" s="373">
        <f t="shared" si="10"/>
        <v>132.6648853</v>
      </c>
      <c r="W60" s="373">
        <f t="shared" si="10"/>
        <v>139.2981295</v>
      </c>
      <c r="X60" s="373">
        <f t="shared" si="10"/>
        <v>146.263036</v>
      </c>
      <c r="Y60" s="373">
        <f t="shared" si="10"/>
        <v>153.5761878</v>
      </c>
      <c r="Z60" s="373">
        <f t="shared" si="10"/>
        <v>161.2549972</v>
      </c>
      <c r="AA60" s="373">
        <f t="shared" si="10"/>
        <v>169.317747</v>
      </c>
      <c r="AB60" s="373">
        <f t="shared" si="10"/>
        <v>177.7836344</v>
      </c>
      <c r="AC60" s="373">
        <f t="shared" si="10"/>
        <v>186.6728161</v>
      </c>
      <c r="AD60" s="373">
        <f t="shared" si="10"/>
        <v>196.0064569</v>
      </c>
      <c r="AE60" s="373">
        <f t="shared" si="10"/>
        <v>205.8067798</v>
      </c>
      <c r="AF60" s="373"/>
      <c r="AG60" s="373"/>
      <c r="AH60" s="373"/>
      <c r="AI60" s="373"/>
      <c r="AJ60" s="373"/>
    </row>
    <row r="61" ht="15.75" customHeight="1">
      <c r="A61" s="12" t="s">
        <v>218</v>
      </c>
      <c r="B61" s="12">
        <v>0.0</v>
      </c>
      <c r="C61" s="12">
        <v>0.0</v>
      </c>
      <c r="D61" s="12">
        <v>0.0</v>
      </c>
      <c r="E61" s="12">
        <v>0.0</v>
      </c>
      <c r="F61" s="12">
        <v>0.0</v>
      </c>
      <c r="G61" s="12">
        <v>0.0</v>
      </c>
      <c r="H61" s="12">
        <v>0.0</v>
      </c>
      <c r="I61" s="12">
        <v>0.0</v>
      </c>
      <c r="J61" s="12">
        <v>0.0</v>
      </c>
      <c r="K61" s="12">
        <v>0.0</v>
      </c>
      <c r="L61" s="12">
        <v>0.0</v>
      </c>
      <c r="M61" s="12">
        <v>0.0</v>
      </c>
      <c r="N61" s="12">
        <v>0.0</v>
      </c>
      <c r="O61" s="12">
        <v>0.0</v>
      </c>
      <c r="P61" s="12">
        <v>0.0</v>
      </c>
      <c r="Q61" s="12">
        <v>0.0</v>
      </c>
      <c r="R61" s="12">
        <v>0.0</v>
      </c>
      <c r="S61" s="12">
        <v>0.0</v>
      </c>
      <c r="T61" s="12">
        <v>0.0</v>
      </c>
      <c r="U61" s="12">
        <v>0.0</v>
      </c>
      <c r="V61" s="12">
        <v>0.0</v>
      </c>
      <c r="W61" s="12">
        <v>0.0</v>
      </c>
      <c r="X61" s="12">
        <v>0.0</v>
      </c>
      <c r="Y61" s="12">
        <v>0.0</v>
      </c>
      <c r="Z61" s="12">
        <v>0.0</v>
      </c>
      <c r="AA61" s="12">
        <v>0.0</v>
      </c>
      <c r="AB61" s="12">
        <v>0.0</v>
      </c>
      <c r="AC61" s="12">
        <v>0.0</v>
      </c>
      <c r="AD61" s="12">
        <v>0.0</v>
      </c>
      <c r="AE61" s="12">
        <v>0.0</v>
      </c>
      <c r="AF61" s="36"/>
      <c r="AG61" s="36"/>
      <c r="AH61" s="36"/>
      <c r="AI61" s="36"/>
      <c r="AJ61" s="36"/>
    </row>
    <row r="62" ht="15.0" customHeight="1">
      <c r="A62" s="374" t="s">
        <v>643</v>
      </c>
      <c r="B62" s="373"/>
      <c r="C62" s="373"/>
      <c r="D62" s="373"/>
      <c r="E62" s="373"/>
      <c r="F62" s="373"/>
      <c r="G62" s="373"/>
      <c r="H62" s="373"/>
      <c r="I62" s="373"/>
      <c r="J62" s="373"/>
      <c r="K62" s="373"/>
      <c r="L62" s="373"/>
      <c r="M62" s="373"/>
      <c r="N62" s="373"/>
      <c r="O62" s="373"/>
      <c r="P62" s="373"/>
      <c r="Q62" s="373"/>
      <c r="R62" s="373"/>
      <c r="S62" s="373"/>
      <c r="T62" s="373"/>
      <c r="U62" s="373"/>
      <c r="V62" s="373"/>
      <c r="W62" s="373"/>
      <c r="X62" s="373"/>
      <c r="Y62" s="373"/>
      <c r="Z62" s="373"/>
      <c r="AA62" s="373"/>
      <c r="AB62" s="373"/>
      <c r="AC62" s="373"/>
      <c r="AD62" s="373"/>
      <c r="AE62" s="373"/>
      <c r="AF62" s="373"/>
      <c r="AG62" s="373"/>
      <c r="AH62" s="373"/>
      <c r="AI62" s="373"/>
      <c r="AJ62" s="373"/>
    </row>
    <row r="63" ht="15.0" customHeight="1">
      <c r="A63" s="373"/>
      <c r="B63" s="373"/>
      <c r="C63" s="373"/>
      <c r="D63" s="373"/>
      <c r="E63" s="373"/>
      <c r="F63" s="373"/>
      <c r="G63" s="373"/>
      <c r="H63" s="373"/>
      <c r="I63" s="373"/>
      <c r="J63" s="373"/>
      <c r="K63" s="373"/>
      <c r="L63" s="373"/>
      <c r="M63" s="373"/>
      <c r="N63" s="373"/>
      <c r="O63" s="373"/>
      <c r="P63" s="373"/>
      <c r="Q63" s="373"/>
      <c r="R63" s="373"/>
      <c r="S63" s="373"/>
      <c r="T63" s="373"/>
      <c r="U63" s="373"/>
      <c r="V63" s="373"/>
      <c r="W63" s="373"/>
      <c r="X63" s="373"/>
      <c r="Y63" s="373"/>
      <c r="Z63" s="373"/>
      <c r="AA63" s="373"/>
      <c r="AB63" s="373"/>
      <c r="AC63" s="373"/>
      <c r="AD63" s="373"/>
      <c r="AE63" s="373"/>
      <c r="AF63" s="373"/>
      <c r="AG63" s="373"/>
      <c r="AH63" s="373"/>
      <c r="AI63" s="373"/>
      <c r="AJ63" s="373"/>
    </row>
    <row r="64" ht="15.0" customHeight="1">
      <c r="A64" s="373" t="s">
        <v>215</v>
      </c>
      <c r="B64" s="373">
        <v>1.0</v>
      </c>
      <c r="C64" s="373">
        <v>2.0</v>
      </c>
      <c r="D64" s="373">
        <v>3.0</v>
      </c>
      <c r="E64" s="373">
        <v>4.0</v>
      </c>
      <c r="F64" s="373">
        <v>5.0</v>
      </c>
      <c r="G64" s="373">
        <v>6.0</v>
      </c>
      <c r="H64" s="373">
        <v>7.0</v>
      </c>
      <c r="I64" s="373">
        <v>8.0</v>
      </c>
      <c r="J64" s="373">
        <v>9.0</v>
      </c>
      <c r="K64" s="373">
        <v>10.0</v>
      </c>
      <c r="L64" s="373">
        <v>11.0</v>
      </c>
      <c r="M64" s="373">
        <v>12.0</v>
      </c>
      <c r="N64" s="373">
        <v>13.0</v>
      </c>
      <c r="O64" s="373">
        <v>14.0</v>
      </c>
      <c r="P64" s="373">
        <v>15.0</v>
      </c>
      <c r="Q64" s="373">
        <v>16.0</v>
      </c>
      <c r="R64" s="373">
        <v>17.0</v>
      </c>
      <c r="S64" s="373">
        <v>18.0</v>
      </c>
      <c r="T64" s="373">
        <v>19.0</v>
      </c>
      <c r="U64" s="373">
        <v>20.0</v>
      </c>
      <c r="V64" s="373">
        <v>21.0</v>
      </c>
      <c r="W64" s="373">
        <v>22.0</v>
      </c>
      <c r="X64" s="373">
        <v>23.0</v>
      </c>
      <c r="Y64" s="373">
        <v>24.0</v>
      </c>
      <c r="Z64" s="373">
        <v>25.0</v>
      </c>
      <c r="AA64" s="373">
        <v>26.0</v>
      </c>
      <c r="AB64" s="373">
        <v>27.0</v>
      </c>
      <c r="AC64" s="373">
        <v>28.0</v>
      </c>
      <c r="AD64" s="373">
        <v>29.0</v>
      </c>
      <c r="AE64" s="373">
        <v>30.0</v>
      </c>
      <c r="AF64" s="373"/>
      <c r="AG64" s="373"/>
      <c r="AH64" s="373"/>
      <c r="AI64" s="373"/>
      <c r="AJ64" s="373"/>
    </row>
    <row r="65" ht="15.0" customHeight="1">
      <c r="A65" s="370" t="s">
        <v>217</v>
      </c>
      <c r="B65" s="373">
        <v>50.0</v>
      </c>
      <c r="C65" s="373">
        <f t="shared" ref="C65:AE65" si="11">B65*1.05</f>
        <v>52.5</v>
      </c>
      <c r="D65" s="373">
        <f t="shared" si="11"/>
        <v>55.125</v>
      </c>
      <c r="E65" s="373">
        <f t="shared" si="11"/>
        <v>57.88125</v>
      </c>
      <c r="F65" s="373">
        <f t="shared" si="11"/>
        <v>60.7753125</v>
      </c>
      <c r="G65" s="373">
        <f t="shared" si="11"/>
        <v>63.81407813</v>
      </c>
      <c r="H65" s="373">
        <f t="shared" si="11"/>
        <v>67.00478203</v>
      </c>
      <c r="I65" s="373">
        <f t="shared" si="11"/>
        <v>70.35502113</v>
      </c>
      <c r="J65" s="373">
        <f t="shared" si="11"/>
        <v>73.87277219</v>
      </c>
      <c r="K65" s="373">
        <f t="shared" si="11"/>
        <v>77.5664108</v>
      </c>
      <c r="L65" s="373">
        <f t="shared" si="11"/>
        <v>81.44473134</v>
      </c>
      <c r="M65" s="373">
        <f t="shared" si="11"/>
        <v>85.51696791</v>
      </c>
      <c r="N65" s="373">
        <f t="shared" si="11"/>
        <v>89.7928163</v>
      </c>
      <c r="O65" s="373">
        <f t="shared" si="11"/>
        <v>94.28245712</v>
      </c>
      <c r="P65" s="373">
        <f t="shared" si="11"/>
        <v>98.99657997</v>
      </c>
      <c r="Q65" s="373">
        <f t="shared" si="11"/>
        <v>103.946409</v>
      </c>
      <c r="R65" s="373">
        <f t="shared" si="11"/>
        <v>109.1437294</v>
      </c>
      <c r="S65" s="373">
        <f t="shared" si="11"/>
        <v>114.6009159</v>
      </c>
      <c r="T65" s="373">
        <f t="shared" si="11"/>
        <v>120.3309617</v>
      </c>
      <c r="U65" s="373">
        <f t="shared" si="11"/>
        <v>126.3475098</v>
      </c>
      <c r="V65" s="373">
        <f t="shared" si="11"/>
        <v>132.6648853</v>
      </c>
      <c r="W65" s="373">
        <f t="shared" si="11"/>
        <v>139.2981295</v>
      </c>
      <c r="X65" s="373">
        <f t="shared" si="11"/>
        <v>146.263036</v>
      </c>
      <c r="Y65" s="373">
        <f t="shared" si="11"/>
        <v>153.5761878</v>
      </c>
      <c r="Z65" s="373">
        <f t="shared" si="11"/>
        <v>161.2549972</v>
      </c>
      <c r="AA65" s="373">
        <f t="shared" si="11"/>
        <v>169.317747</v>
      </c>
      <c r="AB65" s="373">
        <f t="shared" si="11"/>
        <v>177.7836344</v>
      </c>
      <c r="AC65" s="373">
        <f t="shared" si="11"/>
        <v>186.6728161</v>
      </c>
      <c r="AD65" s="373">
        <f t="shared" si="11"/>
        <v>196.0064569</v>
      </c>
      <c r="AE65" s="373">
        <f t="shared" si="11"/>
        <v>205.8067798</v>
      </c>
      <c r="AF65" s="373"/>
      <c r="AG65" s="373"/>
      <c r="AH65" s="373"/>
      <c r="AI65" s="373"/>
      <c r="AJ65" s="373"/>
    </row>
    <row r="66" ht="15.75" customHeight="1">
      <c r="A66" s="12" t="s">
        <v>218</v>
      </c>
      <c r="B66" s="12">
        <v>0.0</v>
      </c>
      <c r="C66" s="12">
        <v>0.0</v>
      </c>
      <c r="D66" s="12">
        <v>0.0</v>
      </c>
      <c r="E66" s="12">
        <v>0.0</v>
      </c>
      <c r="F66" s="12">
        <v>0.0</v>
      </c>
      <c r="G66" s="12">
        <v>0.0</v>
      </c>
      <c r="H66" s="12">
        <v>0.0</v>
      </c>
      <c r="I66" s="12">
        <v>0.0</v>
      </c>
      <c r="J66" s="12">
        <v>0.0</v>
      </c>
      <c r="K66" s="12">
        <v>0.0</v>
      </c>
      <c r="L66" s="12">
        <v>0.0</v>
      </c>
      <c r="M66" s="12">
        <v>0.0</v>
      </c>
      <c r="N66" s="12">
        <v>0.0</v>
      </c>
      <c r="O66" s="12">
        <v>0.0</v>
      </c>
      <c r="P66" s="12">
        <v>0.0</v>
      </c>
      <c r="Q66" s="12">
        <v>0.0</v>
      </c>
      <c r="R66" s="12">
        <v>0.0</v>
      </c>
      <c r="S66" s="12">
        <v>0.0</v>
      </c>
      <c r="T66" s="12">
        <v>0.0</v>
      </c>
      <c r="U66" s="12">
        <v>0.0</v>
      </c>
      <c r="V66" s="12">
        <v>0.0</v>
      </c>
      <c r="W66" s="12">
        <v>0.0</v>
      </c>
      <c r="X66" s="12">
        <v>0.0</v>
      </c>
      <c r="Y66" s="12">
        <v>0.0</v>
      </c>
      <c r="Z66" s="12">
        <v>0.0</v>
      </c>
      <c r="AA66" s="12">
        <v>0.0</v>
      </c>
      <c r="AB66" s="12">
        <v>0.0</v>
      </c>
      <c r="AC66" s="12">
        <v>0.0</v>
      </c>
      <c r="AD66" s="12">
        <v>0.0</v>
      </c>
      <c r="AE66" s="12">
        <v>0.0</v>
      </c>
      <c r="AF66" s="36"/>
      <c r="AG66" s="36"/>
      <c r="AH66" s="36"/>
      <c r="AI66" s="36"/>
      <c r="AJ66" s="36"/>
    </row>
    <row r="67" ht="15.0" customHeight="1">
      <c r="A67" s="374" t="s">
        <v>647</v>
      </c>
      <c r="B67" s="373"/>
      <c r="C67" s="373"/>
      <c r="D67" s="370" t="s">
        <v>1951</v>
      </c>
      <c r="E67" s="370">
        <v>500.0</v>
      </c>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c r="AD67" s="373"/>
      <c r="AE67" s="373"/>
      <c r="AF67" s="373"/>
      <c r="AG67" s="373"/>
      <c r="AH67" s="373"/>
      <c r="AI67" s="373"/>
      <c r="AJ67" s="373"/>
    </row>
    <row r="68" ht="15.0" customHeight="1">
      <c r="A68" s="373"/>
      <c r="B68" s="373"/>
      <c r="C68" s="373"/>
      <c r="D68" s="373"/>
      <c r="E68" s="373"/>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c r="AD68" s="373"/>
      <c r="AE68" s="373"/>
      <c r="AF68" s="373"/>
      <c r="AG68" s="373"/>
      <c r="AH68" s="373"/>
      <c r="AI68" s="373"/>
      <c r="AJ68" s="373"/>
    </row>
    <row r="69" ht="15.0" customHeight="1">
      <c r="A69" s="373" t="s">
        <v>215</v>
      </c>
      <c r="B69" s="373">
        <v>1.0</v>
      </c>
      <c r="C69" s="373">
        <v>2.0</v>
      </c>
      <c r="D69" s="373">
        <v>3.0</v>
      </c>
      <c r="E69" s="373">
        <v>4.0</v>
      </c>
      <c r="F69" s="373">
        <v>5.0</v>
      </c>
      <c r="G69" s="373">
        <v>6.0</v>
      </c>
      <c r="H69" s="373">
        <v>7.0</v>
      </c>
      <c r="I69" s="373">
        <v>8.0</v>
      </c>
      <c r="J69" s="373">
        <v>9.0</v>
      </c>
      <c r="K69" s="373">
        <v>10.0</v>
      </c>
      <c r="L69" s="373">
        <v>11.0</v>
      </c>
      <c r="M69" s="373">
        <v>12.0</v>
      </c>
      <c r="N69" s="373">
        <v>13.0</v>
      </c>
      <c r="O69" s="373">
        <v>14.0</v>
      </c>
      <c r="P69" s="373">
        <v>15.0</v>
      </c>
      <c r="Q69" s="373">
        <v>16.0</v>
      </c>
      <c r="R69" s="373">
        <v>17.0</v>
      </c>
      <c r="S69" s="373">
        <v>18.0</v>
      </c>
      <c r="T69" s="373">
        <v>19.0</v>
      </c>
      <c r="U69" s="373">
        <v>20.0</v>
      </c>
      <c r="V69" s="373">
        <v>21.0</v>
      </c>
      <c r="W69" s="373">
        <v>22.0</v>
      </c>
      <c r="X69" s="373">
        <v>23.0</v>
      </c>
      <c r="Y69" s="373">
        <v>24.0</v>
      </c>
      <c r="Z69" s="373">
        <v>25.0</v>
      </c>
      <c r="AA69" s="373">
        <v>26.0</v>
      </c>
      <c r="AB69" s="373">
        <v>27.0</v>
      </c>
      <c r="AC69" s="373">
        <v>28.0</v>
      </c>
      <c r="AD69" s="373">
        <v>29.0</v>
      </c>
      <c r="AE69" s="373">
        <v>30.0</v>
      </c>
      <c r="AF69" s="373"/>
      <c r="AG69" s="373"/>
      <c r="AH69" s="373"/>
      <c r="AI69" s="373"/>
      <c r="AJ69" s="373"/>
    </row>
    <row r="70" ht="15.0" customHeight="1">
      <c r="A70" s="370" t="s">
        <v>217</v>
      </c>
      <c r="B70" s="373">
        <v>50.0</v>
      </c>
      <c r="C70" s="373">
        <f t="shared" ref="C70:AE70" si="12">B70*1.05</f>
        <v>52.5</v>
      </c>
      <c r="D70" s="373">
        <f t="shared" si="12"/>
        <v>55.125</v>
      </c>
      <c r="E70" s="373">
        <f t="shared" si="12"/>
        <v>57.88125</v>
      </c>
      <c r="F70" s="373">
        <f t="shared" si="12"/>
        <v>60.7753125</v>
      </c>
      <c r="G70" s="373">
        <f t="shared" si="12"/>
        <v>63.81407813</v>
      </c>
      <c r="H70" s="373">
        <f t="shared" si="12"/>
        <v>67.00478203</v>
      </c>
      <c r="I70" s="373">
        <f t="shared" si="12"/>
        <v>70.35502113</v>
      </c>
      <c r="J70" s="373">
        <f t="shared" si="12"/>
        <v>73.87277219</v>
      </c>
      <c r="K70" s="373">
        <f t="shared" si="12"/>
        <v>77.5664108</v>
      </c>
      <c r="L70" s="373">
        <f t="shared" si="12"/>
        <v>81.44473134</v>
      </c>
      <c r="M70" s="373">
        <f t="shared" si="12"/>
        <v>85.51696791</v>
      </c>
      <c r="N70" s="373">
        <f t="shared" si="12"/>
        <v>89.7928163</v>
      </c>
      <c r="O70" s="373">
        <f t="shared" si="12"/>
        <v>94.28245712</v>
      </c>
      <c r="P70" s="373">
        <f t="shared" si="12"/>
        <v>98.99657997</v>
      </c>
      <c r="Q70" s="373">
        <f t="shared" si="12"/>
        <v>103.946409</v>
      </c>
      <c r="R70" s="373">
        <f t="shared" si="12"/>
        <v>109.1437294</v>
      </c>
      <c r="S70" s="373">
        <f t="shared" si="12"/>
        <v>114.6009159</v>
      </c>
      <c r="T70" s="373">
        <f t="shared" si="12"/>
        <v>120.3309617</v>
      </c>
      <c r="U70" s="373">
        <f t="shared" si="12"/>
        <v>126.3475098</v>
      </c>
      <c r="V70" s="373">
        <f t="shared" si="12"/>
        <v>132.6648853</v>
      </c>
      <c r="W70" s="373">
        <f t="shared" si="12"/>
        <v>139.2981295</v>
      </c>
      <c r="X70" s="373">
        <f t="shared" si="12"/>
        <v>146.263036</v>
      </c>
      <c r="Y70" s="373">
        <f t="shared" si="12"/>
        <v>153.5761878</v>
      </c>
      <c r="Z70" s="373">
        <f t="shared" si="12"/>
        <v>161.2549972</v>
      </c>
      <c r="AA70" s="373">
        <f t="shared" si="12"/>
        <v>169.317747</v>
      </c>
      <c r="AB70" s="373">
        <f t="shared" si="12"/>
        <v>177.7836344</v>
      </c>
      <c r="AC70" s="373">
        <f t="shared" si="12"/>
        <v>186.6728161</v>
      </c>
      <c r="AD70" s="373">
        <f t="shared" si="12"/>
        <v>196.0064569</v>
      </c>
      <c r="AE70" s="373">
        <f t="shared" si="12"/>
        <v>205.8067798</v>
      </c>
      <c r="AF70" s="373"/>
      <c r="AG70" s="373"/>
      <c r="AH70" s="373"/>
      <c r="AI70" s="373"/>
      <c r="AJ70" s="373"/>
    </row>
    <row r="71" ht="15.0" customHeight="1">
      <c r="A71" s="370" t="s">
        <v>218</v>
      </c>
      <c r="B71" s="121">
        <v>0.0</v>
      </c>
      <c r="C71" s="121">
        <v>0.0</v>
      </c>
      <c r="D71" s="121">
        <v>0.0</v>
      </c>
      <c r="E71" s="121">
        <v>0.0</v>
      </c>
      <c r="F71" s="121">
        <v>0.0</v>
      </c>
      <c r="G71" s="121">
        <v>0.0</v>
      </c>
      <c r="H71" s="121">
        <v>0.0</v>
      </c>
      <c r="I71" s="121">
        <v>0.0</v>
      </c>
      <c r="J71" s="121">
        <v>0.0</v>
      </c>
      <c r="K71" s="121">
        <v>0.0</v>
      </c>
      <c r="L71" s="121">
        <v>0.0</v>
      </c>
      <c r="M71" s="121">
        <v>0.0</v>
      </c>
      <c r="N71" s="121">
        <v>0.0</v>
      </c>
      <c r="O71" s="121">
        <v>0.0</v>
      </c>
      <c r="P71" s="121">
        <v>0.0</v>
      </c>
      <c r="Q71" s="121">
        <v>0.0</v>
      </c>
      <c r="R71" s="121">
        <v>0.0</v>
      </c>
      <c r="S71" s="121">
        <v>0.0</v>
      </c>
      <c r="T71" s="121">
        <v>0.0</v>
      </c>
      <c r="U71" s="121">
        <v>0.0</v>
      </c>
      <c r="V71" s="121">
        <v>0.0</v>
      </c>
      <c r="W71" s="121">
        <v>0.0</v>
      </c>
      <c r="X71" s="121">
        <v>0.0</v>
      </c>
      <c r="Y71" s="121">
        <v>0.0</v>
      </c>
      <c r="Z71" s="121">
        <v>0.0</v>
      </c>
      <c r="AA71" s="121">
        <v>0.0</v>
      </c>
      <c r="AB71" s="121">
        <v>0.0</v>
      </c>
      <c r="AC71" s="121">
        <v>0.0</v>
      </c>
      <c r="AD71" s="121">
        <v>0.0</v>
      </c>
      <c r="AE71" s="121">
        <v>0.0</v>
      </c>
      <c r="AF71" s="373"/>
      <c r="AG71" s="373"/>
      <c r="AH71" s="373"/>
      <c r="AI71" s="373"/>
      <c r="AJ71" s="373"/>
    </row>
    <row r="72" ht="15.0" customHeight="1">
      <c r="A72" s="375"/>
      <c r="B72" s="373"/>
      <c r="C72" s="373"/>
      <c r="D72" s="373"/>
      <c r="E72" s="373"/>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c r="AD72" s="373"/>
      <c r="AE72" s="373"/>
      <c r="AF72" s="373"/>
      <c r="AG72" s="373"/>
      <c r="AH72" s="373"/>
      <c r="AI72" s="373"/>
      <c r="AJ72" s="373"/>
    </row>
    <row r="73" ht="15.0" customHeight="1">
      <c r="A73" s="374" t="s">
        <v>613</v>
      </c>
      <c r="B73" s="373"/>
      <c r="C73" s="373"/>
      <c r="D73" s="373"/>
      <c r="E73" s="373"/>
      <c r="F73" s="373"/>
      <c r="G73" s="373"/>
      <c r="H73" s="373"/>
      <c r="I73" s="373"/>
      <c r="J73" s="373"/>
      <c r="K73" s="373"/>
      <c r="L73" s="373"/>
      <c r="M73" s="373"/>
      <c r="N73" s="373"/>
      <c r="O73" s="373"/>
      <c r="P73" s="373"/>
      <c r="Q73" s="373"/>
      <c r="R73" s="373"/>
      <c r="S73" s="373"/>
      <c r="T73" s="373"/>
      <c r="U73" s="373"/>
      <c r="V73" s="373"/>
      <c r="W73" s="373"/>
      <c r="X73" s="373"/>
      <c r="Y73" s="373"/>
      <c r="Z73" s="373"/>
      <c r="AA73" s="373"/>
      <c r="AB73" s="373"/>
      <c r="AC73" s="373"/>
      <c r="AD73" s="373"/>
      <c r="AE73" s="373"/>
      <c r="AF73" s="373"/>
      <c r="AG73" s="373"/>
      <c r="AH73" s="373"/>
      <c r="AI73" s="373"/>
      <c r="AJ73" s="373"/>
    </row>
    <row r="74" ht="15.0" customHeight="1">
      <c r="A74" s="373"/>
      <c r="B74" s="373"/>
      <c r="C74" s="373"/>
      <c r="D74" s="373"/>
      <c r="E74" s="373"/>
      <c r="F74" s="373"/>
      <c r="G74" s="373"/>
      <c r="H74" s="373"/>
      <c r="I74" s="373"/>
      <c r="J74" s="373"/>
      <c r="K74" s="373"/>
      <c r="L74" s="373"/>
      <c r="M74" s="373"/>
      <c r="N74" s="373"/>
      <c r="O74" s="373"/>
      <c r="P74" s="373"/>
      <c r="Q74" s="373"/>
      <c r="R74" s="373"/>
      <c r="S74" s="373"/>
      <c r="T74" s="373"/>
      <c r="U74" s="373"/>
      <c r="V74" s="373"/>
      <c r="W74" s="373"/>
      <c r="X74" s="373"/>
      <c r="Y74" s="373"/>
      <c r="Z74" s="373"/>
      <c r="AA74" s="373"/>
      <c r="AB74" s="373"/>
      <c r="AC74" s="373"/>
      <c r="AD74" s="373"/>
      <c r="AE74" s="373"/>
      <c r="AF74" s="373"/>
      <c r="AG74" s="373"/>
      <c r="AH74" s="373"/>
      <c r="AI74" s="373"/>
      <c r="AJ74" s="373"/>
    </row>
    <row r="75" ht="15.0" customHeight="1">
      <c r="A75" s="373" t="s">
        <v>215</v>
      </c>
      <c r="B75" s="373">
        <v>1.0</v>
      </c>
      <c r="C75" s="373">
        <v>2.0</v>
      </c>
      <c r="D75" s="373">
        <v>3.0</v>
      </c>
      <c r="E75" s="373">
        <v>4.0</v>
      </c>
      <c r="F75" s="373">
        <v>5.0</v>
      </c>
      <c r="G75" s="373">
        <v>6.0</v>
      </c>
      <c r="H75" s="373">
        <v>7.0</v>
      </c>
      <c r="I75" s="373">
        <v>8.0</v>
      </c>
      <c r="J75" s="373">
        <v>9.0</v>
      </c>
      <c r="K75" s="373">
        <v>10.0</v>
      </c>
      <c r="L75" s="373">
        <v>11.0</v>
      </c>
      <c r="M75" s="373">
        <v>12.0</v>
      </c>
      <c r="N75" s="373">
        <v>13.0</v>
      </c>
      <c r="O75" s="373">
        <v>14.0</v>
      </c>
      <c r="P75" s="373">
        <v>15.0</v>
      </c>
      <c r="Q75" s="373">
        <v>16.0</v>
      </c>
      <c r="R75" s="373">
        <v>17.0</v>
      </c>
      <c r="S75" s="373">
        <v>18.0</v>
      </c>
      <c r="T75" s="373">
        <v>19.0</v>
      </c>
      <c r="U75" s="373">
        <v>20.0</v>
      </c>
      <c r="V75" s="373">
        <v>21.0</v>
      </c>
      <c r="W75" s="373">
        <v>22.0</v>
      </c>
      <c r="X75" s="373">
        <v>23.0</v>
      </c>
      <c r="Y75" s="373">
        <v>24.0</v>
      </c>
      <c r="Z75" s="373">
        <v>25.0</v>
      </c>
      <c r="AA75" s="373">
        <v>26.0</v>
      </c>
      <c r="AB75" s="373">
        <v>27.0</v>
      </c>
      <c r="AC75" s="373">
        <v>28.0</v>
      </c>
      <c r="AD75" s="373">
        <v>29.0</v>
      </c>
      <c r="AE75" s="373">
        <v>30.0</v>
      </c>
      <c r="AF75" s="373"/>
      <c r="AG75" s="373"/>
      <c r="AH75" s="373"/>
      <c r="AI75" s="373"/>
      <c r="AJ75" s="373"/>
    </row>
    <row r="76" ht="15.0" customHeight="1">
      <c r="A76" s="370" t="s">
        <v>217</v>
      </c>
      <c r="B76" s="373">
        <v>20.0</v>
      </c>
      <c r="C76" s="373">
        <f t="shared" ref="C76:AE76" si="13">B76*1.05</f>
        <v>21</v>
      </c>
      <c r="D76" s="373">
        <f t="shared" si="13"/>
        <v>22.05</v>
      </c>
      <c r="E76" s="373">
        <f t="shared" si="13"/>
        <v>23.1525</v>
      </c>
      <c r="F76" s="373">
        <f t="shared" si="13"/>
        <v>24.310125</v>
      </c>
      <c r="G76" s="373">
        <f t="shared" si="13"/>
        <v>25.52563125</v>
      </c>
      <c r="H76" s="373">
        <f t="shared" si="13"/>
        <v>26.80191281</v>
      </c>
      <c r="I76" s="373">
        <f t="shared" si="13"/>
        <v>28.14200845</v>
      </c>
      <c r="J76" s="373">
        <f t="shared" si="13"/>
        <v>29.54910888</v>
      </c>
      <c r="K76" s="373">
        <f t="shared" si="13"/>
        <v>31.02656432</v>
      </c>
      <c r="L76" s="373">
        <f t="shared" si="13"/>
        <v>32.57789254</v>
      </c>
      <c r="M76" s="373">
        <f t="shared" si="13"/>
        <v>34.20678716</v>
      </c>
      <c r="N76" s="373">
        <f t="shared" si="13"/>
        <v>35.91712652</v>
      </c>
      <c r="O76" s="373">
        <f t="shared" si="13"/>
        <v>37.71298285</v>
      </c>
      <c r="P76" s="373">
        <f t="shared" si="13"/>
        <v>39.59863199</v>
      </c>
      <c r="Q76" s="373">
        <f t="shared" si="13"/>
        <v>41.57856359</v>
      </c>
      <c r="R76" s="373">
        <f t="shared" si="13"/>
        <v>43.65749177</v>
      </c>
      <c r="S76" s="373">
        <f t="shared" si="13"/>
        <v>45.84036636</v>
      </c>
      <c r="T76" s="373">
        <f t="shared" si="13"/>
        <v>48.13238467</v>
      </c>
      <c r="U76" s="373">
        <f t="shared" si="13"/>
        <v>50.53900391</v>
      </c>
      <c r="V76" s="373">
        <f t="shared" si="13"/>
        <v>53.0659541</v>
      </c>
      <c r="W76" s="373">
        <f t="shared" si="13"/>
        <v>55.71925181</v>
      </c>
      <c r="X76" s="373">
        <f t="shared" si="13"/>
        <v>58.5052144</v>
      </c>
      <c r="Y76" s="373">
        <f t="shared" si="13"/>
        <v>61.43047512</v>
      </c>
      <c r="Z76" s="373">
        <f t="shared" si="13"/>
        <v>64.50199887</v>
      </c>
      <c r="AA76" s="373">
        <f t="shared" si="13"/>
        <v>67.72709882</v>
      </c>
      <c r="AB76" s="373">
        <f t="shared" si="13"/>
        <v>71.11345376</v>
      </c>
      <c r="AC76" s="373">
        <f t="shared" si="13"/>
        <v>74.66912645</v>
      </c>
      <c r="AD76" s="373">
        <f t="shared" si="13"/>
        <v>78.40258277</v>
      </c>
      <c r="AE76" s="373">
        <f t="shared" si="13"/>
        <v>82.32271191</v>
      </c>
      <c r="AF76" s="373"/>
      <c r="AG76" s="373"/>
      <c r="AH76" s="373"/>
      <c r="AI76" s="373"/>
      <c r="AJ76" s="373"/>
    </row>
    <row r="77" ht="15.0" customHeight="1">
      <c r="A77" s="370" t="s">
        <v>218</v>
      </c>
      <c r="B77" s="121">
        <v>0.0</v>
      </c>
      <c r="C77" s="121">
        <v>0.0</v>
      </c>
      <c r="D77" s="121">
        <v>0.0</v>
      </c>
      <c r="E77" s="121">
        <v>0.0</v>
      </c>
      <c r="F77" s="121">
        <v>0.0</v>
      </c>
      <c r="G77" s="121">
        <v>0.0</v>
      </c>
      <c r="H77" s="121">
        <v>0.0</v>
      </c>
      <c r="I77" s="121">
        <v>0.0</v>
      </c>
      <c r="J77" s="121">
        <v>0.0</v>
      </c>
      <c r="K77" s="121">
        <v>0.0</v>
      </c>
      <c r="L77" s="121">
        <v>0.0</v>
      </c>
      <c r="M77" s="121">
        <v>0.0</v>
      </c>
      <c r="N77" s="121">
        <v>0.0</v>
      </c>
      <c r="O77" s="121">
        <v>0.0</v>
      </c>
      <c r="P77" s="121">
        <v>0.0</v>
      </c>
      <c r="Q77" s="121">
        <v>0.0</v>
      </c>
      <c r="R77" s="121">
        <v>0.0</v>
      </c>
      <c r="S77" s="121">
        <v>0.0</v>
      </c>
      <c r="T77" s="121">
        <v>0.0</v>
      </c>
      <c r="U77" s="121">
        <v>0.0</v>
      </c>
      <c r="V77" s="121">
        <v>0.0</v>
      </c>
      <c r="W77" s="121">
        <v>0.0</v>
      </c>
      <c r="X77" s="121">
        <v>0.0</v>
      </c>
      <c r="Y77" s="121">
        <v>0.0</v>
      </c>
      <c r="Z77" s="121">
        <v>0.0</v>
      </c>
      <c r="AA77" s="121">
        <v>0.0</v>
      </c>
      <c r="AB77" s="121">
        <v>0.0</v>
      </c>
      <c r="AC77" s="121">
        <v>0.0</v>
      </c>
      <c r="AD77" s="121">
        <v>0.0</v>
      </c>
      <c r="AE77" s="121">
        <v>0.0</v>
      </c>
      <c r="AF77" s="373"/>
      <c r="AG77" s="373"/>
      <c r="AH77" s="373"/>
      <c r="AI77" s="373"/>
      <c r="AJ77" s="373"/>
    </row>
    <row r="78" ht="15.0" customHeight="1">
      <c r="A78" s="374" t="s">
        <v>618</v>
      </c>
      <c r="B78" s="373"/>
      <c r="C78" s="373"/>
      <c r="D78" s="373"/>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c r="AI78" s="373"/>
      <c r="AJ78" s="373"/>
    </row>
    <row r="79" ht="15.0" customHeight="1">
      <c r="A79" s="373"/>
      <c r="B79" s="373"/>
      <c r="C79" s="373"/>
      <c r="D79" s="373"/>
      <c r="E79" s="373"/>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c r="AD79" s="373"/>
      <c r="AE79" s="373"/>
      <c r="AF79" s="373"/>
      <c r="AG79" s="373"/>
      <c r="AH79" s="373"/>
      <c r="AI79" s="373"/>
      <c r="AJ79" s="373"/>
    </row>
    <row r="80" ht="15.0" customHeight="1">
      <c r="A80" s="373" t="s">
        <v>215</v>
      </c>
      <c r="B80" s="373">
        <v>1.0</v>
      </c>
      <c r="C80" s="373">
        <v>2.0</v>
      </c>
      <c r="D80" s="373">
        <v>3.0</v>
      </c>
      <c r="E80" s="373">
        <v>4.0</v>
      </c>
      <c r="F80" s="373">
        <v>5.0</v>
      </c>
      <c r="G80" s="373">
        <v>6.0</v>
      </c>
      <c r="H80" s="373">
        <v>7.0</v>
      </c>
      <c r="I80" s="373">
        <v>8.0</v>
      </c>
      <c r="J80" s="373">
        <v>9.0</v>
      </c>
      <c r="K80" s="373">
        <v>10.0</v>
      </c>
      <c r="L80" s="373">
        <v>11.0</v>
      </c>
      <c r="M80" s="373">
        <v>12.0</v>
      </c>
      <c r="N80" s="373">
        <v>13.0</v>
      </c>
      <c r="O80" s="373">
        <v>14.0</v>
      </c>
      <c r="P80" s="373">
        <v>15.0</v>
      </c>
      <c r="Q80" s="373">
        <v>16.0</v>
      </c>
      <c r="R80" s="373">
        <v>17.0</v>
      </c>
      <c r="S80" s="373">
        <v>18.0</v>
      </c>
      <c r="T80" s="373">
        <v>19.0</v>
      </c>
      <c r="U80" s="373">
        <v>20.0</v>
      </c>
      <c r="V80" s="373">
        <v>21.0</v>
      </c>
      <c r="W80" s="373">
        <v>22.0</v>
      </c>
      <c r="X80" s="373">
        <v>23.0</v>
      </c>
      <c r="Y80" s="373">
        <v>24.0</v>
      </c>
      <c r="Z80" s="373">
        <v>25.0</v>
      </c>
      <c r="AA80" s="373">
        <v>26.0</v>
      </c>
      <c r="AB80" s="373">
        <v>27.0</v>
      </c>
      <c r="AC80" s="373">
        <v>28.0</v>
      </c>
      <c r="AD80" s="373">
        <v>29.0</v>
      </c>
      <c r="AE80" s="373">
        <v>30.0</v>
      </c>
      <c r="AF80" s="373"/>
      <c r="AG80" s="373"/>
      <c r="AH80" s="373"/>
      <c r="AI80" s="373"/>
      <c r="AJ80" s="373"/>
    </row>
    <row r="81" ht="15.0" customHeight="1">
      <c r="A81" s="370" t="s">
        <v>217</v>
      </c>
      <c r="B81" s="373">
        <v>60.0</v>
      </c>
      <c r="C81" s="373">
        <f t="shared" ref="C81:AE81" si="14">B81*1.05</f>
        <v>63</v>
      </c>
      <c r="D81" s="373">
        <f t="shared" si="14"/>
        <v>66.15</v>
      </c>
      <c r="E81" s="373">
        <f t="shared" si="14"/>
        <v>69.4575</v>
      </c>
      <c r="F81" s="373">
        <f t="shared" si="14"/>
        <v>72.930375</v>
      </c>
      <c r="G81" s="373">
        <f t="shared" si="14"/>
        <v>76.57689375</v>
      </c>
      <c r="H81" s="373">
        <f t="shared" si="14"/>
        <v>80.40573844</v>
      </c>
      <c r="I81" s="373">
        <f t="shared" si="14"/>
        <v>84.42602536</v>
      </c>
      <c r="J81" s="373">
        <f t="shared" si="14"/>
        <v>88.64732663</v>
      </c>
      <c r="K81" s="373">
        <f t="shared" si="14"/>
        <v>93.07969296</v>
      </c>
      <c r="L81" s="373">
        <f t="shared" si="14"/>
        <v>97.73367761</v>
      </c>
      <c r="M81" s="373">
        <f t="shared" si="14"/>
        <v>102.6203615</v>
      </c>
      <c r="N81" s="373">
        <f t="shared" si="14"/>
        <v>107.7513796</v>
      </c>
      <c r="O81" s="373">
        <f t="shared" si="14"/>
        <v>113.1389485</v>
      </c>
      <c r="P81" s="373">
        <f t="shared" si="14"/>
        <v>118.795896</v>
      </c>
      <c r="Q81" s="373">
        <f t="shared" si="14"/>
        <v>124.7356908</v>
      </c>
      <c r="R81" s="373">
        <f t="shared" si="14"/>
        <v>130.9724753</v>
      </c>
      <c r="S81" s="373">
        <f t="shared" si="14"/>
        <v>137.5210991</v>
      </c>
      <c r="T81" s="373">
        <f t="shared" si="14"/>
        <v>144.397154</v>
      </c>
      <c r="U81" s="373">
        <f t="shared" si="14"/>
        <v>151.6170117</v>
      </c>
      <c r="V81" s="373">
        <f t="shared" si="14"/>
        <v>159.1978623</v>
      </c>
      <c r="W81" s="373">
        <f t="shared" si="14"/>
        <v>167.1577554</v>
      </c>
      <c r="X81" s="373">
        <f t="shared" si="14"/>
        <v>175.5156432</v>
      </c>
      <c r="Y81" s="373">
        <f t="shared" si="14"/>
        <v>184.2914254</v>
      </c>
      <c r="Z81" s="373">
        <f t="shared" si="14"/>
        <v>193.5059966</v>
      </c>
      <c r="AA81" s="373">
        <f t="shared" si="14"/>
        <v>203.1812965</v>
      </c>
      <c r="AB81" s="373">
        <f t="shared" si="14"/>
        <v>213.3403613</v>
      </c>
      <c r="AC81" s="373">
        <f t="shared" si="14"/>
        <v>224.0073793</v>
      </c>
      <c r="AD81" s="373">
        <f t="shared" si="14"/>
        <v>235.2077483</v>
      </c>
      <c r="AE81" s="373">
        <f t="shared" si="14"/>
        <v>246.9681357</v>
      </c>
      <c r="AF81" s="373"/>
      <c r="AG81" s="373"/>
      <c r="AH81" s="373"/>
      <c r="AI81" s="373"/>
      <c r="AJ81" s="373"/>
    </row>
    <row r="82" ht="15.0" customHeight="1">
      <c r="A82" s="370" t="s">
        <v>218</v>
      </c>
      <c r="B82" s="121">
        <v>0.0</v>
      </c>
      <c r="C82" s="121">
        <v>0.0</v>
      </c>
      <c r="D82" s="121">
        <v>0.0</v>
      </c>
      <c r="E82" s="121">
        <v>0.0</v>
      </c>
      <c r="F82" s="121">
        <v>0.0</v>
      </c>
      <c r="G82" s="121">
        <v>0.0</v>
      </c>
      <c r="H82" s="121">
        <v>0.0</v>
      </c>
      <c r="I82" s="121">
        <v>0.0</v>
      </c>
      <c r="J82" s="121">
        <v>0.0</v>
      </c>
      <c r="K82" s="121">
        <v>0.0</v>
      </c>
      <c r="L82" s="121">
        <v>0.0</v>
      </c>
      <c r="M82" s="121">
        <v>0.0</v>
      </c>
      <c r="N82" s="121">
        <v>0.0</v>
      </c>
      <c r="O82" s="121">
        <v>0.0</v>
      </c>
      <c r="P82" s="121">
        <v>0.0</v>
      </c>
      <c r="Q82" s="121">
        <v>0.0</v>
      </c>
      <c r="R82" s="121">
        <v>0.0</v>
      </c>
      <c r="S82" s="121">
        <v>0.0</v>
      </c>
      <c r="T82" s="121">
        <v>0.0</v>
      </c>
      <c r="U82" s="121">
        <v>0.0</v>
      </c>
      <c r="V82" s="121">
        <v>0.0</v>
      </c>
      <c r="W82" s="121">
        <v>0.0</v>
      </c>
      <c r="X82" s="121">
        <v>0.0</v>
      </c>
      <c r="Y82" s="121">
        <v>0.0</v>
      </c>
      <c r="Z82" s="121">
        <v>0.0</v>
      </c>
      <c r="AA82" s="121">
        <v>0.0</v>
      </c>
      <c r="AB82" s="121">
        <v>0.0</v>
      </c>
      <c r="AC82" s="121">
        <v>0.0</v>
      </c>
      <c r="AD82" s="121">
        <v>0.0</v>
      </c>
      <c r="AE82" s="121">
        <v>0.0</v>
      </c>
      <c r="AF82" s="373"/>
      <c r="AG82" s="373"/>
      <c r="AH82" s="373"/>
      <c r="AI82" s="373"/>
      <c r="AJ82" s="373"/>
    </row>
    <row r="83" ht="15.0" customHeight="1">
      <c r="A83" s="374" t="s">
        <v>622</v>
      </c>
      <c r="B83" s="373"/>
      <c r="C83" s="373"/>
      <c r="D83" s="373"/>
      <c r="E83" s="373"/>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c r="AD83" s="373"/>
      <c r="AE83" s="373"/>
      <c r="AF83" s="373"/>
      <c r="AG83" s="373"/>
      <c r="AH83" s="373"/>
      <c r="AI83" s="373"/>
      <c r="AJ83" s="373"/>
    </row>
    <row r="84" ht="15.0" customHeight="1">
      <c r="A84" s="373"/>
      <c r="B84" s="373"/>
      <c r="C84" s="373"/>
      <c r="D84" s="373"/>
      <c r="E84" s="373"/>
      <c r="F84" s="373"/>
      <c r="G84" s="373"/>
      <c r="H84" s="373"/>
      <c r="I84" s="373"/>
      <c r="J84" s="373"/>
      <c r="K84" s="373"/>
      <c r="L84" s="373"/>
      <c r="M84" s="373"/>
      <c r="N84" s="373"/>
      <c r="O84" s="373"/>
      <c r="P84" s="373"/>
      <c r="Q84" s="373"/>
      <c r="R84" s="373"/>
      <c r="S84" s="373"/>
      <c r="T84" s="373"/>
      <c r="U84" s="373"/>
      <c r="V84" s="373"/>
      <c r="W84" s="373"/>
      <c r="X84" s="373"/>
      <c r="Y84" s="373"/>
      <c r="Z84" s="373"/>
      <c r="AA84" s="373"/>
      <c r="AB84" s="373"/>
      <c r="AC84" s="373"/>
      <c r="AD84" s="373"/>
      <c r="AE84" s="373"/>
      <c r="AF84" s="373"/>
      <c r="AG84" s="373"/>
      <c r="AH84" s="373"/>
      <c r="AI84" s="373"/>
      <c r="AJ84" s="373"/>
    </row>
    <row r="85" ht="15.0" customHeight="1">
      <c r="A85" s="373" t="s">
        <v>215</v>
      </c>
      <c r="B85" s="373">
        <v>1.0</v>
      </c>
      <c r="C85" s="373">
        <v>2.0</v>
      </c>
      <c r="D85" s="373">
        <v>3.0</v>
      </c>
      <c r="E85" s="373">
        <v>4.0</v>
      </c>
      <c r="F85" s="373">
        <v>5.0</v>
      </c>
      <c r="G85" s="373">
        <v>6.0</v>
      </c>
      <c r="H85" s="373">
        <v>7.0</v>
      </c>
      <c r="I85" s="373">
        <v>8.0</v>
      </c>
      <c r="J85" s="373">
        <v>9.0</v>
      </c>
      <c r="K85" s="373">
        <v>10.0</v>
      </c>
      <c r="L85" s="373">
        <v>11.0</v>
      </c>
      <c r="M85" s="373">
        <v>12.0</v>
      </c>
      <c r="N85" s="373">
        <v>13.0</v>
      </c>
      <c r="O85" s="373">
        <v>14.0</v>
      </c>
      <c r="P85" s="373">
        <v>15.0</v>
      </c>
      <c r="Q85" s="373">
        <v>16.0</v>
      </c>
      <c r="R85" s="373">
        <v>17.0</v>
      </c>
      <c r="S85" s="373">
        <v>18.0</v>
      </c>
      <c r="T85" s="373">
        <v>19.0</v>
      </c>
      <c r="U85" s="373">
        <v>20.0</v>
      </c>
      <c r="V85" s="373">
        <v>21.0</v>
      </c>
      <c r="W85" s="373">
        <v>22.0</v>
      </c>
      <c r="X85" s="373">
        <v>23.0</v>
      </c>
      <c r="Y85" s="373">
        <v>24.0</v>
      </c>
      <c r="Z85" s="373">
        <v>25.0</v>
      </c>
      <c r="AA85" s="373">
        <v>26.0</v>
      </c>
      <c r="AB85" s="373">
        <v>27.0</v>
      </c>
      <c r="AC85" s="373">
        <v>28.0</v>
      </c>
      <c r="AD85" s="373">
        <v>29.0</v>
      </c>
      <c r="AE85" s="373">
        <v>30.0</v>
      </c>
      <c r="AF85" s="373"/>
      <c r="AG85" s="373"/>
      <c r="AH85" s="373"/>
      <c r="AI85" s="373"/>
      <c r="AJ85" s="373"/>
    </row>
    <row r="86" ht="15.0" customHeight="1">
      <c r="A86" s="370" t="s">
        <v>217</v>
      </c>
      <c r="B86" s="373">
        <v>60.0</v>
      </c>
      <c r="C86" s="373">
        <f t="shared" ref="C86:AE86" si="15">B86*1.05</f>
        <v>63</v>
      </c>
      <c r="D86" s="373">
        <f t="shared" si="15"/>
        <v>66.15</v>
      </c>
      <c r="E86" s="373">
        <f t="shared" si="15"/>
        <v>69.4575</v>
      </c>
      <c r="F86" s="373">
        <f t="shared" si="15"/>
        <v>72.930375</v>
      </c>
      <c r="G86" s="373">
        <f t="shared" si="15"/>
        <v>76.57689375</v>
      </c>
      <c r="H86" s="373">
        <f t="shared" si="15"/>
        <v>80.40573844</v>
      </c>
      <c r="I86" s="373">
        <f t="shared" si="15"/>
        <v>84.42602536</v>
      </c>
      <c r="J86" s="373">
        <f t="shared" si="15"/>
        <v>88.64732663</v>
      </c>
      <c r="K86" s="373">
        <f t="shared" si="15"/>
        <v>93.07969296</v>
      </c>
      <c r="L86" s="373">
        <f t="shared" si="15"/>
        <v>97.73367761</v>
      </c>
      <c r="M86" s="373">
        <f t="shared" si="15"/>
        <v>102.6203615</v>
      </c>
      <c r="N86" s="373">
        <f t="shared" si="15"/>
        <v>107.7513796</v>
      </c>
      <c r="O86" s="373">
        <f t="shared" si="15"/>
        <v>113.1389485</v>
      </c>
      <c r="P86" s="373">
        <f t="shared" si="15"/>
        <v>118.795896</v>
      </c>
      <c r="Q86" s="373">
        <f t="shared" si="15"/>
        <v>124.7356908</v>
      </c>
      <c r="R86" s="373">
        <f t="shared" si="15"/>
        <v>130.9724753</v>
      </c>
      <c r="S86" s="373">
        <f t="shared" si="15"/>
        <v>137.5210991</v>
      </c>
      <c r="T86" s="373">
        <f t="shared" si="15"/>
        <v>144.397154</v>
      </c>
      <c r="U86" s="373">
        <f t="shared" si="15"/>
        <v>151.6170117</v>
      </c>
      <c r="V86" s="373">
        <f t="shared" si="15"/>
        <v>159.1978623</v>
      </c>
      <c r="W86" s="373">
        <f t="shared" si="15"/>
        <v>167.1577554</v>
      </c>
      <c r="X86" s="373">
        <f t="shared" si="15"/>
        <v>175.5156432</v>
      </c>
      <c r="Y86" s="373">
        <f t="shared" si="15"/>
        <v>184.2914254</v>
      </c>
      <c r="Z86" s="373">
        <f t="shared" si="15"/>
        <v>193.5059966</v>
      </c>
      <c r="AA86" s="373">
        <f t="shared" si="15"/>
        <v>203.1812965</v>
      </c>
      <c r="AB86" s="373">
        <f t="shared" si="15"/>
        <v>213.3403613</v>
      </c>
      <c r="AC86" s="373">
        <f t="shared" si="15"/>
        <v>224.0073793</v>
      </c>
      <c r="AD86" s="373">
        <f t="shared" si="15"/>
        <v>235.2077483</v>
      </c>
      <c r="AE86" s="373">
        <f t="shared" si="15"/>
        <v>246.9681357</v>
      </c>
      <c r="AF86" s="373"/>
      <c r="AG86" s="373"/>
      <c r="AH86" s="373"/>
      <c r="AI86" s="373"/>
      <c r="AJ86" s="373"/>
    </row>
    <row r="87" ht="15.0" customHeight="1">
      <c r="A87" s="370" t="s">
        <v>218</v>
      </c>
      <c r="B87" s="121">
        <v>0.0</v>
      </c>
      <c r="C87" s="121">
        <v>0.0</v>
      </c>
      <c r="D87" s="121">
        <v>0.0</v>
      </c>
      <c r="E87" s="121">
        <v>0.0</v>
      </c>
      <c r="F87" s="121">
        <v>0.0</v>
      </c>
      <c r="G87" s="121">
        <v>0.0</v>
      </c>
      <c r="H87" s="121">
        <v>0.0</v>
      </c>
      <c r="I87" s="121">
        <v>0.0</v>
      </c>
      <c r="J87" s="121">
        <v>0.0</v>
      </c>
      <c r="K87" s="121">
        <v>0.0</v>
      </c>
      <c r="L87" s="121">
        <v>0.0</v>
      </c>
      <c r="M87" s="121">
        <v>0.0</v>
      </c>
      <c r="N87" s="121">
        <v>0.0</v>
      </c>
      <c r="O87" s="121">
        <v>0.0</v>
      </c>
      <c r="P87" s="121">
        <v>0.0</v>
      </c>
      <c r="Q87" s="121">
        <v>0.0</v>
      </c>
      <c r="R87" s="121">
        <v>0.0</v>
      </c>
      <c r="S87" s="121">
        <v>0.0</v>
      </c>
      <c r="T87" s="121">
        <v>0.0</v>
      </c>
      <c r="U87" s="121">
        <v>0.0</v>
      </c>
      <c r="V87" s="121">
        <v>0.0</v>
      </c>
      <c r="W87" s="121">
        <v>0.0</v>
      </c>
      <c r="X87" s="121">
        <v>0.0</v>
      </c>
      <c r="Y87" s="121">
        <v>0.0</v>
      </c>
      <c r="Z87" s="121">
        <v>0.0</v>
      </c>
      <c r="AA87" s="121">
        <v>0.0</v>
      </c>
      <c r="AB87" s="121">
        <v>0.0</v>
      </c>
      <c r="AC87" s="121">
        <v>0.0</v>
      </c>
      <c r="AD87" s="121">
        <v>0.0</v>
      </c>
      <c r="AE87" s="121">
        <v>0.0</v>
      </c>
      <c r="AF87" s="373"/>
      <c r="AG87" s="373"/>
      <c r="AH87" s="373"/>
      <c r="AI87" s="373"/>
      <c r="AJ87" s="373"/>
    </row>
    <row r="88" ht="15.0" customHeight="1">
      <c r="A88" s="319" t="s">
        <v>651</v>
      </c>
      <c r="B88" s="36"/>
      <c r="C88" s="36"/>
      <c r="D88" s="36"/>
      <c r="E88" s="36"/>
      <c r="F88" s="36"/>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row>
    <row r="89" ht="15.7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row>
    <row r="90" ht="15.0" customHeight="1">
      <c r="A90" s="36" t="s">
        <v>215</v>
      </c>
      <c r="B90" s="36">
        <v>1.0</v>
      </c>
      <c r="C90" s="36">
        <v>2.0</v>
      </c>
      <c r="D90" s="36">
        <v>3.0</v>
      </c>
      <c r="E90" s="36">
        <v>4.0</v>
      </c>
      <c r="F90" s="36">
        <v>5.0</v>
      </c>
      <c r="G90" s="36">
        <v>6.0</v>
      </c>
      <c r="H90" s="36">
        <v>7.0</v>
      </c>
      <c r="I90" s="36">
        <v>8.0</v>
      </c>
      <c r="J90" s="36">
        <v>9.0</v>
      </c>
      <c r="K90" s="36">
        <v>10.0</v>
      </c>
      <c r="L90" s="36">
        <v>11.0</v>
      </c>
      <c r="M90" s="36">
        <v>12.0</v>
      </c>
      <c r="N90" s="36">
        <v>13.0</v>
      </c>
      <c r="O90" s="36">
        <v>14.0</v>
      </c>
      <c r="P90" s="36">
        <v>15.0</v>
      </c>
      <c r="Q90" s="36">
        <v>16.0</v>
      </c>
      <c r="R90" s="36">
        <v>17.0</v>
      </c>
      <c r="S90" s="36">
        <v>18.0</v>
      </c>
      <c r="T90" s="36">
        <v>19.0</v>
      </c>
      <c r="U90" s="36">
        <v>20.0</v>
      </c>
      <c r="V90" s="36">
        <v>21.0</v>
      </c>
      <c r="W90" s="36">
        <v>22.0</v>
      </c>
      <c r="X90" s="36">
        <v>23.0</v>
      </c>
      <c r="Y90" s="36">
        <v>24.0</v>
      </c>
      <c r="Z90" s="36">
        <v>25.0</v>
      </c>
      <c r="AA90" s="36">
        <v>26.0</v>
      </c>
      <c r="AB90" s="36">
        <v>27.0</v>
      </c>
      <c r="AC90" s="36">
        <v>28.0</v>
      </c>
      <c r="AD90" s="36">
        <v>29.0</v>
      </c>
      <c r="AE90" s="36">
        <v>30.0</v>
      </c>
      <c r="AF90" s="36"/>
      <c r="AG90" s="36"/>
      <c r="AH90" s="36"/>
      <c r="AI90" s="36"/>
      <c r="AJ90" s="36"/>
    </row>
    <row r="91" ht="17.25" customHeight="1">
      <c r="A91" s="12" t="s">
        <v>217</v>
      </c>
      <c r="B91" s="12">
        <v>0.0</v>
      </c>
      <c r="C91" s="12">
        <v>0.0</v>
      </c>
      <c r="D91" s="12">
        <v>0.0</v>
      </c>
      <c r="E91" s="12">
        <v>0.0</v>
      </c>
      <c r="F91" s="12">
        <v>0.0</v>
      </c>
      <c r="G91" s="12">
        <v>0.0</v>
      </c>
      <c r="H91" s="12">
        <v>0.0</v>
      </c>
      <c r="I91" s="12">
        <v>0.0</v>
      </c>
      <c r="J91" s="12">
        <v>0.0</v>
      </c>
      <c r="K91" s="12">
        <v>0.0</v>
      </c>
      <c r="L91" s="12">
        <v>0.0</v>
      </c>
      <c r="M91" s="12">
        <v>0.0</v>
      </c>
      <c r="N91" s="12">
        <v>0.0</v>
      </c>
      <c r="O91" s="12">
        <v>0.0</v>
      </c>
      <c r="P91" s="12">
        <v>0.0</v>
      </c>
      <c r="Q91" s="12">
        <v>0.0</v>
      </c>
      <c r="R91" s="12">
        <v>0.0</v>
      </c>
      <c r="S91" s="12">
        <v>0.0</v>
      </c>
      <c r="T91" s="12">
        <v>0.0</v>
      </c>
      <c r="U91" s="12">
        <v>0.0</v>
      </c>
      <c r="V91" s="12">
        <v>0.0</v>
      </c>
      <c r="W91" s="12">
        <v>0.0</v>
      </c>
      <c r="X91" s="12">
        <v>0.0</v>
      </c>
      <c r="Y91" s="12">
        <v>0.0</v>
      </c>
      <c r="Z91" s="12">
        <v>0.0</v>
      </c>
      <c r="AA91" s="12">
        <v>0.0</v>
      </c>
      <c r="AB91" s="12">
        <v>0.0</v>
      </c>
      <c r="AC91" s="12">
        <v>0.0</v>
      </c>
      <c r="AD91" s="12">
        <v>0.0</v>
      </c>
      <c r="AE91" s="12">
        <v>0.0</v>
      </c>
      <c r="AF91" s="36"/>
      <c r="AG91" s="36"/>
      <c r="AH91" s="36"/>
      <c r="AI91" s="36"/>
      <c r="AJ91" s="36"/>
    </row>
    <row r="92" ht="15.75" customHeight="1">
      <c r="A92" s="12" t="s">
        <v>218</v>
      </c>
      <c r="B92" s="36">
        <f t="shared" ref="B92:AE92" si="16">0.4%</f>
        <v>0.004</v>
      </c>
      <c r="C92" s="36">
        <f t="shared" si="16"/>
        <v>0.004</v>
      </c>
      <c r="D92" s="36">
        <f t="shared" si="16"/>
        <v>0.004</v>
      </c>
      <c r="E92" s="36">
        <f t="shared" si="16"/>
        <v>0.004</v>
      </c>
      <c r="F92" s="36">
        <f t="shared" si="16"/>
        <v>0.004</v>
      </c>
      <c r="G92" s="36">
        <f t="shared" si="16"/>
        <v>0.004</v>
      </c>
      <c r="H92" s="36">
        <f t="shared" si="16"/>
        <v>0.004</v>
      </c>
      <c r="I92" s="36">
        <f t="shared" si="16"/>
        <v>0.004</v>
      </c>
      <c r="J92" s="36">
        <f t="shared" si="16"/>
        <v>0.004</v>
      </c>
      <c r="K92" s="36">
        <f t="shared" si="16"/>
        <v>0.004</v>
      </c>
      <c r="L92" s="36">
        <f t="shared" si="16"/>
        <v>0.004</v>
      </c>
      <c r="M92" s="36">
        <f t="shared" si="16"/>
        <v>0.004</v>
      </c>
      <c r="N92" s="36">
        <f t="shared" si="16"/>
        <v>0.004</v>
      </c>
      <c r="O92" s="36">
        <f t="shared" si="16"/>
        <v>0.004</v>
      </c>
      <c r="P92" s="36">
        <f t="shared" si="16"/>
        <v>0.004</v>
      </c>
      <c r="Q92" s="36">
        <f t="shared" si="16"/>
        <v>0.004</v>
      </c>
      <c r="R92" s="36">
        <f t="shared" si="16"/>
        <v>0.004</v>
      </c>
      <c r="S92" s="36">
        <f t="shared" si="16"/>
        <v>0.004</v>
      </c>
      <c r="T92" s="36">
        <f t="shared" si="16"/>
        <v>0.004</v>
      </c>
      <c r="U92" s="36">
        <f t="shared" si="16"/>
        <v>0.004</v>
      </c>
      <c r="V92" s="36">
        <f t="shared" si="16"/>
        <v>0.004</v>
      </c>
      <c r="W92" s="36">
        <f t="shared" si="16"/>
        <v>0.004</v>
      </c>
      <c r="X92" s="36">
        <f t="shared" si="16"/>
        <v>0.004</v>
      </c>
      <c r="Y92" s="36">
        <f t="shared" si="16"/>
        <v>0.004</v>
      </c>
      <c r="Z92" s="36">
        <f t="shared" si="16"/>
        <v>0.004</v>
      </c>
      <c r="AA92" s="36">
        <f t="shared" si="16"/>
        <v>0.004</v>
      </c>
      <c r="AB92" s="36">
        <f t="shared" si="16"/>
        <v>0.004</v>
      </c>
      <c r="AC92" s="36">
        <f t="shared" si="16"/>
        <v>0.004</v>
      </c>
      <c r="AD92" s="36">
        <f t="shared" si="16"/>
        <v>0.004</v>
      </c>
      <c r="AE92" s="36">
        <f t="shared" si="16"/>
        <v>0.004</v>
      </c>
      <c r="AF92" s="36"/>
      <c r="AG92" s="36"/>
      <c r="AH92" s="36"/>
      <c r="AI92" s="36"/>
      <c r="AJ92" s="36"/>
    </row>
    <row r="93" ht="15.0" customHeight="1">
      <c r="A93" s="319" t="s">
        <v>656</v>
      </c>
      <c r="B93" s="36"/>
      <c r="C93" s="36"/>
      <c r="D93" s="36"/>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row>
    <row r="94" ht="15.7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row>
    <row r="95" ht="15.0" customHeight="1">
      <c r="A95" s="36" t="s">
        <v>215</v>
      </c>
      <c r="B95" s="36">
        <v>1.0</v>
      </c>
      <c r="C95" s="36">
        <v>2.0</v>
      </c>
      <c r="D95" s="36">
        <v>3.0</v>
      </c>
      <c r="E95" s="36">
        <v>4.0</v>
      </c>
      <c r="F95" s="36">
        <v>5.0</v>
      </c>
      <c r="G95" s="36">
        <v>6.0</v>
      </c>
      <c r="H95" s="36">
        <v>7.0</v>
      </c>
      <c r="I95" s="36">
        <v>8.0</v>
      </c>
      <c r="J95" s="36">
        <v>9.0</v>
      </c>
      <c r="K95" s="36">
        <v>10.0</v>
      </c>
      <c r="L95" s="36">
        <v>11.0</v>
      </c>
      <c r="M95" s="36">
        <v>12.0</v>
      </c>
      <c r="N95" s="36">
        <v>13.0</v>
      </c>
      <c r="O95" s="36">
        <v>14.0</v>
      </c>
      <c r="P95" s="36">
        <v>15.0</v>
      </c>
      <c r="Q95" s="36">
        <v>16.0</v>
      </c>
      <c r="R95" s="36">
        <v>17.0</v>
      </c>
      <c r="S95" s="36">
        <v>18.0</v>
      </c>
      <c r="T95" s="36">
        <v>19.0</v>
      </c>
      <c r="U95" s="36">
        <v>20.0</v>
      </c>
      <c r="V95" s="36">
        <v>21.0</v>
      </c>
      <c r="W95" s="36">
        <v>22.0</v>
      </c>
      <c r="X95" s="36">
        <v>23.0</v>
      </c>
      <c r="Y95" s="36">
        <v>24.0</v>
      </c>
      <c r="Z95" s="36">
        <v>25.0</v>
      </c>
      <c r="AA95" s="36">
        <v>26.0</v>
      </c>
      <c r="AB95" s="36">
        <v>27.0</v>
      </c>
      <c r="AC95" s="36">
        <v>28.0</v>
      </c>
      <c r="AD95" s="36">
        <v>29.0</v>
      </c>
      <c r="AE95" s="36">
        <v>30.0</v>
      </c>
      <c r="AF95" s="36"/>
      <c r="AG95" s="36"/>
      <c r="AH95" s="36"/>
      <c r="AI95" s="36"/>
      <c r="AJ95" s="36"/>
    </row>
    <row r="96" ht="15.75" customHeight="1">
      <c r="A96" s="12" t="s">
        <v>217</v>
      </c>
      <c r="B96" s="12">
        <v>0.0</v>
      </c>
      <c r="C96" s="12">
        <v>0.0</v>
      </c>
      <c r="D96" s="12">
        <v>0.0</v>
      </c>
      <c r="E96" s="12">
        <v>0.0</v>
      </c>
      <c r="F96" s="12">
        <v>0.0</v>
      </c>
      <c r="G96" s="12">
        <v>0.0</v>
      </c>
      <c r="H96" s="12">
        <v>0.0</v>
      </c>
      <c r="I96" s="12">
        <v>0.0</v>
      </c>
      <c r="J96" s="12">
        <v>0.0</v>
      </c>
      <c r="K96" s="12">
        <v>0.0</v>
      </c>
      <c r="L96" s="12">
        <v>0.0</v>
      </c>
      <c r="M96" s="12">
        <v>0.0</v>
      </c>
      <c r="N96" s="12">
        <v>0.0</v>
      </c>
      <c r="O96" s="12">
        <v>0.0</v>
      </c>
      <c r="P96" s="12">
        <v>0.0</v>
      </c>
      <c r="Q96" s="12">
        <v>0.0</v>
      </c>
      <c r="R96" s="12">
        <v>0.0</v>
      </c>
      <c r="S96" s="12">
        <v>0.0</v>
      </c>
      <c r="T96" s="12">
        <v>0.0</v>
      </c>
      <c r="U96" s="12">
        <v>0.0</v>
      </c>
      <c r="V96" s="12">
        <v>0.0</v>
      </c>
      <c r="W96" s="12">
        <v>0.0</v>
      </c>
      <c r="X96" s="12">
        <v>0.0</v>
      </c>
      <c r="Y96" s="12">
        <v>0.0</v>
      </c>
      <c r="Z96" s="12">
        <v>0.0</v>
      </c>
      <c r="AA96" s="12">
        <v>0.0</v>
      </c>
      <c r="AB96" s="12">
        <v>0.0</v>
      </c>
      <c r="AC96" s="12">
        <v>0.0</v>
      </c>
      <c r="AD96" s="12">
        <v>0.0</v>
      </c>
      <c r="AE96" s="12">
        <v>0.0</v>
      </c>
      <c r="AF96" s="36"/>
      <c r="AG96" s="36"/>
      <c r="AH96" s="36"/>
      <c r="AI96" s="36"/>
      <c r="AJ96" s="36"/>
    </row>
    <row r="97" ht="15.75" customHeight="1">
      <c r="A97" s="12" t="s">
        <v>218</v>
      </c>
      <c r="B97" s="36">
        <f t="shared" ref="B97:AE97" si="17">0.4%</f>
        <v>0.004</v>
      </c>
      <c r="C97" s="36">
        <f t="shared" si="17"/>
        <v>0.004</v>
      </c>
      <c r="D97" s="36">
        <f t="shared" si="17"/>
        <v>0.004</v>
      </c>
      <c r="E97" s="36">
        <f t="shared" si="17"/>
        <v>0.004</v>
      </c>
      <c r="F97" s="36">
        <f t="shared" si="17"/>
        <v>0.004</v>
      </c>
      <c r="G97" s="36">
        <f t="shared" si="17"/>
        <v>0.004</v>
      </c>
      <c r="H97" s="36">
        <f t="shared" si="17"/>
        <v>0.004</v>
      </c>
      <c r="I97" s="36">
        <f t="shared" si="17"/>
        <v>0.004</v>
      </c>
      <c r="J97" s="36">
        <f t="shared" si="17"/>
        <v>0.004</v>
      </c>
      <c r="K97" s="36">
        <f t="shared" si="17"/>
        <v>0.004</v>
      </c>
      <c r="L97" s="36">
        <f t="shared" si="17"/>
        <v>0.004</v>
      </c>
      <c r="M97" s="36">
        <f t="shared" si="17"/>
        <v>0.004</v>
      </c>
      <c r="N97" s="36">
        <f t="shared" si="17"/>
        <v>0.004</v>
      </c>
      <c r="O97" s="36">
        <f t="shared" si="17"/>
        <v>0.004</v>
      </c>
      <c r="P97" s="36">
        <f t="shared" si="17"/>
        <v>0.004</v>
      </c>
      <c r="Q97" s="36">
        <f t="shared" si="17"/>
        <v>0.004</v>
      </c>
      <c r="R97" s="36">
        <f t="shared" si="17"/>
        <v>0.004</v>
      </c>
      <c r="S97" s="36">
        <f t="shared" si="17"/>
        <v>0.004</v>
      </c>
      <c r="T97" s="36">
        <f t="shared" si="17"/>
        <v>0.004</v>
      </c>
      <c r="U97" s="36">
        <f t="shared" si="17"/>
        <v>0.004</v>
      </c>
      <c r="V97" s="36">
        <f t="shared" si="17"/>
        <v>0.004</v>
      </c>
      <c r="W97" s="36">
        <f t="shared" si="17"/>
        <v>0.004</v>
      </c>
      <c r="X97" s="36">
        <f t="shared" si="17"/>
        <v>0.004</v>
      </c>
      <c r="Y97" s="36">
        <f t="shared" si="17"/>
        <v>0.004</v>
      </c>
      <c r="Z97" s="36">
        <f t="shared" si="17"/>
        <v>0.004</v>
      </c>
      <c r="AA97" s="36">
        <f t="shared" si="17"/>
        <v>0.004</v>
      </c>
      <c r="AB97" s="36">
        <f t="shared" si="17"/>
        <v>0.004</v>
      </c>
      <c r="AC97" s="36">
        <f t="shared" si="17"/>
        <v>0.004</v>
      </c>
      <c r="AD97" s="36">
        <f t="shared" si="17"/>
        <v>0.004</v>
      </c>
      <c r="AE97" s="36">
        <f t="shared" si="17"/>
        <v>0.004</v>
      </c>
      <c r="AF97" s="36"/>
      <c r="AG97" s="36"/>
      <c r="AH97" s="36"/>
      <c r="AI97" s="36"/>
      <c r="AJ97" s="36"/>
    </row>
    <row r="98" ht="15.0" customHeight="1">
      <c r="A98" s="319" t="s">
        <v>660</v>
      </c>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row>
    <row r="99" ht="15.7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row>
    <row r="100" ht="15.0" customHeight="1">
      <c r="A100" s="36" t="s">
        <v>215</v>
      </c>
      <c r="B100" s="36">
        <v>1.0</v>
      </c>
      <c r="C100" s="36">
        <v>2.0</v>
      </c>
      <c r="D100" s="36">
        <v>3.0</v>
      </c>
      <c r="E100" s="36">
        <v>4.0</v>
      </c>
      <c r="F100" s="36">
        <v>5.0</v>
      </c>
      <c r="G100" s="36">
        <v>6.0</v>
      </c>
      <c r="H100" s="36">
        <v>7.0</v>
      </c>
      <c r="I100" s="36">
        <v>8.0</v>
      </c>
      <c r="J100" s="36">
        <v>9.0</v>
      </c>
      <c r="K100" s="36">
        <v>10.0</v>
      </c>
      <c r="L100" s="36">
        <v>11.0</v>
      </c>
      <c r="M100" s="36">
        <v>12.0</v>
      </c>
      <c r="N100" s="36">
        <v>13.0</v>
      </c>
      <c r="O100" s="36">
        <v>14.0</v>
      </c>
      <c r="P100" s="36">
        <v>15.0</v>
      </c>
      <c r="Q100" s="36">
        <v>16.0</v>
      </c>
      <c r="R100" s="36">
        <v>17.0</v>
      </c>
      <c r="S100" s="36">
        <v>18.0</v>
      </c>
      <c r="T100" s="36">
        <v>19.0</v>
      </c>
      <c r="U100" s="36">
        <v>20.0</v>
      </c>
      <c r="V100" s="36">
        <v>21.0</v>
      </c>
      <c r="W100" s="36">
        <v>22.0</v>
      </c>
      <c r="X100" s="36">
        <v>23.0</v>
      </c>
      <c r="Y100" s="36">
        <v>24.0</v>
      </c>
      <c r="Z100" s="36">
        <v>25.0</v>
      </c>
      <c r="AA100" s="36">
        <v>26.0</v>
      </c>
      <c r="AB100" s="36">
        <v>27.0</v>
      </c>
      <c r="AC100" s="36">
        <v>28.0</v>
      </c>
      <c r="AD100" s="36">
        <v>29.0</v>
      </c>
      <c r="AE100" s="36">
        <v>30.0</v>
      </c>
      <c r="AF100" s="36"/>
      <c r="AG100" s="36"/>
      <c r="AH100" s="36"/>
      <c r="AI100" s="36"/>
      <c r="AJ100" s="36"/>
    </row>
    <row r="101" ht="15.75" customHeight="1">
      <c r="A101" s="12" t="s">
        <v>217</v>
      </c>
      <c r="B101" s="12">
        <v>0.0</v>
      </c>
      <c r="C101" s="12">
        <v>0.0</v>
      </c>
      <c r="D101" s="12">
        <v>0.0</v>
      </c>
      <c r="E101" s="12">
        <v>0.0</v>
      </c>
      <c r="F101" s="12">
        <v>0.0</v>
      </c>
      <c r="G101" s="12">
        <v>0.0</v>
      </c>
      <c r="H101" s="12">
        <v>0.0</v>
      </c>
      <c r="I101" s="12">
        <v>0.0</v>
      </c>
      <c r="J101" s="12">
        <v>0.0</v>
      </c>
      <c r="K101" s="12">
        <v>0.0</v>
      </c>
      <c r="L101" s="12">
        <v>0.0</v>
      </c>
      <c r="M101" s="12">
        <v>0.0</v>
      </c>
      <c r="N101" s="12">
        <v>0.0</v>
      </c>
      <c r="O101" s="12">
        <v>0.0</v>
      </c>
      <c r="P101" s="12">
        <v>0.0</v>
      </c>
      <c r="Q101" s="12">
        <v>0.0</v>
      </c>
      <c r="R101" s="12">
        <v>0.0</v>
      </c>
      <c r="S101" s="12">
        <v>0.0</v>
      </c>
      <c r="T101" s="12">
        <v>0.0</v>
      </c>
      <c r="U101" s="12">
        <v>0.0</v>
      </c>
      <c r="V101" s="12">
        <v>0.0</v>
      </c>
      <c r="W101" s="12">
        <v>0.0</v>
      </c>
      <c r="X101" s="12">
        <v>0.0</v>
      </c>
      <c r="Y101" s="12">
        <v>0.0</v>
      </c>
      <c r="Z101" s="12">
        <v>0.0</v>
      </c>
      <c r="AA101" s="12">
        <v>0.0</v>
      </c>
      <c r="AB101" s="12">
        <v>0.0</v>
      </c>
      <c r="AC101" s="12">
        <v>0.0</v>
      </c>
      <c r="AD101" s="12">
        <v>0.0</v>
      </c>
      <c r="AE101" s="12">
        <v>0.0</v>
      </c>
      <c r="AF101" s="36"/>
      <c r="AG101" s="36"/>
      <c r="AH101" s="36"/>
      <c r="AI101" s="36"/>
      <c r="AJ101" s="36"/>
    </row>
    <row r="102" ht="15.75" customHeight="1">
      <c r="A102" s="12" t="s">
        <v>218</v>
      </c>
      <c r="B102" s="194">
        <v>0.0025</v>
      </c>
      <c r="C102" s="194">
        <v>0.0025</v>
      </c>
      <c r="D102" s="194">
        <v>0.0025</v>
      </c>
      <c r="E102" s="194">
        <v>0.0025</v>
      </c>
      <c r="F102" s="194">
        <v>0.0025</v>
      </c>
      <c r="G102" s="12">
        <v>0.0</v>
      </c>
      <c r="H102" s="12">
        <v>0.0</v>
      </c>
      <c r="I102" s="12">
        <v>0.0</v>
      </c>
      <c r="J102" s="12">
        <v>0.0</v>
      </c>
      <c r="K102" s="12">
        <v>0.0</v>
      </c>
      <c r="L102" s="12">
        <v>0.0</v>
      </c>
      <c r="M102" s="12">
        <v>0.0</v>
      </c>
      <c r="N102" s="12">
        <v>0.0</v>
      </c>
      <c r="O102" s="12">
        <v>0.0</v>
      </c>
      <c r="P102" s="12">
        <v>0.0</v>
      </c>
      <c r="Q102" s="12">
        <v>0.0</v>
      </c>
      <c r="R102" s="12">
        <v>0.0</v>
      </c>
      <c r="S102" s="12">
        <v>0.0</v>
      </c>
      <c r="T102" s="12">
        <v>0.0</v>
      </c>
      <c r="U102" s="12">
        <v>0.0</v>
      </c>
      <c r="V102" s="12">
        <v>0.0</v>
      </c>
      <c r="W102" s="12">
        <v>0.0</v>
      </c>
      <c r="X102" s="12">
        <v>0.0</v>
      </c>
      <c r="Y102" s="12">
        <v>0.0</v>
      </c>
      <c r="Z102" s="12">
        <v>0.0</v>
      </c>
      <c r="AA102" s="12">
        <v>0.0</v>
      </c>
      <c r="AB102" s="12">
        <v>0.0</v>
      </c>
      <c r="AC102" s="12">
        <v>0.0</v>
      </c>
      <c r="AD102" s="12">
        <v>0.0</v>
      </c>
      <c r="AE102" s="12">
        <v>0.0</v>
      </c>
      <c r="AF102" s="36"/>
      <c r="AG102" s="36"/>
      <c r="AH102" s="36"/>
      <c r="AI102" s="36"/>
      <c r="AJ102" s="36"/>
    </row>
    <row r="103" ht="15.0" customHeight="1">
      <c r="A103" s="319" t="s">
        <v>665</v>
      </c>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row>
    <row r="104" ht="15.7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row>
    <row r="105" ht="15.0" customHeight="1">
      <c r="A105" s="36" t="s">
        <v>215</v>
      </c>
      <c r="B105" s="36">
        <v>1.0</v>
      </c>
      <c r="C105" s="36">
        <v>2.0</v>
      </c>
      <c r="D105" s="36">
        <v>3.0</v>
      </c>
      <c r="E105" s="36">
        <v>4.0</v>
      </c>
      <c r="F105" s="36">
        <v>5.0</v>
      </c>
      <c r="G105" s="36">
        <v>6.0</v>
      </c>
      <c r="H105" s="36">
        <v>7.0</v>
      </c>
      <c r="I105" s="36">
        <v>8.0</v>
      </c>
      <c r="J105" s="36">
        <v>9.0</v>
      </c>
      <c r="K105" s="36">
        <v>10.0</v>
      </c>
      <c r="L105" s="36">
        <v>11.0</v>
      </c>
      <c r="M105" s="36">
        <v>12.0</v>
      </c>
      <c r="N105" s="36">
        <v>13.0</v>
      </c>
      <c r="O105" s="36">
        <v>14.0</v>
      </c>
      <c r="P105" s="36">
        <v>15.0</v>
      </c>
      <c r="Q105" s="36">
        <v>16.0</v>
      </c>
      <c r="R105" s="36">
        <v>17.0</v>
      </c>
      <c r="S105" s="36">
        <v>18.0</v>
      </c>
      <c r="T105" s="36">
        <v>19.0</v>
      </c>
      <c r="U105" s="36">
        <v>20.0</v>
      </c>
      <c r="V105" s="36">
        <v>21.0</v>
      </c>
      <c r="W105" s="36">
        <v>22.0</v>
      </c>
      <c r="X105" s="36">
        <v>23.0</v>
      </c>
      <c r="Y105" s="36">
        <v>24.0</v>
      </c>
      <c r="Z105" s="36">
        <v>25.0</v>
      </c>
      <c r="AA105" s="36">
        <v>26.0</v>
      </c>
      <c r="AB105" s="36">
        <v>27.0</v>
      </c>
      <c r="AC105" s="36">
        <v>28.0</v>
      </c>
      <c r="AD105" s="36">
        <v>29.0</v>
      </c>
      <c r="AE105" s="36">
        <v>30.0</v>
      </c>
      <c r="AF105" s="36"/>
      <c r="AG105" s="36"/>
      <c r="AH105" s="36"/>
      <c r="AI105" s="36"/>
      <c r="AJ105" s="36"/>
    </row>
    <row r="106" ht="17.25" customHeight="1">
      <c r="A106" s="12" t="s">
        <v>217</v>
      </c>
      <c r="B106" s="12">
        <v>0.0</v>
      </c>
      <c r="C106" s="12">
        <v>0.0</v>
      </c>
      <c r="D106" s="12">
        <v>0.0</v>
      </c>
      <c r="E106" s="12">
        <v>0.0</v>
      </c>
      <c r="F106" s="12">
        <v>0.0</v>
      </c>
      <c r="G106" s="12">
        <v>0.0</v>
      </c>
      <c r="H106" s="12">
        <v>0.0</v>
      </c>
      <c r="I106" s="12">
        <v>0.0</v>
      </c>
      <c r="J106" s="12">
        <v>0.0</v>
      </c>
      <c r="K106" s="12">
        <v>0.0</v>
      </c>
      <c r="L106" s="12">
        <v>0.0</v>
      </c>
      <c r="M106" s="12">
        <v>0.0</v>
      </c>
      <c r="N106" s="12">
        <v>0.0</v>
      </c>
      <c r="O106" s="12">
        <v>0.0</v>
      </c>
      <c r="P106" s="12">
        <v>0.0</v>
      </c>
      <c r="Q106" s="12">
        <v>0.0</v>
      </c>
      <c r="R106" s="12">
        <v>0.0</v>
      </c>
      <c r="S106" s="12">
        <v>0.0</v>
      </c>
      <c r="T106" s="12">
        <v>0.0</v>
      </c>
      <c r="U106" s="12">
        <v>0.0</v>
      </c>
      <c r="V106" s="12">
        <v>0.0</v>
      </c>
      <c r="W106" s="12">
        <v>0.0</v>
      </c>
      <c r="X106" s="12">
        <v>0.0</v>
      </c>
      <c r="Y106" s="12">
        <v>0.0</v>
      </c>
      <c r="Z106" s="12">
        <v>0.0</v>
      </c>
      <c r="AA106" s="12">
        <v>0.0</v>
      </c>
      <c r="AB106" s="12">
        <v>0.0</v>
      </c>
      <c r="AC106" s="12">
        <v>0.0</v>
      </c>
      <c r="AD106" s="12">
        <v>0.0</v>
      </c>
      <c r="AE106" s="12">
        <v>0.0</v>
      </c>
      <c r="AF106" s="36"/>
      <c r="AG106" s="36"/>
      <c r="AH106" s="36"/>
      <c r="AI106" s="36"/>
      <c r="AJ106" s="36"/>
    </row>
    <row r="107" ht="15.75" customHeight="1">
      <c r="A107" s="12" t="s">
        <v>218</v>
      </c>
      <c r="B107" s="36">
        <f t="shared" ref="B107:AE107" si="18">0.4%</f>
        <v>0.004</v>
      </c>
      <c r="C107" s="36">
        <f t="shared" si="18"/>
        <v>0.004</v>
      </c>
      <c r="D107" s="36">
        <f t="shared" si="18"/>
        <v>0.004</v>
      </c>
      <c r="E107" s="36">
        <f t="shared" si="18"/>
        <v>0.004</v>
      </c>
      <c r="F107" s="36">
        <f t="shared" si="18"/>
        <v>0.004</v>
      </c>
      <c r="G107" s="36">
        <f t="shared" si="18"/>
        <v>0.004</v>
      </c>
      <c r="H107" s="36">
        <f t="shared" si="18"/>
        <v>0.004</v>
      </c>
      <c r="I107" s="36">
        <f t="shared" si="18"/>
        <v>0.004</v>
      </c>
      <c r="J107" s="36">
        <f t="shared" si="18"/>
        <v>0.004</v>
      </c>
      <c r="K107" s="36">
        <f t="shared" si="18"/>
        <v>0.004</v>
      </c>
      <c r="L107" s="36">
        <f t="shared" si="18"/>
        <v>0.004</v>
      </c>
      <c r="M107" s="36">
        <f t="shared" si="18"/>
        <v>0.004</v>
      </c>
      <c r="N107" s="36">
        <f t="shared" si="18"/>
        <v>0.004</v>
      </c>
      <c r="O107" s="36">
        <f t="shared" si="18"/>
        <v>0.004</v>
      </c>
      <c r="P107" s="36">
        <f t="shared" si="18"/>
        <v>0.004</v>
      </c>
      <c r="Q107" s="36">
        <f t="shared" si="18"/>
        <v>0.004</v>
      </c>
      <c r="R107" s="36">
        <f t="shared" si="18"/>
        <v>0.004</v>
      </c>
      <c r="S107" s="36">
        <f t="shared" si="18"/>
        <v>0.004</v>
      </c>
      <c r="T107" s="36">
        <f t="shared" si="18"/>
        <v>0.004</v>
      </c>
      <c r="U107" s="36">
        <f t="shared" si="18"/>
        <v>0.004</v>
      </c>
      <c r="V107" s="36">
        <f t="shared" si="18"/>
        <v>0.004</v>
      </c>
      <c r="W107" s="36">
        <f t="shared" si="18"/>
        <v>0.004</v>
      </c>
      <c r="X107" s="36">
        <f t="shared" si="18"/>
        <v>0.004</v>
      </c>
      <c r="Y107" s="36">
        <f t="shared" si="18"/>
        <v>0.004</v>
      </c>
      <c r="Z107" s="36">
        <f t="shared" si="18"/>
        <v>0.004</v>
      </c>
      <c r="AA107" s="36">
        <f t="shared" si="18"/>
        <v>0.004</v>
      </c>
      <c r="AB107" s="36">
        <f t="shared" si="18"/>
        <v>0.004</v>
      </c>
      <c r="AC107" s="36">
        <f t="shared" si="18"/>
        <v>0.004</v>
      </c>
      <c r="AD107" s="36">
        <f t="shared" si="18"/>
        <v>0.004</v>
      </c>
      <c r="AE107" s="36">
        <f t="shared" si="18"/>
        <v>0.004</v>
      </c>
      <c r="AF107" s="36"/>
      <c r="AG107" s="36"/>
      <c r="AH107" s="36"/>
      <c r="AI107" s="36"/>
      <c r="AJ107" s="36"/>
    </row>
    <row r="108" ht="15.0" customHeight="1">
      <c r="A108" s="319" t="s">
        <v>669</v>
      </c>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row>
    <row r="109" ht="15.7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row>
    <row r="110" ht="15.0" customHeight="1">
      <c r="A110" s="36" t="s">
        <v>215</v>
      </c>
      <c r="B110" s="36">
        <v>1.0</v>
      </c>
      <c r="C110" s="36">
        <v>2.0</v>
      </c>
      <c r="D110" s="36">
        <v>3.0</v>
      </c>
      <c r="E110" s="36">
        <v>4.0</v>
      </c>
      <c r="F110" s="36">
        <v>5.0</v>
      </c>
      <c r="G110" s="36">
        <v>6.0</v>
      </c>
      <c r="H110" s="36">
        <v>7.0</v>
      </c>
      <c r="I110" s="36">
        <v>8.0</v>
      </c>
      <c r="J110" s="36">
        <v>9.0</v>
      </c>
      <c r="K110" s="36">
        <v>10.0</v>
      </c>
      <c r="L110" s="36">
        <v>11.0</v>
      </c>
      <c r="M110" s="36">
        <v>12.0</v>
      </c>
      <c r="N110" s="36">
        <v>13.0</v>
      </c>
      <c r="O110" s="36">
        <v>14.0</v>
      </c>
      <c r="P110" s="36">
        <v>15.0</v>
      </c>
      <c r="Q110" s="36">
        <v>16.0</v>
      </c>
      <c r="R110" s="36">
        <v>17.0</v>
      </c>
      <c r="S110" s="36">
        <v>18.0</v>
      </c>
      <c r="T110" s="36">
        <v>19.0</v>
      </c>
      <c r="U110" s="36">
        <v>20.0</v>
      </c>
      <c r="V110" s="36">
        <v>21.0</v>
      </c>
      <c r="W110" s="36">
        <v>22.0</v>
      </c>
      <c r="X110" s="36">
        <v>23.0</v>
      </c>
      <c r="Y110" s="36">
        <v>24.0</v>
      </c>
      <c r="Z110" s="36">
        <v>25.0</v>
      </c>
      <c r="AA110" s="36">
        <v>26.0</v>
      </c>
      <c r="AB110" s="36">
        <v>27.0</v>
      </c>
      <c r="AC110" s="36">
        <v>28.0</v>
      </c>
      <c r="AD110" s="36">
        <v>29.0</v>
      </c>
      <c r="AE110" s="36">
        <v>30.0</v>
      </c>
      <c r="AF110" s="36"/>
      <c r="AG110" s="36"/>
      <c r="AH110" s="36"/>
      <c r="AI110" s="36"/>
      <c r="AJ110" s="36"/>
    </row>
    <row r="111" ht="17.25" customHeight="1">
      <c r="A111" s="12" t="s">
        <v>217</v>
      </c>
      <c r="B111" s="12">
        <v>0.0</v>
      </c>
      <c r="C111" s="12">
        <v>0.0</v>
      </c>
      <c r="D111" s="12">
        <v>0.0</v>
      </c>
      <c r="E111" s="12">
        <v>0.0</v>
      </c>
      <c r="F111" s="12">
        <v>0.0</v>
      </c>
      <c r="G111" s="12">
        <v>0.0</v>
      </c>
      <c r="H111" s="12">
        <v>0.0</v>
      </c>
      <c r="I111" s="12">
        <v>0.0</v>
      </c>
      <c r="J111" s="12">
        <v>0.0</v>
      </c>
      <c r="K111" s="12">
        <v>0.0</v>
      </c>
      <c r="L111" s="12">
        <v>0.0</v>
      </c>
      <c r="M111" s="12">
        <v>0.0</v>
      </c>
      <c r="N111" s="12">
        <v>0.0</v>
      </c>
      <c r="O111" s="12">
        <v>0.0</v>
      </c>
      <c r="P111" s="12">
        <v>0.0</v>
      </c>
      <c r="Q111" s="12">
        <v>0.0</v>
      </c>
      <c r="R111" s="12">
        <v>0.0</v>
      </c>
      <c r="S111" s="12">
        <v>0.0</v>
      </c>
      <c r="T111" s="12">
        <v>0.0</v>
      </c>
      <c r="U111" s="12">
        <v>0.0</v>
      </c>
      <c r="V111" s="12">
        <v>0.0</v>
      </c>
      <c r="W111" s="12">
        <v>0.0</v>
      </c>
      <c r="X111" s="12">
        <v>0.0</v>
      </c>
      <c r="Y111" s="12">
        <v>0.0</v>
      </c>
      <c r="Z111" s="12">
        <v>0.0</v>
      </c>
      <c r="AA111" s="12">
        <v>0.0</v>
      </c>
      <c r="AB111" s="12">
        <v>0.0</v>
      </c>
      <c r="AC111" s="12">
        <v>0.0</v>
      </c>
      <c r="AD111" s="12">
        <v>0.0</v>
      </c>
      <c r="AE111" s="12">
        <v>0.0</v>
      </c>
      <c r="AF111" s="36"/>
      <c r="AG111" s="36"/>
      <c r="AH111" s="36"/>
      <c r="AI111" s="36"/>
      <c r="AJ111" s="36"/>
    </row>
    <row r="112" ht="15.75" customHeight="1">
      <c r="A112" s="12" t="s">
        <v>218</v>
      </c>
      <c r="B112" s="36">
        <f t="shared" ref="B112:AE112" si="19">0.04%</f>
        <v>0.0004</v>
      </c>
      <c r="C112" s="36">
        <f t="shared" si="19"/>
        <v>0.0004</v>
      </c>
      <c r="D112" s="36">
        <f t="shared" si="19"/>
        <v>0.0004</v>
      </c>
      <c r="E112" s="36">
        <f t="shared" si="19"/>
        <v>0.0004</v>
      </c>
      <c r="F112" s="36">
        <f t="shared" si="19"/>
        <v>0.0004</v>
      </c>
      <c r="G112" s="36">
        <f t="shared" si="19"/>
        <v>0.0004</v>
      </c>
      <c r="H112" s="36">
        <f t="shared" si="19"/>
        <v>0.0004</v>
      </c>
      <c r="I112" s="36">
        <f t="shared" si="19"/>
        <v>0.0004</v>
      </c>
      <c r="J112" s="36">
        <f t="shared" si="19"/>
        <v>0.0004</v>
      </c>
      <c r="K112" s="36">
        <f t="shared" si="19"/>
        <v>0.0004</v>
      </c>
      <c r="L112" s="36">
        <f t="shared" si="19"/>
        <v>0.0004</v>
      </c>
      <c r="M112" s="36">
        <f t="shared" si="19"/>
        <v>0.0004</v>
      </c>
      <c r="N112" s="36">
        <f t="shared" si="19"/>
        <v>0.0004</v>
      </c>
      <c r="O112" s="36">
        <f t="shared" si="19"/>
        <v>0.0004</v>
      </c>
      <c r="P112" s="36">
        <f t="shared" si="19"/>
        <v>0.0004</v>
      </c>
      <c r="Q112" s="36">
        <f t="shared" si="19"/>
        <v>0.0004</v>
      </c>
      <c r="R112" s="36">
        <f t="shared" si="19"/>
        <v>0.0004</v>
      </c>
      <c r="S112" s="36">
        <f t="shared" si="19"/>
        <v>0.0004</v>
      </c>
      <c r="T112" s="36">
        <f t="shared" si="19"/>
        <v>0.0004</v>
      </c>
      <c r="U112" s="36">
        <f t="shared" si="19"/>
        <v>0.0004</v>
      </c>
      <c r="V112" s="36">
        <f t="shared" si="19"/>
        <v>0.0004</v>
      </c>
      <c r="W112" s="36">
        <f t="shared" si="19"/>
        <v>0.0004</v>
      </c>
      <c r="X112" s="36">
        <f t="shared" si="19"/>
        <v>0.0004</v>
      </c>
      <c r="Y112" s="36">
        <f t="shared" si="19"/>
        <v>0.0004</v>
      </c>
      <c r="Z112" s="36">
        <f t="shared" si="19"/>
        <v>0.0004</v>
      </c>
      <c r="AA112" s="36">
        <f t="shared" si="19"/>
        <v>0.0004</v>
      </c>
      <c r="AB112" s="36">
        <f t="shared" si="19"/>
        <v>0.0004</v>
      </c>
      <c r="AC112" s="36">
        <f t="shared" si="19"/>
        <v>0.0004</v>
      </c>
      <c r="AD112" s="36">
        <f t="shared" si="19"/>
        <v>0.0004</v>
      </c>
      <c r="AE112" s="36">
        <f t="shared" si="19"/>
        <v>0.0004</v>
      </c>
      <c r="AF112" s="36"/>
      <c r="AG112" s="36"/>
      <c r="AH112" s="36"/>
      <c r="AI112" s="36"/>
      <c r="AJ112" s="36"/>
    </row>
    <row r="113" ht="15.0" customHeight="1">
      <c r="A113" s="319" t="s">
        <v>674</v>
      </c>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row>
    <row r="114" ht="15.7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c r="AA114" s="36"/>
      <c r="AB114" s="36"/>
      <c r="AC114" s="36"/>
      <c r="AD114" s="36"/>
      <c r="AE114" s="36"/>
      <c r="AF114" s="36"/>
      <c r="AG114" s="36"/>
      <c r="AH114" s="36"/>
      <c r="AI114" s="36"/>
      <c r="AJ114" s="36"/>
    </row>
    <row r="115" ht="15.0" customHeight="1">
      <c r="A115" s="36" t="s">
        <v>215</v>
      </c>
      <c r="B115" s="36">
        <v>1.0</v>
      </c>
      <c r="C115" s="36">
        <v>2.0</v>
      </c>
      <c r="D115" s="36">
        <v>3.0</v>
      </c>
      <c r="E115" s="36">
        <v>4.0</v>
      </c>
      <c r="F115" s="36">
        <v>5.0</v>
      </c>
      <c r="G115" s="36">
        <v>6.0</v>
      </c>
      <c r="H115" s="36">
        <v>7.0</v>
      </c>
      <c r="I115" s="36">
        <v>8.0</v>
      </c>
      <c r="J115" s="36">
        <v>9.0</v>
      </c>
      <c r="K115" s="36">
        <v>10.0</v>
      </c>
      <c r="L115" s="36">
        <v>11.0</v>
      </c>
      <c r="M115" s="36">
        <v>12.0</v>
      </c>
      <c r="N115" s="36">
        <v>13.0</v>
      </c>
      <c r="O115" s="36">
        <v>14.0</v>
      </c>
      <c r="P115" s="36">
        <v>15.0</v>
      </c>
      <c r="Q115" s="36">
        <v>16.0</v>
      </c>
      <c r="R115" s="36">
        <v>17.0</v>
      </c>
      <c r="S115" s="36">
        <v>18.0</v>
      </c>
      <c r="T115" s="36">
        <v>19.0</v>
      </c>
      <c r="U115" s="36">
        <v>20.0</v>
      </c>
      <c r="V115" s="36">
        <v>21.0</v>
      </c>
      <c r="W115" s="36">
        <v>22.0</v>
      </c>
      <c r="X115" s="36">
        <v>23.0</v>
      </c>
      <c r="Y115" s="36">
        <v>24.0</v>
      </c>
      <c r="Z115" s="36">
        <v>25.0</v>
      </c>
      <c r="AA115" s="36">
        <v>26.0</v>
      </c>
      <c r="AB115" s="36">
        <v>27.0</v>
      </c>
      <c r="AC115" s="36">
        <v>28.0</v>
      </c>
      <c r="AD115" s="36">
        <v>29.0</v>
      </c>
      <c r="AE115" s="36">
        <v>30.0</v>
      </c>
      <c r="AF115" s="36"/>
      <c r="AG115" s="36"/>
      <c r="AH115" s="36"/>
      <c r="AI115" s="36"/>
      <c r="AJ115" s="36"/>
    </row>
    <row r="116" ht="17.25" customHeight="1">
      <c r="A116" s="12" t="s">
        <v>217</v>
      </c>
      <c r="B116" s="12">
        <v>0.0</v>
      </c>
      <c r="C116" s="12">
        <v>0.0</v>
      </c>
      <c r="D116" s="12">
        <v>0.0</v>
      </c>
      <c r="E116" s="12">
        <v>0.0</v>
      </c>
      <c r="F116" s="12">
        <v>0.0</v>
      </c>
      <c r="G116" s="12">
        <v>0.0</v>
      </c>
      <c r="H116" s="12">
        <v>0.0</v>
      </c>
      <c r="I116" s="12">
        <v>0.0</v>
      </c>
      <c r="J116" s="12">
        <v>0.0</v>
      </c>
      <c r="K116" s="12">
        <v>0.0</v>
      </c>
      <c r="L116" s="12">
        <v>0.0</v>
      </c>
      <c r="M116" s="12">
        <v>0.0</v>
      </c>
      <c r="N116" s="12">
        <v>0.0</v>
      </c>
      <c r="O116" s="12">
        <v>0.0</v>
      </c>
      <c r="P116" s="12">
        <v>0.0</v>
      </c>
      <c r="Q116" s="12">
        <v>0.0</v>
      </c>
      <c r="R116" s="12">
        <v>0.0</v>
      </c>
      <c r="S116" s="12">
        <v>0.0</v>
      </c>
      <c r="T116" s="12">
        <v>0.0</v>
      </c>
      <c r="U116" s="12">
        <v>0.0</v>
      </c>
      <c r="V116" s="12">
        <v>0.0</v>
      </c>
      <c r="W116" s="12">
        <v>0.0</v>
      </c>
      <c r="X116" s="12">
        <v>0.0</v>
      </c>
      <c r="Y116" s="12">
        <v>0.0</v>
      </c>
      <c r="Z116" s="12">
        <v>0.0</v>
      </c>
      <c r="AA116" s="12">
        <v>0.0</v>
      </c>
      <c r="AB116" s="12">
        <v>0.0</v>
      </c>
      <c r="AC116" s="12">
        <v>0.0</v>
      </c>
      <c r="AD116" s="12">
        <v>0.0</v>
      </c>
      <c r="AE116" s="12">
        <v>0.0</v>
      </c>
      <c r="AF116" s="36"/>
      <c r="AG116" s="36"/>
      <c r="AH116" s="36"/>
      <c r="AI116" s="36"/>
      <c r="AJ116" s="36"/>
    </row>
    <row r="117" ht="15.75" customHeight="1">
      <c r="A117" s="12" t="s">
        <v>218</v>
      </c>
      <c r="B117" s="36">
        <f t="shared" ref="B117:F117" si="20">0.95%</f>
        <v>0.0095</v>
      </c>
      <c r="C117" s="36">
        <f t="shared" si="20"/>
        <v>0.0095</v>
      </c>
      <c r="D117" s="36">
        <f t="shared" si="20"/>
        <v>0.0095</v>
      </c>
      <c r="E117" s="36">
        <f t="shared" si="20"/>
        <v>0.0095</v>
      </c>
      <c r="F117" s="36">
        <f t="shared" si="20"/>
        <v>0.0095</v>
      </c>
      <c r="G117" s="36">
        <v>0.0</v>
      </c>
      <c r="H117" s="36">
        <v>0.0</v>
      </c>
      <c r="I117" s="36">
        <v>0.0</v>
      </c>
      <c r="J117" s="36">
        <v>0.0</v>
      </c>
      <c r="K117" s="36">
        <v>0.0</v>
      </c>
      <c r="L117" s="36">
        <v>0.0</v>
      </c>
      <c r="M117" s="36">
        <v>0.0</v>
      </c>
      <c r="N117" s="36">
        <v>0.0</v>
      </c>
      <c r="O117" s="36">
        <v>0.0</v>
      </c>
      <c r="P117" s="36">
        <v>0.0</v>
      </c>
      <c r="Q117" s="36">
        <v>0.0</v>
      </c>
      <c r="R117" s="36">
        <v>0.0</v>
      </c>
      <c r="S117" s="36">
        <v>0.0</v>
      </c>
      <c r="T117" s="36">
        <v>0.0</v>
      </c>
      <c r="U117" s="36">
        <v>0.0</v>
      </c>
      <c r="V117" s="36">
        <v>0.0</v>
      </c>
      <c r="W117" s="36">
        <v>0.0</v>
      </c>
      <c r="X117" s="36">
        <v>0.0</v>
      </c>
      <c r="Y117" s="36">
        <v>0.0</v>
      </c>
      <c r="Z117" s="36">
        <v>0.0</v>
      </c>
      <c r="AA117" s="36">
        <v>0.0</v>
      </c>
      <c r="AB117" s="36">
        <v>0.0</v>
      </c>
      <c r="AC117" s="36">
        <v>0.0</v>
      </c>
      <c r="AD117" s="36">
        <v>0.0</v>
      </c>
      <c r="AE117" s="36">
        <v>0.0</v>
      </c>
      <c r="AF117" s="36"/>
      <c r="AG117" s="36"/>
      <c r="AH117" s="36"/>
      <c r="AI117" s="36"/>
      <c r="AJ117" s="36"/>
    </row>
    <row r="118" ht="15.0" customHeight="1">
      <c r="A118" s="319" t="s">
        <v>679</v>
      </c>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c r="AA118" s="36"/>
      <c r="AB118" s="36"/>
      <c r="AC118" s="36"/>
      <c r="AD118" s="36"/>
      <c r="AE118" s="36"/>
      <c r="AF118" s="36"/>
      <c r="AG118" s="36"/>
      <c r="AH118" s="36"/>
      <c r="AI118" s="36"/>
      <c r="AJ118" s="36"/>
    </row>
    <row r="119" ht="15.7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c r="AA119" s="36"/>
      <c r="AB119" s="36"/>
      <c r="AC119" s="36"/>
      <c r="AD119" s="36"/>
      <c r="AE119" s="36"/>
      <c r="AF119" s="36"/>
      <c r="AG119" s="36"/>
      <c r="AH119" s="36"/>
      <c r="AI119" s="36"/>
      <c r="AJ119" s="36"/>
    </row>
    <row r="120" ht="15.0" customHeight="1">
      <c r="A120" s="36" t="s">
        <v>215</v>
      </c>
      <c r="B120" s="36">
        <v>1.0</v>
      </c>
      <c r="C120" s="36">
        <v>2.0</v>
      </c>
      <c r="D120" s="36">
        <v>3.0</v>
      </c>
      <c r="E120" s="36">
        <v>4.0</v>
      </c>
      <c r="F120" s="36">
        <v>5.0</v>
      </c>
      <c r="G120" s="36">
        <v>6.0</v>
      </c>
      <c r="H120" s="36">
        <v>7.0</v>
      </c>
      <c r="I120" s="36">
        <v>8.0</v>
      </c>
      <c r="J120" s="36">
        <v>9.0</v>
      </c>
      <c r="K120" s="36">
        <v>10.0</v>
      </c>
      <c r="L120" s="36">
        <v>11.0</v>
      </c>
      <c r="M120" s="36">
        <v>12.0</v>
      </c>
      <c r="N120" s="36">
        <v>13.0</v>
      </c>
      <c r="O120" s="36">
        <v>14.0</v>
      </c>
      <c r="P120" s="36">
        <v>15.0</v>
      </c>
      <c r="Q120" s="36">
        <v>16.0</v>
      </c>
      <c r="R120" s="36">
        <v>17.0</v>
      </c>
      <c r="S120" s="36">
        <v>18.0</v>
      </c>
      <c r="T120" s="36">
        <v>19.0</v>
      </c>
      <c r="U120" s="36">
        <v>20.0</v>
      </c>
      <c r="V120" s="36">
        <v>21.0</v>
      </c>
      <c r="W120" s="36">
        <v>22.0</v>
      </c>
      <c r="X120" s="36">
        <v>23.0</v>
      </c>
      <c r="Y120" s="36">
        <v>24.0</v>
      </c>
      <c r="Z120" s="36">
        <v>25.0</v>
      </c>
      <c r="AA120" s="36">
        <v>26.0</v>
      </c>
      <c r="AB120" s="36">
        <v>27.0</v>
      </c>
      <c r="AC120" s="36">
        <v>28.0</v>
      </c>
      <c r="AD120" s="36">
        <v>29.0</v>
      </c>
      <c r="AE120" s="36">
        <v>30.0</v>
      </c>
      <c r="AF120" s="36"/>
      <c r="AG120" s="36"/>
      <c r="AH120" s="36"/>
      <c r="AI120" s="36"/>
      <c r="AJ120" s="36"/>
    </row>
    <row r="121" ht="17.25" customHeight="1">
      <c r="A121" s="12" t="s">
        <v>217</v>
      </c>
      <c r="B121" s="12">
        <v>0.0</v>
      </c>
      <c r="C121" s="12">
        <v>0.0</v>
      </c>
      <c r="D121" s="12">
        <v>0.0</v>
      </c>
      <c r="E121" s="12">
        <v>0.0</v>
      </c>
      <c r="F121" s="12">
        <v>0.0</v>
      </c>
      <c r="G121" s="12">
        <v>0.0</v>
      </c>
      <c r="H121" s="12">
        <v>0.0</v>
      </c>
      <c r="I121" s="12">
        <v>0.0</v>
      </c>
      <c r="J121" s="12">
        <v>0.0</v>
      </c>
      <c r="K121" s="12">
        <v>0.0</v>
      </c>
      <c r="L121" s="12">
        <v>0.0</v>
      </c>
      <c r="M121" s="12">
        <v>0.0</v>
      </c>
      <c r="N121" s="12">
        <v>0.0</v>
      </c>
      <c r="O121" s="12">
        <v>0.0</v>
      </c>
      <c r="P121" s="12">
        <v>0.0</v>
      </c>
      <c r="Q121" s="12">
        <v>0.0</v>
      </c>
      <c r="R121" s="12">
        <v>0.0</v>
      </c>
      <c r="S121" s="12">
        <v>0.0</v>
      </c>
      <c r="T121" s="12">
        <v>0.0</v>
      </c>
      <c r="U121" s="12">
        <v>0.0</v>
      </c>
      <c r="V121" s="12">
        <v>0.0</v>
      </c>
      <c r="W121" s="12">
        <v>0.0</v>
      </c>
      <c r="X121" s="12">
        <v>0.0</v>
      </c>
      <c r="Y121" s="12">
        <v>0.0</v>
      </c>
      <c r="Z121" s="12">
        <v>0.0</v>
      </c>
      <c r="AA121" s="12">
        <v>0.0</v>
      </c>
      <c r="AB121" s="12">
        <v>0.0</v>
      </c>
      <c r="AC121" s="12">
        <v>0.0</v>
      </c>
      <c r="AD121" s="12">
        <v>0.0</v>
      </c>
      <c r="AE121" s="12">
        <v>0.0</v>
      </c>
      <c r="AF121" s="36"/>
      <c r="AG121" s="36"/>
      <c r="AH121" s="36"/>
      <c r="AI121" s="36"/>
      <c r="AJ121" s="36"/>
    </row>
    <row r="122" ht="15.75" customHeight="1">
      <c r="A122" s="12" t="s">
        <v>218</v>
      </c>
      <c r="B122" s="36">
        <f t="shared" ref="B122:AE122" si="21">0.04%</f>
        <v>0.0004</v>
      </c>
      <c r="C122" s="36">
        <f t="shared" si="21"/>
        <v>0.0004</v>
      </c>
      <c r="D122" s="36">
        <f t="shared" si="21"/>
        <v>0.0004</v>
      </c>
      <c r="E122" s="36">
        <f t="shared" si="21"/>
        <v>0.0004</v>
      </c>
      <c r="F122" s="36">
        <f t="shared" si="21"/>
        <v>0.0004</v>
      </c>
      <c r="G122" s="36">
        <f t="shared" si="21"/>
        <v>0.0004</v>
      </c>
      <c r="H122" s="36">
        <f t="shared" si="21"/>
        <v>0.0004</v>
      </c>
      <c r="I122" s="36">
        <f t="shared" si="21"/>
        <v>0.0004</v>
      </c>
      <c r="J122" s="36">
        <f t="shared" si="21"/>
        <v>0.0004</v>
      </c>
      <c r="K122" s="36">
        <f t="shared" si="21"/>
        <v>0.0004</v>
      </c>
      <c r="L122" s="36">
        <f t="shared" si="21"/>
        <v>0.0004</v>
      </c>
      <c r="M122" s="36">
        <f t="shared" si="21"/>
        <v>0.0004</v>
      </c>
      <c r="N122" s="36">
        <f t="shared" si="21"/>
        <v>0.0004</v>
      </c>
      <c r="O122" s="36">
        <f t="shared" si="21"/>
        <v>0.0004</v>
      </c>
      <c r="P122" s="36">
        <f t="shared" si="21"/>
        <v>0.0004</v>
      </c>
      <c r="Q122" s="36">
        <f t="shared" si="21"/>
        <v>0.0004</v>
      </c>
      <c r="R122" s="36">
        <f t="shared" si="21"/>
        <v>0.0004</v>
      </c>
      <c r="S122" s="36">
        <f t="shared" si="21"/>
        <v>0.0004</v>
      </c>
      <c r="T122" s="36">
        <f t="shared" si="21"/>
        <v>0.0004</v>
      </c>
      <c r="U122" s="36">
        <f t="shared" si="21"/>
        <v>0.0004</v>
      </c>
      <c r="V122" s="36">
        <f t="shared" si="21"/>
        <v>0.0004</v>
      </c>
      <c r="W122" s="36">
        <f t="shared" si="21"/>
        <v>0.0004</v>
      </c>
      <c r="X122" s="36">
        <f t="shared" si="21"/>
        <v>0.0004</v>
      </c>
      <c r="Y122" s="36">
        <f t="shared" si="21"/>
        <v>0.0004</v>
      </c>
      <c r="Z122" s="36">
        <f t="shared" si="21"/>
        <v>0.0004</v>
      </c>
      <c r="AA122" s="36">
        <f t="shared" si="21"/>
        <v>0.0004</v>
      </c>
      <c r="AB122" s="36">
        <f t="shared" si="21"/>
        <v>0.0004</v>
      </c>
      <c r="AC122" s="36">
        <f t="shared" si="21"/>
        <v>0.0004</v>
      </c>
      <c r="AD122" s="36">
        <f t="shared" si="21"/>
        <v>0.0004</v>
      </c>
      <c r="AE122" s="36">
        <f t="shared" si="21"/>
        <v>0.0004</v>
      </c>
      <c r="AF122" s="36"/>
      <c r="AG122" s="36"/>
      <c r="AH122" s="36"/>
      <c r="AI122" s="36"/>
      <c r="AJ122" s="36"/>
    </row>
    <row r="123" ht="15.0" customHeight="1">
      <c r="A123" s="319" t="s">
        <v>683</v>
      </c>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c r="AA123" s="36"/>
      <c r="AB123" s="36"/>
      <c r="AC123" s="36"/>
      <c r="AD123" s="36"/>
      <c r="AE123" s="36"/>
      <c r="AF123" s="36"/>
      <c r="AG123" s="36"/>
      <c r="AH123" s="36"/>
      <c r="AI123" s="36"/>
      <c r="AJ123" s="36"/>
    </row>
    <row r="124" ht="15.7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c r="AA124" s="36"/>
      <c r="AB124" s="36"/>
      <c r="AC124" s="36"/>
      <c r="AD124" s="36"/>
      <c r="AE124" s="36"/>
      <c r="AF124" s="36"/>
      <c r="AG124" s="36"/>
      <c r="AH124" s="36"/>
      <c r="AI124" s="36"/>
      <c r="AJ124" s="36"/>
    </row>
    <row r="125" ht="15.0" customHeight="1">
      <c r="A125" s="36" t="s">
        <v>215</v>
      </c>
      <c r="B125" s="36">
        <v>1.0</v>
      </c>
      <c r="C125" s="36">
        <v>2.0</v>
      </c>
      <c r="D125" s="36">
        <v>3.0</v>
      </c>
      <c r="E125" s="36">
        <v>4.0</v>
      </c>
      <c r="F125" s="36">
        <v>5.0</v>
      </c>
      <c r="G125" s="36">
        <v>6.0</v>
      </c>
      <c r="H125" s="36">
        <v>7.0</v>
      </c>
      <c r="I125" s="36">
        <v>8.0</v>
      </c>
      <c r="J125" s="36">
        <v>9.0</v>
      </c>
      <c r="K125" s="36">
        <v>10.0</v>
      </c>
      <c r="L125" s="36">
        <v>11.0</v>
      </c>
      <c r="M125" s="36">
        <v>12.0</v>
      </c>
      <c r="N125" s="36">
        <v>13.0</v>
      </c>
      <c r="O125" s="36">
        <v>14.0</v>
      </c>
      <c r="P125" s="36">
        <v>15.0</v>
      </c>
      <c r="Q125" s="36">
        <v>16.0</v>
      </c>
      <c r="R125" s="36">
        <v>17.0</v>
      </c>
      <c r="S125" s="36">
        <v>18.0</v>
      </c>
      <c r="T125" s="36">
        <v>19.0</v>
      </c>
      <c r="U125" s="36">
        <v>20.0</v>
      </c>
      <c r="V125" s="36">
        <v>21.0</v>
      </c>
      <c r="W125" s="36">
        <v>22.0</v>
      </c>
      <c r="X125" s="36">
        <v>23.0</v>
      </c>
      <c r="Y125" s="36">
        <v>24.0</v>
      </c>
      <c r="Z125" s="36">
        <v>25.0</v>
      </c>
      <c r="AA125" s="36">
        <v>26.0</v>
      </c>
      <c r="AB125" s="36">
        <v>27.0</v>
      </c>
      <c r="AC125" s="36">
        <v>28.0</v>
      </c>
      <c r="AD125" s="36">
        <v>29.0</v>
      </c>
      <c r="AE125" s="36">
        <v>30.0</v>
      </c>
      <c r="AF125" s="36"/>
      <c r="AG125" s="36"/>
      <c r="AH125" s="36"/>
      <c r="AI125" s="36"/>
      <c r="AJ125" s="36"/>
    </row>
    <row r="126" ht="17.25" customHeight="1">
      <c r="A126" s="12" t="s">
        <v>217</v>
      </c>
      <c r="B126" s="12">
        <v>0.0</v>
      </c>
      <c r="C126" s="12">
        <v>0.0</v>
      </c>
      <c r="D126" s="12">
        <v>0.0</v>
      </c>
      <c r="E126" s="12">
        <v>0.0</v>
      </c>
      <c r="F126" s="12">
        <v>0.0</v>
      </c>
      <c r="G126" s="12">
        <v>0.0</v>
      </c>
      <c r="H126" s="12">
        <v>0.0</v>
      </c>
      <c r="I126" s="12">
        <v>0.0</v>
      </c>
      <c r="J126" s="12">
        <v>0.0</v>
      </c>
      <c r="K126" s="12">
        <v>0.0</v>
      </c>
      <c r="L126" s="12">
        <v>0.0</v>
      </c>
      <c r="M126" s="12">
        <v>0.0</v>
      </c>
      <c r="N126" s="12">
        <v>0.0</v>
      </c>
      <c r="O126" s="12">
        <v>0.0</v>
      </c>
      <c r="P126" s="12">
        <v>0.0</v>
      </c>
      <c r="Q126" s="12">
        <v>0.0</v>
      </c>
      <c r="R126" s="12">
        <v>0.0</v>
      </c>
      <c r="S126" s="12">
        <v>0.0</v>
      </c>
      <c r="T126" s="12">
        <v>0.0</v>
      </c>
      <c r="U126" s="12">
        <v>0.0</v>
      </c>
      <c r="V126" s="12">
        <v>0.0</v>
      </c>
      <c r="W126" s="12">
        <v>0.0</v>
      </c>
      <c r="X126" s="12">
        <v>0.0</v>
      </c>
      <c r="Y126" s="12">
        <v>0.0</v>
      </c>
      <c r="Z126" s="12">
        <v>0.0</v>
      </c>
      <c r="AA126" s="12">
        <v>0.0</v>
      </c>
      <c r="AB126" s="12">
        <v>0.0</v>
      </c>
      <c r="AC126" s="12">
        <v>0.0</v>
      </c>
      <c r="AD126" s="12">
        <v>0.0</v>
      </c>
      <c r="AE126" s="12">
        <v>0.0</v>
      </c>
      <c r="AF126" s="36"/>
      <c r="AG126" s="36"/>
      <c r="AH126" s="36"/>
      <c r="AI126" s="36"/>
      <c r="AJ126" s="36"/>
    </row>
    <row r="127" ht="15.75" customHeight="1">
      <c r="A127" s="12" t="s">
        <v>218</v>
      </c>
      <c r="B127" s="36">
        <f t="shared" ref="B127:F127" si="22">0.95%</f>
        <v>0.0095</v>
      </c>
      <c r="C127" s="36">
        <f t="shared" si="22"/>
        <v>0.0095</v>
      </c>
      <c r="D127" s="36">
        <f t="shared" si="22"/>
        <v>0.0095</v>
      </c>
      <c r="E127" s="36">
        <f t="shared" si="22"/>
        <v>0.0095</v>
      </c>
      <c r="F127" s="36">
        <f t="shared" si="22"/>
        <v>0.0095</v>
      </c>
      <c r="G127" s="36">
        <v>0.0</v>
      </c>
      <c r="H127" s="36">
        <v>0.0</v>
      </c>
      <c r="I127" s="36">
        <v>0.0</v>
      </c>
      <c r="J127" s="36">
        <v>0.0</v>
      </c>
      <c r="K127" s="36">
        <v>0.0</v>
      </c>
      <c r="L127" s="36">
        <v>0.0</v>
      </c>
      <c r="M127" s="36">
        <v>0.0</v>
      </c>
      <c r="N127" s="36">
        <v>0.0</v>
      </c>
      <c r="O127" s="36">
        <v>0.0</v>
      </c>
      <c r="P127" s="36">
        <v>0.0</v>
      </c>
      <c r="Q127" s="36">
        <v>0.0</v>
      </c>
      <c r="R127" s="36">
        <v>0.0</v>
      </c>
      <c r="S127" s="36">
        <v>0.0</v>
      </c>
      <c r="T127" s="36">
        <v>0.0</v>
      </c>
      <c r="U127" s="36">
        <v>0.0</v>
      </c>
      <c r="V127" s="36">
        <v>0.0</v>
      </c>
      <c r="W127" s="36">
        <v>0.0</v>
      </c>
      <c r="X127" s="36">
        <v>0.0</v>
      </c>
      <c r="Y127" s="36">
        <v>0.0</v>
      </c>
      <c r="Z127" s="36">
        <v>0.0</v>
      </c>
      <c r="AA127" s="36">
        <v>0.0</v>
      </c>
      <c r="AB127" s="36">
        <v>0.0</v>
      </c>
      <c r="AC127" s="36">
        <v>0.0</v>
      </c>
      <c r="AD127" s="36">
        <v>0.0</v>
      </c>
      <c r="AE127" s="36">
        <v>0.0</v>
      </c>
      <c r="AF127" s="36"/>
      <c r="AG127" s="36"/>
      <c r="AH127" s="36"/>
      <c r="AI127" s="36"/>
      <c r="AJ127" s="36"/>
    </row>
    <row r="128" ht="15.0" customHeight="1">
      <c r="A128" s="319" t="s">
        <v>687</v>
      </c>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row>
    <row r="129" ht="15.7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row>
    <row r="130" ht="15.0" customHeight="1">
      <c r="A130" s="36" t="s">
        <v>215</v>
      </c>
      <c r="B130" s="36">
        <v>1.0</v>
      </c>
      <c r="C130" s="36">
        <v>2.0</v>
      </c>
      <c r="D130" s="36">
        <v>3.0</v>
      </c>
      <c r="E130" s="36">
        <v>4.0</v>
      </c>
      <c r="F130" s="36">
        <v>5.0</v>
      </c>
      <c r="G130" s="36">
        <v>6.0</v>
      </c>
      <c r="H130" s="36">
        <v>7.0</v>
      </c>
      <c r="I130" s="36">
        <v>8.0</v>
      </c>
      <c r="J130" s="36">
        <v>9.0</v>
      </c>
      <c r="K130" s="36">
        <v>10.0</v>
      </c>
      <c r="L130" s="36">
        <v>11.0</v>
      </c>
      <c r="M130" s="36">
        <v>12.0</v>
      </c>
      <c r="N130" s="36">
        <v>13.0</v>
      </c>
      <c r="O130" s="36">
        <v>14.0</v>
      </c>
      <c r="P130" s="36">
        <v>15.0</v>
      </c>
      <c r="Q130" s="36">
        <v>16.0</v>
      </c>
      <c r="R130" s="36">
        <v>17.0</v>
      </c>
      <c r="S130" s="36">
        <v>18.0</v>
      </c>
      <c r="T130" s="36">
        <v>19.0</v>
      </c>
      <c r="U130" s="36">
        <v>20.0</v>
      </c>
      <c r="V130" s="36">
        <v>21.0</v>
      </c>
      <c r="W130" s="36">
        <v>22.0</v>
      </c>
      <c r="X130" s="36">
        <v>23.0</v>
      </c>
      <c r="Y130" s="36">
        <v>24.0</v>
      </c>
      <c r="Z130" s="36">
        <v>25.0</v>
      </c>
      <c r="AA130" s="36">
        <v>26.0</v>
      </c>
      <c r="AB130" s="36">
        <v>27.0</v>
      </c>
      <c r="AC130" s="36">
        <v>28.0</v>
      </c>
      <c r="AD130" s="36">
        <v>29.0</v>
      </c>
      <c r="AE130" s="36">
        <v>30.0</v>
      </c>
      <c r="AF130" s="36"/>
      <c r="AG130" s="36"/>
      <c r="AH130" s="36"/>
      <c r="AI130" s="36"/>
      <c r="AJ130" s="36"/>
    </row>
    <row r="131" ht="17.25" customHeight="1">
      <c r="A131" s="12" t="s">
        <v>217</v>
      </c>
      <c r="B131" s="12">
        <v>0.0</v>
      </c>
      <c r="C131" s="12">
        <v>0.0</v>
      </c>
      <c r="D131" s="12">
        <v>0.0</v>
      </c>
      <c r="E131" s="12">
        <v>0.0</v>
      </c>
      <c r="F131" s="12">
        <v>0.0</v>
      </c>
      <c r="G131" s="12">
        <v>0.0</v>
      </c>
      <c r="H131" s="12">
        <v>0.0</v>
      </c>
      <c r="I131" s="12">
        <v>0.0</v>
      </c>
      <c r="J131" s="12">
        <v>0.0</v>
      </c>
      <c r="K131" s="12">
        <v>0.0</v>
      </c>
      <c r="L131" s="12">
        <v>0.0</v>
      </c>
      <c r="M131" s="12">
        <v>0.0</v>
      </c>
      <c r="N131" s="12">
        <v>0.0</v>
      </c>
      <c r="O131" s="12">
        <v>0.0</v>
      </c>
      <c r="P131" s="12">
        <v>0.0</v>
      </c>
      <c r="Q131" s="12">
        <v>0.0</v>
      </c>
      <c r="R131" s="12">
        <v>0.0</v>
      </c>
      <c r="S131" s="12">
        <v>0.0</v>
      </c>
      <c r="T131" s="12">
        <v>0.0</v>
      </c>
      <c r="U131" s="12">
        <v>0.0</v>
      </c>
      <c r="V131" s="12">
        <v>0.0</v>
      </c>
      <c r="W131" s="12">
        <v>0.0</v>
      </c>
      <c r="X131" s="12">
        <v>0.0</v>
      </c>
      <c r="Y131" s="12">
        <v>0.0</v>
      </c>
      <c r="Z131" s="12">
        <v>0.0</v>
      </c>
      <c r="AA131" s="12">
        <v>0.0</v>
      </c>
      <c r="AB131" s="12">
        <v>0.0</v>
      </c>
      <c r="AC131" s="12">
        <v>0.0</v>
      </c>
      <c r="AD131" s="12">
        <v>0.0</v>
      </c>
      <c r="AE131" s="12">
        <v>0.0</v>
      </c>
      <c r="AF131" s="36"/>
      <c r="AG131" s="36"/>
      <c r="AH131" s="36"/>
      <c r="AI131" s="36"/>
      <c r="AJ131" s="36"/>
    </row>
    <row r="132" ht="15.75" customHeight="1">
      <c r="A132" s="12" t="s">
        <v>218</v>
      </c>
      <c r="B132" s="36">
        <f t="shared" ref="B132:AE132" si="23">0.04%</f>
        <v>0.0004</v>
      </c>
      <c r="C132" s="36">
        <f t="shared" si="23"/>
        <v>0.0004</v>
      </c>
      <c r="D132" s="36">
        <f t="shared" si="23"/>
        <v>0.0004</v>
      </c>
      <c r="E132" s="36">
        <f t="shared" si="23"/>
        <v>0.0004</v>
      </c>
      <c r="F132" s="36">
        <f t="shared" si="23"/>
        <v>0.0004</v>
      </c>
      <c r="G132" s="36">
        <f t="shared" si="23"/>
        <v>0.0004</v>
      </c>
      <c r="H132" s="36">
        <f t="shared" si="23"/>
        <v>0.0004</v>
      </c>
      <c r="I132" s="36">
        <f t="shared" si="23"/>
        <v>0.0004</v>
      </c>
      <c r="J132" s="36">
        <f t="shared" si="23"/>
        <v>0.0004</v>
      </c>
      <c r="K132" s="36">
        <f t="shared" si="23"/>
        <v>0.0004</v>
      </c>
      <c r="L132" s="36">
        <f t="shared" si="23"/>
        <v>0.0004</v>
      </c>
      <c r="M132" s="36">
        <f t="shared" si="23"/>
        <v>0.0004</v>
      </c>
      <c r="N132" s="36">
        <f t="shared" si="23"/>
        <v>0.0004</v>
      </c>
      <c r="O132" s="36">
        <f t="shared" si="23"/>
        <v>0.0004</v>
      </c>
      <c r="P132" s="36">
        <f t="shared" si="23"/>
        <v>0.0004</v>
      </c>
      <c r="Q132" s="36">
        <f t="shared" si="23"/>
        <v>0.0004</v>
      </c>
      <c r="R132" s="36">
        <f t="shared" si="23"/>
        <v>0.0004</v>
      </c>
      <c r="S132" s="36">
        <f t="shared" si="23"/>
        <v>0.0004</v>
      </c>
      <c r="T132" s="36">
        <f t="shared" si="23"/>
        <v>0.0004</v>
      </c>
      <c r="U132" s="36">
        <f t="shared" si="23"/>
        <v>0.0004</v>
      </c>
      <c r="V132" s="36">
        <f t="shared" si="23"/>
        <v>0.0004</v>
      </c>
      <c r="W132" s="36">
        <f t="shared" si="23"/>
        <v>0.0004</v>
      </c>
      <c r="X132" s="36">
        <f t="shared" si="23"/>
        <v>0.0004</v>
      </c>
      <c r="Y132" s="36">
        <f t="shared" si="23"/>
        <v>0.0004</v>
      </c>
      <c r="Z132" s="36">
        <f t="shared" si="23"/>
        <v>0.0004</v>
      </c>
      <c r="AA132" s="36">
        <f t="shared" si="23"/>
        <v>0.0004</v>
      </c>
      <c r="AB132" s="36">
        <f t="shared" si="23"/>
        <v>0.0004</v>
      </c>
      <c r="AC132" s="36">
        <f t="shared" si="23"/>
        <v>0.0004</v>
      </c>
      <c r="AD132" s="36">
        <f t="shared" si="23"/>
        <v>0.0004</v>
      </c>
      <c r="AE132" s="36">
        <f t="shared" si="23"/>
        <v>0.0004</v>
      </c>
      <c r="AF132" s="36"/>
      <c r="AG132" s="36"/>
      <c r="AH132" s="36"/>
      <c r="AI132" s="36"/>
      <c r="AJ132" s="36"/>
    </row>
    <row r="133" ht="15.0" customHeight="1">
      <c r="A133" s="319" t="s">
        <v>691</v>
      </c>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c r="AA133" s="36"/>
      <c r="AB133" s="36"/>
      <c r="AC133" s="36"/>
      <c r="AD133" s="36"/>
      <c r="AE133" s="36"/>
      <c r="AF133" s="36"/>
      <c r="AG133" s="36"/>
      <c r="AH133" s="36"/>
      <c r="AI133" s="36"/>
      <c r="AJ133" s="36"/>
    </row>
    <row r="134" ht="15.7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6"/>
      <c r="AD134" s="36"/>
      <c r="AE134" s="36"/>
      <c r="AF134" s="36"/>
      <c r="AG134" s="36"/>
      <c r="AH134" s="36"/>
      <c r="AI134" s="36"/>
      <c r="AJ134" s="36"/>
    </row>
    <row r="135" ht="15.0" customHeight="1">
      <c r="A135" s="36" t="s">
        <v>215</v>
      </c>
      <c r="B135" s="36">
        <v>1.0</v>
      </c>
      <c r="C135" s="36">
        <v>2.0</v>
      </c>
      <c r="D135" s="36">
        <v>3.0</v>
      </c>
      <c r="E135" s="36">
        <v>4.0</v>
      </c>
      <c r="F135" s="36">
        <v>5.0</v>
      </c>
      <c r="G135" s="36">
        <v>6.0</v>
      </c>
      <c r="H135" s="36">
        <v>7.0</v>
      </c>
      <c r="I135" s="36">
        <v>8.0</v>
      </c>
      <c r="J135" s="36">
        <v>9.0</v>
      </c>
      <c r="K135" s="36">
        <v>10.0</v>
      </c>
      <c r="L135" s="36">
        <v>11.0</v>
      </c>
      <c r="M135" s="36">
        <v>12.0</v>
      </c>
      <c r="N135" s="36">
        <v>13.0</v>
      </c>
      <c r="O135" s="36">
        <v>14.0</v>
      </c>
      <c r="P135" s="36">
        <v>15.0</v>
      </c>
      <c r="Q135" s="36">
        <v>16.0</v>
      </c>
      <c r="R135" s="36">
        <v>17.0</v>
      </c>
      <c r="S135" s="36">
        <v>18.0</v>
      </c>
      <c r="T135" s="36">
        <v>19.0</v>
      </c>
      <c r="U135" s="36">
        <v>20.0</v>
      </c>
      <c r="V135" s="36">
        <v>21.0</v>
      </c>
      <c r="W135" s="36">
        <v>22.0</v>
      </c>
      <c r="X135" s="36">
        <v>23.0</v>
      </c>
      <c r="Y135" s="36">
        <v>24.0</v>
      </c>
      <c r="Z135" s="36">
        <v>25.0</v>
      </c>
      <c r="AA135" s="36">
        <v>26.0</v>
      </c>
      <c r="AB135" s="36">
        <v>27.0</v>
      </c>
      <c r="AC135" s="36">
        <v>28.0</v>
      </c>
      <c r="AD135" s="36">
        <v>29.0</v>
      </c>
      <c r="AE135" s="36">
        <v>30.0</v>
      </c>
      <c r="AF135" s="36"/>
      <c r="AG135" s="36"/>
      <c r="AH135" s="36"/>
      <c r="AI135" s="36"/>
      <c r="AJ135" s="36"/>
    </row>
    <row r="136" ht="17.25" customHeight="1">
      <c r="A136" s="12" t="s">
        <v>217</v>
      </c>
      <c r="B136" s="12">
        <v>0.0</v>
      </c>
      <c r="C136" s="12">
        <v>0.0</v>
      </c>
      <c r="D136" s="12">
        <v>0.0</v>
      </c>
      <c r="E136" s="12">
        <v>0.0</v>
      </c>
      <c r="F136" s="12">
        <v>0.0</v>
      </c>
      <c r="G136" s="12">
        <v>0.0</v>
      </c>
      <c r="H136" s="12">
        <v>0.0</v>
      </c>
      <c r="I136" s="12">
        <v>0.0</v>
      </c>
      <c r="J136" s="12">
        <v>0.0</v>
      </c>
      <c r="K136" s="12">
        <v>0.0</v>
      </c>
      <c r="L136" s="12">
        <v>0.0</v>
      </c>
      <c r="M136" s="12">
        <v>0.0</v>
      </c>
      <c r="N136" s="12">
        <v>0.0</v>
      </c>
      <c r="O136" s="12">
        <v>0.0</v>
      </c>
      <c r="P136" s="12">
        <v>0.0</v>
      </c>
      <c r="Q136" s="12">
        <v>0.0</v>
      </c>
      <c r="R136" s="12">
        <v>0.0</v>
      </c>
      <c r="S136" s="12">
        <v>0.0</v>
      </c>
      <c r="T136" s="12">
        <v>0.0</v>
      </c>
      <c r="U136" s="12">
        <v>0.0</v>
      </c>
      <c r="V136" s="12">
        <v>0.0</v>
      </c>
      <c r="W136" s="12">
        <v>0.0</v>
      </c>
      <c r="X136" s="12">
        <v>0.0</v>
      </c>
      <c r="Y136" s="12">
        <v>0.0</v>
      </c>
      <c r="Z136" s="12">
        <v>0.0</v>
      </c>
      <c r="AA136" s="12">
        <v>0.0</v>
      </c>
      <c r="AB136" s="12">
        <v>0.0</v>
      </c>
      <c r="AC136" s="12">
        <v>0.0</v>
      </c>
      <c r="AD136" s="12">
        <v>0.0</v>
      </c>
      <c r="AE136" s="12">
        <v>0.0</v>
      </c>
      <c r="AF136" s="36"/>
      <c r="AG136" s="36"/>
      <c r="AH136" s="36"/>
      <c r="AI136" s="36"/>
      <c r="AJ136" s="36"/>
    </row>
    <row r="137" ht="15.75" customHeight="1">
      <c r="A137" s="12" t="s">
        <v>218</v>
      </c>
      <c r="B137" s="36">
        <f t="shared" ref="B137:F137" si="24">0.95%</f>
        <v>0.0095</v>
      </c>
      <c r="C137" s="36">
        <f t="shared" si="24"/>
        <v>0.0095</v>
      </c>
      <c r="D137" s="36">
        <f t="shared" si="24"/>
        <v>0.0095</v>
      </c>
      <c r="E137" s="36">
        <f t="shared" si="24"/>
        <v>0.0095</v>
      </c>
      <c r="F137" s="36">
        <f t="shared" si="24"/>
        <v>0.0095</v>
      </c>
      <c r="G137" s="36">
        <v>0.0</v>
      </c>
      <c r="H137" s="36">
        <v>0.0</v>
      </c>
      <c r="I137" s="36">
        <v>0.0</v>
      </c>
      <c r="J137" s="36">
        <v>0.0</v>
      </c>
      <c r="K137" s="36">
        <v>0.0</v>
      </c>
      <c r="L137" s="36">
        <v>0.0</v>
      </c>
      <c r="M137" s="36">
        <v>0.0</v>
      </c>
      <c r="N137" s="36">
        <v>0.0</v>
      </c>
      <c r="O137" s="36">
        <v>0.0</v>
      </c>
      <c r="P137" s="36">
        <v>0.0</v>
      </c>
      <c r="Q137" s="36">
        <v>0.0</v>
      </c>
      <c r="R137" s="36">
        <v>0.0</v>
      </c>
      <c r="S137" s="36">
        <v>0.0</v>
      </c>
      <c r="T137" s="36">
        <v>0.0</v>
      </c>
      <c r="U137" s="36">
        <v>0.0</v>
      </c>
      <c r="V137" s="36">
        <v>0.0</v>
      </c>
      <c r="W137" s="36">
        <v>0.0</v>
      </c>
      <c r="X137" s="36">
        <v>0.0</v>
      </c>
      <c r="Y137" s="36">
        <v>0.0</v>
      </c>
      <c r="Z137" s="36">
        <v>0.0</v>
      </c>
      <c r="AA137" s="36">
        <v>0.0</v>
      </c>
      <c r="AB137" s="36">
        <v>0.0</v>
      </c>
      <c r="AC137" s="36">
        <v>0.0</v>
      </c>
      <c r="AD137" s="36">
        <v>0.0</v>
      </c>
      <c r="AE137" s="36">
        <v>0.0</v>
      </c>
      <c r="AF137" s="36"/>
      <c r="AG137" s="36"/>
      <c r="AH137" s="36"/>
      <c r="AI137" s="36"/>
      <c r="AJ137" s="36"/>
    </row>
    <row r="138" ht="15.0" customHeight="1">
      <c r="A138" s="319" t="s">
        <v>695</v>
      </c>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36"/>
      <c r="AE138" s="36"/>
      <c r="AF138" s="36"/>
      <c r="AG138" s="36"/>
      <c r="AH138" s="36"/>
      <c r="AI138" s="36"/>
      <c r="AJ138" s="36"/>
    </row>
    <row r="139" ht="15.7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c r="AA139" s="36"/>
      <c r="AB139" s="36"/>
      <c r="AC139" s="36"/>
      <c r="AD139" s="36"/>
      <c r="AE139" s="36"/>
      <c r="AF139" s="36"/>
      <c r="AG139" s="36"/>
      <c r="AH139" s="36"/>
      <c r="AI139" s="36"/>
      <c r="AJ139" s="36"/>
    </row>
    <row r="140" ht="15.0" customHeight="1">
      <c r="A140" s="373" t="s">
        <v>215</v>
      </c>
      <c r="B140" s="373">
        <v>1.0</v>
      </c>
      <c r="C140" s="373">
        <v>2.0</v>
      </c>
      <c r="D140" s="373">
        <v>3.0</v>
      </c>
      <c r="E140" s="373">
        <v>4.0</v>
      </c>
      <c r="F140" s="373">
        <v>5.0</v>
      </c>
      <c r="G140" s="373">
        <v>6.0</v>
      </c>
      <c r="H140" s="373">
        <v>7.0</v>
      </c>
      <c r="I140" s="373">
        <v>8.0</v>
      </c>
      <c r="J140" s="373">
        <v>9.0</v>
      </c>
      <c r="K140" s="373">
        <v>10.0</v>
      </c>
      <c r="L140" s="373">
        <v>11.0</v>
      </c>
      <c r="M140" s="373">
        <v>12.0</v>
      </c>
      <c r="N140" s="373">
        <v>13.0</v>
      </c>
      <c r="O140" s="373">
        <v>14.0</v>
      </c>
      <c r="P140" s="373">
        <v>15.0</v>
      </c>
      <c r="Q140" s="373">
        <v>16.0</v>
      </c>
      <c r="R140" s="373">
        <v>17.0</v>
      </c>
      <c r="S140" s="373">
        <v>18.0</v>
      </c>
      <c r="T140" s="373">
        <v>19.0</v>
      </c>
      <c r="U140" s="373">
        <v>20.0</v>
      </c>
      <c r="V140" s="373">
        <v>21.0</v>
      </c>
      <c r="W140" s="373">
        <v>22.0</v>
      </c>
      <c r="X140" s="373">
        <v>23.0</v>
      </c>
      <c r="Y140" s="373">
        <v>24.0</v>
      </c>
      <c r="Z140" s="373">
        <v>25.0</v>
      </c>
      <c r="AA140" s="373">
        <v>26.0</v>
      </c>
      <c r="AB140" s="373">
        <v>27.0</v>
      </c>
      <c r="AC140" s="373">
        <v>28.0</v>
      </c>
      <c r="AD140" s="373">
        <v>29.0</v>
      </c>
      <c r="AE140" s="373">
        <v>30.0</v>
      </c>
      <c r="AF140" s="373"/>
      <c r="AG140" s="373"/>
      <c r="AH140" s="373"/>
      <c r="AI140" s="373"/>
      <c r="AJ140" s="373"/>
    </row>
    <row r="141" ht="17.25" customHeight="1">
      <c r="A141" s="12" t="s">
        <v>217</v>
      </c>
      <c r="B141" s="12">
        <v>0.0</v>
      </c>
      <c r="C141" s="12">
        <v>0.0</v>
      </c>
      <c r="D141" s="12">
        <v>0.0</v>
      </c>
      <c r="E141" s="12">
        <v>0.0</v>
      </c>
      <c r="F141" s="12">
        <v>0.0</v>
      </c>
      <c r="G141" s="12">
        <v>0.0</v>
      </c>
      <c r="H141" s="12">
        <v>0.0</v>
      </c>
      <c r="I141" s="12">
        <v>0.0</v>
      </c>
      <c r="J141" s="12">
        <v>0.0</v>
      </c>
      <c r="K141" s="12">
        <v>0.0</v>
      </c>
      <c r="L141" s="12">
        <v>0.0</v>
      </c>
      <c r="M141" s="12">
        <v>0.0</v>
      </c>
      <c r="N141" s="12">
        <v>0.0</v>
      </c>
      <c r="O141" s="12">
        <v>0.0</v>
      </c>
      <c r="P141" s="12">
        <v>0.0</v>
      </c>
      <c r="Q141" s="12">
        <v>0.0</v>
      </c>
      <c r="R141" s="12">
        <v>0.0</v>
      </c>
      <c r="S141" s="12">
        <v>0.0</v>
      </c>
      <c r="T141" s="12">
        <v>0.0</v>
      </c>
      <c r="U141" s="12">
        <v>0.0</v>
      </c>
      <c r="V141" s="12">
        <v>0.0</v>
      </c>
      <c r="W141" s="12">
        <v>0.0</v>
      </c>
      <c r="X141" s="12">
        <v>0.0</v>
      </c>
      <c r="Y141" s="12">
        <v>0.0</v>
      </c>
      <c r="Z141" s="12">
        <v>0.0</v>
      </c>
      <c r="AA141" s="12">
        <v>0.0</v>
      </c>
      <c r="AB141" s="12">
        <v>0.0</v>
      </c>
      <c r="AC141" s="12">
        <v>0.0</v>
      </c>
      <c r="AD141" s="12">
        <v>0.0</v>
      </c>
      <c r="AE141" s="12">
        <v>0.0</v>
      </c>
      <c r="AF141" s="36"/>
      <c r="AG141" s="36"/>
      <c r="AH141" s="36"/>
      <c r="AI141" s="36"/>
      <c r="AJ141" s="36"/>
    </row>
    <row r="142" ht="15.0" customHeight="1">
      <c r="A142" s="12" t="s">
        <v>218</v>
      </c>
      <c r="B142" s="184">
        <f>0.31%</f>
        <v>0.0031</v>
      </c>
      <c r="C142" s="184">
        <f t="shared" ref="C142:AE142" si="25">B142*1.05</f>
        <v>0.003255</v>
      </c>
      <c r="D142" s="184">
        <f t="shared" si="25"/>
        <v>0.00341775</v>
      </c>
      <c r="E142" s="184">
        <f t="shared" si="25"/>
        <v>0.0035886375</v>
      </c>
      <c r="F142" s="184">
        <f t="shared" si="25"/>
        <v>0.003768069375</v>
      </c>
      <c r="G142" s="184">
        <f t="shared" si="25"/>
        <v>0.003956472844</v>
      </c>
      <c r="H142" s="184">
        <f t="shared" si="25"/>
        <v>0.004154296486</v>
      </c>
      <c r="I142" s="184">
        <f t="shared" si="25"/>
        <v>0.00436201131</v>
      </c>
      <c r="J142" s="184">
        <f t="shared" si="25"/>
        <v>0.004580111876</v>
      </c>
      <c r="K142" s="184">
        <f t="shared" si="25"/>
        <v>0.00480911747</v>
      </c>
      <c r="L142" s="184">
        <f t="shared" si="25"/>
        <v>0.005049573343</v>
      </c>
      <c r="M142" s="184">
        <f t="shared" si="25"/>
        <v>0.00530205201</v>
      </c>
      <c r="N142" s="184">
        <f t="shared" si="25"/>
        <v>0.005567154611</v>
      </c>
      <c r="O142" s="184">
        <f t="shared" si="25"/>
        <v>0.005845512341</v>
      </c>
      <c r="P142" s="184">
        <f t="shared" si="25"/>
        <v>0.006137787958</v>
      </c>
      <c r="Q142" s="184">
        <f t="shared" si="25"/>
        <v>0.006444677356</v>
      </c>
      <c r="R142" s="184">
        <f t="shared" si="25"/>
        <v>0.006766911224</v>
      </c>
      <c r="S142" s="184">
        <f t="shared" si="25"/>
        <v>0.007105256785</v>
      </c>
      <c r="T142" s="184">
        <f t="shared" si="25"/>
        <v>0.007460519624</v>
      </c>
      <c r="U142" s="184">
        <f t="shared" si="25"/>
        <v>0.007833545606</v>
      </c>
      <c r="V142" s="184">
        <f t="shared" si="25"/>
        <v>0.008225222886</v>
      </c>
      <c r="W142" s="184">
        <f t="shared" si="25"/>
        <v>0.00863648403</v>
      </c>
      <c r="X142" s="184">
        <f t="shared" si="25"/>
        <v>0.009068308232</v>
      </c>
      <c r="Y142" s="184">
        <f t="shared" si="25"/>
        <v>0.009521723643</v>
      </c>
      <c r="Z142" s="184">
        <f t="shared" si="25"/>
        <v>0.009997809826</v>
      </c>
      <c r="AA142" s="184">
        <f t="shared" si="25"/>
        <v>0.01049770032</v>
      </c>
      <c r="AB142" s="184">
        <f t="shared" si="25"/>
        <v>0.01102258533</v>
      </c>
      <c r="AC142" s="184">
        <f t="shared" si="25"/>
        <v>0.0115737146</v>
      </c>
      <c r="AD142" s="184">
        <f t="shared" si="25"/>
        <v>0.01215240033</v>
      </c>
      <c r="AE142" s="184">
        <f t="shared" si="25"/>
        <v>0.01276002035</v>
      </c>
      <c r="AF142" s="373"/>
      <c r="AG142" s="373"/>
      <c r="AH142" s="373"/>
      <c r="AI142" s="373"/>
      <c r="AJ142" s="373"/>
    </row>
    <row r="143" ht="15.0" customHeight="1">
      <c r="A143" s="374" t="s">
        <v>701</v>
      </c>
      <c r="B143" s="373"/>
      <c r="C143" s="373"/>
      <c r="D143" s="373"/>
      <c r="E143" s="373"/>
      <c r="F143" s="373"/>
      <c r="G143" s="373"/>
      <c r="H143" s="373"/>
      <c r="I143" s="373"/>
      <c r="J143" s="373"/>
      <c r="K143" s="373"/>
      <c r="L143" s="373"/>
      <c r="M143" s="373"/>
      <c r="N143" s="373"/>
      <c r="O143" s="373"/>
      <c r="P143" s="373"/>
      <c r="Q143" s="373"/>
      <c r="R143" s="373"/>
      <c r="S143" s="373"/>
      <c r="T143" s="373"/>
      <c r="U143" s="373"/>
      <c r="V143" s="373"/>
      <c r="W143" s="373"/>
      <c r="X143" s="373"/>
      <c r="Y143" s="373"/>
      <c r="Z143" s="373"/>
      <c r="AA143" s="373"/>
      <c r="AB143" s="373"/>
      <c r="AC143" s="373"/>
      <c r="AD143" s="373"/>
      <c r="AE143" s="373"/>
      <c r="AF143" s="373"/>
      <c r="AG143" s="373"/>
      <c r="AH143" s="373"/>
      <c r="AI143" s="373"/>
      <c r="AJ143" s="373"/>
    </row>
    <row r="144" ht="15.0" customHeight="1">
      <c r="A144" s="373"/>
      <c r="B144" s="373"/>
      <c r="C144" s="373"/>
      <c r="D144" s="373"/>
      <c r="E144" s="373"/>
      <c r="F144" s="373"/>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c r="AC144" s="373"/>
      <c r="AD144" s="373"/>
      <c r="AE144" s="373"/>
      <c r="AF144" s="373"/>
      <c r="AG144" s="373"/>
      <c r="AH144" s="373"/>
      <c r="AI144" s="373"/>
      <c r="AJ144" s="373"/>
    </row>
    <row r="145" ht="15.0" customHeight="1">
      <c r="A145" s="373" t="s">
        <v>215</v>
      </c>
      <c r="B145" s="373">
        <v>1.0</v>
      </c>
      <c r="C145" s="373">
        <v>2.0</v>
      </c>
      <c r="D145" s="373">
        <v>3.0</v>
      </c>
      <c r="E145" s="373">
        <v>4.0</v>
      </c>
      <c r="F145" s="373">
        <v>5.0</v>
      </c>
      <c r="G145" s="373">
        <v>6.0</v>
      </c>
      <c r="H145" s="373">
        <v>7.0</v>
      </c>
      <c r="I145" s="373">
        <v>8.0</v>
      </c>
      <c r="J145" s="373">
        <v>9.0</v>
      </c>
      <c r="K145" s="373">
        <v>10.0</v>
      </c>
      <c r="L145" s="373">
        <v>11.0</v>
      </c>
      <c r="M145" s="373">
        <v>12.0</v>
      </c>
      <c r="N145" s="373">
        <v>13.0</v>
      </c>
      <c r="O145" s="373">
        <v>14.0</v>
      </c>
      <c r="P145" s="373">
        <v>15.0</v>
      </c>
      <c r="Q145" s="373">
        <v>16.0</v>
      </c>
      <c r="R145" s="373">
        <v>17.0</v>
      </c>
      <c r="S145" s="373">
        <v>18.0</v>
      </c>
      <c r="T145" s="373">
        <v>19.0</v>
      </c>
      <c r="U145" s="373">
        <v>20.0</v>
      </c>
      <c r="V145" s="373">
        <v>21.0</v>
      </c>
      <c r="W145" s="373">
        <v>22.0</v>
      </c>
      <c r="X145" s="373">
        <v>23.0</v>
      </c>
      <c r="Y145" s="373">
        <v>24.0</v>
      </c>
      <c r="Z145" s="373">
        <v>25.0</v>
      </c>
      <c r="AA145" s="373">
        <v>26.0</v>
      </c>
      <c r="AB145" s="373">
        <v>27.0</v>
      </c>
      <c r="AC145" s="373">
        <v>28.0</v>
      </c>
      <c r="AD145" s="373">
        <v>29.0</v>
      </c>
      <c r="AE145" s="373">
        <v>30.0</v>
      </c>
      <c r="AF145" s="373"/>
      <c r="AG145" s="373"/>
      <c r="AH145" s="373"/>
      <c r="AI145" s="373"/>
      <c r="AJ145" s="373"/>
    </row>
    <row r="146" ht="17.25" customHeight="1">
      <c r="A146" s="12" t="s">
        <v>217</v>
      </c>
      <c r="B146" s="12">
        <v>0.0</v>
      </c>
      <c r="C146" s="12">
        <v>0.0</v>
      </c>
      <c r="D146" s="12">
        <v>0.0</v>
      </c>
      <c r="E146" s="12">
        <v>0.0</v>
      </c>
      <c r="F146" s="12">
        <v>0.0</v>
      </c>
      <c r="G146" s="12">
        <v>0.0</v>
      </c>
      <c r="H146" s="12">
        <v>0.0</v>
      </c>
      <c r="I146" s="12">
        <v>0.0</v>
      </c>
      <c r="J146" s="12">
        <v>0.0</v>
      </c>
      <c r="K146" s="12">
        <v>0.0</v>
      </c>
      <c r="L146" s="12">
        <v>0.0</v>
      </c>
      <c r="M146" s="12">
        <v>0.0</v>
      </c>
      <c r="N146" s="12">
        <v>0.0</v>
      </c>
      <c r="O146" s="12">
        <v>0.0</v>
      </c>
      <c r="P146" s="12">
        <v>0.0</v>
      </c>
      <c r="Q146" s="12">
        <v>0.0</v>
      </c>
      <c r="R146" s="12">
        <v>0.0</v>
      </c>
      <c r="S146" s="12">
        <v>0.0</v>
      </c>
      <c r="T146" s="12">
        <v>0.0</v>
      </c>
      <c r="U146" s="12">
        <v>0.0</v>
      </c>
      <c r="V146" s="12">
        <v>0.0</v>
      </c>
      <c r="W146" s="12">
        <v>0.0</v>
      </c>
      <c r="X146" s="12">
        <v>0.0</v>
      </c>
      <c r="Y146" s="12">
        <v>0.0</v>
      </c>
      <c r="Z146" s="12">
        <v>0.0</v>
      </c>
      <c r="AA146" s="12">
        <v>0.0</v>
      </c>
      <c r="AB146" s="12">
        <v>0.0</v>
      </c>
      <c r="AC146" s="12">
        <v>0.0</v>
      </c>
      <c r="AD146" s="12">
        <v>0.0</v>
      </c>
      <c r="AE146" s="12">
        <v>0.0</v>
      </c>
      <c r="AF146" s="36"/>
      <c r="AG146" s="36"/>
      <c r="AH146" s="36"/>
      <c r="AI146" s="36"/>
      <c r="AJ146" s="36"/>
    </row>
    <row r="147" ht="15.0" customHeight="1">
      <c r="A147" s="370" t="s">
        <v>218</v>
      </c>
      <c r="B147" s="184">
        <f>0.25%</f>
        <v>0.0025</v>
      </c>
      <c r="C147" s="184">
        <f t="shared" ref="C147:AE147" si="26">B147*1.05</f>
        <v>0.002625</v>
      </c>
      <c r="D147" s="184">
        <f t="shared" si="26"/>
        <v>0.00275625</v>
      </c>
      <c r="E147" s="184">
        <f t="shared" si="26"/>
        <v>0.0028940625</v>
      </c>
      <c r="F147" s="184">
        <f t="shared" si="26"/>
        <v>0.003038765625</v>
      </c>
      <c r="G147" s="184">
        <f t="shared" si="26"/>
        <v>0.003190703906</v>
      </c>
      <c r="H147" s="184">
        <f t="shared" si="26"/>
        <v>0.003350239102</v>
      </c>
      <c r="I147" s="184">
        <f t="shared" si="26"/>
        <v>0.003517751057</v>
      </c>
      <c r="J147" s="184">
        <f t="shared" si="26"/>
        <v>0.003693638609</v>
      </c>
      <c r="K147" s="184">
        <f t="shared" si="26"/>
        <v>0.00387832054</v>
      </c>
      <c r="L147" s="184">
        <f t="shared" si="26"/>
        <v>0.004072236567</v>
      </c>
      <c r="M147" s="184">
        <f t="shared" si="26"/>
        <v>0.004275848395</v>
      </c>
      <c r="N147" s="184">
        <f t="shared" si="26"/>
        <v>0.004489640815</v>
      </c>
      <c r="O147" s="184">
        <f t="shared" si="26"/>
        <v>0.004714122856</v>
      </c>
      <c r="P147" s="184">
        <f t="shared" si="26"/>
        <v>0.004949828999</v>
      </c>
      <c r="Q147" s="184">
        <f t="shared" si="26"/>
        <v>0.005197320449</v>
      </c>
      <c r="R147" s="184">
        <f t="shared" si="26"/>
        <v>0.005457186471</v>
      </c>
      <c r="S147" s="184">
        <f t="shared" si="26"/>
        <v>0.005730045795</v>
      </c>
      <c r="T147" s="184">
        <f t="shared" si="26"/>
        <v>0.006016548084</v>
      </c>
      <c r="U147" s="184">
        <f t="shared" si="26"/>
        <v>0.006317375488</v>
      </c>
      <c r="V147" s="184">
        <f t="shared" si="26"/>
        <v>0.006633244263</v>
      </c>
      <c r="W147" s="184">
        <f t="shared" si="26"/>
        <v>0.006964906476</v>
      </c>
      <c r="X147" s="184">
        <f t="shared" si="26"/>
        <v>0.0073131518</v>
      </c>
      <c r="Y147" s="184">
        <f t="shared" si="26"/>
        <v>0.00767880939</v>
      </c>
      <c r="Z147" s="184">
        <f t="shared" si="26"/>
        <v>0.008062749859</v>
      </c>
      <c r="AA147" s="184">
        <f t="shared" si="26"/>
        <v>0.008465887352</v>
      </c>
      <c r="AB147" s="184">
        <f t="shared" si="26"/>
        <v>0.00888918172</v>
      </c>
      <c r="AC147" s="184">
        <f t="shared" si="26"/>
        <v>0.009333640806</v>
      </c>
      <c r="AD147" s="184">
        <f t="shared" si="26"/>
        <v>0.009800322846</v>
      </c>
      <c r="AE147" s="184">
        <f t="shared" si="26"/>
        <v>0.01029033899</v>
      </c>
      <c r="AF147" s="373"/>
      <c r="AG147" s="373"/>
      <c r="AH147" s="373"/>
      <c r="AI147" s="373"/>
      <c r="AJ147" s="373"/>
    </row>
    <row r="148" ht="15.0" customHeight="1">
      <c r="A148" s="374" t="s">
        <v>707</v>
      </c>
      <c r="B148" s="373"/>
      <c r="C148" s="373"/>
      <c r="D148" s="373"/>
      <c r="E148" s="373"/>
      <c r="F148" s="373"/>
      <c r="G148" s="373"/>
      <c r="H148" s="373"/>
      <c r="I148" s="373"/>
      <c r="J148" s="373"/>
      <c r="K148" s="373"/>
      <c r="L148" s="373"/>
      <c r="M148" s="373"/>
      <c r="N148" s="373"/>
      <c r="O148" s="373"/>
      <c r="P148" s="373"/>
      <c r="Q148" s="373"/>
      <c r="R148" s="373"/>
      <c r="S148" s="373"/>
      <c r="T148" s="373"/>
      <c r="U148" s="373"/>
      <c r="V148" s="373"/>
      <c r="W148" s="373"/>
      <c r="X148" s="373"/>
      <c r="Y148" s="373"/>
      <c r="Z148" s="373"/>
      <c r="AA148" s="373"/>
      <c r="AB148" s="373"/>
      <c r="AC148" s="373"/>
      <c r="AD148" s="373"/>
      <c r="AE148" s="373"/>
      <c r="AF148" s="373"/>
      <c r="AG148" s="373"/>
      <c r="AH148" s="373"/>
      <c r="AI148" s="373"/>
      <c r="AJ148" s="373"/>
    </row>
    <row r="149" ht="15.0" customHeight="1">
      <c r="A149" s="373"/>
      <c r="B149" s="373"/>
      <c r="C149" s="373"/>
      <c r="D149" s="373"/>
      <c r="E149" s="373"/>
      <c r="F149" s="373"/>
      <c r="G149" s="373"/>
      <c r="H149" s="373"/>
      <c r="I149" s="373"/>
      <c r="J149" s="373"/>
      <c r="K149" s="373"/>
      <c r="L149" s="373"/>
      <c r="M149" s="373"/>
      <c r="N149" s="373"/>
      <c r="O149" s="373"/>
      <c r="P149" s="373"/>
      <c r="Q149" s="373"/>
      <c r="R149" s="373"/>
      <c r="S149" s="373"/>
      <c r="T149" s="373"/>
      <c r="U149" s="373"/>
      <c r="V149" s="373"/>
      <c r="W149" s="373"/>
      <c r="X149" s="373"/>
      <c r="Y149" s="373"/>
      <c r="Z149" s="373"/>
      <c r="AA149" s="373"/>
      <c r="AB149" s="373"/>
      <c r="AC149" s="373"/>
      <c r="AD149" s="373"/>
      <c r="AE149" s="373"/>
      <c r="AF149" s="373"/>
      <c r="AG149" s="373"/>
      <c r="AH149" s="373"/>
      <c r="AI149" s="373"/>
      <c r="AJ149" s="373"/>
    </row>
    <row r="150" ht="15.0" customHeight="1">
      <c r="A150" s="373" t="s">
        <v>215</v>
      </c>
      <c r="B150" s="373">
        <v>1.0</v>
      </c>
      <c r="C150" s="373">
        <v>2.0</v>
      </c>
      <c r="D150" s="373">
        <v>3.0</v>
      </c>
      <c r="E150" s="373">
        <v>4.0</v>
      </c>
      <c r="F150" s="373">
        <v>5.0</v>
      </c>
      <c r="G150" s="373">
        <v>6.0</v>
      </c>
      <c r="H150" s="373">
        <v>7.0</v>
      </c>
      <c r="I150" s="373">
        <v>8.0</v>
      </c>
      <c r="J150" s="373">
        <v>9.0</v>
      </c>
      <c r="K150" s="373">
        <v>10.0</v>
      </c>
      <c r="L150" s="373">
        <v>11.0</v>
      </c>
      <c r="M150" s="373">
        <v>12.0</v>
      </c>
      <c r="N150" s="373">
        <v>13.0</v>
      </c>
      <c r="O150" s="373">
        <v>14.0</v>
      </c>
      <c r="P150" s="373">
        <v>15.0</v>
      </c>
      <c r="Q150" s="373">
        <v>16.0</v>
      </c>
      <c r="R150" s="373">
        <v>17.0</v>
      </c>
      <c r="S150" s="373">
        <v>18.0</v>
      </c>
      <c r="T150" s="373">
        <v>19.0</v>
      </c>
      <c r="U150" s="373">
        <v>20.0</v>
      </c>
      <c r="V150" s="373">
        <v>21.0</v>
      </c>
      <c r="W150" s="373">
        <v>22.0</v>
      </c>
      <c r="X150" s="373">
        <v>23.0</v>
      </c>
      <c r="Y150" s="373">
        <v>24.0</v>
      </c>
      <c r="Z150" s="373">
        <v>25.0</v>
      </c>
      <c r="AA150" s="373">
        <v>26.0</v>
      </c>
      <c r="AB150" s="373">
        <v>27.0</v>
      </c>
      <c r="AC150" s="373">
        <v>28.0</v>
      </c>
      <c r="AD150" s="373">
        <v>29.0</v>
      </c>
      <c r="AE150" s="373">
        <v>30.0</v>
      </c>
      <c r="AF150" s="373"/>
      <c r="AG150" s="373"/>
      <c r="AH150" s="373"/>
      <c r="AI150" s="373"/>
      <c r="AJ150" s="373"/>
    </row>
    <row r="151" ht="17.25" customHeight="1">
      <c r="A151" s="12" t="s">
        <v>217</v>
      </c>
      <c r="B151" s="12">
        <v>0.0</v>
      </c>
      <c r="C151" s="12">
        <v>0.0</v>
      </c>
      <c r="D151" s="12">
        <v>0.0</v>
      </c>
      <c r="E151" s="12">
        <v>0.0</v>
      </c>
      <c r="F151" s="12">
        <v>0.0</v>
      </c>
      <c r="G151" s="12">
        <v>0.0</v>
      </c>
      <c r="H151" s="12">
        <v>0.0</v>
      </c>
      <c r="I151" s="12">
        <v>0.0</v>
      </c>
      <c r="J151" s="12">
        <v>0.0</v>
      </c>
      <c r="K151" s="12">
        <v>0.0</v>
      </c>
      <c r="L151" s="12">
        <v>0.0</v>
      </c>
      <c r="M151" s="12">
        <v>0.0</v>
      </c>
      <c r="N151" s="12">
        <v>0.0</v>
      </c>
      <c r="O151" s="12">
        <v>0.0</v>
      </c>
      <c r="P151" s="12">
        <v>0.0</v>
      </c>
      <c r="Q151" s="12">
        <v>0.0</v>
      </c>
      <c r="R151" s="12">
        <v>0.0</v>
      </c>
      <c r="S151" s="12">
        <v>0.0</v>
      </c>
      <c r="T151" s="12">
        <v>0.0</v>
      </c>
      <c r="U151" s="12">
        <v>0.0</v>
      </c>
      <c r="V151" s="12">
        <v>0.0</v>
      </c>
      <c r="W151" s="12">
        <v>0.0</v>
      </c>
      <c r="X151" s="12">
        <v>0.0</v>
      </c>
      <c r="Y151" s="12">
        <v>0.0</v>
      </c>
      <c r="Z151" s="12">
        <v>0.0</v>
      </c>
      <c r="AA151" s="12">
        <v>0.0</v>
      </c>
      <c r="AB151" s="12">
        <v>0.0</v>
      </c>
      <c r="AC151" s="12">
        <v>0.0</v>
      </c>
      <c r="AD151" s="12">
        <v>0.0</v>
      </c>
      <c r="AE151" s="12">
        <v>0.0</v>
      </c>
      <c r="AF151" s="36"/>
      <c r="AG151" s="36"/>
      <c r="AH151" s="36"/>
      <c r="AI151" s="36"/>
      <c r="AJ151" s="36"/>
    </row>
    <row r="152" ht="15.0" customHeight="1">
      <c r="A152" s="370" t="s">
        <v>218</v>
      </c>
      <c r="B152" s="184">
        <f>0.25%</f>
        <v>0.0025</v>
      </c>
      <c r="C152" s="184">
        <f t="shared" ref="C152:AE152" si="27">B152*1.05</f>
        <v>0.002625</v>
      </c>
      <c r="D152" s="184">
        <f t="shared" si="27"/>
        <v>0.00275625</v>
      </c>
      <c r="E152" s="184">
        <f t="shared" si="27"/>
        <v>0.0028940625</v>
      </c>
      <c r="F152" s="184">
        <f t="shared" si="27"/>
        <v>0.003038765625</v>
      </c>
      <c r="G152" s="184">
        <f t="shared" si="27"/>
        <v>0.003190703906</v>
      </c>
      <c r="H152" s="184">
        <f t="shared" si="27"/>
        <v>0.003350239102</v>
      </c>
      <c r="I152" s="184">
        <f t="shared" si="27"/>
        <v>0.003517751057</v>
      </c>
      <c r="J152" s="184">
        <f t="shared" si="27"/>
        <v>0.003693638609</v>
      </c>
      <c r="K152" s="184">
        <f t="shared" si="27"/>
        <v>0.00387832054</v>
      </c>
      <c r="L152" s="184">
        <f t="shared" si="27"/>
        <v>0.004072236567</v>
      </c>
      <c r="M152" s="184">
        <f t="shared" si="27"/>
        <v>0.004275848395</v>
      </c>
      <c r="N152" s="184">
        <f t="shared" si="27"/>
        <v>0.004489640815</v>
      </c>
      <c r="O152" s="184">
        <f t="shared" si="27"/>
        <v>0.004714122856</v>
      </c>
      <c r="P152" s="184">
        <f t="shared" si="27"/>
        <v>0.004949828999</v>
      </c>
      <c r="Q152" s="184">
        <f t="shared" si="27"/>
        <v>0.005197320449</v>
      </c>
      <c r="R152" s="184">
        <f t="shared" si="27"/>
        <v>0.005457186471</v>
      </c>
      <c r="S152" s="184">
        <f t="shared" si="27"/>
        <v>0.005730045795</v>
      </c>
      <c r="T152" s="184">
        <f t="shared" si="27"/>
        <v>0.006016548084</v>
      </c>
      <c r="U152" s="184">
        <f t="shared" si="27"/>
        <v>0.006317375488</v>
      </c>
      <c r="V152" s="184">
        <f t="shared" si="27"/>
        <v>0.006633244263</v>
      </c>
      <c r="W152" s="184">
        <f t="shared" si="27"/>
        <v>0.006964906476</v>
      </c>
      <c r="X152" s="184">
        <f t="shared" si="27"/>
        <v>0.0073131518</v>
      </c>
      <c r="Y152" s="184">
        <f t="shared" si="27"/>
        <v>0.00767880939</v>
      </c>
      <c r="Z152" s="184">
        <f t="shared" si="27"/>
        <v>0.008062749859</v>
      </c>
      <c r="AA152" s="184">
        <f t="shared" si="27"/>
        <v>0.008465887352</v>
      </c>
      <c r="AB152" s="184">
        <f t="shared" si="27"/>
        <v>0.00888918172</v>
      </c>
      <c r="AC152" s="184">
        <f t="shared" si="27"/>
        <v>0.009333640806</v>
      </c>
      <c r="AD152" s="184">
        <f t="shared" si="27"/>
        <v>0.009800322846</v>
      </c>
      <c r="AE152" s="184">
        <f t="shared" si="27"/>
        <v>0.01029033899</v>
      </c>
      <c r="AF152" s="373"/>
      <c r="AG152" s="373"/>
      <c r="AH152" s="373"/>
      <c r="AI152" s="373"/>
      <c r="AJ152" s="373"/>
    </row>
    <row r="153" ht="15.0" customHeight="1">
      <c r="A153" s="374" t="s">
        <v>714</v>
      </c>
      <c r="B153" s="373"/>
      <c r="C153" s="373"/>
      <c r="D153" s="373"/>
      <c r="E153" s="373"/>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c r="AD153" s="373"/>
      <c r="AE153" s="373"/>
      <c r="AF153" s="373"/>
      <c r="AG153" s="373"/>
      <c r="AH153" s="373"/>
      <c r="AI153" s="373"/>
      <c r="AJ153" s="373"/>
    </row>
    <row r="154" ht="15.0" customHeight="1">
      <c r="A154" s="373"/>
      <c r="B154" s="373"/>
      <c r="C154" s="373"/>
      <c r="D154" s="373"/>
      <c r="E154" s="373"/>
      <c r="F154" s="373"/>
      <c r="G154" s="373"/>
      <c r="H154" s="373"/>
      <c r="I154" s="373"/>
      <c r="J154" s="373"/>
      <c r="K154" s="373"/>
      <c r="L154" s="373"/>
      <c r="M154" s="373"/>
      <c r="N154" s="373"/>
      <c r="O154" s="373"/>
      <c r="P154" s="373"/>
      <c r="Q154" s="373"/>
      <c r="R154" s="373"/>
      <c r="S154" s="373"/>
      <c r="T154" s="373"/>
      <c r="U154" s="373"/>
      <c r="V154" s="373"/>
      <c r="W154" s="373"/>
      <c r="X154" s="373"/>
      <c r="Y154" s="373"/>
      <c r="Z154" s="373"/>
      <c r="AA154" s="373"/>
      <c r="AB154" s="373"/>
      <c r="AC154" s="373"/>
      <c r="AD154" s="373"/>
      <c r="AE154" s="373"/>
      <c r="AF154" s="373"/>
      <c r="AG154" s="373"/>
      <c r="AH154" s="373"/>
      <c r="AI154" s="373"/>
      <c r="AJ154" s="373"/>
    </row>
    <row r="155" ht="15.0" customHeight="1">
      <c r="A155" s="373" t="s">
        <v>215</v>
      </c>
      <c r="B155" s="373">
        <v>1.0</v>
      </c>
      <c r="C155" s="373">
        <v>2.0</v>
      </c>
      <c r="D155" s="373">
        <v>3.0</v>
      </c>
      <c r="E155" s="373">
        <v>4.0</v>
      </c>
      <c r="F155" s="373">
        <v>5.0</v>
      </c>
      <c r="G155" s="373">
        <v>6.0</v>
      </c>
      <c r="H155" s="373">
        <v>7.0</v>
      </c>
      <c r="I155" s="373">
        <v>8.0</v>
      </c>
      <c r="J155" s="373">
        <v>9.0</v>
      </c>
      <c r="K155" s="373">
        <v>10.0</v>
      </c>
      <c r="L155" s="373">
        <v>11.0</v>
      </c>
      <c r="M155" s="373">
        <v>12.0</v>
      </c>
      <c r="N155" s="373">
        <v>13.0</v>
      </c>
      <c r="O155" s="373">
        <v>14.0</v>
      </c>
      <c r="P155" s="373">
        <v>15.0</v>
      </c>
      <c r="Q155" s="373">
        <v>16.0</v>
      </c>
      <c r="R155" s="373">
        <v>17.0</v>
      </c>
      <c r="S155" s="373">
        <v>18.0</v>
      </c>
      <c r="T155" s="373">
        <v>19.0</v>
      </c>
      <c r="U155" s="373">
        <v>20.0</v>
      </c>
      <c r="V155" s="373">
        <v>21.0</v>
      </c>
      <c r="W155" s="373">
        <v>22.0</v>
      </c>
      <c r="X155" s="373">
        <v>23.0</v>
      </c>
      <c r="Y155" s="373">
        <v>24.0</v>
      </c>
      <c r="Z155" s="373">
        <v>25.0</v>
      </c>
      <c r="AA155" s="373">
        <v>26.0</v>
      </c>
      <c r="AB155" s="373">
        <v>27.0</v>
      </c>
      <c r="AC155" s="373">
        <v>28.0</v>
      </c>
      <c r="AD155" s="373">
        <v>29.0</v>
      </c>
      <c r="AE155" s="373">
        <v>30.0</v>
      </c>
      <c r="AF155" s="373"/>
      <c r="AG155" s="373"/>
      <c r="AH155" s="373"/>
      <c r="AI155" s="373"/>
      <c r="AJ155" s="373"/>
    </row>
    <row r="156" ht="17.25" customHeight="1">
      <c r="A156" s="12" t="s">
        <v>217</v>
      </c>
      <c r="B156" s="12">
        <v>0.0</v>
      </c>
      <c r="C156" s="12">
        <v>0.0</v>
      </c>
      <c r="D156" s="12">
        <v>0.0</v>
      </c>
      <c r="E156" s="12">
        <v>0.0</v>
      </c>
      <c r="F156" s="12">
        <v>0.0</v>
      </c>
      <c r="G156" s="12">
        <v>0.0</v>
      </c>
      <c r="H156" s="12">
        <v>0.0</v>
      </c>
      <c r="I156" s="12">
        <v>0.0</v>
      </c>
      <c r="J156" s="12">
        <v>0.0</v>
      </c>
      <c r="K156" s="12">
        <v>0.0</v>
      </c>
      <c r="L156" s="12">
        <v>0.0</v>
      </c>
      <c r="M156" s="12">
        <v>0.0</v>
      </c>
      <c r="N156" s="12">
        <v>0.0</v>
      </c>
      <c r="O156" s="12">
        <v>0.0</v>
      </c>
      <c r="P156" s="12">
        <v>0.0</v>
      </c>
      <c r="Q156" s="12">
        <v>0.0</v>
      </c>
      <c r="R156" s="12">
        <v>0.0</v>
      </c>
      <c r="S156" s="12">
        <v>0.0</v>
      </c>
      <c r="T156" s="12">
        <v>0.0</v>
      </c>
      <c r="U156" s="12">
        <v>0.0</v>
      </c>
      <c r="V156" s="12">
        <v>0.0</v>
      </c>
      <c r="W156" s="12">
        <v>0.0</v>
      </c>
      <c r="X156" s="12">
        <v>0.0</v>
      </c>
      <c r="Y156" s="12">
        <v>0.0</v>
      </c>
      <c r="Z156" s="12">
        <v>0.0</v>
      </c>
      <c r="AA156" s="12">
        <v>0.0</v>
      </c>
      <c r="AB156" s="12">
        <v>0.0</v>
      </c>
      <c r="AC156" s="12">
        <v>0.0</v>
      </c>
      <c r="AD156" s="12">
        <v>0.0</v>
      </c>
      <c r="AE156" s="12">
        <v>0.0</v>
      </c>
      <c r="AF156" s="36"/>
      <c r="AG156" s="36"/>
      <c r="AH156" s="36"/>
      <c r="AI156" s="36"/>
      <c r="AJ156" s="36"/>
    </row>
    <row r="157" ht="15.0" customHeight="1">
      <c r="A157" s="370" t="s">
        <v>218</v>
      </c>
      <c r="B157" s="184">
        <f t="shared" ref="B157:AE157" si="28">0.13%</f>
        <v>0.0013</v>
      </c>
      <c r="C157" s="184">
        <f t="shared" si="28"/>
        <v>0.0013</v>
      </c>
      <c r="D157" s="184">
        <f t="shared" si="28"/>
        <v>0.0013</v>
      </c>
      <c r="E157" s="184">
        <f t="shared" si="28"/>
        <v>0.0013</v>
      </c>
      <c r="F157" s="184">
        <f t="shared" si="28"/>
        <v>0.0013</v>
      </c>
      <c r="G157" s="184">
        <f t="shared" si="28"/>
        <v>0.0013</v>
      </c>
      <c r="H157" s="184">
        <f t="shared" si="28"/>
        <v>0.0013</v>
      </c>
      <c r="I157" s="184">
        <f t="shared" si="28"/>
        <v>0.0013</v>
      </c>
      <c r="J157" s="184">
        <f t="shared" si="28"/>
        <v>0.0013</v>
      </c>
      <c r="K157" s="184">
        <f t="shared" si="28"/>
        <v>0.0013</v>
      </c>
      <c r="L157" s="184">
        <f t="shared" si="28"/>
        <v>0.0013</v>
      </c>
      <c r="M157" s="184">
        <f t="shared" si="28"/>
        <v>0.0013</v>
      </c>
      <c r="N157" s="184">
        <f t="shared" si="28"/>
        <v>0.0013</v>
      </c>
      <c r="O157" s="184">
        <f t="shared" si="28"/>
        <v>0.0013</v>
      </c>
      <c r="P157" s="184">
        <f t="shared" si="28"/>
        <v>0.0013</v>
      </c>
      <c r="Q157" s="184">
        <f t="shared" si="28"/>
        <v>0.0013</v>
      </c>
      <c r="R157" s="184">
        <f t="shared" si="28"/>
        <v>0.0013</v>
      </c>
      <c r="S157" s="184">
        <f t="shared" si="28"/>
        <v>0.0013</v>
      </c>
      <c r="T157" s="184">
        <f t="shared" si="28"/>
        <v>0.0013</v>
      </c>
      <c r="U157" s="184">
        <f t="shared" si="28"/>
        <v>0.0013</v>
      </c>
      <c r="V157" s="184">
        <f t="shared" si="28"/>
        <v>0.0013</v>
      </c>
      <c r="W157" s="184">
        <f t="shared" si="28"/>
        <v>0.0013</v>
      </c>
      <c r="X157" s="184">
        <f t="shared" si="28"/>
        <v>0.0013</v>
      </c>
      <c r="Y157" s="184">
        <f t="shared" si="28"/>
        <v>0.0013</v>
      </c>
      <c r="Z157" s="184">
        <f t="shared" si="28"/>
        <v>0.0013</v>
      </c>
      <c r="AA157" s="184">
        <f t="shared" si="28"/>
        <v>0.0013</v>
      </c>
      <c r="AB157" s="184">
        <f t="shared" si="28"/>
        <v>0.0013</v>
      </c>
      <c r="AC157" s="184">
        <f t="shared" si="28"/>
        <v>0.0013</v>
      </c>
      <c r="AD157" s="184">
        <f t="shared" si="28"/>
        <v>0.0013</v>
      </c>
      <c r="AE157" s="184">
        <f t="shared" si="28"/>
        <v>0.0013</v>
      </c>
      <c r="AF157" s="373"/>
      <c r="AG157" s="373"/>
      <c r="AH157" s="373"/>
      <c r="AI157" s="373"/>
      <c r="AJ157" s="373"/>
    </row>
    <row r="158" ht="15.0" customHeight="1">
      <c r="A158" s="374" t="s">
        <v>720</v>
      </c>
      <c r="B158" s="373"/>
      <c r="C158" s="373"/>
      <c r="D158" s="373"/>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3"/>
      <c r="AH158" s="373"/>
      <c r="AI158" s="373"/>
      <c r="AJ158" s="373"/>
    </row>
    <row r="159" ht="15.0" customHeight="1">
      <c r="A159" s="373"/>
      <c r="B159" s="373"/>
      <c r="C159" s="373"/>
      <c r="D159" s="373"/>
      <c r="E159" s="373"/>
      <c r="F159" s="373"/>
      <c r="G159" s="373"/>
      <c r="H159" s="373"/>
      <c r="I159" s="373"/>
      <c r="J159" s="373"/>
      <c r="K159" s="373"/>
      <c r="L159" s="373"/>
      <c r="M159" s="373"/>
      <c r="N159" s="373"/>
      <c r="O159" s="373"/>
      <c r="P159" s="373"/>
      <c r="Q159" s="373"/>
      <c r="R159" s="373"/>
      <c r="S159" s="373"/>
      <c r="T159" s="373"/>
      <c r="U159" s="373"/>
      <c r="V159" s="373"/>
      <c r="W159" s="373"/>
      <c r="X159" s="373"/>
      <c r="Y159" s="373"/>
      <c r="Z159" s="373"/>
      <c r="AA159" s="373"/>
      <c r="AB159" s="373"/>
      <c r="AC159" s="373"/>
      <c r="AD159" s="373"/>
      <c r="AE159" s="373"/>
      <c r="AF159" s="373"/>
      <c r="AG159" s="373"/>
      <c r="AH159" s="373"/>
      <c r="AI159" s="373"/>
      <c r="AJ159" s="373"/>
    </row>
    <row r="160" ht="15.0" customHeight="1">
      <c r="A160" s="373" t="s">
        <v>215</v>
      </c>
      <c r="B160" s="373">
        <v>1.0</v>
      </c>
      <c r="C160" s="373">
        <v>2.0</v>
      </c>
      <c r="D160" s="373">
        <v>3.0</v>
      </c>
      <c r="E160" s="373">
        <v>4.0</v>
      </c>
      <c r="F160" s="373">
        <v>5.0</v>
      </c>
      <c r="G160" s="373">
        <v>6.0</v>
      </c>
      <c r="H160" s="373">
        <v>7.0</v>
      </c>
      <c r="I160" s="373">
        <v>8.0</v>
      </c>
      <c r="J160" s="373">
        <v>9.0</v>
      </c>
      <c r="K160" s="373">
        <v>10.0</v>
      </c>
      <c r="L160" s="373">
        <v>11.0</v>
      </c>
      <c r="M160" s="373">
        <v>12.0</v>
      </c>
      <c r="N160" s="373">
        <v>13.0</v>
      </c>
      <c r="O160" s="373">
        <v>14.0</v>
      </c>
      <c r="P160" s="373">
        <v>15.0</v>
      </c>
      <c r="Q160" s="373">
        <v>16.0</v>
      </c>
      <c r="R160" s="373">
        <v>17.0</v>
      </c>
      <c r="S160" s="373">
        <v>18.0</v>
      </c>
      <c r="T160" s="373">
        <v>19.0</v>
      </c>
      <c r="U160" s="373">
        <v>20.0</v>
      </c>
      <c r="V160" s="373">
        <v>21.0</v>
      </c>
      <c r="W160" s="373">
        <v>22.0</v>
      </c>
      <c r="X160" s="373">
        <v>23.0</v>
      </c>
      <c r="Y160" s="373">
        <v>24.0</v>
      </c>
      <c r="Z160" s="373">
        <v>25.0</v>
      </c>
      <c r="AA160" s="373">
        <v>26.0</v>
      </c>
      <c r="AB160" s="373">
        <v>27.0</v>
      </c>
      <c r="AC160" s="373">
        <v>28.0</v>
      </c>
      <c r="AD160" s="373">
        <v>29.0</v>
      </c>
      <c r="AE160" s="373">
        <v>30.0</v>
      </c>
      <c r="AF160" s="373"/>
      <c r="AG160" s="373"/>
      <c r="AH160" s="373"/>
      <c r="AI160" s="373"/>
      <c r="AJ160" s="373"/>
    </row>
    <row r="161" ht="17.25" customHeight="1">
      <c r="A161" s="12" t="s">
        <v>217</v>
      </c>
      <c r="B161" s="12">
        <v>0.0</v>
      </c>
      <c r="C161" s="12">
        <v>0.0</v>
      </c>
      <c r="D161" s="12">
        <v>0.0</v>
      </c>
      <c r="E161" s="12">
        <v>0.0</v>
      </c>
      <c r="F161" s="12">
        <v>0.0</v>
      </c>
      <c r="G161" s="12">
        <v>0.0</v>
      </c>
      <c r="H161" s="12">
        <v>0.0</v>
      </c>
      <c r="I161" s="12">
        <v>0.0</v>
      </c>
      <c r="J161" s="12">
        <v>0.0</v>
      </c>
      <c r="K161" s="12">
        <v>0.0</v>
      </c>
      <c r="L161" s="12">
        <v>0.0</v>
      </c>
      <c r="M161" s="12">
        <v>0.0</v>
      </c>
      <c r="N161" s="12">
        <v>0.0</v>
      </c>
      <c r="O161" s="12">
        <v>0.0</v>
      </c>
      <c r="P161" s="12">
        <v>0.0</v>
      </c>
      <c r="Q161" s="12">
        <v>0.0</v>
      </c>
      <c r="R161" s="12">
        <v>0.0</v>
      </c>
      <c r="S161" s="12">
        <v>0.0</v>
      </c>
      <c r="T161" s="12">
        <v>0.0</v>
      </c>
      <c r="U161" s="12">
        <v>0.0</v>
      </c>
      <c r="V161" s="12">
        <v>0.0</v>
      </c>
      <c r="W161" s="12">
        <v>0.0</v>
      </c>
      <c r="X161" s="12">
        <v>0.0</v>
      </c>
      <c r="Y161" s="12">
        <v>0.0</v>
      </c>
      <c r="Z161" s="12">
        <v>0.0</v>
      </c>
      <c r="AA161" s="12">
        <v>0.0</v>
      </c>
      <c r="AB161" s="12">
        <v>0.0</v>
      </c>
      <c r="AC161" s="12">
        <v>0.0</v>
      </c>
      <c r="AD161" s="12">
        <v>0.0</v>
      </c>
      <c r="AE161" s="12">
        <v>0.0</v>
      </c>
      <c r="AF161" s="36"/>
      <c r="AG161" s="36"/>
      <c r="AH161" s="36"/>
      <c r="AI161" s="36"/>
      <c r="AJ161" s="36"/>
    </row>
    <row r="162" ht="15.0" customHeight="1">
      <c r="A162" s="370" t="s">
        <v>218</v>
      </c>
      <c r="B162" s="184">
        <f>0.25%</f>
        <v>0.0025</v>
      </c>
      <c r="C162" s="184">
        <f t="shared" ref="C162:AE162" si="29">B162*1.05</f>
        <v>0.002625</v>
      </c>
      <c r="D162" s="184">
        <f t="shared" si="29"/>
        <v>0.00275625</v>
      </c>
      <c r="E162" s="184">
        <f t="shared" si="29"/>
        <v>0.0028940625</v>
      </c>
      <c r="F162" s="184">
        <f t="shared" si="29"/>
        <v>0.003038765625</v>
      </c>
      <c r="G162" s="184">
        <f t="shared" si="29"/>
        <v>0.003190703906</v>
      </c>
      <c r="H162" s="184">
        <f t="shared" si="29"/>
        <v>0.003350239102</v>
      </c>
      <c r="I162" s="184">
        <f t="shared" si="29"/>
        <v>0.003517751057</v>
      </c>
      <c r="J162" s="184">
        <f t="shared" si="29"/>
        <v>0.003693638609</v>
      </c>
      <c r="K162" s="184">
        <f t="shared" si="29"/>
        <v>0.00387832054</v>
      </c>
      <c r="L162" s="184">
        <f t="shared" si="29"/>
        <v>0.004072236567</v>
      </c>
      <c r="M162" s="184">
        <f t="shared" si="29"/>
        <v>0.004275848395</v>
      </c>
      <c r="N162" s="184">
        <f t="shared" si="29"/>
        <v>0.004489640815</v>
      </c>
      <c r="O162" s="184">
        <f t="shared" si="29"/>
        <v>0.004714122856</v>
      </c>
      <c r="P162" s="184">
        <f t="shared" si="29"/>
        <v>0.004949828999</v>
      </c>
      <c r="Q162" s="184">
        <f t="shared" si="29"/>
        <v>0.005197320449</v>
      </c>
      <c r="R162" s="184">
        <f t="shared" si="29"/>
        <v>0.005457186471</v>
      </c>
      <c r="S162" s="184">
        <f t="shared" si="29"/>
        <v>0.005730045795</v>
      </c>
      <c r="T162" s="184">
        <f t="shared" si="29"/>
        <v>0.006016548084</v>
      </c>
      <c r="U162" s="184">
        <f t="shared" si="29"/>
        <v>0.006317375488</v>
      </c>
      <c r="V162" s="184">
        <f t="shared" si="29"/>
        <v>0.006633244263</v>
      </c>
      <c r="W162" s="184">
        <f t="shared" si="29"/>
        <v>0.006964906476</v>
      </c>
      <c r="X162" s="184">
        <f t="shared" si="29"/>
        <v>0.0073131518</v>
      </c>
      <c r="Y162" s="184">
        <f t="shared" si="29"/>
        <v>0.00767880939</v>
      </c>
      <c r="Z162" s="184">
        <f t="shared" si="29"/>
        <v>0.008062749859</v>
      </c>
      <c r="AA162" s="184">
        <f t="shared" si="29"/>
        <v>0.008465887352</v>
      </c>
      <c r="AB162" s="184">
        <f t="shared" si="29"/>
        <v>0.00888918172</v>
      </c>
      <c r="AC162" s="184">
        <f t="shared" si="29"/>
        <v>0.009333640806</v>
      </c>
      <c r="AD162" s="184">
        <f t="shared" si="29"/>
        <v>0.009800322846</v>
      </c>
      <c r="AE162" s="184">
        <f t="shared" si="29"/>
        <v>0.01029033899</v>
      </c>
      <c r="AF162" s="373"/>
      <c r="AG162" s="373"/>
      <c r="AH162" s="373"/>
      <c r="AI162" s="373"/>
      <c r="AJ162" s="373"/>
    </row>
    <row r="163" ht="15.0" customHeight="1">
      <c r="A163" s="319" t="s">
        <v>726</v>
      </c>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c r="AA163" s="36"/>
      <c r="AB163" s="36"/>
      <c r="AC163" s="36"/>
      <c r="AD163" s="36"/>
      <c r="AE163" s="36"/>
      <c r="AF163" s="36"/>
      <c r="AG163" s="36"/>
      <c r="AH163" s="36"/>
      <c r="AI163" s="36"/>
      <c r="AJ163" s="36"/>
    </row>
    <row r="164" ht="15.7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c r="AA164" s="36"/>
      <c r="AB164" s="36"/>
      <c r="AC164" s="36"/>
      <c r="AD164" s="36"/>
      <c r="AE164" s="36"/>
      <c r="AF164" s="36"/>
      <c r="AG164" s="36"/>
      <c r="AH164" s="36"/>
      <c r="AI164" s="36"/>
      <c r="AJ164" s="36"/>
    </row>
    <row r="165" ht="15.0" customHeight="1">
      <c r="A165" s="36" t="s">
        <v>215</v>
      </c>
      <c r="B165" s="36">
        <v>1.0</v>
      </c>
      <c r="C165" s="36">
        <v>2.0</v>
      </c>
      <c r="D165" s="36">
        <v>3.0</v>
      </c>
      <c r="E165" s="36">
        <v>4.0</v>
      </c>
      <c r="F165" s="36">
        <v>5.0</v>
      </c>
      <c r="G165" s="36">
        <v>6.0</v>
      </c>
      <c r="H165" s="36">
        <v>7.0</v>
      </c>
      <c r="I165" s="36">
        <v>8.0</v>
      </c>
      <c r="J165" s="36">
        <v>9.0</v>
      </c>
      <c r="K165" s="36">
        <v>10.0</v>
      </c>
      <c r="L165" s="36">
        <v>11.0</v>
      </c>
      <c r="M165" s="36">
        <v>12.0</v>
      </c>
      <c r="N165" s="36">
        <v>13.0</v>
      </c>
      <c r="O165" s="36">
        <v>14.0</v>
      </c>
      <c r="P165" s="36">
        <v>15.0</v>
      </c>
      <c r="Q165" s="36">
        <v>16.0</v>
      </c>
      <c r="R165" s="36">
        <v>17.0</v>
      </c>
      <c r="S165" s="36">
        <v>18.0</v>
      </c>
      <c r="T165" s="36">
        <v>19.0</v>
      </c>
      <c r="U165" s="36">
        <v>20.0</v>
      </c>
      <c r="V165" s="36">
        <v>21.0</v>
      </c>
      <c r="W165" s="36">
        <v>22.0</v>
      </c>
      <c r="X165" s="36">
        <v>23.0</v>
      </c>
      <c r="Y165" s="36">
        <v>24.0</v>
      </c>
      <c r="Z165" s="36">
        <v>25.0</v>
      </c>
      <c r="AA165" s="36">
        <v>26.0</v>
      </c>
      <c r="AB165" s="36">
        <v>27.0</v>
      </c>
      <c r="AC165" s="36">
        <v>28.0</v>
      </c>
      <c r="AD165" s="36">
        <v>29.0</v>
      </c>
      <c r="AE165" s="36">
        <v>30.0</v>
      </c>
      <c r="AF165" s="36"/>
      <c r="AG165" s="36"/>
      <c r="AH165" s="36"/>
      <c r="AI165" s="36"/>
      <c r="AJ165" s="36"/>
    </row>
    <row r="166" ht="17.25" customHeight="1">
      <c r="A166" s="12" t="s">
        <v>217</v>
      </c>
      <c r="B166" s="12">
        <v>0.0</v>
      </c>
      <c r="C166" s="12">
        <v>0.0</v>
      </c>
      <c r="D166" s="12">
        <v>0.0</v>
      </c>
      <c r="E166" s="12">
        <v>0.0</v>
      </c>
      <c r="F166" s="12">
        <v>0.0</v>
      </c>
      <c r="G166" s="12">
        <v>0.0</v>
      </c>
      <c r="H166" s="12">
        <v>0.0</v>
      </c>
      <c r="I166" s="12">
        <v>0.0</v>
      </c>
      <c r="J166" s="12">
        <v>0.0</v>
      </c>
      <c r="K166" s="12">
        <v>0.0</v>
      </c>
      <c r="L166" s="12">
        <v>0.0</v>
      </c>
      <c r="M166" s="12">
        <v>0.0</v>
      </c>
      <c r="N166" s="12">
        <v>0.0</v>
      </c>
      <c r="O166" s="12">
        <v>0.0</v>
      </c>
      <c r="P166" s="12">
        <v>0.0</v>
      </c>
      <c r="Q166" s="12">
        <v>0.0</v>
      </c>
      <c r="R166" s="12">
        <v>0.0</v>
      </c>
      <c r="S166" s="12">
        <v>0.0</v>
      </c>
      <c r="T166" s="12">
        <v>0.0</v>
      </c>
      <c r="U166" s="12">
        <v>0.0</v>
      </c>
      <c r="V166" s="12">
        <v>0.0</v>
      </c>
      <c r="W166" s="12">
        <v>0.0</v>
      </c>
      <c r="X166" s="12">
        <v>0.0</v>
      </c>
      <c r="Y166" s="12">
        <v>0.0</v>
      </c>
      <c r="Z166" s="12">
        <v>0.0</v>
      </c>
      <c r="AA166" s="12">
        <v>0.0</v>
      </c>
      <c r="AB166" s="12">
        <v>0.0</v>
      </c>
      <c r="AC166" s="12">
        <v>0.0</v>
      </c>
      <c r="AD166" s="12">
        <v>0.0</v>
      </c>
      <c r="AE166" s="12">
        <v>0.0</v>
      </c>
      <c r="AF166" s="36"/>
      <c r="AG166" s="36"/>
      <c r="AH166" s="36"/>
      <c r="AI166" s="36"/>
      <c r="AJ166" s="36"/>
    </row>
    <row r="167" ht="15.75" customHeight="1">
      <c r="A167" s="12" t="s">
        <v>218</v>
      </c>
      <c r="B167" s="36">
        <v>0.0</v>
      </c>
      <c r="C167" s="36">
        <v>0.0</v>
      </c>
      <c r="D167" s="36">
        <v>0.0</v>
      </c>
      <c r="E167" s="36">
        <v>0.0</v>
      </c>
      <c r="F167" s="36">
        <v>0.0</v>
      </c>
      <c r="G167" s="36">
        <f t="shared" ref="G167:AE167" si="30">0.46%</f>
        <v>0.0046</v>
      </c>
      <c r="H167" s="36">
        <f t="shared" si="30"/>
        <v>0.0046</v>
      </c>
      <c r="I167" s="36">
        <f t="shared" si="30"/>
        <v>0.0046</v>
      </c>
      <c r="J167" s="36">
        <f t="shared" si="30"/>
        <v>0.0046</v>
      </c>
      <c r="K167" s="36">
        <f t="shared" si="30"/>
        <v>0.0046</v>
      </c>
      <c r="L167" s="36">
        <f t="shared" si="30"/>
        <v>0.0046</v>
      </c>
      <c r="M167" s="36">
        <f t="shared" si="30"/>
        <v>0.0046</v>
      </c>
      <c r="N167" s="36">
        <f t="shared" si="30"/>
        <v>0.0046</v>
      </c>
      <c r="O167" s="36">
        <f t="shared" si="30"/>
        <v>0.0046</v>
      </c>
      <c r="P167" s="36">
        <f t="shared" si="30"/>
        <v>0.0046</v>
      </c>
      <c r="Q167" s="36">
        <f t="shared" si="30"/>
        <v>0.0046</v>
      </c>
      <c r="R167" s="36">
        <f t="shared" si="30"/>
        <v>0.0046</v>
      </c>
      <c r="S167" s="36">
        <f t="shared" si="30"/>
        <v>0.0046</v>
      </c>
      <c r="T167" s="36">
        <f t="shared" si="30"/>
        <v>0.0046</v>
      </c>
      <c r="U167" s="36">
        <f t="shared" si="30"/>
        <v>0.0046</v>
      </c>
      <c r="V167" s="36">
        <f t="shared" si="30"/>
        <v>0.0046</v>
      </c>
      <c r="W167" s="36">
        <f t="shared" si="30"/>
        <v>0.0046</v>
      </c>
      <c r="X167" s="36">
        <f t="shared" si="30"/>
        <v>0.0046</v>
      </c>
      <c r="Y167" s="36">
        <f t="shared" si="30"/>
        <v>0.0046</v>
      </c>
      <c r="Z167" s="36">
        <f t="shared" si="30"/>
        <v>0.0046</v>
      </c>
      <c r="AA167" s="36">
        <f t="shared" si="30"/>
        <v>0.0046</v>
      </c>
      <c r="AB167" s="36">
        <f t="shared" si="30"/>
        <v>0.0046</v>
      </c>
      <c r="AC167" s="36">
        <f t="shared" si="30"/>
        <v>0.0046</v>
      </c>
      <c r="AD167" s="36">
        <f t="shared" si="30"/>
        <v>0.0046</v>
      </c>
      <c r="AE167" s="36">
        <f t="shared" si="30"/>
        <v>0.0046</v>
      </c>
      <c r="AF167" s="36"/>
      <c r="AG167" s="36"/>
      <c r="AH167" s="36"/>
      <c r="AI167" s="36"/>
      <c r="AJ167" s="36"/>
    </row>
    <row r="168" ht="15.0" customHeight="1">
      <c r="A168" s="319" t="s">
        <v>736</v>
      </c>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c r="AA168" s="36"/>
      <c r="AB168" s="36"/>
      <c r="AC168" s="36"/>
      <c r="AD168" s="36"/>
      <c r="AE168" s="36"/>
      <c r="AF168" s="36"/>
      <c r="AG168" s="36"/>
      <c r="AH168" s="36"/>
      <c r="AI168" s="36"/>
      <c r="AJ168" s="36"/>
    </row>
    <row r="169" ht="15.7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row>
    <row r="170" ht="15.0" customHeight="1">
      <c r="A170" s="36" t="s">
        <v>215</v>
      </c>
      <c r="B170" s="36">
        <v>1.0</v>
      </c>
      <c r="C170" s="36">
        <v>2.0</v>
      </c>
      <c r="D170" s="36">
        <v>3.0</v>
      </c>
      <c r="E170" s="36">
        <v>4.0</v>
      </c>
      <c r="F170" s="36">
        <v>5.0</v>
      </c>
      <c r="G170" s="36">
        <v>6.0</v>
      </c>
      <c r="H170" s="36">
        <v>7.0</v>
      </c>
      <c r="I170" s="36">
        <v>8.0</v>
      </c>
      <c r="J170" s="36">
        <v>9.0</v>
      </c>
      <c r="K170" s="36">
        <v>10.0</v>
      </c>
      <c r="L170" s="36">
        <v>11.0</v>
      </c>
      <c r="M170" s="36">
        <v>12.0</v>
      </c>
      <c r="N170" s="36">
        <v>13.0</v>
      </c>
      <c r="O170" s="36">
        <v>14.0</v>
      </c>
      <c r="P170" s="36">
        <v>15.0</v>
      </c>
      <c r="Q170" s="36">
        <v>16.0</v>
      </c>
      <c r="R170" s="36">
        <v>17.0</v>
      </c>
      <c r="S170" s="36">
        <v>18.0</v>
      </c>
      <c r="T170" s="36">
        <v>19.0</v>
      </c>
      <c r="U170" s="36">
        <v>20.0</v>
      </c>
      <c r="V170" s="36">
        <v>21.0</v>
      </c>
      <c r="W170" s="36">
        <v>22.0</v>
      </c>
      <c r="X170" s="36">
        <v>23.0</v>
      </c>
      <c r="Y170" s="36">
        <v>24.0</v>
      </c>
      <c r="Z170" s="36">
        <v>25.0</v>
      </c>
      <c r="AA170" s="36">
        <v>26.0</v>
      </c>
      <c r="AB170" s="36">
        <v>27.0</v>
      </c>
      <c r="AC170" s="36">
        <v>28.0</v>
      </c>
      <c r="AD170" s="36">
        <v>29.0</v>
      </c>
      <c r="AE170" s="36">
        <v>30.0</v>
      </c>
      <c r="AF170" s="36"/>
      <c r="AG170" s="36"/>
      <c r="AH170" s="36"/>
      <c r="AI170" s="36"/>
      <c r="AJ170" s="36"/>
    </row>
    <row r="171" ht="17.25" customHeight="1">
      <c r="A171" s="12" t="s">
        <v>217</v>
      </c>
      <c r="B171" s="12">
        <v>0.0</v>
      </c>
      <c r="C171" s="12">
        <v>0.0</v>
      </c>
      <c r="D171" s="12">
        <v>0.0</v>
      </c>
      <c r="E171" s="12">
        <v>0.0</v>
      </c>
      <c r="F171" s="12">
        <v>0.0</v>
      </c>
      <c r="G171" s="12">
        <v>0.0</v>
      </c>
      <c r="H171" s="12">
        <v>0.0</v>
      </c>
      <c r="I171" s="12">
        <v>0.0</v>
      </c>
      <c r="J171" s="12">
        <v>0.0</v>
      </c>
      <c r="K171" s="12">
        <v>0.0</v>
      </c>
      <c r="L171" s="12">
        <v>0.0</v>
      </c>
      <c r="M171" s="12">
        <v>0.0</v>
      </c>
      <c r="N171" s="12">
        <v>0.0</v>
      </c>
      <c r="O171" s="12">
        <v>0.0</v>
      </c>
      <c r="P171" s="12">
        <v>0.0</v>
      </c>
      <c r="Q171" s="12">
        <v>0.0</v>
      </c>
      <c r="R171" s="12">
        <v>0.0</v>
      </c>
      <c r="S171" s="12">
        <v>0.0</v>
      </c>
      <c r="T171" s="12">
        <v>0.0</v>
      </c>
      <c r="U171" s="12">
        <v>0.0</v>
      </c>
      <c r="V171" s="12">
        <v>0.0</v>
      </c>
      <c r="W171" s="12">
        <v>0.0</v>
      </c>
      <c r="X171" s="12">
        <v>0.0</v>
      </c>
      <c r="Y171" s="12">
        <v>0.0</v>
      </c>
      <c r="Z171" s="12">
        <v>0.0</v>
      </c>
      <c r="AA171" s="12">
        <v>0.0</v>
      </c>
      <c r="AB171" s="12">
        <v>0.0</v>
      </c>
      <c r="AC171" s="12">
        <v>0.0</v>
      </c>
      <c r="AD171" s="12">
        <v>0.0</v>
      </c>
      <c r="AE171" s="12">
        <v>0.0</v>
      </c>
      <c r="AF171" s="36"/>
      <c r="AG171" s="36"/>
      <c r="AH171" s="36"/>
      <c r="AI171" s="36"/>
      <c r="AJ171" s="36"/>
    </row>
    <row r="172" ht="15.0" customHeight="1">
      <c r="A172" s="370" t="s">
        <v>218</v>
      </c>
      <c r="B172" s="184">
        <f t="shared" ref="B172:AE172" si="31">0.13%</f>
        <v>0.0013</v>
      </c>
      <c r="C172" s="184">
        <f t="shared" si="31"/>
        <v>0.0013</v>
      </c>
      <c r="D172" s="184">
        <f t="shared" si="31"/>
        <v>0.0013</v>
      </c>
      <c r="E172" s="184">
        <f t="shared" si="31"/>
        <v>0.0013</v>
      </c>
      <c r="F172" s="184">
        <f t="shared" si="31"/>
        <v>0.0013</v>
      </c>
      <c r="G172" s="184">
        <f t="shared" si="31"/>
        <v>0.0013</v>
      </c>
      <c r="H172" s="184">
        <f t="shared" si="31"/>
        <v>0.0013</v>
      </c>
      <c r="I172" s="184">
        <f t="shared" si="31"/>
        <v>0.0013</v>
      </c>
      <c r="J172" s="184">
        <f t="shared" si="31"/>
        <v>0.0013</v>
      </c>
      <c r="K172" s="184">
        <f t="shared" si="31"/>
        <v>0.0013</v>
      </c>
      <c r="L172" s="184">
        <f t="shared" si="31"/>
        <v>0.0013</v>
      </c>
      <c r="M172" s="184">
        <f t="shared" si="31"/>
        <v>0.0013</v>
      </c>
      <c r="N172" s="184">
        <f t="shared" si="31"/>
        <v>0.0013</v>
      </c>
      <c r="O172" s="184">
        <f t="shared" si="31"/>
        <v>0.0013</v>
      </c>
      <c r="P172" s="184">
        <f t="shared" si="31"/>
        <v>0.0013</v>
      </c>
      <c r="Q172" s="184">
        <f t="shared" si="31"/>
        <v>0.0013</v>
      </c>
      <c r="R172" s="184">
        <f t="shared" si="31"/>
        <v>0.0013</v>
      </c>
      <c r="S172" s="184">
        <f t="shared" si="31"/>
        <v>0.0013</v>
      </c>
      <c r="T172" s="184">
        <f t="shared" si="31"/>
        <v>0.0013</v>
      </c>
      <c r="U172" s="184">
        <f t="shared" si="31"/>
        <v>0.0013</v>
      </c>
      <c r="V172" s="184">
        <f t="shared" si="31"/>
        <v>0.0013</v>
      </c>
      <c r="W172" s="184">
        <f t="shared" si="31"/>
        <v>0.0013</v>
      </c>
      <c r="X172" s="184">
        <f t="shared" si="31"/>
        <v>0.0013</v>
      </c>
      <c r="Y172" s="184">
        <f t="shared" si="31"/>
        <v>0.0013</v>
      </c>
      <c r="Z172" s="184">
        <f t="shared" si="31"/>
        <v>0.0013</v>
      </c>
      <c r="AA172" s="184">
        <f t="shared" si="31"/>
        <v>0.0013</v>
      </c>
      <c r="AB172" s="184">
        <f t="shared" si="31"/>
        <v>0.0013</v>
      </c>
      <c r="AC172" s="184">
        <f t="shared" si="31"/>
        <v>0.0013</v>
      </c>
      <c r="AD172" s="184">
        <f t="shared" si="31"/>
        <v>0.0013</v>
      </c>
      <c r="AE172" s="184">
        <f t="shared" si="31"/>
        <v>0.0013</v>
      </c>
      <c r="AF172" s="373"/>
      <c r="AG172" s="373"/>
      <c r="AH172" s="373"/>
      <c r="AI172" s="373"/>
      <c r="AJ172" s="373"/>
    </row>
    <row r="173" ht="15.0" customHeight="1">
      <c r="A173" s="319" t="s">
        <v>740</v>
      </c>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c r="AA173" s="36"/>
      <c r="AB173" s="36"/>
      <c r="AC173" s="36"/>
      <c r="AD173" s="36"/>
      <c r="AE173" s="36"/>
      <c r="AF173" s="36"/>
      <c r="AG173" s="36"/>
      <c r="AH173" s="36"/>
      <c r="AI173" s="36"/>
      <c r="AJ173" s="36"/>
    </row>
    <row r="174" ht="15.7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c r="AA174" s="36"/>
      <c r="AB174" s="36"/>
      <c r="AC174" s="36"/>
      <c r="AD174" s="36"/>
      <c r="AE174" s="36"/>
      <c r="AF174" s="36"/>
      <c r="AG174" s="36"/>
      <c r="AH174" s="36"/>
      <c r="AI174" s="36"/>
      <c r="AJ174" s="36"/>
    </row>
    <row r="175" ht="15.0" customHeight="1">
      <c r="A175" s="36" t="s">
        <v>215</v>
      </c>
      <c r="B175" s="36">
        <v>1.0</v>
      </c>
      <c r="C175" s="36">
        <v>2.0</v>
      </c>
      <c r="D175" s="36">
        <v>3.0</v>
      </c>
      <c r="E175" s="36">
        <v>4.0</v>
      </c>
      <c r="F175" s="36">
        <v>5.0</v>
      </c>
      <c r="G175" s="36">
        <v>6.0</v>
      </c>
      <c r="H175" s="36">
        <v>7.0</v>
      </c>
      <c r="I175" s="36">
        <v>8.0</v>
      </c>
      <c r="J175" s="36">
        <v>9.0</v>
      </c>
      <c r="K175" s="36">
        <v>10.0</v>
      </c>
      <c r="L175" s="36">
        <v>11.0</v>
      </c>
      <c r="M175" s="36">
        <v>12.0</v>
      </c>
      <c r="N175" s="36">
        <v>13.0</v>
      </c>
      <c r="O175" s="36">
        <v>14.0</v>
      </c>
      <c r="P175" s="36">
        <v>15.0</v>
      </c>
      <c r="Q175" s="36">
        <v>16.0</v>
      </c>
      <c r="R175" s="36">
        <v>17.0</v>
      </c>
      <c r="S175" s="36">
        <v>18.0</v>
      </c>
      <c r="T175" s="36">
        <v>19.0</v>
      </c>
      <c r="U175" s="36">
        <v>20.0</v>
      </c>
      <c r="V175" s="36">
        <v>21.0</v>
      </c>
      <c r="W175" s="36">
        <v>22.0</v>
      </c>
      <c r="X175" s="36">
        <v>23.0</v>
      </c>
      <c r="Y175" s="36">
        <v>24.0</v>
      </c>
      <c r="Z175" s="36">
        <v>25.0</v>
      </c>
      <c r="AA175" s="36">
        <v>26.0</v>
      </c>
      <c r="AB175" s="36">
        <v>27.0</v>
      </c>
      <c r="AC175" s="36">
        <v>28.0</v>
      </c>
      <c r="AD175" s="36">
        <v>29.0</v>
      </c>
      <c r="AE175" s="36">
        <v>30.0</v>
      </c>
      <c r="AF175" s="36"/>
      <c r="AG175" s="36"/>
      <c r="AH175" s="36"/>
      <c r="AI175" s="36"/>
      <c r="AJ175" s="36"/>
    </row>
    <row r="176" ht="15.0" customHeight="1">
      <c r="A176" s="12" t="s">
        <v>217</v>
      </c>
      <c r="B176" s="12">
        <v>0.0</v>
      </c>
      <c r="C176" s="12">
        <v>0.0</v>
      </c>
      <c r="D176" s="12">
        <v>0.0</v>
      </c>
      <c r="E176" s="12">
        <v>0.0</v>
      </c>
      <c r="F176" s="12">
        <v>0.0</v>
      </c>
      <c r="G176" s="12">
        <v>0.0</v>
      </c>
      <c r="H176" s="12">
        <v>0.0</v>
      </c>
      <c r="I176" s="12">
        <v>0.0</v>
      </c>
      <c r="J176" s="12">
        <v>0.0</v>
      </c>
      <c r="K176" s="12">
        <v>0.0</v>
      </c>
      <c r="L176" s="12">
        <v>0.0</v>
      </c>
      <c r="M176" s="12">
        <v>0.0</v>
      </c>
      <c r="N176" s="12">
        <v>0.0</v>
      </c>
      <c r="O176" s="12">
        <v>0.0</v>
      </c>
      <c r="P176" s="12">
        <v>0.0</v>
      </c>
      <c r="Q176" s="12">
        <v>0.0</v>
      </c>
      <c r="R176" s="12">
        <v>0.0</v>
      </c>
      <c r="S176" s="12">
        <v>0.0</v>
      </c>
      <c r="T176" s="12">
        <v>0.0</v>
      </c>
      <c r="U176" s="12">
        <v>0.0</v>
      </c>
      <c r="V176" s="12">
        <v>0.0</v>
      </c>
      <c r="W176" s="12">
        <v>0.0</v>
      </c>
      <c r="X176" s="12">
        <v>0.0</v>
      </c>
      <c r="Y176" s="12">
        <v>0.0</v>
      </c>
      <c r="Z176" s="12">
        <v>0.0</v>
      </c>
      <c r="AA176" s="12">
        <v>0.0</v>
      </c>
      <c r="AB176" s="12">
        <v>0.0</v>
      </c>
      <c r="AC176" s="12">
        <v>0.0</v>
      </c>
      <c r="AD176" s="12">
        <v>0.0</v>
      </c>
      <c r="AE176" s="12">
        <v>0.0</v>
      </c>
      <c r="AF176" s="36"/>
      <c r="AG176" s="36"/>
      <c r="AH176" s="36"/>
      <c r="AI176" s="36"/>
      <c r="AJ176" s="36"/>
    </row>
    <row r="177" ht="15.75" customHeight="1">
      <c r="A177" s="370" t="s">
        <v>218</v>
      </c>
      <c r="B177" s="36">
        <f t="shared" ref="B177:F177" si="32">0.42%</f>
        <v>0.0042</v>
      </c>
      <c r="C177" s="36">
        <f t="shared" si="32"/>
        <v>0.0042</v>
      </c>
      <c r="D177" s="36">
        <f t="shared" si="32"/>
        <v>0.0042</v>
      </c>
      <c r="E177" s="36">
        <f t="shared" si="32"/>
        <v>0.0042</v>
      </c>
      <c r="F177" s="36">
        <f t="shared" si="32"/>
        <v>0.0042</v>
      </c>
      <c r="G177" s="194">
        <v>0.0083</v>
      </c>
      <c r="H177" s="194">
        <v>0.0083</v>
      </c>
      <c r="I177" s="194">
        <v>0.0083</v>
      </c>
      <c r="J177" s="194">
        <v>0.0083</v>
      </c>
      <c r="K177" s="194">
        <v>0.0083</v>
      </c>
      <c r="L177" s="36">
        <v>0.0</v>
      </c>
      <c r="M177" s="36">
        <v>0.0</v>
      </c>
      <c r="N177" s="36">
        <v>0.0</v>
      </c>
      <c r="O177" s="36">
        <v>0.0</v>
      </c>
      <c r="P177" s="36">
        <v>0.0</v>
      </c>
      <c r="Q177" s="194">
        <v>0.0083</v>
      </c>
      <c r="R177" s="194">
        <v>0.0083</v>
      </c>
      <c r="S177" s="194">
        <v>0.0083</v>
      </c>
      <c r="T177" s="194">
        <v>0.0083</v>
      </c>
      <c r="U177" s="194">
        <v>0.0083</v>
      </c>
      <c r="V177" s="194">
        <v>0.0083</v>
      </c>
      <c r="W177" s="194">
        <v>0.0083</v>
      </c>
      <c r="X177" s="194">
        <v>0.0083</v>
      </c>
      <c r="Y177" s="194">
        <v>0.0083</v>
      </c>
      <c r="Z177" s="194">
        <v>0.0083</v>
      </c>
      <c r="AA177" s="194">
        <v>0.0083</v>
      </c>
      <c r="AB177" s="194">
        <v>0.0083</v>
      </c>
      <c r="AC177" s="194">
        <v>0.0083</v>
      </c>
      <c r="AD177" s="194">
        <v>0.0083</v>
      </c>
      <c r="AE177" s="194">
        <v>0.0083</v>
      </c>
      <c r="AF177" s="36"/>
      <c r="AG177" s="36"/>
      <c r="AH177" s="36"/>
      <c r="AI177" s="36"/>
      <c r="AJ177" s="36"/>
    </row>
    <row r="178" ht="15.0" customHeight="1">
      <c r="A178" s="319" t="s">
        <v>748</v>
      </c>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c r="AA178" s="36"/>
      <c r="AB178" s="36"/>
      <c r="AC178" s="36"/>
      <c r="AD178" s="36"/>
      <c r="AE178" s="36"/>
      <c r="AF178" s="36"/>
      <c r="AG178" s="36"/>
      <c r="AH178" s="36"/>
      <c r="AI178" s="36"/>
      <c r="AJ178" s="36"/>
    </row>
    <row r="179" ht="15.7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c r="AA179" s="36"/>
      <c r="AB179" s="36"/>
      <c r="AC179" s="36"/>
      <c r="AD179" s="36"/>
      <c r="AE179" s="36"/>
      <c r="AF179" s="36"/>
      <c r="AG179" s="36"/>
      <c r="AH179" s="36"/>
      <c r="AI179" s="36"/>
      <c r="AJ179" s="36"/>
    </row>
    <row r="180" ht="15.0" customHeight="1">
      <c r="A180" s="36" t="s">
        <v>215</v>
      </c>
      <c r="B180" s="36">
        <v>1.0</v>
      </c>
      <c r="C180" s="36">
        <v>2.0</v>
      </c>
      <c r="D180" s="36">
        <v>3.0</v>
      </c>
      <c r="E180" s="36">
        <v>4.0</v>
      </c>
      <c r="F180" s="36">
        <v>5.0</v>
      </c>
      <c r="G180" s="36">
        <v>6.0</v>
      </c>
      <c r="H180" s="36">
        <v>7.0</v>
      </c>
      <c r="I180" s="36">
        <v>8.0</v>
      </c>
      <c r="J180" s="36">
        <v>9.0</v>
      </c>
      <c r="K180" s="36">
        <v>10.0</v>
      </c>
      <c r="L180" s="36">
        <v>11.0</v>
      </c>
      <c r="M180" s="36">
        <v>12.0</v>
      </c>
      <c r="N180" s="36">
        <v>13.0</v>
      </c>
      <c r="O180" s="36">
        <v>14.0</v>
      </c>
      <c r="P180" s="36">
        <v>15.0</v>
      </c>
      <c r="Q180" s="36">
        <v>16.0</v>
      </c>
      <c r="R180" s="36">
        <v>17.0</v>
      </c>
      <c r="S180" s="36">
        <v>18.0</v>
      </c>
      <c r="T180" s="36">
        <v>19.0</v>
      </c>
      <c r="U180" s="36">
        <v>20.0</v>
      </c>
      <c r="V180" s="36">
        <v>21.0</v>
      </c>
      <c r="W180" s="36">
        <v>22.0</v>
      </c>
      <c r="X180" s="36">
        <v>23.0</v>
      </c>
      <c r="Y180" s="36">
        <v>24.0</v>
      </c>
      <c r="Z180" s="36">
        <v>25.0</v>
      </c>
      <c r="AA180" s="36">
        <v>26.0</v>
      </c>
      <c r="AB180" s="36">
        <v>27.0</v>
      </c>
      <c r="AC180" s="36">
        <v>28.0</v>
      </c>
      <c r="AD180" s="36">
        <v>29.0</v>
      </c>
      <c r="AE180" s="36">
        <v>30.0</v>
      </c>
      <c r="AF180" s="36"/>
      <c r="AG180" s="36"/>
      <c r="AH180" s="36"/>
      <c r="AI180" s="36"/>
      <c r="AJ180" s="36"/>
    </row>
    <row r="181" ht="15.0" customHeight="1">
      <c r="A181" s="12" t="s">
        <v>217</v>
      </c>
      <c r="B181" s="36">
        <f>MIN(MIN(500,0.5%*Annual_Prem),0.4%*Annual_Prem)</f>
        <v>400</v>
      </c>
      <c r="C181" s="36">
        <f>MIN(MIN(500,0.5%*Annual_Prem),0.4%*Annual_Prem)</f>
        <v>400</v>
      </c>
      <c r="D181" s="36">
        <f>MIN(MIN(500,0.5%*Annual_Prem),0.4%*Annual_Prem)</f>
        <v>400</v>
      </c>
      <c r="E181" s="36">
        <f>MIN(MIN(500,0.5%*Annual_Prem),0.4%*Annual_Prem)</f>
        <v>400</v>
      </c>
      <c r="F181" s="36">
        <f>MIN(MIN(500,0.5%*Annual_Prem),0.4%*Annual_Prem)</f>
        <v>400</v>
      </c>
      <c r="G181" s="36">
        <f>MIN(MIN(500,0.5%*Annual_Prem),0.4%*Annual_Prem)</f>
        <v>400</v>
      </c>
      <c r="H181" s="36">
        <f>MIN(MIN(500,0.5%*Annual_Prem),0.4%*Annual_Prem)</f>
        <v>400</v>
      </c>
      <c r="I181" s="36">
        <f>MIN(MIN(500,0.5%*Annual_Prem),0.4%*Annual_Prem)</f>
        <v>400</v>
      </c>
      <c r="J181" s="36">
        <f>MIN(MIN(500,0.5%*Annual_Prem),0.4%*Annual_Prem)</f>
        <v>400</v>
      </c>
      <c r="K181" s="36">
        <f>MIN(MIN(500,0.5%*Annual_Prem),0.4%*Annual_Prem)</f>
        <v>400</v>
      </c>
      <c r="L181" s="36">
        <f>MIN(MIN(500,0.5%*Annual_Prem),0.4%*Annual_Prem)</f>
        <v>400</v>
      </c>
      <c r="M181" s="36">
        <f>MIN(MIN(500,0.5%*Annual_Prem),0.4%*Annual_Prem)</f>
        <v>400</v>
      </c>
      <c r="N181" s="36">
        <f>MIN(MIN(500,0.5%*Annual_Prem),0.4%*Annual_Prem)</f>
        <v>400</v>
      </c>
      <c r="O181" s="36">
        <f>MIN(MIN(500,0.5%*Annual_Prem),0.4%*Annual_Prem)</f>
        <v>400</v>
      </c>
      <c r="P181" s="36">
        <f>MIN(MIN(500,0.5%*Annual_Prem),0.4%*Annual_Prem)</f>
        <v>400</v>
      </c>
      <c r="Q181" s="36">
        <f>MIN(MIN(500,0.5%*Annual_Prem),0.4%*Annual_Prem)</f>
        <v>400</v>
      </c>
      <c r="R181" s="36">
        <f>MIN(MIN(500,0.5%*Annual_Prem),0.4%*Annual_Prem)</f>
        <v>400</v>
      </c>
      <c r="S181" s="36">
        <f>MIN(MIN(500,0.5%*Annual_Prem),0.4%*Annual_Prem)</f>
        <v>400</v>
      </c>
      <c r="T181" s="36">
        <f>MIN(MIN(500,0.5%*Annual_Prem),0.4%*Annual_Prem)</f>
        <v>400</v>
      </c>
      <c r="U181" s="36">
        <f>MIN(MIN(500,0.5%*Annual_Prem),0.4%*Annual_Prem)</f>
        <v>400</v>
      </c>
      <c r="V181" s="36">
        <f>MIN(MIN(500,0.5%*Annual_Prem),0.4%*Annual_Prem)</f>
        <v>400</v>
      </c>
      <c r="W181" s="36">
        <f>MIN(MIN(500,0.5%*Annual_Prem),0.4%*Annual_Prem)</f>
        <v>400</v>
      </c>
      <c r="X181" s="36">
        <f>MIN(MIN(500,0.5%*Annual_Prem),0.4%*Annual_Prem)</f>
        <v>400</v>
      </c>
      <c r="Y181" s="36">
        <f>MIN(MIN(500,0.5%*Annual_Prem),0.4%*Annual_Prem)</f>
        <v>400</v>
      </c>
      <c r="Z181" s="36">
        <f>MIN(MIN(500,0.5%*Annual_Prem),0.4%*Annual_Prem)</f>
        <v>400</v>
      </c>
      <c r="AA181" s="36">
        <f>MIN(MIN(500,0.5%*Annual_Prem),0.4%*Annual_Prem)</f>
        <v>400</v>
      </c>
      <c r="AB181" s="36">
        <f>MIN(MIN(500,0.5%*Annual_Prem),0.4%*Annual_Prem)</f>
        <v>400</v>
      </c>
      <c r="AC181" s="36">
        <f>MIN(MIN(500,0.5%*Annual_Prem),0.4%*Annual_Prem)</f>
        <v>400</v>
      </c>
      <c r="AD181" s="36">
        <f>MIN(MIN(500,0.5%*Annual_Prem),0.4%*Annual_Prem)</f>
        <v>400</v>
      </c>
      <c r="AE181" s="36">
        <f>MIN(MIN(500,0.5%*Annual_Prem),0.4%*Annual_Prem)</f>
        <v>400</v>
      </c>
      <c r="AF181" s="36"/>
      <c r="AG181" s="36"/>
      <c r="AH181" s="36"/>
      <c r="AI181" s="36"/>
      <c r="AJ181" s="36"/>
    </row>
    <row r="182" ht="15.75" customHeight="1">
      <c r="A182" s="370" t="s">
        <v>218</v>
      </c>
      <c r="B182" s="36">
        <f t="shared" ref="B182:F182" si="33">0.4%</f>
        <v>0.004</v>
      </c>
      <c r="C182" s="36">
        <f t="shared" si="33"/>
        <v>0.004</v>
      </c>
      <c r="D182" s="36">
        <f t="shared" si="33"/>
        <v>0.004</v>
      </c>
      <c r="E182" s="36">
        <f t="shared" si="33"/>
        <v>0.004</v>
      </c>
      <c r="F182" s="36">
        <f t="shared" si="33"/>
        <v>0.004</v>
      </c>
      <c r="G182" s="36">
        <f t="shared" ref="G182:AE182" si="34">F182*1.055</f>
        <v>0.00422</v>
      </c>
      <c r="H182" s="36">
        <f t="shared" si="34"/>
        <v>0.0044521</v>
      </c>
      <c r="I182" s="36">
        <f t="shared" si="34"/>
        <v>0.0046969655</v>
      </c>
      <c r="J182" s="36">
        <f t="shared" si="34"/>
        <v>0.004955298603</v>
      </c>
      <c r="K182" s="36">
        <f t="shared" si="34"/>
        <v>0.005227840026</v>
      </c>
      <c r="L182" s="36">
        <f t="shared" si="34"/>
        <v>0.005515371227</v>
      </c>
      <c r="M182" s="36">
        <f t="shared" si="34"/>
        <v>0.005818716645</v>
      </c>
      <c r="N182" s="36">
        <f t="shared" si="34"/>
        <v>0.00613874606</v>
      </c>
      <c r="O182" s="36">
        <f t="shared" si="34"/>
        <v>0.006476377093</v>
      </c>
      <c r="P182" s="36">
        <f t="shared" si="34"/>
        <v>0.006832577833</v>
      </c>
      <c r="Q182" s="36">
        <f t="shared" si="34"/>
        <v>0.007208369614</v>
      </c>
      <c r="R182" s="36">
        <f t="shared" si="34"/>
        <v>0.007604829943</v>
      </c>
      <c r="S182" s="36">
        <f t="shared" si="34"/>
        <v>0.00802309559</v>
      </c>
      <c r="T182" s="36">
        <f t="shared" si="34"/>
        <v>0.008464365847</v>
      </c>
      <c r="U182" s="36">
        <f t="shared" si="34"/>
        <v>0.008929905969</v>
      </c>
      <c r="V182" s="36">
        <f t="shared" si="34"/>
        <v>0.009421050797</v>
      </c>
      <c r="W182" s="36">
        <f t="shared" si="34"/>
        <v>0.009939208591</v>
      </c>
      <c r="X182" s="36">
        <f t="shared" si="34"/>
        <v>0.01048586506</v>
      </c>
      <c r="Y182" s="36">
        <f t="shared" si="34"/>
        <v>0.01106258764</v>
      </c>
      <c r="Z182" s="36">
        <f t="shared" si="34"/>
        <v>0.01167102996</v>
      </c>
      <c r="AA182" s="36">
        <f t="shared" si="34"/>
        <v>0.01231293661</v>
      </c>
      <c r="AB182" s="36">
        <f t="shared" si="34"/>
        <v>0.01299014812</v>
      </c>
      <c r="AC182" s="36">
        <f t="shared" si="34"/>
        <v>0.01370460627</v>
      </c>
      <c r="AD182" s="36">
        <f t="shared" si="34"/>
        <v>0.01445835962</v>
      </c>
      <c r="AE182" s="36">
        <f t="shared" si="34"/>
        <v>0.01525356939</v>
      </c>
      <c r="AF182" s="36"/>
      <c r="AG182" s="36"/>
      <c r="AH182" s="36"/>
      <c r="AI182" s="36"/>
      <c r="AJ182" s="36"/>
    </row>
    <row r="183" ht="15.0" customHeight="1">
      <c r="A183" s="319" t="s">
        <v>760</v>
      </c>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c r="AA183" s="36"/>
      <c r="AB183" s="36"/>
      <c r="AC183" s="36"/>
      <c r="AD183" s="36"/>
      <c r="AE183" s="36"/>
      <c r="AF183" s="36"/>
      <c r="AG183" s="36"/>
      <c r="AH183" s="36"/>
      <c r="AI183" s="36"/>
      <c r="AJ183" s="36"/>
    </row>
    <row r="184" ht="15.7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c r="AA184" s="36"/>
      <c r="AB184" s="36"/>
      <c r="AC184" s="36"/>
      <c r="AD184" s="36"/>
      <c r="AE184" s="36"/>
      <c r="AF184" s="36"/>
      <c r="AG184" s="36"/>
      <c r="AH184" s="36"/>
      <c r="AI184" s="36"/>
      <c r="AJ184" s="36"/>
    </row>
    <row r="185" ht="15.0" customHeight="1">
      <c r="A185" s="36" t="s">
        <v>215</v>
      </c>
      <c r="B185" s="36">
        <v>1.0</v>
      </c>
      <c r="C185" s="36">
        <v>2.0</v>
      </c>
      <c r="D185" s="36">
        <v>3.0</v>
      </c>
      <c r="E185" s="36">
        <v>4.0</v>
      </c>
      <c r="F185" s="36">
        <v>5.0</v>
      </c>
      <c r="G185" s="36">
        <v>6.0</v>
      </c>
      <c r="H185" s="36">
        <v>7.0</v>
      </c>
      <c r="I185" s="36">
        <v>8.0</v>
      </c>
      <c r="J185" s="36">
        <v>9.0</v>
      </c>
      <c r="K185" s="36">
        <v>10.0</v>
      </c>
      <c r="L185" s="36">
        <v>11.0</v>
      </c>
      <c r="M185" s="36">
        <v>12.0</v>
      </c>
      <c r="N185" s="36">
        <v>13.0</v>
      </c>
      <c r="O185" s="36">
        <v>14.0</v>
      </c>
      <c r="P185" s="36">
        <v>15.0</v>
      </c>
      <c r="Q185" s="36">
        <v>16.0</v>
      </c>
      <c r="R185" s="36">
        <v>17.0</v>
      </c>
      <c r="S185" s="36">
        <v>18.0</v>
      </c>
      <c r="T185" s="36">
        <v>19.0</v>
      </c>
      <c r="U185" s="36">
        <v>20.0</v>
      </c>
      <c r="V185" s="36">
        <v>21.0</v>
      </c>
      <c r="W185" s="36">
        <v>22.0</v>
      </c>
      <c r="X185" s="36">
        <v>23.0</v>
      </c>
      <c r="Y185" s="36">
        <v>24.0</v>
      </c>
      <c r="Z185" s="36">
        <v>25.0</v>
      </c>
      <c r="AA185" s="36">
        <v>26.0</v>
      </c>
      <c r="AB185" s="36">
        <v>27.0</v>
      </c>
      <c r="AC185" s="36">
        <v>28.0</v>
      </c>
      <c r="AD185" s="36">
        <v>29.0</v>
      </c>
      <c r="AE185" s="36">
        <v>30.0</v>
      </c>
      <c r="AF185" s="36"/>
      <c r="AG185" s="36"/>
      <c r="AH185" s="36"/>
      <c r="AI185" s="36"/>
      <c r="AJ185" s="36"/>
    </row>
    <row r="186" ht="15.0" customHeight="1">
      <c r="A186" s="12" t="s">
        <v>217</v>
      </c>
      <c r="B186" s="36">
        <f>MIN(0.4%*Annual_Prem,500)</f>
        <v>400</v>
      </c>
      <c r="C186" s="36">
        <f>MIN(0.4%*Annual_Prem,500)</f>
        <v>400</v>
      </c>
      <c r="D186" s="36">
        <f>MIN(0.4%*Annual_Prem,500)</f>
        <v>400</v>
      </c>
      <c r="E186" s="36">
        <f>MIN(0.4%*Annual_Prem,500)</f>
        <v>400</v>
      </c>
      <c r="F186" s="36">
        <f>MIN(0.4%*Annual_Prem,500)</f>
        <v>400</v>
      </c>
      <c r="G186" s="36">
        <f>MIN(0.4%*Annual_Prem,500)</f>
        <v>400</v>
      </c>
      <c r="H186" s="36">
        <f>MIN(0.4%*Annual_Prem,500)</f>
        <v>400</v>
      </c>
      <c r="I186" s="36">
        <f>MIN(0.4%*Annual_Prem,500)</f>
        <v>400</v>
      </c>
      <c r="J186" s="36">
        <f>MIN(0.4%*Annual_Prem,500)</f>
        <v>400</v>
      </c>
      <c r="K186" s="36">
        <f>MIN(0.4%*Annual_Prem,500)</f>
        <v>400</v>
      </c>
      <c r="L186" s="36">
        <f>MIN(0.4%*Annual_Prem,500)</f>
        <v>400</v>
      </c>
      <c r="M186" s="36">
        <f>MIN(0.4%*Annual_Prem,500)</f>
        <v>400</v>
      </c>
      <c r="N186" s="36">
        <f>MIN(0.4%*Annual_Prem,500)</f>
        <v>400</v>
      </c>
      <c r="O186" s="36">
        <f>MIN(0.4%*Annual_Prem,500)</f>
        <v>400</v>
      </c>
      <c r="P186" s="36">
        <f>MIN(0.4%*Annual_Prem,500)</f>
        <v>400</v>
      </c>
      <c r="Q186" s="36">
        <f>MIN(0.4%*Annual_Prem,500)</f>
        <v>400</v>
      </c>
      <c r="R186" s="36">
        <f>MIN(0.4%*Annual_Prem,500)</f>
        <v>400</v>
      </c>
      <c r="S186" s="36">
        <f>MIN(0.4%*Annual_Prem,500)</f>
        <v>400</v>
      </c>
      <c r="T186" s="36">
        <f>MIN(0.4%*Annual_Prem,500)</f>
        <v>400</v>
      </c>
      <c r="U186" s="36">
        <f>MIN(0.4%*Annual_Prem,500)</f>
        <v>400</v>
      </c>
      <c r="V186" s="36">
        <f>MIN(0.4%*Annual_Prem,500)</f>
        <v>400</v>
      </c>
      <c r="W186" s="36">
        <f>MIN(0.4%*Annual_Prem,500)</f>
        <v>400</v>
      </c>
      <c r="X186" s="36">
        <f>MIN(0.4%*Annual_Prem,500)</f>
        <v>400</v>
      </c>
      <c r="Y186" s="36">
        <f>MIN(0.4%*Annual_Prem,500)</f>
        <v>400</v>
      </c>
      <c r="Z186" s="36">
        <f>MIN(0.4%*Annual_Prem,500)</f>
        <v>400</v>
      </c>
      <c r="AA186" s="36">
        <f>MIN(0.4%*Annual_Prem,500)</f>
        <v>400</v>
      </c>
      <c r="AB186" s="36">
        <f>MIN(0.4%*Annual_Prem,500)</f>
        <v>400</v>
      </c>
      <c r="AC186" s="36">
        <f>MIN(0.4%*Annual_Prem,500)</f>
        <v>400</v>
      </c>
      <c r="AD186" s="36">
        <f>MIN(0.4%*Annual_Prem,500)</f>
        <v>400</v>
      </c>
      <c r="AE186" s="36">
        <f>MIN(0.4%*Annual_Prem,500)</f>
        <v>400</v>
      </c>
      <c r="AF186" s="36"/>
      <c r="AG186" s="36"/>
      <c r="AH186" s="36"/>
      <c r="AI186" s="36"/>
      <c r="AJ186" s="36"/>
    </row>
    <row r="187" ht="15.75" customHeight="1">
      <c r="A187" s="370" t="s">
        <v>218</v>
      </c>
      <c r="B187" s="36">
        <f t="shared" ref="B187:F187" si="35">0.4%</f>
        <v>0.004</v>
      </c>
      <c r="C187" s="36">
        <f t="shared" si="35"/>
        <v>0.004</v>
      </c>
      <c r="D187" s="36">
        <f t="shared" si="35"/>
        <v>0.004</v>
      </c>
      <c r="E187" s="36">
        <f t="shared" si="35"/>
        <v>0.004</v>
      </c>
      <c r="F187" s="36">
        <f t="shared" si="35"/>
        <v>0.004</v>
      </c>
      <c r="G187" s="36">
        <f t="shared" ref="G187:AE187" si="36">0.47%</f>
        <v>0.0047</v>
      </c>
      <c r="H187" s="36">
        <f t="shared" si="36"/>
        <v>0.0047</v>
      </c>
      <c r="I187" s="36">
        <f t="shared" si="36"/>
        <v>0.0047</v>
      </c>
      <c r="J187" s="36">
        <f t="shared" si="36"/>
        <v>0.0047</v>
      </c>
      <c r="K187" s="36">
        <f t="shared" si="36"/>
        <v>0.0047</v>
      </c>
      <c r="L187" s="36">
        <f t="shared" si="36"/>
        <v>0.0047</v>
      </c>
      <c r="M187" s="36">
        <f t="shared" si="36"/>
        <v>0.0047</v>
      </c>
      <c r="N187" s="36">
        <f t="shared" si="36"/>
        <v>0.0047</v>
      </c>
      <c r="O187" s="36">
        <f t="shared" si="36"/>
        <v>0.0047</v>
      </c>
      <c r="P187" s="36">
        <f t="shared" si="36"/>
        <v>0.0047</v>
      </c>
      <c r="Q187" s="36">
        <f t="shared" si="36"/>
        <v>0.0047</v>
      </c>
      <c r="R187" s="36">
        <f t="shared" si="36"/>
        <v>0.0047</v>
      </c>
      <c r="S187" s="36">
        <f t="shared" si="36"/>
        <v>0.0047</v>
      </c>
      <c r="T187" s="36">
        <f t="shared" si="36"/>
        <v>0.0047</v>
      </c>
      <c r="U187" s="36">
        <f t="shared" si="36"/>
        <v>0.0047</v>
      </c>
      <c r="V187" s="36">
        <f t="shared" si="36"/>
        <v>0.0047</v>
      </c>
      <c r="W187" s="36">
        <f t="shared" si="36"/>
        <v>0.0047</v>
      </c>
      <c r="X187" s="36">
        <f t="shared" si="36"/>
        <v>0.0047</v>
      </c>
      <c r="Y187" s="36">
        <f t="shared" si="36"/>
        <v>0.0047</v>
      </c>
      <c r="Z187" s="36">
        <f t="shared" si="36"/>
        <v>0.0047</v>
      </c>
      <c r="AA187" s="36">
        <f t="shared" si="36"/>
        <v>0.0047</v>
      </c>
      <c r="AB187" s="36">
        <f t="shared" si="36"/>
        <v>0.0047</v>
      </c>
      <c r="AC187" s="36">
        <f t="shared" si="36"/>
        <v>0.0047</v>
      </c>
      <c r="AD187" s="36">
        <f t="shared" si="36"/>
        <v>0.0047</v>
      </c>
      <c r="AE187" s="36">
        <f t="shared" si="36"/>
        <v>0.0047</v>
      </c>
      <c r="AF187" s="36"/>
      <c r="AG187" s="36"/>
      <c r="AH187" s="36"/>
      <c r="AI187" s="36"/>
      <c r="AJ187" s="36"/>
    </row>
    <row r="188" ht="15.0" customHeight="1">
      <c r="A188" s="319" t="s">
        <v>767</v>
      </c>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c r="AA188" s="36"/>
      <c r="AB188" s="36"/>
      <c r="AC188" s="36"/>
      <c r="AD188" s="36"/>
      <c r="AE188" s="36"/>
      <c r="AF188" s="36"/>
      <c r="AG188" s="36"/>
      <c r="AH188" s="36"/>
      <c r="AI188" s="36"/>
      <c r="AJ188" s="36"/>
    </row>
    <row r="189" ht="15.7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c r="AA189" s="36"/>
      <c r="AB189" s="36"/>
      <c r="AC189" s="36"/>
      <c r="AD189" s="36"/>
      <c r="AE189" s="36"/>
      <c r="AF189" s="36"/>
      <c r="AG189" s="36"/>
      <c r="AH189" s="36"/>
      <c r="AI189" s="36"/>
      <c r="AJ189" s="36"/>
    </row>
    <row r="190" ht="15.0" customHeight="1">
      <c r="A190" s="36" t="s">
        <v>215</v>
      </c>
      <c r="B190" s="36">
        <v>1.0</v>
      </c>
      <c r="C190" s="36">
        <v>2.0</v>
      </c>
      <c r="D190" s="36">
        <v>3.0</v>
      </c>
      <c r="E190" s="36">
        <v>4.0</v>
      </c>
      <c r="F190" s="36">
        <v>5.0</v>
      </c>
      <c r="G190" s="36">
        <v>6.0</v>
      </c>
      <c r="H190" s="36">
        <v>7.0</v>
      </c>
      <c r="I190" s="36">
        <v>8.0</v>
      </c>
      <c r="J190" s="36">
        <v>9.0</v>
      </c>
      <c r="K190" s="36">
        <v>10.0</v>
      </c>
      <c r="L190" s="36">
        <v>11.0</v>
      </c>
      <c r="M190" s="36">
        <v>12.0</v>
      </c>
      <c r="N190" s="36">
        <v>13.0</v>
      </c>
      <c r="O190" s="36">
        <v>14.0</v>
      </c>
      <c r="P190" s="36">
        <v>15.0</v>
      </c>
      <c r="Q190" s="36">
        <v>16.0</v>
      </c>
      <c r="R190" s="36">
        <v>17.0</v>
      </c>
      <c r="S190" s="36">
        <v>18.0</v>
      </c>
      <c r="T190" s="36">
        <v>19.0</v>
      </c>
      <c r="U190" s="36">
        <v>20.0</v>
      </c>
      <c r="V190" s="36">
        <v>21.0</v>
      </c>
      <c r="W190" s="36">
        <v>22.0</v>
      </c>
      <c r="X190" s="36">
        <v>23.0</v>
      </c>
      <c r="Y190" s="36">
        <v>24.0</v>
      </c>
      <c r="Z190" s="36">
        <v>25.0</v>
      </c>
      <c r="AA190" s="36">
        <v>26.0</v>
      </c>
      <c r="AB190" s="36">
        <v>27.0</v>
      </c>
      <c r="AC190" s="36">
        <v>28.0</v>
      </c>
      <c r="AD190" s="36">
        <v>29.0</v>
      </c>
      <c r="AE190" s="36">
        <v>30.0</v>
      </c>
      <c r="AF190" s="36"/>
      <c r="AG190" s="36"/>
      <c r="AH190" s="36"/>
      <c r="AI190" s="36"/>
      <c r="AJ190" s="36"/>
    </row>
    <row r="191" ht="17.25" customHeight="1">
      <c r="A191" s="12" t="s">
        <v>217</v>
      </c>
      <c r="B191" s="12">
        <v>0.0</v>
      </c>
      <c r="C191" s="12">
        <v>0.0</v>
      </c>
      <c r="D191" s="12">
        <v>0.0</v>
      </c>
      <c r="E191" s="12">
        <v>0.0</v>
      </c>
      <c r="F191" s="12">
        <v>0.0</v>
      </c>
      <c r="G191" s="12">
        <v>0.0</v>
      </c>
      <c r="H191" s="12">
        <v>0.0</v>
      </c>
      <c r="I191" s="12">
        <v>0.0</v>
      </c>
      <c r="J191" s="12">
        <v>0.0</v>
      </c>
      <c r="K191" s="12">
        <v>0.0</v>
      </c>
      <c r="L191" s="12">
        <v>0.0</v>
      </c>
      <c r="M191" s="12">
        <v>0.0</v>
      </c>
      <c r="N191" s="12">
        <v>0.0</v>
      </c>
      <c r="O191" s="12">
        <v>0.0</v>
      </c>
      <c r="P191" s="12">
        <v>0.0</v>
      </c>
      <c r="Q191" s="12">
        <v>0.0</v>
      </c>
      <c r="R191" s="12">
        <v>0.0</v>
      </c>
      <c r="S191" s="12">
        <v>0.0</v>
      </c>
      <c r="T191" s="12">
        <v>0.0</v>
      </c>
      <c r="U191" s="12">
        <v>0.0</v>
      </c>
      <c r="V191" s="12">
        <v>0.0</v>
      </c>
      <c r="W191" s="12">
        <v>0.0</v>
      </c>
      <c r="X191" s="12">
        <v>0.0</v>
      </c>
      <c r="Y191" s="12">
        <v>0.0</v>
      </c>
      <c r="Z191" s="12">
        <v>0.0</v>
      </c>
      <c r="AA191" s="12">
        <v>0.0</v>
      </c>
      <c r="AB191" s="12">
        <v>0.0</v>
      </c>
      <c r="AC191" s="12">
        <v>0.0</v>
      </c>
      <c r="AD191" s="12">
        <v>0.0</v>
      </c>
      <c r="AE191" s="12">
        <v>0.0</v>
      </c>
      <c r="AF191" s="36"/>
      <c r="AG191" s="36"/>
      <c r="AH191" s="36"/>
      <c r="AI191" s="36"/>
      <c r="AJ191" s="36"/>
    </row>
    <row r="192" ht="15.0" customHeight="1">
      <c r="A192" s="370" t="s">
        <v>218</v>
      </c>
      <c r="B192" s="184">
        <f t="shared" ref="B192:AE192" si="37">0.13%</f>
        <v>0.0013</v>
      </c>
      <c r="C192" s="184">
        <f t="shared" si="37"/>
        <v>0.0013</v>
      </c>
      <c r="D192" s="184">
        <f t="shared" si="37"/>
        <v>0.0013</v>
      </c>
      <c r="E192" s="184">
        <f t="shared" si="37"/>
        <v>0.0013</v>
      </c>
      <c r="F192" s="184">
        <f t="shared" si="37"/>
        <v>0.0013</v>
      </c>
      <c r="G192" s="184">
        <f t="shared" si="37"/>
        <v>0.0013</v>
      </c>
      <c r="H192" s="184">
        <f t="shared" si="37"/>
        <v>0.0013</v>
      </c>
      <c r="I192" s="184">
        <f t="shared" si="37"/>
        <v>0.0013</v>
      </c>
      <c r="J192" s="184">
        <f t="shared" si="37"/>
        <v>0.0013</v>
      </c>
      <c r="K192" s="184">
        <f t="shared" si="37"/>
        <v>0.0013</v>
      </c>
      <c r="L192" s="184">
        <f t="shared" si="37"/>
        <v>0.0013</v>
      </c>
      <c r="M192" s="184">
        <f t="shared" si="37"/>
        <v>0.0013</v>
      </c>
      <c r="N192" s="184">
        <f t="shared" si="37"/>
        <v>0.0013</v>
      </c>
      <c r="O192" s="184">
        <f t="shared" si="37"/>
        <v>0.0013</v>
      </c>
      <c r="P192" s="184">
        <f t="shared" si="37"/>
        <v>0.0013</v>
      </c>
      <c r="Q192" s="184">
        <f t="shared" si="37"/>
        <v>0.0013</v>
      </c>
      <c r="R192" s="184">
        <f t="shared" si="37"/>
        <v>0.0013</v>
      </c>
      <c r="S192" s="184">
        <f t="shared" si="37"/>
        <v>0.0013</v>
      </c>
      <c r="T192" s="184">
        <f t="shared" si="37"/>
        <v>0.0013</v>
      </c>
      <c r="U192" s="184">
        <f t="shared" si="37"/>
        <v>0.0013</v>
      </c>
      <c r="V192" s="184">
        <f t="shared" si="37"/>
        <v>0.0013</v>
      </c>
      <c r="W192" s="184">
        <f t="shared" si="37"/>
        <v>0.0013</v>
      </c>
      <c r="X192" s="184">
        <f t="shared" si="37"/>
        <v>0.0013</v>
      </c>
      <c r="Y192" s="184">
        <f t="shared" si="37"/>
        <v>0.0013</v>
      </c>
      <c r="Z192" s="184">
        <f t="shared" si="37"/>
        <v>0.0013</v>
      </c>
      <c r="AA192" s="184">
        <f t="shared" si="37"/>
        <v>0.0013</v>
      </c>
      <c r="AB192" s="184">
        <f t="shared" si="37"/>
        <v>0.0013</v>
      </c>
      <c r="AC192" s="184">
        <f t="shared" si="37"/>
        <v>0.0013</v>
      </c>
      <c r="AD192" s="184">
        <f t="shared" si="37"/>
        <v>0.0013</v>
      </c>
      <c r="AE192" s="184">
        <f t="shared" si="37"/>
        <v>0.0013</v>
      </c>
      <c r="AF192" s="373"/>
      <c r="AG192" s="373"/>
      <c r="AH192" s="373"/>
      <c r="AI192" s="373"/>
      <c r="AJ192" s="373"/>
    </row>
    <row r="193" ht="15.0" customHeight="1">
      <c r="A193" s="319" t="s">
        <v>783</v>
      </c>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c r="AA193" s="36"/>
      <c r="AB193" s="36"/>
      <c r="AC193" s="36"/>
      <c r="AD193" s="36"/>
      <c r="AE193" s="36"/>
      <c r="AF193" s="36"/>
      <c r="AG193" s="36"/>
      <c r="AH193" s="36"/>
      <c r="AI193" s="36"/>
      <c r="AJ193" s="36"/>
    </row>
    <row r="194" ht="15.7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c r="AA194" s="36"/>
      <c r="AB194" s="36"/>
      <c r="AC194" s="36"/>
      <c r="AD194" s="36"/>
      <c r="AE194" s="36"/>
      <c r="AF194" s="36"/>
      <c r="AG194" s="36"/>
      <c r="AH194" s="36"/>
      <c r="AI194" s="36"/>
      <c r="AJ194" s="36"/>
    </row>
    <row r="195" ht="15.0" customHeight="1">
      <c r="A195" s="36" t="s">
        <v>215</v>
      </c>
      <c r="B195" s="36">
        <v>1.0</v>
      </c>
      <c r="C195" s="36">
        <v>2.0</v>
      </c>
      <c r="D195" s="36">
        <v>3.0</v>
      </c>
      <c r="E195" s="36">
        <v>4.0</v>
      </c>
      <c r="F195" s="36">
        <v>5.0</v>
      </c>
      <c r="G195" s="36">
        <v>6.0</v>
      </c>
      <c r="H195" s="36">
        <v>7.0</v>
      </c>
      <c r="I195" s="36">
        <v>8.0</v>
      </c>
      <c r="J195" s="36">
        <v>9.0</v>
      </c>
      <c r="K195" s="36">
        <v>10.0</v>
      </c>
      <c r="L195" s="36">
        <v>11.0</v>
      </c>
      <c r="M195" s="36">
        <v>12.0</v>
      </c>
      <c r="N195" s="36">
        <v>13.0</v>
      </c>
      <c r="O195" s="36">
        <v>14.0</v>
      </c>
      <c r="P195" s="36">
        <v>15.0</v>
      </c>
      <c r="Q195" s="36">
        <v>16.0</v>
      </c>
      <c r="R195" s="36">
        <v>17.0</v>
      </c>
      <c r="S195" s="36">
        <v>18.0</v>
      </c>
      <c r="T195" s="36">
        <v>19.0</v>
      </c>
      <c r="U195" s="36">
        <v>20.0</v>
      </c>
      <c r="V195" s="36">
        <v>21.0</v>
      </c>
      <c r="W195" s="36">
        <v>22.0</v>
      </c>
      <c r="X195" s="36">
        <v>23.0</v>
      </c>
      <c r="Y195" s="36">
        <v>24.0</v>
      </c>
      <c r="Z195" s="36">
        <v>25.0</v>
      </c>
      <c r="AA195" s="36">
        <v>26.0</v>
      </c>
      <c r="AB195" s="36">
        <v>27.0</v>
      </c>
      <c r="AC195" s="36">
        <v>28.0</v>
      </c>
      <c r="AD195" s="36">
        <v>29.0</v>
      </c>
      <c r="AE195" s="36">
        <v>30.0</v>
      </c>
      <c r="AF195" s="36"/>
      <c r="AG195" s="36"/>
      <c r="AH195" s="36"/>
      <c r="AI195" s="36"/>
      <c r="AJ195" s="36"/>
    </row>
    <row r="196" ht="15.0" customHeight="1">
      <c r="A196" s="12" t="s">
        <v>217</v>
      </c>
      <c r="B196" s="12">
        <v>0.0</v>
      </c>
      <c r="C196" s="12">
        <v>0.0</v>
      </c>
      <c r="D196" s="12">
        <v>0.0</v>
      </c>
      <c r="E196" s="12">
        <v>0.0</v>
      </c>
      <c r="F196" s="12">
        <v>0.0</v>
      </c>
      <c r="G196" s="12">
        <v>0.0</v>
      </c>
      <c r="H196" s="12">
        <v>0.0</v>
      </c>
      <c r="I196" s="12">
        <v>0.0</v>
      </c>
      <c r="J196" s="12">
        <v>0.0</v>
      </c>
      <c r="K196" s="12">
        <v>0.0</v>
      </c>
      <c r="L196" s="12">
        <v>0.0</v>
      </c>
      <c r="M196" s="12">
        <v>0.0</v>
      </c>
      <c r="N196" s="12">
        <v>0.0</v>
      </c>
      <c r="O196" s="12">
        <v>0.0</v>
      </c>
      <c r="P196" s="12">
        <v>0.0</v>
      </c>
      <c r="Q196" s="12">
        <v>0.0</v>
      </c>
      <c r="R196" s="12">
        <v>0.0</v>
      </c>
      <c r="S196" s="12">
        <v>0.0</v>
      </c>
      <c r="T196" s="12">
        <v>0.0</v>
      </c>
      <c r="U196" s="12">
        <v>0.0</v>
      </c>
      <c r="V196" s="12">
        <v>0.0</v>
      </c>
      <c r="W196" s="12">
        <v>0.0</v>
      </c>
      <c r="X196" s="12">
        <v>0.0</v>
      </c>
      <c r="Y196" s="12">
        <v>0.0</v>
      </c>
      <c r="Z196" s="12">
        <v>0.0</v>
      </c>
      <c r="AA196" s="12">
        <v>0.0</v>
      </c>
      <c r="AB196" s="12">
        <v>0.0</v>
      </c>
      <c r="AC196" s="12">
        <v>0.0</v>
      </c>
      <c r="AD196" s="12">
        <v>0.0</v>
      </c>
      <c r="AE196" s="12">
        <v>0.0</v>
      </c>
      <c r="AF196" s="36"/>
      <c r="AG196" s="36"/>
      <c r="AH196" s="36"/>
      <c r="AI196" s="36"/>
      <c r="AJ196" s="36"/>
    </row>
    <row r="197" ht="15.75" customHeight="1">
      <c r="A197" s="370" t="s">
        <v>218</v>
      </c>
      <c r="B197" s="36">
        <f t="shared" ref="B197:F197" si="38">0.12%</f>
        <v>0.0012</v>
      </c>
      <c r="C197" s="36">
        <f t="shared" si="38"/>
        <v>0.0012</v>
      </c>
      <c r="D197" s="36">
        <f t="shared" si="38"/>
        <v>0.0012</v>
      </c>
      <c r="E197" s="36">
        <f t="shared" si="38"/>
        <v>0.0012</v>
      </c>
      <c r="F197" s="36">
        <f t="shared" si="38"/>
        <v>0.0012</v>
      </c>
      <c r="G197" s="36">
        <f>0.07%</f>
        <v>0.0007</v>
      </c>
      <c r="H197" s="36">
        <f t="shared" ref="H197:AE197" si="39">G197*1.05</f>
        <v>0.000735</v>
      </c>
      <c r="I197" s="36">
        <f t="shared" si="39"/>
        <v>0.00077175</v>
      </c>
      <c r="J197" s="36">
        <f t="shared" si="39"/>
        <v>0.0008103375</v>
      </c>
      <c r="K197" s="36">
        <f t="shared" si="39"/>
        <v>0.000850854375</v>
      </c>
      <c r="L197" s="36">
        <f t="shared" si="39"/>
        <v>0.0008933970938</v>
      </c>
      <c r="M197" s="36">
        <f t="shared" si="39"/>
        <v>0.0009380669484</v>
      </c>
      <c r="N197" s="36">
        <f t="shared" si="39"/>
        <v>0.0009849702959</v>
      </c>
      <c r="O197" s="36">
        <f t="shared" si="39"/>
        <v>0.001034218811</v>
      </c>
      <c r="P197" s="36">
        <f t="shared" si="39"/>
        <v>0.001085929751</v>
      </c>
      <c r="Q197" s="36">
        <f t="shared" si="39"/>
        <v>0.001140226239</v>
      </c>
      <c r="R197" s="36">
        <f t="shared" si="39"/>
        <v>0.001197237551</v>
      </c>
      <c r="S197" s="36">
        <f t="shared" si="39"/>
        <v>0.001257099428</v>
      </c>
      <c r="T197" s="36">
        <f t="shared" si="39"/>
        <v>0.0013199544</v>
      </c>
      <c r="U197" s="36">
        <f t="shared" si="39"/>
        <v>0.00138595212</v>
      </c>
      <c r="V197" s="36">
        <f t="shared" si="39"/>
        <v>0.001455249726</v>
      </c>
      <c r="W197" s="36">
        <f t="shared" si="39"/>
        <v>0.001528012212</v>
      </c>
      <c r="X197" s="36">
        <f t="shared" si="39"/>
        <v>0.001604412822</v>
      </c>
      <c r="Y197" s="36">
        <f t="shared" si="39"/>
        <v>0.001684633464</v>
      </c>
      <c r="Z197" s="36">
        <f t="shared" si="39"/>
        <v>0.001768865137</v>
      </c>
      <c r="AA197" s="36">
        <f t="shared" si="39"/>
        <v>0.001857308394</v>
      </c>
      <c r="AB197" s="36">
        <f t="shared" si="39"/>
        <v>0.001950173813</v>
      </c>
      <c r="AC197" s="36">
        <f t="shared" si="39"/>
        <v>0.002047682504</v>
      </c>
      <c r="AD197" s="36">
        <f t="shared" si="39"/>
        <v>0.002150066629</v>
      </c>
      <c r="AE197" s="36">
        <f t="shared" si="39"/>
        <v>0.002257569961</v>
      </c>
      <c r="AF197" s="36"/>
      <c r="AG197" s="36"/>
      <c r="AH197" s="36"/>
      <c r="AI197" s="36"/>
      <c r="AJ197" s="36"/>
    </row>
    <row r="198" ht="15.0" customHeight="1">
      <c r="A198" s="319"/>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c r="AA198" s="36"/>
      <c r="AB198" s="36"/>
      <c r="AC198" s="36"/>
      <c r="AD198" s="36"/>
      <c r="AE198" s="36"/>
      <c r="AF198" s="36"/>
      <c r="AG198" s="36"/>
      <c r="AH198" s="36"/>
      <c r="AI198" s="36"/>
      <c r="AJ198" s="36"/>
    </row>
    <row r="199" ht="15.7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c r="AA199" s="36"/>
      <c r="AB199" s="36"/>
      <c r="AC199" s="36"/>
      <c r="AD199" s="36"/>
      <c r="AE199" s="36"/>
      <c r="AF199" s="36"/>
      <c r="AG199" s="36"/>
      <c r="AH199" s="36"/>
      <c r="AI199" s="36"/>
      <c r="AJ199" s="36"/>
    </row>
    <row r="200" ht="15.0"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c r="AA200" s="36"/>
      <c r="AB200" s="36"/>
      <c r="AC200" s="36"/>
      <c r="AD200" s="36"/>
      <c r="AE200" s="36"/>
      <c r="AF200" s="36"/>
      <c r="AG200" s="36"/>
      <c r="AH200" s="36"/>
      <c r="AI200" s="36"/>
      <c r="AJ200" s="36"/>
    </row>
    <row r="201" ht="15.0"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c r="AA201" s="36"/>
      <c r="AB201" s="36"/>
      <c r="AC201" s="36"/>
      <c r="AD201" s="36"/>
      <c r="AE201" s="36"/>
      <c r="AF201" s="36"/>
      <c r="AG201" s="36"/>
      <c r="AH201" s="36"/>
      <c r="AI201" s="36"/>
      <c r="AJ201" s="36"/>
    </row>
    <row r="202" ht="15.0"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c r="AA202" s="36"/>
      <c r="AB202" s="36"/>
      <c r="AC202" s="36"/>
      <c r="AD202" s="36"/>
      <c r="AE202" s="36"/>
      <c r="AF202" s="36"/>
      <c r="AG202" s="36"/>
      <c r="AH202" s="36"/>
      <c r="AI202" s="36"/>
      <c r="AJ202" s="36"/>
    </row>
    <row r="203" ht="15.0" customHeight="1">
      <c r="A203" s="319" t="s">
        <v>1952</v>
      </c>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c r="AA203" s="36"/>
      <c r="AB203" s="36"/>
      <c r="AC203" s="36"/>
      <c r="AD203" s="36"/>
      <c r="AE203" s="36"/>
      <c r="AF203" s="36"/>
      <c r="AG203" s="36"/>
      <c r="AH203" s="36"/>
      <c r="AI203" s="36"/>
      <c r="AJ203" s="36"/>
    </row>
    <row r="204" ht="15.0"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c r="AA204" s="36"/>
      <c r="AB204" s="36"/>
      <c r="AC204" s="36"/>
      <c r="AD204" s="36"/>
      <c r="AE204" s="36"/>
      <c r="AF204" s="36"/>
      <c r="AG204" s="36"/>
      <c r="AH204" s="36"/>
      <c r="AI204" s="36"/>
      <c r="AJ204" s="36"/>
    </row>
    <row r="205" ht="15.0" customHeight="1">
      <c r="A205" s="36" t="s">
        <v>215</v>
      </c>
      <c r="B205" s="36">
        <v>1.0</v>
      </c>
      <c r="C205" s="36">
        <v>2.0</v>
      </c>
      <c r="D205" s="36">
        <v>3.0</v>
      </c>
      <c r="E205" s="36">
        <v>4.0</v>
      </c>
      <c r="F205" s="36">
        <v>5.0</v>
      </c>
      <c r="G205" s="36">
        <v>6.0</v>
      </c>
      <c r="H205" s="36">
        <v>7.0</v>
      </c>
      <c r="I205" s="36">
        <v>8.0</v>
      </c>
      <c r="J205" s="36">
        <v>9.0</v>
      </c>
      <c r="K205" s="36">
        <v>10.0</v>
      </c>
      <c r="L205" s="36">
        <v>11.0</v>
      </c>
      <c r="M205" s="36">
        <v>12.0</v>
      </c>
      <c r="N205" s="36">
        <v>13.0</v>
      </c>
      <c r="O205" s="36">
        <v>14.0</v>
      </c>
      <c r="P205" s="36">
        <v>15.0</v>
      </c>
      <c r="Q205" s="36">
        <v>16.0</v>
      </c>
      <c r="R205" s="36">
        <v>17.0</v>
      </c>
      <c r="S205" s="36">
        <v>18.0</v>
      </c>
      <c r="T205" s="36">
        <v>19.0</v>
      </c>
      <c r="U205" s="36">
        <v>20.0</v>
      </c>
      <c r="V205" s="36">
        <v>21.0</v>
      </c>
      <c r="W205" s="36">
        <v>22.0</v>
      </c>
      <c r="X205" s="36">
        <v>23.0</v>
      </c>
      <c r="Y205" s="36">
        <v>24.0</v>
      </c>
      <c r="Z205" s="36">
        <v>25.0</v>
      </c>
      <c r="AA205" s="36">
        <v>26.0</v>
      </c>
      <c r="AB205" s="36">
        <v>27.0</v>
      </c>
      <c r="AC205" s="36">
        <v>28.0</v>
      </c>
      <c r="AD205" s="36">
        <v>29.0</v>
      </c>
      <c r="AE205" s="36">
        <v>30.0</v>
      </c>
      <c r="AF205" s="36">
        <v>31.0</v>
      </c>
      <c r="AG205" s="36">
        <v>32.0</v>
      </c>
      <c r="AH205" s="36">
        <v>33.0</v>
      </c>
      <c r="AI205" s="36">
        <v>34.0</v>
      </c>
      <c r="AJ205" s="36">
        <v>35.0</v>
      </c>
    </row>
    <row r="206" ht="15.0" customHeight="1">
      <c r="A206" s="12" t="s">
        <v>217</v>
      </c>
      <c r="B206" s="12">
        <v>0.0</v>
      </c>
      <c r="C206" s="12">
        <v>0.0</v>
      </c>
      <c r="D206" s="12">
        <v>0.0</v>
      </c>
      <c r="E206" s="12">
        <v>0.0</v>
      </c>
      <c r="F206" s="12">
        <v>0.0</v>
      </c>
      <c r="G206" s="12">
        <v>0.0</v>
      </c>
      <c r="H206" s="12">
        <v>0.0</v>
      </c>
      <c r="I206" s="12">
        <v>0.0</v>
      </c>
      <c r="J206" s="12">
        <v>0.0</v>
      </c>
      <c r="K206" s="12">
        <v>0.0</v>
      </c>
      <c r="L206" s="12">
        <v>0.0</v>
      </c>
      <c r="M206" s="12">
        <v>0.0</v>
      </c>
      <c r="N206" s="12">
        <v>0.0</v>
      </c>
      <c r="O206" s="12">
        <v>0.0</v>
      </c>
      <c r="P206" s="12">
        <v>0.0</v>
      </c>
      <c r="Q206" s="12">
        <v>0.0</v>
      </c>
      <c r="R206" s="12">
        <v>0.0</v>
      </c>
      <c r="S206" s="12">
        <v>0.0</v>
      </c>
      <c r="T206" s="12">
        <v>0.0</v>
      </c>
      <c r="U206" s="12">
        <v>0.0</v>
      </c>
      <c r="V206" s="12">
        <v>0.0</v>
      </c>
      <c r="W206" s="12">
        <v>0.0</v>
      </c>
      <c r="X206" s="12">
        <v>0.0</v>
      </c>
      <c r="Y206" s="12">
        <v>0.0</v>
      </c>
      <c r="Z206" s="12">
        <v>0.0</v>
      </c>
      <c r="AA206" s="12">
        <v>0.0</v>
      </c>
      <c r="AB206" s="12">
        <v>0.0</v>
      </c>
      <c r="AC206" s="12">
        <v>0.0</v>
      </c>
      <c r="AD206" s="12">
        <v>0.0</v>
      </c>
      <c r="AE206" s="12">
        <v>0.0</v>
      </c>
      <c r="AF206" s="36"/>
      <c r="AG206" s="36"/>
      <c r="AH206" s="36"/>
      <c r="AI206" s="36"/>
      <c r="AJ206" s="36"/>
    </row>
    <row r="207" ht="15.75" customHeight="1">
      <c r="A207" s="370" t="s">
        <v>218</v>
      </c>
      <c r="B207" s="36">
        <f t="shared" ref="B207:F207" si="40">0.18%</f>
        <v>0.0018</v>
      </c>
      <c r="C207" s="36">
        <f t="shared" si="40"/>
        <v>0.0018</v>
      </c>
      <c r="D207" s="36">
        <f t="shared" si="40"/>
        <v>0.0018</v>
      </c>
      <c r="E207" s="36">
        <f t="shared" si="40"/>
        <v>0.0018</v>
      </c>
      <c r="F207" s="36">
        <f t="shared" si="40"/>
        <v>0.0018</v>
      </c>
      <c r="G207" s="36">
        <f t="shared" ref="G207:AJ207" si="41">0.5%</f>
        <v>0.005</v>
      </c>
      <c r="H207" s="36">
        <f t="shared" si="41"/>
        <v>0.005</v>
      </c>
      <c r="I207" s="36">
        <f t="shared" si="41"/>
        <v>0.005</v>
      </c>
      <c r="J207" s="36">
        <f t="shared" si="41"/>
        <v>0.005</v>
      </c>
      <c r="K207" s="36">
        <f t="shared" si="41"/>
        <v>0.005</v>
      </c>
      <c r="L207" s="36">
        <f t="shared" si="41"/>
        <v>0.005</v>
      </c>
      <c r="M207" s="36">
        <f t="shared" si="41"/>
        <v>0.005</v>
      </c>
      <c r="N207" s="36">
        <f t="shared" si="41"/>
        <v>0.005</v>
      </c>
      <c r="O207" s="36">
        <f t="shared" si="41"/>
        <v>0.005</v>
      </c>
      <c r="P207" s="36">
        <f t="shared" si="41"/>
        <v>0.005</v>
      </c>
      <c r="Q207" s="36">
        <f t="shared" si="41"/>
        <v>0.005</v>
      </c>
      <c r="R207" s="36">
        <f t="shared" si="41"/>
        <v>0.005</v>
      </c>
      <c r="S207" s="36">
        <f t="shared" si="41"/>
        <v>0.005</v>
      </c>
      <c r="T207" s="36">
        <f t="shared" si="41"/>
        <v>0.005</v>
      </c>
      <c r="U207" s="36">
        <f t="shared" si="41"/>
        <v>0.005</v>
      </c>
      <c r="V207" s="36">
        <f t="shared" si="41"/>
        <v>0.005</v>
      </c>
      <c r="W207" s="36">
        <f t="shared" si="41"/>
        <v>0.005</v>
      </c>
      <c r="X207" s="36">
        <f t="shared" si="41"/>
        <v>0.005</v>
      </c>
      <c r="Y207" s="36">
        <f t="shared" si="41"/>
        <v>0.005</v>
      </c>
      <c r="Z207" s="36">
        <f t="shared" si="41"/>
        <v>0.005</v>
      </c>
      <c r="AA207" s="36">
        <f t="shared" si="41"/>
        <v>0.005</v>
      </c>
      <c r="AB207" s="36">
        <f t="shared" si="41"/>
        <v>0.005</v>
      </c>
      <c r="AC207" s="36">
        <f t="shared" si="41"/>
        <v>0.005</v>
      </c>
      <c r="AD207" s="36">
        <f t="shared" si="41"/>
        <v>0.005</v>
      </c>
      <c r="AE207" s="36">
        <f t="shared" si="41"/>
        <v>0.005</v>
      </c>
      <c r="AF207" s="36">
        <f t="shared" si="41"/>
        <v>0.005</v>
      </c>
      <c r="AG207" s="36">
        <f t="shared" si="41"/>
        <v>0.005</v>
      </c>
      <c r="AH207" s="36">
        <f t="shared" si="41"/>
        <v>0.005</v>
      </c>
      <c r="AI207" s="36">
        <f t="shared" si="41"/>
        <v>0.005</v>
      </c>
      <c r="AJ207" s="36">
        <f t="shared" si="41"/>
        <v>0.005</v>
      </c>
    </row>
    <row r="208" ht="15.0" customHeight="1">
      <c r="A208" s="319" t="s">
        <v>803</v>
      </c>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c r="AA208" s="36"/>
      <c r="AB208" s="36"/>
      <c r="AC208" s="36"/>
      <c r="AD208" s="36"/>
      <c r="AE208" s="36"/>
      <c r="AF208" s="36"/>
      <c r="AG208" s="36"/>
      <c r="AH208" s="36"/>
      <c r="AI208" s="36"/>
      <c r="AJ208" s="36"/>
    </row>
    <row r="209" ht="15.7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c r="AA209" s="36"/>
      <c r="AB209" s="36"/>
      <c r="AC209" s="36"/>
      <c r="AD209" s="36"/>
      <c r="AE209" s="36"/>
      <c r="AF209" s="36"/>
      <c r="AG209" s="36"/>
      <c r="AH209" s="36"/>
      <c r="AI209" s="36"/>
      <c r="AJ209" s="36"/>
    </row>
    <row r="210" ht="15.0" customHeight="1">
      <c r="A210" s="36" t="s">
        <v>215</v>
      </c>
      <c r="B210" s="36">
        <v>1.0</v>
      </c>
      <c r="C210" s="36">
        <v>2.0</v>
      </c>
      <c r="D210" s="36">
        <v>3.0</v>
      </c>
      <c r="E210" s="36">
        <v>4.0</v>
      </c>
      <c r="F210" s="36">
        <v>5.0</v>
      </c>
      <c r="G210" s="36">
        <v>6.0</v>
      </c>
      <c r="H210" s="36">
        <v>7.0</v>
      </c>
      <c r="I210" s="36">
        <v>8.0</v>
      </c>
      <c r="J210" s="36">
        <v>9.0</v>
      </c>
      <c r="K210" s="36">
        <v>10.0</v>
      </c>
      <c r="L210" s="36">
        <v>11.0</v>
      </c>
      <c r="M210" s="36">
        <v>12.0</v>
      </c>
      <c r="N210" s="36">
        <v>13.0</v>
      </c>
      <c r="O210" s="36">
        <v>14.0</v>
      </c>
      <c r="P210" s="36">
        <v>15.0</v>
      </c>
      <c r="Q210" s="36">
        <v>16.0</v>
      </c>
      <c r="R210" s="36">
        <v>17.0</v>
      </c>
      <c r="S210" s="36">
        <v>18.0</v>
      </c>
      <c r="T210" s="36">
        <v>19.0</v>
      </c>
      <c r="U210" s="36">
        <v>20.0</v>
      </c>
      <c r="V210" s="36">
        <v>21.0</v>
      </c>
      <c r="W210" s="36">
        <v>22.0</v>
      </c>
      <c r="X210" s="36">
        <v>23.0</v>
      </c>
      <c r="Y210" s="36">
        <v>24.0</v>
      </c>
      <c r="Z210" s="36">
        <v>25.0</v>
      </c>
      <c r="AA210" s="36">
        <v>26.0</v>
      </c>
      <c r="AB210" s="36">
        <v>27.0</v>
      </c>
      <c r="AC210" s="36">
        <v>28.0</v>
      </c>
      <c r="AD210" s="36">
        <v>29.0</v>
      </c>
      <c r="AE210" s="36">
        <v>30.0</v>
      </c>
      <c r="AF210" s="36"/>
      <c r="AG210" s="36"/>
      <c r="AH210" s="36"/>
      <c r="AI210" s="36"/>
      <c r="AJ210" s="36"/>
    </row>
    <row r="211" ht="15.0" customHeight="1">
      <c r="A211" s="12" t="s">
        <v>217</v>
      </c>
      <c r="B211" s="36">
        <v>0.0</v>
      </c>
      <c r="C211" s="36">
        <v>0.0</v>
      </c>
      <c r="D211" s="36">
        <v>0.0</v>
      </c>
      <c r="E211" s="36">
        <v>0.0</v>
      </c>
      <c r="F211" s="36">
        <v>0.0</v>
      </c>
      <c r="G211" s="36">
        <v>0.0</v>
      </c>
      <c r="H211" s="36">
        <v>0.0</v>
      </c>
      <c r="I211" s="36">
        <v>0.0</v>
      </c>
      <c r="J211" s="36">
        <v>0.0</v>
      </c>
      <c r="K211" s="36">
        <v>0.0</v>
      </c>
      <c r="L211" s="36">
        <v>0.0</v>
      </c>
      <c r="M211" s="36">
        <v>0.0</v>
      </c>
      <c r="N211" s="36">
        <v>0.0</v>
      </c>
      <c r="O211" s="36">
        <v>0.0</v>
      </c>
      <c r="P211" s="36">
        <v>0.0</v>
      </c>
      <c r="Q211" s="36">
        <v>0.0</v>
      </c>
      <c r="R211" s="36">
        <v>0.0</v>
      </c>
      <c r="S211" s="36">
        <v>0.0</v>
      </c>
      <c r="T211" s="36">
        <v>0.0</v>
      </c>
      <c r="U211" s="36">
        <v>0.0</v>
      </c>
      <c r="V211" s="36">
        <v>0.0</v>
      </c>
      <c r="W211" s="36">
        <v>0.0</v>
      </c>
      <c r="X211" s="36">
        <v>0.0</v>
      </c>
      <c r="Y211" s="36">
        <v>0.0</v>
      </c>
      <c r="Z211" s="36">
        <v>0.0</v>
      </c>
      <c r="AA211" s="36">
        <v>0.0</v>
      </c>
      <c r="AB211" s="36">
        <v>0.0</v>
      </c>
      <c r="AC211" s="36">
        <v>0.0</v>
      </c>
      <c r="AD211" s="36">
        <v>0.0</v>
      </c>
      <c r="AE211" s="36">
        <v>0.0</v>
      </c>
      <c r="AF211" s="373"/>
      <c r="AG211" s="373"/>
      <c r="AH211" s="373"/>
      <c r="AI211" s="373"/>
      <c r="AJ211" s="373"/>
    </row>
    <row r="212" ht="15.75" customHeight="1">
      <c r="A212" s="370" t="s">
        <v>218</v>
      </c>
      <c r="B212" s="36">
        <v>0.0</v>
      </c>
      <c r="C212" s="36">
        <v>0.0</v>
      </c>
      <c r="D212" s="36">
        <v>0.0</v>
      </c>
      <c r="E212" s="36">
        <v>0.0</v>
      </c>
      <c r="F212" s="36">
        <v>0.0</v>
      </c>
      <c r="G212" s="36">
        <f>0.39%</f>
        <v>0.0039</v>
      </c>
      <c r="H212" s="36">
        <f t="shared" ref="H212:AE212" si="42">G212*1.05</f>
        <v>0.004095</v>
      </c>
      <c r="I212" s="36">
        <f t="shared" si="42"/>
        <v>0.00429975</v>
      </c>
      <c r="J212" s="36">
        <f t="shared" si="42"/>
        <v>0.0045147375</v>
      </c>
      <c r="K212" s="36">
        <f t="shared" si="42"/>
        <v>0.004740474375</v>
      </c>
      <c r="L212" s="36">
        <f t="shared" si="42"/>
        <v>0.004977498094</v>
      </c>
      <c r="M212" s="36">
        <f t="shared" si="42"/>
        <v>0.005226372998</v>
      </c>
      <c r="N212" s="36">
        <f t="shared" si="42"/>
        <v>0.005487691648</v>
      </c>
      <c r="O212" s="36">
        <f t="shared" si="42"/>
        <v>0.005762076231</v>
      </c>
      <c r="P212" s="36">
        <f t="shared" si="42"/>
        <v>0.006050180042</v>
      </c>
      <c r="Q212" s="36">
        <f t="shared" si="42"/>
        <v>0.006352689044</v>
      </c>
      <c r="R212" s="36">
        <f t="shared" si="42"/>
        <v>0.006670323497</v>
      </c>
      <c r="S212" s="36">
        <f t="shared" si="42"/>
        <v>0.007003839671</v>
      </c>
      <c r="T212" s="36">
        <f t="shared" si="42"/>
        <v>0.007354031655</v>
      </c>
      <c r="U212" s="36">
        <f t="shared" si="42"/>
        <v>0.007721733238</v>
      </c>
      <c r="V212" s="36">
        <f t="shared" si="42"/>
        <v>0.0081078199</v>
      </c>
      <c r="W212" s="36">
        <f t="shared" si="42"/>
        <v>0.008513210895</v>
      </c>
      <c r="X212" s="36">
        <f t="shared" si="42"/>
        <v>0.008938871439</v>
      </c>
      <c r="Y212" s="36">
        <f t="shared" si="42"/>
        <v>0.009385815011</v>
      </c>
      <c r="Z212" s="36">
        <f t="shared" si="42"/>
        <v>0.009855105762</v>
      </c>
      <c r="AA212" s="36">
        <f t="shared" si="42"/>
        <v>0.01034786105</v>
      </c>
      <c r="AB212" s="36">
        <f t="shared" si="42"/>
        <v>0.0108652541</v>
      </c>
      <c r="AC212" s="36">
        <f t="shared" si="42"/>
        <v>0.01140851681</v>
      </c>
      <c r="AD212" s="36">
        <f t="shared" si="42"/>
        <v>0.01197894265</v>
      </c>
      <c r="AE212" s="36">
        <f t="shared" si="42"/>
        <v>0.01257788978</v>
      </c>
      <c r="AF212" s="36"/>
      <c r="AG212" s="36"/>
      <c r="AH212" s="36"/>
      <c r="AI212" s="36"/>
      <c r="AJ212" s="36"/>
    </row>
    <row r="213" ht="15.0" customHeight="1">
      <c r="A213" s="319" t="s">
        <v>810</v>
      </c>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c r="AA213" s="36"/>
      <c r="AB213" s="36"/>
      <c r="AC213" s="36"/>
      <c r="AD213" s="36"/>
      <c r="AE213" s="36"/>
      <c r="AF213" s="36"/>
      <c r="AG213" s="36"/>
      <c r="AH213" s="36"/>
      <c r="AI213" s="36"/>
      <c r="AJ213" s="36"/>
    </row>
    <row r="214" ht="15.7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c r="AA214" s="36"/>
      <c r="AB214" s="36"/>
      <c r="AC214" s="36"/>
      <c r="AD214" s="36"/>
      <c r="AE214" s="36"/>
      <c r="AF214" s="36"/>
      <c r="AG214" s="36"/>
      <c r="AH214" s="36"/>
      <c r="AI214" s="36"/>
      <c r="AJ214" s="36"/>
    </row>
    <row r="215" ht="15.0" customHeight="1">
      <c r="A215" s="36" t="s">
        <v>215</v>
      </c>
      <c r="B215" s="36">
        <v>1.0</v>
      </c>
      <c r="C215" s="36">
        <v>2.0</v>
      </c>
      <c r="D215" s="36">
        <v>3.0</v>
      </c>
      <c r="E215" s="36">
        <v>4.0</v>
      </c>
      <c r="F215" s="36">
        <v>5.0</v>
      </c>
      <c r="G215" s="36">
        <v>6.0</v>
      </c>
      <c r="H215" s="36">
        <v>7.0</v>
      </c>
      <c r="I215" s="36">
        <v>8.0</v>
      </c>
      <c r="J215" s="36">
        <v>9.0</v>
      </c>
      <c r="K215" s="36">
        <v>10.0</v>
      </c>
      <c r="L215" s="36">
        <v>11.0</v>
      </c>
      <c r="M215" s="36">
        <v>12.0</v>
      </c>
      <c r="N215" s="36">
        <v>13.0</v>
      </c>
      <c r="O215" s="36">
        <v>14.0</v>
      </c>
      <c r="P215" s="36">
        <v>15.0</v>
      </c>
      <c r="Q215" s="36">
        <v>16.0</v>
      </c>
      <c r="R215" s="36">
        <v>17.0</v>
      </c>
      <c r="S215" s="36">
        <v>18.0</v>
      </c>
      <c r="T215" s="36">
        <v>19.0</v>
      </c>
      <c r="U215" s="36">
        <v>20.0</v>
      </c>
      <c r="V215" s="36">
        <v>21.0</v>
      </c>
      <c r="W215" s="36">
        <v>22.0</v>
      </c>
      <c r="X215" s="36">
        <v>23.0</v>
      </c>
      <c r="Y215" s="36">
        <v>24.0</v>
      </c>
      <c r="Z215" s="36">
        <v>25.0</v>
      </c>
      <c r="AA215" s="36">
        <v>26.0</v>
      </c>
      <c r="AB215" s="36">
        <v>27.0</v>
      </c>
      <c r="AC215" s="36">
        <v>28.0</v>
      </c>
      <c r="AD215" s="36">
        <v>29.0</v>
      </c>
      <c r="AE215" s="36">
        <v>30.0</v>
      </c>
      <c r="AF215" s="36"/>
      <c r="AG215" s="36"/>
      <c r="AH215" s="36"/>
      <c r="AI215" s="36"/>
      <c r="AJ215" s="36"/>
    </row>
    <row r="216" ht="15.0" customHeight="1">
      <c r="A216" s="12" t="s">
        <v>217</v>
      </c>
      <c r="B216" s="12">
        <v>0.0</v>
      </c>
      <c r="C216" s="12">
        <v>0.0</v>
      </c>
      <c r="D216" s="12">
        <v>0.0</v>
      </c>
      <c r="E216" s="12">
        <v>0.0</v>
      </c>
      <c r="F216" s="12">
        <v>0.0</v>
      </c>
      <c r="G216" s="12">
        <v>0.0</v>
      </c>
      <c r="H216" s="12">
        <v>0.0</v>
      </c>
      <c r="I216" s="12">
        <v>0.0</v>
      </c>
      <c r="J216" s="12">
        <v>0.0</v>
      </c>
      <c r="K216" s="12">
        <v>0.0</v>
      </c>
      <c r="L216" s="12">
        <v>0.0</v>
      </c>
      <c r="M216" s="12">
        <v>0.0</v>
      </c>
      <c r="N216" s="12">
        <v>0.0</v>
      </c>
      <c r="O216" s="12">
        <v>0.0</v>
      </c>
      <c r="P216" s="12">
        <v>0.0</v>
      </c>
      <c r="Q216" s="12">
        <v>0.0</v>
      </c>
      <c r="R216" s="12">
        <v>0.0</v>
      </c>
      <c r="S216" s="12">
        <v>0.0</v>
      </c>
      <c r="T216" s="12">
        <v>0.0</v>
      </c>
      <c r="U216" s="12">
        <v>0.0</v>
      </c>
      <c r="V216" s="12">
        <v>0.0</v>
      </c>
      <c r="W216" s="12">
        <v>0.0</v>
      </c>
      <c r="X216" s="12">
        <v>0.0</v>
      </c>
      <c r="Y216" s="12">
        <v>0.0</v>
      </c>
      <c r="Z216" s="12">
        <v>0.0</v>
      </c>
      <c r="AA216" s="12">
        <v>0.0</v>
      </c>
      <c r="AB216" s="12">
        <v>0.0</v>
      </c>
      <c r="AC216" s="12">
        <v>0.0</v>
      </c>
      <c r="AD216" s="12">
        <v>0.0</v>
      </c>
      <c r="AE216" s="12">
        <v>0.0</v>
      </c>
      <c r="AF216" s="36"/>
      <c r="AG216" s="36"/>
      <c r="AH216" s="36"/>
      <c r="AI216" s="36"/>
      <c r="AJ216" s="36"/>
    </row>
    <row r="217" ht="15.75" customHeight="1">
      <c r="A217" s="370" t="s">
        <v>218</v>
      </c>
      <c r="B217" s="36">
        <f t="shared" ref="B217:AE217" si="43">0.04%</f>
        <v>0.0004</v>
      </c>
      <c r="C217" s="36">
        <f t="shared" si="43"/>
        <v>0.0004</v>
      </c>
      <c r="D217" s="36">
        <f t="shared" si="43"/>
        <v>0.0004</v>
      </c>
      <c r="E217" s="36">
        <f t="shared" si="43"/>
        <v>0.0004</v>
      </c>
      <c r="F217" s="36">
        <f t="shared" si="43"/>
        <v>0.0004</v>
      </c>
      <c r="G217" s="36">
        <f t="shared" si="43"/>
        <v>0.0004</v>
      </c>
      <c r="H217" s="36">
        <f t="shared" si="43"/>
        <v>0.0004</v>
      </c>
      <c r="I217" s="36">
        <f t="shared" si="43"/>
        <v>0.0004</v>
      </c>
      <c r="J217" s="36">
        <f t="shared" si="43"/>
        <v>0.0004</v>
      </c>
      <c r="K217" s="36">
        <f t="shared" si="43"/>
        <v>0.0004</v>
      </c>
      <c r="L217" s="36">
        <f t="shared" si="43"/>
        <v>0.0004</v>
      </c>
      <c r="M217" s="36">
        <f t="shared" si="43"/>
        <v>0.0004</v>
      </c>
      <c r="N217" s="36">
        <f t="shared" si="43"/>
        <v>0.0004</v>
      </c>
      <c r="O217" s="36">
        <f t="shared" si="43"/>
        <v>0.0004</v>
      </c>
      <c r="P217" s="36">
        <f t="shared" si="43"/>
        <v>0.0004</v>
      </c>
      <c r="Q217" s="36">
        <f t="shared" si="43"/>
        <v>0.0004</v>
      </c>
      <c r="R217" s="36">
        <f t="shared" si="43"/>
        <v>0.0004</v>
      </c>
      <c r="S217" s="36">
        <f t="shared" si="43"/>
        <v>0.0004</v>
      </c>
      <c r="T217" s="36">
        <f t="shared" si="43"/>
        <v>0.0004</v>
      </c>
      <c r="U217" s="36">
        <f t="shared" si="43"/>
        <v>0.0004</v>
      </c>
      <c r="V217" s="36">
        <f t="shared" si="43"/>
        <v>0.0004</v>
      </c>
      <c r="W217" s="36">
        <f t="shared" si="43"/>
        <v>0.0004</v>
      </c>
      <c r="X217" s="36">
        <f t="shared" si="43"/>
        <v>0.0004</v>
      </c>
      <c r="Y217" s="36">
        <f t="shared" si="43"/>
        <v>0.0004</v>
      </c>
      <c r="Z217" s="36">
        <f t="shared" si="43"/>
        <v>0.0004</v>
      </c>
      <c r="AA217" s="36">
        <f t="shared" si="43"/>
        <v>0.0004</v>
      </c>
      <c r="AB217" s="36">
        <f t="shared" si="43"/>
        <v>0.0004</v>
      </c>
      <c r="AC217" s="36">
        <f t="shared" si="43"/>
        <v>0.0004</v>
      </c>
      <c r="AD217" s="36">
        <f t="shared" si="43"/>
        <v>0.0004</v>
      </c>
      <c r="AE217" s="36">
        <f t="shared" si="43"/>
        <v>0.0004</v>
      </c>
      <c r="AF217" s="36"/>
      <c r="AG217" s="36"/>
      <c r="AH217" s="36"/>
      <c r="AI217" s="36"/>
      <c r="AJ217" s="36"/>
    </row>
    <row r="218" ht="15.0" customHeight="1">
      <c r="A218" s="222" t="s">
        <v>573</v>
      </c>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c r="AA218" s="36"/>
      <c r="AB218" s="36"/>
      <c r="AC218" s="36"/>
      <c r="AD218" s="36"/>
      <c r="AE218" s="36"/>
      <c r="AF218" s="36"/>
      <c r="AG218" s="36"/>
      <c r="AH218" s="36"/>
      <c r="AI218" s="36"/>
      <c r="AJ218" s="36"/>
    </row>
    <row r="219" ht="15.7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c r="AA219" s="36"/>
      <c r="AB219" s="36"/>
      <c r="AC219" s="36"/>
      <c r="AD219" s="36"/>
      <c r="AE219" s="36"/>
      <c r="AF219" s="36"/>
      <c r="AG219" s="36"/>
      <c r="AH219" s="36"/>
      <c r="AI219" s="36"/>
      <c r="AJ219" s="36"/>
    </row>
    <row r="220" ht="15.0" customHeight="1">
      <c r="A220" s="36" t="s">
        <v>215</v>
      </c>
      <c r="B220" s="36">
        <v>1.0</v>
      </c>
      <c r="C220" s="36">
        <v>2.0</v>
      </c>
      <c r="D220" s="36">
        <v>3.0</v>
      </c>
      <c r="E220" s="36">
        <v>4.0</v>
      </c>
      <c r="F220" s="36">
        <v>5.0</v>
      </c>
      <c r="G220" s="36">
        <v>6.0</v>
      </c>
      <c r="H220" s="36">
        <v>7.0</v>
      </c>
      <c r="I220" s="36">
        <v>8.0</v>
      </c>
      <c r="J220" s="36">
        <v>9.0</v>
      </c>
      <c r="K220" s="36">
        <v>10.0</v>
      </c>
      <c r="L220" s="36">
        <v>11.0</v>
      </c>
      <c r="M220" s="36">
        <v>12.0</v>
      </c>
      <c r="N220" s="36">
        <v>13.0</v>
      </c>
      <c r="O220" s="36">
        <v>14.0</v>
      </c>
      <c r="P220" s="36">
        <v>15.0</v>
      </c>
      <c r="Q220" s="36">
        <v>16.0</v>
      </c>
      <c r="R220" s="36">
        <v>17.0</v>
      </c>
      <c r="S220" s="36">
        <v>18.0</v>
      </c>
      <c r="T220" s="36">
        <v>19.0</v>
      </c>
      <c r="U220" s="36">
        <v>20.0</v>
      </c>
      <c r="V220" s="36">
        <v>21.0</v>
      </c>
      <c r="W220" s="36">
        <v>22.0</v>
      </c>
      <c r="X220" s="36">
        <v>23.0</v>
      </c>
      <c r="Y220" s="36">
        <v>24.0</v>
      </c>
      <c r="Z220" s="36">
        <v>25.0</v>
      </c>
      <c r="AA220" s="36">
        <v>26.0</v>
      </c>
      <c r="AB220" s="36">
        <v>27.0</v>
      </c>
      <c r="AC220" s="36">
        <v>28.0</v>
      </c>
      <c r="AD220" s="36">
        <v>29.0</v>
      </c>
      <c r="AE220" s="36">
        <v>30.0</v>
      </c>
      <c r="AF220" s="36"/>
      <c r="AG220" s="36"/>
      <c r="AH220" s="36"/>
      <c r="AI220" s="36"/>
      <c r="AJ220" s="36"/>
    </row>
    <row r="221" ht="13.5" customHeight="1">
      <c r="A221" s="12" t="s">
        <v>217</v>
      </c>
      <c r="B221" s="36">
        <v>20.0</v>
      </c>
      <c r="C221" s="36">
        <f t="shared" ref="C221:AE221" si="44">B221*1.05</f>
        <v>21</v>
      </c>
      <c r="D221" s="36">
        <f t="shared" si="44"/>
        <v>22.05</v>
      </c>
      <c r="E221" s="36">
        <f t="shared" si="44"/>
        <v>23.1525</v>
      </c>
      <c r="F221" s="36">
        <f t="shared" si="44"/>
        <v>24.310125</v>
      </c>
      <c r="G221" s="36">
        <f t="shared" si="44"/>
        <v>25.52563125</v>
      </c>
      <c r="H221" s="36">
        <f t="shared" si="44"/>
        <v>26.80191281</v>
      </c>
      <c r="I221" s="36">
        <f t="shared" si="44"/>
        <v>28.14200845</v>
      </c>
      <c r="J221" s="36">
        <f t="shared" si="44"/>
        <v>29.54910888</v>
      </c>
      <c r="K221" s="36">
        <f t="shared" si="44"/>
        <v>31.02656432</v>
      </c>
      <c r="L221" s="36">
        <f t="shared" si="44"/>
        <v>32.57789254</v>
      </c>
      <c r="M221" s="36">
        <f t="shared" si="44"/>
        <v>34.20678716</v>
      </c>
      <c r="N221" s="36">
        <f t="shared" si="44"/>
        <v>35.91712652</v>
      </c>
      <c r="O221" s="36">
        <f t="shared" si="44"/>
        <v>37.71298285</v>
      </c>
      <c r="P221" s="36">
        <f t="shared" si="44"/>
        <v>39.59863199</v>
      </c>
      <c r="Q221" s="36">
        <f t="shared" si="44"/>
        <v>41.57856359</v>
      </c>
      <c r="R221" s="36">
        <f t="shared" si="44"/>
        <v>43.65749177</v>
      </c>
      <c r="S221" s="36">
        <f t="shared" si="44"/>
        <v>45.84036636</v>
      </c>
      <c r="T221" s="36">
        <f t="shared" si="44"/>
        <v>48.13238467</v>
      </c>
      <c r="U221" s="36">
        <f t="shared" si="44"/>
        <v>50.53900391</v>
      </c>
      <c r="V221" s="36">
        <f t="shared" si="44"/>
        <v>53.0659541</v>
      </c>
      <c r="W221" s="36">
        <f t="shared" si="44"/>
        <v>55.71925181</v>
      </c>
      <c r="X221" s="36">
        <f t="shared" si="44"/>
        <v>58.5052144</v>
      </c>
      <c r="Y221" s="36">
        <f t="shared" si="44"/>
        <v>61.43047512</v>
      </c>
      <c r="Z221" s="36">
        <f t="shared" si="44"/>
        <v>64.50199887</v>
      </c>
      <c r="AA221" s="36">
        <f t="shared" si="44"/>
        <v>67.72709882</v>
      </c>
      <c r="AB221" s="36">
        <f t="shared" si="44"/>
        <v>71.11345376</v>
      </c>
      <c r="AC221" s="36">
        <f t="shared" si="44"/>
        <v>74.66912645</v>
      </c>
      <c r="AD221" s="36">
        <f t="shared" si="44"/>
        <v>78.40258277</v>
      </c>
      <c r="AE221" s="36">
        <f t="shared" si="44"/>
        <v>82.32271191</v>
      </c>
      <c r="AF221" s="36"/>
      <c r="AG221" s="36"/>
      <c r="AH221" s="36"/>
      <c r="AI221" s="36"/>
      <c r="AJ221" s="36"/>
    </row>
    <row r="222" ht="15.75" customHeight="1">
      <c r="A222" s="370" t="s">
        <v>218</v>
      </c>
      <c r="B222" s="12">
        <v>0.0</v>
      </c>
      <c r="C222" s="12">
        <v>0.0</v>
      </c>
      <c r="D222" s="12">
        <v>0.0</v>
      </c>
      <c r="E222" s="12">
        <v>0.0</v>
      </c>
      <c r="F222" s="12">
        <v>0.0</v>
      </c>
      <c r="G222" s="12">
        <v>0.0</v>
      </c>
      <c r="H222" s="12">
        <v>0.0</v>
      </c>
      <c r="I222" s="12">
        <v>0.0</v>
      </c>
      <c r="J222" s="12">
        <v>0.0</v>
      </c>
      <c r="K222" s="12">
        <v>0.0</v>
      </c>
      <c r="L222" s="12">
        <v>0.0</v>
      </c>
      <c r="M222" s="12">
        <v>0.0</v>
      </c>
      <c r="N222" s="12">
        <v>0.0</v>
      </c>
      <c r="O222" s="12">
        <v>0.0</v>
      </c>
      <c r="P222" s="12">
        <v>0.0</v>
      </c>
      <c r="Q222" s="12">
        <v>0.0</v>
      </c>
      <c r="R222" s="12">
        <v>0.0</v>
      </c>
      <c r="S222" s="12">
        <v>0.0</v>
      </c>
      <c r="T222" s="12">
        <v>0.0</v>
      </c>
      <c r="U222" s="12">
        <v>0.0</v>
      </c>
      <c r="V222" s="12">
        <v>0.0</v>
      </c>
      <c r="W222" s="12">
        <v>0.0</v>
      </c>
      <c r="X222" s="12">
        <v>0.0</v>
      </c>
      <c r="Y222" s="12">
        <v>0.0</v>
      </c>
      <c r="Z222" s="12">
        <v>0.0</v>
      </c>
      <c r="AA222" s="12">
        <v>0.0</v>
      </c>
      <c r="AB222" s="12">
        <v>0.0</v>
      </c>
      <c r="AC222" s="12">
        <v>0.0</v>
      </c>
      <c r="AD222" s="12">
        <v>0.0</v>
      </c>
      <c r="AE222" s="12">
        <v>0.0</v>
      </c>
      <c r="AF222" s="36"/>
      <c r="AG222" s="36"/>
      <c r="AH222" s="36"/>
      <c r="AI222" s="36"/>
      <c r="AJ222" s="36"/>
    </row>
    <row r="223" ht="15.0" customHeight="1">
      <c r="A223" s="222" t="s">
        <v>547</v>
      </c>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c r="AA223" s="36"/>
      <c r="AB223" s="36"/>
      <c r="AC223" s="36"/>
      <c r="AD223" s="36"/>
      <c r="AE223" s="36"/>
      <c r="AF223" s="36"/>
      <c r="AG223" s="36"/>
      <c r="AH223" s="36"/>
      <c r="AI223" s="36"/>
      <c r="AJ223" s="36"/>
    </row>
    <row r="224" ht="15.75" customHeight="1">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c r="AA224" s="36"/>
      <c r="AB224" s="36"/>
      <c r="AC224" s="36"/>
      <c r="AD224" s="36"/>
      <c r="AE224" s="36"/>
      <c r="AF224" s="36"/>
      <c r="AG224" s="36"/>
      <c r="AH224" s="36"/>
      <c r="AI224" s="36"/>
      <c r="AJ224" s="36"/>
    </row>
    <row r="225" ht="15.0" customHeight="1">
      <c r="A225" s="36" t="s">
        <v>215</v>
      </c>
      <c r="B225" s="36">
        <v>1.0</v>
      </c>
      <c r="C225" s="36">
        <v>2.0</v>
      </c>
      <c r="D225" s="36">
        <v>3.0</v>
      </c>
      <c r="E225" s="36">
        <v>4.0</v>
      </c>
      <c r="F225" s="36">
        <v>5.0</v>
      </c>
      <c r="G225" s="36">
        <v>6.0</v>
      </c>
      <c r="H225" s="36">
        <v>7.0</v>
      </c>
      <c r="I225" s="36">
        <v>8.0</v>
      </c>
      <c r="J225" s="36">
        <v>9.0</v>
      </c>
      <c r="K225" s="36">
        <v>10.0</v>
      </c>
      <c r="L225" s="36">
        <v>11.0</v>
      </c>
      <c r="M225" s="36">
        <v>12.0</v>
      </c>
      <c r="N225" s="36">
        <v>13.0</v>
      </c>
      <c r="O225" s="36">
        <v>14.0</v>
      </c>
      <c r="P225" s="36">
        <v>15.0</v>
      </c>
      <c r="Q225" s="36">
        <v>16.0</v>
      </c>
      <c r="R225" s="36">
        <v>17.0</v>
      </c>
      <c r="S225" s="36">
        <v>18.0</v>
      </c>
      <c r="T225" s="36">
        <v>19.0</v>
      </c>
      <c r="U225" s="36">
        <v>20.0</v>
      </c>
      <c r="V225" s="36">
        <v>21.0</v>
      </c>
      <c r="W225" s="36">
        <v>22.0</v>
      </c>
      <c r="X225" s="36">
        <v>23.0</v>
      </c>
      <c r="Y225" s="36">
        <v>24.0</v>
      </c>
      <c r="Z225" s="36">
        <v>25.0</v>
      </c>
      <c r="AA225" s="36">
        <v>26.0</v>
      </c>
      <c r="AB225" s="36">
        <v>27.0</v>
      </c>
      <c r="AC225" s="36">
        <v>28.0</v>
      </c>
      <c r="AD225" s="36">
        <v>29.0</v>
      </c>
      <c r="AE225" s="36">
        <v>30.0</v>
      </c>
      <c r="AF225" s="36"/>
      <c r="AG225" s="36"/>
      <c r="AH225" s="36"/>
      <c r="AI225" s="36"/>
      <c r="AJ225" s="36"/>
    </row>
    <row r="226" ht="13.5" customHeight="1">
      <c r="A226" s="12" t="s">
        <v>217</v>
      </c>
      <c r="B226" s="36">
        <v>20.0</v>
      </c>
      <c r="C226" s="36">
        <f t="shared" ref="C226:AE226" si="45">B226*1.05</f>
        <v>21</v>
      </c>
      <c r="D226" s="36">
        <f t="shared" si="45"/>
        <v>22.05</v>
      </c>
      <c r="E226" s="36">
        <f t="shared" si="45"/>
        <v>23.1525</v>
      </c>
      <c r="F226" s="36">
        <f t="shared" si="45"/>
        <v>24.310125</v>
      </c>
      <c r="G226" s="36">
        <f t="shared" si="45"/>
        <v>25.52563125</v>
      </c>
      <c r="H226" s="36">
        <f t="shared" si="45"/>
        <v>26.80191281</v>
      </c>
      <c r="I226" s="36">
        <f t="shared" si="45"/>
        <v>28.14200845</v>
      </c>
      <c r="J226" s="36">
        <f t="shared" si="45"/>
        <v>29.54910888</v>
      </c>
      <c r="K226" s="36">
        <f t="shared" si="45"/>
        <v>31.02656432</v>
      </c>
      <c r="L226" s="36">
        <f t="shared" si="45"/>
        <v>32.57789254</v>
      </c>
      <c r="M226" s="36">
        <f t="shared" si="45"/>
        <v>34.20678716</v>
      </c>
      <c r="N226" s="36">
        <f t="shared" si="45"/>
        <v>35.91712652</v>
      </c>
      <c r="O226" s="36">
        <f t="shared" si="45"/>
        <v>37.71298285</v>
      </c>
      <c r="P226" s="36">
        <f t="shared" si="45"/>
        <v>39.59863199</v>
      </c>
      <c r="Q226" s="36">
        <f t="shared" si="45"/>
        <v>41.57856359</v>
      </c>
      <c r="R226" s="36">
        <f t="shared" si="45"/>
        <v>43.65749177</v>
      </c>
      <c r="S226" s="36">
        <f t="shared" si="45"/>
        <v>45.84036636</v>
      </c>
      <c r="T226" s="36">
        <f t="shared" si="45"/>
        <v>48.13238467</v>
      </c>
      <c r="U226" s="36">
        <f t="shared" si="45"/>
        <v>50.53900391</v>
      </c>
      <c r="V226" s="36">
        <f t="shared" si="45"/>
        <v>53.0659541</v>
      </c>
      <c r="W226" s="36">
        <f t="shared" si="45"/>
        <v>55.71925181</v>
      </c>
      <c r="X226" s="36">
        <f t="shared" si="45"/>
        <v>58.5052144</v>
      </c>
      <c r="Y226" s="36">
        <f t="shared" si="45"/>
        <v>61.43047512</v>
      </c>
      <c r="Z226" s="36">
        <f t="shared" si="45"/>
        <v>64.50199887</v>
      </c>
      <c r="AA226" s="36">
        <f t="shared" si="45"/>
        <v>67.72709882</v>
      </c>
      <c r="AB226" s="36">
        <f t="shared" si="45"/>
        <v>71.11345376</v>
      </c>
      <c r="AC226" s="36">
        <f t="shared" si="45"/>
        <v>74.66912645</v>
      </c>
      <c r="AD226" s="36">
        <f t="shared" si="45"/>
        <v>78.40258277</v>
      </c>
      <c r="AE226" s="36">
        <f t="shared" si="45"/>
        <v>82.32271191</v>
      </c>
      <c r="AF226" s="36"/>
      <c r="AG226" s="36"/>
      <c r="AH226" s="36"/>
      <c r="AI226" s="36"/>
      <c r="AJ226" s="36"/>
    </row>
    <row r="227" ht="15.75" customHeight="1">
      <c r="A227" s="370" t="s">
        <v>218</v>
      </c>
      <c r="B227" s="12">
        <v>0.0</v>
      </c>
      <c r="C227" s="12">
        <v>0.0</v>
      </c>
      <c r="D227" s="12">
        <v>0.0</v>
      </c>
      <c r="E227" s="12">
        <v>0.0</v>
      </c>
      <c r="F227" s="12">
        <v>0.0</v>
      </c>
      <c r="G227" s="12">
        <v>0.0</v>
      </c>
      <c r="H227" s="12">
        <v>0.0</v>
      </c>
      <c r="I227" s="12">
        <v>0.0</v>
      </c>
      <c r="J227" s="12">
        <v>0.0</v>
      </c>
      <c r="K227" s="12">
        <v>0.0</v>
      </c>
      <c r="L227" s="12">
        <v>0.0</v>
      </c>
      <c r="M227" s="12">
        <v>0.0</v>
      </c>
      <c r="N227" s="12">
        <v>0.0</v>
      </c>
      <c r="O227" s="12">
        <v>0.0</v>
      </c>
      <c r="P227" s="12">
        <v>0.0</v>
      </c>
      <c r="Q227" s="12">
        <v>0.0</v>
      </c>
      <c r="R227" s="12">
        <v>0.0</v>
      </c>
      <c r="S227" s="12">
        <v>0.0</v>
      </c>
      <c r="T227" s="12">
        <v>0.0</v>
      </c>
      <c r="U227" s="12">
        <v>0.0</v>
      </c>
      <c r="V227" s="12">
        <v>0.0</v>
      </c>
      <c r="W227" s="12">
        <v>0.0</v>
      </c>
      <c r="X227" s="12">
        <v>0.0</v>
      </c>
      <c r="Y227" s="12">
        <v>0.0</v>
      </c>
      <c r="Z227" s="12">
        <v>0.0</v>
      </c>
      <c r="AA227" s="12">
        <v>0.0</v>
      </c>
      <c r="AB227" s="12">
        <v>0.0</v>
      </c>
      <c r="AC227" s="12">
        <v>0.0</v>
      </c>
      <c r="AD227" s="12">
        <v>0.0</v>
      </c>
      <c r="AE227" s="12">
        <v>0.0</v>
      </c>
      <c r="AF227" s="36"/>
      <c r="AG227" s="36"/>
      <c r="AH227" s="36"/>
      <c r="AI227" s="36"/>
      <c r="AJ227" s="36"/>
    </row>
    <row r="228" ht="15.0" customHeight="1">
      <c r="A228" s="222" t="s">
        <v>553</v>
      </c>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c r="AA228" s="36"/>
      <c r="AB228" s="36"/>
      <c r="AC228" s="36"/>
      <c r="AD228" s="36"/>
      <c r="AE228" s="36"/>
      <c r="AF228" s="36"/>
      <c r="AG228" s="36"/>
      <c r="AH228" s="36"/>
      <c r="AI228" s="36"/>
      <c r="AJ228" s="36"/>
    </row>
    <row r="229" ht="15.75" customHeight="1">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c r="AA229" s="36"/>
      <c r="AB229" s="36"/>
      <c r="AC229" s="36"/>
      <c r="AD229" s="36"/>
      <c r="AE229" s="36"/>
      <c r="AF229" s="36"/>
      <c r="AG229" s="36"/>
      <c r="AH229" s="36"/>
      <c r="AI229" s="36"/>
      <c r="AJ229" s="36"/>
    </row>
    <row r="230" ht="15.0" customHeight="1">
      <c r="A230" s="36" t="s">
        <v>215</v>
      </c>
      <c r="B230" s="36">
        <v>1.0</v>
      </c>
      <c r="C230" s="36">
        <v>2.0</v>
      </c>
      <c r="D230" s="36">
        <v>3.0</v>
      </c>
      <c r="E230" s="36">
        <v>4.0</v>
      </c>
      <c r="F230" s="36">
        <v>5.0</v>
      </c>
      <c r="G230" s="36">
        <v>6.0</v>
      </c>
      <c r="H230" s="36">
        <v>7.0</v>
      </c>
      <c r="I230" s="36">
        <v>8.0</v>
      </c>
      <c r="J230" s="36">
        <v>9.0</v>
      </c>
      <c r="K230" s="36">
        <v>10.0</v>
      </c>
      <c r="L230" s="36">
        <v>11.0</v>
      </c>
      <c r="M230" s="36">
        <v>12.0</v>
      </c>
      <c r="N230" s="36">
        <v>13.0</v>
      </c>
      <c r="O230" s="36">
        <v>14.0</v>
      </c>
      <c r="P230" s="36">
        <v>15.0</v>
      </c>
      <c r="Q230" s="36">
        <v>16.0</v>
      </c>
      <c r="R230" s="36">
        <v>17.0</v>
      </c>
      <c r="S230" s="36">
        <v>18.0</v>
      </c>
      <c r="T230" s="36">
        <v>19.0</v>
      </c>
      <c r="U230" s="36">
        <v>20.0</v>
      </c>
      <c r="V230" s="36">
        <v>21.0</v>
      </c>
      <c r="W230" s="36">
        <v>22.0</v>
      </c>
      <c r="X230" s="36">
        <v>23.0</v>
      </c>
      <c r="Y230" s="36">
        <v>24.0</v>
      </c>
      <c r="Z230" s="36">
        <v>25.0</v>
      </c>
      <c r="AA230" s="36">
        <v>26.0</v>
      </c>
      <c r="AB230" s="36">
        <v>27.0</v>
      </c>
      <c r="AC230" s="36">
        <v>28.0</v>
      </c>
      <c r="AD230" s="36">
        <v>29.0</v>
      </c>
      <c r="AE230" s="36">
        <v>30.0</v>
      </c>
      <c r="AF230" s="36"/>
      <c r="AG230" s="36"/>
      <c r="AH230" s="36"/>
      <c r="AI230" s="36"/>
      <c r="AJ230" s="36"/>
    </row>
    <row r="231" ht="13.5" customHeight="1">
      <c r="A231" s="12" t="s">
        <v>217</v>
      </c>
      <c r="B231" s="36">
        <v>20.0</v>
      </c>
      <c r="C231" s="36">
        <f t="shared" ref="C231:AE231" si="46">B231*1.05</f>
        <v>21</v>
      </c>
      <c r="D231" s="36">
        <f t="shared" si="46"/>
        <v>22.05</v>
      </c>
      <c r="E231" s="36">
        <f t="shared" si="46"/>
        <v>23.1525</v>
      </c>
      <c r="F231" s="36">
        <f t="shared" si="46"/>
        <v>24.310125</v>
      </c>
      <c r="G231" s="36">
        <f t="shared" si="46"/>
        <v>25.52563125</v>
      </c>
      <c r="H231" s="36">
        <f t="shared" si="46"/>
        <v>26.80191281</v>
      </c>
      <c r="I231" s="36">
        <f t="shared" si="46"/>
        <v>28.14200845</v>
      </c>
      <c r="J231" s="36">
        <f t="shared" si="46"/>
        <v>29.54910888</v>
      </c>
      <c r="K231" s="36">
        <f t="shared" si="46"/>
        <v>31.02656432</v>
      </c>
      <c r="L231" s="36">
        <f t="shared" si="46"/>
        <v>32.57789254</v>
      </c>
      <c r="M231" s="36">
        <f t="shared" si="46"/>
        <v>34.20678716</v>
      </c>
      <c r="N231" s="36">
        <f t="shared" si="46"/>
        <v>35.91712652</v>
      </c>
      <c r="O231" s="36">
        <f t="shared" si="46"/>
        <v>37.71298285</v>
      </c>
      <c r="P231" s="36">
        <f t="shared" si="46"/>
        <v>39.59863199</v>
      </c>
      <c r="Q231" s="36">
        <f t="shared" si="46"/>
        <v>41.57856359</v>
      </c>
      <c r="R231" s="36">
        <f t="shared" si="46"/>
        <v>43.65749177</v>
      </c>
      <c r="S231" s="36">
        <f t="shared" si="46"/>
        <v>45.84036636</v>
      </c>
      <c r="T231" s="36">
        <f t="shared" si="46"/>
        <v>48.13238467</v>
      </c>
      <c r="U231" s="36">
        <f t="shared" si="46"/>
        <v>50.53900391</v>
      </c>
      <c r="V231" s="36">
        <f t="shared" si="46"/>
        <v>53.0659541</v>
      </c>
      <c r="W231" s="36">
        <f t="shared" si="46"/>
        <v>55.71925181</v>
      </c>
      <c r="X231" s="36">
        <f t="shared" si="46"/>
        <v>58.5052144</v>
      </c>
      <c r="Y231" s="36">
        <f t="shared" si="46"/>
        <v>61.43047512</v>
      </c>
      <c r="Z231" s="36">
        <f t="shared" si="46"/>
        <v>64.50199887</v>
      </c>
      <c r="AA231" s="36">
        <f t="shared" si="46"/>
        <v>67.72709882</v>
      </c>
      <c r="AB231" s="36">
        <f t="shared" si="46"/>
        <v>71.11345376</v>
      </c>
      <c r="AC231" s="36">
        <f t="shared" si="46"/>
        <v>74.66912645</v>
      </c>
      <c r="AD231" s="36">
        <f t="shared" si="46"/>
        <v>78.40258277</v>
      </c>
      <c r="AE231" s="36">
        <f t="shared" si="46"/>
        <v>82.32271191</v>
      </c>
      <c r="AF231" s="36"/>
      <c r="AG231" s="36"/>
      <c r="AH231" s="36"/>
      <c r="AI231" s="36"/>
      <c r="AJ231" s="36"/>
    </row>
    <row r="232" ht="15.75" customHeight="1">
      <c r="A232" s="370" t="s">
        <v>218</v>
      </c>
      <c r="B232" s="12">
        <v>0.0</v>
      </c>
      <c r="C232" s="12">
        <v>0.0</v>
      </c>
      <c r="D232" s="12">
        <v>0.0</v>
      </c>
      <c r="E232" s="12">
        <v>0.0</v>
      </c>
      <c r="F232" s="12">
        <v>0.0</v>
      </c>
      <c r="G232" s="12">
        <v>0.0</v>
      </c>
      <c r="H232" s="12">
        <v>0.0</v>
      </c>
      <c r="I232" s="12">
        <v>0.0</v>
      </c>
      <c r="J232" s="12">
        <v>0.0</v>
      </c>
      <c r="K232" s="12">
        <v>0.0</v>
      </c>
      <c r="L232" s="12">
        <v>0.0</v>
      </c>
      <c r="M232" s="12">
        <v>0.0</v>
      </c>
      <c r="N232" s="12">
        <v>0.0</v>
      </c>
      <c r="O232" s="12">
        <v>0.0</v>
      </c>
      <c r="P232" s="12">
        <v>0.0</v>
      </c>
      <c r="Q232" s="12">
        <v>0.0</v>
      </c>
      <c r="R232" s="12">
        <v>0.0</v>
      </c>
      <c r="S232" s="12">
        <v>0.0</v>
      </c>
      <c r="T232" s="12">
        <v>0.0</v>
      </c>
      <c r="U232" s="12">
        <v>0.0</v>
      </c>
      <c r="V232" s="12">
        <v>0.0</v>
      </c>
      <c r="W232" s="12">
        <v>0.0</v>
      </c>
      <c r="X232" s="12">
        <v>0.0</v>
      </c>
      <c r="Y232" s="12">
        <v>0.0</v>
      </c>
      <c r="Z232" s="12">
        <v>0.0</v>
      </c>
      <c r="AA232" s="12">
        <v>0.0</v>
      </c>
      <c r="AB232" s="12">
        <v>0.0</v>
      </c>
      <c r="AC232" s="12">
        <v>0.0</v>
      </c>
      <c r="AD232" s="12">
        <v>0.0</v>
      </c>
      <c r="AE232" s="12">
        <v>0.0</v>
      </c>
      <c r="AF232" s="36"/>
      <c r="AG232" s="36"/>
      <c r="AH232" s="36"/>
      <c r="AI232" s="36"/>
      <c r="AJ232" s="36"/>
    </row>
    <row r="233" ht="15.0" customHeight="1">
      <c r="A233" s="222" t="s">
        <v>557</v>
      </c>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c r="AA233" s="36"/>
      <c r="AB233" s="36"/>
      <c r="AC233" s="36"/>
      <c r="AD233" s="36"/>
      <c r="AE233" s="36"/>
      <c r="AF233" s="36"/>
      <c r="AG233" s="36"/>
      <c r="AH233" s="36"/>
      <c r="AI233" s="36"/>
      <c r="AJ233" s="36"/>
    </row>
    <row r="234" ht="15.75" customHeight="1">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c r="AA234" s="36"/>
      <c r="AB234" s="36"/>
      <c r="AC234" s="36"/>
      <c r="AD234" s="36"/>
      <c r="AE234" s="36"/>
      <c r="AF234" s="36"/>
      <c r="AG234" s="36"/>
      <c r="AH234" s="36"/>
      <c r="AI234" s="36"/>
      <c r="AJ234" s="36"/>
    </row>
    <row r="235" ht="15.0" customHeight="1">
      <c r="A235" s="36" t="s">
        <v>215</v>
      </c>
      <c r="B235" s="36">
        <v>1.0</v>
      </c>
      <c r="C235" s="36">
        <v>2.0</v>
      </c>
      <c r="D235" s="36">
        <v>3.0</v>
      </c>
      <c r="E235" s="36">
        <v>4.0</v>
      </c>
      <c r="F235" s="36">
        <v>5.0</v>
      </c>
      <c r="G235" s="36">
        <v>6.0</v>
      </c>
      <c r="H235" s="36">
        <v>7.0</v>
      </c>
      <c r="I235" s="36">
        <v>8.0</v>
      </c>
      <c r="J235" s="36">
        <v>9.0</v>
      </c>
      <c r="K235" s="36">
        <v>10.0</v>
      </c>
      <c r="L235" s="36">
        <v>11.0</v>
      </c>
      <c r="M235" s="36">
        <v>12.0</v>
      </c>
      <c r="N235" s="36">
        <v>13.0</v>
      </c>
      <c r="O235" s="36">
        <v>14.0</v>
      </c>
      <c r="P235" s="36">
        <v>15.0</v>
      </c>
      <c r="Q235" s="36">
        <v>16.0</v>
      </c>
      <c r="R235" s="36">
        <v>17.0</v>
      </c>
      <c r="S235" s="36">
        <v>18.0</v>
      </c>
      <c r="T235" s="36">
        <v>19.0</v>
      </c>
      <c r="U235" s="36">
        <v>20.0</v>
      </c>
      <c r="V235" s="36">
        <v>21.0</v>
      </c>
      <c r="W235" s="36">
        <v>22.0</v>
      </c>
      <c r="X235" s="36">
        <v>23.0</v>
      </c>
      <c r="Y235" s="36">
        <v>24.0</v>
      </c>
      <c r="Z235" s="36">
        <v>25.0</v>
      </c>
      <c r="AA235" s="36">
        <v>26.0</v>
      </c>
      <c r="AB235" s="36">
        <v>27.0</v>
      </c>
      <c r="AC235" s="36">
        <v>28.0</v>
      </c>
      <c r="AD235" s="36">
        <v>29.0</v>
      </c>
      <c r="AE235" s="36">
        <v>30.0</v>
      </c>
      <c r="AF235" s="36"/>
      <c r="AG235" s="36"/>
      <c r="AH235" s="36"/>
      <c r="AI235" s="36"/>
      <c r="AJ235" s="36"/>
    </row>
    <row r="236" ht="13.5" customHeight="1">
      <c r="A236" s="12" t="s">
        <v>217</v>
      </c>
      <c r="B236" s="36">
        <v>20.0</v>
      </c>
      <c r="C236" s="36">
        <f t="shared" ref="C236:AE236" si="47">B236*1.05</f>
        <v>21</v>
      </c>
      <c r="D236" s="36">
        <f t="shared" si="47"/>
        <v>22.05</v>
      </c>
      <c r="E236" s="36">
        <f t="shared" si="47"/>
        <v>23.1525</v>
      </c>
      <c r="F236" s="36">
        <f t="shared" si="47"/>
        <v>24.310125</v>
      </c>
      <c r="G236" s="36">
        <f t="shared" si="47"/>
        <v>25.52563125</v>
      </c>
      <c r="H236" s="36">
        <f t="shared" si="47"/>
        <v>26.80191281</v>
      </c>
      <c r="I236" s="36">
        <f t="shared" si="47"/>
        <v>28.14200845</v>
      </c>
      <c r="J236" s="36">
        <f t="shared" si="47"/>
        <v>29.54910888</v>
      </c>
      <c r="K236" s="36">
        <f t="shared" si="47"/>
        <v>31.02656432</v>
      </c>
      <c r="L236" s="36">
        <f t="shared" si="47"/>
        <v>32.57789254</v>
      </c>
      <c r="M236" s="36">
        <f t="shared" si="47"/>
        <v>34.20678716</v>
      </c>
      <c r="N236" s="36">
        <f t="shared" si="47"/>
        <v>35.91712652</v>
      </c>
      <c r="O236" s="36">
        <f t="shared" si="47"/>
        <v>37.71298285</v>
      </c>
      <c r="P236" s="36">
        <f t="shared" si="47"/>
        <v>39.59863199</v>
      </c>
      <c r="Q236" s="36">
        <f t="shared" si="47"/>
        <v>41.57856359</v>
      </c>
      <c r="R236" s="36">
        <f t="shared" si="47"/>
        <v>43.65749177</v>
      </c>
      <c r="S236" s="36">
        <f t="shared" si="47"/>
        <v>45.84036636</v>
      </c>
      <c r="T236" s="36">
        <f t="shared" si="47"/>
        <v>48.13238467</v>
      </c>
      <c r="U236" s="36">
        <f t="shared" si="47"/>
        <v>50.53900391</v>
      </c>
      <c r="V236" s="36">
        <f t="shared" si="47"/>
        <v>53.0659541</v>
      </c>
      <c r="W236" s="36">
        <f t="shared" si="47"/>
        <v>55.71925181</v>
      </c>
      <c r="X236" s="36">
        <f t="shared" si="47"/>
        <v>58.5052144</v>
      </c>
      <c r="Y236" s="36">
        <f t="shared" si="47"/>
        <v>61.43047512</v>
      </c>
      <c r="Z236" s="36">
        <f t="shared" si="47"/>
        <v>64.50199887</v>
      </c>
      <c r="AA236" s="36">
        <f t="shared" si="47"/>
        <v>67.72709882</v>
      </c>
      <c r="AB236" s="36">
        <f t="shared" si="47"/>
        <v>71.11345376</v>
      </c>
      <c r="AC236" s="36">
        <f t="shared" si="47"/>
        <v>74.66912645</v>
      </c>
      <c r="AD236" s="36">
        <f t="shared" si="47"/>
        <v>78.40258277</v>
      </c>
      <c r="AE236" s="36">
        <f t="shared" si="47"/>
        <v>82.32271191</v>
      </c>
      <c r="AF236" s="36"/>
      <c r="AG236" s="36"/>
      <c r="AH236" s="36"/>
      <c r="AI236" s="36"/>
      <c r="AJ236" s="36"/>
    </row>
    <row r="237" ht="15.75" customHeight="1">
      <c r="A237" s="370" t="s">
        <v>218</v>
      </c>
      <c r="B237" s="12">
        <v>0.0</v>
      </c>
      <c r="C237" s="12">
        <v>0.0</v>
      </c>
      <c r="D237" s="12">
        <v>0.0</v>
      </c>
      <c r="E237" s="12">
        <v>0.0</v>
      </c>
      <c r="F237" s="12">
        <v>0.0</v>
      </c>
      <c r="G237" s="12">
        <v>0.0</v>
      </c>
      <c r="H237" s="12">
        <v>0.0</v>
      </c>
      <c r="I237" s="12">
        <v>0.0</v>
      </c>
      <c r="J237" s="12">
        <v>0.0</v>
      </c>
      <c r="K237" s="12">
        <v>0.0</v>
      </c>
      <c r="L237" s="12">
        <v>0.0</v>
      </c>
      <c r="M237" s="12">
        <v>0.0</v>
      </c>
      <c r="N237" s="12">
        <v>0.0</v>
      </c>
      <c r="O237" s="12">
        <v>0.0</v>
      </c>
      <c r="P237" s="12">
        <v>0.0</v>
      </c>
      <c r="Q237" s="12">
        <v>0.0</v>
      </c>
      <c r="R237" s="12">
        <v>0.0</v>
      </c>
      <c r="S237" s="12">
        <v>0.0</v>
      </c>
      <c r="T237" s="12">
        <v>0.0</v>
      </c>
      <c r="U237" s="12">
        <v>0.0</v>
      </c>
      <c r="V237" s="12">
        <v>0.0</v>
      </c>
      <c r="W237" s="12">
        <v>0.0</v>
      </c>
      <c r="X237" s="12">
        <v>0.0</v>
      </c>
      <c r="Y237" s="12">
        <v>0.0</v>
      </c>
      <c r="Z237" s="12">
        <v>0.0</v>
      </c>
      <c r="AA237" s="12">
        <v>0.0</v>
      </c>
      <c r="AB237" s="12">
        <v>0.0</v>
      </c>
      <c r="AC237" s="12">
        <v>0.0</v>
      </c>
      <c r="AD237" s="12">
        <v>0.0</v>
      </c>
      <c r="AE237" s="12">
        <v>0.0</v>
      </c>
      <c r="AF237" s="36"/>
      <c r="AG237" s="36"/>
      <c r="AH237" s="36"/>
      <c r="AI237" s="36"/>
      <c r="AJ237" s="36"/>
    </row>
    <row r="238" ht="15.0" customHeight="1">
      <c r="A238" s="222" t="s">
        <v>561</v>
      </c>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c r="AA238" s="36"/>
      <c r="AB238" s="36"/>
      <c r="AC238" s="36"/>
      <c r="AD238" s="36"/>
      <c r="AE238" s="36"/>
      <c r="AF238" s="36"/>
      <c r="AG238" s="36"/>
      <c r="AH238" s="36"/>
      <c r="AI238" s="36"/>
      <c r="AJ238" s="36"/>
    </row>
    <row r="239" ht="15.75" customHeight="1">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c r="AA239" s="36"/>
      <c r="AB239" s="36"/>
      <c r="AC239" s="36"/>
      <c r="AD239" s="36"/>
      <c r="AE239" s="36"/>
      <c r="AF239" s="36"/>
      <c r="AG239" s="36"/>
      <c r="AH239" s="36"/>
      <c r="AI239" s="36"/>
      <c r="AJ239" s="36"/>
    </row>
    <row r="240" ht="15.0" customHeight="1">
      <c r="A240" s="36" t="s">
        <v>215</v>
      </c>
      <c r="B240" s="36">
        <v>1.0</v>
      </c>
      <c r="C240" s="36">
        <v>2.0</v>
      </c>
      <c r="D240" s="36">
        <v>3.0</v>
      </c>
      <c r="E240" s="36">
        <v>4.0</v>
      </c>
      <c r="F240" s="36">
        <v>5.0</v>
      </c>
      <c r="G240" s="36">
        <v>6.0</v>
      </c>
      <c r="H240" s="36">
        <v>7.0</v>
      </c>
      <c r="I240" s="36">
        <v>8.0</v>
      </c>
      <c r="J240" s="36">
        <v>9.0</v>
      </c>
      <c r="K240" s="36">
        <v>10.0</v>
      </c>
      <c r="L240" s="36">
        <v>11.0</v>
      </c>
      <c r="M240" s="36">
        <v>12.0</v>
      </c>
      <c r="N240" s="36">
        <v>13.0</v>
      </c>
      <c r="O240" s="36">
        <v>14.0</v>
      </c>
      <c r="P240" s="36">
        <v>15.0</v>
      </c>
      <c r="Q240" s="36">
        <v>16.0</v>
      </c>
      <c r="R240" s="36">
        <v>17.0</v>
      </c>
      <c r="S240" s="36">
        <v>18.0</v>
      </c>
      <c r="T240" s="36">
        <v>19.0</v>
      </c>
      <c r="U240" s="36">
        <v>20.0</v>
      </c>
      <c r="V240" s="36">
        <v>21.0</v>
      </c>
      <c r="W240" s="36">
        <v>22.0</v>
      </c>
      <c r="X240" s="36">
        <v>23.0</v>
      </c>
      <c r="Y240" s="36">
        <v>24.0</v>
      </c>
      <c r="Z240" s="36">
        <v>25.0</v>
      </c>
      <c r="AA240" s="36">
        <v>26.0</v>
      </c>
      <c r="AB240" s="36">
        <v>27.0</v>
      </c>
      <c r="AC240" s="36">
        <v>28.0</v>
      </c>
      <c r="AD240" s="36">
        <v>29.0</v>
      </c>
      <c r="AE240" s="36">
        <v>30.0</v>
      </c>
      <c r="AF240" s="36"/>
      <c r="AG240" s="36"/>
      <c r="AH240" s="36"/>
      <c r="AI240" s="36"/>
      <c r="AJ240" s="36"/>
    </row>
    <row r="241" ht="13.5" customHeight="1">
      <c r="A241" s="12" t="s">
        <v>217</v>
      </c>
      <c r="B241" s="36">
        <v>20.0</v>
      </c>
      <c r="C241" s="36">
        <f t="shared" ref="C241:AE241" si="48">B241*1.05</f>
        <v>21</v>
      </c>
      <c r="D241" s="36">
        <f t="shared" si="48"/>
        <v>22.05</v>
      </c>
      <c r="E241" s="36">
        <f t="shared" si="48"/>
        <v>23.1525</v>
      </c>
      <c r="F241" s="36">
        <f t="shared" si="48"/>
        <v>24.310125</v>
      </c>
      <c r="G241" s="36">
        <f t="shared" si="48"/>
        <v>25.52563125</v>
      </c>
      <c r="H241" s="36">
        <f t="shared" si="48"/>
        <v>26.80191281</v>
      </c>
      <c r="I241" s="36">
        <f t="shared" si="48"/>
        <v>28.14200845</v>
      </c>
      <c r="J241" s="36">
        <f t="shared" si="48"/>
        <v>29.54910888</v>
      </c>
      <c r="K241" s="36">
        <f t="shared" si="48"/>
        <v>31.02656432</v>
      </c>
      <c r="L241" s="36">
        <f t="shared" si="48"/>
        <v>32.57789254</v>
      </c>
      <c r="M241" s="36">
        <f t="shared" si="48"/>
        <v>34.20678716</v>
      </c>
      <c r="N241" s="36">
        <f t="shared" si="48"/>
        <v>35.91712652</v>
      </c>
      <c r="O241" s="36">
        <f t="shared" si="48"/>
        <v>37.71298285</v>
      </c>
      <c r="P241" s="36">
        <f t="shared" si="48"/>
        <v>39.59863199</v>
      </c>
      <c r="Q241" s="36">
        <f t="shared" si="48"/>
        <v>41.57856359</v>
      </c>
      <c r="R241" s="36">
        <f t="shared" si="48"/>
        <v>43.65749177</v>
      </c>
      <c r="S241" s="36">
        <f t="shared" si="48"/>
        <v>45.84036636</v>
      </c>
      <c r="T241" s="36">
        <f t="shared" si="48"/>
        <v>48.13238467</v>
      </c>
      <c r="U241" s="36">
        <f t="shared" si="48"/>
        <v>50.53900391</v>
      </c>
      <c r="V241" s="36">
        <f t="shared" si="48"/>
        <v>53.0659541</v>
      </c>
      <c r="W241" s="36">
        <f t="shared" si="48"/>
        <v>55.71925181</v>
      </c>
      <c r="X241" s="36">
        <f t="shared" si="48"/>
        <v>58.5052144</v>
      </c>
      <c r="Y241" s="36">
        <f t="shared" si="48"/>
        <v>61.43047512</v>
      </c>
      <c r="Z241" s="36">
        <f t="shared" si="48"/>
        <v>64.50199887</v>
      </c>
      <c r="AA241" s="36">
        <f t="shared" si="48"/>
        <v>67.72709882</v>
      </c>
      <c r="AB241" s="36">
        <f t="shared" si="48"/>
        <v>71.11345376</v>
      </c>
      <c r="AC241" s="36">
        <f t="shared" si="48"/>
        <v>74.66912645</v>
      </c>
      <c r="AD241" s="36">
        <f t="shared" si="48"/>
        <v>78.40258277</v>
      </c>
      <c r="AE241" s="36">
        <f t="shared" si="48"/>
        <v>82.32271191</v>
      </c>
      <c r="AF241" s="36"/>
      <c r="AG241" s="36"/>
      <c r="AH241" s="36"/>
      <c r="AI241" s="36"/>
      <c r="AJ241" s="36"/>
    </row>
    <row r="242" ht="15.75" customHeight="1">
      <c r="A242" s="370" t="s">
        <v>218</v>
      </c>
      <c r="B242" s="12">
        <v>0.0</v>
      </c>
      <c r="C242" s="12">
        <v>0.0</v>
      </c>
      <c r="D242" s="12">
        <v>0.0</v>
      </c>
      <c r="E242" s="12">
        <v>0.0</v>
      </c>
      <c r="F242" s="12">
        <v>0.0</v>
      </c>
      <c r="G242" s="12">
        <v>0.0</v>
      </c>
      <c r="H242" s="12">
        <v>0.0</v>
      </c>
      <c r="I242" s="12">
        <v>0.0</v>
      </c>
      <c r="J242" s="12">
        <v>0.0</v>
      </c>
      <c r="K242" s="12">
        <v>0.0</v>
      </c>
      <c r="L242" s="12">
        <v>0.0</v>
      </c>
      <c r="M242" s="12">
        <v>0.0</v>
      </c>
      <c r="N242" s="12">
        <v>0.0</v>
      </c>
      <c r="O242" s="12">
        <v>0.0</v>
      </c>
      <c r="P242" s="12">
        <v>0.0</v>
      </c>
      <c r="Q242" s="12">
        <v>0.0</v>
      </c>
      <c r="R242" s="12">
        <v>0.0</v>
      </c>
      <c r="S242" s="12">
        <v>0.0</v>
      </c>
      <c r="T242" s="12">
        <v>0.0</v>
      </c>
      <c r="U242" s="12">
        <v>0.0</v>
      </c>
      <c r="V242" s="12">
        <v>0.0</v>
      </c>
      <c r="W242" s="12">
        <v>0.0</v>
      </c>
      <c r="X242" s="12">
        <v>0.0</v>
      </c>
      <c r="Y242" s="12">
        <v>0.0</v>
      </c>
      <c r="Z242" s="12">
        <v>0.0</v>
      </c>
      <c r="AA242" s="12">
        <v>0.0</v>
      </c>
      <c r="AB242" s="12">
        <v>0.0</v>
      </c>
      <c r="AC242" s="12">
        <v>0.0</v>
      </c>
      <c r="AD242" s="12">
        <v>0.0</v>
      </c>
      <c r="AE242" s="12">
        <v>0.0</v>
      </c>
      <c r="AF242" s="36"/>
      <c r="AG242" s="36"/>
      <c r="AH242" s="36"/>
      <c r="AI242" s="36"/>
      <c r="AJ242" s="36"/>
    </row>
    <row r="243" ht="15.0" customHeight="1">
      <c r="A243" s="222" t="s">
        <v>565</v>
      </c>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c r="AA243" s="36"/>
      <c r="AB243" s="36"/>
      <c r="AC243" s="36"/>
      <c r="AD243" s="36"/>
      <c r="AE243" s="36"/>
      <c r="AF243" s="36"/>
      <c r="AG243" s="36"/>
      <c r="AH243" s="36"/>
      <c r="AI243" s="36"/>
      <c r="AJ243" s="36"/>
    </row>
    <row r="244" ht="15.75" customHeight="1">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c r="AA244" s="36"/>
      <c r="AB244" s="36"/>
      <c r="AC244" s="36"/>
      <c r="AD244" s="36"/>
      <c r="AE244" s="36"/>
      <c r="AF244" s="36"/>
      <c r="AG244" s="36"/>
      <c r="AH244" s="36"/>
      <c r="AI244" s="36"/>
      <c r="AJ244" s="36"/>
    </row>
    <row r="245" ht="15.0" customHeight="1">
      <c r="A245" s="36" t="s">
        <v>215</v>
      </c>
      <c r="B245" s="36">
        <v>1.0</v>
      </c>
      <c r="C245" s="36">
        <v>2.0</v>
      </c>
      <c r="D245" s="36">
        <v>3.0</v>
      </c>
      <c r="E245" s="36">
        <v>4.0</v>
      </c>
      <c r="F245" s="36">
        <v>5.0</v>
      </c>
      <c r="G245" s="36">
        <v>6.0</v>
      </c>
      <c r="H245" s="36">
        <v>7.0</v>
      </c>
      <c r="I245" s="36">
        <v>8.0</v>
      </c>
      <c r="J245" s="36">
        <v>9.0</v>
      </c>
      <c r="K245" s="36">
        <v>10.0</v>
      </c>
      <c r="L245" s="36">
        <v>11.0</v>
      </c>
      <c r="M245" s="36">
        <v>12.0</v>
      </c>
      <c r="N245" s="36">
        <v>13.0</v>
      </c>
      <c r="O245" s="36">
        <v>14.0</v>
      </c>
      <c r="P245" s="36">
        <v>15.0</v>
      </c>
      <c r="Q245" s="36">
        <v>16.0</v>
      </c>
      <c r="R245" s="36">
        <v>17.0</v>
      </c>
      <c r="S245" s="36">
        <v>18.0</v>
      </c>
      <c r="T245" s="36">
        <v>19.0</v>
      </c>
      <c r="U245" s="36">
        <v>20.0</v>
      </c>
      <c r="V245" s="36">
        <v>21.0</v>
      </c>
      <c r="W245" s="36">
        <v>22.0</v>
      </c>
      <c r="X245" s="36">
        <v>23.0</v>
      </c>
      <c r="Y245" s="36">
        <v>24.0</v>
      </c>
      <c r="Z245" s="36">
        <v>25.0</v>
      </c>
      <c r="AA245" s="36">
        <v>26.0</v>
      </c>
      <c r="AB245" s="36">
        <v>27.0</v>
      </c>
      <c r="AC245" s="36">
        <v>28.0</v>
      </c>
      <c r="AD245" s="36">
        <v>29.0</v>
      </c>
      <c r="AE245" s="36">
        <v>30.0</v>
      </c>
      <c r="AF245" s="36"/>
      <c r="AG245" s="36"/>
      <c r="AH245" s="36"/>
      <c r="AI245" s="36"/>
      <c r="AJ245" s="36"/>
    </row>
    <row r="246" ht="13.5" customHeight="1">
      <c r="A246" s="12" t="s">
        <v>217</v>
      </c>
      <c r="B246" s="36">
        <v>20.0</v>
      </c>
      <c r="C246" s="36">
        <f t="shared" ref="C246:AE246" si="49">B246*1.05</f>
        <v>21</v>
      </c>
      <c r="D246" s="36">
        <f t="shared" si="49"/>
        <v>22.05</v>
      </c>
      <c r="E246" s="36">
        <f t="shared" si="49"/>
        <v>23.1525</v>
      </c>
      <c r="F246" s="36">
        <f t="shared" si="49"/>
        <v>24.310125</v>
      </c>
      <c r="G246" s="36">
        <f t="shared" si="49"/>
        <v>25.52563125</v>
      </c>
      <c r="H246" s="36">
        <f t="shared" si="49"/>
        <v>26.80191281</v>
      </c>
      <c r="I246" s="36">
        <f t="shared" si="49"/>
        <v>28.14200845</v>
      </c>
      <c r="J246" s="36">
        <f t="shared" si="49"/>
        <v>29.54910888</v>
      </c>
      <c r="K246" s="36">
        <f t="shared" si="49"/>
        <v>31.02656432</v>
      </c>
      <c r="L246" s="36">
        <f t="shared" si="49"/>
        <v>32.57789254</v>
      </c>
      <c r="M246" s="36">
        <f t="shared" si="49"/>
        <v>34.20678716</v>
      </c>
      <c r="N246" s="36">
        <f t="shared" si="49"/>
        <v>35.91712652</v>
      </c>
      <c r="O246" s="36">
        <f t="shared" si="49"/>
        <v>37.71298285</v>
      </c>
      <c r="P246" s="36">
        <f t="shared" si="49"/>
        <v>39.59863199</v>
      </c>
      <c r="Q246" s="36">
        <f t="shared" si="49"/>
        <v>41.57856359</v>
      </c>
      <c r="R246" s="36">
        <f t="shared" si="49"/>
        <v>43.65749177</v>
      </c>
      <c r="S246" s="36">
        <f t="shared" si="49"/>
        <v>45.84036636</v>
      </c>
      <c r="T246" s="36">
        <f t="shared" si="49"/>
        <v>48.13238467</v>
      </c>
      <c r="U246" s="36">
        <f t="shared" si="49"/>
        <v>50.53900391</v>
      </c>
      <c r="V246" s="36">
        <f t="shared" si="49"/>
        <v>53.0659541</v>
      </c>
      <c r="W246" s="36">
        <f t="shared" si="49"/>
        <v>55.71925181</v>
      </c>
      <c r="X246" s="36">
        <f t="shared" si="49"/>
        <v>58.5052144</v>
      </c>
      <c r="Y246" s="36">
        <f t="shared" si="49"/>
        <v>61.43047512</v>
      </c>
      <c r="Z246" s="36">
        <f t="shared" si="49"/>
        <v>64.50199887</v>
      </c>
      <c r="AA246" s="36">
        <f t="shared" si="49"/>
        <v>67.72709882</v>
      </c>
      <c r="AB246" s="36">
        <f t="shared" si="49"/>
        <v>71.11345376</v>
      </c>
      <c r="AC246" s="36">
        <f t="shared" si="49"/>
        <v>74.66912645</v>
      </c>
      <c r="AD246" s="36">
        <f t="shared" si="49"/>
        <v>78.40258277</v>
      </c>
      <c r="AE246" s="36">
        <f t="shared" si="49"/>
        <v>82.32271191</v>
      </c>
      <c r="AF246" s="36"/>
      <c r="AG246" s="36"/>
      <c r="AH246" s="36"/>
      <c r="AI246" s="36"/>
      <c r="AJ246" s="36"/>
    </row>
    <row r="247" ht="15.75" customHeight="1">
      <c r="A247" s="370" t="s">
        <v>218</v>
      </c>
      <c r="B247" s="12">
        <v>0.0</v>
      </c>
      <c r="C247" s="12">
        <v>0.0</v>
      </c>
      <c r="D247" s="12">
        <v>0.0</v>
      </c>
      <c r="E247" s="12">
        <v>0.0</v>
      </c>
      <c r="F247" s="12">
        <v>0.0</v>
      </c>
      <c r="G247" s="12">
        <v>0.0</v>
      </c>
      <c r="H247" s="12">
        <v>0.0</v>
      </c>
      <c r="I247" s="12">
        <v>0.0</v>
      </c>
      <c r="J247" s="12">
        <v>0.0</v>
      </c>
      <c r="K247" s="12">
        <v>0.0</v>
      </c>
      <c r="L247" s="12">
        <v>0.0</v>
      </c>
      <c r="M247" s="12">
        <v>0.0</v>
      </c>
      <c r="N247" s="12">
        <v>0.0</v>
      </c>
      <c r="O247" s="12">
        <v>0.0</v>
      </c>
      <c r="P247" s="12">
        <v>0.0</v>
      </c>
      <c r="Q247" s="12">
        <v>0.0</v>
      </c>
      <c r="R247" s="12">
        <v>0.0</v>
      </c>
      <c r="S247" s="12">
        <v>0.0</v>
      </c>
      <c r="T247" s="12">
        <v>0.0</v>
      </c>
      <c r="U247" s="12">
        <v>0.0</v>
      </c>
      <c r="V247" s="12">
        <v>0.0</v>
      </c>
      <c r="W247" s="12">
        <v>0.0</v>
      </c>
      <c r="X247" s="12">
        <v>0.0</v>
      </c>
      <c r="Y247" s="12">
        <v>0.0</v>
      </c>
      <c r="Z247" s="12">
        <v>0.0</v>
      </c>
      <c r="AA247" s="12">
        <v>0.0</v>
      </c>
      <c r="AB247" s="12">
        <v>0.0</v>
      </c>
      <c r="AC247" s="12">
        <v>0.0</v>
      </c>
      <c r="AD247" s="12">
        <v>0.0</v>
      </c>
      <c r="AE247" s="12">
        <v>0.0</v>
      </c>
      <c r="AF247" s="36"/>
      <c r="AG247" s="36"/>
      <c r="AH247" s="36"/>
      <c r="AI247" s="36"/>
      <c r="AJ247" s="36"/>
    </row>
    <row r="248" ht="15.0" customHeight="1">
      <c r="A248" s="222" t="s">
        <v>569</v>
      </c>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c r="AA248" s="36"/>
      <c r="AB248" s="36"/>
      <c r="AC248" s="36"/>
      <c r="AD248" s="36"/>
      <c r="AE248" s="36"/>
      <c r="AF248" s="36"/>
      <c r="AG248" s="36"/>
      <c r="AH248" s="36"/>
      <c r="AI248" s="36"/>
      <c r="AJ248" s="36"/>
    </row>
    <row r="249" ht="15.75" customHeight="1">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c r="AA249" s="36"/>
      <c r="AB249" s="36"/>
      <c r="AC249" s="36"/>
      <c r="AD249" s="36"/>
      <c r="AE249" s="36"/>
      <c r="AF249" s="36"/>
      <c r="AG249" s="36"/>
      <c r="AH249" s="36"/>
      <c r="AI249" s="36"/>
      <c r="AJ249" s="36"/>
    </row>
    <row r="250" ht="15.0" customHeight="1">
      <c r="A250" s="36" t="s">
        <v>215</v>
      </c>
      <c r="B250" s="36">
        <v>1.0</v>
      </c>
      <c r="C250" s="36">
        <v>2.0</v>
      </c>
      <c r="D250" s="36">
        <v>3.0</v>
      </c>
      <c r="E250" s="36">
        <v>4.0</v>
      </c>
      <c r="F250" s="36">
        <v>5.0</v>
      </c>
      <c r="G250" s="36">
        <v>6.0</v>
      </c>
      <c r="H250" s="36">
        <v>7.0</v>
      </c>
      <c r="I250" s="36">
        <v>8.0</v>
      </c>
      <c r="J250" s="36">
        <v>9.0</v>
      </c>
      <c r="K250" s="36">
        <v>10.0</v>
      </c>
      <c r="L250" s="36">
        <v>11.0</v>
      </c>
      <c r="M250" s="36">
        <v>12.0</v>
      </c>
      <c r="N250" s="36">
        <v>13.0</v>
      </c>
      <c r="O250" s="36">
        <v>14.0</v>
      </c>
      <c r="P250" s="36">
        <v>15.0</v>
      </c>
      <c r="Q250" s="36">
        <v>16.0</v>
      </c>
      <c r="R250" s="36">
        <v>17.0</v>
      </c>
      <c r="S250" s="36">
        <v>18.0</v>
      </c>
      <c r="T250" s="36">
        <v>19.0</v>
      </c>
      <c r="U250" s="36">
        <v>20.0</v>
      </c>
      <c r="V250" s="36">
        <v>21.0</v>
      </c>
      <c r="W250" s="36">
        <v>22.0</v>
      </c>
      <c r="X250" s="36">
        <v>23.0</v>
      </c>
      <c r="Y250" s="36">
        <v>24.0</v>
      </c>
      <c r="Z250" s="36">
        <v>25.0</v>
      </c>
      <c r="AA250" s="36">
        <v>26.0</v>
      </c>
      <c r="AB250" s="36">
        <v>27.0</v>
      </c>
      <c r="AC250" s="36">
        <v>28.0</v>
      </c>
      <c r="AD250" s="36">
        <v>29.0</v>
      </c>
      <c r="AE250" s="36">
        <v>30.0</v>
      </c>
      <c r="AF250" s="36"/>
      <c r="AG250" s="36"/>
      <c r="AH250" s="36"/>
      <c r="AI250" s="36"/>
      <c r="AJ250" s="36"/>
    </row>
    <row r="251" ht="13.5" customHeight="1">
      <c r="A251" s="12" t="s">
        <v>217</v>
      </c>
      <c r="B251" s="36">
        <v>20.0</v>
      </c>
      <c r="C251" s="36">
        <f t="shared" ref="C251:AE251" si="50">B251*1.05</f>
        <v>21</v>
      </c>
      <c r="D251" s="36">
        <f t="shared" si="50"/>
        <v>22.05</v>
      </c>
      <c r="E251" s="36">
        <f t="shared" si="50"/>
        <v>23.1525</v>
      </c>
      <c r="F251" s="36">
        <f t="shared" si="50"/>
        <v>24.310125</v>
      </c>
      <c r="G251" s="36">
        <f t="shared" si="50"/>
        <v>25.52563125</v>
      </c>
      <c r="H251" s="36">
        <f t="shared" si="50"/>
        <v>26.80191281</v>
      </c>
      <c r="I251" s="36">
        <f t="shared" si="50"/>
        <v>28.14200845</v>
      </c>
      <c r="J251" s="36">
        <f t="shared" si="50"/>
        <v>29.54910888</v>
      </c>
      <c r="K251" s="36">
        <f t="shared" si="50"/>
        <v>31.02656432</v>
      </c>
      <c r="L251" s="36">
        <f t="shared" si="50"/>
        <v>32.57789254</v>
      </c>
      <c r="M251" s="36">
        <f t="shared" si="50"/>
        <v>34.20678716</v>
      </c>
      <c r="N251" s="36">
        <f t="shared" si="50"/>
        <v>35.91712652</v>
      </c>
      <c r="O251" s="36">
        <f t="shared" si="50"/>
        <v>37.71298285</v>
      </c>
      <c r="P251" s="36">
        <f t="shared" si="50"/>
        <v>39.59863199</v>
      </c>
      <c r="Q251" s="36">
        <f t="shared" si="50"/>
        <v>41.57856359</v>
      </c>
      <c r="R251" s="36">
        <f t="shared" si="50"/>
        <v>43.65749177</v>
      </c>
      <c r="S251" s="36">
        <f t="shared" si="50"/>
        <v>45.84036636</v>
      </c>
      <c r="T251" s="36">
        <f t="shared" si="50"/>
        <v>48.13238467</v>
      </c>
      <c r="U251" s="36">
        <f t="shared" si="50"/>
        <v>50.53900391</v>
      </c>
      <c r="V251" s="36">
        <f t="shared" si="50"/>
        <v>53.0659541</v>
      </c>
      <c r="W251" s="36">
        <f t="shared" si="50"/>
        <v>55.71925181</v>
      </c>
      <c r="X251" s="36">
        <f t="shared" si="50"/>
        <v>58.5052144</v>
      </c>
      <c r="Y251" s="36">
        <f t="shared" si="50"/>
        <v>61.43047512</v>
      </c>
      <c r="Z251" s="36">
        <f t="shared" si="50"/>
        <v>64.50199887</v>
      </c>
      <c r="AA251" s="36">
        <f t="shared" si="50"/>
        <v>67.72709882</v>
      </c>
      <c r="AB251" s="36">
        <f t="shared" si="50"/>
        <v>71.11345376</v>
      </c>
      <c r="AC251" s="36">
        <f t="shared" si="50"/>
        <v>74.66912645</v>
      </c>
      <c r="AD251" s="36">
        <f t="shared" si="50"/>
        <v>78.40258277</v>
      </c>
      <c r="AE251" s="36">
        <f t="shared" si="50"/>
        <v>82.32271191</v>
      </c>
      <c r="AF251" s="36"/>
      <c r="AG251" s="36"/>
      <c r="AH251" s="36"/>
      <c r="AI251" s="36"/>
      <c r="AJ251" s="36"/>
    </row>
    <row r="252" ht="15.75" customHeight="1">
      <c r="A252" s="370" t="s">
        <v>218</v>
      </c>
      <c r="B252" s="12">
        <v>0.0</v>
      </c>
      <c r="C252" s="12">
        <v>0.0</v>
      </c>
      <c r="D252" s="12">
        <v>0.0</v>
      </c>
      <c r="E252" s="12">
        <v>0.0</v>
      </c>
      <c r="F252" s="12">
        <v>0.0</v>
      </c>
      <c r="G252" s="12">
        <v>0.0</v>
      </c>
      <c r="H252" s="12">
        <v>0.0</v>
      </c>
      <c r="I252" s="12">
        <v>0.0</v>
      </c>
      <c r="J252" s="12">
        <v>0.0</v>
      </c>
      <c r="K252" s="12">
        <v>0.0</v>
      </c>
      <c r="L252" s="12">
        <v>0.0</v>
      </c>
      <c r="M252" s="12">
        <v>0.0</v>
      </c>
      <c r="N252" s="12">
        <v>0.0</v>
      </c>
      <c r="O252" s="12">
        <v>0.0</v>
      </c>
      <c r="P252" s="12">
        <v>0.0</v>
      </c>
      <c r="Q252" s="12">
        <v>0.0</v>
      </c>
      <c r="R252" s="12">
        <v>0.0</v>
      </c>
      <c r="S252" s="12">
        <v>0.0</v>
      </c>
      <c r="T252" s="12">
        <v>0.0</v>
      </c>
      <c r="U252" s="12">
        <v>0.0</v>
      </c>
      <c r="V252" s="12">
        <v>0.0</v>
      </c>
      <c r="W252" s="12">
        <v>0.0</v>
      </c>
      <c r="X252" s="12">
        <v>0.0</v>
      </c>
      <c r="Y252" s="12">
        <v>0.0</v>
      </c>
      <c r="Z252" s="12">
        <v>0.0</v>
      </c>
      <c r="AA252" s="12">
        <v>0.0</v>
      </c>
      <c r="AB252" s="12">
        <v>0.0</v>
      </c>
      <c r="AC252" s="12">
        <v>0.0</v>
      </c>
      <c r="AD252" s="12">
        <v>0.0</v>
      </c>
      <c r="AE252" s="12">
        <v>0.0</v>
      </c>
      <c r="AF252" s="36"/>
      <c r="AG252" s="36"/>
      <c r="AH252" s="36"/>
      <c r="AI252" s="36"/>
      <c r="AJ252" s="36"/>
    </row>
    <row r="253" ht="15.0" customHeight="1">
      <c r="A253" s="222" t="s">
        <v>598</v>
      </c>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c r="AA253" s="36"/>
      <c r="AB253" s="36"/>
      <c r="AC253" s="36"/>
      <c r="AD253" s="36"/>
      <c r="AE253" s="36"/>
      <c r="AF253" s="36"/>
      <c r="AG253" s="36"/>
      <c r="AH253" s="36"/>
      <c r="AI253" s="36"/>
      <c r="AJ253" s="36"/>
    </row>
    <row r="254" ht="15.75" customHeight="1">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c r="AA254" s="36"/>
      <c r="AB254" s="36"/>
      <c r="AC254" s="36"/>
      <c r="AD254" s="36"/>
      <c r="AE254" s="36"/>
      <c r="AF254" s="36"/>
      <c r="AG254" s="36"/>
      <c r="AH254" s="36"/>
      <c r="AI254" s="36"/>
      <c r="AJ254" s="36"/>
    </row>
    <row r="255" ht="15.0" customHeight="1">
      <c r="A255" s="36" t="s">
        <v>215</v>
      </c>
      <c r="B255" s="36">
        <v>1.0</v>
      </c>
      <c r="C255" s="36">
        <v>2.0</v>
      </c>
      <c r="D255" s="36">
        <v>3.0</v>
      </c>
      <c r="E255" s="36">
        <v>4.0</v>
      </c>
      <c r="F255" s="36">
        <v>5.0</v>
      </c>
      <c r="G255" s="36">
        <v>6.0</v>
      </c>
      <c r="H255" s="36">
        <v>7.0</v>
      </c>
      <c r="I255" s="36">
        <v>8.0</v>
      </c>
      <c r="J255" s="36">
        <v>9.0</v>
      </c>
      <c r="K255" s="36">
        <v>10.0</v>
      </c>
      <c r="L255" s="36">
        <v>11.0</v>
      </c>
      <c r="M255" s="36">
        <v>12.0</v>
      </c>
      <c r="N255" s="36">
        <v>13.0</v>
      </c>
      <c r="O255" s="36">
        <v>14.0</v>
      </c>
      <c r="P255" s="36">
        <v>15.0</v>
      </c>
      <c r="Q255" s="36">
        <v>16.0</v>
      </c>
      <c r="R255" s="36">
        <v>17.0</v>
      </c>
      <c r="S255" s="36">
        <v>18.0</v>
      </c>
      <c r="T255" s="36">
        <v>19.0</v>
      </c>
      <c r="U255" s="36">
        <v>20.0</v>
      </c>
      <c r="V255" s="36">
        <v>21.0</v>
      </c>
      <c r="W255" s="36">
        <v>22.0</v>
      </c>
      <c r="X255" s="36">
        <v>23.0</v>
      </c>
      <c r="Y255" s="36">
        <v>24.0</v>
      </c>
      <c r="Z255" s="36">
        <v>25.0</v>
      </c>
      <c r="AA255" s="36">
        <v>26.0</v>
      </c>
      <c r="AB255" s="36">
        <v>27.0</v>
      </c>
      <c r="AC255" s="36">
        <v>28.0</v>
      </c>
      <c r="AD255" s="36">
        <v>29.0</v>
      </c>
      <c r="AE255" s="36">
        <v>30.0</v>
      </c>
      <c r="AF255" s="36"/>
      <c r="AG255" s="36"/>
      <c r="AH255" s="36"/>
      <c r="AI255" s="36"/>
      <c r="AJ255" s="36"/>
    </row>
    <row r="256" ht="13.5" customHeight="1">
      <c r="A256" s="12" t="s">
        <v>217</v>
      </c>
      <c r="B256" s="36">
        <v>20.0</v>
      </c>
      <c r="C256" s="36">
        <f t="shared" ref="C256:AE256" si="51">B256*1.05</f>
        <v>21</v>
      </c>
      <c r="D256" s="36">
        <f t="shared" si="51"/>
        <v>22.05</v>
      </c>
      <c r="E256" s="36">
        <f t="shared" si="51"/>
        <v>23.1525</v>
      </c>
      <c r="F256" s="36">
        <f t="shared" si="51"/>
        <v>24.310125</v>
      </c>
      <c r="G256" s="36">
        <f t="shared" si="51"/>
        <v>25.52563125</v>
      </c>
      <c r="H256" s="36">
        <f t="shared" si="51"/>
        <v>26.80191281</v>
      </c>
      <c r="I256" s="36">
        <f t="shared" si="51"/>
        <v>28.14200845</v>
      </c>
      <c r="J256" s="36">
        <f t="shared" si="51"/>
        <v>29.54910888</v>
      </c>
      <c r="K256" s="36">
        <f t="shared" si="51"/>
        <v>31.02656432</v>
      </c>
      <c r="L256" s="36">
        <f t="shared" si="51"/>
        <v>32.57789254</v>
      </c>
      <c r="M256" s="36">
        <f t="shared" si="51"/>
        <v>34.20678716</v>
      </c>
      <c r="N256" s="36">
        <f t="shared" si="51"/>
        <v>35.91712652</v>
      </c>
      <c r="O256" s="36">
        <f t="shared" si="51"/>
        <v>37.71298285</v>
      </c>
      <c r="P256" s="36">
        <f t="shared" si="51"/>
        <v>39.59863199</v>
      </c>
      <c r="Q256" s="36">
        <f t="shared" si="51"/>
        <v>41.57856359</v>
      </c>
      <c r="R256" s="36">
        <f t="shared" si="51"/>
        <v>43.65749177</v>
      </c>
      <c r="S256" s="36">
        <f t="shared" si="51"/>
        <v>45.84036636</v>
      </c>
      <c r="T256" s="36">
        <f t="shared" si="51"/>
        <v>48.13238467</v>
      </c>
      <c r="U256" s="36">
        <f t="shared" si="51"/>
        <v>50.53900391</v>
      </c>
      <c r="V256" s="36">
        <f t="shared" si="51"/>
        <v>53.0659541</v>
      </c>
      <c r="W256" s="36">
        <f t="shared" si="51"/>
        <v>55.71925181</v>
      </c>
      <c r="X256" s="36">
        <f t="shared" si="51"/>
        <v>58.5052144</v>
      </c>
      <c r="Y256" s="36">
        <f t="shared" si="51"/>
        <v>61.43047512</v>
      </c>
      <c r="Z256" s="36">
        <f t="shared" si="51"/>
        <v>64.50199887</v>
      </c>
      <c r="AA256" s="36">
        <f t="shared" si="51"/>
        <v>67.72709882</v>
      </c>
      <c r="AB256" s="36">
        <f t="shared" si="51"/>
        <v>71.11345376</v>
      </c>
      <c r="AC256" s="36">
        <f t="shared" si="51"/>
        <v>74.66912645</v>
      </c>
      <c r="AD256" s="36">
        <f t="shared" si="51"/>
        <v>78.40258277</v>
      </c>
      <c r="AE256" s="36">
        <f t="shared" si="51"/>
        <v>82.32271191</v>
      </c>
      <c r="AF256" s="36"/>
      <c r="AG256" s="36"/>
      <c r="AH256" s="36"/>
      <c r="AI256" s="36"/>
      <c r="AJ256" s="36"/>
    </row>
    <row r="257" ht="15.75" customHeight="1">
      <c r="A257" s="370" t="s">
        <v>218</v>
      </c>
      <c r="B257" s="12">
        <v>0.0</v>
      </c>
      <c r="C257" s="12">
        <v>0.0</v>
      </c>
      <c r="D257" s="12">
        <v>0.0</v>
      </c>
      <c r="E257" s="12">
        <v>0.0</v>
      </c>
      <c r="F257" s="12">
        <v>0.0</v>
      </c>
      <c r="G257" s="12">
        <v>0.0</v>
      </c>
      <c r="H257" s="12">
        <v>0.0</v>
      </c>
      <c r="I257" s="12">
        <v>0.0</v>
      </c>
      <c r="J257" s="12">
        <v>0.0</v>
      </c>
      <c r="K257" s="12">
        <v>0.0</v>
      </c>
      <c r="L257" s="12">
        <v>0.0</v>
      </c>
      <c r="M257" s="12">
        <v>0.0</v>
      </c>
      <c r="N257" s="12">
        <v>0.0</v>
      </c>
      <c r="O257" s="12">
        <v>0.0</v>
      </c>
      <c r="P257" s="12">
        <v>0.0</v>
      </c>
      <c r="Q257" s="12">
        <v>0.0</v>
      </c>
      <c r="R257" s="12">
        <v>0.0</v>
      </c>
      <c r="S257" s="12">
        <v>0.0</v>
      </c>
      <c r="T257" s="12">
        <v>0.0</v>
      </c>
      <c r="U257" s="12">
        <v>0.0</v>
      </c>
      <c r="V257" s="12">
        <v>0.0</v>
      </c>
      <c r="W257" s="12">
        <v>0.0</v>
      </c>
      <c r="X257" s="12">
        <v>0.0</v>
      </c>
      <c r="Y257" s="12">
        <v>0.0</v>
      </c>
      <c r="Z257" s="12">
        <v>0.0</v>
      </c>
      <c r="AA257" s="12">
        <v>0.0</v>
      </c>
      <c r="AB257" s="12">
        <v>0.0</v>
      </c>
      <c r="AC257" s="12">
        <v>0.0</v>
      </c>
      <c r="AD257" s="12">
        <v>0.0</v>
      </c>
      <c r="AE257" s="12">
        <v>0.0</v>
      </c>
      <c r="AF257" s="36"/>
      <c r="AG257" s="36"/>
      <c r="AH257" s="36"/>
      <c r="AI257" s="36"/>
      <c r="AJ257" s="36"/>
    </row>
    <row r="258" ht="15.0" customHeight="1">
      <c r="A258" s="222" t="s">
        <v>522</v>
      </c>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c r="AA258" s="36"/>
      <c r="AB258" s="36"/>
      <c r="AC258" s="36"/>
      <c r="AD258" s="36"/>
      <c r="AE258" s="36"/>
      <c r="AF258" s="36"/>
      <c r="AG258" s="36"/>
      <c r="AH258" s="36"/>
      <c r="AI258" s="36"/>
      <c r="AJ258" s="36"/>
    </row>
    <row r="259" ht="15.75" customHeight="1">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c r="AA259" s="36"/>
      <c r="AB259" s="36"/>
      <c r="AC259" s="36"/>
      <c r="AD259" s="36"/>
      <c r="AE259" s="36"/>
      <c r="AF259" s="36"/>
      <c r="AG259" s="36"/>
      <c r="AH259" s="36"/>
      <c r="AI259" s="36"/>
      <c r="AJ259" s="36"/>
    </row>
    <row r="260" ht="15.0" customHeight="1">
      <c r="A260" s="36" t="s">
        <v>215</v>
      </c>
      <c r="B260" s="36">
        <v>1.0</v>
      </c>
      <c r="C260" s="36">
        <v>2.0</v>
      </c>
      <c r="D260" s="36">
        <v>3.0</v>
      </c>
      <c r="E260" s="36">
        <v>4.0</v>
      </c>
      <c r="F260" s="36">
        <v>5.0</v>
      </c>
      <c r="G260" s="36">
        <v>6.0</v>
      </c>
      <c r="H260" s="36">
        <v>7.0</v>
      </c>
      <c r="I260" s="36">
        <v>8.0</v>
      </c>
      <c r="J260" s="36">
        <v>9.0</v>
      </c>
      <c r="K260" s="36">
        <v>10.0</v>
      </c>
      <c r="L260" s="36">
        <v>11.0</v>
      </c>
      <c r="M260" s="36">
        <v>12.0</v>
      </c>
      <c r="N260" s="36">
        <v>13.0</v>
      </c>
      <c r="O260" s="36">
        <v>14.0</v>
      </c>
      <c r="P260" s="36">
        <v>15.0</v>
      </c>
      <c r="Q260" s="36">
        <v>16.0</v>
      </c>
      <c r="R260" s="36">
        <v>17.0</v>
      </c>
      <c r="S260" s="36">
        <v>18.0</v>
      </c>
      <c r="T260" s="36">
        <v>19.0</v>
      </c>
      <c r="U260" s="36">
        <v>20.0</v>
      </c>
      <c r="V260" s="36">
        <v>21.0</v>
      </c>
      <c r="W260" s="36">
        <v>22.0</v>
      </c>
      <c r="X260" s="36">
        <v>23.0</v>
      </c>
      <c r="Y260" s="36">
        <v>24.0</v>
      </c>
      <c r="Z260" s="36">
        <v>25.0</v>
      </c>
      <c r="AA260" s="36">
        <v>26.0</v>
      </c>
      <c r="AB260" s="36">
        <v>27.0</v>
      </c>
      <c r="AC260" s="36">
        <v>28.0</v>
      </c>
      <c r="AD260" s="36">
        <v>29.0</v>
      </c>
      <c r="AE260" s="36">
        <v>30.0</v>
      </c>
      <c r="AF260" s="36"/>
      <c r="AG260" s="36"/>
      <c r="AH260" s="36"/>
      <c r="AI260" s="36"/>
      <c r="AJ260" s="36"/>
    </row>
    <row r="261" ht="13.5" customHeight="1">
      <c r="A261" s="12" t="s">
        <v>217</v>
      </c>
      <c r="B261" s="36">
        <v>20.0</v>
      </c>
      <c r="C261" s="36">
        <f t="shared" ref="C261:AE261" si="52">B261*1.05</f>
        <v>21</v>
      </c>
      <c r="D261" s="36">
        <f t="shared" si="52"/>
        <v>22.05</v>
      </c>
      <c r="E261" s="36">
        <f t="shared" si="52"/>
        <v>23.1525</v>
      </c>
      <c r="F261" s="36">
        <f t="shared" si="52"/>
        <v>24.310125</v>
      </c>
      <c r="G261" s="36">
        <f t="shared" si="52"/>
        <v>25.52563125</v>
      </c>
      <c r="H261" s="36">
        <f t="shared" si="52"/>
        <v>26.80191281</v>
      </c>
      <c r="I261" s="36">
        <f t="shared" si="52"/>
        <v>28.14200845</v>
      </c>
      <c r="J261" s="36">
        <f t="shared" si="52"/>
        <v>29.54910888</v>
      </c>
      <c r="K261" s="36">
        <f t="shared" si="52"/>
        <v>31.02656432</v>
      </c>
      <c r="L261" s="36">
        <f t="shared" si="52"/>
        <v>32.57789254</v>
      </c>
      <c r="M261" s="36">
        <f t="shared" si="52"/>
        <v>34.20678716</v>
      </c>
      <c r="N261" s="36">
        <f t="shared" si="52"/>
        <v>35.91712652</v>
      </c>
      <c r="O261" s="36">
        <f t="shared" si="52"/>
        <v>37.71298285</v>
      </c>
      <c r="P261" s="36">
        <f t="shared" si="52"/>
        <v>39.59863199</v>
      </c>
      <c r="Q261" s="36">
        <f t="shared" si="52"/>
        <v>41.57856359</v>
      </c>
      <c r="R261" s="36">
        <f t="shared" si="52"/>
        <v>43.65749177</v>
      </c>
      <c r="S261" s="36">
        <f t="shared" si="52"/>
        <v>45.84036636</v>
      </c>
      <c r="T261" s="36">
        <f t="shared" si="52"/>
        <v>48.13238467</v>
      </c>
      <c r="U261" s="36">
        <f t="shared" si="52"/>
        <v>50.53900391</v>
      </c>
      <c r="V261" s="36">
        <f t="shared" si="52"/>
        <v>53.0659541</v>
      </c>
      <c r="W261" s="36">
        <f t="shared" si="52"/>
        <v>55.71925181</v>
      </c>
      <c r="X261" s="36">
        <f t="shared" si="52"/>
        <v>58.5052144</v>
      </c>
      <c r="Y261" s="36">
        <f t="shared" si="52"/>
        <v>61.43047512</v>
      </c>
      <c r="Z261" s="36">
        <f t="shared" si="52"/>
        <v>64.50199887</v>
      </c>
      <c r="AA261" s="36">
        <f t="shared" si="52"/>
        <v>67.72709882</v>
      </c>
      <c r="AB261" s="36">
        <f t="shared" si="52"/>
        <v>71.11345376</v>
      </c>
      <c r="AC261" s="36">
        <f t="shared" si="52"/>
        <v>74.66912645</v>
      </c>
      <c r="AD261" s="36">
        <f t="shared" si="52"/>
        <v>78.40258277</v>
      </c>
      <c r="AE261" s="36">
        <f t="shared" si="52"/>
        <v>82.32271191</v>
      </c>
      <c r="AF261" s="36"/>
      <c r="AG261" s="36"/>
      <c r="AH261" s="36"/>
      <c r="AI261" s="36"/>
      <c r="AJ261" s="36"/>
    </row>
    <row r="262" ht="15.75" customHeight="1">
      <c r="A262" s="370" t="s">
        <v>218</v>
      </c>
      <c r="B262" s="12">
        <v>0.0</v>
      </c>
      <c r="C262" s="12">
        <v>0.0</v>
      </c>
      <c r="D262" s="12">
        <v>0.0</v>
      </c>
      <c r="E262" s="12">
        <v>0.0</v>
      </c>
      <c r="F262" s="12">
        <v>0.0</v>
      </c>
      <c r="G262" s="12">
        <v>0.0</v>
      </c>
      <c r="H262" s="12">
        <v>0.0</v>
      </c>
      <c r="I262" s="12">
        <v>0.0</v>
      </c>
      <c r="J262" s="12">
        <v>0.0</v>
      </c>
      <c r="K262" s="12">
        <v>0.0</v>
      </c>
      <c r="L262" s="12">
        <v>0.0</v>
      </c>
      <c r="M262" s="12">
        <v>0.0</v>
      </c>
      <c r="N262" s="12">
        <v>0.0</v>
      </c>
      <c r="O262" s="12">
        <v>0.0</v>
      </c>
      <c r="P262" s="12">
        <v>0.0</v>
      </c>
      <c r="Q262" s="12">
        <v>0.0</v>
      </c>
      <c r="R262" s="12">
        <v>0.0</v>
      </c>
      <c r="S262" s="12">
        <v>0.0</v>
      </c>
      <c r="T262" s="12">
        <v>0.0</v>
      </c>
      <c r="U262" s="12">
        <v>0.0</v>
      </c>
      <c r="V262" s="12">
        <v>0.0</v>
      </c>
      <c r="W262" s="12">
        <v>0.0</v>
      </c>
      <c r="X262" s="12">
        <v>0.0</v>
      </c>
      <c r="Y262" s="12">
        <v>0.0</v>
      </c>
      <c r="Z262" s="12">
        <v>0.0</v>
      </c>
      <c r="AA262" s="12">
        <v>0.0</v>
      </c>
      <c r="AB262" s="12">
        <v>0.0</v>
      </c>
      <c r="AC262" s="12">
        <v>0.0</v>
      </c>
      <c r="AD262" s="12">
        <v>0.0</v>
      </c>
      <c r="AE262" s="12">
        <v>0.0</v>
      </c>
      <c r="AF262" s="36"/>
      <c r="AG262" s="36"/>
      <c r="AH262" s="36"/>
      <c r="AI262" s="36"/>
      <c r="AJ262" s="36"/>
    </row>
    <row r="263" ht="15.0" customHeight="1">
      <c r="A263" s="222" t="s">
        <v>536</v>
      </c>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c r="AA263" s="36"/>
      <c r="AB263" s="36"/>
      <c r="AC263" s="36"/>
      <c r="AD263" s="36"/>
      <c r="AE263" s="36"/>
      <c r="AF263" s="36"/>
      <c r="AG263" s="36"/>
      <c r="AH263" s="36"/>
      <c r="AI263" s="36"/>
      <c r="AJ263" s="36"/>
    </row>
    <row r="264" ht="15.0" customHeight="1">
      <c r="A264" s="222"/>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c r="AA264" s="36"/>
      <c r="AB264" s="36"/>
      <c r="AC264" s="36"/>
      <c r="AD264" s="36"/>
      <c r="AE264" s="36"/>
      <c r="AF264" s="36"/>
      <c r="AG264" s="36"/>
      <c r="AH264" s="36"/>
      <c r="AI264" s="36"/>
      <c r="AJ264" s="36"/>
    </row>
    <row r="265" ht="15.0" customHeight="1">
      <c r="A265" s="36" t="s">
        <v>215</v>
      </c>
      <c r="B265" s="36">
        <v>1.0</v>
      </c>
      <c r="C265" s="36">
        <v>2.0</v>
      </c>
      <c r="D265" s="36">
        <v>3.0</v>
      </c>
      <c r="E265" s="36">
        <v>4.0</v>
      </c>
      <c r="F265" s="36">
        <v>5.0</v>
      </c>
      <c r="G265" s="36">
        <v>6.0</v>
      </c>
      <c r="H265" s="36">
        <v>7.0</v>
      </c>
      <c r="I265" s="36">
        <v>8.0</v>
      </c>
      <c r="J265" s="36">
        <v>9.0</v>
      </c>
      <c r="K265" s="36">
        <v>10.0</v>
      </c>
      <c r="L265" s="36">
        <v>11.0</v>
      </c>
      <c r="M265" s="36">
        <v>12.0</v>
      </c>
      <c r="N265" s="36">
        <v>13.0</v>
      </c>
      <c r="O265" s="36">
        <v>14.0</v>
      </c>
      <c r="P265" s="36">
        <v>15.0</v>
      </c>
      <c r="Q265" s="36">
        <v>16.0</v>
      </c>
      <c r="R265" s="36">
        <v>17.0</v>
      </c>
      <c r="S265" s="36">
        <v>18.0</v>
      </c>
      <c r="T265" s="36">
        <v>19.0</v>
      </c>
      <c r="U265" s="36">
        <v>20.0</v>
      </c>
      <c r="V265" s="36">
        <v>21.0</v>
      </c>
      <c r="W265" s="36">
        <v>22.0</v>
      </c>
      <c r="X265" s="36">
        <v>23.0</v>
      </c>
      <c r="Y265" s="36">
        <v>24.0</v>
      </c>
      <c r="Z265" s="36">
        <v>25.0</v>
      </c>
      <c r="AA265" s="36">
        <v>26.0</v>
      </c>
      <c r="AB265" s="36">
        <v>27.0</v>
      </c>
      <c r="AC265" s="36">
        <v>28.0</v>
      </c>
      <c r="AD265" s="36">
        <v>29.0</v>
      </c>
      <c r="AE265" s="36">
        <v>30.0</v>
      </c>
      <c r="AF265" s="36"/>
      <c r="AG265" s="36"/>
      <c r="AH265" s="36"/>
      <c r="AI265" s="36"/>
      <c r="AJ265" s="36"/>
    </row>
    <row r="266" ht="15.0" customHeight="1">
      <c r="A266" s="12" t="s">
        <v>217</v>
      </c>
      <c r="B266" s="36">
        <v>15.0</v>
      </c>
      <c r="C266" s="36">
        <f t="shared" ref="C266:AE266" si="53">B266*1.05</f>
        <v>15.75</v>
      </c>
      <c r="D266" s="36">
        <f t="shared" si="53"/>
        <v>16.5375</v>
      </c>
      <c r="E266" s="36">
        <f t="shared" si="53"/>
        <v>17.364375</v>
      </c>
      <c r="F266" s="36">
        <f t="shared" si="53"/>
        <v>18.23259375</v>
      </c>
      <c r="G266" s="36">
        <f t="shared" si="53"/>
        <v>19.14422344</v>
      </c>
      <c r="H266" s="36">
        <f t="shared" si="53"/>
        <v>20.10143461</v>
      </c>
      <c r="I266" s="36">
        <f t="shared" si="53"/>
        <v>21.10650634</v>
      </c>
      <c r="J266" s="36">
        <f t="shared" si="53"/>
        <v>22.16183166</v>
      </c>
      <c r="K266" s="36">
        <f t="shared" si="53"/>
        <v>23.26992324</v>
      </c>
      <c r="L266" s="36">
        <f t="shared" si="53"/>
        <v>24.4334194</v>
      </c>
      <c r="M266" s="36">
        <f t="shared" si="53"/>
        <v>25.65509037</v>
      </c>
      <c r="N266" s="36">
        <f t="shared" si="53"/>
        <v>26.93784489</v>
      </c>
      <c r="O266" s="36">
        <f t="shared" si="53"/>
        <v>28.28473713</v>
      </c>
      <c r="P266" s="36">
        <f t="shared" si="53"/>
        <v>29.69897399</v>
      </c>
      <c r="Q266" s="36">
        <f t="shared" si="53"/>
        <v>31.18392269</v>
      </c>
      <c r="R266" s="36">
        <f t="shared" si="53"/>
        <v>32.74311883</v>
      </c>
      <c r="S266" s="36">
        <f t="shared" si="53"/>
        <v>34.38027477</v>
      </c>
      <c r="T266" s="36">
        <f t="shared" si="53"/>
        <v>36.09928851</v>
      </c>
      <c r="U266" s="36">
        <f t="shared" si="53"/>
        <v>37.90425293</v>
      </c>
      <c r="V266" s="36">
        <f t="shared" si="53"/>
        <v>39.79946558</v>
      </c>
      <c r="W266" s="36">
        <f t="shared" si="53"/>
        <v>41.78943886</v>
      </c>
      <c r="X266" s="36">
        <f t="shared" si="53"/>
        <v>43.8789108</v>
      </c>
      <c r="Y266" s="36">
        <f t="shared" si="53"/>
        <v>46.07285634</v>
      </c>
      <c r="Z266" s="36">
        <f t="shared" si="53"/>
        <v>48.37649916</v>
      </c>
      <c r="AA266" s="36">
        <f t="shared" si="53"/>
        <v>50.79532411</v>
      </c>
      <c r="AB266" s="36">
        <f t="shared" si="53"/>
        <v>53.33509032</v>
      </c>
      <c r="AC266" s="36">
        <f t="shared" si="53"/>
        <v>56.00184484</v>
      </c>
      <c r="AD266" s="36">
        <f t="shared" si="53"/>
        <v>58.80193708</v>
      </c>
      <c r="AE266" s="36">
        <f t="shared" si="53"/>
        <v>61.74203393</v>
      </c>
      <c r="AF266" s="36"/>
      <c r="AG266" s="36"/>
      <c r="AH266" s="36"/>
      <c r="AI266" s="36"/>
      <c r="AJ266" s="36"/>
    </row>
    <row r="267" ht="15.75" customHeight="1">
      <c r="A267" s="370" t="s">
        <v>218</v>
      </c>
      <c r="B267" s="12">
        <v>0.0</v>
      </c>
      <c r="C267" s="12">
        <v>0.0</v>
      </c>
      <c r="D267" s="12">
        <v>0.0</v>
      </c>
      <c r="E267" s="12">
        <v>0.0</v>
      </c>
      <c r="F267" s="12">
        <v>0.0</v>
      </c>
      <c r="G267" s="12">
        <v>0.0</v>
      </c>
      <c r="H267" s="12">
        <v>0.0</v>
      </c>
      <c r="I267" s="12">
        <v>0.0</v>
      </c>
      <c r="J267" s="12">
        <v>0.0</v>
      </c>
      <c r="K267" s="12">
        <v>0.0</v>
      </c>
      <c r="L267" s="12">
        <v>0.0</v>
      </c>
      <c r="M267" s="12">
        <v>0.0</v>
      </c>
      <c r="N267" s="12">
        <v>0.0</v>
      </c>
      <c r="O267" s="12">
        <v>0.0</v>
      </c>
      <c r="P267" s="12">
        <v>0.0</v>
      </c>
      <c r="Q267" s="12">
        <v>0.0</v>
      </c>
      <c r="R267" s="12">
        <v>0.0</v>
      </c>
      <c r="S267" s="12">
        <v>0.0</v>
      </c>
      <c r="T267" s="12">
        <v>0.0</v>
      </c>
      <c r="U267" s="12">
        <v>0.0</v>
      </c>
      <c r="V267" s="12">
        <v>0.0</v>
      </c>
      <c r="W267" s="12">
        <v>0.0</v>
      </c>
      <c r="X267" s="12">
        <v>0.0</v>
      </c>
      <c r="Y267" s="12">
        <v>0.0</v>
      </c>
      <c r="Z267" s="12">
        <v>0.0</v>
      </c>
      <c r="AA267" s="12">
        <v>0.0</v>
      </c>
      <c r="AB267" s="12">
        <v>0.0</v>
      </c>
      <c r="AC267" s="12">
        <v>0.0</v>
      </c>
      <c r="AD267" s="12">
        <v>0.0</v>
      </c>
      <c r="AE267" s="12">
        <v>0.0</v>
      </c>
      <c r="AF267" s="36"/>
      <c r="AG267" s="36"/>
      <c r="AH267" s="36"/>
      <c r="AI267" s="36"/>
      <c r="AJ267" s="36"/>
    </row>
    <row r="268" ht="15.0" customHeight="1">
      <c r="A268" s="222" t="s">
        <v>541</v>
      </c>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c r="AA268" s="36"/>
      <c r="AB268" s="36"/>
      <c r="AC268" s="36"/>
      <c r="AD268" s="36"/>
      <c r="AE268" s="36"/>
      <c r="AF268" s="36"/>
      <c r="AG268" s="36"/>
      <c r="AH268" s="36"/>
      <c r="AI268" s="36"/>
      <c r="AJ268" s="36"/>
    </row>
    <row r="269" ht="15.75" customHeight="1">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c r="AA269" s="36"/>
      <c r="AB269" s="36"/>
      <c r="AC269" s="36"/>
      <c r="AD269" s="36"/>
      <c r="AE269" s="36"/>
      <c r="AF269" s="36"/>
      <c r="AG269" s="36"/>
      <c r="AH269" s="36"/>
      <c r="AI269" s="36"/>
      <c r="AJ269" s="36"/>
    </row>
    <row r="270" ht="15.0" customHeight="1">
      <c r="A270" s="36" t="s">
        <v>215</v>
      </c>
      <c r="B270" s="36">
        <v>1.0</v>
      </c>
      <c r="C270" s="36">
        <v>2.0</v>
      </c>
      <c r="D270" s="36">
        <v>3.0</v>
      </c>
      <c r="E270" s="36">
        <v>4.0</v>
      </c>
      <c r="F270" s="36">
        <v>5.0</v>
      </c>
      <c r="G270" s="36">
        <v>6.0</v>
      </c>
      <c r="H270" s="36">
        <v>7.0</v>
      </c>
      <c r="I270" s="36">
        <v>8.0</v>
      </c>
      <c r="J270" s="36">
        <v>9.0</v>
      </c>
      <c r="K270" s="36">
        <v>10.0</v>
      </c>
      <c r="L270" s="36">
        <v>11.0</v>
      </c>
      <c r="M270" s="36">
        <v>12.0</v>
      </c>
      <c r="N270" s="36">
        <v>13.0</v>
      </c>
      <c r="O270" s="36">
        <v>14.0</v>
      </c>
      <c r="P270" s="36">
        <v>15.0</v>
      </c>
      <c r="Q270" s="36">
        <v>16.0</v>
      </c>
      <c r="R270" s="36">
        <v>17.0</v>
      </c>
      <c r="S270" s="36">
        <v>18.0</v>
      </c>
      <c r="T270" s="36">
        <v>19.0</v>
      </c>
      <c r="U270" s="36">
        <v>20.0</v>
      </c>
      <c r="V270" s="36">
        <v>21.0</v>
      </c>
      <c r="W270" s="36">
        <v>22.0</v>
      </c>
      <c r="X270" s="36">
        <v>23.0</v>
      </c>
      <c r="Y270" s="36">
        <v>24.0</v>
      </c>
      <c r="Z270" s="36">
        <v>25.0</v>
      </c>
      <c r="AA270" s="36">
        <v>26.0</v>
      </c>
      <c r="AB270" s="36">
        <v>27.0</v>
      </c>
      <c r="AC270" s="36">
        <v>28.0</v>
      </c>
      <c r="AD270" s="36">
        <v>29.0</v>
      </c>
      <c r="AE270" s="36">
        <v>30.0</v>
      </c>
      <c r="AF270" s="36"/>
      <c r="AG270" s="36"/>
      <c r="AH270" s="36"/>
      <c r="AI270" s="36"/>
      <c r="AJ270" s="36"/>
    </row>
    <row r="271" ht="13.5" customHeight="1">
      <c r="A271" s="12" t="s">
        <v>217</v>
      </c>
      <c r="B271" s="36">
        <v>20.0</v>
      </c>
      <c r="C271" s="36">
        <f t="shared" ref="C271:AE271" si="54">B271*1.05</f>
        <v>21</v>
      </c>
      <c r="D271" s="36">
        <f t="shared" si="54"/>
        <v>22.05</v>
      </c>
      <c r="E271" s="36">
        <f t="shared" si="54"/>
        <v>23.1525</v>
      </c>
      <c r="F271" s="36">
        <f t="shared" si="54"/>
        <v>24.310125</v>
      </c>
      <c r="G271" s="36">
        <f t="shared" si="54"/>
        <v>25.52563125</v>
      </c>
      <c r="H271" s="36">
        <f t="shared" si="54"/>
        <v>26.80191281</v>
      </c>
      <c r="I271" s="36">
        <f t="shared" si="54"/>
        <v>28.14200845</v>
      </c>
      <c r="J271" s="36">
        <f t="shared" si="54"/>
        <v>29.54910888</v>
      </c>
      <c r="K271" s="36">
        <f t="shared" si="54"/>
        <v>31.02656432</v>
      </c>
      <c r="L271" s="36">
        <f t="shared" si="54"/>
        <v>32.57789254</v>
      </c>
      <c r="M271" s="36">
        <f t="shared" si="54"/>
        <v>34.20678716</v>
      </c>
      <c r="N271" s="36">
        <f t="shared" si="54"/>
        <v>35.91712652</v>
      </c>
      <c r="O271" s="36">
        <f t="shared" si="54"/>
        <v>37.71298285</v>
      </c>
      <c r="P271" s="36">
        <f t="shared" si="54"/>
        <v>39.59863199</v>
      </c>
      <c r="Q271" s="36">
        <f t="shared" si="54"/>
        <v>41.57856359</v>
      </c>
      <c r="R271" s="36">
        <f t="shared" si="54"/>
        <v>43.65749177</v>
      </c>
      <c r="S271" s="36">
        <f t="shared" si="54"/>
        <v>45.84036636</v>
      </c>
      <c r="T271" s="36">
        <f t="shared" si="54"/>
        <v>48.13238467</v>
      </c>
      <c r="U271" s="36">
        <f t="shared" si="54"/>
        <v>50.53900391</v>
      </c>
      <c r="V271" s="36">
        <f t="shared" si="54"/>
        <v>53.0659541</v>
      </c>
      <c r="W271" s="36">
        <f t="shared" si="54"/>
        <v>55.71925181</v>
      </c>
      <c r="X271" s="36">
        <f t="shared" si="54"/>
        <v>58.5052144</v>
      </c>
      <c r="Y271" s="36">
        <f t="shared" si="54"/>
        <v>61.43047512</v>
      </c>
      <c r="Z271" s="36">
        <f t="shared" si="54"/>
        <v>64.50199887</v>
      </c>
      <c r="AA271" s="36">
        <f t="shared" si="54"/>
        <v>67.72709882</v>
      </c>
      <c r="AB271" s="36">
        <f t="shared" si="54"/>
        <v>71.11345376</v>
      </c>
      <c r="AC271" s="36">
        <f t="shared" si="54"/>
        <v>74.66912645</v>
      </c>
      <c r="AD271" s="36">
        <f t="shared" si="54"/>
        <v>78.40258277</v>
      </c>
      <c r="AE271" s="36">
        <f t="shared" si="54"/>
        <v>82.32271191</v>
      </c>
      <c r="AF271" s="36"/>
      <c r="AG271" s="36"/>
      <c r="AH271" s="36"/>
      <c r="AI271" s="36"/>
      <c r="AJ271" s="36"/>
    </row>
    <row r="272" ht="15.75" customHeight="1">
      <c r="A272" s="370" t="s">
        <v>218</v>
      </c>
      <c r="B272" s="12">
        <v>0.0</v>
      </c>
      <c r="C272" s="12">
        <v>0.0</v>
      </c>
      <c r="D272" s="12">
        <v>0.0</v>
      </c>
      <c r="E272" s="12">
        <v>0.0</v>
      </c>
      <c r="F272" s="12">
        <v>0.0</v>
      </c>
      <c r="G272" s="12">
        <v>0.0</v>
      </c>
      <c r="H272" s="12">
        <v>0.0</v>
      </c>
      <c r="I272" s="12">
        <v>0.0</v>
      </c>
      <c r="J272" s="12">
        <v>0.0</v>
      </c>
      <c r="K272" s="12">
        <v>0.0</v>
      </c>
      <c r="L272" s="12">
        <v>0.0</v>
      </c>
      <c r="M272" s="12">
        <v>0.0</v>
      </c>
      <c r="N272" s="12">
        <v>0.0</v>
      </c>
      <c r="O272" s="12">
        <v>0.0</v>
      </c>
      <c r="P272" s="12">
        <v>0.0</v>
      </c>
      <c r="Q272" s="12">
        <v>0.0</v>
      </c>
      <c r="R272" s="12">
        <v>0.0</v>
      </c>
      <c r="S272" s="12">
        <v>0.0</v>
      </c>
      <c r="T272" s="12">
        <v>0.0</v>
      </c>
      <c r="U272" s="12">
        <v>0.0</v>
      </c>
      <c r="V272" s="12">
        <v>0.0</v>
      </c>
      <c r="W272" s="12">
        <v>0.0</v>
      </c>
      <c r="X272" s="12">
        <v>0.0</v>
      </c>
      <c r="Y272" s="12">
        <v>0.0</v>
      </c>
      <c r="Z272" s="12">
        <v>0.0</v>
      </c>
      <c r="AA272" s="12">
        <v>0.0</v>
      </c>
      <c r="AB272" s="12">
        <v>0.0</v>
      </c>
      <c r="AC272" s="12">
        <v>0.0</v>
      </c>
      <c r="AD272" s="12">
        <v>0.0</v>
      </c>
      <c r="AE272" s="12">
        <v>0.0</v>
      </c>
      <c r="AF272" s="36"/>
      <c r="AG272" s="36"/>
      <c r="AH272" s="36"/>
      <c r="AI272" s="36"/>
      <c r="AJ272" s="36"/>
    </row>
    <row r="273" ht="15.0" customHeight="1">
      <c r="A273" s="222" t="s">
        <v>626</v>
      </c>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c r="AA273" s="36"/>
      <c r="AB273" s="36"/>
      <c r="AC273" s="36"/>
      <c r="AD273" s="36"/>
      <c r="AE273" s="36"/>
      <c r="AF273" s="36"/>
      <c r="AG273" s="36"/>
      <c r="AH273" s="36"/>
      <c r="AI273" s="36"/>
      <c r="AJ273" s="36"/>
    </row>
    <row r="274" ht="15.75" customHeight="1">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c r="AA274" s="36"/>
      <c r="AB274" s="36"/>
      <c r="AC274" s="36"/>
      <c r="AD274" s="36"/>
      <c r="AE274" s="36"/>
      <c r="AF274" s="36"/>
      <c r="AG274" s="36"/>
      <c r="AH274" s="36"/>
      <c r="AI274" s="36"/>
      <c r="AJ274" s="36"/>
    </row>
    <row r="275" ht="15.0" customHeight="1">
      <c r="A275" s="36" t="s">
        <v>215</v>
      </c>
      <c r="B275" s="36">
        <v>1.0</v>
      </c>
      <c r="C275" s="36">
        <v>2.0</v>
      </c>
      <c r="D275" s="36">
        <v>3.0</v>
      </c>
      <c r="E275" s="36">
        <v>4.0</v>
      </c>
      <c r="F275" s="36">
        <v>5.0</v>
      </c>
      <c r="G275" s="36">
        <v>6.0</v>
      </c>
      <c r="H275" s="36">
        <v>7.0</v>
      </c>
      <c r="I275" s="36">
        <v>8.0</v>
      </c>
      <c r="J275" s="36">
        <v>9.0</v>
      </c>
      <c r="K275" s="36">
        <v>10.0</v>
      </c>
      <c r="L275" s="36">
        <v>11.0</v>
      </c>
      <c r="M275" s="36">
        <v>12.0</v>
      </c>
      <c r="N275" s="36">
        <v>13.0</v>
      </c>
      <c r="O275" s="36">
        <v>14.0</v>
      </c>
      <c r="P275" s="36">
        <v>15.0</v>
      </c>
      <c r="Q275" s="36">
        <v>16.0</v>
      </c>
      <c r="R275" s="36">
        <v>17.0</v>
      </c>
      <c r="S275" s="36">
        <v>18.0</v>
      </c>
      <c r="T275" s="36">
        <v>19.0</v>
      </c>
      <c r="U275" s="36">
        <v>20.0</v>
      </c>
      <c r="V275" s="36">
        <v>21.0</v>
      </c>
      <c r="W275" s="36">
        <v>22.0</v>
      </c>
      <c r="X275" s="36">
        <v>23.0</v>
      </c>
      <c r="Y275" s="36">
        <v>24.0</v>
      </c>
      <c r="Z275" s="36">
        <v>25.0</v>
      </c>
      <c r="AA275" s="36">
        <v>26.0</v>
      </c>
      <c r="AB275" s="36">
        <v>27.0</v>
      </c>
      <c r="AC275" s="36">
        <v>28.0</v>
      </c>
      <c r="AD275" s="36">
        <v>29.0</v>
      </c>
      <c r="AE275" s="36">
        <v>30.0</v>
      </c>
      <c r="AF275" s="36"/>
      <c r="AG275" s="36"/>
      <c r="AH275" s="36"/>
      <c r="AI275" s="36"/>
      <c r="AJ275" s="36"/>
    </row>
    <row r="276" ht="15.0" customHeight="1">
      <c r="A276" s="12" t="s">
        <v>217</v>
      </c>
      <c r="B276" s="36">
        <v>60.0</v>
      </c>
      <c r="C276" s="36">
        <v>65.0</v>
      </c>
      <c r="D276" s="36">
        <v>70.0</v>
      </c>
      <c r="E276" s="36">
        <v>75.0</v>
      </c>
      <c r="F276" s="36">
        <v>80.0</v>
      </c>
      <c r="G276" s="36">
        <v>85.0</v>
      </c>
      <c r="H276" s="36">
        <v>90.0</v>
      </c>
      <c r="I276" s="36">
        <v>95.0</v>
      </c>
      <c r="J276" s="36">
        <v>100.0</v>
      </c>
      <c r="K276" s="36">
        <v>105.0</v>
      </c>
      <c r="L276" s="36">
        <v>110.0</v>
      </c>
      <c r="M276" s="36">
        <v>115.0</v>
      </c>
      <c r="N276" s="36">
        <v>120.0</v>
      </c>
      <c r="O276" s="36">
        <v>125.0</v>
      </c>
      <c r="P276" s="36">
        <v>130.0</v>
      </c>
      <c r="Q276" s="36">
        <v>135.0</v>
      </c>
      <c r="R276" s="36">
        <v>140.0</v>
      </c>
      <c r="S276" s="36">
        <v>145.0</v>
      </c>
      <c r="T276" s="36">
        <v>150.0</v>
      </c>
      <c r="U276" s="36">
        <v>155.0</v>
      </c>
      <c r="V276" s="36">
        <v>160.0</v>
      </c>
      <c r="W276" s="36">
        <v>165.0</v>
      </c>
      <c r="X276" s="36">
        <v>170.0</v>
      </c>
      <c r="Y276" s="36">
        <v>175.0</v>
      </c>
      <c r="Z276" s="36">
        <v>180.0</v>
      </c>
      <c r="AA276" s="36">
        <v>185.0</v>
      </c>
      <c r="AB276" s="36">
        <v>190.0</v>
      </c>
      <c r="AC276" s="36">
        <v>195.0</v>
      </c>
      <c r="AD276" s="36">
        <v>200.0</v>
      </c>
      <c r="AE276" s="36">
        <v>205.0</v>
      </c>
      <c r="AF276" s="36"/>
      <c r="AG276" s="36"/>
      <c r="AH276" s="36"/>
      <c r="AI276" s="36"/>
      <c r="AJ276" s="36"/>
    </row>
    <row r="277" ht="15.75" customHeight="1">
      <c r="A277" s="370" t="s">
        <v>218</v>
      </c>
      <c r="B277" s="12">
        <v>0.0</v>
      </c>
      <c r="C277" s="12">
        <v>0.0</v>
      </c>
      <c r="D277" s="12">
        <v>0.0</v>
      </c>
      <c r="E277" s="12">
        <v>0.0</v>
      </c>
      <c r="F277" s="12">
        <v>0.0</v>
      </c>
      <c r="G277" s="12">
        <v>0.0</v>
      </c>
      <c r="H277" s="12">
        <v>0.0</v>
      </c>
      <c r="I277" s="12">
        <v>0.0</v>
      </c>
      <c r="J277" s="12">
        <v>0.0</v>
      </c>
      <c r="K277" s="12">
        <v>0.0</v>
      </c>
      <c r="L277" s="12">
        <v>0.0</v>
      </c>
      <c r="M277" s="12">
        <v>0.0</v>
      </c>
      <c r="N277" s="12">
        <v>0.0</v>
      </c>
      <c r="O277" s="12">
        <v>0.0</v>
      </c>
      <c r="P277" s="12">
        <v>0.0</v>
      </c>
      <c r="Q277" s="12">
        <v>0.0</v>
      </c>
      <c r="R277" s="12">
        <v>0.0</v>
      </c>
      <c r="S277" s="12">
        <v>0.0</v>
      </c>
      <c r="T277" s="12">
        <v>0.0</v>
      </c>
      <c r="U277" s="12">
        <v>0.0</v>
      </c>
      <c r="V277" s="12">
        <v>0.0</v>
      </c>
      <c r="W277" s="12">
        <v>0.0</v>
      </c>
      <c r="X277" s="12">
        <v>0.0</v>
      </c>
      <c r="Y277" s="12">
        <v>0.0</v>
      </c>
      <c r="Z277" s="12">
        <v>0.0</v>
      </c>
      <c r="AA277" s="12">
        <v>0.0</v>
      </c>
      <c r="AB277" s="12">
        <v>0.0</v>
      </c>
      <c r="AC277" s="12">
        <v>0.0</v>
      </c>
      <c r="AD277" s="12">
        <v>0.0</v>
      </c>
      <c r="AE277" s="12">
        <v>0.0</v>
      </c>
      <c r="AF277" s="36"/>
      <c r="AG277" s="36"/>
      <c r="AH277" s="36"/>
      <c r="AI277" s="36"/>
      <c r="AJ277" s="36"/>
    </row>
    <row r="278" ht="15.75" customHeight="1">
      <c r="A278" s="36" t="s">
        <v>822</v>
      </c>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c r="AA278" s="36"/>
      <c r="AB278" s="36"/>
      <c r="AC278" s="36"/>
      <c r="AD278" s="36"/>
      <c r="AE278" s="36"/>
      <c r="AF278" s="36"/>
      <c r="AG278" s="36"/>
      <c r="AH278" s="36"/>
      <c r="AI278" s="36"/>
      <c r="AJ278" s="36"/>
    </row>
    <row r="279" ht="15.75" customHeight="1">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c r="AA279" s="36"/>
      <c r="AB279" s="36"/>
      <c r="AC279" s="36"/>
      <c r="AD279" s="36"/>
      <c r="AE279" s="36"/>
      <c r="AF279" s="36"/>
      <c r="AG279" s="36"/>
      <c r="AH279" s="36"/>
      <c r="AI279" s="36"/>
      <c r="AJ279" s="36"/>
    </row>
    <row r="280" ht="15.75" customHeight="1">
      <c r="A280" s="376" t="s">
        <v>215</v>
      </c>
      <c r="B280" s="349">
        <v>1.0</v>
      </c>
      <c r="C280" s="349">
        <v>2.0</v>
      </c>
      <c r="D280" s="349">
        <v>3.0</v>
      </c>
      <c r="E280" s="349">
        <v>4.0</v>
      </c>
      <c r="F280" s="349">
        <v>5.0</v>
      </c>
      <c r="G280" s="349">
        <v>6.0</v>
      </c>
      <c r="H280" s="349">
        <v>7.0</v>
      </c>
      <c r="I280" s="349">
        <v>8.0</v>
      </c>
      <c r="J280" s="349">
        <v>9.0</v>
      </c>
      <c r="K280" s="349">
        <v>10.0</v>
      </c>
      <c r="L280" s="349">
        <v>11.0</v>
      </c>
      <c r="M280" s="349">
        <v>12.0</v>
      </c>
      <c r="N280" s="349">
        <v>13.0</v>
      </c>
      <c r="O280" s="349">
        <v>14.0</v>
      </c>
      <c r="P280" s="349">
        <v>15.0</v>
      </c>
      <c r="Q280" s="349">
        <v>16.0</v>
      </c>
      <c r="R280" s="349">
        <v>17.0</v>
      </c>
      <c r="S280" s="349">
        <v>18.0</v>
      </c>
      <c r="T280" s="349">
        <v>19.0</v>
      </c>
      <c r="U280" s="349">
        <v>20.0</v>
      </c>
      <c r="V280" s="349">
        <v>21.0</v>
      </c>
      <c r="W280" s="349">
        <v>22.0</v>
      </c>
      <c r="X280" s="349">
        <v>23.0</v>
      </c>
      <c r="Y280" s="349">
        <v>24.0</v>
      </c>
      <c r="Z280" s="349">
        <v>25.0</v>
      </c>
      <c r="AA280" s="349">
        <v>26.0</v>
      </c>
      <c r="AB280" s="349">
        <v>27.0</v>
      </c>
      <c r="AC280" s="349">
        <v>28.0</v>
      </c>
      <c r="AD280" s="349">
        <v>29.0</v>
      </c>
      <c r="AE280" s="349">
        <v>30.0</v>
      </c>
      <c r="AF280" s="36"/>
      <c r="AG280" s="36"/>
      <c r="AH280" s="36"/>
      <c r="AI280" s="36"/>
      <c r="AJ280" s="36"/>
    </row>
    <row r="281" ht="15.75" customHeight="1">
      <c r="A281" s="12" t="s">
        <v>217</v>
      </c>
      <c r="B281" s="12">
        <v>0.0</v>
      </c>
      <c r="C281" s="12">
        <v>0.0</v>
      </c>
      <c r="D281" s="12">
        <v>0.0</v>
      </c>
      <c r="E281" s="12">
        <v>0.0</v>
      </c>
      <c r="F281" s="12">
        <v>0.0</v>
      </c>
      <c r="G281" s="12">
        <v>0.0</v>
      </c>
      <c r="H281" s="12">
        <v>0.0</v>
      </c>
      <c r="I281" s="12">
        <v>0.0</v>
      </c>
      <c r="J281" s="12">
        <v>0.0</v>
      </c>
      <c r="K281" s="12">
        <v>0.0</v>
      </c>
      <c r="L281" s="12">
        <v>0.0</v>
      </c>
      <c r="M281" s="12">
        <v>0.0</v>
      </c>
      <c r="N281" s="12">
        <v>0.0</v>
      </c>
      <c r="O281" s="12">
        <v>0.0</v>
      </c>
      <c r="P281" s="12">
        <v>0.0</v>
      </c>
      <c r="Q281" s="12">
        <v>0.0</v>
      </c>
      <c r="R281" s="12">
        <v>0.0</v>
      </c>
      <c r="S281" s="12">
        <v>0.0</v>
      </c>
      <c r="T281" s="12">
        <v>0.0</v>
      </c>
      <c r="U281" s="12">
        <v>0.0</v>
      </c>
      <c r="V281" s="12">
        <v>0.0</v>
      </c>
      <c r="W281" s="12">
        <v>0.0</v>
      </c>
      <c r="X281" s="12">
        <v>0.0</v>
      </c>
      <c r="Y281" s="12">
        <v>0.0</v>
      </c>
      <c r="Z281" s="12">
        <v>0.0</v>
      </c>
      <c r="AA281" s="12">
        <v>0.0</v>
      </c>
      <c r="AB281" s="12">
        <v>0.0</v>
      </c>
      <c r="AC281" s="12">
        <v>0.0</v>
      </c>
      <c r="AD281" s="12">
        <v>0.0</v>
      </c>
      <c r="AE281" s="12">
        <v>0.0</v>
      </c>
      <c r="AF281" s="36"/>
      <c r="AG281" s="36"/>
      <c r="AH281" s="36"/>
      <c r="AI281" s="36"/>
      <c r="AJ281" s="36"/>
    </row>
    <row r="282" ht="15.75" customHeight="1">
      <c r="A282" s="370" t="s">
        <v>218</v>
      </c>
      <c r="B282" s="377">
        <f>2.25%/(12/Mode)</f>
        <v>0.0225</v>
      </c>
      <c r="C282" s="377">
        <f>2.25%/(12/Mode)</f>
        <v>0.0225</v>
      </c>
      <c r="D282" s="377">
        <f>2.25%/(12/Mode)</f>
        <v>0.0225</v>
      </c>
      <c r="E282" s="377">
        <f>2.25%/(12/Mode)</f>
        <v>0.0225</v>
      </c>
      <c r="F282" s="377">
        <f>2.25%/(12/Mode)</f>
        <v>0.0225</v>
      </c>
      <c r="G282" s="377">
        <f>1%/(12/Mode)</f>
        <v>0.01</v>
      </c>
      <c r="H282" s="377">
        <f>1%/(12/Mode)</f>
        <v>0.01</v>
      </c>
      <c r="I282" s="377">
        <f>1%/(12/Mode)</f>
        <v>0.01</v>
      </c>
      <c r="J282" s="377">
        <f>1%/(12/Mode)</f>
        <v>0.01</v>
      </c>
      <c r="K282" s="377">
        <f>1%/(12/Mode)</f>
        <v>0.01</v>
      </c>
      <c r="L282" s="377">
        <f>1%/(12/Mode)</f>
        <v>0.01</v>
      </c>
      <c r="M282" s="377">
        <f>1%/(12/Mode)</f>
        <v>0.01</v>
      </c>
      <c r="N282" s="377">
        <f>1%/(12/Mode)</f>
        <v>0.01</v>
      </c>
      <c r="O282" s="377">
        <f>1%/(12/Mode)</f>
        <v>0.01</v>
      </c>
      <c r="P282" s="377">
        <f>1%/(12/Mode)</f>
        <v>0.01</v>
      </c>
      <c r="Q282" s="377">
        <f>1%/(12/Mode)</f>
        <v>0.01</v>
      </c>
      <c r="R282" s="377">
        <f>1%/(12/Mode)</f>
        <v>0.01</v>
      </c>
      <c r="S282" s="377">
        <f>1%/(12/Mode)</f>
        <v>0.01</v>
      </c>
      <c r="T282" s="377">
        <f>1%/(12/Mode)</f>
        <v>0.01</v>
      </c>
      <c r="U282" s="377">
        <f>1%/(12/Mode)</f>
        <v>0.01</v>
      </c>
      <c r="V282" s="377">
        <f>1%/(12/Mode)</f>
        <v>0.01</v>
      </c>
      <c r="W282" s="377">
        <f>1%/(12/Mode)</f>
        <v>0.01</v>
      </c>
      <c r="X282" s="377">
        <f>1%/(12/Mode)</f>
        <v>0.01</v>
      </c>
      <c r="Y282" s="377">
        <f>1%/(12/Mode)</f>
        <v>0.01</v>
      </c>
      <c r="Z282" s="377">
        <f>1%/(12/Mode)</f>
        <v>0.01</v>
      </c>
      <c r="AA282" s="377">
        <f>1%/(12/Mode)</f>
        <v>0.01</v>
      </c>
      <c r="AB282" s="377">
        <f>1%/(12/Mode)</f>
        <v>0.01</v>
      </c>
      <c r="AC282" s="377">
        <f>1%/(12/Mode)</f>
        <v>0.01</v>
      </c>
      <c r="AD282" s="377">
        <f>1%/(12/Mode)</f>
        <v>0.01</v>
      </c>
      <c r="AE282" s="377">
        <f>1%/(12/Mode)</f>
        <v>0.01</v>
      </c>
      <c r="AF282" s="36"/>
      <c r="AG282" s="36"/>
      <c r="AH282" s="36"/>
      <c r="AI282" s="36"/>
      <c r="AJ282" s="36"/>
    </row>
    <row r="283" ht="15.75" customHeight="1">
      <c r="A283" s="242" t="s">
        <v>826</v>
      </c>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c r="AA283" s="36"/>
      <c r="AB283" s="36"/>
      <c r="AC283" s="36"/>
      <c r="AD283" s="36"/>
      <c r="AE283" s="36"/>
      <c r="AF283" s="36"/>
      <c r="AG283" s="36"/>
      <c r="AH283" s="36"/>
      <c r="AI283" s="36"/>
      <c r="AJ283" s="36"/>
    </row>
    <row r="284" ht="15.75" customHeight="1">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c r="AA284" s="36"/>
      <c r="AB284" s="36"/>
      <c r="AC284" s="36"/>
      <c r="AD284" s="36"/>
      <c r="AE284" s="36"/>
      <c r="AF284" s="36"/>
      <c r="AG284" s="36"/>
      <c r="AH284" s="36"/>
      <c r="AI284" s="36"/>
      <c r="AJ284" s="36"/>
    </row>
    <row r="285" ht="15.75" customHeight="1">
      <c r="A285" s="376" t="s">
        <v>215</v>
      </c>
      <c r="B285" s="349">
        <v>1.0</v>
      </c>
      <c r="C285" s="349">
        <v>2.0</v>
      </c>
      <c r="D285" s="349">
        <v>3.0</v>
      </c>
      <c r="E285" s="349">
        <v>4.0</v>
      </c>
      <c r="F285" s="349">
        <v>5.0</v>
      </c>
      <c r="G285" s="349">
        <v>6.0</v>
      </c>
      <c r="H285" s="349">
        <v>7.0</v>
      </c>
      <c r="I285" s="349">
        <v>8.0</v>
      </c>
      <c r="J285" s="349">
        <v>9.0</v>
      </c>
      <c r="K285" s="349">
        <v>10.0</v>
      </c>
      <c r="L285" s="349">
        <v>11.0</v>
      </c>
      <c r="M285" s="349">
        <v>12.0</v>
      </c>
      <c r="N285" s="349">
        <v>13.0</v>
      </c>
      <c r="O285" s="349">
        <v>14.0</v>
      </c>
      <c r="P285" s="349">
        <v>15.0</v>
      </c>
      <c r="Q285" s="349">
        <v>16.0</v>
      </c>
      <c r="R285" s="349">
        <v>17.0</v>
      </c>
      <c r="S285" s="349">
        <v>18.0</v>
      </c>
      <c r="T285" s="349">
        <v>19.0</v>
      </c>
      <c r="U285" s="349">
        <v>20.0</v>
      </c>
      <c r="V285" s="349">
        <v>21.0</v>
      </c>
      <c r="W285" s="349">
        <v>22.0</v>
      </c>
      <c r="X285" s="349">
        <v>23.0</v>
      </c>
      <c r="Y285" s="349">
        <v>24.0</v>
      </c>
      <c r="Z285" s="349">
        <v>25.0</v>
      </c>
      <c r="AA285" s="349">
        <v>26.0</v>
      </c>
      <c r="AB285" s="349">
        <v>27.0</v>
      </c>
      <c r="AC285" s="349">
        <v>28.0</v>
      </c>
      <c r="AD285" s="349">
        <v>29.0</v>
      </c>
      <c r="AE285" s="349">
        <v>30.0</v>
      </c>
      <c r="AF285" s="36"/>
      <c r="AG285" s="36"/>
      <c r="AH285" s="36"/>
      <c r="AI285" s="36"/>
      <c r="AJ285" s="36"/>
    </row>
    <row r="286" ht="15.75" customHeight="1">
      <c r="A286" s="12" t="s">
        <v>217</v>
      </c>
      <c r="B286" s="12">
        <v>0.0</v>
      </c>
      <c r="C286" s="12">
        <v>0.0</v>
      </c>
      <c r="D286" s="12">
        <v>0.0</v>
      </c>
      <c r="E286" s="12">
        <v>0.0</v>
      </c>
      <c r="F286" s="12">
        <v>0.0</v>
      </c>
      <c r="G286" s="12">
        <v>0.0</v>
      </c>
      <c r="H286" s="12">
        <v>0.0</v>
      </c>
      <c r="I286" s="12">
        <v>0.0</v>
      </c>
      <c r="J286" s="12">
        <v>0.0</v>
      </c>
      <c r="K286" s="12">
        <v>0.0</v>
      </c>
      <c r="L286" s="12">
        <v>0.0</v>
      </c>
      <c r="M286" s="12">
        <v>0.0</v>
      </c>
      <c r="N286" s="12">
        <v>0.0</v>
      </c>
      <c r="O286" s="12">
        <v>0.0</v>
      </c>
      <c r="P286" s="12">
        <v>0.0</v>
      </c>
      <c r="Q286" s="12">
        <v>0.0</v>
      </c>
      <c r="R286" s="12">
        <v>0.0</v>
      </c>
      <c r="S286" s="12">
        <v>0.0</v>
      </c>
      <c r="T286" s="12">
        <v>0.0</v>
      </c>
      <c r="U286" s="12">
        <v>0.0</v>
      </c>
      <c r="V286" s="12">
        <v>0.0</v>
      </c>
      <c r="W286" s="12">
        <v>0.0</v>
      </c>
      <c r="X286" s="12">
        <v>0.0</v>
      </c>
      <c r="Y286" s="12">
        <v>0.0</v>
      </c>
      <c r="Z286" s="12">
        <v>0.0</v>
      </c>
      <c r="AA286" s="12">
        <v>0.0</v>
      </c>
      <c r="AB286" s="12">
        <v>0.0</v>
      </c>
      <c r="AC286" s="12">
        <v>0.0</v>
      </c>
      <c r="AD286" s="12">
        <v>0.0</v>
      </c>
      <c r="AE286" s="12">
        <v>0.0</v>
      </c>
      <c r="AF286" s="36"/>
      <c r="AG286" s="36"/>
      <c r="AH286" s="36"/>
      <c r="AI286" s="36"/>
      <c r="AJ286" s="36"/>
    </row>
    <row r="287" ht="15.75" customHeight="1">
      <c r="A287" s="370" t="s">
        <v>218</v>
      </c>
      <c r="B287" s="377">
        <f>2.25%/(12/Mode)</f>
        <v>0.0225</v>
      </c>
      <c r="C287" s="377">
        <f>2.25%/(12/Mode)</f>
        <v>0.0225</v>
      </c>
      <c r="D287" s="377">
        <f>2.25%/(12/Mode)</f>
        <v>0.0225</v>
      </c>
      <c r="E287" s="377">
        <f>2.25%/(12/Mode)</f>
        <v>0.0225</v>
      </c>
      <c r="F287" s="377">
        <f>2.25%/(12/Mode)</f>
        <v>0.0225</v>
      </c>
      <c r="G287" s="377">
        <f>1%/(12/Mode)</f>
        <v>0.01</v>
      </c>
      <c r="H287" s="377">
        <f>1%/(12/Mode)</f>
        <v>0.01</v>
      </c>
      <c r="I287" s="377">
        <f>1%/(12/Mode)</f>
        <v>0.01</v>
      </c>
      <c r="J287" s="377">
        <f>1%/(12/Mode)</f>
        <v>0.01</v>
      </c>
      <c r="K287" s="377">
        <f>1%/(12/Mode)</f>
        <v>0.01</v>
      </c>
      <c r="L287" s="377">
        <f>1%/(12/Mode)</f>
        <v>0.01</v>
      </c>
      <c r="M287" s="377">
        <f>1%/(12/Mode)</f>
        <v>0.01</v>
      </c>
      <c r="N287" s="377">
        <f>1%/(12/Mode)</f>
        <v>0.01</v>
      </c>
      <c r="O287" s="377">
        <f>1%/(12/Mode)</f>
        <v>0.01</v>
      </c>
      <c r="P287" s="377">
        <f>1%/(12/Mode)</f>
        <v>0.01</v>
      </c>
      <c r="Q287" s="377">
        <f>1%/(12/Mode)</f>
        <v>0.01</v>
      </c>
      <c r="R287" s="377">
        <f>1%/(12/Mode)</f>
        <v>0.01</v>
      </c>
      <c r="S287" s="377">
        <f>1%/(12/Mode)</f>
        <v>0.01</v>
      </c>
      <c r="T287" s="377">
        <f>1%/(12/Mode)</f>
        <v>0.01</v>
      </c>
      <c r="U287" s="377">
        <f>1%/(12/Mode)</f>
        <v>0.01</v>
      </c>
      <c r="V287" s="377">
        <f>1%/(12/Mode)</f>
        <v>0.01</v>
      </c>
      <c r="W287" s="377">
        <f>1%/(12/Mode)</f>
        <v>0.01</v>
      </c>
      <c r="X287" s="377">
        <f>1%/(12/Mode)</f>
        <v>0.01</v>
      </c>
      <c r="Y287" s="377">
        <f>1%/(12/Mode)</f>
        <v>0.01</v>
      </c>
      <c r="Z287" s="377">
        <f>1%/(12/Mode)</f>
        <v>0.01</v>
      </c>
      <c r="AA287" s="377">
        <f>1%/(12/Mode)</f>
        <v>0.01</v>
      </c>
      <c r="AB287" s="377">
        <f>1%/(12/Mode)</f>
        <v>0.01</v>
      </c>
      <c r="AC287" s="377">
        <f>1%/(12/Mode)</f>
        <v>0.01</v>
      </c>
      <c r="AD287" s="377">
        <f>1%/(12/Mode)</f>
        <v>0.01</v>
      </c>
      <c r="AE287" s="377">
        <f>1%/(12/Mode)</f>
        <v>0.01</v>
      </c>
      <c r="AF287" s="36"/>
      <c r="AG287" s="36"/>
      <c r="AH287" s="36"/>
      <c r="AI287" s="36"/>
      <c r="AJ287" s="36"/>
    </row>
    <row r="288" ht="15.75" customHeight="1">
      <c r="A288" s="242" t="s">
        <v>830</v>
      </c>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c r="AA288" s="36"/>
      <c r="AB288" s="36"/>
      <c r="AC288" s="36"/>
      <c r="AD288" s="36"/>
      <c r="AE288" s="36"/>
      <c r="AF288" s="36"/>
      <c r="AG288" s="36"/>
      <c r="AH288" s="36"/>
      <c r="AI288" s="36"/>
      <c r="AJ288" s="36"/>
    </row>
    <row r="289" ht="15.75" customHeight="1">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c r="AA289" s="36"/>
      <c r="AB289" s="36"/>
      <c r="AC289" s="36"/>
      <c r="AD289" s="36"/>
      <c r="AE289" s="36"/>
      <c r="AF289" s="36"/>
      <c r="AG289" s="36"/>
      <c r="AH289" s="36"/>
      <c r="AI289" s="36"/>
      <c r="AJ289" s="36"/>
    </row>
    <row r="290" ht="15.75" customHeight="1">
      <c r="A290" s="376" t="s">
        <v>215</v>
      </c>
      <c r="B290" s="349">
        <v>1.0</v>
      </c>
      <c r="C290" s="349">
        <v>2.0</v>
      </c>
      <c r="D290" s="349">
        <v>3.0</v>
      </c>
      <c r="E290" s="349">
        <v>4.0</v>
      </c>
      <c r="F290" s="349">
        <v>5.0</v>
      </c>
      <c r="G290" s="349">
        <v>6.0</v>
      </c>
      <c r="H290" s="349">
        <v>7.0</v>
      </c>
      <c r="I290" s="349">
        <v>8.0</v>
      </c>
      <c r="J290" s="349">
        <v>9.0</v>
      </c>
      <c r="K290" s="349">
        <v>10.0</v>
      </c>
      <c r="L290" s="349">
        <v>11.0</v>
      </c>
      <c r="M290" s="349">
        <v>12.0</v>
      </c>
      <c r="N290" s="349">
        <v>13.0</v>
      </c>
      <c r="O290" s="349">
        <v>14.0</v>
      </c>
      <c r="P290" s="349">
        <v>15.0</v>
      </c>
      <c r="Q290" s="349">
        <v>16.0</v>
      </c>
      <c r="R290" s="349">
        <v>17.0</v>
      </c>
      <c r="S290" s="349">
        <v>18.0</v>
      </c>
      <c r="T290" s="349">
        <v>19.0</v>
      </c>
      <c r="U290" s="349">
        <v>20.0</v>
      </c>
      <c r="V290" s="349">
        <v>21.0</v>
      </c>
      <c r="W290" s="349">
        <v>22.0</v>
      </c>
      <c r="X290" s="349">
        <v>23.0</v>
      </c>
      <c r="Y290" s="349">
        <v>24.0</v>
      </c>
      <c r="Z290" s="349">
        <v>25.0</v>
      </c>
      <c r="AA290" s="349">
        <v>26.0</v>
      </c>
      <c r="AB290" s="349">
        <v>27.0</v>
      </c>
      <c r="AC290" s="349">
        <v>28.0</v>
      </c>
      <c r="AD290" s="349">
        <v>29.0</v>
      </c>
      <c r="AE290" s="349">
        <v>30.0</v>
      </c>
      <c r="AF290" s="36"/>
      <c r="AG290" s="36"/>
      <c r="AH290" s="36"/>
      <c r="AI290" s="36"/>
      <c r="AJ290" s="36"/>
    </row>
    <row r="291" ht="15.75" customHeight="1">
      <c r="A291" s="12" t="s">
        <v>217</v>
      </c>
      <c r="B291" s="12">
        <v>0.0</v>
      </c>
      <c r="C291" s="12">
        <v>0.0</v>
      </c>
      <c r="D291" s="12">
        <v>0.0</v>
      </c>
      <c r="E291" s="12">
        <v>0.0</v>
      </c>
      <c r="F291" s="12">
        <v>0.0</v>
      </c>
      <c r="G291" s="12">
        <v>0.0</v>
      </c>
      <c r="H291" s="12">
        <v>0.0</v>
      </c>
      <c r="I291" s="12">
        <v>0.0</v>
      </c>
      <c r="J291" s="12">
        <v>0.0</v>
      </c>
      <c r="K291" s="12">
        <v>0.0</v>
      </c>
      <c r="L291" s="12">
        <v>0.0</v>
      </c>
      <c r="M291" s="12">
        <v>0.0</v>
      </c>
      <c r="N291" s="12">
        <v>0.0</v>
      </c>
      <c r="O291" s="12">
        <v>0.0</v>
      </c>
      <c r="P291" s="12">
        <v>0.0</v>
      </c>
      <c r="Q291" s="12">
        <v>0.0</v>
      </c>
      <c r="R291" s="12">
        <v>0.0</v>
      </c>
      <c r="S291" s="12">
        <v>0.0</v>
      </c>
      <c r="T291" s="12">
        <v>0.0</v>
      </c>
      <c r="U291" s="12">
        <v>0.0</v>
      </c>
      <c r="V291" s="12">
        <v>0.0</v>
      </c>
      <c r="W291" s="12">
        <v>0.0</v>
      </c>
      <c r="X291" s="12">
        <v>0.0</v>
      </c>
      <c r="Y291" s="12">
        <v>0.0</v>
      </c>
      <c r="Z291" s="12">
        <v>0.0</v>
      </c>
      <c r="AA291" s="12">
        <v>0.0</v>
      </c>
      <c r="AB291" s="12">
        <v>0.0</v>
      </c>
      <c r="AC291" s="12">
        <v>0.0</v>
      </c>
      <c r="AD291" s="12">
        <v>0.0</v>
      </c>
      <c r="AE291" s="12">
        <v>0.0</v>
      </c>
      <c r="AF291" s="36"/>
      <c r="AG291" s="36"/>
      <c r="AH291" s="36"/>
      <c r="AI291" s="36"/>
      <c r="AJ291" s="36"/>
    </row>
    <row r="292" ht="15.75" customHeight="1">
      <c r="A292" s="370" t="s">
        <v>218</v>
      </c>
      <c r="B292" s="377">
        <f>2.25%/(12/Mode)</f>
        <v>0.0225</v>
      </c>
      <c r="C292" s="377">
        <f>2.25%/(12/Mode)</f>
        <v>0.0225</v>
      </c>
      <c r="D292" s="377">
        <f>2.25%/(12/Mode)</f>
        <v>0.0225</v>
      </c>
      <c r="E292" s="377">
        <f>2.25%/(12/Mode)</f>
        <v>0.0225</v>
      </c>
      <c r="F292" s="377">
        <f>2.25%/(12/Mode)</f>
        <v>0.0225</v>
      </c>
      <c r="G292" s="377">
        <f>1%/(12/Mode)</f>
        <v>0.01</v>
      </c>
      <c r="H292" s="377">
        <f>1%/(12/Mode)</f>
        <v>0.01</v>
      </c>
      <c r="I292" s="377">
        <f>1%/(12/Mode)</f>
        <v>0.01</v>
      </c>
      <c r="J292" s="377">
        <f>1%/(12/Mode)</f>
        <v>0.01</v>
      </c>
      <c r="K292" s="377">
        <f>1%/(12/Mode)</f>
        <v>0.01</v>
      </c>
      <c r="L292" s="377">
        <f>1%/(12/Mode)</f>
        <v>0.01</v>
      </c>
      <c r="M292" s="377">
        <f>1%/(12/Mode)</f>
        <v>0.01</v>
      </c>
      <c r="N292" s="377">
        <f>1%/(12/Mode)</f>
        <v>0.01</v>
      </c>
      <c r="O292" s="377">
        <f>1%/(12/Mode)</f>
        <v>0.01</v>
      </c>
      <c r="P292" s="377">
        <f>1%/(12/Mode)</f>
        <v>0.01</v>
      </c>
      <c r="Q292" s="377">
        <f>1%/(12/Mode)</f>
        <v>0.01</v>
      </c>
      <c r="R292" s="377">
        <f>1%/(12/Mode)</f>
        <v>0.01</v>
      </c>
      <c r="S292" s="377">
        <f>1%/(12/Mode)</f>
        <v>0.01</v>
      </c>
      <c r="T292" s="377">
        <f>1%/(12/Mode)</f>
        <v>0.01</v>
      </c>
      <c r="U292" s="377">
        <f>1%/(12/Mode)</f>
        <v>0.01</v>
      </c>
      <c r="V292" s="377">
        <f>1%/(12/Mode)</f>
        <v>0.01</v>
      </c>
      <c r="W292" s="377">
        <f>1%/(12/Mode)</f>
        <v>0.01</v>
      </c>
      <c r="X292" s="377">
        <f>1%/(12/Mode)</f>
        <v>0.01</v>
      </c>
      <c r="Y292" s="377">
        <f>1%/(12/Mode)</f>
        <v>0.01</v>
      </c>
      <c r="Z292" s="377">
        <f>1%/(12/Mode)</f>
        <v>0.01</v>
      </c>
      <c r="AA292" s="377">
        <f>1%/(12/Mode)</f>
        <v>0.01</v>
      </c>
      <c r="AB292" s="377">
        <f>1%/(12/Mode)</f>
        <v>0.01</v>
      </c>
      <c r="AC292" s="377">
        <f>1%/(12/Mode)</f>
        <v>0.01</v>
      </c>
      <c r="AD292" s="377">
        <f>1%/(12/Mode)</f>
        <v>0.01</v>
      </c>
      <c r="AE292" s="377">
        <f>1%/(12/Mode)</f>
        <v>0.01</v>
      </c>
      <c r="AF292" s="36"/>
      <c r="AG292" s="36"/>
      <c r="AH292" s="36"/>
      <c r="AI292" s="36"/>
      <c r="AJ292" s="36"/>
    </row>
    <row r="293" ht="15.75" customHeight="1">
      <c r="A293" s="378" t="s">
        <v>834</v>
      </c>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c r="AA293" s="36"/>
      <c r="AB293" s="36"/>
      <c r="AC293" s="36"/>
      <c r="AD293" s="36"/>
      <c r="AE293" s="36"/>
      <c r="AF293" s="36"/>
      <c r="AG293" s="36"/>
      <c r="AH293" s="36"/>
      <c r="AI293" s="36"/>
      <c r="AJ293" s="36"/>
    </row>
    <row r="294" ht="15.75" customHeight="1">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c r="AA294" s="36"/>
      <c r="AB294" s="36"/>
      <c r="AC294" s="36"/>
      <c r="AD294" s="36"/>
      <c r="AE294" s="36"/>
      <c r="AF294" s="36"/>
      <c r="AG294" s="36"/>
      <c r="AH294" s="36"/>
      <c r="AI294" s="36"/>
      <c r="AJ294" s="36"/>
    </row>
    <row r="295" ht="15.75" customHeight="1">
      <c r="A295" s="376" t="s">
        <v>215</v>
      </c>
      <c r="B295" s="349">
        <v>1.0</v>
      </c>
      <c r="C295" s="349">
        <v>2.0</v>
      </c>
      <c r="D295" s="349">
        <v>3.0</v>
      </c>
      <c r="E295" s="349">
        <v>4.0</v>
      </c>
      <c r="F295" s="349">
        <v>5.0</v>
      </c>
      <c r="G295" s="349">
        <v>6.0</v>
      </c>
      <c r="H295" s="349">
        <v>7.0</v>
      </c>
      <c r="I295" s="349">
        <v>8.0</v>
      </c>
      <c r="J295" s="349">
        <v>9.0</v>
      </c>
      <c r="K295" s="349">
        <v>10.0</v>
      </c>
      <c r="L295" s="349">
        <v>11.0</v>
      </c>
      <c r="M295" s="349">
        <v>12.0</v>
      </c>
      <c r="N295" s="349">
        <v>13.0</v>
      </c>
      <c r="O295" s="349">
        <v>14.0</v>
      </c>
      <c r="P295" s="349">
        <v>15.0</v>
      </c>
      <c r="Q295" s="349">
        <v>16.0</v>
      </c>
      <c r="R295" s="349">
        <v>17.0</v>
      </c>
      <c r="S295" s="349">
        <v>18.0</v>
      </c>
      <c r="T295" s="349">
        <v>19.0</v>
      </c>
      <c r="U295" s="349">
        <v>20.0</v>
      </c>
      <c r="V295" s="349">
        <v>21.0</v>
      </c>
      <c r="W295" s="349">
        <v>22.0</v>
      </c>
      <c r="X295" s="349">
        <v>23.0</v>
      </c>
      <c r="Y295" s="349">
        <v>24.0</v>
      </c>
      <c r="Z295" s="349">
        <v>25.0</v>
      </c>
      <c r="AA295" s="349">
        <v>26.0</v>
      </c>
      <c r="AB295" s="349">
        <v>27.0</v>
      </c>
      <c r="AC295" s="349">
        <v>28.0</v>
      </c>
      <c r="AD295" s="349">
        <v>29.0</v>
      </c>
      <c r="AE295" s="349">
        <v>30.0</v>
      </c>
      <c r="AF295" s="36"/>
      <c r="AG295" s="36"/>
      <c r="AH295" s="36"/>
      <c r="AI295" s="36"/>
      <c r="AJ295" s="36"/>
    </row>
    <row r="296" ht="15.75" customHeight="1">
      <c r="A296" s="12" t="s">
        <v>217</v>
      </c>
      <c r="B296" s="12">
        <v>0.0</v>
      </c>
      <c r="C296" s="12">
        <v>0.0</v>
      </c>
      <c r="D296" s="12">
        <v>0.0</v>
      </c>
      <c r="E296" s="12">
        <v>0.0</v>
      </c>
      <c r="F296" s="12">
        <v>0.0</v>
      </c>
      <c r="G296" s="12">
        <v>0.0</v>
      </c>
      <c r="H296" s="12">
        <v>0.0</v>
      </c>
      <c r="I296" s="12">
        <v>0.0</v>
      </c>
      <c r="J296" s="12">
        <v>0.0</v>
      </c>
      <c r="K296" s="12">
        <v>0.0</v>
      </c>
      <c r="L296" s="12">
        <v>0.0</v>
      </c>
      <c r="M296" s="12">
        <v>0.0</v>
      </c>
      <c r="N296" s="12">
        <v>0.0</v>
      </c>
      <c r="O296" s="12">
        <v>0.0</v>
      </c>
      <c r="P296" s="12">
        <v>0.0</v>
      </c>
      <c r="Q296" s="12">
        <v>0.0</v>
      </c>
      <c r="R296" s="12">
        <v>0.0</v>
      </c>
      <c r="S296" s="12">
        <v>0.0</v>
      </c>
      <c r="T296" s="12">
        <v>0.0</v>
      </c>
      <c r="U296" s="12">
        <v>0.0</v>
      </c>
      <c r="V296" s="12">
        <v>0.0</v>
      </c>
      <c r="W296" s="12">
        <v>0.0</v>
      </c>
      <c r="X296" s="12">
        <v>0.0</v>
      </c>
      <c r="Y296" s="12">
        <v>0.0</v>
      </c>
      <c r="Z296" s="12">
        <v>0.0</v>
      </c>
      <c r="AA296" s="12">
        <v>0.0</v>
      </c>
      <c r="AB296" s="12">
        <v>0.0</v>
      </c>
      <c r="AC296" s="12">
        <v>0.0</v>
      </c>
      <c r="AD296" s="12">
        <v>0.0</v>
      </c>
      <c r="AE296" s="12">
        <v>0.0</v>
      </c>
      <c r="AF296" s="36"/>
      <c r="AG296" s="36"/>
      <c r="AH296" s="36"/>
      <c r="AI296" s="36"/>
      <c r="AJ296" s="36"/>
    </row>
    <row r="297" ht="15.75" customHeight="1">
      <c r="A297" s="370" t="s">
        <v>218</v>
      </c>
      <c r="B297" s="379">
        <f>1.8%/(12/Mode)</f>
        <v>0.018</v>
      </c>
      <c r="C297" s="379">
        <f t="shared" ref="C297:AE297" si="55">B297*1.05</f>
        <v>0.0189</v>
      </c>
      <c r="D297" s="379">
        <f t="shared" si="55"/>
        <v>0.019845</v>
      </c>
      <c r="E297" s="379">
        <f t="shared" si="55"/>
        <v>0.02083725</v>
      </c>
      <c r="F297" s="379">
        <f t="shared" si="55"/>
        <v>0.0218791125</v>
      </c>
      <c r="G297" s="379">
        <f t="shared" si="55"/>
        <v>0.02297306813</v>
      </c>
      <c r="H297" s="379">
        <f t="shared" si="55"/>
        <v>0.02412172153</v>
      </c>
      <c r="I297" s="379">
        <f t="shared" si="55"/>
        <v>0.02532780761</v>
      </c>
      <c r="J297" s="379">
        <f t="shared" si="55"/>
        <v>0.02659419799</v>
      </c>
      <c r="K297" s="379">
        <f t="shared" si="55"/>
        <v>0.02792390789</v>
      </c>
      <c r="L297" s="379">
        <f t="shared" si="55"/>
        <v>0.02932010328</v>
      </c>
      <c r="M297" s="379">
        <f t="shared" si="55"/>
        <v>0.03078610845</v>
      </c>
      <c r="N297" s="379">
        <f t="shared" si="55"/>
        <v>0.03232541387</v>
      </c>
      <c r="O297" s="379">
        <f t="shared" si="55"/>
        <v>0.03394168456</v>
      </c>
      <c r="P297" s="379">
        <f t="shared" si="55"/>
        <v>0.03563876879</v>
      </c>
      <c r="Q297" s="379">
        <f t="shared" si="55"/>
        <v>0.03742070723</v>
      </c>
      <c r="R297" s="379">
        <f t="shared" si="55"/>
        <v>0.03929174259</v>
      </c>
      <c r="S297" s="379">
        <f t="shared" si="55"/>
        <v>0.04125632972</v>
      </c>
      <c r="T297" s="379">
        <f t="shared" si="55"/>
        <v>0.04331914621</v>
      </c>
      <c r="U297" s="379">
        <f t="shared" si="55"/>
        <v>0.04548510352</v>
      </c>
      <c r="V297" s="379">
        <f t="shared" si="55"/>
        <v>0.04775935869</v>
      </c>
      <c r="W297" s="379">
        <f t="shared" si="55"/>
        <v>0.05014732663</v>
      </c>
      <c r="X297" s="379">
        <f t="shared" si="55"/>
        <v>0.05265469296</v>
      </c>
      <c r="Y297" s="379">
        <f t="shared" si="55"/>
        <v>0.05528742761</v>
      </c>
      <c r="Z297" s="379">
        <f t="shared" si="55"/>
        <v>0.05805179899</v>
      </c>
      <c r="AA297" s="379">
        <f t="shared" si="55"/>
        <v>0.06095438894</v>
      </c>
      <c r="AB297" s="379">
        <f t="shared" si="55"/>
        <v>0.06400210838</v>
      </c>
      <c r="AC297" s="379">
        <f t="shared" si="55"/>
        <v>0.0672022138</v>
      </c>
      <c r="AD297" s="379">
        <f t="shared" si="55"/>
        <v>0.07056232449</v>
      </c>
      <c r="AE297" s="379">
        <f t="shared" si="55"/>
        <v>0.07409044072</v>
      </c>
      <c r="AF297" s="36"/>
      <c r="AG297" s="36"/>
      <c r="AH297" s="36"/>
      <c r="AI297" s="36"/>
      <c r="AJ297" s="36"/>
    </row>
    <row r="298" ht="15.75" customHeight="1">
      <c r="A298" s="242" t="s">
        <v>841</v>
      </c>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c r="AA298" s="36"/>
      <c r="AB298" s="36"/>
      <c r="AC298" s="36"/>
      <c r="AD298" s="36"/>
      <c r="AE298" s="36"/>
      <c r="AF298" s="36"/>
      <c r="AG298" s="36"/>
      <c r="AH298" s="36"/>
      <c r="AI298" s="36"/>
      <c r="AJ298" s="36"/>
    </row>
    <row r="299" ht="15.75" customHeight="1">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c r="AA299" s="36"/>
      <c r="AB299" s="36"/>
      <c r="AC299" s="36"/>
      <c r="AD299" s="36"/>
      <c r="AE299" s="36"/>
      <c r="AF299" s="36"/>
      <c r="AG299" s="36"/>
      <c r="AH299" s="36"/>
      <c r="AI299" s="36"/>
      <c r="AJ299" s="36"/>
    </row>
    <row r="300" ht="15.75" customHeight="1">
      <c r="A300" s="376" t="s">
        <v>215</v>
      </c>
      <c r="B300" s="349">
        <v>1.0</v>
      </c>
      <c r="C300" s="349">
        <v>2.0</v>
      </c>
      <c r="D300" s="349">
        <v>3.0</v>
      </c>
      <c r="E300" s="349">
        <v>4.0</v>
      </c>
      <c r="F300" s="349">
        <v>5.0</v>
      </c>
      <c r="G300" s="349">
        <v>6.0</v>
      </c>
      <c r="H300" s="349">
        <v>7.0</v>
      </c>
      <c r="I300" s="349">
        <v>8.0</v>
      </c>
      <c r="J300" s="349">
        <v>9.0</v>
      </c>
      <c r="K300" s="349">
        <v>10.0</v>
      </c>
      <c r="L300" s="349">
        <v>11.0</v>
      </c>
      <c r="M300" s="349">
        <v>12.0</v>
      </c>
      <c r="N300" s="349">
        <v>13.0</v>
      </c>
      <c r="O300" s="349">
        <v>14.0</v>
      </c>
      <c r="P300" s="349">
        <v>15.0</v>
      </c>
      <c r="Q300" s="349">
        <v>16.0</v>
      </c>
      <c r="R300" s="349">
        <v>17.0</v>
      </c>
      <c r="S300" s="349">
        <v>18.0</v>
      </c>
      <c r="T300" s="349">
        <v>19.0</v>
      </c>
      <c r="U300" s="349">
        <v>20.0</v>
      </c>
      <c r="V300" s="349">
        <v>21.0</v>
      </c>
      <c r="W300" s="349">
        <v>22.0</v>
      </c>
      <c r="X300" s="349">
        <v>23.0</v>
      </c>
      <c r="Y300" s="349">
        <v>24.0</v>
      </c>
      <c r="Z300" s="349">
        <v>25.0</v>
      </c>
      <c r="AA300" s="349">
        <v>26.0</v>
      </c>
      <c r="AB300" s="349">
        <v>27.0</v>
      </c>
      <c r="AC300" s="349">
        <v>28.0</v>
      </c>
      <c r="AD300" s="349">
        <v>29.0</v>
      </c>
      <c r="AE300" s="349">
        <v>30.0</v>
      </c>
      <c r="AF300" s="36"/>
      <c r="AG300" s="36"/>
      <c r="AH300" s="36"/>
      <c r="AI300" s="36"/>
      <c r="AJ300" s="36"/>
    </row>
    <row r="301" ht="15.75" customHeight="1">
      <c r="A301" s="12" t="s">
        <v>217</v>
      </c>
      <c r="B301" s="12">
        <v>0.0</v>
      </c>
      <c r="C301" s="12">
        <v>0.0</v>
      </c>
      <c r="D301" s="12">
        <v>0.0</v>
      </c>
      <c r="E301" s="12">
        <v>0.0</v>
      </c>
      <c r="F301" s="12">
        <v>0.0</v>
      </c>
      <c r="G301" s="12">
        <v>0.0</v>
      </c>
      <c r="H301" s="12">
        <v>0.0</v>
      </c>
      <c r="I301" s="12">
        <v>0.0</v>
      </c>
      <c r="J301" s="12">
        <v>0.0</v>
      </c>
      <c r="K301" s="12">
        <v>0.0</v>
      </c>
      <c r="L301" s="12">
        <v>0.0</v>
      </c>
      <c r="M301" s="12">
        <v>0.0</v>
      </c>
      <c r="N301" s="12">
        <v>0.0</v>
      </c>
      <c r="O301" s="12">
        <v>0.0</v>
      </c>
      <c r="P301" s="12">
        <v>0.0</v>
      </c>
      <c r="Q301" s="12">
        <v>0.0</v>
      </c>
      <c r="R301" s="12">
        <v>0.0</v>
      </c>
      <c r="S301" s="12">
        <v>0.0</v>
      </c>
      <c r="T301" s="12">
        <v>0.0</v>
      </c>
      <c r="U301" s="12">
        <v>0.0</v>
      </c>
      <c r="V301" s="12">
        <v>0.0</v>
      </c>
      <c r="W301" s="12">
        <v>0.0</v>
      </c>
      <c r="X301" s="12">
        <v>0.0</v>
      </c>
      <c r="Y301" s="12">
        <v>0.0</v>
      </c>
      <c r="Z301" s="12">
        <v>0.0</v>
      </c>
      <c r="AA301" s="12">
        <v>0.0</v>
      </c>
      <c r="AB301" s="12">
        <v>0.0</v>
      </c>
      <c r="AC301" s="12">
        <v>0.0</v>
      </c>
      <c r="AD301" s="12">
        <v>0.0</v>
      </c>
      <c r="AE301" s="12">
        <v>0.0</v>
      </c>
      <c r="AF301" s="36"/>
      <c r="AG301" s="36"/>
      <c r="AH301" s="36"/>
      <c r="AI301" s="36"/>
      <c r="AJ301" s="36"/>
    </row>
    <row r="302" ht="15.75" customHeight="1">
      <c r="A302" s="370" t="s">
        <v>218</v>
      </c>
      <c r="B302" s="379">
        <f>1.8%/(12/Mode)</f>
        <v>0.018</v>
      </c>
      <c r="C302" s="379">
        <f t="shared" ref="C302:AE302" si="56">B302*1.05</f>
        <v>0.0189</v>
      </c>
      <c r="D302" s="379">
        <f t="shared" si="56"/>
        <v>0.019845</v>
      </c>
      <c r="E302" s="379">
        <f t="shared" si="56"/>
        <v>0.02083725</v>
      </c>
      <c r="F302" s="379">
        <f t="shared" si="56"/>
        <v>0.0218791125</v>
      </c>
      <c r="G302" s="379">
        <f t="shared" si="56"/>
        <v>0.02297306813</v>
      </c>
      <c r="H302" s="379">
        <f t="shared" si="56"/>
        <v>0.02412172153</v>
      </c>
      <c r="I302" s="379">
        <f t="shared" si="56"/>
        <v>0.02532780761</v>
      </c>
      <c r="J302" s="379">
        <f t="shared" si="56"/>
        <v>0.02659419799</v>
      </c>
      <c r="K302" s="379">
        <f t="shared" si="56"/>
        <v>0.02792390789</v>
      </c>
      <c r="L302" s="379">
        <f t="shared" si="56"/>
        <v>0.02932010328</v>
      </c>
      <c r="M302" s="379">
        <f t="shared" si="56"/>
        <v>0.03078610845</v>
      </c>
      <c r="N302" s="379">
        <f t="shared" si="56"/>
        <v>0.03232541387</v>
      </c>
      <c r="O302" s="379">
        <f t="shared" si="56"/>
        <v>0.03394168456</v>
      </c>
      <c r="P302" s="379">
        <f t="shared" si="56"/>
        <v>0.03563876879</v>
      </c>
      <c r="Q302" s="379">
        <f t="shared" si="56"/>
        <v>0.03742070723</v>
      </c>
      <c r="R302" s="379">
        <f t="shared" si="56"/>
        <v>0.03929174259</v>
      </c>
      <c r="S302" s="379">
        <f t="shared" si="56"/>
        <v>0.04125632972</v>
      </c>
      <c r="T302" s="379">
        <f t="shared" si="56"/>
        <v>0.04331914621</v>
      </c>
      <c r="U302" s="379">
        <f t="shared" si="56"/>
        <v>0.04548510352</v>
      </c>
      <c r="V302" s="379">
        <f t="shared" si="56"/>
        <v>0.04775935869</v>
      </c>
      <c r="W302" s="379">
        <f t="shared" si="56"/>
        <v>0.05014732663</v>
      </c>
      <c r="X302" s="379">
        <f t="shared" si="56"/>
        <v>0.05265469296</v>
      </c>
      <c r="Y302" s="379">
        <f t="shared" si="56"/>
        <v>0.05528742761</v>
      </c>
      <c r="Z302" s="379">
        <f t="shared" si="56"/>
        <v>0.05805179899</v>
      </c>
      <c r="AA302" s="379">
        <f t="shared" si="56"/>
        <v>0.06095438894</v>
      </c>
      <c r="AB302" s="379">
        <f t="shared" si="56"/>
        <v>0.06400210838</v>
      </c>
      <c r="AC302" s="379">
        <f t="shared" si="56"/>
        <v>0.0672022138</v>
      </c>
      <c r="AD302" s="379">
        <f t="shared" si="56"/>
        <v>0.07056232449</v>
      </c>
      <c r="AE302" s="379">
        <f t="shared" si="56"/>
        <v>0.07409044072</v>
      </c>
      <c r="AF302" s="36"/>
      <c r="AG302" s="36"/>
      <c r="AH302" s="36"/>
      <c r="AI302" s="36"/>
      <c r="AJ302" s="36"/>
    </row>
    <row r="303" ht="15.75" customHeight="1">
      <c r="A303" s="337" t="s">
        <v>845</v>
      </c>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c r="AA303" s="36"/>
      <c r="AB303" s="36"/>
      <c r="AC303" s="36"/>
      <c r="AD303" s="36"/>
      <c r="AE303" s="36"/>
      <c r="AF303" s="36"/>
      <c r="AG303" s="36"/>
      <c r="AH303" s="36"/>
      <c r="AI303" s="36"/>
      <c r="AJ303" s="36"/>
    </row>
    <row r="304" ht="15.75" customHeight="1">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c r="AA304" s="36"/>
      <c r="AB304" s="36"/>
      <c r="AC304" s="36"/>
      <c r="AD304" s="36"/>
      <c r="AE304" s="36"/>
      <c r="AF304" s="36"/>
      <c r="AG304" s="36"/>
      <c r="AH304" s="36"/>
      <c r="AI304" s="36"/>
      <c r="AJ304" s="36"/>
    </row>
    <row r="305" ht="15.75" customHeight="1">
      <c r="A305" s="376" t="s">
        <v>215</v>
      </c>
      <c r="B305" s="349">
        <v>1.0</v>
      </c>
      <c r="C305" s="349">
        <v>2.0</v>
      </c>
      <c r="D305" s="349">
        <v>3.0</v>
      </c>
      <c r="E305" s="349">
        <v>4.0</v>
      </c>
      <c r="F305" s="349">
        <v>5.0</v>
      </c>
      <c r="G305" s="349">
        <v>6.0</v>
      </c>
      <c r="H305" s="349">
        <v>7.0</v>
      </c>
      <c r="I305" s="349">
        <v>8.0</v>
      </c>
      <c r="J305" s="349">
        <v>9.0</v>
      </c>
      <c r="K305" s="349">
        <v>10.0</v>
      </c>
      <c r="L305" s="349">
        <v>11.0</v>
      </c>
      <c r="M305" s="349">
        <v>12.0</v>
      </c>
      <c r="N305" s="349">
        <v>13.0</v>
      </c>
      <c r="O305" s="349">
        <v>14.0</v>
      </c>
      <c r="P305" s="349">
        <v>15.0</v>
      </c>
      <c r="Q305" s="349">
        <v>16.0</v>
      </c>
      <c r="R305" s="349">
        <v>17.0</v>
      </c>
      <c r="S305" s="349">
        <v>18.0</v>
      </c>
      <c r="T305" s="349">
        <v>19.0</v>
      </c>
      <c r="U305" s="349">
        <v>20.0</v>
      </c>
      <c r="V305" s="349">
        <v>21.0</v>
      </c>
      <c r="W305" s="349">
        <v>22.0</v>
      </c>
      <c r="X305" s="349">
        <v>23.0</v>
      </c>
      <c r="Y305" s="349">
        <v>24.0</v>
      </c>
      <c r="Z305" s="349">
        <v>25.0</v>
      </c>
      <c r="AA305" s="349">
        <v>26.0</v>
      </c>
      <c r="AB305" s="349">
        <v>27.0</v>
      </c>
      <c r="AC305" s="349">
        <v>28.0</v>
      </c>
      <c r="AD305" s="349">
        <v>29.0</v>
      </c>
      <c r="AE305" s="349">
        <v>30.0</v>
      </c>
      <c r="AF305" s="36"/>
      <c r="AG305" s="36"/>
      <c r="AH305" s="36"/>
      <c r="AI305" s="36"/>
      <c r="AJ305" s="36"/>
    </row>
    <row r="306" ht="15.75" customHeight="1">
      <c r="A306" s="12" t="s">
        <v>217</v>
      </c>
      <c r="B306" s="12">
        <v>0.0</v>
      </c>
      <c r="C306" s="12">
        <v>0.0</v>
      </c>
      <c r="D306" s="12">
        <v>0.0</v>
      </c>
      <c r="E306" s="12">
        <v>0.0</v>
      </c>
      <c r="F306" s="12">
        <v>0.0</v>
      </c>
      <c r="G306" s="12">
        <v>0.0</v>
      </c>
      <c r="H306" s="12">
        <v>0.0</v>
      </c>
      <c r="I306" s="12">
        <v>0.0</v>
      </c>
      <c r="J306" s="12">
        <v>0.0</v>
      </c>
      <c r="K306" s="12">
        <v>0.0</v>
      </c>
      <c r="L306" s="12">
        <v>0.0</v>
      </c>
      <c r="M306" s="12">
        <v>0.0</v>
      </c>
      <c r="N306" s="12">
        <v>0.0</v>
      </c>
      <c r="O306" s="12">
        <v>0.0</v>
      </c>
      <c r="P306" s="12">
        <v>0.0</v>
      </c>
      <c r="Q306" s="12">
        <v>0.0</v>
      </c>
      <c r="R306" s="12">
        <v>0.0</v>
      </c>
      <c r="S306" s="12">
        <v>0.0</v>
      </c>
      <c r="T306" s="12">
        <v>0.0</v>
      </c>
      <c r="U306" s="12">
        <v>0.0</v>
      </c>
      <c r="V306" s="12">
        <v>0.0</v>
      </c>
      <c r="W306" s="12">
        <v>0.0</v>
      </c>
      <c r="X306" s="12">
        <v>0.0</v>
      </c>
      <c r="Y306" s="12">
        <v>0.0</v>
      </c>
      <c r="Z306" s="12">
        <v>0.0</v>
      </c>
      <c r="AA306" s="12">
        <v>0.0</v>
      </c>
      <c r="AB306" s="12">
        <v>0.0</v>
      </c>
      <c r="AC306" s="12">
        <v>0.0</v>
      </c>
      <c r="AD306" s="12">
        <v>0.0</v>
      </c>
      <c r="AE306" s="12">
        <v>0.0</v>
      </c>
      <c r="AF306" s="36"/>
      <c r="AG306" s="36"/>
      <c r="AH306" s="36"/>
      <c r="AI306" s="36"/>
      <c r="AJ306" s="36"/>
    </row>
    <row r="307" ht="15.75" customHeight="1">
      <c r="A307" s="370" t="s">
        <v>218</v>
      </c>
      <c r="B307" s="379">
        <f>1.8%/(12/Mode)</f>
        <v>0.018</v>
      </c>
      <c r="C307" s="379">
        <f t="shared" ref="C307:AE307" si="57">B307*1.05</f>
        <v>0.0189</v>
      </c>
      <c r="D307" s="379">
        <f t="shared" si="57"/>
        <v>0.019845</v>
      </c>
      <c r="E307" s="379">
        <f t="shared" si="57"/>
        <v>0.02083725</v>
      </c>
      <c r="F307" s="379">
        <f t="shared" si="57"/>
        <v>0.0218791125</v>
      </c>
      <c r="G307" s="379">
        <f t="shared" si="57"/>
        <v>0.02297306813</v>
      </c>
      <c r="H307" s="379">
        <f t="shared" si="57"/>
        <v>0.02412172153</v>
      </c>
      <c r="I307" s="379">
        <f t="shared" si="57"/>
        <v>0.02532780761</v>
      </c>
      <c r="J307" s="379">
        <f t="shared" si="57"/>
        <v>0.02659419799</v>
      </c>
      <c r="K307" s="379">
        <f t="shared" si="57"/>
        <v>0.02792390789</v>
      </c>
      <c r="L307" s="379">
        <f t="shared" si="57"/>
        <v>0.02932010328</v>
      </c>
      <c r="M307" s="379">
        <f t="shared" si="57"/>
        <v>0.03078610845</v>
      </c>
      <c r="N307" s="379">
        <f t="shared" si="57"/>
        <v>0.03232541387</v>
      </c>
      <c r="O307" s="379">
        <f t="shared" si="57"/>
        <v>0.03394168456</v>
      </c>
      <c r="P307" s="379">
        <f t="shared" si="57"/>
        <v>0.03563876879</v>
      </c>
      <c r="Q307" s="379">
        <f t="shared" si="57"/>
        <v>0.03742070723</v>
      </c>
      <c r="R307" s="379">
        <f t="shared" si="57"/>
        <v>0.03929174259</v>
      </c>
      <c r="S307" s="379">
        <f t="shared" si="57"/>
        <v>0.04125632972</v>
      </c>
      <c r="T307" s="379">
        <f t="shared" si="57"/>
        <v>0.04331914621</v>
      </c>
      <c r="U307" s="379">
        <f t="shared" si="57"/>
        <v>0.04548510352</v>
      </c>
      <c r="V307" s="379">
        <f t="shared" si="57"/>
        <v>0.04775935869</v>
      </c>
      <c r="W307" s="379">
        <f t="shared" si="57"/>
        <v>0.05014732663</v>
      </c>
      <c r="X307" s="379">
        <f t="shared" si="57"/>
        <v>0.05265469296</v>
      </c>
      <c r="Y307" s="379">
        <f t="shared" si="57"/>
        <v>0.05528742761</v>
      </c>
      <c r="Z307" s="379">
        <f t="shared" si="57"/>
        <v>0.05805179899</v>
      </c>
      <c r="AA307" s="379">
        <f t="shared" si="57"/>
        <v>0.06095438894</v>
      </c>
      <c r="AB307" s="379">
        <f t="shared" si="57"/>
        <v>0.06400210838</v>
      </c>
      <c r="AC307" s="379">
        <f t="shared" si="57"/>
        <v>0.0672022138</v>
      </c>
      <c r="AD307" s="379">
        <f t="shared" si="57"/>
        <v>0.07056232449</v>
      </c>
      <c r="AE307" s="379">
        <f t="shared" si="57"/>
        <v>0.07409044072</v>
      </c>
      <c r="AF307" s="36"/>
      <c r="AG307" s="36"/>
      <c r="AH307" s="36"/>
      <c r="AI307" s="36"/>
      <c r="AJ307" s="36"/>
    </row>
    <row r="308" ht="15.75" customHeight="1">
      <c r="A308" s="337" t="s">
        <v>853</v>
      </c>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c r="AA308" s="36"/>
      <c r="AB308" s="36"/>
      <c r="AC308" s="36"/>
      <c r="AD308" s="36"/>
      <c r="AE308" s="36"/>
      <c r="AF308" s="36"/>
      <c r="AG308" s="36"/>
      <c r="AH308" s="36"/>
      <c r="AI308" s="36"/>
      <c r="AJ308" s="36"/>
    </row>
    <row r="309" ht="15.75" customHeight="1">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c r="AA309" s="36"/>
      <c r="AB309" s="36"/>
      <c r="AC309" s="36"/>
      <c r="AD309" s="36"/>
      <c r="AE309" s="36"/>
      <c r="AF309" s="36"/>
      <c r="AG309" s="36"/>
      <c r="AH309" s="36"/>
      <c r="AI309" s="36"/>
      <c r="AJ309" s="36"/>
    </row>
    <row r="310" ht="15.75" customHeight="1">
      <c r="A310" s="376" t="s">
        <v>215</v>
      </c>
      <c r="B310" s="349">
        <v>1.0</v>
      </c>
      <c r="C310" s="349">
        <v>2.0</v>
      </c>
      <c r="D310" s="349">
        <v>3.0</v>
      </c>
      <c r="E310" s="349">
        <v>4.0</v>
      </c>
      <c r="F310" s="349">
        <v>5.0</v>
      </c>
      <c r="G310" s="349">
        <v>6.0</v>
      </c>
      <c r="H310" s="349">
        <v>7.0</v>
      </c>
      <c r="I310" s="349">
        <v>8.0</v>
      </c>
      <c r="J310" s="349">
        <v>9.0</v>
      </c>
      <c r="K310" s="349">
        <v>10.0</v>
      </c>
      <c r="L310" s="349">
        <v>11.0</v>
      </c>
      <c r="M310" s="349">
        <v>12.0</v>
      </c>
      <c r="N310" s="349">
        <v>13.0</v>
      </c>
      <c r="O310" s="349">
        <v>14.0</v>
      </c>
      <c r="P310" s="349">
        <v>15.0</v>
      </c>
      <c r="Q310" s="349">
        <v>16.0</v>
      </c>
      <c r="R310" s="349">
        <v>17.0</v>
      </c>
      <c r="S310" s="349">
        <v>18.0</v>
      </c>
      <c r="T310" s="349">
        <v>19.0</v>
      </c>
      <c r="U310" s="349">
        <v>20.0</v>
      </c>
      <c r="V310" s="349">
        <v>21.0</v>
      </c>
      <c r="W310" s="349">
        <v>22.0</v>
      </c>
      <c r="X310" s="349">
        <v>23.0</v>
      </c>
      <c r="Y310" s="349">
        <v>24.0</v>
      </c>
      <c r="Z310" s="349">
        <v>25.0</v>
      </c>
      <c r="AA310" s="349">
        <v>26.0</v>
      </c>
      <c r="AB310" s="349">
        <v>27.0</v>
      </c>
      <c r="AC310" s="349">
        <v>28.0</v>
      </c>
      <c r="AD310" s="349">
        <v>29.0</v>
      </c>
      <c r="AE310" s="349">
        <v>30.0</v>
      </c>
      <c r="AF310" s="36"/>
      <c r="AG310" s="36"/>
      <c r="AH310" s="36"/>
      <c r="AI310" s="36"/>
      <c r="AJ310" s="36"/>
    </row>
    <row r="311" ht="15.75" customHeight="1">
      <c r="A311" s="12" t="s">
        <v>217</v>
      </c>
      <c r="B311" s="12">
        <v>0.0</v>
      </c>
      <c r="C311" s="12">
        <v>0.0</v>
      </c>
      <c r="D311" s="12">
        <v>0.0</v>
      </c>
      <c r="E311" s="12">
        <v>0.0</v>
      </c>
      <c r="F311" s="12">
        <v>0.0</v>
      </c>
      <c r="G311" s="12">
        <v>0.0</v>
      </c>
      <c r="H311" s="12">
        <v>0.0</v>
      </c>
      <c r="I311" s="12">
        <v>0.0</v>
      </c>
      <c r="J311" s="12">
        <v>0.0</v>
      </c>
      <c r="K311" s="12">
        <v>0.0</v>
      </c>
      <c r="L311" s="12">
        <v>0.0</v>
      </c>
      <c r="M311" s="12">
        <v>0.0</v>
      </c>
      <c r="N311" s="12">
        <v>0.0</v>
      </c>
      <c r="O311" s="12">
        <v>0.0</v>
      </c>
      <c r="P311" s="12">
        <v>0.0</v>
      </c>
      <c r="Q311" s="12">
        <v>0.0</v>
      </c>
      <c r="R311" s="12">
        <v>0.0</v>
      </c>
      <c r="S311" s="12">
        <v>0.0</v>
      </c>
      <c r="T311" s="12">
        <v>0.0</v>
      </c>
      <c r="U311" s="12">
        <v>0.0</v>
      </c>
      <c r="V311" s="12">
        <v>0.0</v>
      </c>
      <c r="W311" s="12">
        <v>0.0</v>
      </c>
      <c r="X311" s="12">
        <v>0.0</v>
      </c>
      <c r="Y311" s="12">
        <v>0.0</v>
      </c>
      <c r="Z311" s="12">
        <v>0.0</v>
      </c>
      <c r="AA311" s="12">
        <v>0.0</v>
      </c>
      <c r="AB311" s="12">
        <v>0.0</v>
      </c>
      <c r="AC311" s="12">
        <v>0.0</v>
      </c>
      <c r="AD311" s="12">
        <v>0.0</v>
      </c>
      <c r="AE311" s="12">
        <v>0.0</v>
      </c>
      <c r="AF311" s="36"/>
      <c r="AG311" s="36"/>
      <c r="AH311" s="36"/>
      <c r="AI311" s="36"/>
      <c r="AJ311" s="36"/>
    </row>
    <row r="312" ht="15.75" customHeight="1">
      <c r="A312" s="370" t="s">
        <v>218</v>
      </c>
      <c r="B312" s="379">
        <f>1.8%/(12/Mode)</f>
        <v>0.018</v>
      </c>
      <c r="C312" s="379">
        <f t="shared" ref="C312:AE312" si="58">B312*1.05</f>
        <v>0.0189</v>
      </c>
      <c r="D312" s="379">
        <f t="shared" si="58"/>
        <v>0.019845</v>
      </c>
      <c r="E312" s="379">
        <f t="shared" si="58"/>
        <v>0.02083725</v>
      </c>
      <c r="F312" s="379">
        <f t="shared" si="58"/>
        <v>0.0218791125</v>
      </c>
      <c r="G312" s="379">
        <f t="shared" si="58"/>
        <v>0.02297306813</v>
      </c>
      <c r="H312" s="379">
        <f t="shared" si="58"/>
        <v>0.02412172153</v>
      </c>
      <c r="I312" s="379">
        <f t="shared" si="58"/>
        <v>0.02532780761</v>
      </c>
      <c r="J312" s="379">
        <f t="shared" si="58"/>
        <v>0.02659419799</v>
      </c>
      <c r="K312" s="379">
        <f t="shared" si="58"/>
        <v>0.02792390789</v>
      </c>
      <c r="L312" s="379">
        <f t="shared" si="58"/>
        <v>0.02932010328</v>
      </c>
      <c r="M312" s="379">
        <f t="shared" si="58"/>
        <v>0.03078610845</v>
      </c>
      <c r="N312" s="379">
        <f t="shared" si="58"/>
        <v>0.03232541387</v>
      </c>
      <c r="O312" s="379">
        <f t="shared" si="58"/>
        <v>0.03394168456</v>
      </c>
      <c r="P312" s="379">
        <f t="shared" si="58"/>
        <v>0.03563876879</v>
      </c>
      <c r="Q312" s="379">
        <f t="shared" si="58"/>
        <v>0.03742070723</v>
      </c>
      <c r="R312" s="379">
        <f t="shared" si="58"/>
        <v>0.03929174259</v>
      </c>
      <c r="S312" s="379">
        <f t="shared" si="58"/>
        <v>0.04125632972</v>
      </c>
      <c r="T312" s="379">
        <f t="shared" si="58"/>
        <v>0.04331914621</v>
      </c>
      <c r="U312" s="379">
        <f t="shared" si="58"/>
        <v>0.04548510352</v>
      </c>
      <c r="V312" s="379">
        <f t="shared" si="58"/>
        <v>0.04775935869</v>
      </c>
      <c r="W312" s="379">
        <f t="shared" si="58"/>
        <v>0.05014732663</v>
      </c>
      <c r="X312" s="379">
        <f t="shared" si="58"/>
        <v>0.05265469296</v>
      </c>
      <c r="Y312" s="379">
        <f t="shared" si="58"/>
        <v>0.05528742761</v>
      </c>
      <c r="Z312" s="379">
        <f t="shared" si="58"/>
        <v>0.05805179899</v>
      </c>
      <c r="AA312" s="379">
        <f t="shared" si="58"/>
        <v>0.06095438894</v>
      </c>
      <c r="AB312" s="379">
        <f t="shared" si="58"/>
        <v>0.06400210838</v>
      </c>
      <c r="AC312" s="379">
        <f t="shared" si="58"/>
        <v>0.0672022138</v>
      </c>
      <c r="AD312" s="379">
        <f t="shared" si="58"/>
        <v>0.07056232449</v>
      </c>
      <c r="AE312" s="379">
        <f t="shared" si="58"/>
        <v>0.07409044072</v>
      </c>
      <c r="AF312" s="36"/>
      <c r="AG312" s="36"/>
      <c r="AH312" s="36"/>
      <c r="AI312" s="36"/>
      <c r="AJ312" s="36"/>
    </row>
    <row r="313" ht="15.75" customHeight="1">
      <c r="A313" s="337" t="s">
        <v>858</v>
      </c>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c r="AI313" s="36"/>
      <c r="AJ313" s="36"/>
    </row>
    <row r="314" ht="15.75" customHeight="1">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c r="AI314" s="36"/>
      <c r="AJ314" s="36"/>
    </row>
    <row r="315" ht="15.75" customHeight="1">
      <c r="A315" s="376" t="s">
        <v>215</v>
      </c>
      <c r="B315" s="349">
        <v>1.0</v>
      </c>
      <c r="C315" s="349">
        <v>2.0</v>
      </c>
      <c r="D315" s="349">
        <v>3.0</v>
      </c>
      <c r="E315" s="349">
        <v>4.0</v>
      </c>
      <c r="F315" s="349">
        <v>5.0</v>
      </c>
      <c r="G315" s="349">
        <v>6.0</v>
      </c>
      <c r="H315" s="349">
        <v>7.0</v>
      </c>
      <c r="I315" s="349">
        <v>8.0</v>
      </c>
      <c r="J315" s="349">
        <v>9.0</v>
      </c>
      <c r="K315" s="349">
        <v>10.0</v>
      </c>
      <c r="L315" s="349">
        <v>11.0</v>
      </c>
      <c r="M315" s="349">
        <v>12.0</v>
      </c>
      <c r="N315" s="349">
        <v>13.0</v>
      </c>
      <c r="O315" s="349">
        <v>14.0</v>
      </c>
      <c r="P315" s="349">
        <v>15.0</v>
      </c>
      <c r="Q315" s="349">
        <v>16.0</v>
      </c>
      <c r="R315" s="349">
        <v>17.0</v>
      </c>
      <c r="S315" s="349">
        <v>18.0</v>
      </c>
      <c r="T315" s="349">
        <v>19.0</v>
      </c>
      <c r="U315" s="349">
        <v>20.0</v>
      </c>
      <c r="V315" s="349">
        <v>21.0</v>
      </c>
      <c r="W315" s="349">
        <v>22.0</v>
      </c>
      <c r="X315" s="349">
        <v>23.0</v>
      </c>
      <c r="Y315" s="349">
        <v>24.0</v>
      </c>
      <c r="Z315" s="349">
        <v>25.0</v>
      </c>
      <c r="AA315" s="349">
        <v>26.0</v>
      </c>
      <c r="AB315" s="349">
        <v>27.0</v>
      </c>
      <c r="AC315" s="349">
        <v>28.0</v>
      </c>
      <c r="AD315" s="349">
        <v>29.0</v>
      </c>
      <c r="AE315" s="349">
        <v>30.0</v>
      </c>
      <c r="AF315" s="36"/>
      <c r="AG315" s="36"/>
      <c r="AH315" s="36"/>
      <c r="AI315" s="36"/>
      <c r="AJ315" s="36"/>
    </row>
    <row r="316" ht="15.75" customHeight="1">
      <c r="A316" s="12" t="s">
        <v>217</v>
      </c>
      <c r="B316" s="12">
        <v>0.0</v>
      </c>
      <c r="C316" s="12">
        <v>0.0</v>
      </c>
      <c r="D316" s="12">
        <v>0.0</v>
      </c>
      <c r="E316" s="12">
        <v>0.0</v>
      </c>
      <c r="F316" s="12">
        <v>0.0</v>
      </c>
      <c r="G316" s="12">
        <v>0.0</v>
      </c>
      <c r="H316" s="12">
        <v>0.0</v>
      </c>
      <c r="I316" s="12">
        <v>0.0</v>
      </c>
      <c r="J316" s="12">
        <v>0.0</v>
      </c>
      <c r="K316" s="12">
        <v>0.0</v>
      </c>
      <c r="L316" s="12">
        <v>0.0</v>
      </c>
      <c r="M316" s="12">
        <v>0.0</v>
      </c>
      <c r="N316" s="12">
        <v>0.0</v>
      </c>
      <c r="O316" s="12">
        <v>0.0</v>
      </c>
      <c r="P316" s="12">
        <v>0.0</v>
      </c>
      <c r="Q316" s="12">
        <v>0.0</v>
      </c>
      <c r="R316" s="12">
        <v>0.0</v>
      </c>
      <c r="S316" s="12">
        <v>0.0</v>
      </c>
      <c r="T316" s="12">
        <v>0.0</v>
      </c>
      <c r="U316" s="12">
        <v>0.0</v>
      </c>
      <c r="V316" s="12">
        <v>0.0</v>
      </c>
      <c r="W316" s="12">
        <v>0.0</v>
      </c>
      <c r="X316" s="12">
        <v>0.0</v>
      </c>
      <c r="Y316" s="12">
        <v>0.0</v>
      </c>
      <c r="Z316" s="12">
        <v>0.0</v>
      </c>
      <c r="AA316" s="12">
        <v>0.0</v>
      </c>
      <c r="AB316" s="12">
        <v>0.0</v>
      </c>
      <c r="AC316" s="12">
        <v>0.0</v>
      </c>
      <c r="AD316" s="12">
        <v>0.0</v>
      </c>
      <c r="AE316" s="12">
        <v>0.0</v>
      </c>
      <c r="AF316" s="36"/>
      <c r="AG316" s="36"/>
      <c r="AH316" s="36"/>
      <c r="AI316" s="36"/>
      <c r="AJ316" s="36"/>
    </row>
    <row r="317" ht="15.75" customHeight="1">
      <c r="A317" s="370" t="s">
        <v>218</v>
      </c>
      <c r="B317" s="379">
        <f>1.8%/(12/Mode)</f>
        <v>0.018</v>
      </c>
      <c r="C317" s="379">
        <f t="shared" ref="C317:AE317" si="59">B317*1.05</f>
        <v>0.0189</v>
      </c>
      <c r="D317" s="379">
        <f t="shared" si="59"/>
        <v>0.019845</v>
      </c>
      <c r="E317" s="379">
        <f t="shared" si="59"/>
        <v>0.02083725</v>
      </c>
      <c r="F317" s="379">
        <f t="shared" si="59"/>
        <v>0.0218791125</v>
      </c>
      <c r="G317" s="379">
        <f t="shared" si="59"/>
        <v>0.02297306813</v>
      </c>
      <c r="H317" s="379">
        <f t="shared" si="59"/>
        <v>0.02412172153</v>
      </c>
      <c r="I317" s="379">
        <f t="shared" si="59"/>
        <v>0.02532780761</v>
      </c>
      <c r="J317" s="379">
        <f t="shared" si="59"/>
        <v>0.02659419799</v>
      </c>
      <c r="K317" s="379">
        <f t="shared" si="59"/>
        <v>0.02792390789</v>
      </c>
      <c r="L317" s="379">
        <f t="shared" si="59"/>
        <v>0.02932010328</v>
      </c>
      <c r="M317" s="379">
        <f t="shared" si="59"/>
        <v>0.03078610845</v>
      </c>
      <c r="N317" s="379">
        <f t="shared" si="59"/>
        <v>0.03232541387</v>
      </c>
      <c r="O317" s="379">
        <f t="shared" si="59"/>
        <v>0.03394168456</v>
      </c>
      <c r="P317" s="379">
        <f t="shared" si="59"/>
        <v>0.03563876879</v>
      </c>
      <c r="Q317" s="379">
        <f t="shared" si="59"/>
        <v>0.03742070723</v>
      </c>
      <c r="R317" s="379">
        <f t="shared" si="59"/>
        <v>0.03929174259</v>
      </c>
      <c r="S317" s="379">
        <f t="shared" si="59"/>
        <v>0.04125632972</v>
      </c>
      <c r="T317" s="379">
        <f t="shared" si="59"/>
        <v>0.04331914621</v>
      </c>
      <c r="U317" s="379">
        <f t="shared" si="59"/>
        <v>0.04548510352</v>
      </c>
      <c r="V317" s="379">
        <f t="shared" si="59"/>
        <v>0.04775935869</v>
      </c>
      <c r="W317" s="379">
        <f t="shared" si="59"/>
        <v>0.05014732663</v>
      </c>
      <c r="X317" s="379">
        <f t="shared" si="59"/>
        <v>0.05265469296</v>
      </c>
      <c r="Y317" s="379">
        <f t="shared" si="59"/>
        <v>0.05528742761</v>
      </c>
      <c r="Z317" s="379">
        <f t="shared" si="59"/>
        <v>0.05805179899</v>
      </c>
      <c r="AA317" s="379">
        <f t="shared" si="59"/>
        <v>0.06095438894</v>
      </c>
      <c r="AB317" s="379">
        <f t="shared" si="59"/>
        <v>0.06400210838</v>
      </c>
      <c r="AC317" s="379">
        <f t="shared" si="59"/>
        <v>0.0672022138</v>
      </c>
      <c r="AD317" s="379">
        <f t="shared" si="59"/>
        <v>0.07056232449</v>
      </c>
      <c r="AE317" s="379">
        <f t="shared" si="59"/>
        <v>0.07409044072</v>
      </c>
      <c r="AF317" s="36"/>
      <c r="AG317" s="36"/>
      <c r="AH317" s="36"/>
      <c r="AI317" s="36"/>
      <c r="AJ317" s="36"/>
    </row>
    <row r="318" ht="15.75" customHeight="1">
      <c r="A318" s="337" t="s">
        <v>862</v>
      </c>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I318" s="36"/>
      <c r="AJ318" s="36"/>
    </row>
    <row r="319" ht="15.75" customHeight="1">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I319" s="36"/>
      <c r="AJ319" s="36"/>
    </row>
    <row r="320" ht="15.75" customHeight="1">
      <c r="A320" s="376" t="s">
        <v>215</v>
      </c>
      <c r="B320" s="349">
        <v>1.0</v>
      </c>
      <c r="C320" s="349">
        <v>2.0</v>
      </c>
      <c r="D320" s="349">
        <v>3.0</v>
      </c>
      <c r="E320" s="349">
        <v>4.0</v>
      </c>
      <c r="F320" s="349">
        <v>5.0</v>
      </c>
      <c r="G320" s="349">
        <v>6.0</v>
      </c>
      <c r="H320" s="349">
        <v>7.0</v>
      </c>
      <c r="I320" s="349">
        <v>8.0</v>
      </c>
      <c r="J320" s="349">
        <v>9.0</v>
      </c>
      <c r="K320" s="349">
        <v>10.0</v>
      </c>
      <c r="L320" s="349">
        <v>11.0</v>
      </c>
      <c r="M320" s="349">
        <v>12.0</v>
      </c>
      <c r="N320" s="349">
        <v>13.0</v>
      </c>
      <c r="O320" s="349">
        <v>14.0</v>
      </c>
      <c r="P320" s="349">
        <v>15.0</v>
      </c>
      <c r="Q320" s="349">
        <v>16.0</v>
      </c>
      <c r="R320" s="349">
        <v>17.0</v>
      </c>
      <c r="S320" s="349">
        <v>18.0</v>
      </c>
      <c r="T320" s="349">
        <v>19.0</v>
      </c>
      <c r="U320" s="349">
        <v>20.0</v>
      </c>
      <c r="V320" s="349">
        <v>21.0</v>
      </c>
      <c r="W320" s="349">
        <v>22.0</v>
      </c>
      <c r="X320" s="349">
        <v>23.0</v>
      </c>
      <c r="Y320" s="349">
        <v>24.0</v>
      </c>
      <c r="Z320" s="349">
        <v>25.0</v>
      </c>
      <c r="AA320" s="349">
        <v>26.0</v>
      </c>
      <c r="AB320" s="349">
        <v>27.0</v>
      </c>
      <c r="AC320" s="349">
        <v>28.0</v>
      </c>
      <c r="AD320" s="349">
        <v>29.0</v>
      </c>
      <c r="AE320" s="349">
        <v>30.0</v>
      </c>
      <c r="AF320" s="36"/>
      <c r="AG320" s="36"/>
      <c r="AH320" s="36"/>
      <c r="AI320" s="36"/>
      <c r="AJ320" s="36"/>
    </row>
    <row r="321" ht="15.75" customHeight="1">
      <c r="A321" s="12" t="s">
        <v>217</v>
      </c>
      <c r="B321" s="12">
        <v>0.0</v>
      </c>
      <c r="C321" s="12">
        <v>0.0</v>
      </c>
      <c r="D321" s="12">
        <v>0.0</v>
      </c>
      <c r="E321" s="12">
        <v>0.0</v>
      </c>
      <c r="F321" s="12">
        <v>0.0</v>
      </c>
      <c r="G321" s="12">
        <v>0.0</v>
      </c>
      <c r="H321" s="12">
        <v>0.0</v>
      </c>
      <c r="I321" s="12">
        <v>0.0</v>
      </c>
      <c r="J321" s="12">
        <v>0.0</v>
      </c>
      <c r="K321" s="12">
        <v>0.0</v>
      </c>
      <c r="L321" s="12">
        <v>0.0</v>
      </c>
      <c r="M321" s="12">
        <v>0.0</v>
      </c>
      <c r="N321" s="12">
        <v>0.0</v>
      </c>
      <c r="O321" s="12">
        <v>0.0</v>
      </c>
      <c r="P321" s="12">
        <v>0.0</v>
      </c>
      <c r="Q321" s="12">
        <v>0.0</v>
      </c>
      <c r="R321" s="12">
        <v>0.0</v>
      </c>
      <c r="S321" s="12">
        <v>0.0</v>
      </c>
      <c r="T321" s="12">
        <v>0.0</v>
      </c>
      <c r="U321" s="12">
        <v>0.0</v>
      </c>
      <c r="V321" s="12">
        <v>0.0</v>
      </c>
      <c r="W321" s="12">
        <v>0.0</v>
      </c>
      <c r="X321" s="12">
        <v>0.0</v>
      </c>
      <c r="Y321" s="12">
        <v>0.0</v>
      </c>
      <c r="Z321" s="12">
        <v>0.0</v>
      </c>
      <c r="AA321" s="12">
        <v>0.0</v>
      </c>
      <c r="AB321" s="12">
        <v>0.0</v>
      </c>
      <c r="AC321" s="12">
        <v>0.0</v>
      </c>
      <c r="AD321" s="12">
        <v>0.0</v>
      </c>
      <c r="AE321" s="12">
        <v>0.0</v>
      </c>
      <c r="AF321" s="36"/>
      <c r="AG321" s="36"/>
      <c r="AH321" s="36"/>
      <c r="AI321" s="36"/>
      <c r="AJ321" s="36"/>
    </row>
    <row r="322" ht="15.75" customHeight="1">
      <c r="A322" s="370" t="s">
        <v>218</v>
      </c>
      <c r="B322" s="379">
        <f>1.8%/(12/Mode)</f>
        <v>0.018</v>
      </c>
      <c r="C322" s="379">
        <f t="shared" ref="C322:AE322" si="60">B322*1.05</f>
        <v>0.0189</v>
      </c>
      <c r="D322" s="379">
        <f t="shared" si="60"/>
        <v>0.019845</v>
      </c>
      <c r="E322" s="379">
        <f t="shared" si="60"/>
        <v>0.02083725</v>
      </c>
      <c r="F322" s="379">
        <f t="shared" si="60"/>
        <v>0.0218791125</v>
      </c>
      <c r="G322" s="379">
        <f t="shared" si="60"/>
        <v>0.02297306813</v>
      </c>
      <c r="H322" s="379">
        <f t="shared" si="60"/>
        <v>0.02412172153</v>
      </c>
      <c r="I322" s="379">
        <f t="shared" si="60"/>
        <v>0.02532780761</v>
      </c>
      <c r="J322" s="379">
        <f t="shared" si="60"/>
        <v>0.02659419799</v>
      </c>
      <c r="K322" s="379">
        <f t="shared" si="60"/>
        <v>0.02792390789</v>
      </c>
      <c r="L322" s="379">
        <f t="shared" si="60"/>
        <v>0.02932010328</v>
      </c>
      <c r="M322" s="379">
        <f t="shared" si="60"/>
        <v>0.03078610845</v>
      </c>
      <c r="N322" s="379">
        <f t="shared" si="60"/>
        <v>0.03232541387</v>
      </c>
      <c r="O322" s="379">
        <f t="shared" si="60"/>
        <v>0.03394168456</v>
      </c>
      <c r="P322" s="379">
        <f t="shared" si="60"/>
        <v>0.03563876879</v>
      </c>
      <c r="Q322" s="379">
        <f t="shared" si="60"/>
        <v>0.03742070723</v>
      </c>
      <c r="R322" s="379">
        <f t="shared" si="60"/>
        <v>0.03929174259</v>
      </c>
      <c r="S322" s="379">
        <f t="shared" si="60"/>
        <v>0.04125632972</v>
      </c>
      <c r="T322" s="379">
        <f t="shared" si="60"/>
        <v>0.04331914621</v>
      </c>
      <c r="U322" s="379">
        <f t="shared" si="60"/>
        <v>0.04548510352</v>
      </c>
      <c r="V322" s="379">
        <f t="shared" si="60"/>
        <v>0.04775935869</v>
      </c>
      <c r="W322" s="379">
        <f t="shared" si="60"/>
        <v>0.05014732663</v>
      </c>
      <c r="X322" s="379">
        <f t="shared" si="60"/>
        <v>0.05265469296</v>
      </c>
      <c r="Y322" s="379">
        <f t="shared" si="60"/>
        <v>0.05528742761</v>
      </c>
      <c r="Z322" s="379">
        <f t="shared" si="60"/>
        <v>0.05805179899</v>
      </c>
      <c r="AA322" s="379">
        <f t="shared" si="60"/>
        <v>0.06095438894</v>
      </c>
      <c r="AB322" s="379">
        <f t="shared" si="60"/>
        <v>0.06400210838</v>
      </c>
      <c r="AC322" s="379">
        <f t="shared" si="60"/>
        <v>0.0672022138</v>
      </c>
      <c r="AD322" s="379">
        <f t="shared" si="60"/>
        <v>0.07056232449</v>
      </c>
      <c r="AE322" s="379">
        <f t="shared" si="60"/>
        <v>0.07409044072</v>
      </c>
      <c r="AF322" s="36"/>
      <c r="AG322" s="36"/>
      <c r="AH322" s="36"/>
      <c r="AI322" s="36"/>
      <c r="AJ322" s="36"/>
    </row>
    <row r="323" ht="15.75" customHeight="1">
      <c r="A323" s="337" t="s">
        <v>1953</v>
      </c>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c r="AA323" s="36"/>
      <c r="AB323" s="36"/>
      <c r="AC323" s="36"/>
      <c r="AD323" s="36"/>
      <c r="AE323" s="36"/>
      <c r="AF323" s="36"/>
      <c r="AG323" s="36"/>
      <c r="AH323" s="36"/>
      <c r="AI323" s="36"/>
      <c r="AJ323" s="36"/>
    </row>
    <row r="324" ht="15.75" customHeight="1">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c r="AA324" s="36"/>
      <c r="AB324" s="36"/>
      <c r="AC324" s="36"/>
      <c r="AD324" s="36"/>
      <c r="AE324" s="36"/>
      <c r="AF324" s="36"/>
      <c r="AG324" s="36"/>
      <c r="AH324" s="36"/>
      <c r="AI324" s="36"/>
      <c r="AJ324" s="36"/>
    </row>
    <row r="325" ht="15.75" customHeight="1">
      <c r="A325" s="376" t="s">
        <v>215</v>
      </c>
      <c r="B325" s="349">
        <v>1.0</v>
      </c>
      <c r="C325" s="349">
        <v>2.0</v>
      </c>
      <c r="D325" s="349">
        <v>3.0</v>
      </c>
      <c r="E325" s="349">
        <v>4.0</v>
      </c>
      <c r="F325" s="349">
        <v>5.0</v>
      </c>
      <c r="G325" s="349">
        <v>6.0</v>
      </c>
      <c r="H325" s="349">
        <v>7.0</v>
      </c>
      <c r="I325" s="349">
        <v>8.0</v>
      </c>
      <c r="J325" s="349">
        <v>9.0</v>
      </c>
      <c r="K325" s="349">
        <v>10.0</v>
      </c>
      <c r="L325" s="349">
        <v>11.0</v>
      </c>
      <c r="M325" s="349">
        <v>12.0</v>
      </c>
      <c r="N325" s="349">
        <v>13.0</v>
      </c>
      <c r="O325" s="349">
        <v>14.0</v>
      </c>
      <c r="P325" s="349">
        <v>15.0</v>
      </c>
      <c r="Q325" s="349">
        <v>16.0</v>
      </c>
      <c r="R325" s="349">
        <v>17.0</v>
      </c>
      <c r="S325" s="349">
        <v>18.0</v>
      </c>
      <c r="T325" s="349">
        <v>19.0</v>
      </c>
      <c r="U325" s="349">
        <v>20.0</v>
      </c>
      <c r="V325" s="349">
        <v>21.0</v>
      </c>
      <c r="W325" s="349">
        <v>22.0</v>
      </c>
      <c r="X325" s="349">
        <v>23.0</v>
      </c>
      <c r="Y325" s="349">
        <v>24.0</v>
      </c>
      <c r="Z325" s="349">
        <v>25.0</v>
      </c>
      <c r="AA325" s="349">
        <v>26.0</v>
      </c>
      <c r="AB325" s="349">
        <v>27.0</v>
      </c>
      <c r="AC325" s="349">
        <v>28.0</v>
      </c>
      <c r="AD325" s="349">
        <v>29.0</v>
      </c>
      <c r="AE325" s="349">
        <v>30.0</v>
      </c>
      <c r="AF325" s="36"/>
      <c r="AG325" s="36"/>
      <c r="AH325" s="36"/>
      <c r="AI325" s="36"/>
      <c r="AJ325" s="36"/>
    </row>
    <row r="326" ht="15.75" customHeight="1">
      <c r="A326" s="12" t="s">
        <v>217</v>
      </c>
      <c r="B326" s="12">
        <v>0.0</v>
      </c>
      <c r="C326" s="12">
        <v>0.0</v>
      </c>
      <c r="D326" s="12">
        <v>0.0</v>
      </c>
      <c r="E326" s="12">
        <v>0.0</v>
      </c>
      <c r="F326" s="12">
        <v>0.0</v>
      </c>
      <c r="G326" s="12">
        <v>0.0</v>
      </c>
      <c r="H326" s="12">
        <v>0.0</v>
      </c>
      <c r="I326" s="12">
        <v>0.0</v>
      </c>
      <c r="J326" s="12">
        <v>0.0</v>
      </c>
      <c r="K326" s="12">
        <v>0.0</v>
      </c>
      <c r="L326" s="12">
        <v>0.0</v>
      </c>
      <c r="M326" s="12">
        <v>0.0</v>
      </c>
      <c r="N326" s="12">
        <v>0.0</v>
      </c>
      <c r="O326" s="12">
        <v>0.0</v>
      </c>
      <c r="P326" s="12">
        <v>0.0</v>
      </c>
      <c r="Q326" s="12">
        <v>0.0</v>
      </c>
      <c r="R326" s="12">
        <v>0.0</v>
      </c>
      <c r="S326" s="12">
        <v>0.0</v>
      </c>
      <c r="T326" s="12">
        <v>0.0</v>
      </c>
      <c r="U326" s="12">
        <v>0.0</v>
      </c>
      <c r="V326" s="12">
        <v>0.0</v>
      </c>
      <c r="W326" s="12">
        <v>0.0</v>
      </c>
      <c r="X326" s="12">
        <v>0.0</v>
      </c>
      <c r="Y326" s="12">
        <v>0.0</v>
      </c>
      <c r="Z326" s="12">
        <v>0.0</v>
      </c>
      <c r="AA326" s="12">
        <v>0.0</v>
      </c>
      <c r="AB326" s="12">
        <v>0.0</v>
      </c>
      <c r="AC326" s="12">
        <v>0.0</v>
      </c>
      <c r="AD326" s="12">
        <v>0.0</v>
      </c>
      <c r="AE326" s="12">
        <v>0.0</v>
      </c>
      <c r="AF326" s="36"/>
      <c r="AG326" s="36"/>
      <c r="AH326" s="36"/>
      <c r="AI326" s="36"/>
      <c r="AJ326" s="36"/>
    </row>
    <row r="327" ht="15.75" customHeight="1">
      <c r="A327" s="370" t="s">
        <v>218</v>
      </c>
      <c r="B327" s="379">
        <f>1.8%/(12/Mode)</f>
        <v>0.018</v>
      </c>
      <c r="C327" s="379">
        <f t="shared" ref="C327:AE327" si="61">B327*1.05</f>
        <v>0.0189</v>
      </c>
      <c r="D327" s="379">
        <f t="shared" si="61"/>
        <v>0.019845</v>
      </c>
      <c r="E327" s="379">
        <f t="shared" si="61"/>
        <v>0.02083725</v>
      </c>
      <c r="F327" s="379">
        <f t="shared" si="61"/>
        <v>0.0218791125</v>
      </c>
      <c r="G327" s="379">
        <f t="shared" si="61"/>
        <v>0.02297306813</v>
      </c>
      <c r="H327" s="379">
        <f t="shared" si="61"/>
        <v>0.02412172153</v>
      </c>
      <c r="I327" s="379">
        <f t="shared" si="61"/>
        <v>0.02532780761</v>
      </c>
      <c r="J327" s="379">
        <f t="shared" si="61"/>
        <v>0.02659419799</v>
      </c>
      <c r="K327" s="379">
        <f t="shared" si="61"/>
        <v>0.02792390789</v>
      </c>
      <c r="L327" s="379">
        <f t="shared" si="61"/>
        <v>0.02932010328</v>
      </c>
      <c r="M327" s="379">
        <f t="shared" si="61"/>
        <v>0.03078610845</v>
      </c>
      <c r="N327" s="379">
        <f t="shared" si="61"/>
        <v>0.03232541387</v>
      </c>
      <c r="O327" s="379">
        <f t="shared" si="61"/>
        <v>0.03394168456</v>
      </c>
      <c r="P327" s="379">
        <f t="shared" si="61"/>
        <v>0.03563876879</v>
      </c>
      <c r="Q327" s="379">
        <f t="shared" si="61"/>
        <v>0.03742070723</v>
      </c>
      <c r="R327" s="379">
        <f t="shared" si="61"/>
        <v>0.03929174259</v>
      </c>
      <c r="S327" s="379">
        <f t="shared" si="61"/>
        <v>0.04125632972</v>
      </c>
      <c r="T327" s="379">
        <f t="shared" si="61"/>
        <v>0.04331914621</v>
      </c>
      <c r="U327" s="379">
        <f t="shared" si="61"/>
        <v>0.04548510352</v>
      </c>
      <c r="V327" s="379">
        <f t="shared" si="61"/>
        <v>0.04775935869</v>
      </c>
      <c r="W327" s="379">
        <f t="shared" si="61"/>
        <v>0.05014732663</v>
      </c>
      <c r="X327" s="379">
        <f t="shared" si="61"/>
        <v>0.05265469296</v>
      </c>
      <c r="Y327" s="379">
        <f t="shared" si="61"/>
        <v>0.05528742761</v>
      </c>
      <c r="Z327" s="379">
        <f t="shared" si="61"/>
        <v>0.05805179899</v>
      </c>
      <c r="AA327" s="379">
        <f t="shared" si="61"/>
        <v>0.06095438894</v>
      </c>
      <c r="AB327" s="379">
        <f t="shared" si="61"/>
        <v>0.06400210838</v>
      </c>
      <c r="AC327" s="379">
        <f t="shared" si="61"/>
        <v>0.0672022138</v>
      </c>
      <c r="AD327" s="379">
        <f t="shared" si="61"/>
        <v>0.07056232449</v>
      </c>
      <c r="AE327" s="379">
        <f t="shared" si="61"/>
        <v>0.07409044072</v>
      </c>
      <c r="AF327" s="36"/>
      <c r="AG327" s="36"/>
      <c r="AH327" s="36"/>
      <c r="AI327" s="36"/>
      <c r="AJ327" s="36"/>
    </row>
    <row r="328" ht="15.75" customHeight="1">
      <c r="A328" s="380" t="s">
        <v>888</v>
      </c>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c r="AA328" s="36"/>
      <c r="AB328" s="36"/>
      <c r="AC328" s="36"/>
      <c r="AD328" s="36"/>
      <c r="AE328" s="36"/>
      <c r="AF328" s="36"/>
      <c r="AG328" s="36"/>
      <c r="AH328" s="36"/>
      <c r="AI328" s="36"/>
      <c r="AJ328" s="36"/>
    </row>
    <row r="329" ht="15.75" customHeight="1">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c r="AA329" s="36"/>
      <c r="AB329" s="36"/>
      <c r="AC329" s="36"/>
      <c r="AD329" s="36"/>
      <c r="AE329" s="36"/>
      <c r="AF329" s="36"/>
      <c r="AG329" s="36"/>
      <c r="AH329" s="36"/>
      <c r="AI329" s="36"/>
      <c r="AJ329" s="36"/>
    </row>
    <row r="330" ht="15.75" customHeight="1">
      <c r="A330" s="36" t="s">
        <v>215</v>
      </c>
      <c r="B330" s="36">
        <v>1.0</v>
      </c>
      <c r="C330" s="36">
        <v>2.0</v>
      </c>
      <c r="D330" s="36">
        <v>3.0</v>
      </c>
      <c r="E330" s="36">
        <v>4.0</v>
      </c>
      <c r="F330" s="36">
        <v>5.0</v>
      </c>
      <c r="G330" s="36">
        <v>6.0</v>
      </c>
      <c r="H330" s="36">
        <v>7.0</v>
      </c>
      <c r="I330" s="36">
        <v>8.0</v>
      </c>
      <c r="J330" s="36">
        <v>9.0</v>
      </c>
      <c r="K330" s="36">
        <v>10.0</v>
      </c>
      <c r="L330" s="36">
        <v>11.0</v>
      </c>
      <c r="M330" s="36">
        <v>12.0</v>
      </c>
      <c r="N330" s="36">
        <v>13.0</v>
      </c>
      <c r="O330" s="36">
        <v>14.0</v>
      </c>
      <c r="P330" s="36">
        <v>15.0</v>
      </c>
      <c r="Q330" s="36">
        <v>16.0</v>
      </c>
      <c r="R330" s="36">
        <v>17.0</v>
      </c>
      <c r="S330" s="36">
        <v>18.0</v>
      </c>
      <c r="T330" s="36">
        <v>19.0</v>
      </c>
      <c r="U330" s="36">
        <v>20.0</v>
      </c>
      <c r="V330" s="36">
        <v>21.0</v>
      </c>
      <c r="W330" s="36">
        <v>22.0</v>
      </c>
      <c r="X330" s="36">
        <v>23.0</v>
      </c>
      <c r="Y330" s="36">
        <v>24.0</v>
      </c>
      <c r="Z330" s="36">
        <v>25.0</v>
      </c>
      <c r="AA330" s="36">
        <v>26.0</v>
      </c>
      <c r="AB330" s="36">
        <v>27.0</v>
      </c>
      <c r="AC330" s="36">
        <v>28.0</v>
      </c>
      <c r="AD330" s="36">
        <v>29.0</v>
      </c>
      <c r="AE330" s="36">
        <v>30.0</v>
      </c>
      <c r="AF330" s="36"/>
      <c r="AG330" s="36"/>
      <c r="AH330" s="36"/>
      <c r="AI330" s="36"/>
      <c r="AJ330" s="36"/>
    </row>
    <row r="331" ht="15.75" customHeight="1">
      <c r="A331" s="12" t="s">
        <v>217</v>
      </c>
      <c r="B331" s="36">
        <v>50.0</v>
      </c>
      <c r="C331" s="36">
        <f t="shared" ref="C331:AE331" si="62">B331*1.05</f>
        <v>52.5</v>
      </c>
      <c r="D331" s="36">
        <f t="shared" si="62"/>
        <v>55.125</v>
      </c>
      <c r="E331" s="36">
        <f t="shared" si="62"/>
        <v>57.88125</v>
      </c>
      <c r="F331" s="36">
        <f t="shared" si="62"/>
        <v>60.7753125</v>
      </c>
      <c r="G331" s="36">
        <f t="shared" si="62"/>
        <v>63.81407813</v>
      </c>
      <c r="H331" s="36">
        <f t="shared" si="62"/>
        <v>67.00478203</v>
      </c>
      <c r="I331" s="36">
        <f t="shared" si="62"/>
        <v>70.35502113</v>
      </c>
      <c r="J331" s="36">
        <f t="shared" si="62"/>
        <v>73.87277219</v>
      </c>
      <c r="K331" s="36">
        <f t="shared" si="62"/>
        <v>77.5664108</v>
      </c>
      <c r="L331" s="36">
        <f t="shared" si="62"/>
        <v>81.44473134</v>
      </c>
      <c r="M331" s="36">
        <f t="shared" si="62"/>
        <v>85.51696791</v>
      </c>
      <c r="N331" s="36">
        <f t="shared" si="62"/>
        <v>89.7928163</v>
      </c>
      <c r="O331" s="36">
        <f t="shared" si="62"/>
        <v>94.28245712</v>
      </c>
      <c r="P331" s="36">
        <f t="shared" si="62"/>
        <v>98.99657997</v>
      </c>
      <c r="Q331" s="36">
        <f t="shared" si="62"/>
        <v>103.946409</v>
      </c>
      <c r="R331" s="36">
        <f t="shared" si="62"/>
        <v>109.1437294</v>
      </c>
      <c r="S331" s="36">
        <f t="shared" si="62"/>
        <v>114.6009159</v>
      </c>
      <c r="T331" s="36">
        <f t="shared" si="62"/>
        <v>120.3309617</v>
      </c>
      <c r="U331" s="36">
        <f t="shared" si="62"/>
        <v>126.3475098</v>
      </c>
      <c r="V331" s="36">
        <f t="shared" si="62"/>
        <v>132.6648853</v>
      </c>
      <c r="W331" s="36">
        <f t="shared" si="62"/>
        <v>139.2981295</v>
      </c>
      <c r="X331" s="36">
        <f t="shared" si="62"/>
        <v>146.263036</v>
      </c>
      <c r="Y331" s="36">
        <f t="shared" si="62"/>
        <v>153.5761878</v>
      </c>
      <c r="Z331" s="36">
        <f t="shared" si="62"/>
        <v>161.2549972</v>
      </c>
      <c r="AA331" s="36">
        <f t="shared" si="62"/>
        <v>169.317747</v>
      </c>
      <c r="AB331" s="36">
        <f t="shared" si="62"/>
        <v>177.7836344</v>
      </c>
      <c r="AC331" s="36">
        <f t="shared" si="62"/>
        <v>186.6728161</v>
      </c>
      <c r="AD331" s="36">
        <f t="shared" si="62"/>
        <v>196.0064569</v>
      </c>
      <c r="AE331" s="36">
        <f t="shared" si="62"/>
        <v>205.8067798</v>
      </c>
      <c r="AF331" s="36"/>
      <c r="AG331" s="36"/>
      <c r="AH331" s="36"/>
      <c r="AI331" s="36"/>
      <c r="AJ331" s="36"/>
    </row>
    <row r="332" ht="15.75" customHeight="1">
      <c r="A332" s="370" t="s">
        <v>218</v>
      </c>
      <c r="B332" s="12">
        <v>0.0</v>
      </c>
      <c r="C332" s="12">
        <v>0.0</v>
      </c>
      <c r="D332" s="12">
        <v>0.0</v>
      </c>
      <c r="E332" s="12">
        <v>0.0</v>
      </c>
      <c r="F332" s="12">
        <v>0.0</v>
      </c>
      <c r="G332" s="12">
        <v>0.0</v>
      </c>
      <c r="H332" s="12">
        <v>0.0</v>
      </c>
      <c r="I332" s="12">
        <v>0.0</v>
      </c>
      <c r="J332" s="12">
        <v>0.0</v>
      </c>
      <c r="K332" s="12">
        <v>0.0</v>
      </c>
      <c r="L332" s="12">
        <v>0.0</v>
      </c>
      <c r="M332" s="12">
        <v>0.0</v>
      </c>
      <c r="N332" s="12">
        <v>0.0</v>
      </c>
      <c r="O332" s="12">
        <v>0.0</v>
      </c>
      <c r="P332" s="12">
        <v>0.0</v>
      </c>
      <c r="Q332" s="12">
        <v>0.0</v>
      </c>
      <c r="R332" s="12">
        <v>0.0</v>
      </c>
      <c r="S332" s="12">
        <v>0.0</v>
      </c>
      <c r="T332" s="12">
        <v>0.0</v>
      </c>
      <c r="U332" s="12">
        <v>0.0</v>
      </c>
      <c r="V332" s="12">
        <v>0.0</v>
      </c>
      <c r="W332" s="12">
        <v>0.0</v>
      </c>
      <c r="X332" s="12">
        <v>0.0</v>
      </c>
      <c r="Y332" s="12">
        <v>0.0</v>
      </c>
      <c r="Z332" s="12">
        <v>0.0</v>
      </c>
      <c r="AA332" s="12">
        <v>0.0</v>
      </c>
      <c r="AB332" s="12">
        <v>0.0</v>
      </c>
      <c r="AC332" s="12">
        <v>0.0</v>
      </c>
      <c r="AD332" s="12">
        <v>0.0</v>
      </c>
      <c r="AE332" s="12">
        <v>0.0</v>
      </c>
      <c r="AF332" s="36"/>
      <c r="AG332" s="36"/>
      <c r="AH332" s="36"/>
      <c r="AI332" s="36"/>
      <c r="AJ332" s="36"/>
    </row>
    <row r="333" ht="15.75" customHeight="1">
      <c r="A333" s="381" t="s">
        <v>898</v>
      </c>
      <c r="B333" s="369"/>
      <c r="C333" s="369"/>
      <c r="D333" s="369"/>
      <c r="E333" s="369"/>
      <c r="F333" s="369"/>
      <c r="G333" s="369"/>
      <c r="H333" s="369"/>
      <c r="I333" s="369"/>
      <c r="J333" s="369"/>
      <c r="K333" s="369"/>
      <c r="L333" s="369"/>
      <c r="M333" s="369"/>
      <c r="N333" s="369"/>
      <c r="O333" s="369"/>
      <c r="P333" s="369"/>
      <c r="Q333" s="369"/>
      <c r="R333" s="369"/>
      <c r="S333" s="369"/>
      <c r="T333" s="369"/>
      <c r="U333" s="369"/>
      <c r="V333" s="369"/>
      <c r="W333" s="369"/>
      <c r="X333" s="369"/>
      <c r="Y333" s="369"/>
      <c r="Z333" s="369"/>
      <c r="AA333" s="369"/>
      <c r="AB333" s="369"/>
      <c r="AC333" s="369"/>
      <c r="AD333" s="369"/>
      <c r="AE333" s="369"/>
      <c r="AF333" s="369"/>
      <c r="AG333" s="369"/>
      <c r="AH333" s="369"/>
      <c r="AI333" s="369"/>
      <c r="AJ333" s="369"/>
    </row>
    <row r="334" ht="15.75" customHeight="1">
      <c r="A334" s="369"/>
      <c r="B334" s="369"/>
      <c r="C334" s="369"/>
      <c r="D334" s="369"/>
      <c r="E334" s="369"/>
      <c r="F334" s="369"/>
      <c r="G334" s="369"/>
      <c r="H334" s="369"/>
      <c r="I334" s="369"/>
      <c r="J334" s="369"/>
      <c r="K334" s="369"/>
      <c r="L334" s="369"/>
      <c r="M334" s="369"/>
      <c r="N334" s="369"/>
      <c r="O334" s="369"/>
      <c r="P334" s="369"/>
      <c r="Q334" s="369"/>
      <c r="R334" s="369"/>
      <c r="S334" s="369"/>
      <c r="T334" s="369"/>
      <c r="U334" s="369"/>
      <c r="V334" s="369"/>
      <c r="W334" s="369"/>
      <c r="X334" s="369"/>
      <c r="Y334" s="369"/>
      <c r="Z334" s="369"/>
      <c r="AA334" s="369"/>
      <c r="AB334" s="369"/>
      <c r="AC334" s="369"/>
      <c r="AD334" s="369"/>
      <c r="AE334" s="369"/>
      <c r="AF334" s="369"/>
      <c r="AG334" s="369"/>
      <c r="AH334" s="369"/>
      <c r="AI334" s="369"/>
      <c r="AJ334" s="369"/>
    </row>
    <row r="335" ht="15.75" customHeight="1">
      <c r="A335" s="369" t="s">
        <v>215</v>
      </c>
      <c r="B335" s="369">
        <v>1.0</v>
      </c>
      <c r="C335" s="369">
        <v>2.0</v>
      </c>
      <c r="D335" s="369">
        <v>3.0</v>
      </c>
      <c r="E335" s="369">
        <v>4.0</v>
      </c>
      <c r="F335" s="369">
        <v>5.0</v>
      </c>
      <c r="G335" s="369">
        <v>6.0</v>
      </c>
      <c r="H335" s="369">
        <v>7.0</v>
      </c>
      <c r="I335" s="369">
        <v>8.0</v>
      </c>
      <c r="J335" s="369">
        <v>9.0</v>
      </c>
      <c r="K335" s="369">
        <v>10.0</v>
      </c>
      <c r="L335" s="369">
        <v>11.0</v>
      </c>
      <c r="M335" s="369">
        <v>12.0</v>
      </c>
      <c r="N335" s="369">
        <v>13.0</v>
      </c>
      <c r="O335" s="369">
        <v>14.0</v>
      </c>
      <c r="P335" s="369">
        <v>15.0</v>
      </c>
      <c r="Q335" s="369">
        <v>16.0</v>
      </c>
      <c r="R335" s="369">
        <v>17.0</v>
      </c>
      <c r="S335" s="369">
        <v>18.0</v>
      </c>
      <c r="T335" s="369">
        <v>19.0</v>
      </c>
      <c r="U335" s="369">
        <v>20.0</v>
      </c>
      <c r="V335" s="369">
        <v>21.0</v>
      </c>
      <c r="W335" s="369">
        <v>22.0</v>
      </c>
      <c r="X335" s="369">
        <v>23.0</v>
      </c>
      <c r="Y335" s="369">
        <v>24.0</v>
      </c>
      <c r="Z335" s="369">
        <v>25.0</v>
      </c>
      <c r="AA335" s="369">
        <v>26.0</v>
      </c>
      <c r="AB335" s="369">
        <v>27.0</v>
      </c>
      <c r="AC335" s="369">
        <v>28.0</v>
      </c>
      <c r="AD335" s="369">
        <v>29.0</v>
      </c>
      <c r="AE335" s="369">
        <v>30.0</v>
      </c>
      <c r="AF335" s="369"/>
      <c r="AG335" s="369"/>
      <c r="AH335" s="369"/>
      <c r="AI335" s="369"/>
      <c r="AJ335" s="369"/>
    </row>
    <row r="336" ht="15.75" customHeight="1">
      <c r="A336" s="369" t="s">
        <v>254</v>
      </c>
      <c r="B336" s="369">
        <f>MIN(0.42%*SA,100)</f>
        <v>100</v>
      </c>
      <c r="C336" s="369">
        <f>MIN(0.42%*SA,100)</f>
        <v>100</v>
      </c>
      <c r="D336" s="369">
        <f>MIN(0.07%*SA,100)</f>
        <v>100</v>
      </c>
      <c r="E336" s="369">
        <f>MIN(0.07%*SA,100)</f>
        <v>100</v>
      </c>
      <c r="F336" s="369">
        <f>MIN(0.07%*SA,100)</f>
        <v>100</v>
      </c>
      <c r="G336" s="369">
        <f>MIN(0.07%*SA,100)</f>
        <v>100</v>
      </c>
      <c r="H336" s="369">
        <f>MIN(0.07%*SA,100)</f>
        <v>100</v>
      </c>
      <c r="I336" s="369">
        <f>MIN(0.07%*SA,100)</f>
        <v>100</v>
      </c>
      <c r="J336" s="369">
        <f>MIN(0.07%*SA,100)</f>
        <v>100</v>
      </c>
      <c r="K336" s="369">
        <f>MIN(0.07%*SA,100)</f>
        <v>100</v>
      </c>
      <c r="L336" s="369">
        <f>MIN(0.07%*SA,100)</f>
        <v>100</v>
      </c>
      <c r="M336" s="369">
        <f>MIN(0.07%*SA,100)</f>
        <v>100</v>
      </c>
      <c r="N336" s="369">
        <f>MIN(0.07%*SA,100)</f>
        <v>100</v>
      </c>
      <c r="O336" s="369">
        <f>MIN(0.07%*SA,100)</f>
        <v>100</v>
      </c>
      <c r="P336" s="369">
        <f>MIN(0.07%*SA,100)</f>
        <v>100</v>
      </c>
      <c r="Q336" s="369">
        <f>MIN(0.07%*SA,100)</f>
        <v>100</v>
      </c>
      <c r="R336" s="369">
        <f>MIN(0.07%*SA,100)</f>
        <v>100</v>
      </c>
      <c r="S336" s="369">
        <f>MIN(0.07%*SA,100)</f>
        <v>100</v>
      </c>
      <c r="T336" s="369">
        <f>MIN(0.07%*SA,100)</f>
        <v>100</v>
      </c>
      <c r="U336" s="369">
        <f>MIN(0.07%*SA,100)</f>
        <v>100</v>
      </c>
      <c r="V336" s="369">
        <f>MIN(0.07%*SA,100)</f>
        <v>100</v>
      </c>
      <c r="W336" s="369">
        <f>MIN(0.07%*SA,100)</f>
        <v>100</v>
      </c>
      <c r="X336" s="369">
        <f>MIN(0.07%*SA,100)</f>
        <v>100</v>
      </c>
      <c r="Y336" s="369">
        <f>MIN(0.07%*SA,100)</f>
        <v>100</v>
      </c>
      <c r="Z336" s="369">
        <f>MIN(0.07%*SA,100)</f>
        <v>100</v>
      </c>
      <c r="AA336" s="369">
        <f>MIN(0.07%*SA,100)</f>
        <v>100</v>
      </c>
      <c r="AB336" s="369">
        <f>MIN(0.07%*SA,100)</f>
        <v>100</v>
      </c>
      <c r="AC336" s="369">
        <f>MIN(0.07%*SA,100)</f>
        <v>100</v>
      </c>
      <c r="AD336" s="369">
        <f>MIN(0.07%*SA,100)</f>
        <v>100</v>
      </c>
      <c r="AE336" s="369">
        <f>MIN(0.07%*SA,100)</f>
        <v>100</v>
      </c>
      <c r="AF336" s="369"/>
      <c r="AG336" s="369"/>
      <c r="AH336" s="369"/>
      <c r="AI336" s="369"/>
      <c r="AJ336" s="369"/>
    </row>
    <row r="337" ht="15.75" customHeight="1">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c r="AA337" s="36"/>
      <c r="AB337" s="36"/>
      <c r="AC337" s="36"/>
      <c r="AD337" s="36"/>
      <c r="AE337" s="36"/>
      <c r="AF337" s="36"/>
      <c r="AG337" s="36"/>
      <c r="AH337" s="36"/>
      <c r="AI337" s="36"/>
      <c r="AJ337" s="36"/>
    </row>
    <row r="338" ht="15.75" customHeight="1">
      <c r="A338" s="382" t="s">
        <v>904</v>
      </c>
      <c r="B338" s="372"/>
      <c r="C338" s="372"/>
      <c r="D338" s="372"/>
      <c r="E338" s="372"/>
      <c r="F338" s="372"/>
      <c r="G338" s="372"/>
      <c r="H338" s="372"/>
      <c r="I338" s="372"/>
      <c r="J338" s="372"/>
      <c r="K338" s="372"/>
      <c r="L338" s="372"/>
      <c r="M338" s="372"/>
      <c r="N338" s="372"/>
      <c r="O338" s="372"/>
      <c r="P338" s="372"/>
      <c r="Q338" s="372"/>
      <c r="R338" s="372"/>
      <c r="S338" s="372"/>
      <c r="T338" s="372"/>
      <c r="U338" s="372"/>
      <c r="V338" s="372"/>
      <c r="W338" s="372"/>
      <c r="X338" s="372"/>
      <c r="Y338" s="372"/>
      <c r="Z338" s="372"/>
      <c r="AA338" s="372"/>
      <c r="AB338" s="372"/>
      <c r="AC338" s="372"/>
      <c r="AD338" s="372"/>
      <c r="AE338" s="372"/>
      <c r="AF338" s="372"/>
      <c r="AG338" s="372"/>
      <c r="AH338" s="372"/>
      <c r="AI338" s="372"/>
      <c r="AJ338" s="372"/>
    </row>
    <row r="339" ht="15.75" customHeight="1">
      <c r="A339" s="372"/>
      <c r="B339" s="372"/>
      <c r="C339" s="372"/>
      <c r="D339" s="372"/>
      <c r="E339" s="372"/>
      <c r="F339" s="372"/>
      <c r="G339" s="372"/>
      <c r="H339" s="372"/>
      <c r="I339" s="372"/>
      <c r="J339" s="372"/>
      <c r="K339" s="372"/>
      <c r="L339" s="372"/>
      <c r="M339" s="372"/>
      <c r="N339" s="372"/>
      <c r="O339" s="372"/>
      <c r="P339" s="372"/>
      <c r="Q339" s="372"/>
      <c r="R339" s="372"/>
      <c r="S339" s="372"/>
      <c r="T339" s="372"/>
      <c r="U339" s="372"/>
      <c r="V339" s="372"/>
      <c r="W339" s="372"/>
      <c r="X339" s="372"/>
      <c r="Y339" s="372"/>
      <c r="Z339" s="372"/>
      <c r="AA339" s="372"/>
      <c r="AB339" s="372"/>
      <c r="AC339" s="372"/>
      <c r="AD339" s="372"/>
      <c r="AE339" s="372"/>
      <c r="AF339" s="372"/>
      <c r="AG339" s="372"/>
      <c r="AH339" s="372"/>
      <c r="AI339" s="372"/>
      <c r="AJ339" s="372"/>
    </row>
    <row r="340" ht="15.75" customHeight="1">
      <c r="A340" s="372" t="s">
        <v>1954</v>
      </c>
      <c r="B340" s="372">
        <v>1.0</v>
      </c>
      <c r="C340" s="372">
        <v>2.0</v>
      </c>
      <c r="D340" s="372">
        <v>3.0</v>
      </c>
      <c r="E340" s="372">
        <v>4.0</v>
      </c>
      <c r="F340" s="372">
        <v>5.0</v>
      </c>
      <c r="G340" s="372">
        <v>6.0</v>
      </c>
      <c r="H340" s="372">
        <v>7.0</v>
      </c>
      <c r="I340" s="372">
        <v>8.0</v>
      </c>
      <c r="J340" s="372">
        <v>9.0</v>
      </c>
      <c r="K340" s="372">
        <v>10.0</v>
      </c>
      <c r="L340" s="372">
        <v>11.0</v>
      </c>
      <c r="M340" s="372">
        <v>12.0</v>
      </c>
      <c r="N340" s="372">
        <v>13.0</v>
      </c>
      <c r="O340" s="372">
        <v>14.0</v>
      </c>
      <c r="P340" s="372">
        <v>15.0</v>
      </c>
      <c r="Q340" s="372">
        <v>16.0</v>
      </c>
      <c r="R340" s="372">
        <v>17.0</v>
      </c>
      <c r="S340" s="372">
        <v>18.0</v>
      </c>
      <c r="T340" s="372">
        <v>19.0</v>
      </c>
      <c r="U340" s="372">
        <v>20.0</v>
      </c>
      <c r="V340" s="372">
        <v>21.0</v>
      </c>
      <c r="W340" s="372">
        <v>22.0</v>
      </c>
      <c r="X340" s="372">
        <v>23.0</v>
      </c>
      <c r="Y340" s="372">
        <v>24.0</v>
      </c>
      <c r="Z340" s="372">
        <v>25.0</v>
      </c>
      <c r="AA340" s="372">
        <v>26.0</v>
      </c>
      <c r="AB340" s="372">
        <v>27.0</v>
      </c>
      <c r="AC340" s="372">
        <v>28.0</v>
      </c>
      <c r="AD340" s="372">
        <v>29.0</v>
      </c>
      <c r="AE340" s="372">
        <v>30.0</v>
      </c>
      <c r="AF340" s="372"/>
      <c r="AG340" s="372"/>
      <c r="AH340" s="372"/>
      <c r="AI340" s="372"/>
      <c r="AJ340" s="372"/>
    </row>
    <row r="341" ht="15.75" customHeight="1">
      <c r="A341" s="372">
        <v>20000.0</v>
      </c>
      <c r="B341" s="383">
        <v>0.12</v>
      </c>
      <c r="C341" s="383">
        <v>0.12</v>
      </c>
      <c r="D341" s="383">
        <v>0.12</v>
      </c>
      <c r="E341" s="383">
        <v>0.05</v>
      </c>
      <c r="F341" s="383">
        <v>0.05</v>
      </c>
      <c r="G341" s="383">
        <v>0.05</v>
      </c>
      <c r="H341" s="383">
        <v>0.05</v>
      </c>
      <c r="I341" s="383">
        <v>0.05</v>
      </c>
      <c r="J341" s="383">
        <v>0.05</v>
      </c>
      <c r="K341" s="383">
        <v>0.05</v>
      </c>
      <c r="L341" s="383">
        <v>0.05</v>
      </c>
      <c r="M341" s="383">
        <v>0.05</v>
      </c>
      <c r="N341" s="383">
        <v>0.05</v>
      </c>
      <c r="O341" s="383">
        <v>0.05</v>
      </c>
      <c r="P341" s="383">
        <v>0.05</v>
      </c>
      <c r="Q341" s="383">
        <v>0.05</v>
      </c>
      <c r="R341" s="383">
        <v>0.05</v>
      </c>
      <c r="S341" s="383">
        <v>0.05</v>
      </c>
      <c r="T341" s="383">
        <v>0.05</v>
      </c>
      <c r="U341" s="383">
        <v>0.05</v>
      </c>
      <c r="V341" s="383">
        <v>0.05</v>
      </c>
      <c r="W341" s="383">
        <v>0.05</v>
      </c>
      <c r="X341" s="383">
        <v>0.05</v>
      </c>
      <c r="Y341" s="383">
        <v>0.05</v>
      </c>
      <c r="Z341" s="383">
        <v>0.05</v>
      </c>
      <c r="AA341" s="383">
        <v>0.05</v>
      </c>
      <c r="AB341" s="383">
        <v>0.05</v>
      </c>
      <c r="AC341" s="383">
        <v>0.05</v>
      </c>
      <c r="AD341" s="383">
        <v>0.05</v>
      </c>
      <c r="AE341" s="383">
        <v>0.05</v>
      </c>
      <c r="AF341" s="383"/>
      <c r="AG341" s="372"/>
      <c r="AH341" s="372"/>
      <c r="AI341" s="372"/>
      <c r="AJ341" s="372"/>
    </row>
    <row r="342" ht="15.75" customHeight="1">
      <c r="A342" s="372">
        <v>50000.0</v>
      </c>
      <c r="B342" s="383">
        <v>0.11</v>
      </c>
      <c r="C342" s="383">
        <v>0.11</v>
      </c>
      <c r="D342" s="383">
        <v>0.11</v>
      </c>
      <c r="E342" s="384">
        <v>0.015</v>
      </c>
      <c r="F342" s="384">
        <v>0.015</v>
      </c>
      <c r="G342" s="384">
        <v>0.015</v>
      </c>
      <c r="H342" s="384">
        <v>0.015</v>
      </c>
      <c r="I342" s="384">
        <v>0.015</v>
      </c>
      <c r="J342" s="384">
        <v>0.015</v>
      </c>
      <c r="K342" s="384">
        <v>0.015</v>
      </c>
      <c r="L342" s="384">
        <v>0.015</v>
      </c>
      <c r="M342" s="384">
        <v>0.015</v>
      </c>
      <c r="N342" s="384">
        <v>0.015</v>
      </c>
      <c r="O342" s="384">
        <v>0.015</v>
      </c>
      <c r="P342" s="384">
        <v>0.015</v>
      </c>
      <c r="Q342" s="384">
        <v>0.015</v>
      </c>
      <c r="R342" s="384">
        <v>0.015</v>
      </c>
      <c r="S342" s="384">
        <v>0.015</v>
      </c>
      <c r="T342" s="384">
        <v>0.015</v>
      </c>
      <c r="U342" s="384">
        <v>0.015</v>
      </c>
      <c r="V342" s="384">
        <v>0.015</v>
      </c>
      <c r="W342" s="384">
        <v>0.015</v>
      </c>
      <c r="X342" s="384">
        <v>0.015</v>
      </c>
      <c r="Y342" s="384">
        <v>0.015</v>
      </c>
      <c r="Z342" s="384">
        <v>0.015</v>
      </c>
      <c r="AA342" s="384">
        <v>0.015</v>
      </c>
      <c r="AB342" s="384">
        <v>0.015</v>
      </c>
      <c r="AC342" s="384">
        <v>0.015</v>
      </c>
      <c r="AD342" s="384">
        <v>0.015</v>
      </c>
      <c r="AE342" s="384">
        <v>0.015</v>
      </c>
      <c r="AF342" s="372"/>
      <c r="AG342" s="372"/>
      <c r="AH342" s="372"/>
      <c r="AI342" s="372"/>
      <c r="AJ342" s="372"/>
    </row>
    <row r="343" ht="15.75" customHeight="1">
      <c r="A343" s="372">
        <v>150000.0</v>
      </c>
      <c r="B343" s="383">
        <v>0.1</v>
      </c>
      <c r="C343" s="383">
        <v>0.1</v>
      </c>
      <c r="D343" s="383">
        <v>0.1</v>
      </c>
      <c r="E343" s="384">
        <v>0.005</v>
      </c>
      <c r="F343" s="384">
        <v>0.005</v>
      </c>
      <c r="G343" s="384">
        <v>0.005</v>
      </c>
      <c r="H343" s="384">
        <v>0.005</v>
      </c>
      <c r="I343" s="384">
        <v>0.005</v>
      </c>
      <c r="J343" s="384">
        <v>0.005</v>
      </c>
      <c r="K343" s="384">
        <v>0.005</v>
      </c>
      <c r="L343" s="384">
        <v>0.005</v>
      </c>
      <c r="M343" s="384">
        <v>0.005</v>
      </c>
      <c r="N343" s="384">
        <v>0.005</v>
      </c>
      <c r="O343" s="384">
        <v>0.005</v>
      </c>
      <c r="P343" s="384">
        <v>0.005</v>
      </c>
      <c r="Q343" s="384">
        <v>0.005</v>
      </c>
      <c r="R343" s="384">
        <v>0.005</v>
      </c>
      <c r="S343" s="384">
        <v>0.005</v>
      </c>
      <c r="T343" s="384">
        <v>0.005</v>
      </c>
      <c r="U343" s="384">
        <v>0.005</v>
      </c>
      <c r="V343" s="384">
        <v>0.005</v>
      </c>
      <c r="W343" s="384">
        <v>0.005</v>
      </c>
      <c r="X343" s="384">
        <v>0.005</v>
      </c>
      <c r="Y343" s="384">
        <v>0.005</v>
      </c>
      <c r="Z343" s="384">
        <v>0.005</v>
      </c>
      <c r="AA343" s="384">
        <v>0.005</v>
      </c>
      <c r="AB343" s="384">
        <v>0.005</v>
      </c>
      <c r="AC343" s="384">
        <v>0.005</v>
      </c>
      <c r="AD343" s="384">
        <v>0.005</v>
      </c>
      <c r="AE343" s="384">
        <v>0.005</v>
      </c>
      <c r="AF343" s="372"/>
      <c r="AG343" s="372"/>
      <c r="AH343" s="372"/>
      <c r="AI343" s="372"/>
      <c r="AJ343" s="372"/>
    </row>
    <row r="344" ht="15.0" customHeight="1">
      <c r="A344" s="372">
        <v>300000.0</v>
      </c>
      <c r="B344" s="385">
        <v>0.095</v>
      </c>
      <c r="C344" s="385">
        <v>0.095</v>
      </c>
      <c r="D344" s="385">
        <v>0.095</v>
      </c>
      <c r="E344" s="384">
        <v>0.005</v>
      </c>
      <c r="F344" s="384">
        <v>0.005</v>
      </c>
      <c r="G344" s="384">
        <v>0.005</v>
      </c>
      <c r="H344" s="384">
        <v>0.005</v>
      </c>
      <c r="I344" s="384">
        <v>0.005</v>
      </c>
      <c r="J344" s="384">
        <v>0.005</v>
      </c>
      <c r="K344" s="384">
        <v>0.005</v>
      </c>
      <c r="L344" s="384">
        <v>0.005</v>
      </c>
      <c r="M344" s="384">
        <v>0.005</v>
      </c>
      <c r="N344" s="384">
        <v>0.005</v>
      </c>
      <c r="O344" s="384">
        <v>0.005</v>
      </c>
      <c r="P344" s="384">
        <v>0.005</v>
      </c>
      <c r="Q344" s="384">
        <v>0.005</v>
      </c>
      <c r="R344" s="384">
        <v>0.005</v>
      </c>
      <c r="S344" s="384">
        <v>0.005</v>
      </c>
      <c r="T344" s="384">
        <v>0.005</v>
      </c>
      <c r="U344" s="384">
        <v>0.005</v>
      </c>
      <c r="V344" s="384">
        <v>0.005</v>
      </c>
      <c r="W344" s="384">
        <v>0.005</v>
      </c>
      <c r="X344" s="384">
        <v>0.005</v>
      </c>
      <c r="Y344" s="384">
        <v>0.005</v>
      </c>
      <c r="Z344" s="384">
        <v>0.005</v>
      </c>
      <c r="AA344" s="384">
        <v>0.005</v>
      </c>
      <c r="AB344" s="384">
        <v>0.005</v>
      </c>
      <c r="AC344" s="384">
        <v>0.005</v>
      </c>
      <c r="AD344" s="384">
        <v>0.005</v>
      </c>
      <c r="AE344" s="384">
        <v>0.005</v>
      </c>
      <c r="AF344" s="1"/>
      <c r="AG344" s="1"/>
      <c r="AH344" s="1"/>
      <c r="AI344" s="1"/>
      <c r="AJ344" s="1"/>
    </row>
    <row r="345" ht="15.75" customHeight="1">
      <c r="A345" s="372"/>
      <c r="B345" s="372"/>
      <c r="C345" s="372"/>
      <c r="D345" s="372"/>
      <c r="E345" s="372"/>
      <c r="F345" s="372"/>
      <c r="G345" s="372"/>
      <c r="H345" s="372"/>
      <c r="I345" s="372"/>
      <c r="J345" s="372"/>
      <c r="K345" s="372"/>
      <c r="L345" s="372"/>
      <c r="M345" s="372"/>
      <c r="N345" s="372"/>
      <c r="O345" s="372"/>
      <c r="P345" s="372"/>
      <c r="Q345" s="372"/>
      <c r="R345" s="372"/>
      <c r="S345" s="372"/>
      <c r="T345" s="372"/>
      <c r="U345" s="372"/>
      <c r="V345" s="372"/>
      <c r="W345" s="372"/>
      <c r="X345" s="372"/>
      <c r="Y345" s="372"/>
      <c r="Z345" s="372"/>
      <c r="AA345" s="372"/>
      <c r="AB345" s="372"/>
      <c r="AC345" s="372"/>
      <c r="AD345" s="372"/>
      <c r="AE345" s="372"/>
      <c r="AF345" s="372"/>
      <c r="AG345" s="372"/>
      <c r="AH345" s="372"/>
      <c r="AI345" s="372"/>
      <c r="AJ345" s="372"/>
    </row>
    <row r="346" ht="15.75" customHeight="1">
      <c r="A346" s="372" t="s">
        <v>215</v>
      </c>
      <c r="B346" s="372">
        <v>1.0</v>
      </c>
      <c r="C346" s="372">
        <v>2.0</v>
      </c>
      <c r="D346" s="372">
        <v>3.0</v>
      </c>
      <c r="E346" s="372">
        <v>4.0</v>
      </c>
      <c r="F346" s="372">
        <v>5.0</v>
      </c>
      <c r="G346" s="372">
        <v>6.0</v>
      </c>
      <c r="H346" s="372">
        <v>7.0</v>
      </c>
      <c r="I346" s="372">
        <v>8.0</v>
      </c>
      <c r="J346" s="372">
        <v>9.0</v>
      </c>
      <c r="K346" s="372">
        <v>10.0</v>
      </c>
      <c r="L346" s="372">
        <v>11.0</v>
      </c>
      <c r="M346" s="372">
        <v>12.0</v>
      </c>
      <c r="N346" s="372">
        <v>13.0</v>
      </c>
      <c r="O346" s="372">
        <v>14.0</v>
      </c>
      <c r="P346" s="372">
        <v>15.0</v>
      </c>
      <c r="Q346" s="372">
        <v>16.0</v>
      </c>
      <c r="R346" s="372">
        <v>17.0</v>
      </c>
      <c r="S346" s="372">
        <v>18.0</v>
      </c>
      <c r="T346" s="372">
        <v>19.0</v>
      </c>
      <c r="U346" s="372">
        <v>20.0</v>
      </c>
      <c r="V346" s="372">
        <v>21.0</v>
      </c>
      <c r="W346" s="372">
        <v>22.0</v>
      </c>
      <c r="X346" s="372">
        <v>23.0</v>
      </c>
      <c r="Y346" s="372">
        <v>24.0</v>
      </c>
      <c r="Z346" s="372">
        <v>25.0</v>
      </c>
      <c r="AA346" s="372">
        <v>26.0</v>
      </c>
      <c r="AB346" s="372">
        <v>27.0</v>
      </c>
      <c r="AC346" s="372">
        <v>28.0</v>
      </c>
      <c r="AD346" s="372">
        <v>29.0</v>
      </c>
      <c r="AE346" s="372">
        <v>30.0</v>
      </c>
      <c r="AF346" s="372"/>
      <c r="AG346" s="372"/>
      <c r="AH346" s="372"/>
      <c r="AI346" s="372"/>
      <c r="AJ346" s="372"/>
    </row>
    <row r="347" ht="15.75" customHeight="1">
      <c r="A347" s="1" t="s">
        <v>217</v>
      </c>
      <c r="B347" s="1">
        <v>0.0</v>
      </c>
      <c r="C347" s="1">
        <v>0.0</v>
      </c>
      <c r="D347" s="1">
        <v>0.0</v>
      </c>
      <c r="E347" s="1">
        <v>0.0</v>
      </c>
      <c r="F347" s="1">
        <v>0.0</v>
      </c>
      <c r="G347" s="1">
        <v>0.0</v>
      </c>
      <c r="H347" s="1">
        <v>0.0</v>
      </c>
      <c r="I347" s="1">
        <v>0.0</v>
      </c>
      <c r="J347" s="1">
        <v>0.0</v>
      </c>
      <c r="K347" s="1">
        <v>0.0</v>
      </c>
      <c r="L347" s="1">
        <v>0.0</v>
      </c>
      <c r="M347" s="1">
        <v>0.0</v>
      </c>
      <c r="N347" s="1">
        <v>0.0</v>
      </c>
      <c r="O347" s="1">
        <v>0.0</v>
      </c>
      <c r="P347" s="1">
        <v>0.0</v>
      </c>
      <c r="Q347" s="1">
        <v>0.0</v>
      </c>
      <c r="R347" s="1">
        <v>0.0</v>
      </c>
      <c r="S347" s="1">
        <v>0.0</v>
      </c>
      <c r="T347" s="1">
        <v>0.0</v>
      </c>
      <c r="U347" s="1">
        <v>0.0</v>
      </c>
      <c r="V347" s="1">
        <v>0.0</v>
      </c>
      <c r="W347" s="1">
        <v>0.0</v>
      </c>
      <c r="X347" s="1">
        <v>0.0</v>
      </c>
      <c r="Y347" s="1">
        <v>0.0</v>
      </c>
      <c r="Z347" s="1">
        <v>0.0</v>
      </c>
      <c r="AA347" s="1">
        <v>0.0</v>
      </c>
      <c r="AB347" s="1">
        <v>0.0</v>
      </c>
      <c r="AC347" s="1">
        <v>0.0</v>
      </c>
      <c r="AD347" s="1">
        <v>0.0</v>
      </c>
      <c r="AE347" s="1">
        <v>0.0</v>
      </c>
      <c r="AF347" s="372"/>
      <c r="AG347" s="372"/>
      <c r="AH347" s="372"/>
      <c r="AI347" s="372"/>
      <c r="AJ347" s="372"/>
    </row>
    <row r="348" ht="15.75" customHeight="1">
      <c r="A348" s="386" t="s">
        <v>218</v>
      </c>
      <c r="B348" s="384">
        <f t="array" ref="B348">INDEX($A$340:$AE$344,MATCH(Annual_Prem,ADMIN!$A$340:$A$344,1),MATCH(ADMIN!B346,ADMIN!$A$340:$AE$340,0))/12</f>
        <v>0.009166666667</v>
      </c>
      <c r="C348" s="384">
        <f t="array" ref="C348">INDEX($A$340:$AE$344,MATCH(Annual_Prem,ADMIN!$A$340:$A$344,1),MATCH(ADMIN!C346,ADMIN!$A$340:$AE$340,0))/12</f>
        <v>0.009166666667</v>
      </c>
      <c r="D348" s="384">
        <f t="array" ref="D348">INDEX($A$340:$AE$344,MATCH(Annual_Prem,ADMIN!$A$340:$A$344,1),MATCH(ADMIN!D346,ADMIN!$A$340:$AE$340,0))/12</f>
        <v>0.009166666667</v>
      </c>
      <c r="E348" s="372">
        <f t="array" ref="E348">INDEX($A$340:$AE$344,MATCH(Annual_Prem,ADMIN!$A$340:$A$344,1),MATCH(ADMIN!E346,ADMIN!$A$340:$AE$340,0))/12</f>
        <v>0.00125</v>
      </c>
      <c r="F348" s="372">
        <f t="array" ref="F348">INDEX($A$340:$AE$344,MATCH(Annual_Prem,ADMIN!$A$340:$A$344,1),MATCH(ADMIN!F346,ADMIN!$A$340:$AE$340,0))/12</f>
        <v>0.00125</v>
      </c>
      <c r="G348" s="372">
        <f t="array" ref="G348">INDEX($A$340:$AE$344,MATCH(Annual_Prem,ADMIN!$A$340:$A$344,1),MATCH(ADMIN!G346,ADMIN!$A$340:$AE$340,0))/12</f>
        <v>0.00125</v>
      </c>
      <c r="H348" s="372">
        <f t="array" ref="H348">INDEX($A$340:$AE$344,MATCH(Annual_Prem,ADMIN!$A$340:$A$344,1),MATCH(ADMIN!H346,ADMIN!$A$340:$AE$340,0))/12</f>
        <v>0.00125</v>
      </c>
      <c r="I348" s="372">
        <f t="array" ref="I348">INDEX($A$340:$AE$344,MATCH(Annual_Prem,ADMIN!$A$340:$A$344,1),MATCH(ADMIN!I346,ADMIN!$A$340:$AE$340,0))/12</f>
        <v>0.00125</v>
      </c>
      <c r="J348" s="372">
        <f t="array" ref="J348">INDEX($A$340:$AE$344,MATCH(Annual_Prem,ADMIN!$A$340:$A$344,1),MATCH(ADMIN!J346,ADMIN!$A$340:$AE$340,0))/12</f>
        <v>0.00125</v>
      </c>
      <c r="K348" s="372">
        <f t="array" ref="K348">INDEX($A$340:$AE$344,MATCH(Annual_Prem,ADMIN!$A$340:$A$344,1),MATCH(ADMIN!K346,ADMIN!$A$340:$AE$340,0))/12</f>
        <v>0.00125</v>
      </c>
      <c r="L348" s="372">
        <f t="array" ref="L348">INDEX($A$340:$AE$344,MATCH(Annual_Prem,ADMIN!$A$340:$A$344,1),MATCH(ADMIN!L346,ADMIN!$A$340:$AE$340,0))/12</f>
        <v>0.00125</v>
      </c>
      <c r="M348" s="372">
        <f t="array" ref="M348">INDEX($A$340:$AE$344,MATCH(Annual_Prem,ADMIN!$A$340:$A$344,1),MATCH(ADMIN!M346,ADMIN!$A$340:$AE$340,0))/12</f>
        <v>0.00125</v>
      </c>
      <c r="N348" s="372">
        <f t="array" ref="N348">INDEX($A$340:$AE$344,MATCH(Annual_Prem,ADMIN!$A$340:$A$344,1),MATCH(ADMIN!N346,ADMIN!$A$340:$AE$340,0))/12</f>
        <v>0.00125</v>
      </c>
      <c r="O348" s="372">
        <f t="array" ref="O348">INDEX($A$340:$AE$344,MATCH(Annual_Prem,ADMIN!$A$340:$A$344,1),MATCH(ADMIN!O346,ADMIN!$A$340:$AE$340,0))/12</f>
        <v>0.00125</v>
      </c>
      <c r="P348" s="372">
        <f t="array" ref="P348">INDEX($A$340:$AE$344,MATCH(Annual_Prem,ADMIN!$A$340:$A$344,1),MATCH(ADMIN!P346,ADMIN!$A$340:$AE$340,0))/12</f>
        <v>0.00125</v>
      </c>
      <c r="Q348" s="372">
        <f t="array" ref="Q348">INDEX($A$340:$AE$344,MATCH(Annual_Prem,ADMIN!$A$340:$A$344,1),MATCH(ADMIN!Q346,ADMIN!$A$340:$AE$340,0))/12</f>
        <v>0.00125</v>
      </c>
      <c r="R348" s="372">
        <f t="array" ref="R348">INDEX($A$340:$AE$344,MATCH(Annual_Prem,ADMIN!$A$340:$A$344,1),MATCH(ADMIN!R346,ADMIN!$A$340:$AE$340,0))/12</f>
        <v>0.00125</v>
      </c>
      <c r="S348" s="372">
        <f t="array" ref="S348">INDEX($A$340:$AE$344,MATCH(Annual_Prem,ADMIN!$A$340:$A$344,1),MATCH(ADMIN!S346,ADMIN!$A$340:$AE$340,0))/12</f>
        <v>0.00125</v>
      </c>
      <c r="T348" s="372">
        <f t="array" ref="T348">INDEX($A$340:$AE$344,MATCH(Annual_Prem,ADMIN!$A$340:$A$344,1),MATCH(ADMIN!T346,ADMIN!$A$340:$AE$340,0))/12</f>
        <v>0.00125</v>
      </c>
      <c r="U348" s="372">
        <f t="array" ref="U348">INDEX($A$340:$AE$344,MATCH(Annual_Prem,ADMIN!$A$340:$A$344,1),MATCH(ADMIN!U346,ADMIN!$A$340:$AE$340,0))/12</f>
        <v>0.00125</v>
      </c>
      <c r="V348" s="372">
        <f t="array" ref="V348">INDEX($A$340:$AE$344,MATCH(Annual_Prem,ADMIN!$A$340:$A$344,1),MATCH(ADMIN!V346,ADMIN!$A$340:$AE$340,0))/12</f>
        <v>0.00125</v>
      </c>
      <c r="W348" s="372">
        <f t="array" ref="W348">INDEX($A$340:$AE$344,MATCH(Annual_Prem,ADMIN!$A$340:$A$344,1),MATCH(ADMIN!W346,ADMIN!$A$340:$AE$340,0))/12</f>
        <v>0.00125</v>
      </c>
      <c r="X348" s="372">
        <f t="array" ref="X348">INDEX($A$340:$AE$344,MATCH(Annual_Prem,ADMIN!$A$340:$A$344,1),MATCH(ADMIN!X346,ADMIN!$A$340:$AE$340,0))/12</f>
        <v>0.00125</v>
      </c>
      <c r="Y348" s="372">
        <f t="array" ref="Y348">INDEX($A$340:$AE$344,MATCH(Annual_Prem,ADMIN!$A$340:$A$344,1),MATCH(ADMIN!Y346,ADMIN!$A$340:$AE$340,0))/12</f>
        <v>0.00125</v>
      </c>
      <c r="Z348" s="372">
        <f t="array" ref="Z348">INDEX($A$340:$AE$344,MATCH(Annual_Prem,ADMIN!$A$340:$A$344,1),MATCH(ADMIN!Z346,ADMIN!$A$340:$AE$340,0))/12</f>
        <v>0.00125</v>
      </c>
      <c r="AA348" s="372">
        <f t="array" ref="AA348">INDEX($A$340:$AE$344,MATCH(Annual_Prem,ADMIN!$A$340:$A$344,1),MATCH(ADMIN!AA346,ADMIN!$A$340:$AE$340,0))/12</f>
        <v>0.00125</v>
      </c>
      <c r="AB348" s="372">
        <f t="array" ref="AB348">INDEX($A$340:$AE$344,MATCH(Annual_Prem,ADMIN!$A$340:$A$344,1),MATCH(ADMIN!AB346,ADMIN!$A$340:$AE$340,0))/12</f>
        <v>0.00125</v>
      </c>
      <c r="AC348" s="372">
        <f t="array" ref="AC348">INDEX($A$340:$AE$344,MATCH(Annual_Prem,ADMIN!$A$340:$A$344,1),MATCH(ADMIN!AC346,ADMIN!$A$340:$AE$340,0))/12</f>
        <v>0.00125</v>
      </c>
      <c r="AD348" s="372">
        <f t="array" ref="AD348">INDEX($A$340:$AE$344,MATCH(Annual_Prem,ADMIN!$A$340:$A$344,1),MATCH(ADMIN!AD346,ADMIN!$A$340:$AE$340,0))/12</f>
        <v>0.00125</v>
      </c>
      <c r="AE348" s="372">
        <f t="array" ref="AE348">INDEX($A$340:$AE$344,MATCH(Annual_Prem,ADMIN!$A$340:$A$344,1),MATCH(ADMIN!AE346,ADMIN!$A$340:$AE$340,0))/12</f>
        <v>0.00125</v>
      </c>
      <c r="AF348" s="372"/>
      <c r="AG348" s="372"/>
      <c r="AH348" s="372"/>
      <c r="AI348" s="372"/>
      <c r="AJ348" s="372"/>
    </row>
    <row r="349" ht="15.75" customHeight="1">
      <c r="A349" s="382" t="s">
        <v>908</v>
      </c>
      <c r="B349" s="372"/>
      <c r="C349" s="372"/>
      <c r="D349" s="372"/>
      <c r="E349" s="372"/>
      <c r="F349" s="372"/>
      <c r="G349" s="372"/>
      <c r="H349" s="372"/>
      <c r="I349" s="372"/>
      <c r="J349" s="372"/>
      <c r="K349" s="372"/>
      <c r="L349" s="372"/>
      <c r="M349" s="372"/>
      <c r="N349" s="372"/>
      <c r="O349" s="372"/>
      <c r="P349" s="372"/>
      <c r="Q349" s="372"/>
      <c r="R349" s="372"/>
      <c r="S349" s="372"/>
      <c r="T349" s="372"/>
      <c r="U349" s="372"/>
      <c r="V349" s="372"/>
      <c r="W349" s="372"/>
      <c r="X349" s="372"/>
      <c r="Y349" s="372"/>
      <c r="Z349" s="372"/>
      <c r="AA349" s="372"/>
      <c r="AB349" s="372"/>
      <c r="AC349" s="372"/>
      <c r="AD349" s="372"/>
      <c r="AE349" s="372"/>
      <c r="AF349" s="372"/>
      <c r="AG349" s="372"/>
      <c r="AH349" s="372"/>
      <c r="AI349" s="372"/>
      <c r="AJ349" s="372"/>
    </row>
    <row r="350" ht="15.7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row>
    <row r="351" ht="15.0" customHeight="1">
      <c r="A351" s="36" t="s">
        <v>215</v>
      </c>
      <c r="B351" s="36">
        <v>1.0</v>
      </c>
      <c r="C351" s="36">
        <v>2.0</v>
      </c>
      <c r="D351" s="36">
        <v>3.0</v>
      </c>
      <c r="E351" s="36">
        <v>4.0</v>
      </c>
      <c r="F351" s="36">
        <v>5.0</v>
      </c>
      <c r="G351" s="36">
        <v>6.0</v>
      </c>
      <c r="H351" s="36">
        <v>7.0</v>
      </c>
      <c r="I351" s="36">
        <v>8.0</v>
      </c>
      <c r="J351" s="36">
        <v>9.0</v>
      </c>
      <c r="K351" s="36">
        <v>10.0</v>
      </c>
      <c r="L351" s="36">
        <v>11.0</v>
      </c>
      <c r="M351" s="36">
        <v>12.0</v>
      </c>
      <c r="N351" s="36">
        <v>13.0</v>
      </c>
      <c r="O351" s="36">
        <v>14.0</v>
      </c>
      <c r="P351" s="36">
        <v>15.0</v>
      </c>
      <c r="Q351" s="36">
        <v>16.0</v>
      </c>
      <c r="R351" s="36">
        <v>17.0</v>
      </c>
      <c r="S351" s="36">
        <v>18.0</v>
      </c>
      <c r="T351" s="36">
        <v>19.0</v>
      </c>
      <c r="U351" s="36">
        <v>20.0</v>
      </c>
      <c r="V351" s="36">
        <v>21.0</v>
      </c>
      <c r="W351" s="36">
        <v>22.0</v>
      </c>
      <c r="X351" s="36">
        <v>23.0</v>
      </c>
      <c r="Y351" s="36">
        <v>24.0</v>
      </c>
      <c r="Z351" s="36">
        <v>25.0</v>
      </c>
      <c r="AA351" s="36">
        <v>26.0</v>
      </c>
      <c r="AB351" s="36">
        <v>27.0</v>
      </c>
      <c r="AC351" s="36">
        <v>28.0</v>
      </c>
      <c r="AD351" s="36">
        <v>29.0</v>
      </c>
      <c r="AE351" s="36">
        <v>30.0</v>
      </c>
      <c r="AF351" s="12"/>
      <c r="AG351" s="12"/>
      <c r="AH351" s="12"/>
      <c r="AI351" s="12"/>
      <c r="AJ351" s="12"/>
    </row>
    <row r="352" ht="15.75" customHeight="1">
      <c r="A352" s="12" t="s">
        <v>217</v>
      </c>
      <c r="B352" s="36">
        <v>50.0</v>
      </c>
      <c r="C352" s="36">
        <f t="shared" ref="C352:AE352" si="63">B352*1.05</f>
        <v>52.5</v>
      </c>
      <c r="D352" s="36">
        <f t="shared" si="63"/>
        <v>55.125</v>
      </c>
      <c r="E352" s="36">
        <f t="shared" si="63"/>
        <v>57.88125</v>
      </c>
      <c r="F352" s="36">
        <f t="shared" si="63"/>
        <v>60.7753125</v>
      </c>
      <c r="G352" s="36">
        <f t="shared" si="63"/>
        <v>63.81407813</v>
      </c>
      <c r="H352" s="36">
        <f t="shared" si="63"/>
        <v>67.00478203</v>
      </c>
      <c r="I352" s="36">
        <f t="shared" si="63"/>
        <v>70.35502113</v>
      </c>
      <c r="J352" s="36">
        <f t="shared" si="63"/>
        <v>73.87277219</v>
      </c>
      <c r="K352" s="36">
        <f t="shared" si="63"/>
        <v>77.5664108</v>
      </c>
      <c r="L352" s="36">
        <f t="shared" si="63"/>
        <v>81.44473134</v>
      </c>
      <c r="M352" s="36">
        <f t="shared" si="63"/>
        <v>85.51696791</v>
      </c>
      <c r="N352" s="36">
        <f t="shared" si="63"/>
        <v>89.7928163</v>
      </c>
      <c r="O352" s="36">
        <f t="shared" si="63"/>
        <v>94.28245712</v>
      </c>
      <c r="P352" s="36">
        <f t="shared" si="63"/>
        <v>98.99657997</v>
      </c>
      <c r="Q352" s="36">
        <f t="shared" si="63"/>
        <v>103.946409</v>
      </c>
      <c r="R352" s="36">
        <f t="shared" si="63"/>
        <v>109.1437294</v>
      </c>
      <c r="S352" s="36">
        <f t="shared" si="63"/>
        <v>114.6009159</v>
      </c>
      <c r="T352" s="36">
        <f t="shared" si="63"/>
        <v>120.3309617</v>
      </c>
      <c r="U352" s="36">
        <f t="shared" si="63"/>
        <v>126.3475098</v>
      </c>
      <c r="V352" s="36">
        <f t="shared" si="63"/>
        <v>132.6648853</v>
      </c>
      <c r="W352" s="36">
        <f t="shared" si="63"/>
        <v>139.2981295</v>
      </c>
      <c r="X352" s="36">
        <f t="shared" si="63"/>
        <v>146.263036</v>
      </c>
      <c r="Y352" s="36">
        <f t="shared" si="63"/>
        <v>153.5761878</v>
      </c>
      <c r="Z352" s="36">
        <f t="shared" si="63"/>
        <v>161.2549972</v>
      </c>
      <c r="AA352" s="36">
        <f t="shared" si="63"/>
        <v>169.317747</v>
      </c>
      <c r="AB352" s="36">
        <f t="shared" si="63"/>
        <v>177.7836344</v>
      </c>
      <c r="AC352" s="36">
        <f t="shared" si="63"/>
        <v>186.6728161</v>
      </c>
      <c r="AD352" s="36">
        <f t="shared" si="63"/>
        <v>196.0064569</v>
      </c>
      <c r="AE352" s="36">
        <f t="shared" si="63"/>
        <v>205.8067798</v>
      </c>
      <c r="AF352" s="36"/>
      <c r="AG352" s="36"/>
      <c r="AH352" s="36"/>
      <c r="AI352" s="36"/>
      <c r="AJ352" s="36"/>
    </row>
    <row r="353" ht="15.75" customHeight="1">
      <c r="A353" s="370" t="s">
        <v>218</v>
      </c>
      <c r="B353" s="12">
        <v>0.0</v>
      </c>
      <c r="C353" s="12">
        <v>0.0</v>
      </c>
      <c r="D353" s="12">
        <v>0.0</v>
      </c>
      <c r="E353" s="12">
        <v>0.0</v>
      </c>
      <c r="F353" s="12">
        <v>0.0</v>
      </c>
      <c r="G353" s="12">
        <v>0.0</v>
      </c>
      <c r="H353" s="12">
        <v>0.0</v>
      </c>
      <c r="I353" s="12">
        <v>0.0</v>
      </c>
      <c r="J353" s="12">
        <v>0.0</v>
      </c>
      <c r="K353" s="12">
        <v>0.0</v>
      </c>
      <c r="L353" s="12">
        <v>0.0</v>
      </c>
      <c r="M353" s="12">
        <v>0.0</v>
      </c>
      <c r="N353" s="12">
        <v>0.0</v>
      </c>
      <c r="O353" s="12">
        <v>0.0</v>
      </c>
      <c r="P353" s="12">
        <v>0.0</v>
      </c>
      <c r="Q353" s="12">
        <v>0.0</v>
      </c>
      <c r="R353" s="12">
        <v>0.0</v>
      </c>
      <c r="S353" s="12">
        <v>0.0</v>
      </c>
      <c r="T353" s="12">
        <v>0.0</v>
      </c>
      <c r="U353" s="12">
        <v>0.0</v>
      </c>
      <c r="V353" s="12">
        <v>0.0</v>
      </c>
      <c r="W353" s="12">
        <v>0.0</v>
      </c>
      <c r="X353" s="12">
        <v>0.0</v>
      </c>
      <c r="Y353" s="12">
        <v>0.0</v>
      </c>
      <c r="Z353" s="12">
        <v>0.0</v>
      </c>
      <c r="AA353" s="12">
        <v>0.0</v>
      </c>
      <c r="AB353" s="12">
        <v>0.0</v>
      </c>
      <c r="AC353" s="12">
        <v>0.0</v>
      </c>
      <c r="AD353" s="12">
        <v>0.0</v>
      </c>
      <c r="AE353" s="12">
        <v>0.0</v>
      </c>
      <c r="AF353" s="36"/>
      <c r="AG353" s="36"/>
      <c r="AH353" s="36"/>
      <c r="AI353" s="36"/>
      <c r="AJ353" s="36"/>
    </row>
    <row r="354" ht="15.75" customHeight="1">
      <c r="A354" s="380" t="s">
        <v>912</v>
      </c>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c r="AA354" s="36"/>
      <c r="AB354" s="36"/>
      <c r="AC354" s="36"/>
      <c r="AD354" s="36"/>
      <c r="AE354" s="36"/>
      <c r="AF354" s="36"/>
      <c r="AG354" s="36"/>
      <c r="AH354" s="36"/>
      <c r="AI354" s="36"/>
      <c r="AJ354" s="36"/>
    </row>
    <row r="355" ht="15.75" customHeight="1">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c r="AA355" s="36"/>
      <c r="AB355" s="36"/>
      <c r="AC355" s="36"/>
      <c r="AD355" s="36"/>
      <c r="AE355" s="36"/>
      <c r="AF355" s="36"/>
      <c r="AG355" s="36"/>
      <c r="AH355" s="36"/>
      <c r="AI355" s="36"/>
      <c r="AJ355" s="36"/>
    </row>
    <row r="356" ht="15.75" customHeight="1">
      <c r="A356" s="36" t="s">
        <v>215</v>
      </c>
      <c r="B356" s="36">
        <v>1.0</v>
      </c>
      <c r="C356" s="36">
        <v>2.0</v>
      </c>
      <c r="D356" s="36">
        <v>3.0</v>
      </c>
      <c r="E356" s="36">
        <v>4.0</v>
      </c>
      <c r="F356" s="36">
        <v>5.0</v>
      </c>
      <c r="G356" s="36">
        <v>6.0</v>
      </c>
      <c r="H356" s="36">
        <v>7.0</v>
      </c>
      <c r="I356" s="36">
        <v>8.0</v>
      </c>
      <c r="J356" s="36">
        <v>9.0</v>
      </c>
      <c r="K356" s="36">
        <v>10.0</v>
      </c>
      <c r="L356" s="36">
        <v>11.0</v>
      </c>
      <c r="M356" s="36">
        <v>12.0</v>
      </c>
      <c r="N356" s="36">
        <v>13.0</v>
      </c>
      <c r="O356" s="36">
        <v>14.0</v>
      </c>
      <c r="P356" s="36">
        <v>15.0</v>
      </c>
      <c r="Q356" s="36">
        <v>16.0</v>
      </c>
      <c r="R356" s="36">
        <v>17.0</v>
      </c>
      <c r="S356" s="36">
        <v>18.0</v>
      </c>
      <c r="T356" s="36">
        <v>19.0</v>
      </c>
      <c r="U356" s="36">
        <v>20.0</v>
      </c>
      <c r="V356" s="36">
        <v>21.0</v>
      </c>
      <c r="W356" s="36">
        <v>22.0</v>
      </c>
      <c r="X356" s="36">
        <v>23.0</v>
      </c>
      <c r="Y356" s="36">
        <v>24.0</v>
      </c>
      <c r="Z356" s="36">
        <v>25.0</v>
      </c>
      <c r="AA356" s="36">
        <v>26.0</v>
      </c>
      <c r="AB356" s="36">
        <v>27.0</v>
      </c>
      <c r="AC356" s="36">
        <v>28.0</v>
      </c>
      <c r="AD356" s="36">
        <v>29.0</v>
      </c>
      <c r="AE356" s="36">
        <v>30.0</v>
      </c>
      <c r="AF356" s="36"/>
      <c r="AG356" s="36"/>
      <c r="AH356" s="36"/>
      <c r="AI356" s="36"/>
      <c r="AJ356" s="36"/>
    </row>
    <row r="357" ht="15.75" customHeight="1">
      <c r="A357" s="12" t="s">
        <v>217</v>
      </c>
      <c r="B357" s="36">
        <v>50.0</v>
      </c>
      <c r="C357" s="36">
        <f t="shared" ref="C357:AE357" si="64">B357*1.05</f>
        <v>52.5</v>
      </c>
      <c r="D357" s="36">
        <f t="shared" si="64"/>
        <v>55.125</v>
      </c>
      <c r="E357" s="36">
        <f t="shared" si="64"/>
        <v>57.88125</v>
      </c>
      <c r="F357" s="36">
        <f t="shared" si="64"/>
        <v>60.7753125</v>
      </c>
      <c r="G357" s="36">
        <f t="shared" si="64"/>
        <v>63.81407813</v>
      </c>
      <c r="H357" s="36">
        <f t="shared" si="64"/>
        <v>67.00478203</v>
      </c>
      <c r="I357" s="36">
        <f t="shared" si="64"/>
        <v>70.35502113</v>
      </c>
      <c r="J357" s="36">
        <f t="shared" si="64"/>
        <v>73.87277219</v>
      </c>
      <c r="K357" s="36">
        <f t="shared" si="64"/>
        <v>77.5664108</v>
      </c>
      <c r="L357" s="36">
        <f t="shared" si="64"/>
        <v>81.44473134</v>
      </c>
      <c r="M357" s="36">
        <f t="shared" si="64"/>
        <v>85.51696791</v>
      </c>
      <c r="N357" s="36">
        <f t="shared" si="64"/>
        <v>89.7928163</v>
      </c>
      <c r="O357" s="36">
        <f t="shared" si="64"/>
        <v>94.28245712</v>
      </c>
      <c r="P357" s="36">
        <f t="shared" si="64"/>
        <v>98.99657997</v>
      </c>
      <c r="Q357" s="36">
        <f t="shared" si="64"/>
        <v>103.946409</v>
      </c>
      <c r="R357" s="36">
        <f t="shared" si="64"/>
        <v>109.1437294</v>
      </c>
      <c r="S357" s="36">
        <f t="shared" si="64"/>
        <v>114.6009159</v>
      </c>
      <c r="T357" s="36">
        <f t="shared" si="64"/>
        <v>120.3309617</v>
      </c>
      <c r="U357" s="36">
        <f t="shared" si="64"/>
        <v>126.3475098</v>
      </c>
      <c r="V357" s="36">
        <f t="shared" si="64"/>
        <v>132.6648853</v>
      </c>
      <c r="W357" s="36">
        <f t="shared" si="64"/>
        <v>139.2981295</v>
      </c>
      <c r="X357" s="36">
        <f t="shared" si="64"/>
        <v>146.263036</v>
      </c>
      <c r="Y357" s="36">
        <f t="shared" si="64"/>
        <v>153.5761878</v>
      </c>
      <c r="Z357" s="36">
        <f t="shared" si="64"/>
        <v>161.2549972</v>
      </c>
      <c r="AA357" s="36">
        <f t="shared" si="64"/>
        <v>169.317747</v>
      </c>
      <c r="AB357" s="36">
        <f t="shared" si="64"/>
        <v>177.7836344</v>
      </c>
      <c r="AC357" s="36">
        <f t="shared" si="64"/>
        <v>186.6728161</v>
      </c>
      <c r="AD357" s="36">
        <f t="shared" si="64"/>
        <v>196.0064569</v>
      </c>
      <c r="AE357" s="36">
        <f t="shared" si="64"/>
        <v>205.8067798</v>
      </c>
      <c r="AF357" s="36"/>
      <c r="AG357" s="36"/>
      <c r="AH357" s="36"/>
      <c r="AI357" s="36"/>
      <c r="AJ357" s="36"/>
    </row>
    <row r="358" ht="15.75" customHeight="1">
      <c r="A358" s="370" t="s">
        <v>218</v>
      </c>
      <c r="B358" s="12">
        <v>0.0</v>
      </c>
      <c r="C358" s="12">
        <v>0.0</v>
      </c>
      <c r="D358" s="12">
        <v>0.0</v>
      </c>
      <c r="E358" s="12">
        <v>0.0</v>
      </c>
      <c r="F358" s="12">
        <v>0.0</v>
      </c>
      <c r="G358" s="12">
        <v>0.0</v>
      </c>
      <c r="H358" s="12">
        <v>0.0</v>
      </c>
      <c r="I358" s="12">
        <v>0.0</v>
      </c>
      <c r="J358" s="12">
        <v>0.0</v>
      </c>
      <c r="K358" s="12">
        <v>0.0</v>
      </c>
      <c r="L358" s="12">
        <v>0.0</v>
      </c>
      <c r="M358" s="12">
        <v>0.0</v>
      </c>
      <c r="N358" s="12">
        <v>0.0</v>
      </c>
      <c r="O358" s="12">
        <v>0.0</v>
      </c>
      <c r="P358" s="12">
        <v>0.0</v>
      </c>
      <c r="Q358" s="12">
        <v>0.0</v>
      </c>
      <c r="R358" s="12">
        <v>0.0</v>
      </c>
      <c r="S358" s="12">
        <v>0.0</v>
      </c>
      <c r="T358" s="12">
        <v>0.0</v>
      </c>
      <c r="U358" s="12">
        <v>0.0</v>
      </c>
      <c r="V358" s="12">
        <v>0.0</v>
      </c>
      <c r="W358" s="12">
        <v>0.0</v>
      </c>
      <c r="X358" s="12">
        <v>0.0</v>
      </c>
      <c r="Y358" s="12">
        <v>0.0</v>
      </c>
      <c r="Z358" s="12">
        <v>0.0</v>
      </c>
      <c r="AA358" s="12">
        <v>0.0</v>
      </c>
      <c r="AB358" s="12">
        <v>0.0</v>
      </c>
      <c r="AC358" s="12">
        <v>0.0</v>
      </c>
      <c r="AD358" s="12">
        <v>0.0</v>
      </c>
      <c r="AE358" s="12">
        <v>0.0</v>
      </c>
      <c r="AF358" s="36"/>
      <c r="AG358" s="36"/>
      <c r="AH358" s="36"/>
      <c r="AI358" s="36"/>
      <c r="AJ358" s="36"/>
    </row>
    <row r="359" ht="15.75" customHeight="1">
      <c r="A359" s="380" t="s">
        <v>916</v>
      </c>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c r="AA359" s="36"/>
      <c r="AB359" s="36"/>
      <c r="AC359" s="36"/>
      <c r="AD359" s="36"/>
      <c r="AE359" s="36"/>
      <c r="AF359" s="36"/>
      <c r="AG359" s="36"/>
      <c r="AH359" s="36"/>
      <c r="AI359" s="36"/>
      <c r="AJ359" s="36"/>
    </row>
    <row r="360" ht="15.75" customHeight="1">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c r="AA360" s="36"/>
      <c r="AB360" s="36"/>
      <c r="AC360" s="36"/>
      <c r="AD360" s="36"/>
      <c r="AE360" s="36"/>
      <c r="AF360" s="36"/>
      <c r="AG360" s="36"/>
      <c r="AH360" s="36"/>
      <c r="AI360" s="36"/>
      <c r="AJ360" s="36"/>
    </row>
    <row r="361" ht="15.75" customHeight="1">
      <c r="A361" s="36" t="s">
        <v>215</v>
      </c>
      <c r="B361" s="36">
        <v>1.0</v>
      </c>
      <c r="C361" s="36">
        <v>2.0</v>
      </c>
      <c r="D361" s="36">
        <v>3.0</v>
      </c>
      <c r="E361" s="36">
        <v>4.0</v>
      </c>
      <c r="F361" s="36">
        <v>5.0</v>
      </c>
      <c r="G361" s="36">
        <v>6.0</v>
      </c>
      <c r="H361" s="36">
        <v>7.0</v>
      </c>
      <c r="I361" s="36">
        <v>8.0</v>
      </c>
      <c r="J361" s="36">
        <v>9.0</v>
      </c>
      <c r="K361" s="36">
        <v>10.0</v>
      </c>
      <c r="L361" s="36">
        <v>11.0</v>
      </c>
      <c r="M361" s="36">
        <v>12.0</v>
      </c>
      <c r="N361" s="36">
        <v>13.0</v>
      </c>
      <c r="O361" s="36">
        <v>14.0</v>
      </c>
      <c r="P361" s="36">
        <v>15.0</v>
      </c>
      <c r="Q361" s="36">
        <v>16.0</v>
      </c>
      <c r="R361" s="36">
        <v>17.0</v>
      </c>
      <c r="S361" s="36">
        <v>18.0</v>
      </c>
      <c r="T361" s="36">
        <v>19.0</v>
      </c>
      <c r="U361" s="36">
        <v>20.0</v>
      </c>
      <c r="V361" s="36">
        <v>21.0</v>
      </c>
      <c r="W361" s="36">
        <v>22.0</v>
      </c>
      <c r="X361" s="36">
        <v>23.0</v>
      </c>
      <c r="Y361" s="36">
        <v>24.0</v>
      </c>
      <c r="Z361" s="36">
        <v>25.0</v>
      </c>
      <c r="AA361" s="36">
        <v>26.0</v>
      </c>
      <c r="AB361" s="36">
        <v>27.0</v>
      </c>
      <c r="AC361" s="36">
        <v>28.0</v>
      </c>
      <c r="AD361" s="36">
        <v>29.0</v>
      </c>
      <c r="AE361" s="36">
        <v>30.0</v>
      </c>
      <c r="AF361" s="36"/>
      <c r="AG361" s="36"/>
      <c r="AH361" s="36"/>
      <c r="AI361" s="36"/>
      <c r="AJ361" s="36"/>
    </row>
    <row r="362" ht="15.75" customHeight="1">
      <c r="A362" s="12" t="s">
        <v>217</v>
      </c>
      <c r="B362" s="36">
        <v>50.0</v>
      </c>
      <c r="C362" s="36">
        <f t="shared" ref="C362:AE362" si="65">B362*1.05</f>
        <v>52.5</v>
      </c>
      <c r="D362" s="36">
        <f t="shared" si="65"/>
        <v>55.125</v>
      </c>
      <c r="E362" s="36">
        <f t="shared" si="65"/>
        <v>57.88125</v>
      </c>
      <c r="F362" s="36">
        <f t="shared" si="65"/>
        <v>60.7753125</v>
      </c>
      <c r="G362" s="36">
        <f t="shared" si="65"/>
        <v>63.81407813</v>
      </c>
      <c r="H362" s="36">
        <f t="shared" si="65"/>
        <v>67.00478203</v>
      </c>
      <c r="I362" s="36">
        <f t="shared" si="65"/>
        <v>70.35502113</v>
      </c>
      <c r="J362" s="36">
        <f t="shared" si="65"/>
        <v>73.87277219</v>
      </c>
      <c r="K362" s="36">
        <f t="shared" si="65"/>
        <v>77.5664108</v>
      </c>
      <c r="L362" s="36">
        <f t="shared" si="65"/>
        <v>81.44473134</v>
      </c>
      <c r="M362" s="36">
        <f t="shared" si="65"/>
        <v>85.51696791</v>
      </c>
      <c r="N362" s="36">
        <f t="shared" si="65"/>
        <v>89.7928163</v>
      </c>
      <c r="O362" s="36">
        <f t="shared" si="65"/>
        <v>94.28245712</v>
      </c>
      <c r="P362" s="36">
        <f t="shared" si="65"/>
        <v>98.99657997</v>
      </c>
      <c r="Q362" s="36">
        <f t="shared" si="65"/>
        <v>103.946409</v>
      </c>
      <c r="R362" s="36">
        <f t="shared" si="65"/>
        <v>109.1437294</v>
      </c>
      <c r="S362" s="36">
        <f t="shared" si="65"/>
        <v>114.6009159</v>
      </c>
      <c r="T362" s="36">
        <f t="shared" si="65"/>
        <v>120.3309617</v>
      </c>
      <c r="U362" s="36">
        <f t="shared" si="65"/>
        <v>126.3475098</v>
      </c>
      <c r="V362" s="36">
        <f t="shared" si="65"/>
        <v>132.6648853</v>
      </c>
      <c r="W362" s="36">
        <f t="shared" si="65"/>
        <v>139.2981295</v>
      </c>
      <c r="X362" s="36">
        <f t="shared" si="65"/>
        <v>146.263036</v>
      </c>
      <c r="Y362" s="36">
        <f t="shared" si="65"/>
        <v>153.5761878</v>
      </c>
      <c r="Z362" s="36">
        <f t="shared" si="65"/>
        <v>161.2549972</v>
      </c>
      <c r="AA362" s="36">
        <f t="shared" si="65"/>
        <v>169.317747</v>
      </c>
      <c r="AB362" s="36">
        <f t="shared" si="65"/>
        <v>177.7836344</v>
      </c>
      <c r="AC362" s="36">
        <f t="shared" si="65"/>
        <v>186.6728161</v>
      </c>
      <c r="AD362" s="36">
        <f t="shared" si="65"/>
        <v>196.0064569</v>
      </c>
      <c r="AE362" s="36">
        <f t="shared" si="65"/>
        <v>205.8067798</v>
      </c>
      <c r="AF362" s="36"/>
      <c r="AG362" s="36"/>
      <c r="AH362" s="36"/>
      <c r="AI362" s="36"/>
      <c r="AJ362" s="36"/>
    </row>
    <row r="363" ht="15.75" customHeight="1">
      <c r="A363" s="370" t="s">
        <v>218</v>
      </c>
      <c r="B363" s="12">
        <v>0.0</v>
      </c>
      <c r="C363" s="12">
        <v>0.0</v>
      </c>
      <c r="D363" s="12">
        <v>0.0</v>
      </c>
      <c r="E363" s="12">
        <v>0.0</v>
      </c>
      <c r="F363" s="12">
        <v>0.0</v>
      </c>
      <c r="G363" s="12">
        <v>0.0</v>
      </c>
      <c r="H363" s="12">
        <v>0.0</v>
      </c>
      <c r="I363" s="12">
        <v>0.0</v>
      </c>
      <c r="J363" s="12">
        <v>0.0</v>
      </c>
      <c r="K363" s="12">
        <v>0.0</v>
      </c>
      <c r="L363" s="12">
        <v>0.0</v>
      </c>
      <c r="M363" s="12">
        <v>0.0</v>
      </c>
      <c r="N363" s="12">
        <v>0.0</v>
      </c>
      <c r="O363" s="12">
        <v>0.0</v>
      </c>
      <c r="P363" s="12">
        <v>0.0</v>
      </c>
      <c r="Q363" s="12">
        <v>0.0</v>
      </c>
      <c r="R363" s="12">
        <v>0.0</v>
      </c>
      <c r="S363" s="12">
        <v>0.0</v>
      </c>
      <c r="T363" s="12">
        <v>0.0</v>
      </c>
      <c r="U363" s="12">
        <v>0.0</v>
      </c>
      <c r="V363" s="12">
        <v>0.0</v>
      </c>
      <c r="W363" s="12">
        <v>0.0</v>
      </c>
      <c r="X363" s="12">
        <v>0.0</v>
      </c>
      <c r="Y363" s="12">
        <v>0.0</v>
      </c>
      <c r="Z363" s="12">
        <v>0.0</v>
      </c>
      <c r="AA363" s="12">
        <v>0.0</v>
      </c>
      <c r="AB363" s="12">
        <v>0.0</v>
      </c>
      <c r="AC363" s="12">
        <v>0.0</v>
      </c>
      <c r="AD363" s="12">
        <v>0.0</v>
      </c>
      <c r="AE363" s="12">
        <v>0.0</v>
      </c>
      <c r="AF363" s="36"/>
      <c r="AG363" s="36"/>
      <c r="AH363" s="36"/>
      <c r="AI363" s="36"/>
      <c r="AJ363" s="36"/>
    </row>
    <row r="364" ht="15.75" customHeight="1">
      <c r="A364" s="380" t="s">
        <v>921</v>
      </c>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c r="AA364" s="36"/>
      <c r="AB364" s="36"/>
      <c r="AC364" s="36"/>
      <c r="AD364" s="36"/>
      <c r="AE364" s="36"/>
      <c r="AF364" s="36"/>
      <c r="AG364" s="36"/>
      <c r="AH364" s="36"/>
      <c r="AI364" s="36"/>
      <c r="AJ364" s="36"/>
    </row>
    <row r="365" ht="15.75" customHeight="1">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c r="AA365" s="36"/>
      <c r="AB365" s="36"/>
      <c r="AC365" s="36"/>
      <c r="AD365" s="36"/>
      <c r="AE365" s="36"/>
      <c r="AF365" s="36"/>
      <c r="AG365" s="36"/>
      <c r="AH365" s="36"/>
      <c r="AI365" s="36"/>
      <c r="AJ365" s="36"/>
    </row>
    <row r="366" ht="15.75" customHeight="1">
      <c r="A366" s="36" t="s">
        <v>215</v>
      </c>
      <c r="B366" s="36">
        <v>1.0</v>
      </c>
      <c r="C366" s="36">
        <v>2.0</v>
      </c>
      <c r="D366" s="36">
        <v>3.0</v>
      </c>
      <c r="E366" s="36">
        <v>4.0</v>
      </c>
      <c r="F366" s="36">
        <v>5.0</v>
      </c>
      <c r="G366" s="36">
        <v>6.0</v>
      </c>
      <c r="H366" s="36">
        <v>7.0</v>
      </c>
      <c r="I366" s="36">
        <v>8.0</v>
      </c>
      <c r="J366" s="36">
        <v>9.0</v>
      </c>
      <c r="K366" s="36">
        <v>10.0</v>
      </c>
      <c r="L366" s="36">
        <v>11.0</v>
      </c>
      <c r="M366" s="36">
        <v>12.0</v>
      </c>
      <c r="N366" s="36">
        <v>13.0</v>
      </c>
      <c r="O366" s="36">
        <v>14.0</v>
      </c>
      <c r="P366" s="36">
        <v>15.0</v>
      </c>
      <c r="Q366" s="36">
        <v>16.0</v>
      </c>
      <c r="R366" s="36">
        <v>17.0</v>
      </c>
      <c r="S366" s="36">
        <v>18.0</v>
      </c>
      <c r="T366" s="36">
        <v>19.0</v>
      </c>
      <c r="U366" s="36">
        <v>20.0</v>
      </c>
      <c r="V366" s="36">
        <v>21.0</v>
      </c>
      <c r="W366" s="36">
        <v>22.0</v>
      </c>
      <c r="X366" s="36">
        <v>23.0</v>
      </c>
      <c r="Y366" s="36">
        <v>24.0</v>
      </c>
      <c r="Z366" s="36">
        <v>25.0</v>
      </c>
      <c r="AA366" s="36">
        <v>26.0</v>
      </c>
      <c r="AB366" s="36">
        <v>27.0</v>
      </c>
      <c r="AC366" s="36">
        <v>28.0</v>
      </c>
      <c r="AD366" s="36">
        <v>29.0</v>
      </c>
      <c r="AE366" s="36">
        <v>30.0</v>
      </c>
      <c r="AF366" s="36"/>
      <c r="AG366" s="36"/>
      <c r="AH366" s="36"/>
      <c r="AI366" s="36"/>
      <c r="AJ366" s="36"/>
    </row>
    <row r="367" ht="15.75" customHeight="1">
      <c r="A367" s="12" t="s">
        <v>217</v>
      </c>
      <c r="B367" s="36">
        <v>50.0</v>
      </c>
      <c r="C367" s="36">
        <f t="shared" ref="C367:AE367" si="66">B367*1.05</f>
        <v>52.5</v>
      </c>
      <c r="D367" s="36">
        <f t="shared" si="66"/>
        <v>55.125</v>
      </c>
      <c r="E367" s="36">
        <f t="shared" si="66"/>
        <v>57.88125</v>
      </c>
      <c r="F367" s="36">
        <f t="shared" si="66"/>
        <v>60.7753125</v>
      </c>
      <c r="G367" s="36">
        <f t="shared" si="66"/>
        <v>63.81407813</v>
      </c>
      <c r="H367" s="36">
        <f t="shared" si="66"/>
        <v>67.00478203</v>
      </c>
      <c r="I367" s="36">
        <f t="shared" si="66"/>
        <v>70.35502113</v>
      </c>
      <c r="J367" s="36">
        <f t="shared" si="66"/>
        <v>73.87277219</v>
      </c>
      <c r="K367" s="36">
        <f t="shared" si="66"/>
        <v>77.5664108</v>
      </c>
      <c r="L367" s="36">
        <f t="shared" si="66"/>
        <v>81.44473134</v>
      </c>
      <c r="M367" s="36">
        <f t="shared" si="66"/>
        <v>85.51696791</v>
      </c>
      <c r="N367" s="36">
        <f t="shared" si="66"/>
        <v>89.7928163</v>
      </c>
      <c r="O367" s="36">
        <f t="shared" si="66"/>
        <v>94.28245712</v>
      </c>
      <c r="P367" s="36">
        <f t="shared" si="66"/>
        <v>98.99657997</v>
      </c>
      <c r="Q367" s="36">
        <f t="shared" si="66"/>
        <v>103.946409</v>
      </c>
      <c r="R367" s="36">
        <f t="shared" si="66"/>
        <v>109.1437294</v>
      </c>
      <c r="S367" s="36">
        <f t="shared" si="66"/>
        <v>114.6009159</v>
      </c>
      <c r="T367" s="36">
        <f t="shared" si="66"/>
        <v>120.3309617</v>
      </c>
      <c r="U367" s="36">
        <f t="shared" si="66"/>
        <v>126.3475098</v>
      </c>
      <c r="V367" s="36">
        <f t="shared" si="66"/>
        <v>132.6648853</v>
      </c>
      <c r="W367" s="36">
        <f t="shared" si="66"/>
        <v>139.2981295</v>
      </c>
      <c r="X367" s="36">
        <f t="shared" si="66"/>
        <v>146.263036</v>
      </c>
      <c r="Y367" s="36">
        <f t="shared" si="66"/>
        <v>153.5761878</v>
      </c>
      <c r="Z367" s="36">
        <f t="shared" si="66"/>
        <v>161.2549972</v>
      </c>
      <c r="AA367" s="36">
        <f t="shared" si="66"/>
        <v>169.317747</v>
      </c>
      <c r="AB367" s="36">
        <f t="shared" si="66"/>
        <v>177.7836344</v>
      </c>
      <c r="AC367" s="36">
        <f t="shared" si="66"/>
        <v>186.6728161</v>
      </c>
      <c r="AD367" s="36">
        <f t="shared" si="66"/>
        <v>196.0064569</v>
      </c>
      <c r="AE367" s="36">
        <f t="shared" si="66"/>
        <v>205.8067798</v>
      </c>
      <c r="AF367" s="36"/>
      <c r="AG367" s="36"/>
      <c r="AH367" s="36"/>
      <c r="AI367" s="36"/>
      <c r="AJ367" s="36"/>
    </row>
    <row r="368" ht="15.75" customHeight="1">
      <c r="A368" s="370" t="s">
        <v>218</v>
      </c>
      <c r="B368" s="12">
        <v>0.0</v>
      </c>
      <c r="C368" s="12">
        <v>0.0</v>
      </c>
      <c r="D368" s="12">
        <v>0.0</v>
      </c>
      <c r="E368" s="12">
        <v>0.0</v>
      </c>
      <c r="F368" s="12">
        <v>0.0</v>
      </c>
      <c r="G368" s="12">
        <v>0.0</v>
      </c>
      <c r="H368" s="12">
        <v>0.0</v>
      </c>
      <c r="I368" s="12">
        <v>0.0</v>
      </c>
      <c r="J368" s="12">
        <v>0.0</v>
      </c>
      <c r="K368" s="12">
        <v>0.0</v>
      </c>
      <c r="L368" s="12">
        <v>0.0</v>
      </c>
      <c r="M368" s="12">
        <v>0.0</v>
      </c>
      <c r="N368" s="12">
        <v>0.0</v>
      </c>
      <c r="O368" s="12">
        <v>0.0</v>
      </c>
      <c r="P368" s="12">
        <v>0.0</v>
      </c>
      <c r="Q368" s="12">
        <v>0.0</v>
      </c>
      <c r="R368" s="12">
        <v>0.0</v>
      </c>
      <c r="S368" s="12">
        <v>0.0</v>
      </c>
      <c r="T368" s="12">
        <v>0.0</v>
      </c>
      <c r="U368" s="12">
        <v>0.0</v>
      </c>
      <c r="V368" s="12">
        <v>0.0</v>
      </c>
      <c r="W368" s="12">
        <v>0.0</v>
      </c>
      <c r="X368" s="12">
        <v>0.0</v>
      </c>
      <c r="Y368" s="12">
        <v>0.0</v>
      </c>
      <c r="Z368" s="12">
        <v>0.0</v>
      </c>
      <c r="AA368" s="12">
        <v>0.0</v>
      </c>
      <c r="AB368" s="12">
        <v>0.0</v>
      </c>
      <c r="AC368" s="12">
        <v>0.0</v>
      </c>
      <c r="AD368" s="12">
        <v>0.0</v>
      </c>
      <c r="AE368" s="12">
        <v>0.0</v>
      </c>
      <c r="AF368" s="36"/>
      <c r="AG368" s="36"/>
      <c r="AH368" s="36"/>
      <c r="AI368" s="36"/>
      <c r="AJ368" s="36"/>
    </row>
    <row r="369" ht="15.75" customHeight="1">
      <c r="A369" s="380" t="s">
        <v>925</v>
      </c>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c r="AI369" s="36"/>
      <c r="AJ369" s="36"/>
    </row>
    <row r="370" ht="15.75" customHeight="1">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c r="AI370" s="36"/>
      <c r="AJ370" s="36"/>
    </row>
    <row r="371" ht="15.75" customHeight="1">
      <c r="A371" s="36" t="s">
        <v>215</v>
      </c>
      <c r="B371" s="36">
        <v>1.0</v>
      </c>
      <c r="C371" s="36">
        <v>2.0</v>
      </c>
      <c r="D371" s="36">
        <v>3.0</v>
      </c>
      <c r="E371" s="36">
        <v>4.0</v>
      </c>
      <c r="F371" s="36">
        <v>5.0</v>
      </c>
      <c r="G371" s="36">
        <v>6.0</v>
      </c>
      <c r="H371" s="36">
        <v>7.0</v>
      </c>
      <c r="I371" s="36">
        <v>8.0</v>
      </c>
      <c r="J371" s="36">
        <v>9.0</v>
      </c>
      <c r="K371" s="36">
        <v>10.0</v>
      </c>
      <c r="L371" s="36">
        <v>11.0</v>
      </c>
      <c r="M371" s="36">
        <v>12.0</v>
      </c>
      <c r="N371" s="36">
        <v>13.0</v>
      </c>
      <c r="O371" s="36">
        <v>14.0</v>
      </c>
      <c r="P371" s="36">
        <v>15.0</v>
      </c>
      <c r="Q371" s="36">
        <v>16.0</v>
      </c>
      <c r="R371" s="36">
        <v>17.0</v>
      </c>
      <c r="S371" s="36">
        <v>18.0</v>
      </c>
      <c r="T371" s="36">
        <v>19.0</v>
      </c>
      <c r="U371" s="36">
        <v>20.0</v>
      </c>
      <c r="V371" s="36">
        <v>21.0</v>
      </c>
      <c r="W371" s="36">
        <v>22.0</v>
      </c>
      <c r="X371" s="36">
        <v>23.0</v>
      </c>
      <c r="Y371" s="36">
        <v>24.0</v>
      </c>
      <c r="Z371" s="36">
        <v>25.0</v>
      </c>
      <c r="AA371" s="36">
        <v>26.0</v>
      </c>
      <c r="AB371" s="36">
        <v>27.0</v>
      </c>
      <c r="AC371" s="36">
        <v>28.0</v>
      </c>
      <c r="AD371" s="36">
        <v>29.0</v>
      </c>
      <c r="AE371" s="36">
        <v>30.0</v>
      </c>
      <c r="AF371" s="36"/>
      <c r="AG371" s="36"/>
      <c r="AH371" s="36"/>
      <c r="AI371" s="36"/>
      <c r="AJ371" s="36"/>
    </row>
    <row r="372" ht="15.75" customHeight="1">
      <c r="A372" s="12" t="s">
        <v>217</v>
      </c>
      <c r="B372" s="36">
        <v>50.0</v>
      </c>
      <c r="C372" s="36">
        <f t="shared" ref="C372:AE372" si="67">B372*1.05</f>
        <v>52.5</v>
      </c>
      <c r="D372" s="36">
        <f t="shared" si="67"/>
        <v>55.125</v>
      </c>
      <c r="E372" s="36">
        <f t="shared" si="67"/>
        <v>57.88125</v>
      </c>
      <c r="F372" s="36">
        <f t="shared" si="67"/>
        <v>60.7753125</v>
      </c>
      <c r="G372" s="36">
        <f t="shared" si="67"/>
        <v>63.81407813</v>
      </c>
      <c r="H372" s="36">
        <f t="shared" si="67"/>
        <v>67.00478203</v>
      </c>
      <c r="I372" s="36">
        <f t="shared" si="67"/>
        <v>70.35502113</v>
      </c>
      <c r="J372" s="36">
        <f t="shared" si="67"/>
        <v>73.87277219</v>
      </c>
      <c r="K372" s="36">
        <f t="shared" si="67"/>
        <v>77.5664108</v>
      </c>
      <c r="L372" s="36">
        <f t="shared" si="67"/>
        <v>81.44473134</v>
      </c>
      <c r="M372" s="36">
        <f t="shared" si="67"/>
        <v>85.51696791</v>
      </c>
      <c r="N372" s="36">
        <f t="shared" si="67"/>
        <v>89.7928163</v>
      </c>
      <c r="O372" s="36">
        <f t="shared" si="67"/>
        <v>94.28245712</v>
      </c>
      <c r="P372" s="36">
        <f t="shared" si="67"/>
        <v>98.99657997</v>
      </c>
      <c r="Q372" s="36">
        <f t="shared" si="67"/>
        <v>103.946409</v>
      </c>
      <c r="R372" s="36">
        <f t="shared" si="67"/>
        <v>109.1437294</v>
      </c>
      <c r="S372" s="36">
        <f t="shared" si="67"/>
        <v>114.6009159</v>
      </c>
      <c r="T372" s="36">
        <f t="shared" si="67"/>
        <v>120.3309617</v>
      </c>
      <c r="U372" s="36">
        <f t="shared" si="67"/>
        <v>126.3475098</v>
      </c>
      <c r="V372" s="36">
        <f t="shared" si="67"/>
        <v>132.6648853</v>
      </c>
      <c r="W372" s="36">
        <f t="shared" si="67"/>
        <v>139.2981295</v>
      </c>
      <c r="X372" s="36">
        <f t="shared" si="67"/>
        <v>146.263036</v>
      </c>
      <c r="Y372" s="36">
        <f t="shared" si="67"/>
        <v>153.5761878</v>
      </c>
      <c r="Z372" s="36">
        <f t="shared" si="67"/>
        <v>161.2549972</v>
      </c>
      <c r="AA372" s="36">
        <f t="shared" si="67"/>
        <v>169.317747</v>
      </c>
      <c r="AB372" s="36">
        <f t="shared" si="67"/>
        <v>177.7836344</v>
      </c>
      <c r="AC372" s="36">
        <f t="shared" si="67"/>
        <v>186.6728161</v>
      </c>
      <c r="AD372" s="36">
        <f t="shared" si="67"/>
        <v>196.0064569</v>
      </c>
      <c r="AE372" s="36">
        <f t="shared" si="67"/>
        <v>205.8067798</v>
      </c>
      <c r="AF372" s="36"/>
      <c r="AG372" s="36"/>
      <c r="AH372" s="36"/>
      <c r="AI372" s="36"/>
      <c r="AJ372" s="36"/>
    </row>
    <row r="373" ht="15.75" customHeight="1">
      <c r="A373" s="370" t="s">
        <v>218</v>
      </c>
      <c r="B373" s="12">
        <v>0.0</v>
      </c>
      <c r="C373" s="12">
        <v>0.0</v>
      </c>
      <c r="D373" s="12">
        <v>0.0</v>
      </c>
      <c r="E373" s="12">
        <v>0.0</v>
      </c>
      <c r="F373" s="12">
        <v>0.0</v>
      </c>
      <c r="G373" s="12">
        <v>0.0</v>
      </c>
      <c r="H373" s="12">
        <v>0.0</v>
      </c>
      <c r="I373" s="12">
        <v>0.0</v>
      </c>
      <c r="J373" s="12">
        <v>0.0</v>
      </c>
      <c r="K373" s="12">
        <v>0.0</v>
      </c>
      <c r="L373" s="12">
        <v>0.0</v>
      </c>
      <c r="M373" s="12">
        <v>0.0</v>
      </c>
      <c r="N373" s="12">
        <v>0.0</v>
      </c>
      <c r="O373" s="12">
        <v>0.0</v>
      </c>
      <c r="P373" s="12">
        <v>0.0</v>
      </c>
      <c r="Q373" s="12">
        <v>0.0</v>
      </c>
      <c r="R373" s="12">
        <v>0.0</v>
      </c>
      <c r="S373" s="12">
        <v>0.0</v>
      </c>
      <c r="T373" s="12">
        <v>0.0</v>
      </c>
      <c r="U373" s="12">
        <v>0.0</v>
      </c>
      <c r="V373" s="12">
        <v>0.0</v>
      </c>
      <c r="W373" s="12">
        <v>0.0</v>
      </c>
      <c r="X373" s="12">
        <v>0.0</v>
      </c>
      <c r="Y373" s="12">
        <v>0.0</v>
      </c>
      <c r="Z373" s="12">
        <v>0.0</v>
      </c>
      <c r="AA373" s="12">
        <v>0.0</v>
      </c>
      <c r="AB373" s="12">
        <v>0.0</v>
      </c>
      <c r="AC373" s="12">
        <v>0.0</v>
      </c>
      <c r="AD373" s="12">
        <v>0.0</v>
      </c>
      <c r="AE373" s="12">
        <v>0.0</v>
      </c>
      <c r="AF373" s="36"/>
      <c r="AG373" s="36"/>
      <c r="AH373" s="36"/>
      <c r="AI373" s="36"/>
      <c r="AJ373" s="36"/>
    </row>
    <row r="374" ht="15.75" customHeight="1">
      <c r="A374" s="381" t="s">
        <v>929</v>
      </c>
      <c r="B374" s="369"/>
      <c r="C374" s="369"/>
      <c r="D374" s="369"/>
      <c r="E374" s="369"/>
      <c r="F374" s="369"/>
      <c r="G374" s="369"/>
      <c r="H374" s="369"/>
      <c r="I374" s="369"/>
      <c r="J374" s="369"/>
      <c r="K374" s="369"/>
      <c r="L374" s="369"/>
      <c r="M374" s="369"/>
      <c r="N374" s="369"/>
      <c r="O374" s="369"/>
      <c r="P374" s="369"/>
      <c r="Q374" s="369"/>
      <c r="R374" s="369"/>
      <c r="S374" s="369"/>
      <c r="T374" s="369"/>
      <c r="U374" s="369"/>
      <c r="V374" s="369"/>
      <c r="W374" s="369"/>
      <c r="X374" s="369"/>
      <c r="Y374" s="369"/>
      <c r="Z374" s="369"/>
      <c r="AA374" s="369"/>
      <c r="AB374" s="369"/>
      <c r="AC374" s="369"/>
      <c r="AD374" s="369"/>
      <c r="AE374" s="369"/>
      <c r="AF374" s="369"/>
      <c r="AG374" s="369"/>
      <c r="AH374" s="369"/>
      <c r="AI374" s="369"/>
      <c r="AJ374" s="369"/>
    </row>
    <row r="375" ht="15.75" customHeight="1">
      <c r="A375" s="369"/>
      <c r="B375" s="369"/>
      <c r="C375" s="369"/>
      <c r="D375" s="369"/>
      <c r="E375" s="369"/>
      <c r="F375" s="369"/>
      <c r="G375" s="369"/>
      <c r="H375" s="369"/>
      <c r="I375" s="369"/>
      <c r="J375" s="369"/>
      <c r="K375" s="369"/>
      <c r="L375" s="369"/>
      <c r="M375" s="369"/>
      <c r="N375" s="369"/>
      <c r="O375" s="369"/>
      <c r="P375" s="369"/>
      <c r="Q375" s="369"/>
      <c r="R375" s="369"/>
      <c r="S375" s="369"/>
      <c r="T375" s="369"/>
      <c r="U375" s="369"/>
      <c r="V375" s="369"/>
      <c r="W375" s="369"/>
      <c r="X375" s="369"/>
      <c r="Y375" s="369"/>
      <c r="Z375" s="369"/>
      <c r="AA375" s="369"/>
      <c r="AB375" s="369"/>
      <c r="AC375" s="369"/>
      <c r="AD375" s="369"/>
      <c r="AE375" s="369"/>
      <c r="AF375" s="369"/>
      <c r="AG375" s="369"/>
      <c r="AH375" s="369"/>
      <c r="AI375" s="369"/>
      <c r="AJ375" s="369"/>
    </row>
    <row r="376" ht="15.75" customHeight="1">
      <c r="A376" s="369" t="s">
        <v>215</v>
      </c>
      <c r="B376" s="369">
        <v>1.0</v>
      </c>
      <c r="C376" s="369">
        <v>2.0</v>
      </c>
      <c r="D376" s="369">
        <v>3.0</v>
      </c>
      <c r="E376" s="369">
        <v>4.0</v>
      </c>
      <c r="F376" s="369">
        <v>5.0</v>
      </c>
      <c r="G376" s="369">
        <v>6.0</v>
      </c>
      <c r="H376" s="369">
        <v>7.0</v>
      </c>
      <c r="I376" s="369">
        <v>8.0</v>
      </c>
      <c r="J376" s="369">
        <v>9.0</v>
      </c>
      <c r="K376" s="369">
        <v>10.0</v>
      </c>
      <c r="L376" s="369">
        <v>11.0</v>
      </c>
      <c r="M376" s="369">
        <v>12.0</v>
      </c>
      <c r="N376" s="369">
        <v>13.0</v>
      </c>
      <c r="O376" s="369">
        <v>14.0</v>
      </c>
      <c r="P376" s="369">
        <v>15.0</v>
      </c>
      <c r="Q376" s="369">
        <v>16.0</v>
      </c>
      <c r="R376" s="369">
        <v>17.0</v>
      </c>
      <c r="S376" s="369">
        <v>18.0</v>
      </c>
      <c r="T376" s="369">
        <v>19.0</v>
      </c>
      <c r="U376" s="369">
        <v>20.0</v>
      </c>
      <c r="V376" s="369">
        <v>21.0</v>
      </c>
      <c r="W376" s="369">
        <v>22.0</v>
      </c>
      <c r="X376" s="369">
        <v>23.0</v>
      </c>
      <c r="Y376" s="369">
        <v>24.0</v>
      </c>
      <c r="Z376" s="369">
        <v>25.0</v>
      </c>
      <c r="AA376" s="369">
        <v>26.0</v>
      </c>
      <c r="AB376" s="369">
        <v>27.0</v>
      </c>
      <c r="AC376" s="369">
        <v>28.0</v>
      </c>
      <c r="AD376" s="369">
        <v>29.0</v>
      </c>
      <c r="AE376" s="369">
        <v>30.0</v>
      </c>
      <c r="AF376" s="369"/>
      <c r="AG376" s="369"/>
      <c r="AH376" s="369"/>
      <c r="AI376" s="369"/>
      <c r="AJ376" s="369"/>
    </row>
    <row r="377" ht="15.75" customHeight="1">
      <c r="A377" s="369" t="s">
        <v>254</v>
      </c>
      <c r="B377" s="369">
        <f>2%*SA/12</f>
        <v>1666.666667</v>
      </c>
      <c r="C377" s="369">
        <f>2%*SA/12</f>
        <v>1666.666667</v>
      </c>
      <c r="D377" s="369">
        <f>1%*SA/12</f>
        <v>833.3333333</v>
      </c>
      <c r="E377" s="369">
        <f>MIN(1%*SA/12,125)</f>
        <v>125</v>
      </c>
      <c r="F377" s="369">
        <f>MIN(1%*SA/12,125)</f>
        <v>125</v>
      </c>
      <c r="G377" s="369">
        <f>MIN(1%*SA/12,125)</f>
        <v>125</v>
      </c>
      <c r="H377" s="369">
        <f>MIN(1%*SA/12,125)</f>
        <v>125</v>
      </c>
      <c r="I377" s="369">
        <f>MIN(1%*SA/12,125)</f>
        <v>125</v>
      </c>
      <c r="J377" s="369">
        <f>MIN(1%*SA/12,125)</f>
        <v>125</v>
      </c>
      <c r="K377" s="369">
        <f>MIN(1%*SA/12,125)</f>
        <v>125</v>
      </c>
      <c r="L377" s="369">
        <f>MIN(1%*SA/12,125)</f>
        <v>125</v>
      </c>
      <c r="M377" s="369">
        <f>MIN(1%*SA/12,125)</f>
        <v>125</v>
      </c>
      <c r="N377" s="369">
        <f>MIN(1%*SA/12,125)</f>
        <v>125</v>
      </c>
      <c r="O377" s="369">
        <f>MIN(1%*SA/12,125)</f>
        <v>125</v>
      </c>
      <c r="P377" s="369">
        <f>MIN(1%*SA/12,125)</f>
        <v>125</v>
      </c>
      <c r="Q377" s="369">
        <f>MIN(1%*SA/12,125)</f>
        <v>125</v>
      </c>
      <c r="R377" s="369">
        <f>MIN(1%*SA/12,125)</f>
        <v>125</v>
      </c>
      <c r="S377" s="369">
        <f>MIN(1%*SA/12,125)</f>
        <v>125</v>
      </c>
      <c r="T377" s="369">
        <f>MIN(1%*SA/12,125)</f>
        <v>125</v>
      </c>
      <c r="U377" s="369">
        <f>MIN(1%*SA/12,125)</f>
        <v>125</v>
      </c>
      <c r="V377" s="369">
        <f>MIN(1%*SA/12,125)</f>
        <v>125</v>
      </c>
      <c r="W377" s="369">
        <f>MIN(1%*SA/12,125)</f>
        <v>125</v>
      </c>
      <c r="X377" s="369">
        <f>MIN(1%*SA/12,125)</f>
        <v>125</v>
      </c>
      <c r="Y377" s="369">
        <f>MIN(1%*SA/12,125)</f>
        <v>125</v>
      </c>
      <c r="Z377" s="369">
        <f>MIN(1%*SA/12,125)</f>
        <v>125</v>
      </c>
      <c r="AA377" s="369">
        <f>MIN(1%*SA/12,125)</f>
        <v>125</v>
      </c>
      <c r="AB377" s="369">
        <f>MIN(1%*SA/12,125)</f>
        <v>125</v>
      </c>
      <c r="AC377" s="369">
        <f>MIN(1%*SA/12,125)</f>
        <v>125</v>
      </c>
      <c r="AD377" s="369">
        <f>MIN(1%*SA/12,125)</f>
        <v>125</v>
      </c>
      <c r="AE377" s="369">
        <f>MIN(1%*SA/12,125)</f>
        <v>125</v>
      </c>
      <c r="AF377" s="369"/>
      <c r="AG377" s="369"/>
      <c r="AH377" s="369"/>
      <c r="AI377" s="369"/>
      <c r="AJ377" s="369"/>
    </row>
    <row r="378" ht="15.75" customHeight="1">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c r="AA378" s="36"/>
      <c r="AB378" s="36"/>
      <c r="AC378" s="36"/>
      <c r="AD378" s="36"/>
      <c r="AE378" s="36"/>
      <c r="AF378" s="36"/>
      <c r="AG378" s="36"/>
      <c r="AH378" s="36"/>
      <c r="AI378" s="36"/>
      <c r="AJ378" s="36"/>
    </row>
    <row r="379" ht="15.75" customHeight="1">
      <c r="A379" s="380" t="s">
        <v>934</v>
      </c>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c r="AA379" s="36"/>
      <c r="AB379" s="36"/>
      <c r="AC379" s="36"/>
      <c r="AD379" s="36"/>
      <c r="AE379" s="36"/>
      <c r="AF379" s="36"/>
      <c r="AG379" s="36"/>
      <c r="AH379" s="36"/>
      <c r="AI379" s="36"/>
      <c r="AJ379" s="36"/>
    </row>
    <row r="380" ht="15.75" customHeight="1">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c r="AA380" s="36"/>
      <c r="AB380" s="36"/>
      <c r="AC380" s="36"/>
      <c r="AD380" s="36"/>
      <c r="AE380" s="36"/>
      <c r="AF380" s="36"/>
      <c r="AG380" s="36"/>
      <c r="AH380" s="36"/>
      <c r="AI380" s="36"/>
      <c r="AJ380" s="36"/>
    </row>
    <row r="381" ht="15.75" customHeight="1">
      <c r="A381" s="36" t="s">
        <v>215</v>
      </c>
      <c r="B381" s="36">
        <v>1.0</v>
      </c>
      <c r="C381" s="36">
        <v>2.0</v>
      </c>
      <c r="D381" s="36">
        <v>3.0</v>
      </c>
      <c r="E381" s="36">
        <v>4.0</v>
      </c>
      <c r="F381" s="36">
        <v>5.0</v>
      </c>
      <c r="G381" s="36">
        <v>6.0</v>
      </c>
      <c r="H381" s="36">
        <v>7.0</v>
      </c>
      <c r="I381" s="36">
        <v>8.0</v>
      </c>
      <c r="J381" s="36">
        <v>9.0</v>
      </c>
      <c r="K381" s="36">
        <v>10.0</v>
      </c>
      <c r="L381" s="36">
        <v>11.0</v>
      </c>
      <c r="M381" s="36">
        <v>12.0</v>
      </c>
      <c r="N381" s="36">
        <v>13.0</v>
      </c>
      <c r="O381" s="36">
        <v>14.0</v>
      </c>
      <c r="P381" s="36">
        <v>15.0</v>
      </c>
      <c r="Q381" s="36">
        <v>16.0</v>
      </c>
      <c r="R381" s="36">
        <v>17.0</v>
      </c>
      <c r="S381" s="36">
        <v>18.0</v>
      </c>
      <c r="T381" s="36">
        <v>19.0</v>
      </c>
      <c r="U381" s="36">
        <v>20.0</v>
      </c>
      <c r="V381" s="36">
        <v>21.0</v>
      </c>
      <c r="W381" s="36">
        <v>22.0</v>
      </c>
      <c r="X381" s="36">
        <v>23.0</v>
      </c>
      <c r="Y381" s="36">
        <v>24.0</v>
      </c>
      <c r="Z381" s="36">
        <v>25.0</v>
      </c>
      <c r="AA381" s="36">
        <v>26.0</v>
      </c>
      <c r="AB381" s="36">
        <v>27.0</v>
      </c>
      <c r="AC381" s="36">
        <v>28.0</v>
      </c>
      <c r="AD381" s="36">
        <v>29.0</v>
      </c>
      <c r="AE381" s="36">
        <v>30.0</v>
      </c>
      <c r="AF381" s="36"/>
      <c r="AG381" s="36"/>
      <c r="AH381" s="36"/>
      <c r="AI381" s="36"/>
      <c r="AJ381" s="36"/>
    </row>
    <row r="382" ht="15.75" customHeight="1">
      <c r="A382" s="12" t="s">
        <v>217</v>
      </c>
      <c r="B382" s="36">
        <v>50.0</v>
      </c>
      <c r="C382" s="36">
        <f t="shared" ref="C382:AE382" si="68">B382*1.05</f>
        <v>52.5</v>
      </c>
      <c r="D382" s="36">
        <f t="shared" si="68"/>
        <v>55.125</v>
      </c>
      <c r="E382" s="36">
        <f t="shared" si="68"/>
        <v>57.88125</v>
      </c>
      <c r="F382" s="36">
        <f t="shared" si="68"/>
        <v>60.7753125</v>
      </c>
      <c r="G382" s="36">
        <f t="shared" si="68"/>
        <v>63.81407813</v>
      </c>
      <c r="H382" s="36">
        <f t="shared" si="68"/>
        <v>67.00478203</v>
      </c>
      <c r="I382" s="36">
        <f t="shared" si="68"/>
        <v>70.35502113</v>
      </c>
      <c r="J382" s="36">
        <f t="shared" si="68"/>
        <v>73.87277219</v>
      </c>
      <c r="K382" s="36">
        <f t="shared" si="68"/>
        <v>77.5664108</v>
      </c>
      <c r="L382" s="36">
        <f t="shared" si="68"/>
        <v>81.44473134</v>
      </c>
      <c r="M382" s="36">
        <f t="shared" si="68"/>
        <v>85.51696791</v>
      </c>
      <c r="N382" s="36">
        <f t="shared" si="68"/>
        <v>89.7928163</v>
      </c>
      <c r="O382" s="36">
        <f t="shared" si="68"/>
        <v>94.28245712</v>
      </c>
      <c r="P382" s="36">
        <f t="shared" si="68"/>
        <v>98.99657997</v>
      </c>
      <c r="Q382" s="36">
        <f t="shared" si="68"/>
        <v>103.946409</v>
      </c>
      <c r="R382" s="36">
        <f t="shared" si="68"/>
        <v>109.1437294</v>
      </c>
      <c r="S382" s="36">
        <f t="shared" si="68"/>
        <v>114.6009159</v>
      </c>
      <c r="T382" s="36">
        <f t="shared" si="68"/>
        <v>120.3309617</v>
      </c>
      <c r="U382" s="36">
        <f t="shared" si="68"/>
        <v>126.3475098</v>
      </c>
      <c r="V382" s="36">
        <f t="shared" si="68"/>
        <v>132.6648853</v>
      </c>
      <c r="W382" s="36">
        <f t="shared" si="68"/>
        <v>139.2981295</v>
      </c>
      <c r="X382" s="36">
        <f t="shared" si="68"/>
        <v>146.263036</v>
      </c>
      <c r="Y382" s="36">
        <f t="shared" si="68"/>
        <v>153.5761878</v>
      </c>
      <c r="Z382" s="36">
        <f t="shared" si="68"/>
        <v>161.2549972</v>
      </c>
      <c r="AA382" s="36">
        <f t="shared" si="68"/>
        <v>169.317747</v>
      </c>
      <c r="AB382" s="36">
        <f t="shared" si="68"/>
        <v>177.7836344</v>
      </c>
      <c r="AC382" s="36">
        <f t="shared" si="68"/>
        <v>186.6728161</v>
      </c>
      <c r="AD382" s="36">
        <f t="shared" si="68"/>
        <v>196.0064569</v>
      </c>
      <c r="AE382" s="36">
        <f t="shared" si="68"/>
        <v>205.8067798</v>
      </c>
      <c r="AF382" s="36"/>
      <c r="AG382" s="36"/>
      <c r="AH382" s="36"/>
      <c r="AI382" s="36"/>
      <c r="AJ382" s="36"/>
    </row>
    <row r="383" ht="15.75" customHeight="1">
      <c r="A383" s="370" t="s">
        <v>218</v>
      </c>
      <c r="B383" s="12">
        <v>0.0</v>
      </c>
      <c r="C383" s="12">
        <v>0.0</v>
      </c>
      <c r="D383" s="12">
        <v>0.0</v>
      </c>
      <c r="E383" s="12">
        <v>0.0</v>
      </c>
      <c r="F383" s="12">
        <v>0.0</v>
      </c>
      <c r="G383" s="12">
        <v>0.0</v>
      </c>
      <c r="H383" s="12">
        <v>0.0</v>
      </c>
      <c r="I383" s="12">
        <v>0.0</v>
      </c>
      <c r="J383" s="12">
        <v>0.0</v>
      </c>
      <c r="K383" s="12">
        <v>0.0</v>
      </c>
      <c r="L383" s="12">
        <v>0.0</v>
      </c>
      <c r="M383" s="12">
        <v>0.0</v>
      </c>
      <c r="N383" s="12">
        <v>0.0</v>
      </c>
      <c r="O383" s="12">
        <v>0.0</v>
      </c>
      <c r="P383" s="12">
        <v>0.0</v>
      </c>
      <c r="Q383" s="12">
        <v>0.0</v>
      </c>
      <c r="R383" s="12">
        <v>0.0</v>
      </c>
      <c r="S383" s="12">
        <v>0.0</v>
      </c>
      <c r="T383" s="12">
        <v>0.0</v>
      </c>
      <c r="U383" s="12">
        <v>0.0</v>
      </c>
      <c r="V383" s="12">
        <v>0.0</v>
      </c>
      <c r="W383" s="12">
        <v>0.0</v>
      </c>
      <c r="X383" s="12">
        <v>0.0</v>
      </c>
      <c r="Y383" s="12">
        <v>0.0</v>
      </c>
      <c r="Z383" s="12">
        <v>0.0</v>
      </c>
      <c r="AA383" s="12">
        <v>0.0</v>
      </c>
      <c r="AB383" s="12">
        <v>0.0</v>
      </c>
      <c r="AC383" s="12">
        <v>0.0</v>
      </c>
      <c r="AD383" s="12">
        <v>0.0</v>
      </c>
      <c r="AE383" s="12">
        <v>0.0</v>
      </c>
      <c r="AF383" s="36"/>
      <c r="AG383" s="36"/>
      <c r="AH383" s="36"/>
      <c r="AI383" s="36"/>
      <c r="AJ383" s="36"/>
    </row>
    <row r="384" ht="15.75" customHeight="1">
      <c r="A384" s="380" t="s">
        <v>937</v>
      </c>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c r="AA384" s="36"/>
      <c r="AB384" s="36"/>
      <c r="AC384" s="36"/>
      <c r="AD384" s="36"/>
      <c r="AE384" s="36"/>
      <c r="AF384" s="36"/>
      <c r="AG384" s="36"/>
      <c r="AH384" s="36"/>
      <c r="AI384" s="36"/>
      <c r="AJ384" s="36"/>
    </row>
    <row r="385" ht="15.75" customHeight="1">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c r="AA385" s="36"/>
      <c r="AB385" s="36"/>
      <c r="AC385" s="36"/>
      <c r="AD385" s="36"/>
      <c r="AE385" s="36"/>
      <c r="AF385" s="36"/>
      <c r="AG385" s="36"/>
      <c r="AH385" s="36"/>
      <c r="AI385" s="36"/>
      <c r="AJ385" s="36"/>
    </row>
    <row r="386" ht="15.75" customHeight="1">
      <c r="A386" s="36" t="s">
        <v>215</v>
      </c>
      <c r="B386" s="36">
        <v>1.0</v>
      </c>
      <c r="C386" s="36">
        <v>2.0</v>
      </c>
      <c r="D386" s="36">
        <v>3.0</v>
      </c>
      <c r="E386" s="36">
        <v>4.0</v>
      </c>
      <c r="F386" s="36">
        <v>5.0</v>
      </c>
      <c r="G386" s="36">
        <v>6.0</v>
      </c>
      <c r="H386" s="36">
        <v>7.0</v>
      </c>
      <c r="I386" s="36">
        <v>8.0</v>
      </c>
      <c r="J386" s="36">
        <v>9.0</v>
      </c>
      <c r="K386" s="36">
        <v>10.0</v>
      </c>
      <c r="L386" s="36">
        <v>11.0</v>
      </c>
      <c r="M386" s="36">
        <v>12.0</v>
      </c>
      <c r="N386" s="36">
        <v>13.0</v>
      </c>
      <c r="O386" s="36">
        <v>14.0</v>
      </c>
      <c r="P386" s="36">
        <v>15.0</v>
      </c>
      <c r="Q386" s="36">
        <v>16.0</v>
      </c>
      <c r="R386" s="36">
        <v>17.0</v>
      </c>
      <c r="S386" s="36">
        <v>18.0</v>
      </c>
      <c r="T386" s="36">
        <v>19.0</v>
      </c>
      <c r="U386" s="36">
        <v>20.0</v>
      </c>
      <c r="V386" s="36">
        <v>21.0</v>
      </c>
      <c r="W386" s="36">
        <v>22.0</v>
      </c>
      <c r="X386" s="36">
        <v>23.0</v>
      </c>
      <c r="Y386" s="36">
        <v>24.0</v>
      </c>
      <c r="Z386" s="36">
        <v>25.0</v>
      </c>
      <c r="AA386" s="36">
        <v>26.0</v>
      </c>
      <c r="AB386" s="36">
        <v>27.0</v>
      </c>
      <c r="AC386" s="36">
        <v>28.0</v>
      </c>
      <c r="AD386" s="36">
        <v>29.0</v>
      </c>
      <c r="AE386" s="36">
        <v>30.0</v>
      </c>
      <c r="AF386" s="36"/>
      <c r="AG386" s="36"/>
      <c r="AH386" s="36"/>
      <c r="AI386" s="36"/>
      <c r="AJ386" s="36"/>
    </row>
    <row r="387" ht="15.75" customHeight="1">
      <c r="A387" s="12" t="s">
        <v>217</v>
      </c>
      <c r="B387" s="12">
        <v>0.0</v>
      </c>
      <c r="C387" s="12">
        <v>90.0</v>
      </c>
      <c r="D387" s="36">
        <f t="shared" ref="D387:AE387" si="69">C387*1.05</f>
        <v>94.5</v>
      </c>
      <c r="E387" s="36">
        <f t="shared" si="69"/>
        <v>99.225</v>
      </c>
      <c r="F387" s="36">
        <f t="shared" si="69"/>
        <v>104.18625</v>
      </c>
      <c r="G387" s="36">
        <f t="shared" si="69"/>
        <v>109.3955625</v>
      </c>
      <c r="H387" s="36">
        <f t="shared" si="69"/>
        <v>114.8653406</v>
      </c>
      <c r="I387" s="36">
        <f t="shared" si="69"/>
        <v>120.6086077</v>
      </c>
      <c r="J387" s="36">
        <f t="shared" si="69"/>
        <v>126.639038</v>
      </c>
      <c r="K387" s="36">
        <f t="shared" si="69"/>
        <v>132.9709899</v>
      </c>
      <c r="L387" s="36">
        <f t="shared" si="69"/>
        <v>139.6195394</v>
      </c>
      <c r="M387" s="36">
        <f t="shared" si="69"/>
        <v>146.6005164</v>
      </c>
      <c r="N387" s="36">
        <f t="shared" si="69"/>
        <v>153.9305422</v>
      </c>
      <c r="O387" s="36">
        <f t="shared" si="69"/>
        <v>161.6270693</v>
      </c>
      <c r="P387" s="36">
        <f t="shared" si="69"/>
        <v>169.7084228</v>
      </c>
      <c r="Q387" s="36">
        <f t="shared" si="69"/>
        <v>178.1938439</v>
      </c>
      <c r="R387" s="36">
        <f t="shared" si="69"/>
        <v>187.1035361</v>
      </c>
      <c r="S387" s="36">
        <f t="shared" si="69"/>
        <v>196.458713</v>
      </c>
      <c r="T387" s="36">
        <f t="shared" si="69"/>
        <v>206.2816486</v>
      </c>
      <c r="U387" s="36">
        <f t="shared" si="69"/>
        <v>216.595731</v>
      </c>
      <c r="V387" s="36">
        <f t="shared" si="69"/>
        <v>227.4255176</v>
      </c>
      <c r="W387" s="36">
        <f t="shared" si="69"/>
        <v>238.7967935</v>
      </c>
      <c r="X387" s="36">
        <f t="shared" si="69"/>
        <v>250.7366331</v>
      </c>
      <c r="Y387" s="36">
        <f t="shared" si="69"/>
        <v>263.2734648</v>
      </c>
      <c r="Z387" s="36">
        <f t="shared" si="69"/>
        <v>276.437138</v>
      </c>
      <c r="AA387" s="36">
        <f t="shared" si="69"/>
        <v>290.2589949</v>
      </c>
      <c r="AB387" s="36">
        <f t="shared" si="69"/>
        <v>304.7719447</v>
      </c>
      <c r="AC387" s="36">
        <f t="shared" si="69"/>
        <v>320.0105419</v>
      </c>
      <c r="AD387" s="36">
        <f t="shared" si="69"/>
        <v>336.011069</v>
      </c>
      <c r="AE387" s="36">
        <f t="shared" si="69"/>
        <v>352.8116225</v>
      </c>
      <c r="AF387" s="36"/>
      <c r="AG387" s="36"/>
      <c r="AH387" s="36"/>
      <c r="AI387" s="36"/>
      <c r="AJ387" s="36"/>
    </row>
    <row r="388" ht="15.75" customHeight="1">
      <c r="A388" s="370" t="s">
        <v>218</v>
      </c>
      <c r="B388" s="12">
        <v>0.0</v>
      </c>
      <c r="C388" s="12">
        <v>0.0</v>
      </c>
      <c r="D388" s="12">
        <v>0.0</v>
      </c>
      <c r="E388" s="12">
        <v>0.0</v>
      </c>
      <c r="F388" s="12">
        <v>0.0</v>
      </c>
      <c r="G388" s="12">
        <v>0.0</v>
      </c>
      <c r="H388" s="12">
        <v>0.0</v>
      </c>
      <c r="I388" s="12">
        <v>0.0</v>
      </c>
      <c r="J388" s="12">
        <v>0.0</v>
      </c>
      <c r="K388" s="12">
        <v>0.0</v>
      </c>
      <c r="L388" s="12">
        <v>0.0</v>
      </c>
      <c r="M388" s="12">
        <v>0.0</v>
      </c>
      <c r="N388" s="12">
        <v>0.0</v>
      </c>
      <c r="O388" s="12">
        <v>0.0</v>
      </c>
      <c r="P388" s="12">
        <v>0.0</v>
      </c>
      <c r="Q388" s="12">
        <v>0.0</v>
      </c>
      <c r="R388" s="12">
        <v>0.0</v>
      </c>
      <c r="S388" s="12">
        <v>0.0</v>
      </c>
      <c r="T388" s="12">
        <v>0.0</v>
      </c>
      <c r="U388" s="12">
        <v>0.0</v>
      </c>
      <c r="V388" s="12">
        <v>0.0</v>
      </c>
      <c r="W388" s="12">
        <v>0.0</v>
      </c>
      <c r="X388" s="12">
        <v>0.0</v>
      </c>
      <c r="Y388" s="12">
        <v>0.0</v>
      </c>
      <c r="Z388" s="12">
        <v>0.0</v>
      </c>
      <c r="AA388" s="12">
        <v>0.0</v>
      </c>
      <c r="AB388" s="12">
        <v>0.0</v>
      </c>
      <c r="AC388" s="12">
        <v>0.0</v>
      </c>
      <c r="AD388" s="12">
        <v>0.0</v>
      </c>
      <c r="AE388" s="12">
        <v>0.0</v>
      </c>
      <c r="AF388" s="36"/>
      <c r="AG388" s="36"/>
      <c r="AH388" s="36"/>
      <c r="AI388" s="36"/>
      <c r="AJ388" s="36"/>
    </row>
    <row r="389" ht="15.75" customHeight="1">
      <c r="A389" s="380" t="s">
        <v>942</v>
      </c>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c r="AA389" s="36"/>
      <c r="AB389" s="36"/>
      <c r="AC389" s="36"/>
      <c r="AD389" s="36"/>
      <c r="AE389" s="36"/>
      <c r="AF389" s="36"/>
      <c r="AG389" s="36"/>
      <c r="AH389" s="36"/>
      <c r="AI389" s="36"/>
      <c r="AJ389" s="36"/>
    </row>
    <row r="390" ht="15.75" customHeight="1">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c r="AA390" s="36"/>
      <c r="AB390" s="36"/>
      <c r="AC390" s="36"/>
      <c r="AD390" s="36"/>
      <c r="AE390" s="36"/>
      <c r="AF390" s="36"/>
      <c r="AG390" s="36"/>
      <c r="AH390" s="36"/>
      <c r="AI390" s="36"/>
      <c r="AJ390" s="36"/>
    </row>
    <row r="391" ht="15.75" customHeight="1">
      <c r="A391" s="36" t="s">
        <v>215</v>
      </c>
      <c r="B391" s="36">
        <v>1.0</v>
      </c>
      <c r="C391" s="36">
        <v>2.0</v>
      </c>
      <c r="D391" s="36">
        <v>3.0</v>
      </c>
      <c r="E391" s="36">
        <v>4.0</v>
      </c>
      <c r="F391" s="36">
        <v>5.0</v>
      </c>
      <c r="G391" s="36">
        <v>6.0</v>
      </c>
      <c r="H391" s="36">
        <v>7.0</v>
      </c>
      <c r="I391" s="36">
        <v>8.0</v>
      </c>
      <c r="J391" s="36">
        <v>9.0</v>
      </c>
      <c r="K391" s="36">
        <v>10.0</v>
      </c>
      <c r="L391" s="36">
        <v>11.0</v>
      </c>
      <c r="M391" s="36">
        <v>12.0</v>
      </c>
      <c r="N391" s="36">
        <v>13.0</v>
      </c>
      <c r="O391" s="36">
        <v>14.0</v>
      </c>
      <c r="P391" s="36">
        <v>15.0</v>
      </c>
      <c r="Q391" s="36">
        <v>16.0</v>
      </c>
      <c r="R391" s="36">
        <v>17.0</v>
      </c>
      <c r="S391" s="36">
        <v>18.0</v>
      </c>
      <c r="T391" s="36">
        <v>19.0</v>
      </c>
      <c r="U391" s="36">
        <v>20.0</v>
      </c>
      <c r="V391" s="36">
        <v>21.0</v>
      </c>
      <c r="W391" s="36">
        <v>22.0</v>
      </c>
      <c r="X391" s="36">
        <v>23.0</v>
      </c>
      <c r="Y391" s="36">
        <v>24.0</v>
      </c>
      <c r="Z391" s="36">
        <v>25.0</v>
      </c>
      <c r="AA391" s="36">
        <v>26.0</v>
      </c>
      <c r="AB391" s="36">
        <v>27.0</v>
      </c>
      <c r="AC391" s="36">
        <v>28.0</v>
      </c>
      <c r="AD391" s="36">
        <v>29.0</v>
      </c>
      <c r="AE391" s="36">
        <v>30.0</v>
      </c>
      <c r="AF391" s="36"/>
      <c r="AG391" s="36"/>
      <c r="AH391" s="36"/>
      <c r="AI391" s="36"/>
      <c r="AJ391" s="36"/>
    </row>
    <row r="392" ht="15.75" customHeight="1">
      <c r="A392" s="12" t="s">
        <v>217</v>
      </c>
      <c r="B392" s="36">
        <v>50.0</v>
      </c>
      <c r="C392" s="36">
        <f t="shared" ref="C392:AE392" si="70">B392*1.05</f>
        <v>52.5</v>
      </c>
      <c r="D392" s="36">
        <f t="shared" si="70"/>
        <v>55.125</v>
      </c>
      <c r="E392" s="36">
        <f t="shared" si="70"/>
        <v>57.88125</v>
      </c>
      <c r="F392" s="36">
        <f t="shared" si="70"/>
        <v>60.7753125</v>
      </c>
      <c r="G392" s="36">
        <f t="shared" si="70"/>
        <v>63.81407813</v>
      </c>
      <c r="H392" s="36">
        <f t="shared" si="70"/>
        <v>67.00478203</v>
      </c>
      <c r="I392" s="36">
        <f t="shared" si="70"/>
        <v>70.35502113</v>
      </c>
      <c r="J392" s="36">
        <f t="shared" si="70"/>
        <v>73.87277219</v>
      </c>
      <c r="K392" s="36">
        <f t="shared" si="70"/>
        <v>77.5664108</v>
      </c>
      <c r="L392" s="36">
        <f t="shared" si="70"/>
        <v>81.44473134</v>
      </c>
      <c r="M392" s="36">
        <f t="shared" si="70"/>
        <v>85.51696791</v>
      </c>
      <c r="N392" s="36">
        <f t="shared" si="70"/>
        <v>89.7928163</v>
      </c>
      <c r="O392" s="36">
        <f t="shared" si="70"/>
        <v>94.28245712</v>
      </c>
      <c r="P392" s="36">
        <f t="shared" si="70"/>
        <v>98.99657997</v>
      </c>
      <c r="Q392" s="36">
        <f t="shared" si="70"/>
        <v>103.946409</v>
      </c>
      <c r="R392" s="36">
        <f t="shared" si="70"/>
        <v>109.1437294</v>
      </c>
      <c r="S392" s="36">
        <f t="shared" si="70"/>
        <v>114.6009159</v>
      </c>
      <c r="T392" s="36">
        <f t="shared" si="70"/>
        <v>120.3309617</v>
      </c>
      <c r="U392" s="36">
        <f t="shared" si="70"/>
        <v>126.3475098</v>
      </c>
      <c r="V392" s="36">
        <f t="shared" si="70"/>
        <v>132.6648853</v>
      </c>
      <c r="W392" s="36">
        <f t="shared" si="70"/>
        <v>139.2981295</v>
      </c>
      <c r="X392" s="36">
        <f t="shared" si="70"/>
        <v>146.263036</v>
      </c>
      <c r="Y392" s="36">
        <f t="shared" si="70"/>
        <v>153.5761878</v>
      </c>
      <c r="Z392" s="36">
        <f t="shared" si="70"/>
        <v>161.2549972</v>
      </c>
      <c r="AA392" s="36">
        <f t="shared" si="70"/>
        <v>169.317747</v>
      </c>
      <c r="AB392" s="36">
        <f t="shared" si="70"/>
        <v>177.7836344</v>
      </c>
      <c r="AC392" s="36">
        <f t="shared" si="70"/>
        <v>186.6728161</v>
      </c>
      <c r="AD392" s="36">
        <f t="shared" si="70"/>
        <v>196.0064569</v>
      </c>
      <c r="AE392" s="36">
        <f t="shared" si="70"/>
        <v>205.8067798</v>
      </c>
      <c r="AF392" s="36"/>
      <c r="AG392" s="36"/>
      <c r="AH392" s="36"/>
      <c r="AI392" s="36"/>
      <c r="AJ392" s="36"/>
    </row>
    <row r="393" ht="15.75" customHeight="1">
      <c r="A393" s="370" t="s">
        <v>218</v>
      </c>
      <c r="B393" s="12">
        <v>0.0</v>
      </c>
      <c r="C393" s="12">
        <v>0.0</v>
      </c>
      <c r="D393" s="12">
        <v>0.0</v>
      </c>
      <c r="E393" s="12">
        <v>0.0</v>
      </c>
      <c r="F393" s="12">
        <v>0.0</v>
      </c>
      <c r="G393" s="12">
        <v>0.0</v>
      </c>
      <c r="H393" s="12">
        <v>0.0</v>
      </c>
      <c r="I393" s="12">
        <v>0.0</v>
      </c>
      <c r="J393" s="12">
        <v>0.0</v>
      </c>
      <c r="K393" s="12">
        <v>0.0</v>
      </c>
      <c r="L393" s="12">
        <v>0.0</v>
      </c>
      <c r="M393" s="12">
        <v>0.0</v>
      </c>
      <c r="N393" s="12">
        <v>0.0</v>
      </c>
      <c r="O393" s="12">
        <v>0.0</v>
      </c>
      <c r="P393" s="12">
        <v>0.0</v>
      </c>
      <c r="Q393" s="12">
        <v>0.0</v>
      </c>
      <c r="R393" s="12">
        <v>0.0</v>
      </c>
      <c r="S393" s="12">
        <v>0.0</v>
      </c>
      <c r="T393" s="12">
        <v>0.0</v>
      </c>
      <c r="U393" s="12">
        <v>0.0</v>
      </c>
      <c r="V393" s="12">
        <v>0.0</v>
      </c>
      <c r="W393" s="12">
        <v>0.0</v>
      </c>
      <c r="X393" s="12">
        <v>0.0</v>
      </c>
      <c r="Y393" s="12">
        <v>0.0</v>
      </c>
      <c r="Z393" s="12">
        <v>0.0</v>
      </c>
      <c r="AA393" s="12">
        <v>0.0</v>
      </c>
      <c r="AB393" s="12">
        <v>0.0</v>
      </c>
      <c r="AC393" s="12">
        <v>0.0</v>
      </c>
      <c r="AD393" s="12">
        <v>0.0</v>
      </c>
      <c r="AE393" s="12">
        <v>0.0</v>
      </c>
      <c r="AF393" s="36"/>
      <c r="AG393" s="36"/>
      <c r="AH393" s="36"/>
      <c r="AI393" s="36"/>
      <c r="AJ393" s="36"/>
    </row>
    <row r="394" ht="15.75" customHeight="1">
      <c r="A394" s="380" t="s">
        <v>1955</v>
      </c>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c r="AA394" s="36"/>
      <c r="AB394" s="36"/>
      <c r="AC394" s="36"/>
      <c r="AD394" s="36"/>
      <c r="AE394" s="36"/>
      <c r="AF394" s="36"/>
      <c r="AG394" s="36"/>
      <c r="AH394" s="36"/>
      <c r="AI394" s="36"/>
      <c r="AJ394" s="36"/>
    </row>
    <row r="395" ht="15.75" customHeight="1">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c r="AA395" s="36"/>
      <c r="AB395" s="36"/>
      <c r="AC395" s="36"/>
      <c r="AD395" s="36"/>
      <c r="AE395" s="36"/>
      <c r="AF395" s="36"/>
      <c r="AG395" s="36"/>
      <c r="AH395" s="36"/>
      <c r="AI395" s="36"/>
      <c r="AJ395" s="36"/>
    </row>
    <row r="396" ht="15.75" customHeight="1">
      <c r="A396" s="36" t="s">
        <v>215</v>
      </c>
      <c r="B396" s="36">
        <v>1.0</v>
      </c>
      <c r="C396" s="36">
        <v>2.0</v>
      </c>
      <c r="D396" s="36">
        <v>3.0</v>
      </c>
      <c r="E396" s="36">
        <v>4.0</v>
      </c>
      <c r="F396" s="36">
        <v>5.0</v>
      </c>
      <c r="G396" s="36">
        <v>6.0</v>
      </c>
      <c r="H396" s="36">
        <v>7.0</v>
      </c>
      <c r="I396" s="36">
        <v>8.0</v>
      </c>
      <c r="J396" s="36">
        <v>9.0</v>
      </c>
      <c r="K396" s="36">
        <v>10.0</v>
      </c>
      <c r="L396" s="36">
        <v>11.0</v>
      </c>
      <c r="M396" s="36">
        <v>12.0</v>
      </c>
      <c r="N396" s="36">
        <v>13.0</v>
      </c>
      <c r="O396" s="36">
        <v>14.0</v>
      </c>
      <c r="P396" s="36">
        <v>15.0</v>
      </c>
      <c r="Q396" s="36">
        <v>16.0</v>
      </c>
      <c r="R396" s="36">
        <v>17.0</v>
      </c>
      <c r="S396" s="36">
        <v>18.0</v>
      </c>
      <c r="T396" s="36">
        <v>19.0</v>
      </c>
      <c r="U396" s="36">
        <v>20.0</v>
      </c>
      <c r="V396" s="36">
        <v>21.0</v>
      </c>
      <c r="W396" s="36">
        <v>22.0</v>
      </c>
      <c r="X396" s="36">
        <v>23.0</v>
      </c>
      <c r="Y396" s="36">
        <v>24.0</v>
      </c>
      <c r="Z396" s="36">
        <v>25.0</v>
      </c>
      <c r="AA396" s="36">
        <v>26.0</v>
      </c>
      <c r="AB396" s="36">
        <v>27.0</v>
      </c>
      <c r="AC396" s="36">
        <v>28.0</v>
      </c>
      <c r="AD396" s="36">
        <v>29.0</v>
      </c>
      <c r="AE396" s="36">
        <v>30.0</v>
      </c>
      <c r="AF396" s="36"/>
      <c r="AG396" s="36"/>
      <c r="AH396" s="36"/>
      <c r="AI396" s="36"/>
      <c r="AJ396" s="36"/>
    </row>
    <row r="397" ht="15.75" customHeight="1">
      <c r="A397" s="12" t="s">
        <v>217</v>
      </c>
      <c r="B397" s="36">
        <v>50.0</v>
      </c>
      <c r="C397" s="36">
        <f t="shared" ref="C397:AE397" si="71">B397*1.05</f>
        <v>52.5</v>
      </c>
      <c r="D397" s="36">
        <f t="shared" si="71"/>
        <v>55.125</v>
      </c>
      <c r="E397" s="36">
        <f t="shared" si="71"/>
        <v>57.88125</v>
      </c>
      <c r="F397" s="36">
        <f t="shared" si="71"/>
        <v>60.7753125</v>
      </c>
      <c r="G397" s="36">
        <f t="shared" si="71"/>
        <v>63.81407813</v>
      </c>
      <c r="H397" s="36">
        <f t="shared" si="71"/>
        <v>67.00478203</v>
      </c>
      <c r="I397" s="36">
        <f t="shared" si="71"/>
        <v>70.35502113</v>
      </c>
      <c r="J397" s="36">
        <f t="shared" si="71"/>
        <v>73.87277219</v>
      </c>
      <c r="K397" s="36">
        <f t="shared" si="71"/>
        <v>77.5664108</v>
      </c>
      <c r="L397" s="36">
        <f t="shared" si="71"/>
        <v>81.44473134</v>
      </c>
      <c r="M397" s="36">
        <f t="shared" si="71"/>
        <v>85.51696791</v>
      </c>
      <c r="N397" s="36">
        <f t="shared" si="71"/>
        <v>89.7928163</v>
      </c>
      <c r="O397" s="36">
        <f t="shared" si="71"/>
        <v>94.28245712</v>
      </c>
      <c r="P397" s="36">
        <f t="shared" si="71"/>
        <v>98.99657997</v>
      </c>
      <c r="Q397" s="36">
        <f t="shared" si="71"/>
        <v>103.946409</v>
      </c>
      <c r="R397" s="36">
        <f t="shared" si="71"/>
        <v>109.1437294</v>
      </c>
      <c r="S397" s="36">
        <f t="shared" si="71"/>
        <v>114.6009159</v>
      </c>
      <c r="T397" s="36">
        <f t="shared" si="71"/>
        <v>120.3309617</v>
      </c>
      <c r="U397" s="36">
        <f t="shared" si="71"/>
        <v>126.3475098</v>
      </c>
      <c r="V397" s="36">
        <f t="shared" si="71"/>
        <v>132.6648853</v>
      </c>
      <c r="W397" s="36">
        <f t="shared" si="71"/>
        <v>139.2981295</v>
      </c>
      <c r="X397" s="36">
        <f t="shared" si="71"/>
        <v>146.263036</v>
      </c>
      <c r="Y397" s="36">
        <f t="shared" si="71"/>
        <v>153.5761878</v>
      </c>
      <c r="Z397" s="36">
        <f t="shared" si="71"/>
        <v>161.2549972</v>
      </c>
      <c r="AA397" s="36">
        <f t="shared" si="71"/>
        <v>169.317747</v>
      </c>
      <c r="AB397" s="36">
        <f t="shared" si="71"/>
        <v>177.7836344</v>
      </c>
      <c r="AC397" s="36">
        <f t="shared" si="71"/>
        <v>186.6728161</v>
      </c>
      <c r="AD397" s="36">
        <f t="shared" si="71"/>
        <v>196.0064569</v>
      </c>
      <c r="AE397" s="36">
        <f t="shared" si="71"/>
        <v>205.8067798</v>
      </c>
      <c r="AF397" s="36"/>
      <c r="AG397" s="36"/>
      <c r="AH397" s="36"/>
      <c r="AI397" s="36"/>
      <c r="AJ397" s="36"/>
    </row>
    <row r="398" ht="15.75" customHeight="1">
      <c r="A398" s="370" t="s">
        <v>218</v>
      </c>
      <c r="B398" s="12">
        <v>0.0</v>
      </c>
      <c r="C398" s="12">
        <v>0.0</v>
      </c>
      <c r="D398" s="12">
        <v>0.0</v>
      </c>
      <c r="E398" s="12">
        <v>0.0</v>
      </c>
      <c r="F398" s="12">
        <v>0.0</v>
      </c>
      <c r="G398" s="12">
        <v>0.0</v>
      </c>
      <c r="H398" s="12">
        <v>0.0</v>
      </c>
      <c r="I398" s="12">
        <v>0.0</v>
      </c>
      <c r="J398" s="12">
        <v>0.0</v>
      </c>
      <c r="K398" s="12">
        <v>0.0</v>
      </c>
      <c r="L398" s="12">
        <v>0.0</v>
      </c>
      <c r="M398" s="12">
        <v>0.0</v>
      </c>
      <c r="N398" s="12">
        <v>0.0</v>
      </c>
      <c r="O398" s="12">
        <v>0.0</v>
      </c>
      <c r="P398" s="12">
        <v>0.0</v>
      </c>
      <c r="Q398" s="12">
        <v>0.0</v>
      </c>
      <c r="R398" s="12">
        <v>0.0</v>
      </c>
      <c r="S398" s="12">
        <v>0.0</v>
      </c>
      <c r="T398" s="12">
        <v>0.0</v>
      </c>
      <c r="U398" s="12">
        <v>0.0</v>
      </c>
      <c r="V398" s="12">
        <v>0.0</v>
      </c>
      <c r="W398" s="12">
        <v>0.0</v>
      </c>
      <c r="X398" s="12">
        <v>0.0</v>
      </c>
      <c r="Y398" s="12">
        <v>0.0</v>
      </c>
      <c r="Z398" s="12">
        <v>0.0</v>
      </c>
      <c r="AA398" s="12">
        <v>0.0</v>
      </c>
      <c r="AB398" s="12">
        <v>0.0</v>
      </c>
      <c r="AC398" s="12">
        <v>0.0</v>
      </c>
      <c r="AD398" s="12">
        <v>0.0</v>
      </c>
      <c r="AE398" s="12">
        <v>0.0</v>
      </c>
      <c r="AF398" s="36"/>
      <c r="AG398" s="36"/>
      <c r="AH398" s="36"/>
      <c r="AI398" s="36"/>
      <c r="AJ398" s="36"/>
    </row>
    <row r="399" ht="15.75" customHeight="1">
      <c r="A399" s="380" t="s">
        <v>951</v>
      </c>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c r="AA399" s="36"/>
      <c r="AB399" s="36"/>
      <c r="AC399" s="36"/>
      <c r="AD399" s="36"/>
      <c r="AE399" s="36"/>
      <c r="AF399" s="36"/>
      <c r="AG399" s="36"/>
      <c r="AH399" s="36"/>
      <c r="AI399" s="36"/>
      <c r="AJ399" s="36"/>
    </row>
    <row r="400" ht="15.75" customHeight="1">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c r="AA400" s="36"/>
      <c r="AB400" s="36"/>
      <c r="AC400" s="36"/>
      <c r="AD400" s="36"/>
      <c r="AE400" s="36"/>
      <c r="AF400" s="36"/>
      <c r="AG400" s="36"/>
      <c r="AH400" s="36"/>
      <c r="AI400" s="36"/>
      <c r="AJ400" s="36"/>
    </row>
    <row r="401" ht="15.75" customHeight="1">
      <c r="A401" s="36" t="s">
        <v>215</v>
      </c>
      <c r="B401" s="36">
        <v>1.0</v>
      </c>
      <c r="C401" s="36">
        <v>2.0</v>
      </c>
      <c r="D401" s="36">
        <v>3.0</v>
      </c>
      <c r="E401" s="36">
        <v>4.0</v>
      </c>
      <c r="F401" s="36">
        <v>5.0</v>
      </c>
      <c r="G401" s="36">
        <v>6.0</v>
      </c>
      <c r="H401" s="36">
        <v>7.0</v>
      </c>
      <c r="I401" s="36">
        <v>8.0</v>
      </c>
      <c r="J401" s="36">
        <v>9.0</v>
      </c>
      <c r="K401" s="36">
        <v>10.0</v>
      </c>
      <c r="L401" s="36">
        <v>11.0</v>
      </c>
      <c r="M401" s="36">
        <v>12.0</v>
      </c>
      <c r="N401" s="36">
        <v>13.0</v>
      </c>
      <c r="O401" s="36">
        <v>14.0</v>
      </c>
      <c r="P401" s="36">
        <v>15.0</v>
      </c>
      <c r="Q401" s="36">
        <v>16.0</v>
      </c>
      <c r="R401" s="36">
        <v>17.0</v>
      </c>
      <c r="S401" s="36">
        <v>18.0</v>
      </c>
      <c r="T401" s="36">
        <v>19.0</v>
      </c>
      <c r="U401" s="36">
        <v>20.0</v>
      </c>
      <c r="V401" s="36">
        <v>21.0</v>
      </c>
      <c r="W401" s="36">
        <v>22.0</v>
      </c>
      <c r="X401" s="36">
        <v>23.0</v>
      </c>
      <c r="Y401" s="36">
        <v>24.0</v>
      </c>
      <c r="Z401" s="36">
        <v>25.0</v>
      </c>
      <c r="AA401" s="36">
        <v>26.0</v>
      </c>
      <c r="AB401" s="36">
        <v>27.0</v>
      </c>
      <c r="AC401" s="36">
        <v>28.0</v>
      </c>
      <c r="AD401" s="36">
        <v>29.0</v>
      </c>
      <c r="AE401" s="36">
        <v>30.0</v>
      </c>
      <c r="AF401" s="36"/>
      <c r="AG401" s="36"/>
      <c r="AH401" s="36"/>
      <c r="AI401" s="36"/>
      <c r="AJ401" s="36"/>
    </row>
    <row r="402" ht="15.75" customHeight="1">
      <c r="A402" s="12" t="s">
        <v>217</v>
      </c>
      <c r="B402" s="36">
        <v>0.0</v>
      </c>
      <c r="C402" s="36">
        <v>52.5</v>
      </c>
      <c r="D402" s="36">
        <f t="shared" ref="D402:AE402" si="72">C402*1.05</f>
        <v>55.125</v>
      </c>
      <c r="E402" s="36">
        <f t="shared" si="72"/>
        <v>57.88125</v>
      </c>
      <c r="F402" s="36">
        <f t="shared" si="72"/>
        <v>60.7753125</v>
      </c>
      <c r="G402" s="36">
        <f t="shared" si="72"/>
        <v>63.81407813</v>
      </c>
      <c r="H402" s="36">
        <f t="shared" si="72"/>
        <v>67.00478203</v>
      </c>
      <c r="I402" s="36">
        <f t="shared" si="72"/>
        <v>70.35502113</v>
      </c>
      <c r="J402" s="36">
        <f t="shared" si="72"/>
        <v>73.87277219</v>
      </c>
      <c r="K402" s="36">
        <f t="shared" si="72"/>
        <v>77.5664108</v>
      </c>
      <c r="L402" s="36">
        <f t="shared" si="72"/>
        <v>81.44473134</v>
      </c>
      <c r="M402" s="36">
        <f t="shared" si="72"/>
        <v>85.51696791</v>
      </c>
      <c r="N402" s="36">
        <f t="shared" si="72"/>
        <v>89.7928163</v>
      </c>
      <c r="O402" s="36">
        <f t="shared" si="72"/>
        <v>94.28245712</v>
      </c>
      <c r="P402" s="36">
        <f t="shared" si="72"/>
        <v>98.99657997</v>
      </c>
      <c r="Q402" s="36">
        <f t="shared" si="72"/>
        <v>103.946409</v>
      </c>
      <c r="R402" s="36">
        <f t="shared" si="72"/>
        <v>109.1437294</v>
      </c>
      <c r="S402" s="36">
        <f t="shared" si="72"/>
        <v>114.6009159</v>
      </c>
      <c r="T402" s="36">
        <f t="shared" si="72"/>
        <v>120.3309617</v>
      </c>
      <c r="U402" s="36">
        <f t="shared" si="72"/>
        <v>126.3475098</v>
      </c>
      <c r="V402" s="36">
        <f t="shared" si="72"/>
        <v>132.6648853</v>
      </c>
      <c r="W402" s="36">
        <f t="shared" si="72"/>
        <v>139.2981295</v>
      </c>
      <c r="X402" s="36">
        <f t="shared" si="72"/>
        <v>146.263036</v>
      </c>
      <c r="Y402" s="36">
        <f t="shared" si="72"/>
        <v>153.5761878</v>
      </c>
      <c r="Z402" s="36">
        <f t="shared" si="72"/>
        <v>161.2549972</v>
      </c>
      <c r="AA402" s="36">
        <f t="shared" si="72"/>
        <v>169.317747</v>
      </c>
      <c r="AB402" s="36">
        <f t="shared" si="72"/>
        <v>177.7836344</v>
      </c>
      <c r="AC402" s="36">
        <f t="shared" si="72"/>
        <v>186.6728161</v>
      </c>
      <c r="AD402" s="36">
        <f t="shared" si="72"/>
        <v>196.0064569</v>
      </c>
      <c r="AE402" s="36">
        <f t="shared" si="72"/>
        <v>205.8067798</v>
      </c>
      <c r="AF402" s="36"/>
      <c r="AG402" s="36"/>
      <c r="AH402" s="36"/>
      <c r="AI402" s="36"/>
      <c r="AJ402" s="36"/>
    </row>
    <row r="403" ht="15.75" customHeight="1">
      <c r="A403" s="370" t="s">
        <v>218</v>
      </c>
      <c r="B403" s="12">
        <v>0.0</v>
      </c>
      <c r="C403" s="12">
        <v>0.0</v>
      </c>
      <c r="D403" s="12">
        <v>0.0</v>
      </c>
      <c r="E403" s="12">
        <v>0.0</v>
      </c>
      <c r="F403" s="12">
        <v>0.0</v>
      </c>
      <c r="G403" s="12">
        <v>0.0</v>
      </c>
      <c r="H403" s="12">
        <v>0.0</v>
      </c>
      <c r="I403" s="12">
        <v>0.0</v>
      </c>
      <c r="J403" s="12">
        <v>0.0</v>
      </c>
      <c r="K403" s="12">
        <v>0.0</v>
      </c>
      <c r="L403" s="12">
        <v>0.0</v>
      </c>
      <c r="M403" s="12">
        <v>0.0</v>
      </c>
      <c r="N403" s="12">
        <v>0.0</v>
      </c>
      <c r="O403" s="12">
        <v>0.0</v>
      </c>
      <c r="P403" s="12">
        <v>0.0</v>
      </c>
      <c r="Q403" s="12">
        <v>0.0</v>
      </c>
      <c r="R403" s="12">
        <v>0.0</v>
      </c>
      <c r="S403" s="12">
        <v>0.0</v>
      </c>
      <c r="T403" s="12">
        <v>0.0</v>
      </c>
      <c r="U403" s="12">
        <v>0.0</v>
      </c>
      <c r="V403" s="12">
        <v>0.0</v>
      </c>
      <c r="W403" s="12">
        <v>0.0</v>
      </c>
      <c r="X403" s="12">
        <v>0.0</v>
      </c>
      <c r="Y403" s="12">
        <v>0.0</v>
      </c>
      <c r="Z403" s="12">
        <v>0.0</v>
      </c>
      <c r="AA403" s="12">
        <v>0.0</v>
      </c>
      <c r="AB403" s="12">
        <v>0.0</v>
      </c>
      <c r="AC403" s="12">
        <v>0.0</v>
      </c>
      <c r="AD403" s="12">
        <v>0.0</v>
      </c>
      <c r="AE403" s="12">
        <v>0.0</v>
      </c>
      <c r="AF403" s="36"/>
      <c r="AG403" s="36"/>
      <c r="AH403" s="36"/>
      <c r="AI403" s="36"/>
      <c r="AJ403" s="36"/>
    </row>
    <row r="404" ht="15.75" customHeight="1">
      <c r="A404" s="382" t="s">
        <v>955</v>
      </c>
      <c r="B404" s="372"/>
      <c r="C404" s="372"/>
      <c r="D404" s="372"/>
      <c r="E404" s="372"/>
      <c r="F404" s="372"/>
      <c r="G404" s="372"/>
      <c r="H404" s="372"/>
      <c r="I404" s="372"/>
      <c r="J404" s="372"/>
      <c r="K404" s="372"/>
      <c r="L404" s="372"/>
      <c r="M404" s="372"/>
      <c r="N404" s="372"/>
      <c r="O404" s="372"/>
      <c r="P404" s="372"/>
      <c r="Q404" s="372"/>
      <c r="R404" s="372"/>
      <c r="S404" s="372"/>
      <c r="T404" s="372"/>
      <c r="U404" s="372"/>
      <c r="V404" s="372"/>
      <c r="W404" s="372"/>
      <c r="X404" s="372"/>
      <c r="Y404" s="372"/>
      <c r="Z404" s="372"/>
      <c r="AA404" s="372"/>
      <c r="AB404" s="372"/>
      <c r="AC404" s="372"/>
      <c r="AD404" s="372"/>
      <c r="AE404" s="372"/>
      <c r="AF404" s="372"/>
      <c r="AG404" s="372"/>
      <c r="AH404" s="372"/>
      <c r="AI404" s="372"/>
      <c r="AJ404" s="372"/>
    </row>
    <row r="405" ht="15.75" customHeight="1">
      <c r="A405" s="372"/>
      <c r="B405" s="372"/>
      <c r="C405" s="372"/>
      <c r="D405" s="372"/>
      <c r="E405" s="372"/>
      <c r="F405" s="372"/>
      <c r="G405" s="372"/>
      <c r="H405" s="372"/>
      <c r="I405" s="372"/>
      <c r="J405" s="372"/>
      <c r="K405" s="372"/>
      <c r="L405" s="372"/>
      <c r="M405" s="372"/>
      <c r="N405" s="372"/>
      <c r="O405" s="372"/>
      <c r="P405" s="372"/>
      <c r="Q405" s="372"/>
      <c r="R405" s="372"/>
      <c r="S405" s="372"/>
      <c r="T405" s="372"/>
      <c r="U405" s="372"/>
      <c r="V405" s="372"/>
      <c r="W405" s="372"/>
      <c r="X405" s="372"/>
      <c r="Y405" s="372"/>
      <c r="Z405" s="372"/>
      <c r="AA405" s="372"/>
      <c r="AB405" s="372"/>
      <c r="AC405" s="372"/>
      <c r="AD405" s="372"/>
      <c r="AE405" s="372"/>
      <c r="AF405" s="372"/>
      <c r="AG405" s="372"/>
      <c r="AH405" s="372"/>
      <c r="AI405" s="372"/>
      <c r="AJ405" s="372"/>
    </row>
    <row r="406" ht="15.75" customHeight="1">
      <c r="A406" s="372" t="s">
        <v>1956</v>
      </c>
      <c r="B406" s="372">
        <v>1.0</v>
      </c>
      <c r="C406" s="372">
        <v>2.0</v>
      </c>
      <c r="D406" s="372">
        <v>3.0</v>
      </c>
      <c r="E406" s="372"/>
      <c r="F406" s="372"/>
      <c r="G406" s="372"/>
      <c r="H406" s="372"/>
      <c r="I406" s="372"/>
      <c r="J406" s="372"/>
      <c r="K406" s="372"/>
      <c r="L406" s="372"/>
      <c r="M406" s="372"/>
      <c r="N406" s="372"/>
      <c r="O406" s="372"/>
      <c r="P406" s="372"/>
      <c r="Q406" s="372"/>
      <c r="R406" s="372"/>
      <c r="S406" s="372"/>
      <c r="T406" s="372"/>
      <c r="U406" s="372"/>
      <c r="V406" s="372"/>
      <c r="W406" s="372"/>
      <c r="X406" s="372"/>
      <c r="Y406" s="372"/>
      <c r="Z406" s="372"/>
      <c r="AA406" s="372"/>
      <c r="AB406" s="372"/>
      <c r="AC406" s="372"/>
      <c r="AD406" s="372"/>
      <c r="AE406" s="372"/>
      <c r="AF406" s="372"/>
      <c r="AG406" s="372"/>
      <c r="AH406" s="372"/>
      <c r="AI406" s="372"/>
      <c r="AJ406" s="372"/>
    </row>
    <row r="407" ht="15.75" customHeight="1">
      <c r="A407" s="372">
        <v>15000.0</v>
      </c>
      <c r="B407" s="372">
        <f>30%/12</f>
        <v>0.025</v>
      </c>
      <c r="C407" s="372">
        <f t="shared" ref="C407:C409" si="73">18%/12</f>
        <v>0.015</v>
      </c>
      <c r="D407" s="372">
        <f t="shared" ref="D407:D410" si="74">15%/12</f>
        <v>0.0125</v>
      </c>
      <c r="E407" s="372"/>
      <c r="F407" s="372"/>
      <c r="G407" s="372"/>
      <c r="H407" s="372"/>
      <c r="I407" s="372"/>
      <c r="J407" s="372"/>
      <c r="K407" s="372"/>
      <c r="L407" s="372"/>
      <c r="M407" s="372"/>
      <c r="N407" s="372"/>
      <c r="O407" s="372"/>
      <c r="P407" s="372"/>
      <c r="Q407" s="372"/>
      <c r="R407" s="372"/>
      <c r="S407" s="372"/>
      <c r="T407" s="372"/>
      <c r="U407" s="372"/>
      <c r="V407" s="372"/>
      <c r="W407" s="372"/>
      <c r="X407" s="372"/>
      <c r="Y407" s="372"/>
      <c r="Z407" s="372"/>
      <c r="AA407" s="372"/>
      <c r="AB407" s="372"/>
      <c r="AC407" s="372"/>
      <c r="AD407" s="372"/>
      <c r="AE407" s="372"/>
      <c r="AF407" s="372"/>
      <c r="AG407" s="372"/>
      <c r="AH407" s="372"/>
      <c r="AI407" s="372"/>
      <c r="AJ407" s="372"/>
    </row>
    <row r="408" ht="15.75" customHeight="1">
      <c r="A408" s="372">
        <v>30000.0</v>
      </c>
      <c r="B408" s="1">
        <f>27%/12</f>
        <v>0.0225</v>
      </c>
      <c r="C408" s="372">
        <f t="shared" si="73"/>
        <v>0.015</v>
      </c>
      <c r="D408" s="372">
        <f t="shared" si="74"/>
        <v>0.0125</v>
      </c>
      <c r="E408" s="372"/>
      <c r="F408" s="372"/>
      <c r="G408" s="372"/>
      <c r="H408" s="372"/>
      <c r="I408" s="372"/>
      <c r="J408" s="372"/>
      <c r="K408" s="372"/>
      <c r="L408" s="372"/>
      <c r="M408" s="372"/>
      <c r="N408" s="372"/>
      <c r="O408" s="372"/>
      <c r="P408" s="372"/>
      <c r="Q408" s="372"/>
      <c r="R408" s="372"/>
      <c r="S408" s="372"/>
      <c r="T408" s="372"/>
      <c r="U408" s="372"/>
      <c r="V408" s="372"/>
      <c r="W408" s="372"/>
      <c r="X408" s="372"/>
      <c r="Y408" s="372"/>
      <c r="Z408" s="372"/>
      <c r="AA408" s="372"/>
      <c r="AB408" s="372"/>
      <c r="AC408" s="372"/>
      <c r="AD408" s="372"/>
      <c r="AE408" s="372"/>
      <c r="AF408" s="372"/>
      <c r="AG408" s="372"/>
      <c r="AH408" s="372"/>
      <c r="AI408" s="372"/>
      <c r="AJ408" s="372"/>
    </row>
    <row r="409" ht="15.75" customHeight="1">
      <c r="A409" s="372">
        <v>50000.0</v>
      </c>
      <c r="B409" s="372">
        <f>21%/12</f>
        <v>0.0175</v>
      </c>
      <c r="C409" s="372">
        <f t="shared" si="73"/>
        <v>0.015</v>
      </c>
      <c r="D409" s="372">
        <f t="shared" si="74"/>
        <v>0.0125</v>
      </c>
      <c r="E409" s="372"/>
      <c r="F409" s="372"/>
      <c r="G409" s="372"/>
      <c r="H409" s="372"/>
      <c r="I409" s="372"/>
      <c r="J409" s="372"/>
      <c r="K409" s="372"/>
      <c r="L409" s="372"/>
      <c r="M409" s="372"/>
      <c r="N409" s="372"/>
      <c r="O409" s="372"/>
      <c r="P409" s="372"/>
      <c r="Q409" s="372"/>
      <c r="R409" s="372"/>
      <c r="S409" s="372"/>
      <c r="T409" s="372"/>
      <c r="U409" s="372"/>
      <c r="V409" s="372"/>
      <c r="W409" s="372"/>
      <c r="X409" s="372"/>
      <c r="Y409" s="372"/>
      <c r="Z409" s="372"/>
      <c r="AA409" s="372"/>
      <c r="AB409" s="372"/>
      <c r="AC409" s="372"/>
      <c r="AD409" s="372"/>
      <c r="AE409" s="372"/>
      <c r="AF409" s="372"/>
      <c r="AG409" s="372"/>
      <c r="AH409" s="372"/>
      <c r="AI409" s="372"/>
      <c r="AJ409" s="372"/>
    </row>
    <row r="410" ht="15.75" customHeight="1">
      <c r="A410" s="372">
        <v>100000.0</v>
      </c>
      <c r="B410" s="372">
        <f t="shared" ref="B410:C410" si="75">18%/12</f>
        <v>0.015</v>
      </c>
      <c r="C410" s="372">
        <f t="shared" si="75"/>
        <v>0.015</v>
      </c>
      <c r="D410" s="372">
        <f t="shared" si="74"/>
        <v>0.0125</v>
      </c>
      <c r="E410" s="372"/>
      <c r="F410" s="372"/>
      <c r="G410" s="372"/>
      <c r="H410" s="372"/>
      <c r="I410" s="372"/>
      <c r="J410" s="372"/>
      <c r="K410" s="372"/>
      <c r="L410" s="372"/>
      <c r="M410" s="372"/>
      <c r="N410" s="372"/>
      <c r="O410" s="372"/>
      <c r="P410" s="372"/>
      <c r="Q410" s="372"/>
      <c r="R410" s="372"/>
      <c r="S410" s="372"/>
      <c r="T410" s="372"/>
      <c r="U410" s="372"/>
      <c r="V410" s="372"/>
      <c r="W410" s="372"/>
      <c r="X410" s="372"/>
      <c r="Y410" s="372"/>
      <c r="Z410" s="372"/>
      <c r="AA410" s="372"/>
      <c r="AB410" s="372"/>
      <c r="AC410" s="372"/>
      <c r="AD410" s="372"/>
      <c r="AE410" s="372"/>
      <c r="AF410" s="372"/>
      <c r="AG410" s="372"/>
      <c r="AH410" s="372"/>
      <c r="AI410" s="372"/>
      <c r="AJ410" s="372"/>
    </row>
    <row r="411" ht="15.75" customHeight="1">
      <c r="A411" s="372"/>
      <c r="B411" s="372"/>
      <c r="C411" s="372"/>
      <c r="D411" s="372"/>
      <c r="E411" s="372"/>
      <c r="F411" s="372"/>
      <c r="G411" s="372"/>
      <c r="H411" s="372"/>
      <c r="I411" s="372"/>
      <c r="J411" s="372"/>
      <c r="K411" s="372"/>
      <c r="L411" s="372"/>
      <c r="M411" s="372"/>
      <c r="N411" s="372"/>
      <c r="O411" s="372"/>
      <c r="P411" s="372"/>
      <c r="Q411" s="372"/>
      <c r="R411" s="372"/>
      <c r="S411" s="372"/>
      <c r="T411" s="372"/>
      <c r="U411" s="372"/>
      <c r="V411" s="372"/>
      <c r="W411" s="372"/>
      <c r="X411" s="372"/>
      <c r="Y411" s="372"/>
      <c r="Z411" s="372"/>
      <c r="AA411" s="372"/>
      <c r="AB411" s="372"/>
      <c r="AC411" s="372"/>
      <c r="AD411" s="372"/>
      <c r="AE411" s="372"/>
      <c r="AF411" s="372"/>
      <c r="AG411" s="372"/>
      <c r="AH411" s="372"/>
      <c r="AI411" s="372"/>
      <c r="AJ411" s="372"/>
    </row>
    <row r="412" ht="15.75" customHeight="1">
      <c r="A412" s="372"/>
      <c r="B412" s="372"/>
      <c r="C412" s="372"/>
      <c r="D412" s="372"/>
      <c r="E412" s="372"/>
      <c r="F412" s="372"/>
      <c r="G412" s="372"/>
      <c r="H412" s="372"/>
      <c r="I412" s="372"/>
      <c r="J412" s="372"/>
      <c r="K412" s="372"/>
      <c r="L412" s="372"/>
      <c r="M412" s="372"/>
      <c r="N412" s="372"/>
      <c r="O412" s="372"/>
      <c r="P412" s="372"/>
      <c r="Q412" s="372"/>
      <c r="R412" s="372"/>
      <c r="S412" s="372"/>
      <c r="T412" s="372"/>
      <c r="U412" s="372"/>
      <c r="V412" s="372"/>
      <c r="W412" s="372"/>
      <c r="X412" s="372"/>
      <c r="Y412" s="372"/>
      <c r="Z412" s="372"/>
      <c r="AA412" s="372"/>
      <c r="AB412" s="372"/>
      <c r="AC412" s="372"/>
      <c r="AD412" s="372"/>
      <c r="AE412" s="372"/>
      <c r="AF412" s="372"/>
      <c r="AG412" s="372"/>
      <c r="AH412" s="372"/>
      <c r="AI412" s="372"/>
      <c r="AJ412" s="372"/>
    </row>
    <row r="413" ht="15.75" customHeight="1">
      <c r="A413" s="372" t="s">
        <v>215</v>
      </c>
      <c r="B413" s="372">
        <v>1.0</v>
      </c>
      <c r="C413" s="372">
        <v>2.0</v>
      </c>
      <c r="D413" s="372">
        <v>3.0</v>
      </c>
      <c r="E413" s="372">
        <v>4.0</v>
      </c>
      <c r="F413" s="372">
        <v>5.0</v>
      </c>
      <c r="G413" s="372">
        <v>6.0</v>
      </c>
      <c r="H413" s="372">
        <v>7.0</v>
      </c>
      <c r="I413" s="372">
        <v>8.0</v>
      </c>
      <c r="J413" s="372">
        <v>9.0</v>
      </c>
      <c r="K413" s="372">
        <v>10.0</v>
      </c>
      <c r="L413" s="372">
        <v>11.0</v>
      </c>
      <c r="M413" s="372">
        <v>12.0</v>
      </c>
      <c r="N413" s="372">
        <v>13.0</v>
      </c>
      <c r="O413" s="372">
        <v>14.0</v>
      </c>
      <c r="P413" s="372">
        <v>15.0</v>
      </c>
      <c r="Q413" s="372">
        <v>16.0</v>
      </c>
      <c r="R413" s="372">
        <v>17.0</v>
      </c>
      <c r="S413" s="372">
        <v>18.0</v>
      </c>
      <c r="T413" s="372">
        <v>19.0</v>
      </c>
      <c r="U413" s="372">
        <v>20.0</v>
      </c>
      <c r="V413" s="372">
        <v>21.0</v>
      </c>
      <c r="W413" s="372">
        <v>22.0</v>
      </c>
      <c r="X413" s="372">
        <v>23.0</v>
      </c>
      <c r="Y413" s="372">
        <v>24.0</v>
      </c>
      <c r="Z413" s="372">
        <v>25.0</v>
      </c>
      <c r="AA413" s="372">
        <v>26.0</v>
      </c>
      <c r="AB413" s="372">
        <v>27.0</v>
      </c>
      <c r="AC413" s="372">
        <v>28.0</v>
      </c>
      <c r="AD413" s="372">
        <v>29.0</v>
      </c>
      <c r="AE413" s="372">
        <v>30.0</v>
      </c>
      <c r="AF413" s="372"/>
      <c r="AG413" s="372"/>
      <c r="AH413" s="372"/>
      <c r="AI413" s="372"/>
      <c r="AJ413" s="372"/>
    </row>
    <row r="414" ht="15.75" customHeight="1">
      <c r="A414" s="1" t="s">
        <v>217</v>
      </c>
      <c r="B414" s="1">
        <v>0.0</v>
      </c>
      <c r="C414" s="1">
        <v>0.0</v>
      </c>
      <c r="D414" s="1">
        <v>0.0</v>
      </c>
      <c r="E414" s="1">
        <v>75.0</v>
      </c>
      <c r="F414" s="372">
        <f t="shared" ref="F414:AE414" si="76">E414*1.05</f>
        <v>78.75</v>
      </c>
      <c r="G414" s="372">
        <f t="shared" si="76"/>
        <v>82.6875</v>
      </c>
      <c r="H414" s="372">
        <f t="shared" si="76"/>
        <v>86.821875</v>
      </c>
      <c r="I414" s="372">
        <f t="shared" si="76"/>
        <v>91.16296875</v>
      </c>
      <c r="J414" s="372">
        <f t="shared" si="76"/>
        <v>95.72111719</v>
      </c>
      <c r="K414" s="372">
        <f t="shared" si="76"/>
        <v>100.507173</v>
      </c>
      <c r="L414" s="372">
        <f t="shared" si="76"/>
        <v>105.5325317</v>
      </c>
      <c r="M414" s="372">
        <f t="shared" si="76"/>
        <v>110.8091583</v>
      </c>
      <c r="N414" s="372">
        <f t="shared" si="76"/>
        <v>116.3496162</v>
      </c>
      <c r="O414" s="372">
        <f t="shared" si="76"/>
        <v>122.167097</v>
      </c>
      <c r="P414" s="372">
        <f t="shared" si="76"/>
        <v>128.2754519</v>
      </c>
      <c r="Q414" s="372">
        <f t="shared" si="76"/>
        <v>134.6892245</v>
      </c>
      <c r="R414" s="372">
        <f t="shared" si="76"/>
        <v>141.4236857</v>
      </c>
      <c r="S414" s="372">
        <f t="shared" si="76"/>
        <v>148.49487</v>
      </c>
      <c r="T414" s="372">
        <f t="shared" si="76"/>
        <v>155.9196135</v>
      </c>
      <c r="U414" s="372">
        <f t="shared" si="76"/>
        <v>163.7155941</v>
      </c>
      <c r="V414" s="372">
        <f t="shared" si="76"/>
        <v>171.9013738</v>
      </c>
      <c r="W414" s="372">
        <f t="shared" si="76"/>
        <v>180.4964425</v>
      </c>
      <c r="X414" s="372">
        <f t="shared" si="76"/>
        <v>189.5212647</v>
      </c>
      <c r="Y414" s="372">
        <f t="shared" si="76"/>
        <v>198.9973279</v>
      </c>
      <c r="Z414" s="372">
        <f t="shared" si="76"/>
        <v>208.9471943</v>
      </c>
      <c r="AA414" s="372">
        <f t="shared" si="76"/>
        <v>219.394554</v>
      </c>
      <c r="AB414" s="372">
        <f t="shared" si="76"/>
        <v>230.3642817</v>
      </c>
      <c r="AC414" s="372">
        <f t="shared" si="76"/>
        <v>241.8824958</v>
      </c>
      <c r="AD414" s="372">
        <f t="shared" si="76"/>
        <v>253.9766206</v>
      </c>
      <c r="AE414" s="372">
        <f t="shared" si="76"/>
        <v>266.6754516</v>
      </c>
      <c r="AF414" s="372"/>
      <c r="AG414" s="372"/>
      <c r="AH414" s="372"/>
      <c r="AI414" s="372"/>
      <c r="AJ414" s="372"/>
    </row>
    <row r="415" ht="15.75" customHeight="1">
      <c r="A415" s="386" t="s">
        <v>218</v>
      </c>
      <c r="B415" s="372">
        <f t="array" ref="B415">INDEX($A$406:$AE$410,MATCH(Annual_Prem,ADMIN!$A$406:$A$410,1),MATCH(ADMIN!B413,ADMIN!$A$406:$AE$406,0))</f>
        <v>0.015</v>
      </c>
      <c r="C415" s="372">
        <f t="array" ref="C415">INDEX($A$406:$AE$410,MATCH(Annual_Prem,ADMIN!$A$406:$A$410,1),MATCH(ADMIN!C413,ADMIN!$A$406:$AE$406,0))</f>
        <v>0.015</v>
      </c>
      <c r="D415" s="372">
        <f t="array" ref="D415">INDEX($A$406:$AE$410,MATCH(Annual_Prem,ADMIN!$A$406:$A$410,1),MATCH(ADMIN!D413,ADMIN!$A$406:$AE$406,0))</f>
        <v>0.0125</v>
      </c>
      <c r="E415" s="1">
        <v>0.0</v>
      </c>
      <c r="F415" s="1">
        <v>0.0</v>
      </c>
      <c r="G415" s="1">
        <v>0.0</v>
      </c>
      <c r="H415" s="1">
        <v>0.0</v>
      </c>
      <c r="I415" s="1">
        <v>0.0</v>
      </c>
      <c r="J415" s="1">
        <v>0.0</v>
      </c>
      <c r="K415" s="1">
        <v>0.0</v>
      </c>
      <c r="L415" s="1">
        <v>0.0</v>
      </c>
      <c r="M415" s="1">
        <v>0.0</v>
      </c>
      <c r="N415" s="1">
        <v>0.0</v>
      </c>
      <c r="O415" s="1">
        <v>0.0</v>
      </c>
      <c r="P415" s="1">
        <v>0.0</v>
      </c>
      <c r="Q415" s="1">
        <v>0.0</v>
      </c>
      <c r="R415" s="1">
        <v>0.0</v>
      </c>
      <c r="S415" s="1">
        <v>0.0</v>
      </c>
      <c r="T415" s="1">
        <v>0.0</v>
      </c>
      <c r="U415" s="1">
        <v>0.0</v>
      </c>
      <c r="V415" s="1">
        <v>0.0</v>
      </c>
      <c r="W415" s="1">
        <v>0.0</v>
      </c>
      <c r="X415" s="1">
        <v>0.0</v>
      </c>
      <c r="Y415" s="1">
        <v>0.0</v>
      </c>
      <c r="Z415" s="1">
        <v>0.0</v>
      </c>
      <c r="AA415" s="1">
        <v>0.0</v>
      </c>
      <c r="AB415" s="1">
        <v>0.0</v>
      </c>
      <c r="AC415" s="1">
        <v>0.0</v>
      </c>
      <c r="AD415" s="1">
        <v>0.0</v>
      </c>
      <c r="AE415" s="1">
        <v>0.0</v>
      </c>
      <c r="AF415" s="372"/>
      <c r="AG415" s="372"/>
      <c r="AH415" s="372"/>
      <c r="AI415" s="372"/>
      <c r="AJ415" s="372"/>
    </row>
    <row r="416" ht="15.75" customHeight="1">
      <c r="A416" s="382" t="s">
        <v>958</v>
      </c>
      <c r="B416" s="372"/>
      <c r="C416" s="372"/>
      <c r="D416" s="372"/>
      <c r="E416" s="372"/>
      <c r="F416" s="372"/>
      <c r="G416" s="372"/>
      <c r="H416" s="372"/>
      <c r="I416" s="372"/>
      <c r="J416" s="372"/>
      <c r="K416" s="372"/>
      <c r="L416" s="372"/>
      <c r="M416" s="372"/>
      <c r="N416" s="372"/>
      <c r="O416" s="372"/>
      <c r="P416" s="372"/>
      <c r="Q416" s="372"/>
      <c r="R416" s="372"/>
      <c r="S416" s="372"/>
      <c r="T416" s="372"/>
      <c r="U416" s="372"/>
      <c r="V416" s="372"/>
      <c r="W416" s="372"/>
      <c r="X416" s="372"/>
      <c r="Y416" s="372"/>
      <c r="Z416" s="372"/>
      <c r="AA416" s="372"/>
      <c r="AB416" s="372"/>
      <c r="AC416" s="372"/>
      <c r="AD416" s="372"/>
      <c r="AE416" s="372"/>
      <c r="AF416" s="372"/>
      <c r="AG416" s="372"/>
      <c r="AH416" s="372"/>
      <c r="AI416" s="372"/>
      <c r="AJ416" s="372"/>
    </row>
    <row r="417" ht="15.75" customHeight="1">
      <c r="A417" s="372"/>
      <c r="B417" s="372"/>
      <c r="C417" s="372"/>
      <c r="D417" s="372"/>
      <c r="E417" s="372"/>
      <c r="F417" s="372"/>
      <c r="G417" s="372"/>
      <c r="H417" s="372"/>
      <c r="I417" s="372"/>
      <c r="J417" s="372"/>
      <c r="K417" s="372"/>
      <c r="L417" s="372"/>
      <c r="M417" s="372"/>
      <c r="N417" s="372"/>
      <c r="O417" s="372"/>
      <c r="P417" s="372"/>
      <c r="Q417" s="372"/>
      <c r="R417" s="372"/>
      <c r="S417" s="372"/>
      <c r="T417" s="372"/>
      <c r="U417" s="372"/>
      <c r="V417" s="372"/>
      <c r="W417" s="372"/>
      <c r="X417" s="372"/>
      <c r="Y417" s="372"/>
      <c r="Z417" s="372"/>
      <c r="AA417" s="372"/>
      <c r="AB417" s="372"/>
      <c r="AC417" s="372"/>
      <c r="AD417" s="372"/>
      <c r="AE417" s="372"/>
      <c r="AF417" s="372"/>
      <c r="AG417" s="372"/>
      <c r="AH417" s="372"/>
      <c r="AI417" s="372"/>
      <c r="AJ417" s="372"/>
    </row>
    <row r="418" ht="15.75" customHeight="1">
      <c r="A418" s="372" t="s">
        <v>1956</v>
      </c>
      <c r="B418" s="372">
        <v>1.0</v>
      </c>
      <c r="C418" s="372">
        <v>2.0</v>
      </c>
      <c r="D418" s="372">
        <v>3.0</v>
      </c>
      <c r="E418" s="372">
        <v>4.0</v>
      </c>
      <c r="F418" s="372">
        <v>5.0</v>
      </c>
      <c r="G418" s="372">
        <v>6.0</v>
      </c>
      <c r="H418" s="372">
        <v>7.0</v>
      </c>
      <c r="I418" s="372">
        <v>8.0</v>
      </c>
      <c r="J418" s="372">
        <v>9.0</v>
      </c>
      <c r="K418" s="372">
        <v>10.0</v>
      </c>
      <c r="L418" s="372">
        <v>11.0</v>
      </c>
      <c r="M418" s="372">
        <v>12.0</v>
      </c>
      <c r="N418" s="372">
        <v>13.0</v>
      </c>
      <c r="O418" s="372">
        <v>14.0</v>
      </c>
      <c r="P418" s="372">
        <v>15.0</v>
      </c>
      <c r="Q418" s="372">
        <v>16.0</v>
      </c>
      <c r="R418" s="372">
        <v>17.0</v>
      </c>
      <c r="S418" s="372">
        <v>18.0</v>
      </c>
      <c r="T418" s="372">
        <v>19.0</v>
      </c>
      <c r="U418" s="372">
        <v>20.0</v>
      </c>
      <c r="V418" s="372">
        <v>21.0</v>
      </c>
      <c r="W418" s="372">
        <v>22.0</v>
      </c>
      <c r="X418" s="372">
        <v>23.0</v>
      </c>
      <c r="Y418" s="372">
        <v>24.0</v>
      </c>
      <c r="Z418" s="372">
        <v>25.0</v>
      </c>
      <c r="AA418" s="372">
        <v>26.0</v>
      </c>
      <c r="AB418" s="372">
        <v>27.0</v>
      </c>
      <c r="AC418" s="372">
        <v>28.0</v>
      </c>
      <c r="AD418" s="372">
        <v>29.0</v>
      </c>
      <c r="AE418" s="372">
        <v>30.0</v>
      </c>
      <c r="AF418" s="372"/>
      <c r="AG418" s="372"/>
      <c r="AH418" s="372"/>
      <c r="AI418" s="372"/>
      <c r="AJ418" s="372"/>
    </row>
    <row r="419" ht="15.75" customHeight="1">
      <c r="A419" s="372">
        <v>12000.0</v>
      </c>
      <c r="B419" s="372">
        <v>0.0</v>
      </c>
      <c r="C419" s="384">
        <f>6.3%*1.05</f>
        <v>0.06615</v>
      </c>
      <c r="D419" s="384">
        <f t="shared" ref="D419:AE419" si="77">C419*1.05</f>
        <v>0.0694575</v>
      </c>
      <c r="E419" s="384">
        <f t="shared" si="77"/>
        <v>0.072930375</v>
      </c>
      <c r="F419" s="384">
        <f t="shared" si="77"/>
        <v>0.07657689375</v>
      </c>
      <c r="G419" s="384">
        <f t="shared" si="77"/>
        <v>0.08040573844</v>
      </c>
      <c r="H419" s="384">
        <f t="shared" si="77"/>
        <v>0.08442602536</v>
      </c>
      <c r="I419" s="384">
        <f t="shared" si="77"/>
        <v>0.08864732663</v>
      </c>
      <c r="J419" s="384">
        <f t="shared" si="77"/>
        <v>0.09307969296</v>
      </c>
      <c r="K419" s="384">
        <f t="shared" si="77"/>
        <v>0.09773367761</v>
      </c>
      <c r="L419" s="384">
        <f t="shared" si="77"/>
        <v>0.1026203615</v>
      </c>
      <c r="M419" s="384">
        <f t="shared" si="77"/>
        <v>0.1077513796</v>
      </c>
      <c r="N419" s="384">
        <f t="shared" si="77"/>
        <v>0.1131389485</v>
      </c>
      <c r="O419" s="384">
        <f t="shared" si="77"/>
        <v>0.118795896</v>
      </c>
      <c r="P419" s="384">
        <f t="shared" si="77"/>
        <v>0.1247356908</v>
      </c>
      <c r="Q419" s="384">
        <f t="shared" si="77"/>
        <v>0.1309724753</v>
      </c>
      <c r="R419" s="384">
        <f t="shared" si="77"/>
        <v>0.1375210991</v>
      </c>
      <c r="S419" s="384">
        <f t="shared" si="77"/>
        <v>0.144397154</v>
      </c>
      <c r="T419" s="384">
        <f t="shared" si="77"/>
        <v>0.1516170117</v>
      </c>
      <c r="U419" s="384">
        <f t="shared" si="77"/>
        <v>0.1591978623</v>
      </c>
      <c r="V419" s="384">
        <f t="shared" si="77"/>
        <v>0.1671577554</v>
      </c>
      <c r="W419" s="384">
        <f t="shared" si="77"/>
        <v>0.1755156432</v>
      </c>
      <c r="X419" s="384">
        <f t="shared" si="77"/>
        <v>0.1842914254</v>
      </c>
      <c r="Y419" s="384">
        <f t="shared" si="77"/>
        <v>0.1935059966</v>
      </c>
      <c r="Z419" s="384">
        <f t="shared" si="77"/>
        <v>0.2031812965</v>
      </c>
      <c r="AA419" s="384">
        <f t="shared" si="77"/>
        <v>0.2133403613</v>
      </c>
      <c r="AB419" s="384">
        <f t="shared" si="77"/>
        <v>0.2240073793</v>
      </c>
      <c r="AC419" s="384">
        <f t="shared" si="77"/>
        <v>0.2352077483</v>
      </c>
      <c r="AD419" s="384">
        <f t="shared" si="77"/>
        <v>0.2469681357</v>
      </c>
      <c r="AE419" s="384">
        <f t="shared" si="77"/>
        <v>0.2593165425</v>
      </c>
      <c r="AF419" s="372"/>
      <c r="AG419" s="372"/>
      <c r="AH419" s="372"/>
      <c r="AI419" s="372"/>
      <c r="AJ419" s="372"/>
    </row>
    <row r="420" ht="15.75" customHeight="1">
      <c r="A420" s="372">
        <v>24000.0</v>
      </c>
      <c r="B420" s="372">
        <v>0.0</v>
      </c>
      <c r="C420" s="384">
        <f>4.2%*1.05</f>
        <v>0.0441</v>
      </c>
      <c r="D420" s="384">
        <f t="shared" ref="D420:AE420" si="78">C420*1.05</f>
        <v>0.046305</v>
      </c>
      <c r="E420" s="384">
        <f t="shared" si="78"/>
        <v>0.04862025</v>
      </c>
      <c r="F420" s="384">
        <f t="shared" si="78"/>
        <v>0.0510512625</v>
      </c>
      <c r="G420" s="384">
        <f t="shared" si="78"/>
        <v>0.05360382563</v>
      </c>
      <c r="H420" s="384">
        <f t="shared" si="78"/>
        <v>0.05628401691</v>
      </c>
      <c r="I420" s="384">
        <f t="shared" si="78"/>
        <v>0.05909821775</v>
      </c>
      <c r="J420" s="384">
        <f t="shared" si="78"/>
        <v>0.06205312864</v>
      </c>
      <c r="K420" s="384">
        <f t="shared" si="78"/>
        <v>0.06515578507</v>
      </c>
      <c r="L420" s="384">
        <f t="shared" si="78"/>
        <v>0.06841357432</v>
      </c>
      <c r="M420" s="384">
        <f t="shared" si="78"/>
        <v>0.07183425304</v>
      </c>
      <c r="N420" s="384">
        <f t="shared" si="78"/>
        <v>0.07542596569</v>
      </c>
      <c r="O420" s="384">
        <f t="shared" si="78"/>
        <v>0.07919726398</v>
      </c>
      <c r="P420" s="384">
        <f t="shared" si="78"/>
        <v>0.08315712718</v>
      </c>
      <c r="Q420" s="384">
        <f t="shared" si="78"/>
        <v>0.08731498354</v>
      </c>
      <c r="R420" s="384">
        <f t="shared" si="78"/>
        <v>0.09168073271</v>
      </c>
      <c r="S420" s="384">
        <f t="shared" si="78"/>
        <v>0.09626476935</v>
      </c>
      <c r="T420" s="384">
        <f t="shared" si="78"/>
        <v>0.1010780078</v>
      </c>
      <c r="U420" s="384">
        <f t="shared" si="78"/>
        <v>0.1061319082</v>
      </c>
      <c r="V420" s="384">
        <f t="shared" si="78"/>
        <v>0.1114385036</v>
      </c>
      <c r="W420" s="384">
        <f t="shared" si="78"/>
        <v>0.1170104288</v>
      </c>
      <c r="X420" s="384">
        <f t="shared" si="78"/>
        <v>0.1228609502</v>
      </c>
      <c r="Y420" s="384">
        <f t="shared" si="78"/>
        <v>0.1290039977</v>
      </c>
      <c r="Z420" s="384">
        <f t="shared" si="78"/>
        <v>0.1354541976</v>
      </c>
      <c r="AA420" s="384">
        <f t="shared" si="78"/>
        <v>0.1422269075</v>
      </c>
      <c r="AB420" s="384">
        <f t="shared" si="78"/>
        <v>0.1493382529</v>
      </c>
      <c r="AC420" s="384">
        <f t="shared" si="78"/>
        <v>0.1568051655</v>
      </c>
      <c r="AD420" s="384">
        <f t="shared" si="78"/>
        <v>0.1646454238</v>
      </c>
      <c r="AE420" s="384">
        <f t="shared" si="78"/>
        <v>0.172877695</v>
      </c>
      <c r="AF420" s="372"/>
      <c r="AG420" s="372"/>
      <c r="AH420" s="372"/>
      <c r="AI420" s="372"/>
      <c r="AJ420" s="372"/>
    </row>
    <row r="421" ht="15.75" customHeight="1">
      <c r="A421" s="372"/>
      <c r="B421" s="372"/>
      <c r="C421" s="372"/>
      <c r="D421" s="372"/>
      <c r="E421" s="372"/>
      <c r="F421" s="372"/>
      <c r="G421" s="372"/>
      <c r="H421" s="372"/>
      <c r="I421" s="372"/>
      <c r="J421" s="372"/>
      <c r="K421" s="372"/>
      <c r="L421" s="372"/>
      <c r="M421" s="372"/>
      <c r="N421" s="372"/>
      <c r="O421" s="372"/>
      <c r="P421" s="372"/>
      <c r="Q421" s="372"/>
      <c r="R421" s="372"/>
      <c r="S421" s="372"/>
      <c r="T421" s="372"/>
      <c r="U421" s="372"/>
      <c r="V421" s="372"/>
      <c r="W421" s="372"/>
      <c r="X421" s="372"/>
      <c r="Y421" s="372"/>
      <c r="Z421" s="372"/>
      <c r="AA421" s="372"/>
      <c r="AB421" s="372"/>
      <c r="AC421" s="372"/>
      <c r="AD421" s="372"/>
      <c r="AE421" s="372"/>
      <c r="AF421" s="372"/>
      <c r="AG421" s="372"/>
      <c r="AH421" s="372"/>
      <c r="AI421" s="372"/>
      <c r="AJ421" s="372"/>
    </row>
    <row r="422" ht="15.75" customHeight="1">
      <c r="A422" s="372" t="s">
        <v>1957</v>
      </c>
      <c r="B422" s="372">
        <v>1.0</v>
      </c>
      <c r="C422" s="372">
        <v>2.0</v>
      </c>
      <c r="D422" s="372">
        <v>3.0</v>
      </c>
      <c r="E422" s="372">
        <v>4.0</v>
      </c>
      <c r="F422" s="372">
        <v>5.0</v>
      </c>
      <c r="G422" s="372">
        <v>6.0</v>
      </c>
      <c r="H422" s="372">
        <v>7.0</v>
      </c>
      <c r="I422" s="372">
        <v>8.0</v>
      </c>
      <c r="J422" s="372">
        <v>9.0</v>
      </c>
      <c r="K422" s="372">
        <v>10.0</v>
      </c>
      <c r="L422" s="372">
        <v>11.0</v>
      </c>
      <c r="M422" s="372">
        <v>12.0</v>
      </c>
      <c r="N422" s="372">
        <v>13.0</v>
      </c>
      <c r="O422" s="372">
        <v>14.0</v>
      </c>
      <c r="P422" s="372">
        <v>15.0</v>
      </c>
      <c r="Q422" s="372">
        <v>16.0</v>
      </c>
      <c r="R422" s="372">
        <v>17.0</v>
      </c>
      <c r="S422" s="372">
        <v>18.0</v>
      </c>
      <c r="T422" s="372">
        <v>19.0</v>
      </c>
      <c r="U422" s="372">
        <v>20.0</v>
      </c>
      <c r="V422" s="372">
        <v>21.0</v>
      </c>
      <c r="W422" s="372">
        <v>22.0</v>
      </c>
      <c r="X422" s="372">
        <v>23.0</v>
      </c>
      <c r="Y422" s="372">
        <v>24.0</v>
      </c>
      <c r="Z422" s="372">
        <v>25.0</v>
      </c>
      <c r="AA422" s="372">
        <v>26.0</v>
      </c>
      <c r="AB422" s="372">
        <v>27.0</v>
      </c>
      <c r="AC422" s="372">
        <v>28.0</v>
      </c>
      <c r="AD422" s="372">
        <v>29.0</v>
      </c>
      <c r="AE422" s="372">
        <v>30.0</v>
      </c>
      <c r="AF422" s="372"/>
      <c r="AG422" s="372"/>
      <c r="AH422" s="372"/>
      <c r="AI422" s="372"/>
      <c r="AJ422" s="372"/>
    </row>
    <row r="423" ht="15.75" customHeight="1">
      <c r="A423" s="1" t="s">
        <v>217</v>
      </c>
      <c r="B423" s="1">
        <v>0.0</v>
      </c>
      <c r="C423" s="1">
        <v>0.0</v>
      </c>
      <c r="D423" s="1">
        <v>0.0</v>
      </c>
      <c r="E423" s="1">
        <v>0.0</v>
      </c>
      <c r="F423" s="1">
        <v>0.0</v>
      </c>
      <c r="G423" s="1">
        <v>0.0</v>
      </c>
      <c r="H423" s="1">
        <v>0.0</v>
      </c>
      <c r="I423" s="1">
        <v>0.0</v>
      </c>
      <c r="J423" s="1">
        <v>0.0</v>
      </c>
      <c r="K423" s="1">
        <v>0.0</v>
      </c>
      <c r="L423" s="1">
        <v>0.0</v>
      </c>
      <c r="M423" s="1">
        <v>0.0</v>
      </c>
      <c r="N423" s="1">
        <v>0.0</v>
      </c>
      <c r="O423" s="1">
        <v>0.0</v>
      </c>
      <c r="P423" s="1">
        <v>0.0</v>
      </c>
      <c r="Q423" s="1">
        <v>0.0</v>
      </c>
      <c r="R423" s="1">
        <v>0.0</v>
      </c>
      <c r="S423" s="1">
        <v>0.0</v>
      </c>
      <c r="T423" s="1">
        <v>0.0</v>
      </c>
      <c r="U423" s="1">
        <v>0.0</v>
      </c>
      <c r="V423" s="1">
        <v>0.0</v>
      </c>
      <c r="W423" s="1">
        <v>0.0</v>
      </c>
      <c r="X423" s="1">
        <v>0.0</v>
      </c>
      <c r="Y423" s="1">
        <v>0.0</v>
      </c>
      <c r="Z423" s="1">
        <v>0.0</v>
      </c>
      <c r="AA423" s="1">
        <v>0.0</v>
      </c>
      <c r="AB423" s="1">
        <v>0.0</v>
      </c>
      <c r="AC423" s="1">
        <v>0.0</v>
      </c>
      <c r="AD423" s="1">
        <v>0.0</v>
      </c>
      <c r="AE423" s="1">
        <v>0.0</v>
      </c>
      <c r="AF423" s="372"/>
      <c r="AG423" s="372"/>
      <c r="AH423" s="372"/>
      <c r="AI423" s="372"/>
      <c r="AJ423" s="372"/>
    </row>
    <row r="424" ht="15.75" customHeight="1">
      <c r="A424" s="386" t="s">
        <v>218</v>
      </c>
      <c r="B424" s="1">
        <v>0.0</v>
      </c>
      <c r="C424" s="387">
        <f t="array" ref="C424">INDEX($A$418:$AE$420,MATCH(Annual_Prem,$A$418:$A$420,1),MATCH(B422,$A$418:$AE$418,0))/12</f>
        <v>0</v>
      </c>
      <c r="D424" s="387">
        <f t="array" ref="D424">INDEX($A$418:$AE$420,MATCH(Annual_Prem,$A$418:$A$420,1),MATCH(C422,$A$418:$AE$418,0))/12</f>
        <v>0.003675</v>
      </c>
      <c r="E424" s="387">
        <f t="array" ref="E424">INDEX($A$418:$AE$420,MATCH(Annual_Prem,$A$418:$A$420,1),MATCH(D422,$A$418:$AE$418,0))/12</f>
        <v>0.00385875</v>
      </c>
      <c r="F424" s="387">
        <f t="array" ref="F424">INDEX($A$418:$AE$420,MATCH(Annual_Prem,$A$418:$A$420,1),MATCH(E422,$A$418:$AE$418,0))/12</f>
        <v>0.0040516875</v>
      </c>
      <c r="G424" s="387">
        <f t="array" ref="G424">INDEX($A$418:$AE$420,MATCH(Annual_Prem,$A$418:$A$420,1),MATCH(F422,$A$418:$AE$418,0))/12</f>
        <v>0.004254271875</v>
      </c>
      <c r="H424" s="387">
        <f t="array" ref="H424">INDEX($A$418:$AE$420,MATCH(Annual_Prem,$A$418:$A$420,1),MATCH(G422,$A$418:$AE$418,0))/12</f>
        <v>0.004466985469</v>
      </c>
      <c r="I424" s="387">
        <f t="array" ref="I424">INDEX($A$418:$AE$420,MATCH(Annual_Prem,$A$418:$A$420,1),MATCH(H422,$A$418:$AE$418,0))/12</f>
        <v>0.004690334742</v>
      </c>
      <c r="J424" s="387">
        <f t="array" ref="J424">INDEX($A$418:$AE$420,MATCH(Annual_Prem,$A$418:$A$420,1),MATCH(I422,$A$418:$AE$418,0))/12</f>
        <v>0.004924851479</v>
      </c>
      <c r="K424" s="387">
        <f t="array" ref="K424">INDEX($A$418:$AE$420,MATCH(Annual_Prem,$A$418:$A$420,1),MATCH(J422,$A$418:$AE$418,0))/12</f>
        <v>0.005171094053</v>
      </c>
      <c r="L424" s="387">
        <f t="array" ref="L424">INDEX($A$418:$AE$420,MATCH(Annual_Prem,$A$418:$A$420,1),MATCH(K422,$A$418:$AE$418,0))/12</f>
        <v>0.005429648756</v>
      </c>
      <c r="M424" s="387">
        <f t="array" ref="M424">INDEX($A$418:$AE$420,MATCH(Annual_Prem,$A$418:$A$420,1),MATCH(L422,$A$418:$AE$418,0))/12</f>
        <v>0.005701131194</v>
      </c>
      <c r="N424" s="387">
        <f t="array" ref="N424">INDEX($A$418:$AE$420,MATCH(Annual_Prem,$A$418:$A$420,1),MATCH(M422,$A$418:$AE$418,0))/12</f>
        <v>0.005986187753</v>
      </c>
      <c r="O424" s="387">
        <f t="array" ref="O424">INDEX($A$418:$AE$420,MATCH(Annual_Prem,$A$418:$A$420,1),MATCH(N422,$A$418:$AE$418,0))/12</f>
        <v>0.006285497141</v>
      </c>
      <c r="P424" s="387">
        <f t="array" ref="P424">INDEX($A$418:$AE$420,MATCH(Annual_Prem,$A$418:$A$420,1),MATCH(O422,$A$418:$AE$418,0))/12</f>
        <v>0.006599771998</v>
      </c>
      <c r="Q424" s="387">
        <f t="array" ref="Q424">INDEX($A$418:$AE$420,MATCH(Annual_Prem,$A$418:$A$420,1),MATCH(P422,$A$418:$AE$418,0))/12</f>
        <v>0.006929760598</v>
      </c>
      <c r="R424" s="387">
        <f t="array" ref="R424">INDEX($A$418:$AE$420,MATCH(Annual_Prem,$A$418:$A$420,1),MATCH(Q422,$A$418:$AE$418,0))/12</f>
        <v>0.007276248628</v>
      </c>
      <c r="S424" s="387">
        <f t="array" ref="S424">INDEX($A$418:$AE$420,MATCH(Annual_Prem,$A$418:$A$420,1),MATCH(R422,$A$418:$AE$418,0))/12</f>
        <v>0.007640061059</v>
      </c>
      <c r="T424" s="387">
        <f t="array" ref="T424">INDEX($A$418:$AE$420,MATCH(Annual_Prem,$A$418:$A$420,1),MATCH(S422,$A$418:$AE$418,0))/12</f>
        <v>0.008022064112</v>
      </c>
      <c r="U424" s="387">
        <f t="array" ref="U424">INDEX($A$418:$AE$420,MATCH(Annual_Prem,$A$418:$A$420,1),MATCH(T422,$A$418:$AE$418,0))/12</f>
        <v>0.008423167318</v>
      </c>
      <c r="V424" s="387">
        <f t="array" ref="V424">INDEX($A$418:$AE$420,MATCH(Annual_Prem,$A$418:$A$420,1),MATCH(U422,$A$418:$AE$418,0))/12</f>
        <v>0.008844325684</v>
      </c>
      <c r="W424" s="387">
        <f t="array" ref="W424">INDEX($A$418:$AE$420,MATCH(Annual_Prem,$A$418:$A$420,1),MATCH(V422,$A$418:$AE$418,0))/12</f>
        <v>0.009286541968</v>
      </c>
      <c r="X424" s="387">
        <f t="array" ref="X424">INDEX($A$418:$AE$420,MATCH(Annual_Prem,$A$418:$A$420,1),MATCH(W422,$A$418:$AE$418,0))/12</f>
        <v>0.009750869066</v>
      </c>
      <c r="Y424" s="387">
        <f t="array" ref="Y424">INDEX($A$418:$AE$420,MATCH(Annual_Prem,$A$418:$A$420,1),MATCH(X422,$A$418:$AE$418,0))/12</f>
        <v>0.01023841252</v>
      </c>
      <c r="Z424" s="387">
        <f t="array" ref="Z424">INDEX($A$418:$AE$420,MATCH(Annual_Prem,$A$418:$A$420,1),MATCH(Y422,$A$418:$AE$418,0))/12</f>
        <v>0.01075033315</v>
      </c>
      <c r="AA424" s="387">
        <f t="array" ref="AA424">INDEX($A$418:$AE$420,MATCH(Annual_Prem,$A$418:$A$420,1),MATCH(Z422,$A$418:$AE$418,0))/12</f>
        <v>0.0112878498</v>
      </c>
      <c r="AB424" s="387">
        <f t="array" ref="AB424">INDEX($A$418:$AE$420,MATCH(Annual_Prem,$A$418:$A$420,1),MATCH(AA422,$A$418:$AE$418,0))/12</f>
        <v>0.01185224229</v>
      </c>
      <c r="AC424" s="387">
        <f t="array" ref="AC424">INDEX($A$418:$AE$420,MATCH(Annual_Prem,$A$418:$A$420,1),MATCH(AB422,$A$418:$AE$418,0))/12</f>
        <v>0.01244485441</v>
      </c>
      <c r="AD424" s="387">
        <f t="array" ref="AD424">INDEX($A$418:$AE$420,MATCH(Annual_Prem,$A$418:$A$420,1),MATCH(AC422,$A$418:$AE$418,0))/12</f>
        <v>0.01306709713</v>
      </c>
      <c r="AE424" s="387">
        <f t="array" ref="AE424">INDEX($A$418:$AE$420,MATCH(Annual_Prem,$A$418:$A$420,1),MATCH(AD422,$A$418:$AE$418,0))/12</f>
        <v>0.01372045198</v>
      </c>
      <c r="AF424" s="372"/>
      <c r="AG424" s="372"/>
      <c r="AH424" s="372"/>
      <c r="AI424" s="372"/>
      <c r="AJ424" s="372"/>
    </row>
    <row r="425" ht="15.75" customHeight="1">
      <c r="A425" s="380" t="s">
        <v>962</v>
      </c>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c r="AA425" s="36"/>
      <c r="AB425" s="36"/>
      <c r="AC425" s="36"/>
      <c r="AD425" s="36"/>
      <c r="AE425" s="36"/>
      <c r="AF425" s="36"/>
      <c r="AG425" s="36"/>
      <c r="AH425" s="36"/>
      <c r="AI425" s="36"/>
      <c r="AJ425" s="36"/>
    </row>
    <row r="426" ht="15.75" customHeight="1">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c r="AA426" s="36"/>
      <c r="AB426" s="36"/>
      <c r="AC426" s="36"/>
      <c r="AD426" s="36"/>
      <c r="AE426" s="36"/>
      <c r="AF426" s="36"/>
      <c r="AG426" s="36"/>
      <c r="AH426" s="36"/>
      <c r="AI426" s="36"/>
      <c r="AJ426" s="36"/>
    </row>
    <row r="427" ht="15.75" customHeight="1">
      <c r="A427" s="36" t="s">
        <v>215</v>
      </c>
      <c r="B427" s="36">
        <v>1.0</v>
      </c>
      <c r="C427" s="36">
        <v>2.0</v>
      </c>
      <c r="D427" s="36">
        <v>3.0</v>
      </c>
      <c r="E427" s="36">
        <v>4.0</v>
      </c>
      <c r="F427" s="36">
        <v>5.0</v>
      </c>
      <c r="G427" s="36">
        <v>6.0</v>
      </c>
      <c r="H427" s="36">
        <v>7.0</v>
      </c>
      <c r="I427" s="36">
        <v>8.0</v>
      </c>
      <c r="J427" s="36">
        <v>9.0</v>
      </c>
      <c r="K427" s="36">
        <v>10.0</v>
      </c>
      <c r="L427" s="36">
        <v>11.0</v>
      </c>
      <c r="M427" s="36">
        <v>12.0</v>
      </c>
      <c r="N427" s="36">
        <v>13.0</v>
      </c>
      <c r="O427" s="36">
        <v>14.0</v>
      </c>
      <c r="P427" s="36">
        <v>15.0</v>
      </c>
      <c r="Q427" s="36">
        <v>16.0</v>
      </c>
      <c r="R427" s="36">
        <v>17.0</v>
      </c>
      <c r="S427" s="36">
        <v>18.0</v>
      </c>
      <c r="T427" s="36">
        <v>19.0</v>
      </c>
      <c r="U427" s="36">
        <v>20.0</v>
      </c>
      <c r="V427" s="36">
        <v>21.0</v>
      </c>
      <c r="W427" s="36">
        <v>22.0</v>
      </c>
      <c r="X427" s="36">
        <v>23.0</v>
      </c>
      <c r="Y427" s="36">
        <v>24.0</v>
      </c>
      <c r="Z427" s="36">
        <v>25.0</v>
      </c>
      <c r="AA427" s="36">
        <v>26.0</v>
      </c>
      <c r="AB427" s="36">
        <v>27.0</v>
      </c>
      <c r="AC427" s="36">
        <v>28.0</v>
      </c>
      <c r="AD427" s="36">
        <v>29.0</v>
      </c>
      <c r="AE427" s="36">
        <v>30.0</v>
      </c>
      <c r="AF427" s="36"/>
      <c r="AG427" s="36"/>
      <c r="AH427" s="36"/>
      <c r="AI427" s="36"/>
      <c r="AJ427" s="36"/>
    </row>
    <row r="428" ht="15.75" customHeight="1">
      <c r="A428" s="12" t="s">
        <v>217</v>
      </c>
      <c r="B428" s="36">
        <f>720/12</f>
        <v>60</v>
      </c>
      <c r="C428" s="36">
        <f t="shared" ref="C428:AE428" si="79">B428*1.05</f>
        <v>63</v>
      </c>
      <c r="D428" s="36">
        <f t="shared" si="79"/>
        <v>66.15</v>
      </c>
      <c r="E428" s="36">
        <f t="shared" si="79"/>
        <v>69.4575</v>
      </c>
      <c r="F428" s="36">
        <f t="shared" si="79"/>
        <v>72.930375</v>
      </c>
      <c r="G428" s="36">
        <f t="shared" si="79"/>
        <v>76.57689375</v>
      </c>
      <c r="H428" s="36">
        <f t="shared" si="79"/>
        <v>80.40573844</v>
      </c>
      <c r="I428" s="36">
        <f t="shared" si="79"/>
        <v>84.42602536</v>
      </c>
      <c r="J428" s="36">
        <f t="shared" si="79"/>
        <v>88.64732663</v>
      </c>
      <c r="K428" s="36">
        <f t="shared" si="79"/>
        <v>93.07969296</v>
      </c>
      <c r="L428" s="36">
        <f t="shared" si="79"/>
        <v>97.73367761</v>
      </c>
      <c r="M428" s="36">
        <f t="shared" si="79"/>
        <v>102.6203615</v>
      </c>
      <c r="N428" s="36">
        <f t="shared" si="79"/>
        <v>107.7513796</v>
      </c>
      <c r="O428" s="36">
        <f t="shared" si="79"/>
        <v>113.1389485</v>
      </c>
      <c r="P428" s="36">
        <f t="shared" si="79"/>
        <v>118.795896</v>
      </c>
      <c r="Q428" s="36">
        <f t="shared" si="79"/>
        <v>124.7356908</v>
      </c>
      <c r="R428" s="36">
        <f t="shared" si="79"/>
        <v>130.9724753</v>
      </c>
      <c r="S428" s="36">
        <f t="shared" si="79"/>
        <v>137.5210991</v>
      </c>
      <c r="T428" s="36">
        <f t="shared" si="79"/>
        <v>144.397154</v>
      </c>
      <c r="U428" s="36">
        <f t="shared" si="79"/>
        <v>151.6170117</v>
      </c>
      <c r="V428" s="36">
        <f t="shared" si="79"/>
        <v>159.1978623</v>
      </c>
      <c r="W428" s="36">
        <f t="shared" si="79"/>
        <v>167.1577554</v>
      </c>
      <c r="X428" s="36">
        <f t="shared" si="79"/>
        <v>175.5156432</v>
      </c>
      <c r="Y428" s="36">
        <f t="shared" si="79"/>
        <v>184.2914254</v>
      </c>
      <c r="Z428" s="36">
        <f t="shared" si="79"/>
        <v>193.5059966</v>
      </c>
      <c r="AA428" s="36">
        <f t="shared" si="79"/>
        <v>203.1812965</v>
      </c>
      <c r="AB428" s="36">
        <f t="shared" si="79"/>
        <v>213.3403613</v>
      </c>
      <c r="AC428" s="36">
        <f t="shared" si="79"/>
        <v>224.0073793</v>
      </c>
      <c r="AD428" s="36">
        <f t="shared" si="79"/>
        <v>235.2077483</v>
      </c>
      <c r="AE428" s="36">
        <f t="shared" si="79"/>
        <v>246.9681357</v>
      </c>
      <c r="AF428" s="36"/>
      <c r="AG428" s="36"/>
      <c r="AH428" s="36"/>
      <c r="AI428" s="36"/>
      <c r="AJ428" s="36"/>
    </row>
    <row r="429" ht="15.75" customHeight="1">
      <c r="A429" s="370" t="s">
        <v>218</v>
      </c>
      <c r="B429" s="12">
        <v>0.0</v>
      </c>
      <c r="C429" s="12">
        <v>0.0</v>
      </c>
      <c r="D429" s="12">
        <v>0.0</v>
      </c>
      <c r="E429" s="12">
        <v>0.0</v>
      </c>
      <c r="F429" s="12">
        <v>0.0</v>
      </c>
      <c r="G429" s="12">
        <v>0.0</v>
      </c>
      <c r="H429" s="12">
        <v>0.0</v>
      </c>
      <c r="I429" s="12">
        <v>0.0</v>
      </c>
      <c r="J429" s="12">
        <v>0.0</v>
      </c>
      <c r="K429" s="12">
        <v>0.0</v>
      </c>
      <c r="L429" s="12">
        <v>0.0</v>
      </c>
      <c r="M429" s="12">
        <v>0.0</v>
      </c>
      <c r="N429" s="12">
        <v>0.0</v>
      </c>
      <c r="O429" s="12">
        <v>0.0</v>
      </c>
      <c r="P429" s="12">
        <v>0.0</v>
      </c>
      <c r="Q429" s="12">
        <v>0.0</v>
      </c>
      <c r="R429" s="12">
        <v>0.0</v>
      </c>
      <c r="S429" s="12">
        <v>0.0</v>
      </c>
      <c r="T429" s="12">
        <v>0.0</v>
      </c>
      <c r="U429" s="12">
        <v>0.0</v>
      </c>
      <c r="V429" s="12">
        <v>0.0</v>
      </c>
      <c r="W429" s="12">
        <v>0.0</v>
      </c>
      <c r="X429" s="12">
        <v>0.0</v>
      </c>
      <c r="Y429" s="12">
        <v>0.0</v>
      </c>
      <c r="Z429" s="12">
        <v>0.0</v>
      </c>
      <c r="AA429" s="12">
        <v>0.0</v>
      </c>
      <c r="AB429" s="12">
        <v>0.0</v>
      </c>
      <c r="AC429" s="12">
        <v>0.0</v>
      </c>
      <c r="AD429" s="12">
        <v>0.0</v>
      </c>
      <c r="AE429" s="12">
        <v>0.0</v>
      </c>
      <c r="AF429" s="36"/>
      <c r="AG429" s="36"/>
      <c r="AH429" s="36"/>
      <c r="AI429" s="36"/>
      <c r="AJ429" s="36"/>
    </row>
    <row r="430" ht="15.75" customHeight="1">
      <c r="A430" s="380" t="s">
        <v>965</v>
      </c>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c r="AA430" s="36"/>
      <c r="AB430" s="36"/>
      <c r="AC430" s="36"/>
      <c r="AD430" s="36"/>
      <c r="AE430" s="36"/>
      <c r="AF430" s="36"/>
      <c r="AG430" s="36"/>
      <c r="AH430" s="36"/>
      <c r="AI430" s="36"/>
      <c r="AJ430" s="36"/>
    </row>
    <row r="431" ht="15.75" customHeight="1">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c r="AA431" s="36"/>
      <c r="AB431" s="36"/>
      <c r="AC431" s="36"/>
      <c r="AD431" s="36"/>
      <c r="AE431" s="36"/>
      <c r="AF431" s="36"/>
      <c r="AG431" s="36"/>
      <c r="AH431" s="36"/>
      <c r="AI431" s="36"/>
      <c r="AJ431" s="36"/>
    </row>
    <row r="432" ht="15.75" customHeight="1">
      <c r="A432" s="36" t="s">
        <v>215</v>
      </c>
      <c r="B432" s="36">
        <v>1.0</v>
      </c>
      <c r="C432" s="36">
        <v>2.0</v>
      </c>
      <c r="D432" s="36">
        <v>3.0</v>
      </c>
      <c r="E432" s="36">
        <v>4.0</v>
      </c>
      <c r="F432" s="36">
        <v>5.0</v>
      </c>
      <c r="G432" s="36">
        <v>6.0</v>
      </c>
      <c r="H432" s="36">
        <v>7.0</v>
      </c>
      <c r="I432" s="36">
        <v>8.0</v>
      </c>
      <c r="J432" s="36">
        <v>9.0</v>
      </c>
      <c r="K432" s="36">
        <v>10.0</v>
      </c>
      <c r="L432" s="36">
        <v>11.0</v>
      </c>
      <c r="M432" s="36">
        <v>12.0</v>
      </c>
      <c r="N432" s="36">
        <v>13.0</v>
      </c>
      <c r="O432" s="36">
        <v>14.0</v>
      </c>
      <c r="P432" s="36">
        <v>15.0</v>
      </c>
      <c r="Q432" s="36">
        <v>16.0</v>
      </c>
      <c r="R432" s="36">
        <v>17.0</v>
      </c>
      <c r="S432" s="36">
        <v>18.0</v>
      </c>
      <c r="T432" s="36">
        <v>19.0</v>
      </c>
      <c r="U432" s="36">
        <v>20.0</v>
      </c>
      <c r="V432" s="36">
        <v>21.0</v>
      </c>
      <c r="W432" s="36">
        <v>22.0</v>
      </c>
      <c r="X432" s="36">
        <v>23.0</v>
      </c>
      <c r="Y432" s="36">
        <v>24.0</v>
      </c>
      <c r="Z432" s="36">
        <v>25.0</v>
      </c>
      <c r="AA432" s="36">
        <v>26.0</v>
      </c>
      <c r="AB432" s="36">
        <v>27.0</v>
      </c>
      <c r="AC432" s="36">
        <v>28.0</v>
      </c>
      <c r="AD432" s="36">
        <v>29.0</v>
      </c>
      <c r="AE432" s="36">
        <v>30.0</v>
      </c>
      <c r="AF432" s="36"/>
      <c r="AG432" s="36"/>
      <c r="AH432" s="36"/>
      <c r="AI432" s="36"/>
      <c r="AJ432" s="36"/>
    </row>
    <row r="433" ht="15.75" customHeight="1">
      <c r="A433" s="12" t="s">
        <v>217</v>
      </c>
      <c r="B433" s="36">
        <f>720/12</f>
        <v>60</v>
      </c>
      <c r="C433" s="36">
        <f t="shared" ref="C433:AE433" si="80">B433*1.05</f>
        <v>63</v>
      </c>
      <c r="D433" s="36">
        <f t="shared" si="80"/>
        <v>66.15</v>
      </c>
      <c r="E433" s="36">
        <f t="shared" si="80"/>
        <v>69.4575</v>
      </c>
      <c r="F433" s="36">
        <f t="shared" si="80"/>
        <v>72.930375</v>
      </c>
      <c r="G433" s="36">
        <f t="shared" si="80"/>
        <v>76.57689375</v>
      </c>
      <c r="H433" s="36">
        <f t="shared" si="80"/>
        <v>80.40573844</v>
      </c>
      <c r="I433" s="36">
        <f t="shared" si="80"/>
        <v>84.42602536</v>
      </c>
      <c r="J433" s="36">
        <f t="shared" si="80"/>
        <v>88.64732663</v>
      </c>
      <c r="K433" s="36">
        <f t="shared" si="80"/>
        <v>93.07969296</v>
      </c>
      <c r="L433" s="36">
        <f t="shared" si="80"/>
        <v>97.73367761</v>
      </c>
      <c r="M433" s="36">
        <f t="shared" si="80"/>
        <v>102.6203615</v>
      </c>
      <c r="N433" s="36">
        <f t="shared" si="80"/>
        <v>107.7513796</v>
      </c>
      <c r="O433" s="36">
        <f t="shared" si="80"/>
        <v>113.1389485</v>
      </c>
      <c r="P433" s="36">
        <f t="shared" si="80"/>
        <v>118.795896</v>
      </c>
      <c r="Q433" s="36">
        <f t="shared" si="80"/>
        <v>124.7356908</v>
      </c>
      <c r="R433" s="36">
        <f t="shared" si="80"/>
        <v>130.9724753</v>
      </c>
      <c r="S433" s="36">
        <f t="shared" si="80"/>
        <v>137.5210991</v>
      </c>
      <c r="T433" s="36">
        <f t="shared" si="80"/>
        <v>144.397154</v>
      </c>
      <c r="U433" s="36">
        <f t="shared" si="80"/>
        <v>151.6170117</v>
      </c>
      <c r="V433" s="36">
        <f t="shared" si="80"/>
        <v>159.1978623</v>
      </c>
      <c r="W433" s="36">
        <f t="shared" si="80"/>
        <v>167.1577554</v>
      </c>
      <c r="X433" s="36">
        <f t="shared" si="80"/>
        <v>175.5156432</v>
      </c>
      <c r="Y433" s="36">
        <f t="shared" si="80"/>
        <v>184.2914254</v>
      </c>
      <c r="Z433" s="36">
        <f t="shared" si="80"/>
        <v>193.5059966</v>
      </c>
      <c r="AA433" s="36">
        <f t="shared" si="80"/>
        <v>203.1812965</v>
      </c>
      <c r="AB433" s="36">
        <f t="shared" si="80"/>
        <v>213.3403613</v>
      </c>
      <c r="AC433" s="36">
        <f t="shared" si="80"/>
        <v>224.0073793</v>
      </c>
      <c r="AD433" s="36">
        <f t="shared" si="80"/>
        <v>235.2077483</v>
      </c>
      <c r="AE433" s="36">
        <f t="shared" si="80"/>
        <v>246.9681357</v>
      </c>
      <c r="AF433" s="36"/>
      <c r="AG433" s="36"/>
      <c r="AH433" s="36"/>
      <c r="AI433" s="36"/>
      <c r="AJ433" s="36"/>
    </row>
    <row r="434" ht="15.75" customHeight="1">
      <c r="A434" s="370" t="s">
        <v>218</v>
      </c>
      <c r="B434" s="12">
        <v>0.0</v>
      </c>
      <c r="C434" s="12">
        <v>0.0</v>
      </c>
      <c r="D434" s="12">
        <v>0.0</v>
      </c>
      <c r="E434" s="12">
        <v>0.0</v>
      </c>
      <c r="F434" s="12">
        <v>0.0</v>
      </c>
      <c r="G434" s="12">
        <v>0.0</v>
      </c>
      <c r="H434" s="12">
        <v>0.0</v>
      </c>
      <c r="I434" s="12">
        <v>0.0</v>
      </c>
      <c r="J434" s="12">
        <v>0.0</v>
      </c>
      <c r="K434" s="12">
        <v>0.0</v>
      </c>
      <c r="L434" s="12">
        <v>0.0</v>
      </c>
      <c r="M434" s="12">
        <v>0.0</v>
      </c>
      <c r="N434" s="12">
        <v>0.0</v>
      </c>
      <c r="O434" s="12">
        <v>0.0</v>
      </c>
      <c r="P434" s="12">
        <v>0.0</v>
      </c>
      <c r="Q434" s="12">
        <v>0.0</v>
      </c>
      <c r="R434" s="12">
        <v>0.0</v>
      </c>
      <c r="S434" s="12">
        <v>0.0</v>
      </c>
      <c r="T434" s="12">
        <v>0.0</v>
      </c>
      <c r="U434" s="12">
        <v>0.0</v>
      </c>
      <c r="V434" s="12">
        <v>0.0</v>
      </c>
      <c r="W434" s="12">
        <v>0.0</v>
      </c>
      <c r="X434" s="12">
        <v>0.0</v>
      </c>
      <c r="Y434" s="12">
        <v>0.0</v>
      </c>
      <c r="Z434" s="12">
        <v>0.0</v>
      </c>
      <c r="AA434" s="12">
        <v>0.0</v>
      </c>
      <c r="AB434" s="12">
        <v>0.0</v>
      </c>
      <c r="AC434" s="12">
        <v>0.0</v>
      </c>
      <c r="AD434" s="12">
        <v>0.0</v>
      </c>
      <c r="AE434" s="12">
        <v>0.0</v>
      </c>
      <c r="AF434" s="36"/>
      <c r="AG434" s="36"/>
      <c r="AH434" s="36"/>
      <c r="AI434" s="36"/>
      <c r="AJ434" s="36"/>
    </row>
    <row r="435" ht="15.75" customHeight="1">
      <c r="A435" s="380" t="s">
        <v>970</v>
      </c>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c r="AA435" s="36"/>
      <c r="AB435" s="36"/>
      <c r="AC435" s="36"/>
      <c r="AD435" s="36"/>
      <c r="AE435" s="36"/>
      <c r="AF435" s="36"/>
      <c r="AG435" s="36"/>
      <c r="AH435" s="36"/>
      <c r="AI435" s="36"/>
      <c r="AJ435" s="36"/>
    </row>
    <row r="436" ht="15.75" customHeight="1">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c r="AA436" s="36"/>
      <c r="AB436" s="36"/>
      <c r="AC436" s="36"/>
      <c r="AD436" s="36"/>
      <c r="AE436" s="36"/>
      <c r="AF436" s="36"/>
      <c r="AG436" s="36"/>
      <c r="AH436" s="36"/>
      <c r="AI436" s="36"/>
      <c r="AJ436" s="36"/>
    </row>
    <row r="437" ht="15.75" customHeight="1">
      <c r="A437" s="36" t="s">
        <v>215</v>
      </c>
      <c r="B437" s="36">
        <v>1.0</v>
      </c>
      <c r="C437" s="36">
        <v>2.0</v>
      </c>
      <c r="D437" s="36">
        <v>3.0</v>
      </c>
      <c r="E437" s="36">
        <v>4.0</v>
      </c>
      <c r="F437" s="36">
        <v>5.0</v>
      </c>
      <c r="G437" s="36">
        <v>6.0</v>
      </c>
      <c r="H437" s="36">
        <v>7.0</v>
      </c>
      <c r="I437" s="36">
        <v>8.0</v>
      </c>
      <c r="J437" s="36">
        <v>9.0</v>
      </c>
      <c r="K437" s="36">
        <v>10.0</v>
      </c>
      <c r="L437" s="36">
        <v>11.0</v>
      </c>
      <c r="M437" s="36">
        <v>12.0</v>
      </c>
      <c r="N437" s="36">
        <v>13.0</v>
      </c>
      <c r="O437" s="36">
        <v>14.0</v>
      </c>
      <c r="P437" s="36">
        <v>15.0</v>
      </c>
      <c r="Q437" s="36">
        <v>16.0</v>
      </c>
      <c r="R437" s="36">
        <v>17.0</v>
      </c>
      <c r="S437" s="36">
        <v>18.0</v>
      </c>
      <c r="T437" s="36">
        <v>19.0</v>
      </c>
      <c r="U437" s="36">
        <v>20.0</v>
      </c>
      <c r="V437" s="36">
        <v>21.0</v>
      </c>
      <c r="W437" s="36">
        <v>22.0</v>
      </c>
      <c r="X437" s="36">
        <v>23.0</v>
      </c>
      <c r="Y437" s="36">
        <v>24.0</v>
      </c>
      <c r="Z437" s="36">
        <v>25.0</v>
      </c>
      <c r="AA437" s="36">
        <v>26.0</v>
      </c>
      <c r="AB437" s="36">
        <v>27.0</v>
      </c>
      <c r="AC437" s="36">
        <v>28.0</v>
      </c>
      <c r="AD437" s="36">
        <v>29.0</v>
      </c>
      <c r="AE437" s="36">
        <v>30.0</v>
      </c>
      <c r="AF437" s="36"/>
      <c r="AG437" s="36"/>
      <c r="AH437" s="36"/>
      <c r="AI437" s="36"/>
      <c r="AJ437" s="36"/>
    </row>
    <row r="438" ht="15.75" customHeight="1">
      <c r="A438" s="12" t="s">
        <v>217</v>
      </c>
      <c r="B438" s="12">
        <v>0.0</v>
      </c>
      <c r="C438" s="12">
        <v>0.0</v>
      </c>
      <c r="D438" s="12">
        <v>0.0</v>
      </c>
      <c r="E438" s="12">
        <v>0.0</v>
      </c>
      <c r="F438" s="12">
        <v>0.0</v>
      </c>
      <c r="G438" s="12">
        <v>0.0</v>
      </c>
      <c r="H438" s="12">
        <v>0.0</v>
      </c>
      <c r="I438" s="12">
        <v>0.0</v>
      </c>
      <c r="J438" s="12">
        <v>0.0</v>
      </c>
      <c r="K438" s="12">
        <v>0.0</v>
      </c>
      <c r="L438" s="12">
        <v>0.0</v>
      </c>
      <c r="M438" s="12">
        <v>0.0</v>
      </c>
      <c r="N438" s="12">
        <v>0.0</v>
      </c>
      <c r="O438" s="12">
        <v>0.0</v>
      </c>
      <c r="P438" s="12">
        <v>0.0</v>
      </c>
      <c r="Q438" s="12">
        <v>0.0</v>
      </c>
      <c r="R438" s="12">
        <v>0.0</v>
      </c>
      <c r="S438" s="12">
        <v>0.0</v>
      </c>
      <c r="T438" s="12">
        <v>0.0</v>
      </c>
      <c r="U438" s="12">
        <v>0.0</v>
      </c>
      <c r="V438" s="12">
        <v>0.0</v>
      </c>
      <c r="W438" s="12">
        <v>0.0</v>
      </c>
      <c r="X438" s="12">
        <v>0.0</v>
      </c>
      <c r="Y438" s="12">
        <v>0.0</v>
      </c>
      <c r="Z438" s="12">
        <v>0.0</v>
      </c>
      <c r="AA438" s="12">
        <v>0.0</v>
      </c>
      <c r="AB438" s="12">
        <v>0.0</v>
      </c>
      <c r="AC438" s="12">
        <v>0.0</v>
      </c>
      <c r="AD438" s="12">
        <v>0.0</v>
      </c>
      <c r="AE438" s="12">
        <v>0.0</v>
      </c>
      <c r="AF438" s="36"/>
      <c r="AG438" s="36"/>
      <c r="AH438" s="36"/>
      <c r="AI438" s="36"/>
      <c r="AJ438" s="36"/>
    </row>
    <row r="439" ht="15.75" customHeight="1">
      <c r="A439" s="370" t="s">
        <v>218</v>
      </c>
      <c r="B439" s="36">
        <f>4%/12</f>
        <v>0.003333333333</v>
      </c>
      <c r="C439" s="36">
        <f t="shared" ref="C439:AE439" si="81">B439*1.05</f>
        <v>0.0035</v>
      </c>
      <c r="D439" s="36">
        <f t="shared" si="81"/>
        <v>0.003675</v>
      </c>
      <c r="E439" s="36">
        <f t="shared" si="81"/>
        <v>0.00385875</v>
      </c>
      <c r="F439" s="36">
        <f t="shared" si="81"/>
        <v>0.0040516875</v>
      </c>
      <c r="G439" s="36">
        <f t="shared" si="81"/>
        <v>0.004254271875</v>
      </c>
      <c r="H439" s="36">
        <f t="shared" si="81"/>
        <v>0.004466985469</v>
      </c>
      <c r="I439" s="36">
        <f t="shared" si="81"/>
        <v>0.004690334742</v>
      </c>
      <c r="J439" s="36">
        <f t="shared" si="81"/>
        <v>0.004924851479</v>
      </c>
      <c r="K439" s="36">
        <f t="shared" si="81"/>
        <v>0.005171094053</v>
      </c>
      <c r="L439" s="36">
        <f t="shared" si="81"/>
        <v>0.005429648756</v>
      </c>
      <c r="M439" s="36">
        <f t="shared" si="81"/>
        <v>0.005701131194</v>
      </c>
      <c r="N439" s="36">
        <f t="shared" si="81"/>
        <v>0.005986187753</v>
      </c>
      <c r="O439" s="36">
        <f t="shared" si="81"/>
        <v>0.006285497141</v>
      </c>
      <c r="P439" s="36">
        <f t="shared" si="81"/>
        <v>0.006599771998</v>
      </c>
      <c r="Q439" s="36">
        <f t="shared" si="81"/>
        <v>0.006929760598</v>
      </c>
      <c r="R439" s="36">
        <f t="shared" si="81"/>
        <v>0.007276248628</v>
      </c>
      <c r="S439" s="36">
        <f t="shared" si="81"/>
        <v>0.007640061059</v>
      </c>
      <c r="T439" s="36">
        <f t="shared" si="81"/>
        <v>0.008022064112</v>
      </c>
      <c r="U439" s="36">
        <f t="shared" si="81"/>
        <v>0.008423167318</v>
      </c>
      <c r="V439" s="36">
        <f t="shared" si="81"/>
        <v>0.008844325684</v>
      </c>
      <c r="W439" s="36">
        <f t="shared" si="81"/>
        <v>0.009286541968</v>
      </c>
      <c r="X439" s="36">
        <f t="shared" si="81"/>
        <v>0.009750869066</v>
      </c>
      <c r="Y439" s="36">
        <f t="shared" si="81"/>
        <v>0.01023841252</v>
      </c>
      <c r="Z439" s="36">
        <f t="shared" si="81"/>
        <v>0.01075033315</v>
      </c>
      <c r="AA439" s="36">
        <f t="shared" si="81"/>
        <v>0.0112878498</v>
      </c>
      <c r="AB439" s="36">
        <f t="shared" si="81"/>
        <v>0.01185224229</v>
      </c>
      <c r="AC439" s="36">
        <f t="shared" si="81"/>
        <v>0.01244485441</v>
      </c>
      <c r="AD439" s="36">
        <f t="shared" si="81"/>
        <v>0.01306709713</v>
      </c>
      <c r="AE439" s="36">
        <f t="shared" si="81"/>
        <v>0.01372045198</v>
      </c>
      <c r="AF439" s="36"/>
      <c r="AG439" s="36"/>
      <c r="AH439" s="36"/>
      <c r="AI439" s="36"/>
      <c r="AJ439" s="36"/>
    </row>
    <row r="440" ht="15.75" customHeight="1">
      <c r="A440" s="380" t="s">
        <v>974</v>
      </c>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c r="AA440" s="36"/>
      <c r="AB440" s="36"/>
      <c r="AC440" s="36"/>
      <c r="AD440" s="36"/>
      <c r="AE440" s="36"/>
      <c r="AF440" s="36"/>
      <c r="AG440" s="36"/>
      <c r="AH440" s="36"/>
      <c r="AI440" s="36"/>
      <c r="AJ440" s="36"/>
    </row>
    <row r="441" ht="15.75" customHeight="1">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c r="AA441" s="36"/>
      <c r="AB441" s="36"/>
      <c r="AC441" s="36"/>
      <c r="AD441" s="36"/>
      <c r="AE441" s="36"/>
      <c r="AF441" s="36"/>
      <c r="AG441" s="36"/>
      <c r="AH441" s="36"/>
      <c r="AI441" s="36"/>
      <c r="AJ441" s="36"/>
    </row>
    <row r="442" ht="15.75" customHeight="1">
      <c r="A442" s="36" t="s">
        <v>215</v>
      </c>
      <c r="B442" s="36">
        <v>1.0</v>
      </c>
      <c r="C442" s="36">
        <v>2.0</v>
      </c>
      <c r="D442" s="36">
        <v>3.0</v>
      </c>
      <c r="E442" s="36">
        <v>4.0</v>
      </c>
      <c r="F442" s="36">
        <v>5.0</v>
      </c>
      <c r="G442" s="36">
        <v>6.0</v>
      </c>
      <c r="H442" s="36">
        <v>7.0</v>
      </c>
      <c r="I442" s="36">
        <v>8.0</v>
      </c>
      <c r="J442" s="36">
        <v>9.0</v>
      </c>
      <c r="K442" s="36">
        <v>10.0</v>
      </c>
      <c r="L442" s="36">
        <v>11.0</v>
      </c>
      <c r="M442" s="36">
        <v>12.0</v>
      </c>
      <c r="N442" s="36">
        <v>13.0</v>
      </c>
      <c r="O442" s="36">
        <v>14.0</v>
      </c>
      <c r="P442" s="36">
        <v>15.0</v>
      </c>
      <c r="Q442" s="36">
        <v>16.0</v>
      </c>
      <c r="R442" s="36">
        <v>17.0</v>
      </c>
      <c r="S442" s="36">
        <v>18.0</v>
      </c>
      <c r="T442" s="36">
        <v>19.0</v>
      </c>
      <c r="U442" s="36">
        <v>20.0</v>
      </c>
      <c r="V442" s="36">
        <v>21.0</v>
      </c>
      <c r="W442" s="36">
        <v>22.0</v>
      </c>
      <c r="X442" s="36">
        <v>23.0</v>
      </c>
      <c r="Y442" s="36">
        <v>24.0</v>
      </c>
      <c r="Z442" s="36">
        <v>25.0</v>
      </c>
      <c r="AA442" s="36">
        <v>26.0</v>
      </c>
      <c r="AB442" s="36">
        <v>27.0</v>
      </c>
      <c r="AC442" s="36">
        <v>28.0</v>
      </c>
      <c r="AD442" s="36">
        <v>29.0</v>
      </c>
      <c r="AE442" s="36">
        <v>30.0</v>
      </c>
      <c r="AF442" s="36"/>
      <c r="AG442" s="36"/>
      <c r="AH442" s="36"/>
      <c r="AI442" s="36"/>
      <c r="AJ442" s="36"/>
    </row>
    <row r="443" ht="15.75" customHeight="1">
      <c r="A443" s="12" t="s">
        <v>217</v>
      </c>
      <c r="B443" s="36">
        <f>600/12</f>
        <v>50</v>
      </c>
      <c r="C443" s="36">
        <f t="shared" ref="C443:AE443" si="82">B443*1.05</f>
        <v>52.5</v>
      </c>
      <c r="D443" s="36">
        <f t="shared" si="82"/>
        <v>55.125</v>
      </c>
      <c r="E443" s="36">
        <f t="shared" si="82"/>
        <v>57.88125</v>
      </c>
      <c r="F443" s="36">
        <f t="shared" si="82"/>
        <v>60.7753125</v>
      </c>
      <c r="G443" s="36">
        <f t="shared" si="82"/>
        <v>63.81407813</v>
      </c>
      <c r="H443" s="36">
        <f t="shared" si="82"/>
        <v>67.00478203</v>
      </c>
      <c r="I443" s="36">
        <f t="shared" si="82"/>
        <v>70.35502113</v>
      </c>
      <c r="J443" s="36">
        <f t="shared" si="82"/>
        <v>73.87277219</v>
      </c>
      <c r="K443" s="36">
        <f t="shared" si="82"/>
        <v>77.5664108</v>
      </c>
      <c r="L443" s="36">
        <f t="shared" si="82"/>
        <v>81.44473134</v>
      </c>
      <c r="M443" s="36">
        <f t="shared" si="82"/>
        <v>85.51696791</v>
      </c>
      <c r="N443" s="36">
        <f t="shared" si="82"/>
        <v>89.7928163</v>
      </c>
      <c r="O443" s="36">
        <f t="shared" si="82"/>
        <v>94.28245712</v>
      </c>
      <c r="P443" s="36">
        <f t="shared" si="82"/>
        <v>98.99657997</v>
      </c>
      <c r="Q443" s="36">
        <f t="shared" si="82"/>
        <v>103.946409</v>
      </c>
      <c r="R443" s="36">
        <f t="shared" si="82"/>
        <v>109.1437294</v>
      </c>
      <c r="S443" s="36">
        <f t="shared" si="82"/>
        <v>114.6009159</v>
      </c>
      <c r="T443" s="36">
        <f t="shared" si="82"/>
        <v>120.3309617</v>
      </c>
      <c r="U443" s="36">
        <f t="shared" si="82"/>
        <v>126.3475098</v>
      </c>
      <c r="V443" s="36">
        <f t="shared" si="82"/>
        <v>132.6648853</v>
      </c>
      <c r="W443" s="36">
        <f t="shared" si="82"/>
        <v>139.2981295</v>
      </c>
      <c r="X443" s="36">
        <f t="shared" si="82"/>
        <v>146.263036</v>
      </c>
      <c r="Y443" s="36">
        <f t="shared" si="82"/>
        <v>153.5761878</v>
      </c>
      <c r="Z443" s="36">
        <f t="shared" si="82"/>
        <v>161.2549972</v>
      </c>
      <c r="AA443" s="36">
        <f t="shared" si="82"/>
        <v>169.317747</v>
      </c>
      <c r="AB443" s="36">
        <f t="shared" si="82"/>
        <v>177.7836344</v>
      </c>
      <c r="AC443" s="36">
        <f t="shared" si="82"/>
        <v>186.6728161</v>
      </c>
      <c r="AD443" s="36">
        <f t="shared" si="82"/>
        <v>196.0064569</v>
      </c>
      <c r="AE443" s="36">
        <f t="shared" si="82"/>
        <v>205.8067798</v>
      </c>
      <c r="AF443" s="36"/>
      <c r="AG443" s="36"/>
      <c r="AH443" s="36"/>
      <c r="AI443" s="36"/>
      <c r="AJ443" s="36"/>
    </row>
    <row r="444" ht="15.75" customHeight="1">
      <c r="A444" s="370" t="s">
        <v>218</v>
      </c>
      <c r="B444" s="12">
        <v>0.0</v>
      </c>
      <c r="C444" s="12">
        <v>0.0</v>
      </c>
      <c r="D444" s="12">
        <v>0.0</v>
      </c>
      <c r="E444" s="12">
        <v>0.0</v>
      </c>
      <c r="F444" s="12">
        <v>0.0</v>
      </c>
      <c r="G444" s="12">
        <v>0.0</v>
      </c>
      <c r="H444" s="12">
        <v>0.0</v>
      </c>
      <c r="I444" s="12">
        <v>0.0</v>
      </c>
      <c r="J444" s="12">
        <v>0.0</v>
      </c>
      <c r="K444" s="12">
        <v>0.0</v>
      </c>
      <c r="L444" s="12">
        <v>0.0</v>
      </c>
      <c r="M444" s="12">
        <v>0.0</v>
      </c>
      <c r="N444" s="12">
        <v>0.0</v>
      </c>
      <c r="O444" s="12">
        <v>0.0</v>
      </c>
      <c r="P444" s="12">
        <v>0.0</v>
      </c>
      <c r="Q444" s="12">
        <v>0.0</v>
      </c>
      <c r="R444" s="12">
        <v>0.0</v>
      </c>
      <c r="S444" s="12">
        <v>0.0</v>
      </c>
      <c r="T444" s="12">
        <v>0.0</v>
      </c>
      <c r="U444" s="12">
        <v>0.0</v>
      </c>
      <c r="V444" s="12">
        <v>0.0</v>
      </c>
      <c r="W444" s="12">
        <v>0.0</v>
      </c>
      <c r="X444" s="12">
        <v>0.0</v>
      </c>
      <c r="Y444" s="12">
        <v>0.0</v>
      </c>
      <c r="Z444" s="12">
        <v>0.0</v>
      </c>
      <c r="AA444" s="12">
        <v>0.0</v>
      </c>
      <c r="AB444" s="12">
        <v>0.0</v>
      </c>
      <c r="AC444" s="12">
        <v>0.0</v>
      </c>
      <c r="AD444" s="12">
        <v>0.0</v>
      </c>
      <c r="AE444" s="12">
        <v>0.0</v>
      </c>
      <c r="AF444" s="36"/>
      <c r="AG444" s="36"/>
      <c r="AH444" s="36"/>
      <c r="AI444" s="36"/>
      <c r="AJ444" s="36"/>
    </row>
    <row r="445" ht="15.75" customHeight="1">
      <c r="A445" s="382" t="s">
        <v>978</v>
      </c>
      <c r="B445" s="372"/>
      <c r="C445" s="372"/>
      <c r="D445" s="372"/>
      <c r="E445" s="372"/>
      <c r="F445" s="372"/>
      <c r="G445" s="372"/>
      <c r="H445" s="372"/>
      <c r="I445" s="372"/>
      <c r="J445" s="372"/>
      <c r="K445" s="372"/>
      <c r="L445" s="372"/>
      <c r="M445" s="372"/>
      <c r="N445" s="372"/>
      <c r="O445" s="372"/>
      <c r="P445" s="372"/>
      <c r="Q445" s="372"/>
      <c r="R445" s="372"/>
      <c r="S445" s="372"/>
      <c r="T445" s="372"/>
      <c r="U445" s="372"/>
      <c r="V445" s="372"/>
      <c r="W445" s="372"/>
      <c r="X445" s="372"/>
      <c r="Y445" s="372"/>
      <c r="Z445" s="372"/>
      <c r="AA445" s="372"/>
      <c r="AB445" s="372"/>
      <c r="AC445" s="372"/>
      <c r="AD445" s="372"/>
      <c r="AE445" s="372"/>
      <c r="AF445" s="372"/>
      <c r="AG445" s="372"/>
      <c r="AH445" s="372"/>
      <c r="AI445" s="372"/>
      <c r="AJ445" s="372"/>
    </row>
    <row r="446" ht="15.75" customHeight="1">
      <c r="A446" s="372"/>
      <c r="B446" s="372"/>
      <c r="C446" s="372"/>
      <c r="D446" s="372"/>
      <c r="E446" s="372"/>
      <c r="F446" s="372"/>
      <c r="G446" s="372"/>
      <c r="H446" s="372"/>
      <c r="I446" s="372"/>
      <c r="J446" s="372"/>
      <c r="K446" s="372"/>
      <c r="L446" s="372"/>
      <c r="M446" s="372"/>
      <c r="N446" s="372"/>
      <c r="O446" s="372"/>
      <c r="P446" s="372"/>
      <c r="Q446" s="372"/>
      <c r="R446" s="372"/>
      <c r="S446" s="372"/>
      <c r="T446" s="372"/>
      <c r="U446" s="372"/>
      <c r="V446" s="372"/>
      <c r="W446" s="372"/>
      <c r="X446" s="372"/>
      <c r="Y446" s="372"/>
      <c r="Z446" s="372"/>
      <c r="AA446" s="372"/>
      <c r="AB446" s="372"/>
      <c r="AC446" s="372"/>
      <c r="AD446" s="372"/>
      <c r="AE446" s="372"/>
      <c r="AF446" s="372"/>
      <c r="AG446" s="372"/>
      <c r="AH446" s="372"/>
      <c r="AI446" s="372"/>
      <c r="AJ446" s="372"/>
    </row>
    <row r="447" ht="15.75" customHeight="1">
      <c r="A447" s="372" t="s">
        <v>101</v>
      </c>
      <c r="B447" s="372" t="s">
        <v>1958</v>
      </c>
      <c r="C447" s="372"/>
      <c r="D447" s="372"/>
      <c r="E447" s="372"/>
      <c r="F447" s="372"/>
      <c r="G447" s="372"/>
      <c r="H447" s="372"/>
      <c r="I447" s="372"/>
      <c r="J447" s="372"/>
      <c r="K447" s="372"/>
      <c r="L447" s="372"/>
      <c r="M447" s="372"/>
      <c r="N447" s="372"/>
      <c r="O447" s="372"/>
      <c r="P447" s="372"/>
      <c r="Q447" s="372"/>
      <c r="R447" s="372"/>
      <c r="S447" s="372"/>
      <c r="T447" s="372"/>
      <c r="U447" s="372"/>
      <c r="V447" s="372"/>
      <c r="W447" s="372"/>
      <c r="X447" s="372"/>
      <c r="Y447" s="372"/>
      <c r="Z447" s="372"/>
      <c r="AA447" s="372"/>
      <c r="AB447" s="372"/>
      <c r="AC447" s="372"/>
      <c r="AD447" s="372"/>
      <c r="AE447" s="372"/>
      <c r="AF447" s="372"/>
      <c r="AG447" s="372"/>
      <c r="AH447" s="372"/>
      <c r="AI447" s="372"/>
      <c r="AJ447" s="372"/>
    </row>
    <row r="448" ht="15.75" customHeight="1">
      <c r="A448" s="372">
        <v>10.0</v>
      </c>
      <c r="B448" s="372">
        <f>960/12</f>
        <v>80</v>
      </c>
      <c r="C448" s="372"/>
      <c r="D448" s="372"/>
      <c r="E448" s="372"/>
      <c r="F448" s="372"/>
      <c r="G448" s="372"/>
      <c r="H448" s="372"/>
      <c r="I448" s="372"/>
      <c r="J448" s="372"/>
      <c r="K448" s="372"/>
      <c r="L448" s="372"/>
      <c r="M448" s="372"/>
      <c r="N448" s="372"/>
      <c r="O448" s="372"/>
      <c r="P448" s="372"/>
      <c r="Q448" s="372"/>
      <c r="R448" s="372"/>
      <c r="S448" s="372"/>
      <c r="T448" s="372"/>
      <c r="U448" s="372"/>
      <c r="V448" s="372"/>
      <c r="W448" s="372"/>
      <c r="X448" s="372"/>
      <c r="Y448" s="372"/>
      <c r="Z448" s="372"/>
      <c r="AA448" s="372"/>
      <c r="AB448" s="372"/>
      <c r="AC448" s="372"/>
      <c r="AD448" s="372"/>
      <c r="AE448" s="372"/>
      <c r="AF448" s="372"/>
      <c r="AG448" s="372"/>
      <c r="AH448" s="372"/>
      <c r="AI448" s="372"/>
      <c r="AJ448" s="372"/>
    </row>
    <row r="449" ht="15.75" customHeight="1">
      <c r="A449" s="372">
        <v>15.0</v>
      </c>
      <c r="B449" s="372">
        <f t="shared" ref="B449:B450" si="83">600/12</f>
        <v>50</v>
      </c>
      <c r="C449" s="372"/>
      <c r="D449" s="372"/>
      <c r="E449" s="372"/>
      <c r="F449" s="372"/>
      <c r="G449" s="372"/>
      <c r="H449" s="372"/>
      <c r="I449" s="372"/>
      <c r="J449" s="372"/>
      <c r="K449" s="372"/>
      <c r="L449" s="372"/>
      <c r="M449" s="372"/>
      <c r="N449" s="372"/>
      <c r="O449" s="372"/>
      <c r="P449" s="372"/>
      <c r="Q449" s="372"/>
      <c r="R449" s="372"/>
      <c r="S449" s="372"/>
      <c r="T449" s="372"/>
      <c r="U449" s="372"/>
      <c r="V449" s="372"/>
      <c r="W449" s="372"/>
      <c r="X449" s="372"/>
      <c r="Y449" s="372"/>
      <c r="Z449" s="372"/>
      <c r="AA449" s="372"/>
      <c r="AB449" s="372"/>
      <c r="AC449" s="372"/>
      <c r="AD449" s="372"/>
      <c r="AE449" s="372"/>
      <c r="AF449" s="372"/>
      <c r="AG449" s="372"/>
      <c r="AH449" s="372"/>
      <c r="AI449" s="372"/>
      <c r="AJ449" s="372"/>
    </row>
    <row r="450" ht="15.75" customHeight="1">
      <c r="A450" s="372">
        <v>20.0</v>
      </c>
      <c r="B450" s="372">
        <f t="shared" si="83"/>
        <v>50</v>
      </c>
      <c r="C450" s="372"/>
      <c r="D450" s="372"/>
      <c r="E450" s="372"/>
      <c r="F450" s="372"/>
      <c r="G450" s="372"/>
      <c r="H450" s="372"/>
      <c r="I450" s="372"/>
      <c r="J450" s="372"/>
      <c r="K450" s="372"/>
      <c r="L450" s="372"/>
      <c r="M450" s="372"/>
      <c r="N450" s="372"/>
      <c r="O450" s="372"/>
      <c r="P450" s="372"/>
      <c r="Q450" s="372"/>
      <c r="R450" s="372"/>
      <c r="S450" s="372"/>
      <c r="T450" s="372"/>
      <c r="U450" s="372"/>
      <c r="V450" s="372"/>
      <c r="W450" s="372"/>
      <c r="X450" s="372"/>
      <c r="Y450" s="372"/>
      <c r="Z450" s="372"/>
      <c r="AA450" s="372"/>
      <c r="AB450" s="372"/>
      <c r="AC450" s="372"/>
      <c r="AD450" s="372"/>
      <c r="AE450" s="372"/>
      <c r="AF450" s="372"/>
      <c r="AG450" s="372"/>
      <c r="AH450" s="372"/>
      <c r="AI450" s="372"/>
      <c r="AJ450" s="372"/>
    </row>
    <row r="451" ht="15.75" customHeight="1">
      <c r="A451" s="372"/>
      <c r="B451" s="372"/>
      <c r="C451" s="372"/>
      <c r="D451" s="372"/>
      <c r="E451" s="372"/>
      <c r="F451" s="372"/>
      <c r="G451" s="372"/>
      <c r="H451" s="372"/>
      <c r="I451" s="372"/>
      <c r="J451" s="372"/>
      <c r="K451" s="372"/>
      <c r="L451" s="372"/>
      <c r="M451" s="372"/>
      <c r="N451" s="372"/>
      <c r="O451" s="372"/>
      <c r="P451" s="372"/>
      <c r="Q451" s="372"/>
      <c r="R451" s="372"/>
      <c r="S451" s="372"/>
      <c r="T451" s="372"/>
      <c r="U451" s="372"/>
      <c r="V451" s="372"/>
      <c r="W451" s="372"/>
      <c r="X451" s="372"/>
      <c r="Y451" s="372"/>
      <c r="Z451" s="372"/>
      <c r="AA451" s="372"/>
      <c r="AB451" s="372"/>
      <c r="AC451" s="372"/>
      <c r="AD451" s="372"/>
      <c r="AE451" s="372"/>
      <c r="AF451" s="372"/>
      <c r="AG451" s="372"/>
      <c r="AH451" s="372"/>
      <c r="AI451" s="372"/>
      <c r="AJ451" s="372"/>
    </row>
    <row r="452" ht="15.75" customHeight="1">
      <c r="A452" s="372" t="s">
        <v>215</v>
      </c>
      <c r="B452" s="372">
        <v>1.0</v>
      </c>
      <c r="C452" s="372">
        <v>2.0</v>
      </c>
      <c r="D452" s="372">
        <v>3.0</v>
      </c>
      <c r="E452" s="372">
        <v>4.0</v>
      </c>
      <c r="F452" s="372">
        <v>5.0</v>
      </c>
      <c r="G452" s="372">
        <v>6.0</v>
      </c>
      <c r="H452" s="372">
        <v>7.0</v>
      </c>
      <c r="I452" s="372">
        <v>8.0</v>
      </c>
      <c r="J452" s="372">
        <v>9.0</v>
      </c>
      <c r="K452" s="372">
        <v>10.0</v>
      </c>
      <c r="L452" s="372">
        <v>11.0</v>
      </c>
      <c r="M452" s="372">
        <v>12.0</v>
      </c>
      <c r="N452" s="372">
        <v>13.0</v>
      </c>
      <c r="O452" s="372">
        <v>14.0</v>
      </c>
      <c r="P452" s="372">
        <v>15.0</v>
      </c>
      <c r="Q452" s="372">
        <v>16.0</v>
      </c>
      <c r="R452" s="372">
        <v>17.0</v>
      </c>
      <c r="S452" s="372">
        <v>18.0</v>
      </c>
      <c r="T452" s="372">
        <v>19.0</v>
      </c>
      <c r="U452" s="372">
        <v>20.0</v>
      </c>
      <c r="V452" s="372">
        <v>21.0</v>
      </c>
      <c r="W452" s="372">
        <v>22.0</v>
      </c>
      <c r="X452" s="372">
        <v>23.0</v>
      </c>
      <c r="Y452" s="372">
        <v>24.0</v>
      </c>
      <c r="Z452" s="372">
        <v>25.0</v>
      </c>
      <c r="AA452" s="372">
        <v>26.0</v>
      </c>
      <c r="AB452" s="372">
        <v>27.0</v>
      </c>
      <c r="AC452" s="372">
        <v>28.0</v>
      </c>
      <c r="AD452" s="372">
        <v>29.0</v>
      </c>
      <c r="AE452" s="372">
        <v>30.0</v>
      </c>
      <c r="AF452" s="372"/>
      <c r="AG452" s="372"/>
      <c r="AH452" s="372"/>
      <c r="AI452" s="372"/>
      <c r="AJ452" s="372"/>
    </row>
    <row r="453" ht="15.75" customHeight="1">
      <c r="A453" s="1" t="s">
        <v>217</v>
      </c>
      <c r="B453" s="372">
        <f>VLOOKUP(PT,A447:B450,2)</f>
        <v>80</v>
      </c>
      <c r="C453" s="372">
        <f t="shared" ref="C453:AE453" si="84">B453*1.05</f>
        <v>84</v>
      </c>
      <c r="D453" s="372">
        <f t="shared" si="84"/>
        <v>88.2</v>
      </c>
      <c r="E453" s="372">
        <f t="shared" si="84"/>
        <v>92.61</v>
      </c>
      <c r="F453" s="372">
        <f t="shared" si="84"/>
        <v>97.2405</v>
      </c>
      <c r="G453" s="372">
        <f t="shared" si="84"/>
        <v>102.102525</v>
      </c>
      <c r="H453" s="372">
        <f t="shared" si="84"/>
        <v>107.2076513</v>
      </c>
      <c r="I453" s="372">
        <f t="shared" si="84"/>
        <v>112.5680338</v>
      </c>
      <c r="J453" s="372">
        <f t="shared" si="84"/>
        <v>118.1964355</v>
      </c>
      <c r="K453" s="372">
        <f t="shared" si="84"/>
        <v>124.1062573</v>
      </c>
      <c r="L453" s="372">
        <f t="shared" si="84"/>
        <v>130.3115701</v>
      </c>
      <c r="M453" s="372">
        <f t="shared" si="84"/>
        <v>136.8271486</v>
      </c>
      <c r="N453" s="372">
        <f t="shared" si="84"/>
        <v>143.6685061</v>
      </c>
      <c r="O453" s="372">
        <f t="shared" si="84"/>
        <v>150.8519314</v>
      </c>
      <c r="P453" s="372">
        <f t="shared" si="84"/>
        <v>158.394528</v>
      </c>
      <c r="Q453" s="372">
        <f t="shared" si="84"/>
        <v>166.3142544</v>
      </c>
      <c r="R453" s="372">
        <f t="shared" si="84"/>
        <v>174.6299671</v>
      </c>
      <c r="S453" s="372">
        <f t="shared" si="84"/>
        <v>183.3614654</v>
      </c>
      <c r="T453" s="372">
        <f t="shared" si="84"/>
        <v>192.5295387</v>
      </c>
      <c r="U453" s="372">
        <f t="shared" si="84"/>
        <v>202.1560156</v>
      </c>
      <c r="V453" s="372">
        <f t="shared" si="84"/>
        <v>212.2638164</v>
      </c>
      <c r="W453" s="372">
        <f t="shared" si="84"/>
        <v>222.8770072</v>
      </c>
      <c r="X453" s="372">
        <f t="shared" si="84"/>
        <v>234.0208576</v>
      </c>
      <c r="Y453" s="372">
        <f t="shared" si="84"/>
        <v>245.7219005</v>
      </c>
      <c r="Z453" s="372">
        <f t="shared" si="84"/>
        <v>258.0079955</v>
      </c>
      <c r="AA453" s="372">
        <f t="shared" si="84"/>
        <v>270.9083953</v>
      </c>
      <c r="AB453" s="372">
        <f t="shared" si="84"/>
        <v>284.453815</v>
      </c>
      <c r="AC453" s="372">
        <f t="shared" si="84"/>
        <v>298.6765058</v>
      </c>
      <c r="AD453" s="372">
        <f t="shared" si="84"/>
        <v>313.6103311</v>
      </c>
      <c r="AE453" s="372">
        <f t="shared" si="84"/>
        <v>329.2908476</v>
      </c>
      <c r="AF453" s="372"/>
      <c r="AG453" s="372"/>
      <c r="AH453" s="372"/>
      <c r="AI453" s="372"/>
      <c r="AJ453" s="372"/>
    </row>
    <row r="454" ht="15.75" customHeight="1">
      <c r="A454" s="386" t="s">
        <v>218</v>
      </c>
      <c r="B454" s="372">
        <f t="shared" ref="B454:AE454" si="85">0</f>
        <v>0</v>
      </c>
      <c r="C454" s="372">
        <f t="shared" si="85"/>
        <v>0</v>
      </c>
      <c r="D454" s="372">
        <f t="shared" si="85"/>
        <v>0</v>
      </c>
      <c r="E454" s="372">
        <f t="shared" si="85"/>
        <v>0</v>
      </c>
      <c r="F454" s="372">
        <f t="shared" si="85"/>
        <v>0</v>
      </c>
      <c r="G454" s="372">
        <f t="shared" si="85"/>
        <v>0</v>
      </c>
      <c r="H454" s="372">
        <f t="shared" si="85"/>
        <v>0</v>
      </c>
      <c r="I454" s="372">
        <f t="shared" si="85"/>
        <v>0</v>
      </c>
      <c r="J454" s="372">
        <f t="shared" si="85"/>
        <v>0</v>
      </c>
      <c r="K454" s="372">
        <f t="shared" si="85"/>
        <v>0</v>
      </c>
      <c r="L454" s="372">
        <f t="shared" si="85"/>
        <v>0</v>
      </c>
      <c r="M454" s="372">
        <f t="shared" si="85"/>
        <v>0</v>
      </c>
      <c r="N454" s="372">
        <f t="shared" si="85"/>
        <v>0</v>
      </c>
      <c r="O454" s="372">
        <f t="shared" si="85"/>
        <v>0</v>
      </c>
      <c r="P454" s="372">
        <f t="shared" si="85"/>
        <v>0</v>
      </c>
      <c r="Q454" s="372">
        <f t="shared" si="85"/>
        <v>0</v>
      </c>
      <c r="R454" s="372">
        <f t="shared" si="85"/>
        <v>0</v>
      </c>
      <c r="S454" s="372">
        <f t="shared" si="85"/>
        <v>0</v>
      </c>
      <c r="T454" s="372">
        <f t="shared" si="85"/>
        <v>0</v>
      </c>
      <c r="U454" s="372">
        <f t="shared" si="85"/>
        <v>0</v>
      </c>
      <c r="V454" s="372">
        <f t="shared" si="85"/>
        <v>0</v>
      </c>
      <c r="W454" s="372">
        <f t="shared" si="85"/>
        <v>0</v>
      </c>
      <c r="X454" s="372">
        <f t="shared" si="85"/>
        <v>0</v>
      </c>
      <c r="Y454" s="372">
        <f t="shared" si="85"/>
        <v>0</v>
      </c>
      <c r="Z454" s="372">
        <f t="shared" si="85"/>
        <v>0</v>
      </c>
      <c r="AA454" s="372">
        <f t="shared" si="85"/>
        <v>0</v>
      </c>
      <c r="AB454" s="372">
        <f t="shared" si="85"/>
        <v>0</v>
      </c>
      <c r="AC454" s="372">
        <f t="shared" si="85"/>
        <v>0</v>
      </c>
      <c r="AD454" s="372">
        <f t="shared" si="85"/>
        <v>0</v>
      </c>
      <c r="AE454" s="372">
        <f t="shared" si="85"/>
        <v>0</v>
      </c>
      <c r="AF454" s="372"/>
      <c r="AG454" s="372"/>
      <c r="AH454" s="372"/>
      <c r="AI454" s="372"/>
      <c r="AJ454" s="372"/>
    </row>
    <row r="455" ht="15.75" customHeight="1">
      <c r="A455" s="380" t="s">
        <v>982</v>
      </c>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c r="AA455" s="36"/>
      <c r="AB455" s="36"/>
      <c r="AC455" s="36"/>
      <c r="AD455" s="36"/>
      <c r="AE455" s="36"/>
      <c r="AF455" s="36"/>
      <c r="AG455" s="36"/>
      <c r="AH455" s="36"/>
      <c r="AI455" s="36"/>
      <c r="AJ455" s="36"/>
    </row>
    <row r="456" ht="15.75" customHeight="1">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c r="AA456" s="36"/>
      <c r="AB456" s="36"/>
      <c r="AC456" s="36"/>
      <c r="AD456" s="36"/>
      <c r="AE456" s="36"/>
      <c r="AF456" s="36"/>
      <c r="AG456" s="36"/>
      <c r="AH456" s="36"/>
      <c r="AI456" s="36"/>
      <c r="AJ456" s="36"/>
    </row>
    <row r="457" ht="15.75" customHeight="1">
      <c r="A457" s="36" t="s">
        <v>215</v>
      </c>
      <c r="B457" s="36">
        <v>1.0</v>
      </c>
      <c r="C457" s="36">
        <v>2.0</v>
      </c>
      <c r="D457" s="36">
        <v>3.0</v>
      </c>
      <c r="E457" s="36">
        <v>4.0</v>
      </c>
      <c r="F457" s="36">
        <v>5.0</v>
      </c>
      <c r="G457" s="36">
        <v>6.0</v>
      </c>
      <c r="H457" s="36">
        <v>7.0</v>
      </c>
      <c r="I457" s="36">
        <v>8.0</v>
      </c>
      <c r="J457" s="36">
        <v>9.0</v>
      </c>
      <c r="K457" s="36">
        <v>10.0</v>
      </c>
      <c r="L457" s="36">
        <v>11.0</v>
      </c>
      <c r="M457" s="36">
        <v>12.0</v>
      </c>
      <c r="N457" s="36">
        <v>13.0</v>
      </c>
      <c r="O457" s="36">
        <v>14.0</v>
      </c>
      <c r="P457" s="36">
        <v>15.0</v>
      </c>
      <c r="Q457" s="36">
        <v>16.0</v>
      </c>
      <c r="R457" s="36">
        <v>17.0</v>
      </c>
      <c r="S457" s="36">
        <v>18.0</v>
      </c>
      <c r="T457" s="36">
        <v>19.0</v>
      </c>
      <c r="U457" s="36">
        <v>20.0</v>
      </c>
      <c r="V457" s="36">
        <v>21.0</v>
      </c>
      <c r="W457" s="36">
        <v>22.0</v>
      </c>
      <c r="X457" s="36">
        <v>23.0</v>
      </c>
      <c r="Y457" s="36">
        <v>24.0</v>
      </c>
      <c r="Z457" s="36">
        <v>25.0</v>
      </c>
      <c r="AA457" s="36">
        <v>26.0</v>
      </c>
      <c r="AB457" s="36">
        <v>27.0</v>
      </c>
      <c r="AC457" s="36">
        <v>28.0</v>
      </c>
      <c r="AD457" s="36">
        <v>29.0</v>
      </c>
      <c r="AE457" s="36">
        <v>30.0</v>
      </c>
      <c r="AF457" s="36"/>
      <c r="AG457" s="36"/>
      <c r="AH457" s="36"/>
      <c r="AI457" s="36"/>
      <c r="AJ457" s="36"/>
    </row>
    <row r="458" ht="15.75" customHeight="1">
      <c r="A458" s="12" t="s">
        <v>217</v>
      </c>
      <c r="B458" s="36">
        <f>180/12</f>
        <v>15</v>
      </c>
      <c r="C458" s="36">
        <f t="shared" ref="C458:AE458" si="86">B458*1.05</f>
        <v>15.75</v>
      </c>
      <c r="D458" s="36">
        <f t="shared" si="86"/>
        <v>16.5375</v>
      </c>
      <c r="E458" s="36">
        <f t="shared" si="86"/>
        <v>17.364375</v>
      </c>
      <c r="F458" s="36">
        <f t="shared" si="86"/>
        <v>18.23259375</v>
      </c>
      <c r="G458" s="36">
        <f t="shared" si="86"/>
        <v>19.14422344</v>
      </c>
      <c r="H458" s="36">
        <f t="shared" si="86"/>
        <v>20.10143461</v>
      </c>
      <c r="I458" s="36">
        <f t="shared" si="86"/>
        <v>21.10650634</v>
      </c>
      <c r="J458" s="36">
        <f t="shared" si="86"/>
        <v>22.16183166</v>
      </c>
      <c r="K458" s="36">
        <f t="shared" si="86"/>
        <v>23.26992324</v>
      </c>
      <c r="L458" s="36">
        <f t="shared" si="86"/>
        <v>24.4334194</v>
      </c>
      <c r="M458" s="36">
        <f t="shared" si="86"/>
        <v>25.65509037</v>
      </c>
      <c r="N458" s="36">
        <f t="shared" si="86"/>
        <v>26.93784489</v>
      </c>
      <c r="O458" s="36">
        <f t="shared" si="86"/>
        <v>28.28473713</v>
      </c>
      <c r="P458" s="36">
        <f t="shared" si="86"/>
        <v>29.69897399</v>
      </c>
      <c r="Q458" s="36">
        <f t="shared" si="86"/>
        <v>31.18392269</v>
      </c>
      <c r="R458" s="36">
        <f t="shared" si="86"/>
        <v>32.74311883</v>
      </c>
      <c r="S458" s="36">
        <f t="shared" si="86"/>
        <v>34.38027477</v>
      </c>
      <c r="T458" s="36">
        <f t="shared" si="86"/>
        <v>36.09928851</v>
      </c>
      <c r="U458" s="36">
        <f t="shared" si="86"/>
        <v>37.90425293</v>
      </c>
      <c r="V458" s="36">
        <f t="shared" si="86"/>
        <v>39.79946558</v>
      </c>
      <c r="W458" s="36">
        <f t="shared" si="86"/>
        <v>41.78943886</v>
      </c>
      <c r="X458" s="36">
        <f t="shared" si="86"/>
        <v>43.8789108</v>
      </c>
      <c r="Y458" s="36">
        <f t="shared" si="86"/>
        <v>46.07285634</v>
      </c>
      <c r="Z458" s="36">
        <f t="shared" si="86"/>
        <v>48.37649916</v>
      </c>
      <c r="AA458" s="36">
        <f t="shared" si="86"/>
        <v>50.79532411</v>
      </c>
      <c r="AB458" s="36">
        <f t="shared" si="86"/>
        <v>53.33509032</v>
      </c>
      <c r="AC458" s="36">
        <f t="shared" si="86"/>
        <v>56.00184484</v>
      </c>
      <c r="AD458" s="36">
        <f t="shared" si="86"/>
        <v>58.80193708</v>
      </c>
      <c r="AE458" s="36">
        <f t="shared" si="86"/>
        <v>61.74203393</v>
      </c>
      <c r="AF458" s="36"/>
      <c r="AG458" s="36"/>
      <c r="AH458" s="36"/>
      <c r="AI458" s="36"/>
      <c r="AJ458" s="36"/>
    </row>
    <row r="459" ht="15.75" customHeight="1">
      <c r="A459" s="370" t="s">
        <v>218</v>
      </c>
      <c r="B459" s="12">
        <v>0.0</v>
      </c>
      <c r="C459" s="12">
        <v>0.0</v>
      </c>
      <c r="D459" s="12">
        <v>0.0</v>
      </c>
      <c r="E459" s="12">
        <v>0.0</v>
      </c>
      <c r="F459" s="12">
        <v>0.0</v>
      </c>
      <c r="G459" s="12">
        <v>0.0</v>
      </c>
      <c r="H459" s="12">
        <v>0.0</v>
      </c>
      <c r="I459" s="12">
        <v>0.0</v>
      </c>
      <c r="J459" s="12">
        <v>0.0</v>
      </c>
      <c r="K459" s="12">
        <v>0.0</v>
      </c>
      <c r="L459" s="12">
        <v>0.0</v>
      </c>
      <c r="M459" s="12">
        <v>0.0</v>
      </c>
      <c r="N459" s="12">
        <v>0.0</v>
      </c>
      <c r="O459" s="12">
        <v>0.0</v>
      </c>
      <c r="P459" s="12">
        <v>0.0</v>
      </c>
      <c r="Q459" s="12">
        <v>0.0</v>
      </c>
      <c r="R459" s="12">
        <v>0.0</v>
      </c>
      <c r="S459" s="12">
        <v>0.0</v>
      </c>
      <c r="T459" s="12">
        <v>0.0</v>
      </c>
      <c r="U459" s="12">
        <v>0.0</v>
      </c>
      <c r="V459" s="12">
        <v>0.0</v>
      </c>
      <c r="W459" s="12">
        <v>0.0</v>
      </c>
      <c r="X459" s="12">
        <v>0.0</v>
      </c>
      <c r="Y459" s="12">
        <v>0.0</v>
      </c>
      <c r="Z459" s="12">
        <v>0.0</v>
      </c>
      <c r="AA459" s="12">
        <v>0.0</v>
      </c>
      <c r="AB459" s="12">
        <v>0.0</v>
      </c>
      <c r="AC459" s="12">
        <v>0.0</v>
      </c>
      <c r="AD459" s="12">
        <v>0.0</v>
      </c>
      <c r="AE459" s="12">
        <v>0.0</v>
      </c>
      <c r="AF459" s="36"/>
      <c r="AG459" s="36"/>
      <c r="AH459" s="36"/>
      <c r="AI459" s="36"/>
      <c r="AJ459" s="36"/>
    </row>
    <row r="460" ht="15.75" customHeight="1">
      <c r="A460" s="380" t="s">
        <v>986</v>
      </c>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c r="AA460" s="36"/>
      <c r="AB460" s="36"/>
      <c r="AC460" s="36"/>
      <c r="AD460" s="36"/>
      <c r="AE460" s="36"/>
      <c r="AF460" s="36"/>
      <c r="AG460" s="36"/>
      <c r="AH460" s="36"/>
      <c r="AI460" s="36"/>
      <c r="AJ460" s="36"/>
    </row>
    <row r="461" ht="15.75" customHeight="1">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c r="AA461" s="36"/>
      <c r="AB461" s="36"/>
      <c r="AC461" s="36"/>
      <c r="AD461" s="36"/>
      <c r="AE461" s="36"/>
      <c r="AF461" s="36"/>
      <c r="AG461" s="36"/>
      <c r="AH461" s="36"/>
      <c r="AI461" s="36"/>
      <c r="AJ461" s="36"/>
    </row>
    <row r="462" ht="15.75" customHeight="1">
      <c r="A462" s="36" t="s">
        <v>215</v>
      </c>
      <c r="B462" s="36">
        <v>1.0</v>
      </c>
      <c r="C462" s="36">
        <v>2.0</v>
      </c>
      <c r="D462" s="36">
        <v>3.0</v>
      </c>
      <c r="E462" s="36">
        <v>4.0</v>
      </c>
      <c r="F462" s="36">
        <v>5.0</v>
      </c>
      <c r="G462" s="36">
        <v>6.0</v>
      </c>
      <c r="H462" s="36">
        <v>7.0</v>
      </c>
      <c r="I462" s="36">
        <v>8.0</v>
      </c>
      <c r="J462" s="36">
        <v>9.0</v>
      </c>
      <c r="K462" s="36">
        <v>10.0</v>
      </c>
      <c r="L462" s="36">
        <v>11.0</v>
      </c>
      <c r="M462" s="36">
        <v>12.0</v>
      </c>
      <c r="N462" s="36">
        <v>13.0</v>
      </c>
      <c r="O462" s="36">
        <v>14.0</v>
      </c>
      <c r="P462" s="36">
        <v>15.0</v>
      </c>
      <c r="Q462" s="36">
        <v>16.0</v>
      </c>
      <c r="R462" s="36">
        <v>17.0</v>
      </c>
      <c r="S462" s="36">
        <v>18.0</v>
      </c>
      <c r="T462" s="36">
        <v>19.0</v>
      </c>
      <c r="U462" s="36">
        <v>20.0</v>
      </c>
      <c r="V462" s="36">
        <v>21.0</v>
      </c>
      <c r="W462" s="36">
        <v>22.0</v>
      </c>
      <c r="X462" s="36">
        <v>23.0</v>
      </c>
      <c r="Y462" s="36">
        <v>24.0</v>
      </c>
      <c r="Z462" s="36">
        <v>25.0</v>
      </c>
      <c r="AA462" s="36">
        <v>26.0</v>
      </c>
      <c r="AB462" s="36">
        <v>27.0</v>
      </c>
      <c r="AC462" s="36">
        <v>28.0</v>
      </c>
      <c r="AD462" s="36">
        <v>29.0</v>
      </c>
      <c r="AE462" s="36">
        <v>30.0</v>
      </c>
      <c r="AF462" s="36"/>
      <c r="AG462" s="36"/>
      <c r="AH462" s="36"/>
      <c r="AI462" s="36"/>
      <c r="AJ462" s="36"/>
    </row>
    <row r="463" ht="15.75" customHeight="1">
      <c r="A463" s="12" t="s">
        <v>217</v>
      </c>
      <c r="B463" s="36">
        <v>125.0</v>
      </c>
      <c r="C463" s="36">
        <f t="shared" ref="C463:AE463" si="87">B463*1.05</f>
        <v>131.25</v>
      </c>
      <c r="D463" s="36">
        <f t="shared" si="87"/>
        <v>137.8125</v>
      </c>
      <c r="E463" s="36">
        <f t="shared" si="87"/>
        <v>144.703125</v>
      </c>
      <c r="F463" s="36">
        <f t="shared" si="87"/>
        <v>151.9382813</v>
      </c>
      <c r="G463" s="36">
        <f t="shared" si="87"/>
        <v>159.5351953</v>
      </c>
      <c r="H463" s="36">
        <f t="shared" si="87"/>
        <v>167.5119551</v>
      </c>
      <c r="I463" s="36">
        <f t="shared" si="87"/>
        <v>175.8875528</v>
      </c>
      <c r="J463" s="36">
        <f t="shared" si="87"/>
        <v>184.6819305</v>
      </c>
      <c r="K463" s="36">
        <f t="shared" si="87"/>
        <v>193.916027</v>
      </c>
      <c r="L463" s="36">
        <f t="shared" si="87"/>
        <v>203.6118283</v>
      </c>
      <c r="M463" s="36">
        <f t="shared" si="87"/>
        <v>213.7924198</v>
      </c>
      <c r="N463" s="36">
        <f t="shared" si="87"/>
        <v>224.4820408</v>
      </c>
      <c r="O463" s="36">
        <f t="shared" si="87"/>
        <v>235.7061428</v>
      </c>
      <c r="P463" s="36">
        <f t="shared" si="87"/>
        <v>247.4914499</v>
      </c>
      <c r="Q463" s="36">
        <f t="shared" si="87"/>
        <v>259.8660224</v>
      </c>
      <c r="R463" s="36">
        <f t="shared" si="87"/>
        <v>272.8593235</v>
      </c>
      <c r="S463" s="36">
        <f t="shared" si="87"/>
        <v>286.5022897</v>
      </c>
      <c r="T463" s="36">
        <f t="shared" si="87"/>
        <v>300.8274042</v>
      </c>
      <c r="U463" s="36">
        <f t="shared" si="87"/>
        <v>315.8687744</v>
      </c>
      <c r="V463" s="36">
        <f t="shared" si="87"/>
        <v>331.6622131</v>
      </c>
      <c r="W463" s="36">
        <f t="shared" si="87"/>
        <v>348.2453238</v>
      </c>
      <c r="X463" s="36">
        <f t="shared" si="87"/>
        <v>365.65759</v>
      </c>
      <c r="Y463" s="36">
        <f t="shared" si="87"/>
        <v>383.9404695</v>
      </c>
      <c r="Z463" s="36">
        <f t="shared" si="87"/>
        <v>403.137493</v>
      </c>
      <c r="AA463" s="36">
        <f t="shared" si="87"/>
        <v>423.2943676</v>
      </c>
      <c r="AB463" s="36">
        <f t="shared" si="87"/>
        <v>444.459086</v>
      </c>
      <c r="AC463" s="36">
        <f t="shared" si="87"/>
        <v>466.6820403</v>
      </c>
      <c r="AD463" s="36">
        <f t="shared" si="87"/>
        <v>490.0161423</v>
      </c>
      <c r="AE463" s="36">
        <f t="shared" si="87"/>
        <v>514.5169494</v>
      </c>
      <c r="AF463" s="36"/>
      <c r="AG463" s="36"/>
      <c r="AH463" s="36"/>
      <c r="AI463" s="36"/>
      <c r="AJ463" s="36"/>
    </row>
    <row r="464" ht="15.75" customHeight="1">
      <c r="A464" s="370" t="s">
        <v>218</v>
      </c>
      <c r="B464" s="12">
        <v>0.0</v>
      </c>
      <c r="C464" s="12">
        <v>0.0</v>
      </c>
      <c r="D464" s="12">
        <v>0.0</v>
      </c>
      <c r="E464" s="12">
        <v>0.0</v>
      </c>
      <c r="F464" s="12">
        <v>0.0</v>
      </c>
      <c r="G464" s="12">
        <v>0.0</v>
      </c>
      <c r="H464" s="12">
        <v>0.0</v>
      </c>
      <c r="I464" s="12">
        <v>0.0</v>
      </c>
      <c r="J464" s="12">
        <v>0.0</v>
      </c>
      <c r="K464" s="12">
        <v>0.0</v>
      </c>
      <c r="L464" s="12">
        <v>0.0</v>
      </c>
      <c r="M464" s="12">
        <v>0.0</v>
      </c>
      <c r="N464" s="12">
        <v>0.0</v>
      </c>
      <c r="O464" s="12">
        <v>0.0</v>
      </c>
      <c r="P464" s="12">
        <v>0.0</v>
      </c>
      <c r="Q464" s="12">
        <v>0.0</v>
      </c>
      <c r="R464" s="12">
        <v>0.0</v>
      </c>
      <c r="S464" s="12">
        <v>0.0</v>
      </c>
      <c r="T464" s="12">
        <v>0.0</v>
      </c>
      <c r="U464" s="12">
        <v>0.0</v>
      </c>
      <c r="V464" s="12">
        <v>0.0</v>
      </c>
      <c r="W464" s="12">
        <v>0.0</v>
      </c>
      <c r="X464" s="12">
        <v>0.0</v>
      </c>
      <c r="Y464" s="12">
        <v>0.0</v>
      </c>
      <c r="Z464" s="12">
        <v>0.0</v>
      </c>
      <c r="AA464" s="12">
        <v>0.0</v>
      </c>
      <c r="AB464" s="12">
        <v>0.0</v>
      </c>
      <c r="AC464" s="12">
        <v>0.0</v>
      </c>
      <c r="AD464" s="12">
        <v>0.0</v>
      </c>
      <c r="AE464" s="12">
        <v>0.0</v>
      </c>
      <c r="AF464" s="36"/>
      <c r="AG464" s="36"/>
      <c r="AH464" s="36"/>
      <c r="AI464" s="36"/>
      <c r="AJ464" s="36"/>
    </row>
    <row r="465" ht="15.75" customHeight="1">
      <c r="A465" s="380" t="s">
        <v>990</v>
      </c>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c r="AA465" s="36"/>
      <c r="AB465" s="36"/>
      <c r="AC465" s="36"/>
      <c r="AD465" s="36"/>
      <c r="AE465" s="36"/>
      <c r="AF465" s="36"/>
      <c r="AG465" s="36"/>
      <c r="AH465" s="36"/>
      <c r="AI465" s="36"/>
      <c r="AJ465" s="36"/>
    </row>
    <row r="466" ht="15.75" customHeight="1">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c r="AA466" s="36"/>
      <c r="AB466" s="36"/>
      <c r="AC466" s="36"/>
      <c r="AD466" s="36"/>
      <c r="AE466" s="36"/>
      <c r="AF466" s="36"/>
      <c r="AG466" s="36"/>
      <c r="AH466" s="36"/>
      <c r="AI466" s="36"/>
      <c r="AJ466" s="36"/>
    </row>
    <row r="467" ht="15.75" customHeight="1">
      <c r="A467" s="36" t="s">
        <v>215</v>
      </c>
      <c r="B467" s="36">
        <v>1.0</v>
      </c>
      <c r="C467" s="36">
        <v>2.0</v>
      </c>
      <c r="D467" s="36">
        <v>3.0</v>
      </c>
      <c r="E467" s="36">
        <v>4.0</v>
      </c>
      <c r="F467" s="36">
        <v>5.0</v>
      </c>
      <c r="G467" s="36">
        <v>6.0</v>
      </c>
      <c r="H467" s="36">
        <v>7.0</v>
      </c>
      <c r="I467" s="36">
        <v>8.0</v>
      </c>
      <c r="J467" s="36">
        <v>9.0</v>
      </c>
      <c r="K467" s="36">
        <v>10.0</v>
      </c>
      <c r="L467" s="36">
        <v>11.0</v>
      </c>
      <c r="M467" s="36">
        <v>12.0</v>
      </c>
      <c r="N467" s="36">
        <v>13.0</v>
      </c>
      <c r="O467" s="36">
        <v>14.0</v>
      </c>
      <c r="P467" s="36">
        <v>15.0</v>
      </c>
      <c r="Q467" s="36">
        <v>16.0</v>
      </c>
      <c r="R467" s="36">
        <v>17.0</v>
      </c>
      <c r="S467" s="36">
        <v>18.0</v>
      </c>
      <c r="T467" s="36">
        <v>19.0</v>
      </c>
      <c r="U467" s="36">
        <v>20.0</v>
      </c>
      <c r="V467" s="36">
        <v>21.0</v>
      </c>
      <c r="W467" s="36">
        <v>22.0</v>
      </c>
      <c r="X467" s="36">
        <v>23.0</v>
      </c>
      <c r="Y467" s="36">
        <v>24.0</v>
      </c>
      <c r="Z467" s="36">
        <v>25.0</v>
      </c>
      <c r="AA467" s="36">
        <v>26.0</v>
      </c>
      <c r="AB467" s="36">
        <v>27.0</v>
      </c>
      <c r="AC467" s="36">
        <v>28.0</v>
      </c>
      <c r="AD467" s="36">
        <v>29.0</v>
      </c>
      <c r="AE467" s="36">
        <v>30.0</v>
      </c>
      <c r="AF467" s="36"/>
      <c r="AG467" s="36"/>
      <c r="AH467" s="36"/>
      <c r="AI467" s="36"/>
      <c r="AJ467" s="36"/>
    </row>
    <row r="468" ht="15.75" customHeight="1">
      <c r="A468" s="12" t="s">
        <v>217</v>
      </c>
      <c r="B468" s="12">
        <v>0.0</v>
      </c>
      <c r="C468" s="12">
        <v>0.0</v>
      </c>
      <c r="D468" s="12">
        <v>0.0</v>
      </c>
      <c r="E468" s="12">
        <v>0.0</v>
      </c>
      <c r="F468" s="12">
        <v>0.0</v>
      </c>
      <c r="G468" s="12">
        <v>0.0</v>
      </c>
      <c r="H468" s="12">
        <v>0.0</v>
      </c>
      <c r="I468" s="12">
        <v>0.0</v>
      </c>
      <c r="J468" s="12">
        <v>0.0</v>
      </c>
      <c r="K468" s="12">
        <v>0.0</v>
      </c>
      <c r="L468" s="12">
        <v>0.0</v>
      </c>
      <c r="M468" s="12">
        <v>0.0</v>
      </c>
      <c r="N468" s="12">
        <v>0.0</v>
      </c>
      <c r="O468" s="12">
        <v>0.0</v>
      </c>
      <c r="P468" s="12">
        <v>0.0</v>
      </c>
      <c r="Q468" s="12">
        <v>0.0</v>
      </c>
      <c r="R468" s="12">
        <v>0.0</v>
      </c>
      <c r="S468" s="12">
        <v>0.0</v>
      </c>
      <c r="T468" s="12">
        <v>0.0</v>
      </c>
      <c r="U468" s="12">
        <v>0.0</v>
      </c>
      <c r="V468" s="12">
        <v>0.0</v>
      </c>
      <c r="W468" s="12">
        <v>0.0</v>
      </c>
      <c r="X468" s="12">
        <v>0.0</v>
      </c>
      <c r="Y468" s="12">
        <v>0.0</v>
      </c>
      <c r="Z468" s="12">
        <v>0.0</v>
      </c>
      <c r="AA468" s="12">
        <v>0.0</v>
      </c>
      <c r="AB468" s="12">
        <v>0.0</v>
      </c>
      <c r="AC468" s="12">
        <v>0.0</v>
      </c>
      <c r="AD468" s="12">
        <v>0.0</v>
      </c>
      <c r="AE468" s="12">
        <v>0.0</v>
      </c>
      <c r="AF468" s="36"/>
      <c r="AG468" s="36"/>
      <c r="AH468" s="36"/>
      <c r="AI468" s="36"/>
      <c r="AJ468" s="36"/>
    </row>
    <row r="469" ht="15.75" customHeight="1">
      <c r="A469" s="370" t="s">
        <v>218</v>
      </c>
      <c r="B469" s="194">
        <v>0.0025</v>
      </c>
      <c r="C469" s="36">
        <f t="shared" ref="C469:AE469" si="88">B469*1.04</f>
        <v>0.0026</v>
      </c>
      <c r="D469" s="36">
        <f t="shared" si="88"/>
        <v>0.002704</v>
      </c>
      <c r="E469" s="36">
        <f t="shared" si="88"/>
        <v>0.00281216</v>
      </c>
      <c r="F469" s="36">
        <f t="shared" si="88"/>
        <v>0.0029246464</v>
      </c>
      <c r="G469" s="36">
        <f t="shared" si="88"/>
        <v>0.003041632256</v>
      </c>
      <c r="H469" s="36">
        <f t="shared" si="88"/>
        <v>0.003163297546</v>
      </c>
      <c r="I469" s="36">
        <f t="shared" si="88"/>
        <v>0.003289829448</v>
      </c>
      <c r="J469" s="36">
        <f t="shared" si="88"/>
        <v>0.003421422626</v>
      </c>
      <c r="K469" s="36">
        <f t="shared" si="88"/>
        <v>0.003558279531</v>
      </c>
      <c r="L469" s="36">
        <f t="shared" si="88"/>
        <v>0.003700610712</v>
      </c>
      <c r="M469" s="36">
        <f t="shared" si="88"/>
        <v>0.003848635141</v>
      </c>
      <c r="N469" s="36">
        <f t="shared" si="88"/>
        <v>0.004002580546</v>
      </c>
      <c r="O469" s="36">
        <f t="shared" si="88"/>
        <v>0.004162683768</v>
      </c>
      <c r="P469" s="36">
        <f t="shared" si="88"/>
        <v>0.004329191119</v>
      </c>
      <c r="Q469" s="36">
        <f t="shared" si="88"/>
        <v>0.004502358764</v>
      </c>
      <c r="R469" s="36">
        <f t="shared" si="88"/>
        <v>0.004682453114</v>
      </c>
      <c r="S469" s="36">
        <f t="shared" si="88"/>
        <v>0.004869751239</v>
      </c>
      <c r="T469" s="36">
        <f t="shared" si="88"/>
        <v>0.005064541288</v>
      </c>
      <c r="U469" s="36">
        <f t="shared" si="88"/>
        <v>0.00526712294</v>
      </c>
      <c r="V469" s="36">
        <f t="shared" si="88"/>
        <v>0.005477807858</v>
      </c>
      <c r="W469" s="36">
        <f t="shared" si="88"/>
        <v>0.005696920172</v>
      </c>
      <c r="X469" s="36">
        <f t="shared" si="88"/>
        <v>0.005924796979</v>
      </c>
      <c r="Y469" s="36">
        <f t="shared" si="88"/>
        <v>0.006161788858</v>
      </c>
      <c r="Z469" s="36">
        <f t="shared" si="88"/>
        <v>0.006408260412</v>
      </c>
      <c r="AA469" s="36">
        <f t="shared" si="88"/>
        <v>0.006664590829</v>
      </c>
      <c r="AB469" s="36">
        <f t="shared" si="88"/>
        <v>0.006931174462</v>
      </c>
      <c r="AC469" s="36">
        <f t="shared" si="88"/>
        <v>0.00720842144</v>
      </c>
      <c r="AD469" s="36">
        <f t="shared" si="88"/>
        <v>0.007496758298</v>
      </c>
      <c r="AE469" s="36">
        <f t="shared" si="88"/>
        <v>0.00779662863</v>
      </c>
      <c r="AF469" s="36"/>
      <c r="AG469" s="36"/>
      <c r="AH469" s="36"/>
      <c r="AI469" s="36"/>
      <c r="AJ469" s="36"/>
    </row>
    <row r="470" ht="15.75" customHeight="1">
      <c r="A470" s="380" t="s">
        <v>996</v>
      </c>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c r="AA470" s="36"/>
      <c r="AB470" s="36"/>
      <c r="AC470" s="36"/>
      <c r="AD470" s="36"/>
      <c r="AE470" s="36"/>
      <c r="AF470" s="36"/>
      <c r="AG470" s="36"/>
      <c r="AH470" s="36"/>
      <c r="AI470" s="36"/>
      <c r="AJ470" s="36"/>
    </row>
    <row r="471" ht="15.75" customHeight="1">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c r="AA471" s="36"/>
      <c r="AB471" s="36"/>
      <c r="AC471" s="36"/>
      <c r="AD471" s="36"/>
      <c r="AE471" s="36"/>
      <c r="AF471" s="36"/>
      <c r="AG471" s="36"/>
      <c r="AH471" s="36"/>
      <c r="AI471" s="36"/>
      <c r="AJ471" s="36"/>
    </row>
    <row r="472" ht="15.75" customHeight="1">
      <c r="A472" s="36" t="s">
        <v>215</v>
      </c>
      <c r="B472" s="36">
        <v>1.0</v>
      </c>
      <c r="C472" s="36">
        <v>2.0</v>
      </c>
      <c r="D472" s="36">
        <v>3.0</v>
      </c>
      <c r="E472" s="36">
        <v>4.0</v>
      </c>
      <c r="F472" s="36">
        <v>5.0</v>
      </c>
      <c r="G472" s="36">
        <v>6.0</v>
      </c>
      <c r="H472" s="36">
        <v>7.0</v>
      </c>
      <c r="I472" s="36">
        <v>8.0</v>
      </c>
      <c r="J472" s="36">
        <v>9.0</v>
      </c>
      <c r="K472" s="36">
        <v>10.0</v>
      </c>
      <c r="L472" s="36">
        <v>11.0</v>
      </c>
      <c r="M472" s="36">
        <v>12.0</v>
      </c>
      <c r="N472" s="36">
        <v>13.0</v>
      </c>
      <c r="O472" s="36">
        <v>14.0</v>
      </c>
      <c r="P472" s="36">
        <v>15.0</v>
      </c>
      <c r="Q472" s="36">
        <v>16.0</v>
      </c>
      <c r="R472" s="36">
        <v>17.0</v>
      </c>
      <c r="S472" s="36">
        <v>18.0</v>
      </c>
      <c r="T472" s="36">
        <v>19.0</v>
      </c>
      <c r="U472" s="36">
        <v>20.0</v>
      </c>
      <c r="V472" s="36">
        <v>21.0</v>
      </c>
      <c r="W472" s="36">
        <v>22.0</v>
      </c>
      <c r="X472" s="36">
        <v>23.0</v>
      </c>
      <c r="Y472" s="36">
        <v>24.0</v>
      </c>
      <c r="Z472" s="36">
        <v>25.0</v>
      </c>
      <c r="AA472" s="36">
        <v>26.0</v>
      </c>
      <c r="AB472" s="36">
        <v>27.0</v>
      </c>
      <c r="AC472" s="36">
        <v>28.0</v>
      </c>
      <c r="AD472" s="36">
        <v>29.0</v>
      </c>
      <c r="AE472" s="36">
        <v>30.0</v>
      </c>
      <c r="AF472" s="36"/>
      <c r="AG472" s="36"/>
      <c r="AH472" s="36"/>
      <c r="AI472" s="36"/>
      <c r="AJ472" s="36"/>
    </row>
    <row r="473" ht="15.75" customHeight="1">
      <c r="A473" s="12" t="s">
        <v>217</v>
      </c>
      <c r="B473" s="12">
        <v>0.0</v>
      </c>
      <c r="C473" s="12">
        <v>0.0</v>
      </c>
      <c r="D473" s="12">
        <v>0.0</v>
      </c>
      <c r="E473" s="12">
        <v>0.0</v>
      </c>
      <c r="F473" s="12">
        <v>0.0</v>
      </c>
      <c r="G473" s="12">
        <v>0.0</v>
      </c>
      <c r="H473" s="12">
        <v>0.0</v>
      </c>
      <c r="I473" s="12">
        <v>0.0</v>
      </c>
      <c r="J473" s="12">
        <v>0.0</v>
      </c>
      <c r="K473" s="12">
        <v>0.0</v>
      </c>
      <c r="L473" s="12">
        <v>0.0</v>
      </c>
      <c r="M473" s="12">
        <v>0.0</v>
      </c>
      <c r="N473" s="12">
        <v>0.0</v>
      </c>
      <c r="O473" s="12">
        <v>0.0</v>
      </c>
      <c r="P473" s="12">
        <v>0.0</v>
      </c>
      <c r="Q473" s="12">
        <v>0.0</v>
      </c>
      <c r="R473" s="12">
        <v>0.0</v>
      </c>
      <c r="S473" s="12">
        <v>0.0</v>
      </c>
      <c r="T473" s="12">
        <v>0.0</v>
      </c>
      <c r="U473" s="12">
        <v>0.0</v>
      </c>
      <c r="V473" s="12">
        <v>0.0</v>
      </c>
      <c r="W473" s="12">
        <v>0.0</v>
      </c>
      <c r="X473" s="12">
        <v>0.0</v>
      </c>
      <c r="Y473" s="12">
        <v>0.0</v>
      </c>
      <c r="Z473" s="12">
        <v>0.0</v>
      </c>
      <c r="AA473" s="12">
        <v>0.0</v>
      </c>
      <c r="AB473" s="12">
        <v>0.0</v>
      </c>
      <c r="AC473" s="12">
        <v>0.0</v>
      </c>
      <c r="AD473" s="12">
        <v>0.0</v>
      </c>
      <c r="AE473" s="12">
        <v>0.0</v>
      </c>
      <c r="AF473" s="36"/>
      <c r="AG473" s="36"/>
      <c r="AH473" s="36"/>
      <c r="AI473" s="36"/>
      <c r="AJ473" s="36"/>
    </row>
    <row r="474" ht="15.75" customHeight="1">
      <c r="A474" s="370" t="s">
        <v>218</v>
      </c>
      <c r="B474" s="194">
        <v>0.0036</v>
      </c>
      <c r="C474" s="194">
        <v>0.0036</v>
      </c>
      <c r="D474" s="194">
        <v>0.0036</v>
      </c>
      <c r="E474" s="194">
        <v>0.0036</v>
      </c>
      <c r="F474" s="194">
        <v>0.0036</v>
      </c>
      <c r="G474" s="36">
        <f>0.46%</f>
        <v>0.0046</v>
      </c>
      <c r="H474" s="36">
        <f t="shared" ref="H474:AE474" si="89">G474*1.05</f>
        <v>0.00483</v>
      </c>
      <c r="I474" s="36">
        <f t="shared" si="89"/>
        <v>0.0050715</v>
      </c>
      <c r="J474" s="36">
        <f t="shared" si="89"/>
        <v>0.005325075</v>
      </c>
      <c r="K474" s="36">
        <f t="shared" si="89"/>
        <v>0.00559132875</v>
      </c>
      <c r="L474" s="36">
        <f t="shared" si="89"/>
        <v>0.005870895188</v>
      </c>
      <c r="M474" s="36">
        <f t="shared" si="89"/>
        <v>0.006164439947</v>
      </c>
      <c r="N474" s="36">
        <f t="shared" si="89"/>
        <v>0.006472661944</v>
      </c>
      <c r="O474" s="36">
        <f t="shared" si="89"/>
        <v>0.006796295041</v>
      </c>
      <c r="P474" s="36">
        <f t="shared" si="89"/>
        <v>0.007136109794</v>
      </c>
      <c r="Q474" s="36">
        <f t="shared" si="89"/>
        <v>0.007492915283</v>
      </c>
      <c r="R474" s="36">
        <f t="shared" si="89"/>
        <v>0.007867561047</v>
      </c>
      <c r="S474" s="36">
        <f t="shared" si="89"/>
        <v>0.0082609391</v>
      </c>
      <c r="T474" s="36">
        <f t="shared" si="89"/>
        <v>0.008673986055</v>
      </c>
      <c r="U474" s="36">
        <f t="shared" si="89"/>
        <v>0.009107685357</v>
      </c>
      <c r="V474" s="36">
        <f t="shared" si="89"/>
        <v>0.009563069625</v>
      </c>
      <c r="W474" s="36">
        <f t="shared" si="89"/>
        <v>0.01004122311</v>
      </c>
      <c r="X474" s="36">
        <f t="shared" si="89"/>
        <v>0.01054328426</v>
      </c>
      <c r="Y474" s="36">
        <f t="shared" si="89"/>
        <v>0.01107044847</v>
      </c>
      <c r="Z474" s="36">
        <f t="shared" si="89"/>
        <v>0.0116239709</v>
      </c>
      <c r="AA474" s="36">
        <f t="shared" si="89"/>
        <v>0.01220516944</v>
      </c>
      <c r="AB474" s="36">
        <f t="shared" si="89"/>
        <v>0.01281542792</v>
      </c>
      <c r="AC474" s="36">
        <f t="shared" si="89"/>
        <v>0.01345619931</v>
      </c>
      <c r="AD474" s="36">
        <f t="shared" si="89"/>
        <v>0.01412900928</v>
      </c>
      <c r="AE474" s="36">
        <f t="shared" si="89"/>
        <v>0.01483545974</v>
      </c>
      <c r="AF474" s="36"/>
      <c r="AG474" s="36"/>
      <c r="AH474" s="36"/>
      <c r="AI474" s="36"/>
      <c r="AJ474" s="36"/>
    </row>
    <row r="475" ht="15.75" customHeight="1">
      <c r="A475" s="380" t="s">
        <v>1003</v>
      </c>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c r="AA475" s="36"/>
      <c r="AB475" s="36"/>
      <c r="AC475" s="36"/>
      <c r="AD475" s="36"/>
      <c r="AE475" s="36"/>
      <c r="AF475" s="36"/>
      <c r="AG475" s="36"/>
      <c r="AH475" s="36"/>
      <c r="AI475" s="36"/>
      <c r="AJ475" s="36"/>
    </row>
    <row r="476" ht="15.75" customHeight="1">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c r="AA476" s="36"/>
      <c r="AB476" s="36"/>
      <c r="AC476" s="36"/>
      <c r="AD476" s="36"/>
      <c r="AE476" s="36"/>
      <c r="AF476" s="36"/>
      <c r="AG476" s="36"/>
      <c r="AH476" s="36"/>
      <c r="AI476" s="36"/>
      <c r="AJ476" s="36"/>
    </row>
    <row r="477" ht="15.75" customHeight="1">
      <c r="A477" s="36" t="s">
        <v>215</v>
      </c>
      <c r="B477" s="36">
        <v>1.0</v>
      </c>
      <c r="C477" s="36">
        <v>2.0</v>
      </c>
      <c r="D477" s="36">
        <v>3.0</v>
      </c>
      <c r="E477" s="36">
        <v>4.0</v>
      </c>
      <c r="F477" s="36">
        <v>5.0</v>
      </c>
      <c r="G477" s="36">
        <v>6.0</v>
      </c>
      <c r="H477" s="36">
        <v>7.0</v>
      </c>
      <c r="I477" s="36">
        <v>8.0</v>
      </c>
      <c r="J477" s="36">
        <v>9.0</v>
      </c>
      <c r="K477" s="36">
        <v>10.0</v>
      </c>
      <c r="L477" s="36">
        <v>11.0</v>
      </c>
      <c r="M477" s="36">
        <v>12.0</v>
      </c>
      <c r="N477" s="36">
        <v>13.0</v>
      </c>
      <c r="O477" s="36">
        <v>14.0</v>
      </c>
      <c r="P477" s="36">
        <v>15.0</v>
      </c>
      <c r="Q477" s="36">
        <v>16.0</v>
      </c>
      <c r="R477" s="36">
        <v>17.0</v>
      </c>
      <c r="S477" s="36">
        <v>18.0</v>
      </c>
      <c r="T477" s="36">
        <v>19.0</v>
      </c>
      <c r="U477" s="36">
        <v>20.0</v>
      </c>
      <c r="V477" s="36">
        <v>21.0</v>
      </c>
      <c r="W477" s="36">
        <v>22.0</v>
      </c>
      <c r="X477" s="36">
        <v>23.0</v>
      </c>
      <c r="Y477" s="36">
        <v>24.0</v>
      </c>
      <c r="Z477" s="36">
        <v>25.0</v>
      </c>
      <c r="AA477" s="36">
        <v>26.0</v>
      </c>
      <c r="AB477" s="36">
        <v>27.0</v>
      </c>
      <c r="AC477" s="36">
        <v>28.0</v>
      </c>
      <c r="AD477" s="36">
        <v>29.0</v>
      </c>
      <c r="AE477" s="36">
        <v>30.0</v>
      </c>
      <c r="AF477" s="36"/>
      <c r="AG477" s="36"/>
      <c r="AH477" s="36"/>
      <c r="AI477" s="36"/>
      <c r="AJ477" s="36"/>
    </row>
    <row r="478" ht="15.75" customHeight="1">
      <c r="A478" s="12" t="s">
        <v>217</v>
      </c>
      <c r="B478" s="12">
        <v>0.0</v>
      </c>
      <c r="C478" s="12">
        <v>0.0</v>
      </c>
      <c r="D478" s="12">
        <v>0.0</v>
      </c>
      <c r="E478" s="12">
        <v>0.0</v>
      </c>
      <c r="F478" s="12">
        <v>0.0</v>
      </c>
      <c r="G478" s="12">
        <v>0.0</v>
      </c>
      <c r="H478" s="12">
        <v>0.0</v>
      </c>
      <c r="I478" s="12">
        <v>0.0</v>
      </c>
      <c r="J478" s="12">
        <v>0.0</v>
      </c>
      <c r="K478" s="12">
        <v>0.0</v>
      </c>
      <c r="L478" s="12">
        <v>0.0</v>
      </c>
      <c r="M478" s="12">
        <v>0.0</v>
      </c>
      <c r="N478" s="12">
        <v>0.0</v>
      </c>
      <c r="O478" s="12">
        <v>0.0</v>
      </c>
      <c r="P478" s="12">
        <v>0.0</v>
      </c>
      <c r="Q478" s="12">
        <v>0.0</v>
      </c>
      <c r="R478" s="12">
        <v>0.0</v>
      </c>
      <c r="S478" s="12">
        <v>0.0</v>
      </c>
      <c r="T478" s="12">
        <v>0.0</v>
      </c>
      <c r="U478" s="12">
        <v>0.0</v>
      </c>
      <c r="V478" s="12">
        <v>0.0</v>
      </c>
      <c r="W478" s="12">
        <v>0.0</v>
      </c>
      <c r="X478" s="12">
        <v>0.0</v>
      </c>
      <c r="Y478" s="12">
        <v>0.0</v>
      </c>
      <c r="Z478" s="12">
        <v>0.0</v>
      </c>
      <c r="AA478" s="12">
        <v>0.0</v>
      </c>
      <c r="AB478" s="12">
        <v>0.0</v>
      </c>
      <c r="AC478" s="12">
        <v>0.0</v>
      </c>
      <c r="AD478" s="12">
        <v>0.0</v>
      </c>
      <c r="AE478" s="12">
        <v>0.0</v>
      </c>
      <c r="AF478" s="36"/>
      <c r="AG478" s="36"/>
      <c r="AH478" s="36"/>
      <c r="AI478" s="36"/>
      <c r="AJ478" s="36"/>
    </row>
    <row r="479" ht="15.75" customHeight="1">
      <c r="A479" s="370" t="s">
        <v>218</v>
      </c>
      <c r="B479" s="36">
        <f>0.24%</f>
        <v>0.0024</v>
      </c>
      <c r="C479" s="36">
        <f t="shared" ref="C479:AE479" si="90">B479*1.04</f>
        <v>0.002496</v>
      </c>
      <c r="D479" s="36">
        <f t="shared" si="90"/>
        <v>0.00259584</v>
      </c>
      <c r="E479" s="36">
        <f t="shared" si="90"/>
        <v>0.0026996736</v>
      </c>
      <c r="F479" s="36">
        <f t="shared" si="90"/>
        <v>0.002807660544</v>
      </c>
      <c r="G479" s="36">
        <f t="shared" si="90"/>
        <v>0.002919966966</v>
      </c>
      <c r="H479" s="36">
        <f t="shared" si="90"/>
        <v>0.003036765644</v>
      </c>
      <c r="I479" s="36">
        <f t="shared" si="90"/>
        <v>0.00315823627</v>
      </c>
      <c r="J479" s="36">
        <f t="shared" si="90"/>
        <v>0.003284565721</v>
      </c>
      <c r="K479" s="36">
        <f t="shared" si="90"/>
        <v>0.00341594835</v>
      </c>
      <c r="L479" s="36">
        <f t="shared" si="90"/>
        <v>0.003552586284</v>
      </c>
      <c r="M479" s="36">
        <f t="shared" si="90"/>
        <v>0.003694689735</v>
      </c>
      <c r="N479" s="36">
        <f t="shared" si="90"/>
        <v>0.003842477325</v>
      </c>
      <c r="O479" s="36">
        <f t="shared" si="90"/>
        <v>0.003996176418</v>
      </c>
      <c r="P479" s="36">
        <f t="shared" si="90"/>
        <v>0.004156023474</v>
      </c>
      <c r="Q479" s="36">
        <f t="shared" si="90"/>
        <v>0.004322264413</v>
      </c>
      <c r="R479" s="36">
        <f t="shared" si="90"/>
        <v>0.00449515499</v>
      </c>
      <c r="S479" s="36">
        <f t="shared" si="90"/>
        <v>0.004674961189</v>
      </c>
      <c r="T479" s="36">
        <f t="shared" si="90"/>
        <v>0.004861959637</v>
      </c>
      <c r="U479" s="36">
        <f t="shared" si="90"/>
        <v>0.005056438022</v>
      </c>
      <c r="V479" s="36">
        <f t="shared" si="90"/>
        <v>0.005258695543</v>
      </c>
      <c r="W479" s="36">
        <f t="shared" si="90"/>
        <v>0.005469043365</v>
      </c>
      <c r="X479" s="36">
        <f t="shared" si="90"/>
        <v>0.0056878051</v>
      </c>
      <c r="Y479" s="36">
        <f t="shared" si="90"/>
        <v>0.005915317304</v>
      </c>
      <c r="Z479" s="36">
        <f t="shared" si="90"/>
        <v>0.006151929996</v>
      </c>
      <c r="AA479" s="36">
        <f t="shared" si="90"/>
        <v>0.006398007196</v>
      </c>
      <c r="AB479" s="36">
        <f t="shared" si="90"/>
        <v>0.006653927483</v>
      </c>
      <c r="AC479" s="36">
        <f t="shared" si="90"/>
        <v>0.006920084583</v>
      </c>
      <c r="AD479" s="36">
        <f t="shared" si="90"/>
        <v>0.007196887966</v>
      </c>
      <c r="AE479" s="36">
        <f t="shared" si="90"/>
        <v>0.007484763485</v>
      </c>
      <c r="AF479" s="36"/>
      <c r="AG479" s="36"/>
      <c r="AH479" s="36"/>
      <c r="AI479" s="36"/>
      <c r="AJ479" s="36"/>
    </row>
    <row r="480" ht="15.75" customHeight="1">
      <c r="A480" s="380" t="s">
        <v>1009</v>
      </c>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c r="AA480" s="36"/>
      <c r="AB480" s="36"/>
      <c r="AC480" s="36"/>
      <c r="AD480" s="36"/>
      <c r="AE480" s="36"/>
      <c r="AF480" s="36"/>
      <c r="AG480" s="36"/>
      <c r="AH480" s="36"/>
      <c r="AI480" s="36"/>
      <c r="AJ480" s="36"/>
    </row>
    <row r="481" ht="15.75" customHeight="1">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c r="AA481" s="36"/>
      <c r="AB481" s="36"/>
      <c r="AC481" s="36"/>
      <c r="AD481" s="36"/>
      <c r="AE481" s="36"/>
      <c r="AF481" s="36"/>
      <c r="AG481" s="36"/>
      <c r="AH481" s="36"/>
      <c r="AI481" s="36"/>
      <c r="AJ481" s="36"/>
    </row>
    <row r="482" ht="15.75" customHeight="1">
      <c r="A482" s="36" t="s">
        <v>215</v>
      </c>
      <c r="B482" s="36">
        <v>1.0</v>
      </c>
      <c r="C482" s="36">
        <v>2.0</v>
      </c>
      <c r="D482" s="36">
        <v>3.0</v>
      </c>
      <c r="E482" s="36">
        <v>4.0</v>
      </c>
      <c r="F482" s="36">
        <v>5.0</v>
      </c>
      <c r="G482" s="36">
        <v>6.0</v>
      </c>
      <c r="H482" s="36">
        <v>7.0</v>
      </c>
      <c r="I482" s="36">
        <v>8.0</v>
      </c>
      <c r="J482" s="36">
        <v>9.0</v>
      </c>
      <c r="K482" s="36">
        <v>10.0</v>
      </c>
      <c r="L482" s="36">
        <v>11.0</v>
      </c>
      <c r="M482" s="36">
        <v>12.0</v>
      </c>
      <c r="N482" s="36">
        <v>13.0</v>
      </c>
      <c r="O482" s="36">
        <v>14.0</v>
      </c>
      <c r="P482" s="36">
        <v>15.0</v>
      </c>
      <c r="Q482" s="36">
        <v>16.0</v>
      </c>
      <c r="R482" s="36">
        <v>17.0</v>
      </c>
      <c r="S482" s="36">
        <v>18.0</v>
      </c>
      <c r="T482" s="36">
        <v>19.0</v>
      </c>
      <c r="U482" s="36">
        <v>20.0</v>
      </c>
      <c r="V482" s="36">
        <v>21.0</v>
      </c>
      <c r="W482" s="36">
        <v>22.0</v>
      </c>
      <c r="X482" s="36">
        <v>23.0</v>
      </c>
      <c r="Y482" s="36">
        <v>24.0</v>
      </c>
      <c r="Z482" s="36">
        <v>25.0</v>
      </c>
      <c r="AA482" s="36">
        <v>26.0</v>
      </c>
      <c r="AB482" s="36">
        <v>27.0</v>
      </c>
      <c r="AC482" s="36">
        <v>28.0</v>
      </c>
      <c r="AD482" s="36">
        <v>29.0</v>
      </c>
      <c r="AE482" s="36">
        <v>30.0</v>
      </c>
      <c r="AF482" s="36"/>
      <c r="AG482" s="36"/>
      <c r="AH482" s="36"/>
      <c r="AI482" s="36"/>
      <c r="AJ482" s="36"/>
    </row>
    <row r="483" ht="15.75" customHeight="1">
      <c r="A483" s="12" t="s">
        <v>217</v>
      </c>
      <c r="B483" s="12">
        <v>0.0</v>
      </c>
      <c r="C483" s="12">
        <v>0.0</v>
      </c>
      <c r="D483" s="12">
        <v>0.0</v>
      </c>
      <c r="E483" s="12">
        <v>0.0</v>
      </c>
      <c r="F483" s="12">
        <v>0.0</v>
      </c>
      <c r="G483" s="12">
        <v>0.0</v>
      </c>
      <c r="H483" s="12">
        <v>0.0</v>
      </c>
      <c r="I483" s="12">
        <v>0.0</v>
      </c>
      <c r="J483" s="12">
        <v>0.0</v>
      </c>
      <c r="K483" s="12">
        <v>0.0</v>
      </c>
      <c r="L483" s="12">
        <v>0.0</v>
      </c>
      <c r="M483" s="12">
        <v>0.0</v>
      </c>
      <c r="N483" s="12">
        <v>0.0</v>
      </c>
      <c r="O483" s="12">
        <v>0.0</v>
      </c>
      <c r="P483" s="12">
        <v>0.0</v>
      </c>
      <c r="Q483" s="12">
        <v>0.0</v>
      </c>
      <c r="R483" s="12">
        <v>0.0</v>
      </c>
      <c r="S483" s="12">
        <v>0.0</v>
      </c>
      <c r="T483" s="12">
        <v>0.0</v>
      </c>
      <c r="U483" s="12">
        <v>0.0</v>
      </c>
      <c r="V483" s="12">
        <v>0.0</v>
      </c>
      <c r="W483" s="12">
        <v>0.0</v>
      </c>
      <c r="X483" s="12">
        <v>0.0</v>
      </c>
      <c r="Y483" s="12">
        <v>0.0</v>
      </c>
      <c r="Z483" s="12">
        <v>0.0</v>
      </c>
      <c r="AA483" s="12">
        <v>0.0</v>
      </c>
      <c r="AB483" s="12">
        <v>0.0</v>
      </c>
      <c r="AC483" s="12">
        <v>0.0</v>
      </c>
      <c r="AD483" s="12">
        <v>0.0</v>
      </c>
      <c r="AE483" s="12">
        <v>0.0</v>
      </c>
      <c r="AF483" s="36"/>
      <c r="AG483" s="36"/>
      <c r="AH483" s="36"/>
      <c r="AI483" s="36"/>
      <c r="AJ483" s="36"/>
    </row>
    <row r="484" ht="15.75" customHeight="1">
      <c r="A484" s="370" t="s">
        <v>218</v>
      </c>
      <c r="B484" s="36">
        <f>0.33%</f>
        <v>0.0033</v>
      </c>
      <c r="C484" s="36">
        <f t="shared" ref="C484:AE484" si="91">B484*1.04</f>
        <v>0.003432</v>
      </c>
      <c r="D484" s="36">
        <f t="shared" si="91"/>
        <v>0.00356928</v>
      </c>
      <c r="E484" s="36">
        <f t="shared" si="91"/>
        <v>0.0037120512</v>
      </c>
      <c r="F484" s="36">
        <f t="shared" si="91"/>
        <v>0.003860533248</v>
      </c>
      <c r="G484" s="36">
        <f t="shared" si="91"/>
        <v>0.004014954578</v>
      </c>
      <c r="H484" s="36">
        <f t="shared" si="91"/>
        <v>0.004175552761</v>
      </c>
      <c r="I484" s="36">
        <f t="shared" si="91"/>
        <v>0.004342574871</v>
      </c>
      <c r="J484" s="36">
        <f t="shared" si="91"/>
        <v>0.004516277866</v>
      </c>
      <c r="K484" s="36">
        <f t="shared" si="91"/>
        <v>0.004696928981</v>
      </c>
      <c r="L484" s="36">
        <f t="shared" si="91"/>
        <v>0.00488480614</v>
      </c>
      <c r="M484" s="36">
        <f t="shared" si="91"/>
        <v>0.005080198386</v>
      </c>
      <c r="N484" s="36">
        <f t="shared" si="91"/>
        <v>0.005283406321</v>
      </c>
      <c r="O484" s="36">
        <f t="shared" si="91"/>
        <v>0.005494742574</v>
      </c>
      <c r="P484" s="36">
        <f t="shared" si="91"/>
        <v>0.005714532277</v>
      </c>
      <c r="Q484" s="36">
        <f t="shared" si="91"/>
        <v>0.005943113568</v>
      </c>
      <c r="R484" s="36">
        <f t="shared" si="91"/>
        <v>0.006180838111</v>
      </c>
      <c r="S484" s="36">
        <f t="shared" si="91"/>
        <v>0.006428071635</v>
      </c>
      <c r="T484" s="36">
        <f t="shared" si="91"/>
        <v>0.006685194501</v>
      </c>
      <c r="U484" s="36">
        <f t="shared" si="91"/>
        <v>0.006952602281</v>
      </c>
      <c r="V484" s="36">
        <f t="shared" si="91"/>
        <v>0.007230706372</v>
      </c>
      <c r="W484" s="36">
        <f t="shared" si="91"/>
        <v>0.007519934627</v>
      </c>
      <c r="X484" s="36">
        <f t="shared" si="91"/>
        <v>0.007820732012</v>
      </c>
      <c r="Y484" s="36">
        <f t="shared" si="91"/>
        <v>0.008133561292</v>
      </c>
      <c r="Z484" s="36">
        <f t="shared" si="91"/>
        <v>0.008458903744</v>
      </c>
      <c r="AA484" s="36">
        <f t="shared" si="91"/>
        <v>0.008797259894</v>
      </c>
      <c r="AB484" s="36">
        <f t="shared" si="91"/>
        <v>0.00914915029</v>
      </c>
      <c r="AC484" s="36">
        <f t="shared" si="91"/>
        <v>0.009515116301</v>
      </c>
      <c r="AD484" s="36">
        <f t="shared" si="91"/>
        <v>0.009895720953</v>
      </c>
      <c r="AE484" s="36">
        <f t="shared" si="91"/>
        <v>0.01029154979</v>
      </c>
      <c r="AF484" s="36"/>
      <c r="AG484" s="36"/>
      <c r="AH484" s="36"/>
      <c r="AI484" s="36"/>
      <c r="AJ484" s="36"/>
    </row>
    <row r="485" ht="15.75" customHeight="1">
      <c r="A485" s="380" t="s">
        <v>1016</v>
      </c>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c r="AA485" s="36"/>
      <c r="AB485" s="36"/>
      <c r="AC485" s="36"/>
      <c r="AD485" s="36"/>
      <c r="AE485" s="36"/>
      <c r="AF485" s="36"/>
      <c r="AG485" s="36"/>
      <c r="AH485" s="36"/>
      <c r="AI485" s="36"/>
      <c r="AJ485" s="36"/>
    </row>
    <row r="486" ht="15.75" customHeight="1">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c r="AA486" s="36"/>
      <c r="AB486" s="36"/>
      <c r="AC486" s="36"/>
      <c r="AD486" s="36"/>
      <c r="AE486" s="36"/>
      <c r="AF486" s="36"/>
      <c r="AG486" s="36"/>
      <c r="AH486" s="36"/>
      <c r="AI486" s="36"/>
      <c r="AJ486" s="36"/>
    </row>
    <row r="487" ht="15.75" customHeight="1">
      <c r="A487" s="36" t="s">
        <v>215</v>
      </c>
      <c r="B487" s="36">
        <v>1.0</v>
      </c>
      <c r="C487" s="36">
        <v>2.0</v>
      </c>
      <c r="D487" s="36">
        <v>3.0</v>
      </c>
      <c r="E487" s="36">
        <v>4.0</v>
      </c>
      <c r="F487" s="36">
        <v>5.0</v>
      </c>
      <c r="G487" s="36">
        <v>6.0</v>
      </c>
      <c r="H487" s="36">
        <v>7.0</v>
      </c>
      <c r="I487" s="36">
        <v>8.0</v>
      </c>
      <c r="J487" s="36">
        <v>9.0</v>
      </c>
      <c r="K487" s="36">
        <v>10.0</v>
      </c>
      <c r="L487" s="36">
        <v>11.0</v>
      </c>
      <c r="M487" s="36">
        <v>12.0</v>
      </c>
      <c r="N487" s="36">
        <v>13.0</v>
      </c>
      <c r="O487" s="36">
        <v>14.0</v>
      </c>
      <c r="P487" s="36">
        <v>15.0</v>
      </c>
      <c r="Q487" s="36">
        <v>16.0</v>
      </c>
      <c r="R487" s="36">
        <v>17.0</v>
      </c>
      <c r="S487" s="36">
        <v>18.0</v>
      </c>
      <c r="T487" s="36">
        <v>19.0</v>
      </c>
      <c r="U487" s="36">
        <v>20.0</v>
      </c>
      <c r="V487" s="36">
        <v>21.0</v>
      </c>
      <c r="W487" s="36">
        <v>22.0</v>
      </c>
      <c r="X487" s="36">
        <v>23.0</v>
      </c>
      <c r="Y487" s="36">
        <v>24.0</v>
      </c>
      <c r="Z487" s="36">
        <v>25.0</v>
      </c>
      <c r="AA487" s="36">
        <v>26.0</v>
      </c>
      <c r="AB487" s="36">
        <v>27.0</v>
      </c>
      <c r="AC487" s="36">
        <v>28.0</v>
      </c>
      <c r="AD487" s="36">
        <v>29.0</v>
      </c>
      <c r="AE487" s="36">
        <v>30.0</v>
      </c>
      <c r="AF487" s="36"/>
      <c r="AG487" s="36"/>
      <c r="AH487" s="36"/>
      <c r="AI487" s="36"/>
      <c r="AJ487" s="36"/>
    </row>
    <row r="488" ht="15.75" customHeight="1">
      <c r="A488" s="12" t="s">
        <v>217</v>
      </c>
      <c r="B488" s="12">
        <v>0.0</v>
      </c>
      <c r="C488" s="12">
        <v>0.0</v>
      </c>
      <c r="D488" s="12">
        <v>0.0</v>
      </c>
      <c r="E488" s="12">
        <v>0.0</v>
      </c>
      <c r="F488" s="12">
        <v>0.0</v>
      </c>
      <c r="G488" s="12">
        <v>0.0</v>
      </c>
      <c r="H488" s="12">
        <v>0.0</v>
      </c>
      <c r="I488" s="12">
        <v>0.0</v>
      </c>
      <c r="J488" s="12">
        <v>0.0</v>
      </c>
      <c r="K488" s="12">
        <v>0.0</v>
      </c>
      <c r="L488" s="12">
        <v>0.0</v>
      </c>
      <c r="M488" s="12">
        <v>0.0</v>
      </c>
      <c r="N488" s="12">
        <v>0.0</v>
      </c>
      <c r="O488" s="12">
        <v>0.0</v>
      </c>
      <c r="P488" s="12">
        <v>0.0</v>
      </c>
      <c r="Q488" s="12">
        <v>0.0</v>
      </c>
      <c r="R488" s="12">
        <v>0.0</v>
      </c>
      <c r="S488" s="12">
        <v>0.0</v>
      </c>
      <c r="T488" s="12">
        <v>0.0</v>
      </c>
      <c r="U488" s="12">
        <v>0.0</v>
      </c>
      <c r="V488" s="12">
        <v>0.0</v>
      </c>
      <c r="W488" s="12">
        <v>0.0</v>
      </c>
      <c r="X488" s="12">
        <v>0.0</v>
      </c>
      <c r="Y488" s="12">
        <v>0.0</v>
      </c>
      <c r="Z488" s="12">
        <v>0.0</v>
      </c>
      <c r="AA488" s="12">
        <v>0.0</v>
      </c>
      <c r="AB488" s="12">
        <v>0.0</v>
      </c>
      <c r="AC488" s="12">
        <v>0.0</v>
      </c>
      <c r="AD488" s="12">
        <v>0.0</v>
      </c>
      <c r="AE488" s="12">
        <v>0.0</v>
      </c>
      <c r="AF488" s="36"/>
      <c r="AG488" s="36"/>
      <c r="AH488" s="36"/>
      <c r="AI488" s="36"/>
      <c r="AJ488" s="36"/>
    </row>
    <row r="489" ht="15.75" customHeight="1">
      <c r="A489" s="370" t="s">
        <v>218</v>
      </c>
      <c r="B489" s="36">
        <f>0.32%</f>
        <v>0.0032</v>
      </c>
      <c r="C489" s="36">
        <f t="shared" ref="C489:AE489" si="92">B489*1.05</f>
        <v>0.00336</v>
      </c>
      <c r="D489" s="36">
        <f t="shared" si="92"/>
        <v>0.003528</v>
      </c>
      <c r="E489" s="36">
        <f t="shared" si="92"/>
        <v>0.0037044</v>
      </c>
      <c r="F489" s="36">
        <f t="shared" si="92"/>
        <v>0.00388962</v>
      </c>
      <c r="G489" s="36">
        <f t="shared" si="92"/>
        <v>0.004084101</v>
      </c>
      <c r="H489" s="36">
        <f t="shared" si="92"/>
        <v>0.00428830605</v>
      </c>
      <c r="I489" s="36">
        <f t="shared" si="92"/>
        <v>0.004502721353</v>
      </c>
      <c r="J489" s="36">
        <f t="shared" si="92"/>
        <v>0.00472785742</v>
      </c>
      <c r="K489" s="36">
        <f t="shared" si="92"/>
        <v>0.004964250291</v>
      </c>
      <c r="L489" s="36">
        <f t="shared" si="92"/>
        <v>0.005212462806</v>
      </c>
      <c r="M489" s="36">
        <f t="shared" si="92"/>
        <v>0.005473085946</v>
      </c>
      <c r="N489" s="36">
        <f t="shared" si="92"/>
        <v>0.005746740243</v>
      </c>
      <c r="O489" s="36">
        <f t="shared" si="92"/>
        <v>0.006034077255</v>
      </c>
      <c r="P489" s="36">
        <f t="shared" si="92"/>
        <v>0.006335781118</v>
      </c>
      <c r="Q489" s="36">
        <f t="shared" si="92"/>
        <v>0.006652570174</v>
      </c>
      <c r="R489" s="36">
        <f t="shared" si="92"/>
        <v>0.006985198683</v>
      </c>
      <c r="S489" s="36">
        <f t="shared" si="92"/>
        <v>0.007334458617</v>
      </c>
      <c r="T489" s="36">
        <f t="shared" si="92"/>
        <v>0.007701181548</v>
      </c>
      <c r="U489" s="36">
        <f t="shared" si="92"/>
        <v>0.008086240625</v>
      </c>
      <c r="V489" s="36">
        <f t="shared" si="92"/>
        <v>0.008490552656</v>
      </c>
      <c r="W489" s="36">
        <f t="shared" si="92"/>
        <v>0.008915080289</v>
      </c>
      <c r="X489" s="36">
        <f t="shared" si="92"/>
        <v>0.009360834304</v>
      </c>
      <c r="Y489" s="36">
        <f t="shared" si="92"/>
        <v>0.009828876019</v>
      </c>
      <c r="Z489" s="36">
        <f t="shared" si="92"/>
        <v>0.01032031982</v>
      </c>
      <c r="AA489" s="36">
        <f t="shared" si="92"/>
        <v>0.01083633581</v>
      </c>
      <c r="AB489" s="36">
        <f t="shared" si="92"/>
        <v>0.0113781526</v>
      </c>
      <c r="AC489" s="36">
        <f t="shared" si="92"/>
        <v>0.01194706023</v>
      </c>
      <c r="AD489" s="36">
        <f t="shared" si="92"/>
        <v>0.01254441324</v>
      </c>
      <c r="AE489" s="36">
        <f t="shared" si="92"/>
        <v>0.01317163391</v>
      </c>
      <c r="AF489" s="36"/>
      <c r="AG489" s="36"/>
      <c r="AH489" s="36"/>
      <c r="AI489" s="36"/>
      <c r="AJ489" s="36"/>
    </row>
    <row r="490" ht="15.75" customHeight="1">
      <c r="A490" s="380" t="s">
        <v>1025</v>
      </c>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c r="AA490" s="36"/>
      <c r="AB490" s="36"/>
      <c r="AC490" s="36"/>
      <c r="AD490" s="36"/>
      <c r="AE490" s="36"/>
      <c r="AF490" s="36"/>
      <c r="AG490" s="36"/>
      <c r="AH490" s="36"/>
      <c r="AI490" s="36"/>
      <c r="AJ490" s="36"/>
    </row>
    <row r="491" ht="15.75" customHeight="1">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c r="AA491" s="36"/>
      <c r="AB491" s="36"/>
      <c r="AC491" s="36"/>
      <c r="AD491" s="36"/>
      <c r="AE491" s="36"/>
      <c r="AF491" s="36"/>
      <c r="AG491" s="36"/>
      <c r="AH491" s="36"/>
      <c r="AI491" s="36"/>
      <c r="AJ491" s="36"/>
    </row>
    <row r="492" ht="15.75" customHeight="1">
      <c r="A492" s="36" t="s">
        <v>215</v>
      </c>
      <c r="B492" s="36">
        <v>1.0</v>
      </c>
      <c r="C492" s="36">
        <v>2.0</v>
      </c>
      <c r="D492" s="36">
        <v>3.0</v>
      </c>
      <c r="E492" s="36">
        <v>4.0</v>
      </c>
      <c r="F492" s="36">
        <v>5.0</v>
      </c>
      <c r="G492" s="36">
        <v>6.0</v>
      </c>
      <c r="H492" s="36">
        <v>7.0</v>
      </c>
      <c r="I492" s="36">
        <v>8.0</v>
      </c>
      <c r="J492" s="36">
        <v>9.0</v>
      </c>
      <c r="K492" s="36">
        <v>10.0</v>
      </c>
      <c r="L492" s="36">
        <v>11.0</v>
      </c>
      <c r="M492" s="36">
        <v>12.0</v>
      </c>
      <c r="N492" s="36">
        <v>13.0</v>
      </c>
      <c r="O492" s="36">
        <v>14.0</v>
      </c>
      <c r="P492" s="36">
        <v>15.0</v>
      </c>
      <c r="Q492" s="36">
        <v>16.0</v>
      </c>
      <c r="R492" s="36">
        <v>17.0</v>
      </c>
      <c r="S492" s="36">
        <v>18.0</v>
      </c>
      <c r="T492" s="36">
        <v>19.0</v>
      </c>
      <c r="U492" s="36">
        <v>20.0</v>
      </c>
      <c r="V492" s="36">
        <v>21.0</v>
      </c>
      <c r="W492" s="36">
        <v>22.0</v>
      </c>
      <c r="X492" s="36">
        <v>23.0</v>
      </c>
      <c r="Y492" s="36">
        <v>24.0</v>
      </c>
      <c r="Z492" s="36">
        <v>25.0</v>
      </c>
      <c r="AA492" s="36">
        <v>26.0</v>
      </c>
      <c r="AB492" s="36">
        <v>27.0</v>
      </c>
      <c r="AC492" s="36">
        <v>28.0</v>
      </c>
      <c r="AD492" s="36">
        <v>29.0</v>
      </c>
      <c r="AE492" s="36">
        <v>30.0</v>
      </c>
      <c r="AF492" s="36"/>
      <c r="AG492" s="36"/>
      <c r="AH492" s="36"/>
      <c r="AI492" s="36"/>
      <c r="AJ492" s="36"/>
    </row>
    <row r="493" ht="15.75" customHeight="1">
      <c r="A493" s="12" t="s">
        <v>217</v>
      </c>
      <c r="B493" s="36">
        <v>400.0</v>
      </c>
      <c r="C493" s="36">
        <v>400.0</v>
      </c>
      <c r="D493" s="36">
        <v>400.0</v>
      </c>
      <c r="E493" s="36">
        <v>400.0</v>
      </c>
      <c r="F493" s="36">
        <v>400.0</v>
      </c>
      <c r="G493" s="36">
        <v>0.0</v>
      </c>
      <c r="H493" s="36">
        <v>0.0</v>
      </c>
      <c r="I493" s="36">
        <v>0.0</v>
      </c>
      <c r="J493" s="36">
        <v>0.0</v>
      </c>
      <c r="K493" s="36">
        <v>0.0</v>
      </c>
      <c r="L493" s="36">
        <v>0.0</v>
      </c>
      <c r="M493" s="36">
        <v>0.0</v>
      </c>
      <c r="N493" s="36">
        <v>0.0</v>
      </c>
      <c r="O493" s="36">
        <v>0.0</v>
      </c>
      <c r="P493" s="36">
        <v>0.0</v>
      </c>
      <c r="Q493" s="36">
        <v>0.0</v>
      </c>
      <c r="R493" s="36">
        <v>0.0</v>
      </c>
      <c r="S493" s="36">
        <v>0.0</v>
      </c>
      <c r="T493" s="36">
        <v>0.0</v>
      </c>
      <c r="U493" s="36">
        <v>0.0</v>
      </c>
      <c r="V493" s="36">
        <v>0.0</v>
      </c>
      <c r="W493" s="36">
        <v>0.0</v>
      </c>
      <c r="X493" s="36">
        <v>0.0</v>
      </c>
      <c r="Y493" s="36">
        <v>0.0</v>
      </c>
      <c r="Z493" s="36">
        <v>0.0</v>
      </c>
      <c r="AA493" s="36">
        <v>0.0</v>
      </c>
      <c r="AB493" s="36">
        <v>0.0</v>
      </c>
      <c r="AC493" s="36">
        <v>0.0</v>
      </c>
      <c r="AD493" s="36">
        <v>0.0</v>
      </c>
      <c r="AE493" s="36">
        <v>0.0</v>
      </c>
      <c r="AF493" s="36"/>
      <c r="AG493" s="36"/>
      <c r="AH493" s="36"/>
      <c r="AI493" s="36"/>
      <c r="AJ493" s="36"/>
    </row>
    <row r="494" ht="15.75" customHeight="1">
      <c r="A494" s="370" t="s">
        <v>218</v>
      </c>
      <c r="B494" s="12">
        <v>0.0</v>
      </c>
      <c r="C494" s="12">
        <v>0.0</v>
      </c>
      <c r="D494" s="12">
        <v>0.0</v>
      </c>
      <c r="E494" s="12">
        <v>0.0</v>
      </c>
      <c r="F494" s="12">
        <v>0.0</v>
      </c>
      <c r="G494" s="12">
        <v>0.0</v>
      </c>
      <c r="H494" s="12">
        <v>0.0</v>
      </c>
      <c r="I494" s="12">
        <v>0.0</v>
      </c>
      <c r="J494" s="12">
        <v>0.0</v>
      </c>
      <c r="K494" s="12">
        <v>0.0</v>
      </c>
      <c r="L494" s="12">
        <v>0.0</v>
      </c>
      <c r="M494" s="12">
        <v>0.0</v>
      </c>
      <c r="N494" s="12">
        <v>0.0</v>
      </c>
      <c r="O494" s="12">
        <v>0.0</v>
      </c>
      <c r="P494" s="12">
        <v>0.0</v>
      </c>
      <c r="Q494" s="12">
        <v>0.0</v>
      </c>
      <c r="R494" s="12">
        <v>0.0</v>
      </c>
      <c r="S494" s="12">
        <v>0.0</v>
      </c>
      <c r="T494" s="12">
        <v>0.0</v>
      </c>
      <c r="U494" s="12">
        <v>0.0</v>
      </c>
      <c r="V494" s="12">
        <v>0.0</v>
      </c>
      <c r="W494" s="12">
        <v>0.0</v>
      </c>
      <c r="X494" s="12">
        <v>0.0</v>
      </c>
      <c r="Y494" s="12">
        <v>0.0</v>
      </c>
      <c r="Z494" s="12">
        <v>0.0</v>
      </c>
      <c r="AA494" s="12">
        <v>0.0</v>
      </c>
      <c r="AB494" s="12">
        <v>0.0</v>
      </c>
      <c r="AC494" s="12">
        <v>0.0</v>
      </c>
      <c r="AD494" s="12">
        <v>0.0</v>
      </c>
      <c r="AE494" s="12">
        <v>0.0</v>
      </c>
      <c r="AF494" s="36"/>
      <c r="AG494" s="36"/>
      <c r="AH494" s="36"/>
      <c r="AI494" s="36"/>
      <c r="AJ494" s="36"/>
    </row>
    <row r="495" ht="15.75" customHeight="1">
      <c r="A495" s="388" t="s">
        <v>1036</v>
      </c>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c r="AA495" s="36"/>
      <c r="AB495" s="36"/>
      <c r="AC495" s="36"/>
      <c r="AD495" s="36"/>
      <c r="AE495" s="36"/>
      <c r="AF495" s="36"/>
      <c r="AG495" s="36"/>
      <c r="AH495" s="36"/>
      <c r="AI495" s="36"/>
      <c r="AJ495" s="36"/>
    </row>
    <row r="496" ht="15.75" customHeight="1">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c r="AA496" s="36"/>
      <c r="AB496" s="36"/>
      <c r="AC496" s="36"/>
      <c r="AD496" s="36"/>
      <c r="AE496" s="36"/>
      <c r="AF496" s="36"/>
      <c r="AG496" s="36"/>
      <c r="AH496" s="36"/>
      <c r="AI496" s="36"/>
      <c r="AJ496" s="36"/>
    </row>
    <row r="497" ht="15.75" customHeight="1">
      <c r="A497" s="36" t="s">
        <v>215</v>
      </c>
      <c r="B497" s="36">
        <v>1.0</v>
      </c>
      <c r="C497" s="36">
        <v>2.0</v>
      </c>
      <c r="D497" s="36">
        <v>3.0</v>
      </c>
      <c r="E497" s="36">
        <v>4.0</v>
      </c>
      <c r="F497" s="36">
        <v>5.0</v>
      </c>
      <c r="G497" s="36">
        <v>6.0</v>
      </c>
      <c r="H497" s="36">
        <v>7.0</v>
      </c>
      <c r="I497" s="36">
        <v>8.0</v>
      </c>
      <c r="J497" s="36">
        <v>9.0</v>
      </c>
      <c r="K497" s="36">
        <v>10.0</v>
      </c>
      <c r="L497" s="36">
        <v>11.0</v>
      </c>
      <c r="M497" s="36">
        <v>12.0</v>
      </c>
      <c r="N497" s="36">
        <v>13.0</v>
      </c>
      <c r="O497" s="36">
        <v>14.0</v>
      </c>
      <c r="P497" s="36">
        <v>15.0</v>
      </c>
      <c r="Q497" s="36">
        <v>16.0</v>
      </c>
      <c r="R497" s="36">
        <v>17.0</v>
      </c>
      <c r="S497" s="36">
        <v>18.0</v>
      </c>
      <c r="T497" s="36">
        <v>19.0</v>
      </c>
      <c r="U497" s="36">
        <v>20.0</v>
      </c>
      <c r="V497" s="36">
        <v>21.0</v>
      </c>
      <c r="W497" s="36">
        <v>22.0</v>
      </c>
      <c r="X497" s="36">
        <v>23.0</v>
      </c>
      <c r="Y497" s="36">
        <v>24.0</v>
      </c>
      <c r="Z497" s="36">
        <v>25.0</v>
      </c>
      <c r="AA497" s="36">
        <v>26.0</v>
      </c>
      <c r="AB497" s="36">
        <v>27.0</v>
      </c>
      <c r="AC497" s="36">
        <v>28.0</v>
      </c>
      <c r="AD497" s="36">
        <v>29.0</v>
      </c>
      <c r="AE497" s="36">
        <v>30.0</v>
      </c>
      <c r="AF497" s="36"/>
      <c r="AG497" s="36"/>
      <c r="AH497" s="36"/>
      <c r="AI497" s="36"/>
      <c r="AJ497" s="36"/>
    </row>
    <row r="498" ht="15.75" customHeight="1">
      <c r="A498" s="12" t="s">
        <v>217</v>
      </c>
      <c r="B498" s="12">
        <v>0.0</v>
      </c>
      <c r="C498" s="12">
        <v>0.0</v>
      </c>
      <c r="D498" s="12">
        <v>0.0</v>
      </c>
      <c r="E498" s="12">
        <v>0.0</v>
      </c>
      <c r="F498" s="12">
        <v>0.0</v>
      </c>
      <c r="G498" s="12">
        <v>0.0</v>
      </c>
      <c r="H498" s="12">
        <v>0.0</v>
      </c>
      <c r="I498" s="12">
        <v>0.0</v>
      </c>
      <c r="J498" s="12">
        <v>0.0</v>
      </c>
      <c r="K498" s="12">
        <v>0.0</v>
      </c>
      <c r="L498" s="12">
        <v>0.0</v>
      </c>
      <c r="M498" s="12">
        <v>0.0</v>
      </c>
      <c r="N498" s="12">
        <v>0.0</v>
      </c>
      <c r="O498" s="12">
        <v>0.0</v>
      </c>
      <c r="P498" s="12">
        <v>0.0</v>
      </c>
      <c r="Q498" s="12">
        <v>0.0</v>
      </c>
      <c r="R498" s="12">
        <v>0.0</v>
      </c>
      <c r="S498" s="12">
        <v>0.0</v>
      </c>
      <c r="T498" s="12">
        <v>0.0</v>
      </c>
      <c r="U498" s="12">
        <v>0.0</v>
      </c>
      <c r="V498" s="12">
        <v>0.0</v>
      </c>
      <c r="W498" s="12">
        <v>0.0</v>
      </c>
      <c r="X498" s="12">
        <v>0.0</v>
      </c>
      <c r="Y498" s="12">
        <v>0.0</v>
      </c>
      <c r="Z498" s="12">
        <v>0.0</v>
      </c>
      <c r="AA498" s="12">
        <v>0.0</v>
      </c>
      <c r="AB498" s="12">
        <v>0.0</v>
      </c>
      <c r="AC498" s="12">
        <v>0.0</v>
      </c>
      <c r="AD498" s="12">
        <v>0.0</v>
      </c>
      <c r="AE498" s="12">
        <v>0.0</v>
      </c>
      <c r="AF498" s="36"/>
      <c r="AG498" s="36"/>
      <c r="AH498" s="36"/>
      <c r="AI498" s="36"/>
      <c r="AJ498" s="36"/>
    </row>
    <row r="499" ht="15.75" customHeight="1">
      <c r="A499" s="370" t="s">
        <v>218</v>
      </c>
      <c r="B499" s="194">
        <v>0.002</v>
      </c>
      <c r="C499" s="36">
        <f t="shared" ref="C499:K499" si="93">B499*1.05</f>
        <v>0.0021</v>
      </c>
      <c r="D499" s="36">
        <f t="shared" si="93"/>
        <v>0.002205</v>
      </c>
      <c r="E499" s="36">
        <f t="shared" si="93"/>
        <v>0.00231525</v>
      </c>
      <c r="F499" s="36">
        <f t="shared" si="93"/>
        <v>0.0024310125</v>
      </c>
      <c r="G499" s="36">
        <f t="shared" si="93"/>
        <v>0.002552563125</v>
      </c>
      <c r="H499" s="36">
        <f t="shared" si="93"/>
        <v>0.002680191281</v>
      </c>
      <c r="I499" s="36">
        <f t="shared" si="93"/>
        <v>0.002814200845</v>
      </c>
      <c r="J499" s="36">
        <f t="shared" si="93"/>
        <v>0.002954910888</v>
      </c>
      <c r="K499" s="36">
        <f t="shared" si="93"/>
        <v>0.003102656432</v>
      </c>
      <c r="L499" s="12">
        <v>0.0</v>
      </c>
      <c r="M499" s="12">
        <v>0.0</v>
      </c>
      <c r="N499" s="12">
        <v>0.0</v>
      </c>
      <c r="O499" s="12">
        <v>0.0</v>
      </c>
      <c r="P499" s="12">
        <v>0.0</v>
      </c>
      <c r="Q499" s="12">
        <v>0.0</v>
      </c>
      <c r="R499" s="12">
        <v>0.0</v>
      </c>
      <c r="S499" s="12">
        <v>0.0</v>
      </c>
      <c r="T499" s="12">
        <v>0.0</v>
      </c>
      <c r="U499" s="12">
        <v>0.0</v>
      </c>
      <c r="V499" s="12">
        <v>0.0</v>
      </c>
      <c r="W499" s="12">
        <v>0.0</v>
      </c>
      <c r="X499" s="12">
        <v>0.0</v>
      </c>
      <c r="Y499" s="12">
        <v>0.0</v>
      </c>
      <c r="Z499" s="12">
        <v>0.0</v>
      </c>
      <c r="AA499" s="12">
        <v>0.0</v>
      </c>
      <c r="AB499" s="12">
        <v>0.0</v>
      </c>
      <c r="AC499" s="12">
        <v>0.0</v>
      </c>
      <c r="AD499" s="12">
        <v>0.0</v>
      </c>
      <c r="AE499" s="12">
        <v>0.0</v>
      </c>
      <c r="AF499" s="36"/>
      <c r="AG499" s="36"/>
      <c r="AH499" s="36"/>
      <c r="AI499" s="36"/>
      <c r="AJ499" s="36"/>
    </row>
    <row r="500" ht="15.75" customHeight="1">
      <c r="A500" s="380" t="s">
        <v>884</v>
      </c>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c r="AA500" s="36"/>
      <c r="AB500" s="36"/>
      <c r="AC500" s="36"/>
      <c r="AD500" s="36"/>
      <c r="AE500" s="36"/>
      <c r="AF500" s="36"/>
      <c r="AG500" s="36"/>
      <c r="AH500" s="36"/>
      <c r="AI500" s="36"/>
      <c r="AJ500" s="36"/>
    </row>
    <row r="501" ht="15.75" customHeight="1">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c r="AA501" s="36"/>
      <c r="AB501" s="36"/>
      <c r="AC501" s="36"/>
      <c r="AD501" s="36"/>
      <c r="AE501" s="36"/>
      <c r="AF501" s="36"/>
      <c r="AG501" s="36"/>
      <c r="AH501" s="36"/>
      <c r="AI501" s="36"/>
      <c r="AJ501" s="36"/>
    </row>
    <row r="502" ht="15.75" customHeight="1">
      <c r="A502" s="36" t="s">
        <v>215</v>
      </c>
      <c r="B502" s="36">
        <v>1.0</v>
      </c>
      <c r="C502" s="36">
        <v>2.0</v>
      </c>
      <c r="D502" s="36">
        <v>3.0</v>
      </c>
      <c r="E502" s="36">
        <v>4.0</v>
      </c>
      <c r="F502" s="36">
        <v>5.0</v>
      </c>
      <c r="G502" s="36">
        <v>6.0</v>
      </c>
      <c r="H502" s="36">
        <v>7.0</v>
      </c>
      <c r="I502" s="36">
        <v>8.0</v>
      </c>
      <c r="J502" s="36">
        <v>9.0</v>
      </c>
      <c r="K502" s="36">
        <v>10.0</v>
      </c>
      <c r="L502" s="36">
        <v>11.0</v>
      </c>
      <c r="M502" s="36">
        <v>12.0</v>
      </c>
      <c r="N502" s="36">
        <v>13.0</v>
      </c>
      <c r="O502" s="36">
        <v>14.0</v>
      </c>
      <c r="P502" s="36">
        <v>15.0</v>
      </c>
      <c r="Q502" s="36">
        <v>16.0</v>
      </c>
      <c r="R502" s="36">
        <v>17.0</v>
      </c>
      <c r="S502" s="36">
        <v>18.0</v>
      </c>
      <c r="T502" s="36">
        <v>19.0</v>
      </c>
      <c r="U502" s="36">
        <v>20.0</v>
      </c>
      <c r="V502" s="36">
        <v>21.0</v>
      </c>
      <c r="W502" s="36">
        <v>22.0</v>
      </c>
      <c r="X502" s="36">
        <v>23.0</v>
      </c>
      <c r="Y502" s="36">
        <v>24.0</v>
      </c>
      <c r="Z502" s="36">
        <v>25.0</v>
      </c>
      <c r="AA502" s="36">
        <v>26.0</v>
      </c>
      <c r="AB502" s="36">
        <v>27.0</v>
      </c>
      <c r="AC502" s="36">
        <v>28.0</v>
      </c>
      <c r="AD502" s="36">
        <v>29.0</v>
      </c>
      <c r="AE502" s="36">
        <v>30.0</v>
      </c>
      <c r="AF502" s="36"/>
      <c r="AG502" s="36"/>
      <c r="AH502" s="36"/>
      <c r="AI502" s="36"/>
      <c r="AJ502" s="36"/>
    </row>
    <row r="503" ht="15.75" customHeight="1">
      <c r="A503" s="12" t="s">
        <v>217</v>
      </c>
      <c r="B503" s="36">
        <v>50.0</v>
      </c>
      <c r="C503" s="36">
        <f t="shared" ref="C503:AE503" si="94">B503*1.05</f>
        <v>52.5</v>
      </c>
      <c r="D503" s="36">
        <f t="shared" si="94"/>
        <v>55.125</v>
      </c>
      <c r="E503" s="36">
        <f t="shared" si="94"/>
        <v>57.88125</v>
      </c>
      <c r="F503" s="36">
        <f t="shared" si="94"/>
        <v>60.7753125</v>
      </c>
      <c r="G503" s="36">
        <f t="shared" si="94"/>
        <v>63.81407813</v>
      </c>
      <c r="H503" s="36">
        <f t="shared" si="94"/>
        <v>67.00478203</v>
      </c>
      <c r="I503" s="36">
        <f t="shared" si="94"/>
        <v>70.35502113</v>
      </c>
      <c r="J503" s="36">
        <f t="shared" si="94"/>
        <v>73.87277219</v>
      </c>
      <c r="K503" s="36">
        <f t="shared" si="94"/>
        <v>77.5664108</v>
      </c>
      <c r="L503" s="36">
        <f t="shared" si="94"/>
        <v>81.44473134</v>
      </c>
      <c r="M503" s="36">
        <f t="shared" si="94"/>
        <v>85.51696791</v>
      </c>
      <c r="N503" s="36">
        <f t="shared" si="94"/>
        <v>89.7928163</v>
      </c>
      <c r="O503" s="36">
        <f t="shared" si="94"/>
        <v>94.28245712</v>
      </c>
      <c r="P503" s="36">
        <f t="shared" si="94"/>
        <v>98.99657997</v>
      </c>
      <c r="Q503" s="36">
        <f t="shared" si="94"/>
        <v>103.946409</v>
      </c>
      <c r="R503" s="36">
        <f t="shared" si="94"/>
        <v>109.1437294</v>
      </c>
      <c r="S503" s="36">
        <f t="shared" si="94"/>
        <v>114.6009159</v>
      </c>
      <c r="T503" s="36">
        <f t="shared" si="94"/>
        <v>120.3309617</v>
      </c>
      <c r="U503" s="36">
        <f t="shared" si="94"/>
        <v>126.3475098</v>
      </c>
      <c r="V503" s="36">
        <f t="shared" si="94"/>
        <v>132.6648853</v>
      </c>
      <c r="W503" s="36">
        <f t="shared" si="94"/>
        <v>139.2981295</v>
      </c>
      <c r="X503" s="36">
        <f t="shared" si="94"/>
        <v>146.263036</v>
      </c>
      <c r="Y503" s="36">
        <f t="shared" si="94"/>
        <v>153.5761878</v>
      </c>
      <c r="Z503" s="36">
        <f t="shared" si="94"/>
        <v>161.2549972</v>
      </c>
      <c r="AA503" s="36">
        <f t="shared" si="94"/>
        <v>169.317747</v>
      </c>
      <c r="AB503" s="36">
        <f t="shared" si="94"/>
        <v>177.7836344</v>
      </c>
      <c r="AC503" s="36">
        <f t="shared" si="94"/>
        <v>186.6728161</v>
      </c>
      <c r="AD503" s="36">
        <f t="shared" si="94"/>
        <v>196.0064569</v>
      </c>
      <c r="AE503" s="36">
        <f t="shared" si="94"/>
        <v>205.8067798</v>
      </c>
      <c r="AF503" s="36"/>
      <c r="AG503" s="36"/>
      <c r="AH503" s="36"/>
      <c r="AI503" s="36"/>
      <c r="AJ503" s="36"/>
    </row>
    <row r="504" ht="15.75" customHeight="1">
      <c r="A504" s="370" t="s">
        <v>218</v>
      </c>
      <c r="B504" s="12">
        <v>0.0</v>
      </c>
      <c r="C504" s="12">
        <v>0.0</v>
      </c>
      <c r="D504" s="12">
        <v>0.0</v>
      </c>
      <c r="E504" s="12">
        <v>0.0</v>
      </c>
      <c r="F504" s="12">
        <v>0.0</v>
      </c>
      <c r="G504" s="12">
        <v>0.0</v>
      </c>
      <c r="H504" s="12">
        <v>0.0</v>
      </c>
      <c r="I504" s="12">
        <v>0.0</v>
      </c>
      <c r="J504" s="12">
        <v>0.0</v>
      </c>
      <c r="K504" s="12">
        <v>0.0</v>
      </c>
      <c r="L504" s="12">
        <v>0.0</v>
      </c>
      <c r="M504" s="12">
        <v>0.0</v>
      </c>
      <c r="N504" s="12">
        <v>0.0</v>
      </c>
      <c r="O504" s="12">
        <v>0.0</v>
      </c>
      <c r="P504" s="12">
        <v>0.0</v>
      </c>
      <c r="Q504" s="12">
        <v>0.0</v>
      </c>
      <c r="R504" s="12">
        <v>0.0</v>
      </c>
      <c r="S504" s="12">
        <v>0.0</v>
      </c>
      <c r="T504" s="12">
        <v>0.0</v>
      </c>
      <c r="U504" s="12">
        <v>0.0</v>
      </c>
      <c r="V504" s="12">
        <v>0.0</v>
      </c>
      <c r="W504" s="12">
        <v>0.0</v>
      </c>
      <c r="X504" s="12">
        <v>0.0</v>
      </c>
      <c r="Y504" s="12">
        <v>0.0</v>
      </c>
      <c r="Z504" s="12">
        <v>0.0</v>
      </c>
      <c r="AA504" s="12">
        <v>0.0</v>
      </c>
      <c r="AB504" s="12">
        <v>0.0</v>
      </c>
      <c r="AC504" s="12">
        <v>0.0</v>
      </c>
      <c r="AD504" s="12">
        <v>0.0</v>
      </c>
      <c r="AE504" s="12">
        <v>0.0</v>
      </c>
      <c r="AF504" s="36"/>
      <c r="AG504" s="36"/>
      <c r="AH504" s="36"/>
      <c r="AI504" s="36"/>
      <c r="AJ504" s="36"/>
    </row>
    <row r="505" ht="15.75" customHeight="1">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c r="AA505" s="36"/>
      <c r="AB505" s="36"/>
      <c r="AC505" s="36"/>
      <c r="AD505" s="36"/>
      <c r="AE505" s="36"/>
      <c r="AF505" s="36"/>
      <c r="AG505" s="36"/>
      <c r="AH505" s="36"/>
      <c r="AI505" s="36"/>
      <c r="AJ505" s="36"/>
    </row>
    <row r="506" ht="15.75" customHeight="1">
      <c r="A506" s="380" t="s">
        <v>1073</v>
      </c>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c r="AA506" s="36"/>
      <c r="AB506" s="36"/>
      <c r="AC506" s="36"/>
      <c r="AD506" s="36"/>
      <c r="AE506" s="36"/>
      <c r="AF506" s="36"/>
      <c r="AG506" s="36"/>
      <c r="AH506" s="36"/>
      <c r="AI506" s="36"/>
      <c r="AJ506" s="36"/>
    </row>
    <row r="507" ht="15.75" customHeight="1">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c r="AA507" s="36"/>
      <c r="AB507" s="36"/>
      <c r="AC507" s="36"/>
      <c r="AD507" s="36"/>
      <c r="AE507" s="36"/>
      <c r="AF507" s="36"/>
      <c r="AG507" s="36"/>
      <c r="AH507" s="36"/>
      <c r="AI507" s="36"/>
      <c r="AJ507" s="36"/>
    </row>
    <row r="508" ht="15.75" customHeight="1">
      <c r="A508" s="36" t="s">
        <v>215</v>
      </c>
      <c r="B508" s="36">
        <v>1.0</v>
      </c>
      <c r="C508" s="36">
        <v>2.0</v>
      </c>
      <c r="D508" s="36">
        <v>3.0</v>
      </c>
      <c r="E508" s="36">
        <v>4.0</v>
      </c>
      <c r="F508" s="36">
        <v>5.0</v>
      </c>
      <c r="G508" s="36">
        <v>6.0</v>
      </c>
      <c r="H508" s="36">
        <v>7.0</v>
      </c>
      <c r="I508" s="36">
        <v>8.0</v>
      </c>
      <c r="J508" s="36">
        <v>9.0</v>
      </c>
      <c r="K508" s="36">
        <v>10.0</v>
      </c>
      <c r="L508" s="36">
        <v>11.0</v>
      </c>
      <c r="M508" s="36">
        <v>12.0</v>
      </c>
      <c r="N508" s="36">
        <v>13.0</v>
      </c>
      <c r="O508" s="36">
        <v>14.0</v>
      </c>
      <c r="P508" s="36">
        <v>15.0</v>
      </c>
      <c r="Q508" s="36">
        <v>16.0</v>
      </c>
      <c r="R508" s="36">
        <v>17.0</v>
      </c>
      <c r="S508" s="36">
        <v>18.0</v>
      </c>
      <c r="T508" s="36">
        <v>19.0</v>
      </c>
      <c r="U508" s="36">
        <v>20.0</v>
      </c>
      <c r="V508" s="36">
        <v>21.0</v>
      </c>
      <c r="W508" s="36">
        <v>22.0</v>
      </c>
      <c r="X508" s="36">
        <v>23.0</v>
      </c>
      <c r="Y508" s="36">
        <v>24.0</v>
      </c>
      <c r="Z508" s="36">
        <v>25.0</v>
      </c>
      <c r="AA508" s="36">
        <v>26.0</v>
      </c>
      <c r="AB508" s="36">
        <v>27.0</v>
      </c>
      <c r="AC508" s="36">
        <v>28.0</v>
      </c>
      <c r="AD508" s="36">
        <v>29.0</v>
      </c>
      <c r="AE508" s="36">
        <v>30.0</v>
      </c>
      <c r="AF508" s="36"/>
      <c r="AG508" s="36"/>
      <c r="AH508" s="36"/>
      <c r="AI508" s="36"/>
      <c r="AJ508" s="36"/>
    </row>
    <row r="509" ht="15.75" customHeight="1">
      <c r="A509" s="12" t="s">
        <v>217</v>
      </c>
      <c r="B509" s="36">
        <v>25.0</v>
      </c>
      <c r="C509" s="36">
        <v>25.0</v>
      </c>
      <c r="D509" s="36">
        <v>25.0</v>
      </c>
      <c r="E509" s="36">
        <v>25.0</v>
      </c>
      <c r="F509" s="36">
        <v>25.0</v>
      </c>
      <c r="G509" s="36">
        <v>25.0</v>
      </c>
      <c r="H509" s="36">
        <v>25.0</v>
      </c>
      <c r="I509" s="36">
        <v>25.0</v>
      </c>
      <c r="J509" s="36">
        <v>25.0</v>
      </c>
      <c r="K509" s="36">
        <v>25.0</v>
      </c>
      <c r="L509" s="36">
        <v>25.0</v>
      </c>
      <c r="M509" s="36">
        <v>25.0</v>
      </c>
      <c r="N509" s="36">
        <v>25.0</v>
      </c>
      <c r="O509" s="36">
        <v>25.0</v>
      </c>
      <c r="P509" s="36">
        <v>25.0</v>
      </c>
      <c r="Q509" s="36">
        <v>25.0</v>
      </c>
      <c r="R509" s="36">
        <v>25.0</v>
      </c>
      <c r="S509" s="36">
        <v>25.0</v>
      </c>
      <c r="T509" s="36">
        <v>25.0</v>
      </c>
      <c r="U509" s="36">
        <v>25.0</v>
      </c>
      <c r="V509" s="36">
        <v>25.0</v>
      </c>
      <c r="W509" s="36">
        <v>25.0</v>
      </c>
      <c r="X509" s="36">
        <v>25.0</v>
      </c>
      <c r="Y509" s="36">
        <v>25.0</v>
      </c>
      <c r="Z509" s="36">
        <v>25.0</v>
      </c>
      <c r="AA509" s="36">
        <v>25.0</v>
      </c>
      <c r="AB509" s="36">
        <v>25.0</v>
      </c>
      <c r="AC509" s="36">
        <v>25.0</v>
      </c>
      <c r="AD509" s="36">
        <v>25.0</v>
      </c>
      <c r="AE509" s="36">
        <v>25.0</v>
      </c>
      <c r="AF509" s="36"/>
      <c r="AG509" s="36"/>
      <c r="AH509" s="36"/>
      <c r="AI509" s="36"/>
      <c r="AJ509" s="36"/>
    </row>
    <row r="510" ht="15.75" customHeight="1">
      <c r="A510" s="12" t="s">
        <v>218</v>
      </c>
      <c r="B510" s="121">
        <v>0.0</v>
      </c>
      <c r="C510" s="121">
        <v>0.0</v>
      </c>
      <c r="D510" s="121">
        <v>0.0</v>
      </c>
      <c r="E510" s="121">
        <v>0.0</v>
      </c>
      <c r="F510" s="121">
        <v>0.0</v>
      </c>
      <c r="G510" s="121">
        <v>0.0</v>
      </c>
      <c r="H510" s="121">
        <v>0.0</v>
      </c>
      <c r="I510" s="121">
        <v>0.0</v>
      </c>
      <c r="J510" s="121">
        <v>0.0</v>
      </c>
      <c r="K510" s="121">
        <v>0.0</v>
      </c>
      <c r="L510" s="121">
        <v>0.0</v>
      </c>
      <c r="M510" s="121">
        <v>0.0</v>
      </c>
      <c r="N510" s="121">
        <v>0.0</v>
      </c>
      <c r="O510" s="121">
        <v>0.0</v>
      </c>
      <c r="P510" s="121">
        <v>0.0</v>
      </c>
      <c r="Q510" s="121">
        <v>0.0</v>
      </c>
      <c r="R510" s="121">
        <v>0.0</v>
      </c>
      <c r="S510" s="121">
        <v>0.0</v>
      </c>
      <c r="T510" s="121">
        <v>0.0</v>
      </c>
      <c r="U510" s="121">
        <v>0.0</v>
      </c>
      <c r="V510" s="121">
        <v>0.0</v>
      </c>
      <c r="W510" s="121">
        <v>0.0</v>
      </c>
      <c r="X510" s="121">
        <v>0.0</v>
      </c>
      <c r="Y510" s="121">
        <v>0.0</v>
      </c>
      <c r="Z510" s="121">
        <v>0.0</v>
      </c>
      <c r="AA510" s="121">
        <v>0.0</v>
      </c>
      <c r="AB510" s="121">
        <v>0.0</v>
      </c>
      <c r="AC510" s="121">
        <v>0.0</v>
      </c>
      <c r="AD510" s="121">
        <v>0.0</v>
      </c>
      <c r="AE510" s="121">
        <v>0.0</v>
      </c>
      <c r="AF510" s="36"/>
      <c r="AG510" s="36"/>
      <c r="AH510" s="36"/>
      <c r="AI510" s="36"/>
      <c r="AJ510" s="36"/>
    </row>
    <row r="511" ht="15.75" customHeight="1">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c r="AA511" s="36"/>
      <c r="AB511" s="36"/>
      <c r="AC511" s="36"/>
      <c r="AD511" s="36"/>
      <c r="AE511" s="36"/>
      <c r="AF511" s="36"/>
      <c r="AG511" s="36"/>
      <c r="AH511" s="36"/>
      <c r="AI511" s="36"/>
      <c r="AJ511" s="36"/>
    </row>
    <row r="512" ht="15.75" customHeight="1">
      <c r="A512" s="380" t="s">
        <v>1069</v>
      </c>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c r="AA512" s="36"/>
      <c r="AB512" s="36"/>
      <c r="AC512" s="36"/>
      <c r="AD512" s="36"/>
      <c r="AE512" s="36"/>
      <c r="AF512" s="36"/>
      <c r="AG512" s="36"/>
      <c r="AH512" s="36"/>
      <c r="AI512" s="36"/>
      <c r="AJ512" s="36"/>
    </row>
    <row r="513" ht="15.75" customHeight="1">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c r="AA513" s="36"/>
      <c r="AB513" s="36"/>
      <c r="AC513" s="36"/>
      <c r="AD513" s="36"/>
      <c r="AE513" s="36"/>
      <c r="AF513" s="36"/>
      <c r="AG513" s="36"/>
      <c r="AH513" s="36"/>
      <c r="AI513" s="36"/>
      <c r="AJ513" s="36"/>
    </row>
    <row r="514" ht="15.75" customHeight="1">
      <c r="A514" s="36" t="s">
        <v>215</v>
      </c>
      <c r="B514" s="36">
        <v>1.0</v>
      </c>
      <c r="C514" s="36">
        <v>2.0</v>
      </c>
      <c r="D514" s="36">
        <v>3.0</v>
      </c>
      <c r="E514" s="36">
        <v>4.0</v>
      </c>
      <c r="F514" s="36">
        <v>5.0</v>
      </c>
      <c r="G514" s="36">
        <v>6.0</v>
      </c>
      <c r="H514" s="36">
        <v>7.0</v>
      </c>
      <c r="I514" s="36">
        <v>8.0</v>
      </c>
      <c r="J514" s="36">
        <v>9.0</v>
      </c>
      <c r="K514" s="36">
        <v>10.0</v>
      </c>
      <c r="L514" s="36">
        <v>11.0</v>
      </c>
      <c r="M514" s="36">
        <v>12.0</v>
      </c>
      <c r="N514" s="36">
        <v>13.0</v>
      </c>
      <c r="O514" s="36">
        <v>14.0</v>
      </c>
      <c r="P514" s="36">
        <v>15.0</v>
      </c>
      <c r="Q514" s="36">
        <v>16.0</v>
      </c>
      <c r="R514" s="36">
        <v>17.0</v>
      </c>
      <c r="S514" s="36">
        <v>18.0</v>
      </c>
      <c r="T514" s="36">
        <v>19.0</v>
      </c>
      <c r="U514" s="36">
        <v>20.0</v>
      </c>
      <c r="V514" s="36">
        <v>21.0</v>
      </c>
      <c r="W514" s="36">
        <v>22.0</v>
      </c>
      <c r="X514" s="36">
        <v>23.0</v>
      </c>
      <c r="Y514" s="36">
        <v>24.0</v>
      </c>
      <c r="Z514" s="36">
        <v>25.0</v>
      </c>
      <c r="AA514" s="36">
        <v>26.0</v>
      </c>
      <c r="AB514" s="36">
        <v>27.0</v>
      </c>
      <c r="AC514" s="36">
        <v>28.0</v>
      </c>
      <c r="AD514" s="36">
        <v>29.0</v>
      </c>
      <c r="AE514" s="36">
        <v>30.0</v>
      </c>
      <c r="AF514" s="36"/>
      <c r="AG514" s="36"/>
      <c r="AH514" s="36"/>
      <c r="AI514" s="36"/>
      <c r="AJ514" s="36"/>
    </row>
    <row r="515" ht="15.75" customHeight="1">
      <c r="A515" s="12" t="s">
        <v>217</v>
      </c>
      <c r="B515" s="36">
        <f>300/12</f>
        <v>25</v>
      </c>
      <c r="C515" s="36">
        <v>25.0</v>
      </c>
      <c r="D515" s="36">
        <v>25.0</v>
      </c>
      <c r="E515" s="36">
        <v>25.0</v>
      </c>
      <c r="F515" s="36">
        <v>25.0</v>
      </c>
      <c r="G515" s="36">
        <v>25.0</v>
      </c>
      <c r="H515" s="36">
        <v>25.0</v>
      </c>
      <c r="I515" s="36">
        <v>25.0</v>
      </c>
      <c r="J515" s="36">
        <v>25.0</v>
      </c>
      <c r="K515" s="36">
        <v>25.0</v>
      </c>
      <c r="L515" s="36">
        <v>25.0</v>
      </c>
      <c r="M515" s="36">
        <v>25.0</v>
      </c>
      <c r="N515" s="36">
        <v>25.0</v>
      </c>
      <c r="O515" s="36">
        <v>25.0</v>
      </c>
      <c r="P515" s="36">
        <v>25.0</v>
      </c>
      <c r="Q515" s="36">
        <v>25.0</v>
      </c>
      <c r="R515" s="36">
        <v>25.0</v>
      </c>
      <c r="S515" s="36">
        <v>25.0</v>
      </c>
      <c r="T515" s="36">
        <v>25.0</v>
      </c>
      <c r="U515" s="36">
        <v>25.0</v>
      </c>
      <c r="V515" s="36">
        <v>25.0</v>
      </c>
      <c r="W515" s="36">
        <v>25.0</v>
      </c>
      <c r="X515" s="36">
        <v>25.0</v>
      </c>
      <c r="Y515" s="36">
        <v>25.0</v>
      </c>
      <c r="Z515" s="36">
        <v>25.0</v>
      </c>
      <c r="AA515" s="36">
        <v>25.0</v>
      </c>
      <c r="AB515" s="36">
        <v>25.0</v>
      </c>
      <c r="AC515" s="36">
        <v>25.0</v>
      </c>
      <c r="AD515" s="36">
        <v>25.0</v>
      </c>
      <c r="AE515" s="36">
        <v>25.0</v>
      </c>
      <c r="AF515" s="36"/>
      <c r="AG515" s="36"/>
      <c r="AH515" s="36"/>
      <c r="AI515" s="36"/>
      <c r="AJ515" s="36"/>
    </row>
    <row r="516" ht="15.75" customHeight="1">
      <c r="A516" s="12" t="s">
        <v>218</v>
      </c>
      <c r="B516" s="121">
        <v>0.0</v>
      </c>
      <c r="C516" s="121">
        <v>0.0</v>
      </c>
      <c r="D516" s="121">
        <v>0.0</v>
      </c>
      <c r="E516" s="121">
        <v>0.0</v>
      </c>
      <c r="F516" s="121">
        <v>0.0</v>
      </c>
      <c r="G516" s="121">
        <v>0.0</v>
      </c>
      <c r="H516" s="121">
        <v>0.0</v>
      </c>
      <c r="I516" s="121">
        <v>0.0</v>
      </c>
      <c r="J516" s="121">
        <v>0.0</v>
      </c>
      <c r="K516" s="121">
        <v>0.0</v>
      </c>
      <c r="L516" s="121">
        <v>0.0</v>
      </c>
      <c r="M516" s="121">
        <v>0.0</v>
      </c>
      <c r="N516" s="121">
        <v>0.0</v>
      </c>
      <c r="O516" s="121">
        <v>0.0</v>
      </c>
      <c r="P516" s="121">
        <v>0.0</v>
      </c>
      <c r="Q516" s="121">
        <v>0.0</v>
      </c>
      <c r="R516" s="121">
        <v>0.0</v>
      </c>
      <c r="S516" s="121">
        <v>0.0</v>
      </c>
      <c r="T516" s="121">
        <v>0.0</v>
      </c>
      <c r="U516" s="121">
        <v>0.0</v>
      </c>
      <c r="V516" s="121">
        <v>0.0</v>
      </c>
      <c r="W516" s="121">
        <v>0.0</v>
      </c>
      <c r="X516" s="121">
        <v>0.0</v>
      </c>
      <c r="Y516" s="121">
        <v>0.0</v>
      </c>
      <c r="Z516" s="121">
        <v>0.0</v>
      </c>
      <c r="AA516" s="121">
        <v>0.0</v>
      </c>
      <c r="AB516" s="121">
        <v>0.0</v>
      </c>
      <c r="AC516" s="121">
        <v>0.0</v>
      </c>
      <c r="AD516" s="121">
        <v>0.0</v>
      </c>
      <c r="AE516" s="121">
        <v>0.0</v>
      </c>
      <c r="AF516" s="36"/>
      <c r="AG516" s="36"/>
      <c r="AH516" s="36"/>
      <c r="AI516" s="36"/>
      <c r="AJ516" s="36"/>
    </row>
    <row r="517" ht="15.75" customHeight="1">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c r="AA517" s="36"/>
      <c r="AB517" s="36"/>
      <c r="AC517" s="36"/>
      <c r="AD517" s="36"/>
      <c r="AE517" s="36"/>
      <c r="AF517" s="36"/>
      <c r="AG517" s="36"/>
      <c r="AH517" s="36"/>
      <c r="AI517" s="36"/>
      <c r="AJ517" s="36"/>
    </row>
    <row r="518" ht="15.75" customHeight="1">
      <c r="A518" s="380" t="s">
        <v>1077</v>
      </c>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c r="AA518" s="36"/>
      <c r="AB518" s="36"/>
      <c r="AC518" s="36"/>
      <c r="AD518" s="36"/>
      <c r="AE518" s="36"/>
      <c r="AF518" s="36"/>
      <c r="AG518" s="36"/>
      <c r="AH518" s="36"/>
      <c r="AI518" s="36"/>
      <c r="AJ518" s="36"/>
    </row>
    <row r="519" ht="15.75" customHeight="1">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c r="AA519" s="36"/>
      <c r="AB519" s="36"/>
      <c r="AC519" s="36"/>
      <c r="AD519" s="36"/>
      <c r="AE519" s="36"/>
      <c r="AF519" s="36"/>
      <c r="AG519" s="36"/>
      <c r="AH519" s="36"/>
      <c r="AI519" s="36"/>
      <c r="AJ519" s="36"/>
    </row>
    <row r="520" ht="15.75" customHeight="1">
      <c r="A520" s="36" t="s">
        <v>215</v>
      </c>
      <c r="B520" s="36">
        <v>1.0</v>
      </c>
      <c r="C520" s="36">
        <v>2.0</v>
      </c>
      <c r="D520" s="36">
        <v>3.0</v>
      </c>
      <c r="E520" s="36">
        <v>4.0</v>
      </c>
      <c r="F520" s="36">
        <v>5.0</v>
      </c>
      <c r="G520" s="36">
        <v>6.0</v>
      </c>
      <c r="H520" s="36">
        <v>7.0</v>
      </c>
      <c r="I520" s="36">
        <v>8.0</v>
      </c>
      <c r="J520" s="36">
        <v>9.0</v>
      </c>
      <c r="K520" s="36">
        <v>10.0</v>
      </c>
      <c r="L520" s="36">
        <v>11.0</v>
      </c>
      <c r="M520" s="36">
        <v>12.0</v>
      </c>
      <c r="N520" s="36">
        <v>13.0</v>
      </c>
      <c r="O520" s="36">
        <v>14.0</v>
      </c>
      <c r="P520" s="36">
        <v>15.0</v>
      </c>
      <c r="Q520" s="36">
        <v>16.0</v>
      </c>
      <c r="R520" s="36">
        <v>17.0</v>
      </c>
      <c r="S520" s="36">
        <v>18.0</v>
      </c>
      <c r="T520" s="36">
        <v>19.0</v>
      </c>
      <c r="U520" s="36">
        <v>20.0</v>
      </c>
      <c r="V520" s="36">
        <v>21.0</v>
      </c>
      <c r="W520" s="36">
        <v>22.0</v>
      </c>
      <c r="X520" s="36">
        <v>23.0</v>
      </c>
      <c r="Y520" s="36">
        <v>24.0</v>
      </c>
      <c r="Z520" s="36">
        <v>25.0</v>
      </c>
      <c r="AA520" s="36">
        <v>26.0</v>
      </c>
      <c r="AB520" s="36">
        <v>27.0</v>
      </c>
      <c r="AC520" s="36">
        <v>28.0</v>
      </c>
      <c r="AD520" s="36">
        <v>29.0</v>
      </c>
      <c r="AE520" s="36">
        <v>30.0</v>
      </c>
      <c r="AF520" s="36"/>
      <c r="AG520" s="36"/>
      <c r="AH520" s="36"/>
      <c r="AI520" s="36"/>
      <c r="AJ520" s="36"/>
    </row>
    <row r="521" ht="15.75" customHeight="1">
      <c r="A521" s="12" t="s">
        <v>217</v>
      </c>
      <c r="B521" s="36">
        <f>300/12</f>
        <v>25</v>
      </c>
      <c r="C521" s="36">
        <v>25.0</v>
      </c>
      <c r="D521" s="36">
        <v>25.0</v>
      </c>
      <c r="E521" s="36">
        <v>25.0</v>
      </c>
      <c r="F521" s="36">
        <v>25.0</v>
      </c>
      <c r="G521" s="36">
        <v>25.0</v>
      </c>
      <c r="H521" s="36">
        <v>25.0</v>
      </c>
      <c r="I521" s="36">
        <v>25.0</v>
      </c>
      <c r="J521" s="36">
        <v>25.0</v>
      </c>
      <c r="K521" s="36">
        <v>25.0</v>
      </c>
      <c r="L521" s="36">
        <v>25.0</v>
      </c>
      <c r="M521" s="36">
        <v>25.0</v>
      </c>
      <c r="N521" s="36">
        <v>25.0</v>
      </c>
      <c r="O521" s="36">
        <v>25.0</v>
      </c>
      <c r="P521" s="36">
        <v>25.0</v>
      </c>
      <c r="Q521" s="36">
        <v>25.0</v>
      </c>
      <c r="R521" s="36">
        <v>25.0</v>
      </c>
      <c r="S521" s="36">
        <v>25.0</v>
      </c>
      <c r="T521" s="36">
        <v>25.0</v>
      </c>
      <c r="U521" s="36">
        <v>25.0</v>
      </c>
      <c r="V521" s="36">
        <v>25.0</v>
      </c>
      <c r="W521" s="36">
        <v>25.0</v>
      </c>
      <c r="X521" s="36">
        <v>25.0</v>
      </c>
      <c r="Y521" s="36">
        <v>25.0</v>
      </c>
      <c r="Z521" s="36">
        <v>25.0</v>
      </c>
      <c r="AA521" s="36">
        <v>25.0</v>
      </c>
      <c r="AB521" s="36">
        <v>25.0</v>
      </c>
      <c r="AC521" s="36">
        <v>25.0</v>
      </c>
      <c r="AD521" s="36">
        <v>25.0</v>
      </c>
      <c r="AE521" s="36">
        <v>25.0</v>
      </c>
      <c r="AF521" s="36"/>
      <c r="AG521" s="36"/>
      <c r="AH521" s="36"/>
      <c r="AI521" s="36"/>
      <c r="AJ521" s="36"/>
    </row>
    <row r="522" ht="15.75" customHeight="1">
      <c r="A522" s="12" t="s">
        <v>218</v>
      </c>
      <c r="B522" s="121">
        <v>0.0</v>
      </c>
      <c r="C522" s="121">
        <v>0.0</v>
      </c>
      <c r="D522" s="121">
        <v>0.0</v>
      </c>
      <c r="E522" s="121">
        <v>0.0</v>
      </c>
      <c r="F522" s="121">
        <v>0.0</v>
      </c>
      <c r="G522" s="121">
        <v>0.0</v>
      </c>
      <c r="H522" s="121">
        <v>0.0</v>
      </c>
      <c r="I522" s="121">
        <v>0.0</v>
      </c>
      <c r="J522" s="121">
        <v>0.0</v>
      </c>
      <c r="K522" s="121">
        <v>0.0</v>
      </c>
      <c r="L522" s="121">
        <v>0.0</v>
      </c>
      <c r="M522" s="121">
        <v>0.0</v>
      </c>
      <c r="N522" s="121">
        <v>0.0</v>
      </c>
      <c r="O522" s="121">
        <v>0.0</v>
      </c>
      <c r="P522" s="121">
        <v>0.0</v>
      </c>
      <c r="Q522" s="121">
        <v>0.0</v>
      </c>
      <c r="R522" s="121">
        <v>0.0</v>
      </c>
      <c r="S522" s="121">
        <v>0.0</v>
      </c>
      <c r="T522" s="121">
        <v>0.0</v>
      </c>
      <c r="U522" s="121">
        <v>0.0</v>
      </c>
      <c r="V522" s="121">
        <v>0.0</v>
      </c>
      <c r="W522" s="121">
        <v>0.0</v>
      </c>
      <c r="X522" s="121">
        <v>0.0</v>
      </c>
      <c r="Y522" s="121">
        <v>0.0</v>
      </c>
      <c r="Z522" s="121">
        <v>0.0</v>
      </c>
      <c r="AA522" s="121">
        <v>0.0</v>
      </c>
      <c r="AB522" s="121">
        <v>0.0</v>
      </c>
      <c r="AC522" s="121">
        <v>0.0</v>
      </c>
      <c r="AD522" s="121">
        <v>0.0</v>
      </c>
      <c r="AE522" s="121">
        <v>0.0</v>
      </c>
      <c r="AF522" s="36"/>
      <c r="AG522" s="36"/>
      <c r="AH522" s="36"/>
      <c r="AI522" s="36"/>
      <c r="AJ522" s="36"/>
    </row>
    <row r="523" ht="15.75" customHeight="1">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c r="AA523" s="36"/>
      <c r="AB523" s="36"/>
      <c r="AC523" s="36"/>
      <c r="AD523" s="36"/>
      <c r="AE523" s="36"/>
      <c r="AF523" s="36"/>
      <c r="AG523" s="36"/>
      <c r="AH523" s="36"/>
      <c r="AI523" s="36"/>
      <c r="AJ523" s="36"/>
    </row>
    <row r="524" ht="15.75" customHeight="1">
      <c r="A524" s="380" t="s">
        <v>1085</v>
      </c>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c r="AA524" s="36"/>
      <c r="AB524" s="36"/>
      <c r="AC524" s="36"/>
      <c r="AD524" s="36"/>
      <c r="AE524" s="36"/>
      <c r="AF524" s="36"/>
      <c r="AG524" s="36"/>
      <c r="AH524" s="36"/>
      <c r="AI524" s="36"/>
      <c r="AJ524" s="36"/>
    </row>
    <row r="525" ht="15.75" customHeight="1">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c r="AA525" s="36"/>
      <c r="AB525" s="36"/>
      <c r="AC525" s="36"/>
      <c r="AD525" s="36"/>
      <c r="AE525" s="36"/>
      <c r="AF525" s="36"/>
      <c r="AG525" s="36"/>
      <c r="AH525" s="36"/>
      <c r="AI525" s="36"/>
      <c r="AJ525" s="36"/>
    </row>
    <row r="526" ht="15.75" customHeight="1">
      <c r="A526" s="36" t="s">
        <v>215</v>
      </c>
      <c r="B526" s="36">
        <v>1.0</v>
      </c>
      <c r="C526" s="36">
        <v>2.0</v>
      </c>
      <c r="D526" s="36">
        <v>3.0</v>
      </c>
      <c r="E526" s="36">
        <v>4.0</v>
      </c>
      <c r="F526" s="36">
        <v>5.0</v>
      </c>
      <c r="G526" s="36">
        <v>6.0</v>
      </c>
      <c r="H526" s="36">
        <v>7.0</v>
      </c>
      <c r="I526" s="36">
        <v>8.0</v>
      </c>
      <c r="J526" s="36">
        <v>9.0</v>
      </c>
      <c r="K526" s="36">
        <v>10.0</v>
      </c>
      <c r="L526" s="36">
        <v>11.0</v>
      </c>
      <c r="M526" s="36">
        <v>12.0</v>
      </c>
      <c r="N526" s="36">
        <v>13.0</v>
      </c>
      <c r="O526" s="36">
        <v>14.0</v>
      </c>
      <c r="P526" s="36">
        <v>15.0</v>
      </c>
      <c r="Q526" s="36">
        <v>16.0</v>
      </c>
      <c r="R526" s="36">
        <v>17.0</v>
      </c>
      <c r="S526" s="36">
        <v>18.0</v>
      </c>
      <c r="T526" s="36">
        <v>19.0</v>
      </c>
      <c r="U526" s="36">
        <v>20.0</v>
      </c>
      <c r="V526" s="36">
        <v>21.0</v>
      </c>
      <c r="W526" s="36">
        <v>22.0</v>
      </c>
      <c r="X526" s="36">
        <v>23.0</v>
      </c>
      <c r="Y526" s="36">
        <v>24.0</v>
      </c>
      <c r="Z526" s="36">
        <v>25.0</v>
      </c>
      <c r="AA526" s="36">
        <v>26.0</v>
      </c>
      <c r="AB526" s="36">
        <v>27.0</v>
      </c>
      <c r="AC526" s="36">
        <v>28.0</v>
      </c>
      <c r="AD526" s="36">
        <v>29.0</v>
      </c>
      <c r="AE526" s="36">
        <v>30.0</v>
      </c>
      <c r="AF526" s="36"/>
      <c r="AG526" s="36"/>
      <c r="AH526" s="36"/>
      <c r="AI526" s="36"/>
      <c r="AJ526" s="36"/>
    </row>
    <row r="527" ht="15.75" customHeight="1">
      <c r="A527" s="12" t="s">
        <v>217</v>
      </c>
      <c r="B527" s="36">
        <v>20.0</v>
      </c>
      <c r="C527" s="36">
        <v>20.0</v>
      </c>
      <c r="D527" s="36">
        <v>20.0</v>
      </c>
      <c r="E527" s="36">
        <v>20.0</v>
      </c>
      <c r="F527" s="36">
        <v>20.0</v>
      </c>
      <c r="G527" s="36">
        <v>20.0</v>
      </c>
      <c r="H527" s="36">
        <v>20.0</v>
      </c>
      <c r="I527" s="36">
        <v>20.0</v>
      </c>
      <c r="J527" s="36">
        <v>20.0</v>
      </c>
      <c r="K527" s="36">
        <v>20.0</v>
      </c>
      <c r="L527" s="36">
        <v>20.0</v>
      </c>
      <c r="M527" s="36">
        <v>20.0</v>
      </c>
      <c r="N527" s="36">
        <v>20.0</v>
      </c>
      <c r="O527" s="36">
        <v>20.0</v>
      </c>
      <c r="P527" s="36">
        <v>20.0</v>
      </c>
      <c r="Q527" s="36">
        <v>20.0</v>
      </c>
      <c r="R527" s="36">
        <v>20.0</v>
      </c>
      <c r="S527" s="36">
        <v>20.0</v>
      </c>
      <c r="T527" s="36">
        <v>20.0</v>
      </c>
      <c r="U527" s="36">
        <v>20.0</v>
      </c>
      <c r="V527" s="36">
        <v>20.0</v>
      </c>
      <c r="W527" s="36">
        <v>20.0</v>
      </c>
      <c r="X527" s="36">
        <v>20.0</v>
      </c>
      <c r="Y527" s="36">
        <v>20.0</v>
      </c>
      <c r="Z527" s="36">
        <v>20.0</v>
      </c>
      <c r="AA527" s="36">
        <v>20.0</v>
      </c>
      <c r="AB527" s="36">
        <v>20.0</v>
      </c>
      <c r="AC527" s="36">
        <v>20.0</v>
      </c>
      <c r="AD527" s="36">
        <v>20.0</v>
      </c>
      <c r="AE527" s="36">
        <v>20.0</v>
      </c>
      <c r="AF527" s="36"/>
      <c r="AG527" s="36"/>
      <c r="AH527" s="36"/>
      <c r="AI527" s="36"/>
      <c r="AJ527" s="36"/>
    </row>
    <row r="528" ht="15.75" customHeight="1">
      <c r="A528" s="12" t="s">
        <v>218</v>
      </c>
      <c r="B528" s="12">
        <v>0.0</v>
      </c>
      <c r="C528" s="12">
        <v>0.0</v>
      </c>
      <c r="D528" s="12">
        <v>0.0</v>
      </c>
      <c r="E528" s="12">
        <v>0.0</v>
      </c>
      <c r="F528" s="12">
        <v>0.0</v>
      </c>
      <c r="G528" s="12">
        <v>0.0</v>
      </c>
      <c r="H528" s="12">
        <v>0.0</v>
      </c>
      <c r="I528" s="12">
        <v>0.0</v>
      </c>
      <c r="J528" s="12">
        <v>0.0</v>
      </c>
      <c r="K528" s="12">
        <v>0.0</v>
      </c>
      <c r="L528" s="12">
        <v>0.0</v>
      </c>
      <c r="M528" s="12">
        <v>0.0</v>
      </c>
      <c r="N528" s="12">
        <v>0.0</v>
      </c>
      <c r="O528" s="12">
        <v>0.0</v>
      </c>
      <c r="P528" s="12">
        <v>0.0</v>
      </c>
      <c r="Q528" s="12">
        <v>0.0</v>
      </c>
      <c r="R528" s="12">
        <v>0.0</v>
      </c>
      <c r="S528" s="12">
        <v>0.0</v>
      </c>
      <c r="T528" s="12">
        <v>0.0</v>
      </c>
      <c r="U528" s="12">
        <v>0.0</v>
      </c>
      <c r="V528" s="12">
        <v>0.0</v>
      </c>
      <c r="W528" s="12">
        <v>0.0</v>
      </c>
      <c r="X528" s="12">
        <v>0.0</v>
      </c>
      <c r="Y528" s="12">
        <v>0.0</v>
      </c>
      <c r="Z528" s="12">
        <v>0.0</v>
      </c>
      <c r="AA528" s="12">
        <v>0.0</v>
      </c>
      <c r="AB528" s="12">
        <v>0.0</v>
      </c>
      <c r="AC528" s="12">
        <v>0.0</v>
      </c>
      <c r="AD528" s="12">
        <v>0.0</v>
      </c>
      <c r="AE528" s="12">
        <v>0.0</v>
      </c>
      <c r="AF528" s="36"/>
      <c r="AG528" s="36"/>
      <c r="AH528" s="36"/>
      <c r="AI528" s="36"/>
      <c r="AJ528" s="36"/>
    </row>
    <row r="529" ht="15.75" customHeight="1">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c r="AA529" s="36"/>
      <c r="AB529" s="36"/>
      <c r="AC529" s="36"/>
      <c r="AD529" s="36"/>
      <c r="AE529" s="36"/>
      <c r="AF529" s="36"/>
      <c r="AG529" s="36"/>
      <c r="AH529" s="36"/>
      <c r="AI529" s="36"/>
      <c r="AJ529" s="36"/>
    </row>
    <row r="530" ht="15.75" customHeight="1">
      <c r="A530" s="389" t="s">
        <v>1407</v>
      </c>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c r="AA530" s="36"/>
      <c r="AB530" s="36"/>
      <c r="AC530" s="36"/>
      <c r="AD530" s="36"/>
      <c r="AE530" s="36"/>
      <c r="AF530" s="36"/>
      <c r="AG530" s="36"/>
      <c r="AH530" s="36"/>
      <c r="AI530" s="36"/>
      <c r="AJ530" s="36"/>
    </row>
    <row r="531" ht="15.75" customHeight="1">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c r="AA531" s="36"/>
      <c r="AB531" s="36"/>
      <c r="AC531" s="36"/>
      <c r="AD531" s="36"/>
      <c r="AE531" s="36"/>
      <c r="AF531" s="36"/>
      <c r="AG531" s="36"/>
      <c r="AH531" s="36"/>
      <c r="AI531" s="36"/>
      <c r="AJ531" s="36"/>
    </row>
    <row r="532" ht="15.75" customHeight="1">
      <c r="A532" s="36" t="s">
        <v>215</v>
      </c>
      <c r="B532" s="36">
        <v>1.0</v>
      </c>
      <c r="C532" s="36">
        <v>2.0</v>
      </c>
      <c r="D532" s="36">
        <v>3.0</v>
      </c>
      <c r="E532" s="36">
        <v>4.0</v>
      </c>
      <c r="F532" s="36">
        <v>5.0</v>
      </c>
      <c r="G532" s="36">
        <v>6.0</v>
      </c>
      <c r="H532" s="36">
        <v>7.0</v>
      </c>
      <c r="I532" s="36">
        <v>8.0</v>
      </c>
      <c r="J532" s="36">
        <v>9.0</v>
      </c>
      <c r="K532" s="36">
        <v>10.0</v>
      </c>
      <c r="L532" s="36">
        <v>11.0</v>
      </c>
      <c r="M532" s="36">
        <v>12.0</v>
      </c>
      <c r="N532" s="36">
        <v>13.0</v>
      </c>
      <c r="O532" s="36">
        <v>14.0</v>
      </c>
      <c r="P532" s="36">
        <v>15.0</v>
      </c>
      <c r="Q532" s="36">
        <v>16.0</v>
      </c>
      <c r="R532" s="36">
        <v>17.0</v>
      </c>
      <c r="S532" s="36">
        <v>18.0</v>
      </c>
      <c r="T532" s="36">
        <v>19.0</v>
      </c>
      <c r="U532" s="36">
        <v>20.0</v>
      </c>
      <c r="V532" s="36">
        <v>21.0</v>
      </c>
      <c r="W532" s="36">
        <v>22.0</v>
      </c>
      <c r="X532" s="36">
        <v>23.0</v>
      </c>
      <c r="Y532" s="36">
        <v>24.0</v>
      </c>
      <c r="Z532" s="36">
        <v>25.0</v>
      </c>
      <c r="AA532" s="36">
        <v>26.0</v>
      </c>
      <c r="AB532" s="36">
        <v>27.0</v>
      </c>
      <c r="AC532" s="36">
        <v>28.0</v>
      </c>
      <c r="AD532" s="36">
        <v>29.0</v>
      </c>
      <c r="AE532" s="36">
        <v>30.0</v>
      </c>
      <c r="AF532" s="36"/>
      <c r="AG532" s="36"/>
      <c r="AH532" s="36"/>
      <c r="AI532" s="36"/>
      <c r="AJ532" s="36"/>
    </row>
    <row r="533" ht="15.75" customHeight="1">
      <c r="A533" s="12" t="s">
        <v>217</v>
      </c>
      <c r="B533" s="36">
        <v>100.0</v>
      </c>
      <c r="C533" s="36">
        <v>100.0</v>
      </c>
      <c r="D533" s="36">
        <v>100.0</v>
      </c>
      <c r="E533" s="36">
        <v>100.0</v>
      </c>
      <c r="F533" s="36">
        <v>100.0</v>
      </c>
      <c r="G533" s="36">
        <v>100.0</v>
      </c>
      <c r="H533" s="36">
        <v>100.0</v>
      </c>
      <c r="I533" s="36">
        <v>100.0</v>
      </c>
      <c r="J533" s="36">
        <v>100.0</v>
      </c>
      <c r="K533" s="36">
        <v>100.0</v>
      </c>
      <c r="L533" s="36">
        <v>100.0</v>
      </c>
      <c r="M533" s="36">
        <v>100.0</v>
      </c>
      <c r="N533" s="36">
        <v>100.0</v>
      </c>
      <c r="O533" s="36">
        <v>100.0</v>
      </c>
      <c r="P533" s="36">
        <v>100.0</v>
      </c>
      <c r="Q533" s="36">
        <v>100.0</v>
      </c>
      <c r="R533" s="36">
        <v>100.0</v>
      </c>
      <c r="S533" s="36">
        <v>100.0</v>
      </c>
      <c r="T533" s="36">
        <v>100.0</v>
      </c>
      <c r="U533" s="36">
        <v>100.0</v>
      </c>
      <c r="V533" s="36">
        <v>100.0</v>
      </c>
      <c r="W533" s="36">
        <v>100.0</v>
      </c>
      <c r="X533" s="36">
        <v>100.0</v>
      </c>
      <c r="Y533" s="36">
        <v>100.0</v>
      </c>
      <c r="Z533" s="36">
        <v>100.0</v>
      </c>
      <c r="AA533" s="36">
        <v>100.0</v>
      </c>
      <c r="AB533" s="36">
        <v>100.0</v>
      </c>
      <c r="AC533" s="36">
        <v>100.0</v>
      </c>
      <c r="AD533" s="36">
        <v>100.0</v>
      </c>
      <c r="AE533" s="36">
        <v>100.0</v>
      </c>
      <c r="AF533" s="36"/>
      <c r="AG533" s="36"/>
      <c r="AH533" s="36"/>
      <c r="AI533" s="36"/>
      <c r="AJ533" s="36"/>
    </row>
    <row r="534" ht="15.75" customHeight="1">
      <c r="A534" s="12" t="s">
        <v>218</v>
      </c>
      <c r="B534" s="12">
        <v>0.0</v>
      </c>
      <c r="C534" s="12">
        <v>0.0</v>
      </c>
      <c r="D534" s="12">
        <v>0.0</v>
      </c>
      <c r="E534" s="12">
        <v>0.0</v>
      </c>
      <c r="F534" s="12">
        <v>0.0</v>
      </c>
      <c r="G534" s="12">
        <v>0.0</v>
      </c>
      <c r="H534" s="12">
        <v>0.0</v>
      </c>
      <c r="I534" s="12">
        <v>0.0</v>
      </c>
      <c r="J534" s="12">
        <v>0.0</v>
      </c>
      <c r="K534" s="12">
        <v>0.0</v>
      </c>
      <c r="L534" s="12">
        <v>0.0</v>
      </c>
      <c r="M534" s="12">
        <v>0.0</v>
      </c>
      <c r="N534" s="12">
        <v>0.0</v>
      </c>
      <c r="O534" s="12">
        <v>0.0</v>
      </c>
      <c r="P534" s="12">
        <v>0.0</v>
      </c>
      <c r="Q534" s="12">
        <v>0.0</v>
      </c>
      <c r="R534" s="12">
        <v>0.0</v>
      </c>
      <c r="S534" s="12">
        <v>0.0</v>
      </c>
      <c r="T534" s="12">
        <v>0.0</v>
      </c>
      <c r="U534" s="12">
        <v>0.0</v>
      </c>
      <c r="V534" s="12">
        <v>0.0</v>
      </c>
      <c r="W534" s="12">
        <v>0.0</v>
      </c>
      <c r="X534" s="12">
        <v>0.0</v>
      </c>
      <c r="Y534" s="12">
        <v>0.0</v>
      </c>
      <c r="Z534" s="12">
        <v>0.0</v>
      </c>
      <c r="AA534" s="12">
        <v>0.0</v>
      </c>
      <c r="AB534" s="12">
        <v>0.0</v>
      </c>
      <c r="AC534" s="12">
        <v>0.0</v>
      </c>
      <c r="AD534" s="12">
        <v>0.0</v>
      </c>
      <c r="AE534" s="12">
        <v>0.0</v>
      </c>
      <c r="AF534" s="36"/>
      <c r="AG534" s="36"/>
      <c r="AH534" s="36"/>
      <c r="AI534" s="36"/>
      <c r="AJ534" s="36"/>
    </row>
    <row r="535" ht="15.75" customHeight="1">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c r="AA535" s="36"/>
      <c r="AB535" s="36"/>
      <c r="AC535" s="36"/>
      <c r="AD535" s="36"/>
      <c r="AE535" s="36"/>
      <c r="AF535" s="36"/>
      <c r="AG535" s="36"/>
      <c r="AH535" s="36"/>
      <c r="AI535" s="36"/>
      <c r="AJ535" s="36"/>
    </row>
    <row r="536" ht="15.75" customHeight="1">
      <c r="A536" s="380" t="s">
        <v>1959</v>
      </c>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c r="AA536" s="36"/>
      <c r="AB536" s="36"/>
      <c r="AC536" s="36"/>
      <c r="AD536" s="36"/>
      <c r="AE536" s="36"/>
      <c r="AF536" s="36"/>
      <c r="AG536" s="36"/>
      <c r="AH536" s="36"/>
      <c r="AI536" s="36"/>
      <c r="AJ536" s="36"/>
    </row>
    <row r="537" ht="15.75" customHeight="1">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c r="AA537" s="36"/>
      <c r="AB537" s="36"/>
      <c r="AC537" s="36"/>
      <c r="AD537" s="36"/>
      <c r="AE537" s="36"/>
      <c r="AF537" s="36"/>
      <c r="AG537" s="36"/>
      <c r="AH537" s="36"/>
      <c r="AI537" s="36"/>
      <c r="AJ537" s="36"/>
    </row>
    <row r="538" ht="15.75" customHeight="1">
      <c r="A538" s="36" t="s">
        <v>215</v>
      </c>
      <c r="B538" s="36">
        <v>1.0</v>
      </c>
      <c r="C538" s="36">
        <v>2.0</v>
      </c>
      <c r="D538" s="36">
        <v>3.0</v>
      </c>
      <c r="E538" s="36">
        <v>4.0</v>
      </c>
      <c r="F538" s="36">
        <v>5.0</v>
      </c>
      <c r="G538" s="36">
        <v>6.0</v>
      </c>
      <c r="H538" s="36">
        <v>7.0</v>
      </c>
      <c r="I538" s="36">
        <v>8.0</v>
      </c>
      <c r="J538" s="36">
        <v>9.0</v>
      </c>
      <c r="K538" s="36">
        <v>10.0</v>
      </c>
      <c r="L538" s="36">
        <v>11.0</v>
      </c>
      <c r="M538" s="36">
        <v>12.0</v>
      </c>
      <c r="N538" s="36">
        <v>13.0</v>
      </c>
      <c r="O538" s="36">
        <v>14.0</v>
      </c>
      <c r="P538" s="36">
        <v>15.0</v>
      </c>
      <c r="Q538" s="36">
        <v>16.0</v>
      </c>
      <c r="R538" s="36">
        <v>17.0</v>
      </c>
      <c r="S538" s="36">
        <v>18.0</v>
      </c>
      <c r="T538" s="36">
        <v>19.0</v>
      </c>
      <c r="U538" s="36">
        <v>20.0</v>
      </c>
      <c r="V538" s="36">
        <v>21.0</v>
      </c>
      <c r="W538" s="36">
        <v>22.0</v>
      </c>
      <c r="X538" s="36">
        <v>23.0</v>
      </c>
      <c r="Y538" s="36">
        <v>24.0</v>
      </c>
      <c r="Z538" s="36">
        <v>25.0</v>
      </c>
      <c r="AA538" s="36">
        <v>26.0</v>
      </c>
      <c r="AB538" s="36">
        <v>27.0</v>
      </c>
      <c r="AC538" s="36">
        <v>28.0</v>
      </c>
      <c r="AD538" s="36">
        <v>29.0</v>
      </c>
      <c r="AE538" s="36">
        <v>30.0</v>
      </c>
      <c r="AF538" s="36"/>
      <c r="AG538" s="36"/>
      <c r="AH538" s="36"/>
      <c r="AI538" s="36"/>
      <c r="AJ538" s="36"/>
    </row>
    <row r="539" ht="15.75" customHeight="1">
      <c r="A539" s="12" t="s">
        <v>217</v>
      </c>
      <c r="B539" s="12">
        <v>0.0</v>
      </c>
      <c r="C539" s="12">
        <v>0.0</v>
      </c>
      <c r="D539" s="12">
        <v>0.0</v>
      </c>
      <c r="E539" s="12">
        <v>0.0</v>
      </c>
      <c r="F539" s="12">
        <v>0.0</v>
      </c>
      <c r="G539" s="12">
        <v>0.0</v>
      </c>
      <c r="H539" s="12">
        <v>0.0</v>
      </c>
      <c r="I539" s="12">
        <v>0.0</v>
      </c>
      <c r="J539" s="12">
        <v>0.0</v>
      </c>
      <c r="K539" s="12">
        <v>0.0</v>
      </c>
      <c r="L539" s="12">
        <v>0.0</v>
      </c>
      <c r="M539" s="12">
        <v>0.0</v>
      </c>
      <c r="N539" s="12">
        <v>0.0</v>
      </c>
      <c r="O539" s="12">
        <v>0.0</v>
      </c>
      <c r="P539" s="12">
        <v>0.0</v>
      </c>
      <c r="Q539" s="12">
        <v>0.0</v>
      </c>
      <c r="R539" s="12">
        <v>0.0</v>
      </c>
      <c r="S539" s="12">
        <v>0.0</v>
      </c>
      <c r="T539" s="12">
        <v>0.0</v>
      </c>
      <c r="U539" s="12">
        <v>0.0</v>
      </c>
      <c r="V539" s="12">
        <v>0.0</v>
      </c>
      <c r="W539" s="12">
        <v>0.0</v>
      </c>
      <c r="X539" s="12">
        <v>0.0</v>
      </c>
      <c r="Y539" s="12">
        <v>0.0</v>
      </c>
      <c r="Z539" s="12">
        <v>0.0</v>
      </c>
      <c r="AA539" s="12">
        <v>0.0</v>
      </c>
      <c r="AB539" s="12">
        <v>0.0</v>
      </c>
      <c r="AC539" s="12">
        <v>0.0</v>
      </c>
      <c r="AD539" s="12">
        <v>0.0</v>
      </c>
      <c r="AE539" s="12">
        <v>0.0</v>
      </c>
      <c r="AF539" s="36"/>
      <c r="AG539" s="36"/>
      <c r="AH539" s="36"/>
      <c r="AI539" s="36"/>
      <c r="AJ539" s="36"/>
    </row>
    <row r="540" ht="15.75" customHeight="1">
      <c r="A540" s="12" t="s">
        <v>218</v>
      </c>
      <c r="B540" s="390">
        <v>0.00183</v>
      </c>
      <c r="C540" s="390">
        <v>0.00183</v>
      </c>
      <c r="D540" s="390">
        <v>0.00183</v>
      </c>
      <c r="E540" s="390">
        <v>0.00183</v>
      </c>
      <c r="F540" s="390">
        <v>0.00183</v>
      </c>
      <c r="G540" s="390">
        <v>0.00183</v>
      </c>
      <c r="H540" s="390">
        <v>0.00183</v>
      </c>
      <c r="I540" s="390">
        <v>0.00183</v>
      </c>
      <c r="J540" s="390">
        <v>0.00183</v>
      </c>
      <c r="K540" s="390">
        <v>0.00183</v>
      </c>
      <c r="L540" s="390">
        <v>0.00183</v>
      </c>
      <c r="M540" s="390">
        <v>0.00183</v>
      </c>
      <c r="N540" s="390">
        <v>0.00183</v>
      </c>
      <c r="O540" s="390">
        <v>0.00183</v>
      </c>
      <c r="P540" s="390">
        <v>0.00183</v>
      </c>
      <c r="Q540" s="390">
        <v>0.00183</v>
      </c>
      <c r="R540" s="390">
        <v>0.00183</v>
      </c>
      <c r="S540" s="390">
        <v>0.00183</v>
      </c>
      <c r="T540" s="390">
        <v>0.00183</v>
      </c>
      <c r="U540" s="390">
        <v>0.00183</v>
      </c>
      <c r="V540" s="390">
        <v>0.00183</v>
      </c>
      <c r="W540" s="390">
        <v>0.00183</v>
      </c>
      <c r="X540" s="390">
        <v>0.00183</v>
      </c>
      <c r="Y540" s="390">
        <v>0.00183</v>
      </c>
      <c r="Z540" s="390">
        <v>0.00183</v>
      </c>
      <c r="AA540" s="390">
        <v>0.00183</v>
      </c>
      <c r="AB540" s="390">
        <v>0.00183</v>
      </c>
      <c r="AC540" s="390">
        <v>0.00183</v>
      </c>
      <c r="AD540" s="390">
        <v>0.00183</v>
      </c>
      <c r="AE540" s="390">
        <v>0.00183</v>
      </c>
      <c r="AF540" s="36"/>
      <c r="AG540" s="36"/>
      <c r="AH540" s="36"/>
      <c r="AI540" s="36"/>
      <c r="AJ540" s="36"/>
    </row>
    <row r="541" ht="15.75" customHeight="1">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c r="AA541" s="36"/>
      <c r="AB541" s="36"/>
      <c r="AC541" s="36"/>
      <c r="AD541" s="36"/>
      <c r="AE541" s="36"/>
      <c r="AF541" s="36"/>
      <c r="AG541" s="36"/>
      <c r="AH541" s="36"/>
      <c r="AI541" s="36"/>
      <c r="AJ541" s="36"/>
    </row>
    <row r="542" ht="15.75" customHeight="1">
      <c r="A542" s="380" t="s">
        <v>1398</v>
      </c>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c r="AA542" s="36"/>
      <c r="AB542" s="36"/>
      <c r="AC542" s="36"/>
      <c r="AD542" s="36"/>
      <c r="AE542" s="36"/>
      <c r="AF542" s="36"/>
      <c r="AG542" s="36"/>
      <c r="AH542" s="36"/>
      <c r="AI542" s="36"/>
      <c r="AJ542" s="36"/>
    </row>
    <row r="543" ht="15.75" customHeight="1">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c r="AA543" s="36"/>
      <c r="AB543" s="36"/>
      <c r="AC543" s="36"/>
      <c r="AD543" s="36"/>
      <c r="AE543" s="36"/>
      <c r="AF543" s="36"/>
      <c r="AG543" s="36"/>
      <c r="AH543" s="36"/>
      <c r="AI543" s="36"/>
      <c r="AJ543" s="36"/>
    </row>
    <row r="544" ht="15.75" customHeight="1">
      <c r="A544" s="36" t="s">
        <v>215</v>
      </c>
      <c r="B544" s="36">
        <v>1.0</v>
      </c>
      <c r="C544" s="36">
        <v>2.0</v>
      </c>
      <c r="D544" s="36">
        <v>3.0</v>
      </c>
      <c r="E544" s="36">
        <v>4.0</v>
      </c>
      <c r="F544" s="36">
        <v>5.0</v>
      </c>
      <c r="G544" s="36">
        <v>6.0</v>
      </c>
      <c r="H544" s="36">
        <v>7.0</v>
      </c>
      <c r="I544" s="36">
        <v>8.0</v>
      </c>
      <c r="J544" s="36">
        <v>9.0</v>
      </c>
      <c r="K544" s="36">
        <v>10.0</v>
      </c>
      <c r="L544" s="36">
        <v>11.0</v>
      </c>
      <c r="M544" s="36">
        <v>12.0</v>
      </c>
      <c r="N544" s="36">
        <v>13.0</v>
      </c>
      <c r="O544" s="36">
        <v>14.0</v>
      </c>
      <c r="P544" s="36">
        <v>15.0</v>
      </c>
      <c r="Q544" s="36">
        <v>16.0</v>
      </c>
      <c r="R544" s="36">
        <v>17.0</v>
      </c>
      <c r="S544" s="36">
        <v>18.0</v>
      </c>
      <c r="T544" s="36">
        <v>19.0</v>
      </c>
      <c r="U544" s="36">
        <v>20.0</v>
      </c>
      <c r="V544" s="36">
        <v>21.0</v>
      </c>
      <c r="W544" s="36">
        <v>22.0</v>
      </c>
      <c r="X544" s="36">
        <v>23.0</v>
      </c>
      <c r="Y544" s="36">
        <v>24.0</v>
      </c>
      <c r="Z544" s="36">
        <v>25.0</v>
      </c>
      <c r="AA544" s="36">
        <v>26.0</v>
      </c>
      <c r="AB544" s="36">
        <v>27.0</v>
      </c>
      <c r="AC544" s="36">
        <v>28.0</v>
      </c>
      <c r="AD544" s="36">
        <v>29.0</v>
      </c>
      <c r="AE544" s="36">
        <v>30.0</v>
      </c>
      <c r="AF544" s="36"/>
      <c r="AG544" s="36"/>
      <c r="AH544" s="36"/>
      <c r="AI544" s="36"/>
      <c r="AJ544" s="36"/>
    </row>
    <row r="545" ht="15.75" customHeight="1">
      <c r="A545" s="12" t="s">
        <v>217</v>
      </c>
      <c r="B545" s="36">
        <v>500.0</v>
      </c>
      <c r="C545" s="36">
        <v>500.0</v>
      </c>
      <c r="D545" s="36">
        <v>500.0</v>
      </c>
      <c r="E545" s="36">
        <v>500.0</v>
      </c>
      <c r="F545" s="36">
        <v>500.0</v>
      </c>
      <c r="G545" s="36">
        <v>500.0</v>
      </c>
      <c r="H545" s="36">
        <v>500.0</v>
      </c>
      <c r="I545" s="36">
        <v>500.0</v>
      </c>
      <c r="J545" s="36">
        <v>500.0</v>
      </c>
      <c r="K545" s="36">
        <v>500.0</v>
      </c>
      <c r="L545" s="36">
        <v>500.0</v>
      </c>
      <c r="M545" s="36">
        <v>500.0</v>
      </c>
      <c r="N545" s="36">
        <v>500.0</v>
      </c>
      <c r="O545" s="36">
        <v>500.0</v>
      </c>
      <c r="P545" s="36">
        <v>500.0</v>
      </c>
      <c r="Q545" s="36">
        <v>500.0</v>
      </c>
      <c r="R545" s="36">
        <v>500.0</v>
      </c>
      <c r="S545" s="36">
        <v>500.0</v>
      </c>
      <c r="T545" s="36">
        <v>500.0</v>
      </c>
      <c r="U545" s="36">
        <v>500.0</v>
      </c>
      <c r="V545" s="36">
        <v>500.0</v>
      </c>
      <c r="W545" s="36">
        <v>500.0</v>
      </c>
      <c r="X545" s="36">
        <v>500.0</v>
      </c>
      <c r="Y545" s="36">
        <v>500.0</v>
      </c>
      <c r="Z545" s="36">
        <v>500.0</v>
      </c>
      <c r="AA545" s="36">
        <v>500.0</v>
      </c>
      <c r="AB545" s="36">
        <v>500.0</v>
      </c>
      <c r="AC545" s="36">
        <v>500.0</v>
      </c>
      <c r="AD545" s="36">
        <v>500.0</v>
      </c>
      <c r="AE545" s="36">
        <v>500.0</v>
      </c>
      <c r="AF545" s="36"/>
      <c r="AG545" s="36"/>
      <c r="AH545" s="36"/>
      <c r="AI545" s="36"/>
      <c r="AJ545" s="36"/>
    </row>
    <row r="546" ht="15.75" customHeight="1">
      <c r="A546" s="12" t="s">
        <v>218</v>
      </c>
      <c r="B546" s="121">
        <v>0.0</v>
      </c>
      <c r="C546" s="121">
        <v>0.0</v>
      </c>
      <c r="D546" s="121">
        <v>0.0</v>
      </c>
      <c r="E546" s="121">
        <v>0.0</v>
      </c>
      <c r="F546" s="121">
        <v>0.0</v>
      </c>
      <c r="G546" s="121">
        <v>0.0</v>
      </c>
      <c r="H546" s="121">
        <v>0.0</v>
      </c>
      <c r="I546" s="121">
        <v>0.0</v>
      </c>
      <c r="J546" s="121">
        <v>0.0</v>
      </c>
      <c r="K546" s="121">
        <v>0.0</v>
      </c>
      <c r="L546" s="121">
        <v>0.0</v>
      </c>
      <c r="M546" s="121">
        <v>0.0</v>
      </c>
      <c r="N546" s="121">
        <v>0.0</v>
      </c>
      <c r="O546" s="121">
        <v>0.0</v>
      </c>
      <c r="P546" s="121">
        <v>0.0</v>
      </c>
      <c r="Q546" s="121">
        <v>0.0</v>
      </c>
      <c r="R546" s="121">
        <v>0.0</v>
      </c>
      <c r="S546" s="121">
        <v>0.0</v>
      </c>
      <c r="T546" s="121">
        <v>0.0</v>
      </c>
      <c r="U546" s="121">
        <v>0.0</v>
      </c>
      <c r="V546" s="121">
        <v>0.0</v>
      </c>
      <c r="W546" s="121">
        <v>0.0</v>
      </c>
      <c r="X546" s="121">
        <v>0.0</v>
      </c>
      <c r="Y546" s="121">
        <v>0.0</v>
      </c>
      <c r="Z546" s="121">
        <v>0.0</v>
      </c>
      <c r="AA546" s="121">
        <v>0.0</v>
      </c>
      <c r="AB546" s="121">
        <v>0.0</v>
      </c>
      <c r="AC546" s="121">
        <v>0.0</v>
      </c>
      <c r="AD546" s="121">
        <v>0.0</v>
      </c>
      <c r="AE546" s="121">
        <v>0.0</v>
      </c>
      <c r="AF546" s="36"/>
      <c r="AG546" s="36"/>
      <c r="AH546" s="36"/>
      <c r="AI546" s="36"/>
      <c r="AJ546" s="36"/>
    </row>
    <row r="547" ht="15.75" customHeight="1">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c r="AA547" s="36"/>
      <c r="AB547" s="36"/>
      <c r="AC547" s="36"/>
      <c r="AD547" s="36"/>
      <c r="AE547" s="36"/>
      <c r="AF547" s="36"/>
      <c r="AG547" s="36"/>
      <c r="AH547" s="36"/>
      <c r="AI547" s="36"/>
      <c r="AJ547" s="36"/>
    </row>
    <row r="548" ht="15.75" customHeight="1">
      <c r="A548" s="380" t="s">
        <v>1392</v>
      </c>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c r="AA548" s="36"/>
      <c r="AB548" s="36"/>
      <c r="AC548" s="36"/>
      <c r="AD548" s="36"/>
      <c r="AE548" s="36"/>
      <c r="AF548" s="36"/>
      <c r="AG548" s="36"/>
      <c r="AH548" s="36"/>
      <c r="AI548" s="36"/>
      <c r="AJ548" s="36"/>
    </row>
    <row r="549" ht="15.75" customHeight="1">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c r="AA549" s="36"/>
      <c r="AB549" s="36"/>
      <c r="AC549" s="36"/>
      <c r="AD549" s="36"/>
      <c r="AE549" s="36"/>
      <c r="AF549" s="36"/>
      <c r="AG549" s="36"/>
      <c r="AH549" s="36"/>
      <c r="AI549" s="36"/>
      <c r="AJ549" s="36"/>
    </row>
    <row r="550" ht="15.75" customHeight="1">
      <c r="A550" s="36" t="s">
        <v>215</v>
      </c>
      <c r="B550" s="36">
        <v>1.0</v>
      </c>
      <c r="C550" s="36">
        <v>2.0</v>
      </c>
      <c r="D550" s="36">
        <v>3.0</v>
      </c>
      <c r="E550" s="36">
        <v>4.0</v>
      </c>
      <c r="F550" s="36">
        <v>5.0</v>
      </c>
      <c r="G550" s="36">
        <v>6.0</v>
      </c>
      <c r="H550" s="36">
        <v>7.0</v>
      </c>
      <c r="I550" s="36">
        <v>8.0</v>
      </c>
      <c r="J550" s="36">
        <v>9.0</v>
      </c>
      <c r="K550" s="36">
        <v>10.0</v>
      </c>
      <c r="L550" s="36">
        <v>11.0</v>
      </c>
      <c r="M550" s="36">
        <v>12.0</v>
      </c>
      <c r="N550" s="36">
        <v>13.0</v>
      </c>
      <c r="O550" s="36">
        <v>14.0</v>
      </c>
      <c r="P550" s="36">
        <v>15.0</v>
      </c>
      <c r="Q550" s="36">
        <v>16.0</v>
      </c>
      <c r="R550" s="36">
        <v>17.0</v>
      </c>
      <c r="S550" s="36">
        <v>18.0</v>
      </c>
      <c r="T550" s="36">
        <v>19.0</v>
      </c>
      <c r="U550" s="36">
        <v>20.0</v>
      </c>
      <c r="V550" s="36">
        <v>21.0</v>
      </c>
      <c r="W550" s="36">
        <v>22.0</v>
      </c>
      <c r="X550" s="36">
        <v>23.0</v>
      </c>
      <c r="Y550" s="36">
        <v>24.0</v>
      </c>
      <c r="Z550" s="36">
        <v>25.0</v>
      </c>
      <c r="AA550" s="36">
        <v>26.0</v>
      </c>
      <c r="AB550" s="36">
        <v>27.0</v>
      </c>
      <c r="AC550" s="36">
        <v>28.0</v>
      </c>
      <c r="AD550" s="36">
        <v>29.0</v>
      </c>
      <c r="AE550" s="36">
        <v>30.0</v>
      </c>
      <c r="AF550" s="36"/>
      <c r="AG550" s="36"/>
      <c r="AH550" s="36"/>
      <c r="AI550" s="36"/>
      <c r="AJ550" s="36"/>
    </row>
    <row r="551" ht="15.75" customHeight="1">
      <c r="A551" s="12" t="s">
        <v>217</v>
      </c>
      <c r="B551" s="36">
        <v>350.0</v>
      </c>
      <c r="C551" s="36">
        <v>350.0</v>
      </c>
      <c r="D551" s="36">
        <v>350.0</v>
      </c>
      <c r="E551" s="36">
        <v>350.0</v>
      </c>
      <c r="F551" s="36">
        <v>350.0</v>
      </c>
      <c r="G551" s="36">
        <v>350.0</v>
      </c>
      <c r="H551" s="36">
        <v>350.0</v>
      </c>
      <c r="I551" s="36">
        <v>350.0</v>
      </c>
      <c r="J551" s="36">
        <v>350.0</v>
      </c>
      <c r="K551" s="36">
        <v>350.0</v>
      </c>
      <c r="L551" s="36">
        <v>350.0</v>
      </c>
      <c r="M551" s="36">
        <v>350.0</v>
      </c>
      <c r="N551" s="36">
        <v>350.0</v>
      </c>
      <c r="O551" s="36">
        <v>350.0</v>
      </c>
      <c r="P551" s="36">
        <v>350.0</v>
      </c>
      <c r="Q551" s="36">
        <v>350.0</v>
      </c>
      <c r="R551" s="36">
        <v>350.0</v>
      </c>
      <c r="S551" s="36">
        <v>350.0</v>
      </c>
      <c r="T551" s="36">
        <v>350.0</v>
      </c>
      <c r="U551" s="36">
        <v>350.0</v>
      </c>
      <c r="V551" s="36">
        <v>350.0</v>
      </c>
      <c r="W551" s="36">
        <v>350.0</v>
      </c>
      <c r="X551" s="36">
        <v>350.0</v>
      </c>
      <c r="Y551" s="36">
        <v>350.0</v>
      </c>
      <c r="Z551" s="36">
        <v>350.0</v>
      </c>
      <c r="AA551" s="36">
        <v>350.0</v>
      </c>
      <c r="AB551" s="36">
        <v>350.0</v>
      </c>
      <c r="AC551" s="36">
        <v>350.0</v>
      </c>
      <c r="AD551" s="36">
        <v>350.0</v>
      </c>
      <c r="AE551" s="36">
        <v>350.0</v>
      </c>
      <c r="AF551" s="36"/>
      <c r="AG551" s="36"/>
      <c r="AH551" s="36"/>
      <c r="AI551" s="36"/>
      <c r="AJ551" s="36"/>
    </row>
    <row r="552" ht="15.75" customHeight="1">
      <c r="A552" s="12" t="s">
        <v>218</v>
      </c>
      <c r="B552" s="121">
        <v>0.0</v>
      </c>
      <c r="C552" s="121">
        <v>0.0</v>
      </c>
      <c r="D552" s="121">
        <v>0.0</v>
      </c>
      <c r="E552" s="121">
        <v>0.0</v>
      </c>
      <c r="F552" s="121">
        <v>0.0</v>
      </c>
      <c r="G552" s="121">
        <v>0.0</v>
      </c>
      <c r="H552" s="121">
        <v>0.0</v>
      </c>
      <c r="I552" s="121">
        <v>0.0</v>
      </c>
      <c r="J552" s="121">
        <v>0.0</v>
      </c>
      <c r="K552" s="121">
        <v>0.0</v>
      </c>
      <c r="L552" s="121">
        <v>0.0</v>
      </c>
      <c r="M552" s="121">
        <v>0.0</v>
      </c>
      <c r="N552" s="121">
        <v>0.0</v>
      </c>
      <c r="O552" s="121">
        <v>0.0</v>
      </c>
      <c r="P552" s="121">
        <v>0.0</v>
      </c>
      <c r="Q552" s="121">
        <v>0.0</v>
      </c>
      <c r="R552" s="121">
        <v>0.0</v>
      </c>
      <c r="S552" s="121">
        <v>0.0</v>
      </c>
      <c r="T552" s="121">
        <v>0.0</v>
      </c>
      <c r="U552" s="121">
        <v>0.0</v>
      </c>
      <c r="V552" s="121">
        <v>0.0</v>
      </c>
      <c r="W552" s="121">
        <v>0.0</v>
      </c>
      <c r="X552" s="121">
        <v>0.0</v>
      </c>
      <c r="Y552" s="121">
        <v>0.0</v>
      </c>
      <c r="Z552" s="121">
        <v>0.0</v>
      </c>
      <c r="AA552" s="121">
        <v>0.0</v>
      </c>
      <c r="AB552" s="121">
        <v>0.0</v>
      </c>
      <c r="AC552" s="121">
        <v>0.0</v>
      </c>
      <c r="AD552" s="121">
        <v>0.0</v>
      </c>
      <c r="AE552" s="121">
        <v>0.0</v>
      </c>
      <c r="AF552" s="36"/>
      <c r="AG552" s="36"/>
      <c r="AH552" s="36"/>
      <c r="AI552" s="36"/>
      <c r="AJ552" s="36"/>
    </row>
    <row r="553" ht="15.75" customHeight="1">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c r="AA553" s="36"/>
      <c r="AB553" s="36"/>
      <c r="AC553" s="36"/>
      <c r="AD553" s="36"/>
      <c r="AE553" s="36"/>
      <c r="AF553" s="36"/>
      <c r="AG553" s="36"/>
      <c r="AH553" s="36"/>
      <c r="AI553" s="36"/>
      <c r="AJ553" s="36"/>
    </row>
    <row r="554" ht="15.75" customHeight="1">
      <c r="A554" s="380" t="s">
        <v>1385</v>
      </c>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c r="AA554" s="36"/>
      <c r="AB554" s="36"/>
      <c r="AC554" s="36"/>
      <c r="AD554" s="36"/>
      <c r="AE554" s="36"/>
      <c r="AF554" s="36"/>
      <c r="AG554" s="36"/>
      <c r="AH554" s="36"/>
      <c r="AI554" s="36"/>
      <c r="AJ554" s="36"/>
    </row>
    <row r="555" ht="15.75" customHeight="1">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c r="AA555" s="36"/>
      <c r="AB555" s="36"/>
      <c r="AC555" s="36"/>
      <c r="AD555" s="36"/>
      <c r="AE555" s="36"/>
      <c r="AF555" s="36"/>
      <c r="AG555" s="36"/>
      <c r="AH555" s="36"/>
      <c r="AI555" s="36"/>
      <c r="AJ555" s="36"/>
    </row>
    <row r="556" ht="15.75" customHeight="1">
      <c r="A556" s="36" t="s">
        <v>215</v>
      </c>
      <c r="B556" s="36">
        <v>1.0</v>
      </c>
      <c r="C556" s="36">
        <v>2.0</v>
      </c>
      <c r="D556" s="36">
        <v>3.0</v>
      </c>
      <c r="E556" s="36">
        <v>4.0</v>
      </c>
      <c r="F556" s="36">
        <v>5.0</v>
      </c>
      <c r="G556" s="36">
        <v>6.0</v>
      </c>
      <c r="H556" s="36">
        <v>7.0</v>
      </c>
      <c r="I556" s="36">
        <v>8.0</v>
      </c>
      <c r="J556" s="36">
        <v>9.0</v>
      </c>
      <c r="K556" s="36">
        <v>10.0</v>
      </c>
      <c r="L556" s="36">
        <v>11.0</v>
      </c>
      <c r="M556" s="36">
        <v>12.0</v>
      </c>
      <c r="N556" s="36">
        <v>13.0</v>
      </c>
      <c r="O556" s="36">
        <v>14.0</v>
      </c>
      <c r="P556" s="36">
        <v>15.0</v>
      </c>
      <c r="Q556" s="36">
        <v>16.0</v>
      </c>
      <c r="R556" s="36">
        <v>17.0</v>
      </c>
      <c r="S556" s="36">
        <v>18.0</v>
      </c>
      <c r="T556" s="36">
        <v>19.0</v>
      </c>
      <c r="U556" s="36">
        <v>20.0</v>
      </c>
      <c r="V556" s="36">
        <v>21.0</v>
      </c>
      <c r="W556" s="36">
        <v>22.0</v>
      </c>
      <c r="X556" s="36">
        <v>23.0</v>
      </c>
      <c r="Y556" s="36">
        <v>24.0</v>
      </c>
      <c r="Z556" s="36">
        <v>25.0</v>
      </c>
      <c r="AA556" s="36">
        <v>26.0</v>
      </c>
      <c r="AB556" s="36">
        <v>27.0</v>
      </c>
      <c r="AC556" s="36">
        <v>28.0</v>
      </c>
      <c r="AD556" s="36">
        <v>29.0</v>
      </c>
      <c r="AE556" s="36">
        <v>30.0</v>
      </c>
      <c r="AF556" s="36"/>
      <c r="AG556" s="36"/>
      <c r="AH556" s="36"/>
      <c r="AI556" s="36"/>
      <c r="AJ556" s="36"/>
    </row>
    <row r="557" ht="15.75" customHeight="1">
      <c r="A557" s="12" t="s">
        <v>217</v>
      </c>
      <c r="B557" s="12">
        <v>0.0</v>
      </c>
      <c r="C557" s="12">
        <v>0.0</v>
      </c>
      <c r="D557" s="12">
        <v>0.0</v>
      </c>
      <c r="E557" s="12">
        <v>0.0</v>
      </c>
      <c r="F557" s="12">
        <v>0.0</v>
      </c>
      <c r="G557" s="12">
        <v>0.0</v>
      </c>
      <c r="H557" s="12">
        <v>0.0</v>
      </c>
      <c r="I557" s="12">
        <v>0.0</v>
      </c>
      <c r="J557" s="12">
        <v>0.0</v>
      </c>
      <c r="K557" s="12">
        <v>0.0</v>
      </c>
      <c r="L557" s="12">
        <v>0.0</v>
      </c>
      <c r="M557" s="12">
        <v>0.0</v>
      </c>
      <c r="N557" s="12">
        <v>0.0</v>
      </c>
      <c r="O557" s="12">
        <v>0.0</v>
      </c>
      <c r="P557" s="12">
        <v>0.0</v>
      </c>
      <c r="Q557" s="12">
        <v>0.0</v>
      </c>
      <c r="R557" s="12">
        <v>0.0</v>
      </c>
      <c r="S557" s="12">
        <v>0.0</v>
      </c>
      <c r="T557" s="12">
        <v>0.0</v>
      </c>
      <c r="U557" s="12">
        <v>0.0</v>
      </c>
      <c r="V557" s="12">
        <v>0.0</v>
      </c>
      <c r="W557" s="12">
        <v>0.0</v>
      </c>
      <c r="X557" s="12">
        <v>0.0</v>
      </c>
      <c r="Y557" s="12">
        <v>0.0</v>
      </c>
      <c r="Z557" s="12">
        <v>0.0</v>
      </c>
      <c r="AA557" s="12">
        <v>0.0</v>
      </c>
      <c r="AB557" s="12">
        <v>0.0</v>
      </c>
      <c r="AC557" s="12">
        <v>0.0</v>
      </c>
      <c r="AD557" s="12">
        <v>0.0</v>
      </c>
      <c r="AE557" s="12">
        <v>0.0</v>
      </c>
      <c r="AF557" s="36"/>
      <c r="AG557" s="36"/>
      <c r="AH557" s="36"/>
      <c r="AI557" s="36"/>
      <c r="AJ557" s="36"/>
    </row>
    <row r="558" ht="15.75" customHeight="1">
      <c r="A558" s="12" t="s">
        <v>218</v>
      </c>
      <c r="B558" s="390">
        <v>9.5E-4</v>
      </c>
      <c r="C558" s="390">
        <v>9.5E-4</v>
      </c>
      <c r="D558" s="390">
        <v>9.5E-4</v>
      </c>
      <c r="E558" s="390">
        <v>9.5E-4</v>
      </c>
      <c r="F558" s="390">
        <v>9.5E-4</v>
      </c>
      <c r="G558" s="194">
        <v>0.002</v>
      </c>
      <c r="H558" s="194">
        <v>0.002</v>
      </c>
      <c r="I558" s="194">
        <v>0.002</v>
      </c>
      <c r="J558" s="194">
        <v>0.002</v>
      </c>
      <c r="K558" s="194">
        <v>0.002</v>
      </c>
      <c r="L558" s="194">
        <v>0.002</v>
      </c>
      <c r="M558" s="194">
        <v>0.002</v>
      </c>
      <c r="N558" s="194">
        <v>0.002</v>
      </c>
      <c r="O558" s="194">
        <v>0.002</v>
      </c>
      <c r="P558" s="194">
        <v>0.002</v>
      </c>
      <c r="Q558" s="194">
        <v>0.002</v>
      </c>
      <c r="R558" s="194">
        <v>0.002</v>
      </c>
      <c r="S558" s="194">
        <v>0.002</v>
      </c>
      <c r="T558" s="194">
        <v>0.002</v>
      </c>
      <c r="U558" s="194">
        <v>0.002</v>
      </c>
      <c r="V558" s="194">
        <v>0.002</v>
      </c>
      <c r="W558" s="194">
        <v>0.002</v>
      </c>
      <c r="X558" s="194">
        <v>0.002</v>
      </c>
      <c r="Y558" s="194">
        <v>0.002</v>
      </c>
      <c r="Z558" s="194">
        <v>0.002</v>
      </c>
      <c r="AA558" s="194">
        <v>0.002</v>
      </c>
      <c r="AB558" s="194">
        <v>0.002</v>
      </c>
      <c r="AC558" s="194">
        <v>0.002</v>
      </c>
      <c r="AD558" s="194">
        <v>0.002</v>
      </c>
      <c r="AE558" s="194">
        <v>0.002</v>
      </c>
      <c r="AF558" s="36"/>
      <c r="AG558" s="36"/>
      <c r="AH558" s="36"/>
      <c r="AI558" s="36"/>
      <c r="AJ558" s="36"/>
    </row>
    <row r="559" ht="15.75" customHeight="1">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c r="AA559" s="36"/>
      <c r="AB559" s="36"/>
      <c r="AC559" s="36"/>
      <c r="AD559" s="36"/>
      <c r="AE559" s="36"/>
      <c r="AF559" s="36"/>
      <c r="AG559" s="36"/>
      <c r="AH559" s="36"/>
      <c r="AI559" s="36"/>
      <c r="AJ559" s="36"/>
    </row>
    <row r="560" ht="15.75" customHeight="1">
      <c r="A560" s="380" t="s">
        <v>1377</v>
      </c>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c r="AA560" s="36"/>
      <c r="AB560" s="36"/>
      <c r="AC560" s="36"/>
      <c r="AD560" s="36"/>
      <c r="AE560" s="36"/>
      <c r="AF560" s="36"/>
      <c r="AG560" s="36"/>
      <c r="AH560" s="36"/>
      <c r="AI560" s="36"/>
      <c r="AJ560" s="36"/>
    </row>
    <row r="561" ht="15.75" customHeight="1">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c r="AA561" s="36"/>
      <c r="AB561" s="36"/>
      <c r="AC561" s="36"/>
      <c r="AD561" s="36"/>
      <c r="AE561" s="36"/>
      <c r="AF561" s="36"/>
      <c r="AG561" s="36"/>
      <c r="AH561" s="36"/>
      <c r="AI561" s="36"/>
      <c r="AJ561" s="36"/>
    </row>
    <row r="562" ht="15.75" customHeight="1">
      <c r="A562" s="36" t="s">
        <v>215</v>
      </c>
      <c r="B562" s="36">
        <v>1.0</v>
      </c>
      <c r="C562" s="36">
        <v>2.0</v>
      </c>
      <c r="D562" s="36">
        <v>3.0</v>
      </c>
      <c r="E562" s="36">
        <v>4.0</v>
      </c>
      <c r="F562" s="36">
        <v>5.0</v>
      </c>
      <c r="G562" s="36">
        <v>6.0</v>
      </c>
      <c r="H562" s="36">
        <v>7.0</v>
      </c>
      <c r="I562" s="36">
        <v>8.0</v>
      </c>
      <c r="J562" s="36">
        <v>9.0</v>
      </c>
      <c r="K562" s="36">
        <v>10.0</v>
      </c>
      <c r="L562" s="36">
        <v>11.0</v>
      </c>
      <c r="M562" s="36">
        <v>12.0</v>
      </c>
      <c r="N562" s="36">
        <v>13.0</v>
      </c>
      <c r="O562" s="36">
        <v>14.0</v>
      </c>
      <c r="P562" s="36">
        <v>15.0</v>
      </c>
      <c r="Q562" s="36">
        <v>16.0</v>
      </c>
      <c r="R562" s="36">
        <v>17.0</v>
      </c>
      <c r="S562" s="36">
        <v>18.0</v>
      </c>
      <c r="T562" s="36">
        <v>19.0</v>
      </c>
      <c r="U562" s="36">
        <v>20.0</v>
      </c>
      <c r="V562" s="36">
        <v>21.0</v>
      </c>
      <c r="W562" s="36">
        <v>22.0</v>
      </c>
      <c r="X562" s="36">
        <v>23.0</v>
      </c>
      <c r="Y562" s="36">
        <v>24.0</v>
      </c>
      <c r="Z562" s="36">
        <v>25.0</v>
      </c>
      <c r="AA562" s="36">
        <v>26.0</v>
      </c>
      <c r="AB562" s="36">
        <v>27.0</v>
      </c>
      <c r="AC562" s="36">
        <v>28.0</v>
      </c>
      <c r="AD562" s="36">
        <v>29.0</v>
      </c>
      <c r="AE562" s="36">
        <v>30.0</v>
      </c>
      <c r="AF562" s="36"/>
      <c r="AG562" s="36"/>
      <c r="AH562" s="36"/>
      <c r="AI562" s="36"/>
      <c r="AJ562" s="36"/>
    </row>
    <row r="563" ht="15.75" customHeight="1">
      <c r="A563" s="12" t="s">
        <v>217</v>
      </c>
      <c r="B563" s="12">
        <v>0.0</v>
      </c>
      <c r="C563" s="12">
        <v>0.0</v>
      </c>
      <c r="D563" s="12">
        <v>0.0</v>
      </c>
      <c r="E563" s="12">
        <v>0.0</v>
      </c>
      <c r="F563" s="12">
        <v>0.0</v>
      </c>
      <c r="G563" s="12">
        <v>0.0</v>
      </c>
      <c r="H563" s="12">
        <v>0.0</v>
      </c>
      <c r="I563" s="12">
        <v>0.0</v>
      </c>
      <c r="J563" s="12">
        <v>0.0</v>
      </c>
      <c r="K563" s="12">
        <v>0.0</v>
      </c>
      <c r="L563" s="12">
        <v>0.0</v>
      </c>
      <c r="M563" s="12">
        <v>0.0</v>
      </c>
      <c r="N563" s="12">
        <v>0.0</v>
      </c>
      <c r="O563" s="12">
        <v>0.0</v>
      </c>
      <c r="P563" s="12">
        <v>0.0</v>
      </c>
      <c r="Q563" s="12">
        <v>0.0</v>
      </c>
      <c r="R563" s="12">
        <v>0.0</v>
      </c>
      <c r="S563" s="12">
        <v>0.0</v>
      </c>
      <c r="T563" s="12">
        <v>0.0</v>
      </c>
      <c r="U563" s="12">
        <v>0.0</v>
      </c>
      <c r="V563" s="12">
        <v>0.0</v>
      </c>
      <c r="W563" s="12">
        <v>0.0</v>
      </c>
      <c r="X563" s="12">
        <v>0.0</v>
      </c>
      <c r="Y563" s="12">
        <v>0.0</v>
      </c>
      <c r="Z563" s="12">
        <v>0.0</v>
      </c>
      <c r="AA563" s="12">
        <v>0.0</v>
      </c>
      <c r="AB563" s="12">
        <v>0.0</v>
      </c>
      <c r="AC563" s="12">
        <v>0.0</v>
      </c>
      <c r="AD563" s="12">
        <v>0.0</v>
      </c>
      <c r="AE563" s="12">
        <v>0.0</v>
      </c>
      <c r="AF563" s="36"/>
      <c r="AG563" s="36"/>
      <c r="AH563" s="36"/>
      <c r="AI563" s="36"/>
      <c r="AJ563" s="36"/>
    </row>
    <row r="564" ht="15.75" customHeight="1">
      <c r="A564" s="12" t="s">
        <v>218</v>
      </c>
      <c r="B564" s="194">
        <v>0.0021</v>
      </c>
      <c r="C564" s="194">
        <v>0.0021</v>
      </c>
      <c r="D564" s="194">
        <v>0.0021</v>
      </c>
      <c r="E564" s="194">
        <v>0.0021</v>
      </c>
      <c r="F564" s="194">
        <v>0.0021</v>
      </c>
      <c r="G564" s="194">
        <v>0.001</v>
      </c>
      <c r="H564" s="194">
        <v>0.001</v>
      </c>
      <c r="I564" s="194">
        <v>0.001</v>
      </c>
      <c r="J564" s="194">
        <v>0.001</v>
      </c>
      <c r="K564" s="194">
        <v>0.001</v>
      </c>
      <c r="L564" s="194">
        <v>0.001</v>
      </c>
      <c r="M564" s="194">
        <v>0.001</v>
      </c>
      <c r="N564" s="194">
        <v>0.001</v>
      </c>
      <c r="O564" s="194">
        <v>0.001</v>
      </c>
      <c r="P564" s="194">
        <v>0.001</v>
      </c>
      <c r="Q564" s="194">
        <v>0.001</v>
      </c>
      <c r="R564" s="194">
        <v>0.001</v>
      </c>
      <c r="S564" s="194">
        <v>0.001</v>
      </c>
      <c r="T564" s="194">
        <v>0.001</v>
      </c>
      <c r="U564" s="194">
        <v>0.001</v>
      </c>
      <c r="V564" s="194">
        <v>0.001</v>
      </c>
      <c r="W564" s="194">
        <v>0.001</v>
      </c>
      <c r="X564" s="194">
        <v>0.001</v>
      </c>
      <c r="Y564" s="194">
        <v>0.001</v>
      </c>
      <c r="Z564" s="194">
        <v>0.001</v>
      </c>
      <c r="AA564" s="194">
        <v>0.001</v>
      </c>
      <c r="AB564" s="194">
        <v>0.001</v>
      </c>
      <c r="AC564" s="194">
        <v>0.001</v>
      </c>
      <c r="AD564" s="194">
        <v>0.001</v>
      </c>
      <c r="AE564" s="194">
        <v>0.001</v>
      </c>
      <c r="AF564" s="36"/>
      <c r="AG564" s="36"/>
      <c r="AH564" s="36"/>
      <c r="AI564" s="36"/>
      <c r="AJ564" s="36"/>
    </row>
    <row r="565" ht="15.75" customHeight="1">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c r="AA565" s="36"/>
      <c r="AB565" s="36"/>
      <c r="AC565" s="36"/>
      <c r="AD565" s="36"/>
      <c r="AE565" s="36"/>
      <c r="AF565" s="36"/>
      <c r="AG565" s="36"/>
      <c r="AH565" s="36"/>
      <c r="AI565" s="36"/>
      <c r="AJ565" s="36"/>
    </row>
    <row r="566" ht="15.75" customHeight="1">
      <c r="A566" s="380" t="s">
        <v>1372</v>
      </c>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c r="AA566" s="36"/>
      <c r="AB566" s="36"/>
      <c r="AC566" s="36"/>
      <c r="AD566" s="36"/>
      <c r="AE566" s="36"/>
      <c r="AF566" s="36"/>
      <c r="AG566" s="36"/>
      <c r="AH566" s="36"/>
      <c r="AI566" s="36"/>
      <c r="AJ566" s="36"/>
    </row>
    <row r="567" ht="15.75" customHeight="1">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c r="AA567" s="36"/>
      <c r="AB567" s="36"/>
      <c r="AC567" s="36"/>
      <c r="AD567" s="36"/>
      <c r="AE567" s="36"/>
      <c r="AF567" s="36"/>
      <c r="AG567" s="36"/>
      <c r="AH567" s="36"/>
      <c r="AI567" s="36"/>
      <c r="AJ567" s="36"/>
    </row>
    <row r="568" ht="15.75" customHeight="1">
      <c r="A568" s="36" t="s">
        <v>215</v>
      </c>
      <c r="B568" s="36">
        <v>1.0</v>
      </c>
      <c r="C568" s="36">
        <v>2.0</v>
      </c>
      <c r="D568" s="36">
        <v>3.0</v>
      </c>
      <c r="E568" s="36">
        <v>4.0</v>
      </c>
      <c r="F568" s="36">
        <v>5.0</v>
      </c>
      <c r="G568" s="36">
        <v>6.0</v>
      </c>
      <c r="H568" s="36">
        <v>7.0</v>
      </c>
      <c r="I568" s="36">
        <v>8.0</v>
      </c>
      <c r="J568" s="36">
        <v>9.0</v>
      </c>
      <c r="K568" s="36">
        <v>10.0</v>
      </c>
      <c r="L568" s="36">
        <v>11.0</v>
      </c>
      <c r="M568" s="36">
        <v>12.0</v>
      </c>
      <c r="N568" s="36">
        <v>13.0</v>
      </c>
      <c r="O568" s="36">
        <v>14.0</v>
      </c>
      <c r="P568" s="36">
        <v>15.0</v>
      </c>
      <c r="Q568" s="36">
        <v>16.0</v>
      </c>
      <c r="R568" s="36">
        <v>17.0</v>
      </c>
      <c r="S568" s="36">
        <v>18.0</v>
      </c>
      <c r="T568" s="36">
        <v>19.0</v>
      </c>
      <c r="U568" s="36">
        <v>20.0</v>
      </c>
      <c r="V568" s="36">
        <v>21.0</v>
      </c>
      <c r="W568" s="36">
        <v>22.0</v>
      </c>
      <c r="X568" s="36">
        <v>23.0</v>
      </c>
      <c r="Y568" s="36">
        <v>24.0</v>
      </c>
      <c r="Z568" s="36">
        <v>25.0</v>
      </c>
      <c r="AA568" s="36">
        <v>26.0</v>
      </c>
      <c r="AB568" s="36">
        <v>27.0</v>
      </c>
      <c r="AC568" s="36">
        <v>28.0</v>
      </c>
      <c r="AD568" s="36">
        <v>29.0</v>
      </c>
      <c r="AE568" s="36">
        <v>30.0</v>
      </c>
      <c r="AF568" s="36"/>
      <c r="AG568" s="36"/>
      <c r="AH568" s="36"/>
      <c r="AI568" s="36"/>
      <c r="AJ568" s="36"/>
    </row>
    <row r="569" ht="15.75" customHeight="1">
      <c r="A569" s="12" t="s">
        <v>217</v>
      </c>
      <c r="B569" s="12">
        <v>0.0</v>
      </c>
      <c r="C569" s="12">
        <v>0.0</v>
      </c>
      <c r="D569" s="12">
        <v>0.0</v>
      </c>
      <c r="E569" s="12">
        <v>0.0</v>
      </c>
      <c r="F569" s="12">
        <v>0.0</v>
      </c>
      <c r="G569" s="12">
        <v>0.0</v>
      </c>
      <c r="H569" s="12">
        <v>0.0</v>
      </c>
      <c r="I569" s="12">
        <v>0.0</v>
      </c>
      <c r="J569" s="12">
        <v>0.0</v>
      </c>
      <c r="K569" s="12">
        <v>0.0</v>
      </c>
      <c r="L569" s="12">
        <v>0.0</v>
      </c>
      <c r="M569" s="12">
        <v>0.0</v>
      </c>
      <c r="N569" s="12">
        <v>0.0</v>
      </c>
      <c r="O569" s="12">
        <v>0.0</v>
      </c>
      <c r="P569" s="12">
        <v>0.0</v>
      </c>
      <c r="Q569" s="12">
        <v>0.0</v>
      </c>
      <c r="R569" s="12">
        <v>0.0</v>
      </c>
      <c r="S569" s="12">
        <v>0.0</v>
      </c>
      <c r="T569" s="12">
        <v>0.0</v>
      </c>
      <c r="U569" s="12">
        <v>0.0</v>
      </c>
      <c r="V569" s="12">
        <v>0.0</v>
      </c>
      <c r="W569" s="12">
        <v>0.0</v>
      </c>
      <c r="X569" s="12">
        <v>0.0</v>
      </c>
      <c r="Y569" s="12">
        <v>0.0</v>
      </c>
      <c r="Z569" s="12">
        <v>0.0</v>
      </c>
      <c r="AA569" s="12">
        <v>0.0</v>
      </c>
      <c r="AB569" s="12">
        <v>0.0</v>
      </c>
      <c r="AC569" s="12">
        <v>0.0</v>
      </c>
      <c r="AD569" s="12">
        <v>0.0</v>
      </c>
      <c r="AE569" s="12">
        <v>0.0</v>
      </c>
      <c r="AF569" s="36"/>
      <c r="AG569" s="36"/>
      <c r="AH569" s="36"/>
      <c r="AI569" s="36"/>
      <c r="AJ569" s="36"/>
    </row>
    <row r="570" ht="15.75" customHeight="1">
      <c r="A570" s="12" t="s">
        <v>218</v>
      </c>
      <c r="B570" s="194">
        <v>0.0021</v>
      </c>
      <c r="C570" s="194">
        <v>0.0021</v>
      </c>
      <c r="D570" s="194">
        <v>0.0021</v>
      </c>
      <c r="E570" s="194">
        <v>0.0021</v>
      </c>
      <c r="F570" s="194">
        <v>0.0021</v>
      </c>
      <c r="G570" s="194">
        <v>0.001</v>
      </c>
      <c r="H570" s="194">
        <v>0.001</v>
      </c>
      <c r="I570" s="194">
        <v>0.001</v>
      </c>
      <c r="J570" s="194">
        <v>0.001</v>
      </c>
      <c r="K570" s="194">
        <v>0.001</v>
      </c>
      <c r="L570" s="194">
        <v>0.001</v>
      </c>
      <c r="M570" s="194">
        <v>0.001</v>
      </c>
      <c r="N570" s="194">
        <v>0.001</v>
      </c>
      <c r="O570" s="194">
        <v>0.001</v>
      </c>
      <c r="P570" s="194">
        <v>0.001</v>
      </c>
      <c r="Q570" s="194">
        <v>0.001</v>
      </c>
      <c r="R570" s="194">
        <v>0.001</v>
      </c>
      <c r="S570" s="194">
        <v>0.001</v>
      </c>
      <c r="T570" s="194">
        <v>0.001</v>
      </c>
      <c r="U570" s="194">
        <v>0.001</v>
      </c>
      <c r="V570" s="194">
        <v>0.001</v>
      </c>
      <c r="W570" s="194">
        <v>0.001</v>
      </c>
      <c r="X570" s="194">
        <v>0.001</v>
      </c>
      <c r="Y570" s="194">
        <v>0.001</v>
      </c>
      <c r="Z570" s="194">
        <v>0.001</v>
      </c>
      <c r="AA570" s="194">
        <v>0.001</v>
      </c>
      <c r="AB570" s="194">
        <v>0.001</v>
      </c>
      <c r="AC570" s="194">
        <v>0.001</v>
      </c>
      <c r="AD570" s="194">
        <v>0.001</v>
      </c>
      <c r="AE570" s="194">
        <v>0.001</v>
      </c>
      <c r="AF570" s="36"/>
      <c r="AG570" s="36"/>
      <c r="AH570" s="36"/>
      <c r="AI570" s="36"/>
      <c r="AJ570" s="36"/>
    </row>
    <row r="571" ht="15.75" customHeight="1">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36"/>
    </row>
    <row r="572" ht="15.75" customHeight="1">
      <c r="A572" s="380" t="s">
        <v>1368</v>
      </c>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36"/>
    </row>
    <row r="573" ht="15.75" customHeight="1">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36"/>
    </row>
    <row r="574" ht="15.75" customHeight="1">
      <c r="A574" s="36" t="s">
        <v>215</v>
      </c>
      <c r="B574" s="36">
        <v>1.0</v>
      </c>
      <c r="C574" s="36">
        <v>2.0</v>
      </c>
      <c r="D574" s="36">
        <v>3.0</v>
      </c>
      <c r="E574" s="36">
        <v>4.0</v>
      </c>
      <c r="F574" s="36">
        <v>5.0</v>
      </c>
      <c r="G574" s="36">
        <v>6.0</v>
      </c>
      <c r="H574" s="36">
        <v>7.0</v>
      </c>
      <c r="I574" s="36">
        <v>8.0</v>
      </c>
      <c r="J574" s="36">
        <v>9.0</v>
      </c>
      <c r="K574" s="36">
        <v>10.0</v>
      </c>
      <c r="L574" s="36">
        <v>11.0</v>
      </c>
      <c r="M574" s="36">
        <v>12.0</v>
      </c>
      <c r="N574" s="36">
        <v>13.0</v>
      </c>
      <c r="O574" s="36">
        <v>14.0</v>
      </c>
      <c r="P574" s="36">
        <v>15.0</v>
      </c>
      <c r="Q574" s="36">
        <v>16.0</v>
      </c>
      <c r="R574" s="36">
        <v>17.0</v>
      </c>
      <c r="S574" s="36">
        <v>18.0</v>
      </c>
      <c r="T574" s="36">
        <v>19.0</v>
      </c>
      <c r="U574" s="36">
        <v>20.0</v>
      </c>
      <c r="V574" s="36">
        <v>21.0</v>
      </c>
      <c r="W574" s="36">
        <v>22.0</v>
      </c>
      <c r="X574" s="36">
        <v>23.0</v>
      </c>
      <c r="Y574" s="36">
        <v>24.0</v>
      </c>
      <c r="Z574" s="36">
        <v>25.0</v>
      </c>
      <c r="AA574" s="36">
        <v>26.0</v>
      </c>
      <c r="AB574" s="36">
        <v>27.0</v>
      </c>
      <c r="AC574" s="36">
        <v>28.0</v>
      </c>
      <c r="AD574" s="36">
        <v>29.0</v>
      </c>
      <c r="AE574" s="36">
        <v>30.0</v>
      </c>
      <c r="AF574" s="36"/>
      <c r="AG574" s="36"/>
      <c r="AH574" s="36"/>
      <c r="AI574" s="36"/>
      <c r="AJ574" s="36"/>
    </row>
    <row r="575" ht="15.75" customHeight="1">
      <c r="A575" s="12" t="s">
        <v>217</v>
      </c>
      <c r="B575" s="36">
        <v>400.0</v>
      </c>
      <c r="C575" s="36">
        <v>400.0</v>
      </c>
      <c r="D575" s="36">
        <v>400.0</v>
      </c>
      <c r="E575" s="36">
        <v>400.0</v>
      </c>
      <c r="F575" s="36">
        <v>400.0</v>
      </c>
      <c r="G575" s="36">
        <v>0.0</v>
      </c>
      <c r="H575" s="36">
        <v>0.0</v>
      </c>
      <c r="I575" s="36">
        <v>0.0</v>
      </c>
      <c r="J575" s="36">
        <v>0.0</v>
      </c>
      <c r="K575" s="36">
        <v>0.0</v>
      </c>
      <c r="L575" s="36">
        <v>0.0</v>
      </c>
      <c r="M575" s="36">
        <v>0.0</v>
      </c>
      <c r="N575" s="36">
        <v>0.0</v>
      </c>
      <c r="O575" s="36">
        <v>0.0</v>
      </c>
      <c r="P575" s="36">
        <v>0.0</v>
      </c>
      <c r="Q575" s="36">
        <v>0.0</v>
      </c>
      <c r="R575" s="36">
        <v>0.0</v>
      </c>
      <c r="S575" s="36">
        <v>0.0</v>
      </c>
      <c r="T575" s="36">
        <v>0.0</v>
      </c>
      <c r="U575" s="36">
        <v>0.0</v>
      </c>
      <c r="V575" s="36">
        <v>0.0</v>
      </c>
      <c r="W575" s="36">
        <v>0.0</v>
      </c>
      <c r="X575" s="36">
        <v>0.0</v>
      </c>
      <c r="Y575" s="36">
        <v>0.0</v>
      </c>
      <c r="Z575" s="36">
        <v>0.0</v>
      </c>
      <c r="AA575" s="36">
        <v>0.0</v>
      </c>
      <c r="AB575" s="36">
        <v>0.0</v>
      </c>
      <c r="AC575" s="36">
        <v>0.0</v>
      </c>
      <c r="AD575" s="36">
        <v>0.0</v>
      </c>
      <c r="AE575" s="36">
        <v>0.0</v>
      </c>
      <c r="AF575" s="36"/>
      <c r="AG575" s="36"/>
      <c r="AH575" s="36"/>
      <c r="AI575" s="36"/>
      <c r="AJ575" s="36"/>
    </row>
    <row r="576" ht="15.75" customHeight="1">
      <c r="A576" s="12" t="s">
        <v>218</v>
      </c>
      <c r="B576" s="12">
        <v>0.0</v>
      </c>
      <c r="C576" s="12">
        <v>0.0</v>
      </c>
      <c r="D576" s="12">
        <v>0.0</v>
      </c>
      <c r="E576" s="12">
        <v>0.0</v>
      </c>
      <c r="F576" s="12">
        <v>0.0</v>
      </c>
      <c r="G576" s="12">
        <v>0.0</v>
      </c>
      <c r="H576" s="12">
        <v>0.0</v>
      </c>
      <c r="I576" s="12">
        <v>0.0</v>
      </c>
      <c r="J576" s="12">
        <v>0.0</v>
      </c>
      <c r="K576" s="12">
        <v>0.0</v>
      </c>
      <c r="L576" s="12">
        <v>0.0</v>
      </c>
      <c r="M576" s="12">
        <v>0.0</v>
      </c>
      <c r="N576" s="12">
        <v>0.0</v>
      </c>
      <c r="O576" s="12">
        <v>0.0</v>
      </c>
      <c r="P576" s="12">
        <v>0.0</v>
      </c>
      <c r="Q576" s="12">
        <v>0.0</v>
      </c>
      <c r="R576" s="12">
        <v>0.0</v>
      </c>
      <c r="S576" s="12">
        <v>0.0</v>
      </c>
      <c r="T576" s="12">
        <v>0.0</v>
      </c>
      <c r="U576" s="12">
        <v>0.0</v>
      </c>
      <c r="V576" s="12">
        <v>0.0</v>
      </c>
      <c r="W576" s="12">
        <v>0.0</v>
      </c>
      <c r="X576" s="12">
        <v>0.0</v>
      </c>
      <c r="Y576" s="12">
        <v>0.0</v>
      </c>
      <c r="Z576" s="12">
        <v>0.0</v>
      </c>
      <c r="AA576" s="12">
        <v>0.0</v>
      </c>
      <c r="AB576" s="12">
        <v>0.0</v>
      </c>
      <c r="AC576" s="12">
        <v>0.0</v>
      </c>
      <c r="AD576" s="12">
        <v>0.0</v>
      </c>
      <c r="AE576" s="12">
        <v>0.0</v>
      </c>
      <c r="AF576" s="36"/>
      <c r="AG576" s="36"/>
      <c r="AH576" s="36"/>
      <c r="AI576" s="36"/>
      <c r="AJ576" s="36"/>
    </row>
    <row r="577" ht="15.75" customHeight="1">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c r="AA577" s="36"/>
      <c r="AB577" s="36"/>
      <c r="AC577" s="36"/>
      <c r="AD577" s="36"/>
      <c r="AE577" s="36"/>
      <c r="AF577" s="36"/>
      <c r="AG577" s="36"/>
      <c r="AH577" s="36"/>
      <c r="AI577" s="36"/>
      <c r="AJ577" s="36"/>
    </row>
    <row r="578" ht="15.75" customHeight="1">
      <c r="A578" s="380" t="s">
        <v>1364</v>
      </c>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c r="AA578" s="36"/>
      <c r="AB578" s="36"/>
      <c r="AC578" s="36"/>
      <c r="AD578" s="36"/>
      <c r="AE578" s="36"/>
      <c r="AF578" s="36"/>
      <c r="AG578" s="36"/>
      <c r="AH578" s="36"/>
      <c r="AI578" s="36"/>
      <c r="AJ578" s="36"/>
    </row>
    <row r="579" ht="15.75" customHeight="1">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c r="AA579" s="36"/>
      <c r="AB579" s="36"/>
      <c r="AC579" s="36"/>
      <c r="AD579" s="36"/>
      <c r="AE579" s="36"/>
      <c r="AF579" s="36"/>
      <c r="AG579" s="36"/>
      <c r="AH579" s="36"/>
      <c r="AI579" s="36"/>
      <c r="AJ579" s="36"/>
    </row>
    <row r="580" ht="15.75" customHeight="1">
      <c r="A580" s="36" t="s">
        <v>215</v>
      </c>
      <c r="B580" s="36">
        <v>1.0</v>
      </c>
      <c r="C580" s="36">
        <v>2.0</v>
      </c>
      <c r="D580" s="36">
        <v>3.0</v>
      </c>
      <c r="E580" s="36">
        <v>4.0</v>
      </c>
      <c r="F580" s="36">
        <v>5.0</v>
      </c>
      <c r="G580" s="36">
        <v>6.0</v>
      </c>
      <c r="H580" s="36">
        <v>7.0</v>
      </c>
      <c r="I580" s="36">
        <v>8.0</v>
      </c>
      <c r="J580" s="36">
        <v>9.0</v>
      </c>
      <c r="K580" s="36">
        <v>10.0</v>
      </c>
      <c r="L580" s="36">
        <v>11.0</v>
      </c>
      <c r="M580" s="36">
        <v>12.0</v>
      </c>
      <c r="N580" s="36">
        <v>13.0</v>
      </c>
      <c r="O580" s="36">
        <v>14.0</v>
      </c>
      <c r="P580" s="36">
        <v>15.0</v>
      </c>
      <c r="Q580" s="36">
        <v>16.0</v>
      </c>
      <c r="R580" s="36">
        <v>17.0</v>
      </c>
      <c r="S580" s="36">
        <v>18.0</v>
      </c>
      <c r="T580" s="36">
        <v>19.0</v>
      </c>
      <c r="U580" s="36">
        <v>20.0</v>
      </c>
      <c r="V580" s="36">
        <v>21.0</v>
      </c>
      <c r="W580" s="36">
        <v>22.0</v>
      </c>
      <c r="X580" s="36">
        <v>23.0</v>
      </c>
      <c r="Y580" s="36">
        <v>24.0</v>
      </c>
      <c r="Z580" s="36">
        <v>25.0</v>
      </c>
      <c r="AA580" s="36">
        <v>26.0</v>
      </c>
      <c r="AB580" s="36">
        <v>27.0</v>
      </c>
      <c r="AC580" s="36">
        <v>28.0</v>
      </c>
      <c r="AD580" s="36">
        <v>29.0</v>
      </c>
      <c r="AE580" s="36">
        <v>30.0</v>
      </c>
      <c r="AF580" s="36"/>
      <c r="AG580" s="36"/>
      <c r="AH580" s="36"/>
      <c r="AI580" s="36"/>
      <c r="AJ580" s="36"/>
    </row>
    <row r="581" ht="15.75" customHeight="1">
      <c r="A581" s="12" t="s">
        <v>217</v>
      </c>
      <c r="B581" s="36">
        <v>400.0</v>
      </c>
      <c r="C581" s="36">
        <v>400.0</v>
      </c>
      <c r="D581" s="36">
        <v>400.0</v>
      </c>
      <c r="E581" s="36">
        <v>400.0</v>
      </c>
      <c r="F581" s="36">
        <v>400.0</v>
      </c>
      <c r="G581" s="36">
        <v>0.0</v>
      </c>
      <c r="H581" s="36">
        <v>0.0</v>
      </c>
      <c r="I581" s="36">
        <v>0.0</v>
      </c>
      <c r="J581" s="36">
        <v>0.0</v>
      </c>
      <c r="K581" s="36">
        <v>0.0</v>
      </c>
      <c r="L581" s="36">
        <v>0.0</v>
      </c>
      <c r="M581" s="36">
        <v>0.0</v>
      </c>
      <c r="N581" s="36">
        <v>0.0</v>
      </c>
      <c r="O581" s="36">
        <v>0.0</v>
      </c>
      <c r="P581" s="36">
        <v>0.0</v>
      </c>
      <c r="Q581" s="36">
        <v>0.0</v>
      </c>
      <c r="R581" s="36">
        <v>0.0</v>
      </c>
      <c r="S581" s="36">
        <v>0.0</v>
      </c>
      <c r="T581" s="36">
        <v>0.0</v>
      </c>
      <c r="U581" s="36">
        <v>0.0</v>
      </c>
      <c r="V581" s="36">
        <v>0.0</v>
      </c>
      <c r="W581" s="36">
        <v>0.0</v>
      </c>
      <c r="X581" s="36">
        <v>0.0</v>
      </c>
      <c r="Y581" s="36">
        <v>0.0</v>
      </c>
      <c r="Z581" s="36">
        <v>0.0</v>
      </c>
      <c r="AA581" s="36">
        <v>0.0</v>
      </c>
      <c r="AB581" s="36">
        <v>0.0</v>
      </c>
      <c r="AC581" s="36">
        <v>0.0</v>
      </c>
      <c r="AD581" s="36">
        <v>0.0</v>
      </c>
      <c r="AE581" s="36">
        <v>0.0</v>
      </c>
      <c r="AF581" s="36"/>
      <c r="AG581" s="36"/>
      <c r="AH581" s="36"/>
      <c r="AI581" s="36"/>
      <c r="AJ581" s="36"/>
    </row>
    <row r="582" ht="15.75" customHeight="1">
      <c r="A582" s="12" t="s">
        <v>218</v>
      </c>
      <c r="B582" s="12">
        <v>0.0</v>
      </c>
      <c r="C582" s="12">
        <v>0.0</v>
      </c>
      <c r="D582" s="12">
        <v>0.0</v>
      </c>
      <c r="E582" s="12">
        <v>0.0</v>
      </c>
      <c r="F582" s="12">
        <v>0.0</v>
      </c>
      <c r="G582" s="12">
        <v>0.0</v>
      </c>
      <c r="H582" s="12">
        <v>0.0</v>
      </c>
      <c r="I582" s="12">
        <v>0.0</v>
      </c>
      <c r="J582" s="12">
        <v>0.0</v>
      </c>
      <c r="K582" s="12">
        <v>0.0</v>
      </c>
      <c r="L582" s="12">
        <v>0.0</v>
      </c>
      <c r="M582" s="12">
        <v>0.0</v>
      </c>
      <c r="N582" s="12">
        <v>0.0</v>
      </c>
      <c r="O582" s="12">
        <v>0.0</v>
      </c>
      <c r="P582" s="12">
        <v>0.0</v>
      </c>
      <c r="Q582" s="12">
        <v>0.0</v>
      </c>
      <c r="R582" s="12">
        <v>0.0</v>
      </c>
      <c r="S582" s="12">
        <v>0.0</v>
      </c>
      <c r="T582" s="12">
        <v>0.0</v>
      </c>
      <c r="U582" s="12">
        <v>0.0</v>
      </c>
      <c r="V582" s="12">
        <v>0.0</v>
      </c>
      <c r="W582" s="12">
        <v>0.0</v>
      </c>
      <c r="X582" s="12">
        <v>0.0</v>
      </c>
      <c r="Y582" s="12">
        <v>0.0</v>
      </c>
      <c r="Z582" s="12">
        <v>0.0</v>
      </c>
      <c r="AA582" s="12">
        <v>0.0</v>
      </c>
      <c r="AB582" s="12">
        <v>0.0</v>
      </c>
      <c r="AC582" s="12">
        <v>0.0</v>
      </c>
      <c r="AD582" s="12">
        <v>0.0</v>
      </c>
      <c r="AE582" s="12">
        <v>0.0</v>
      </c>
      <c r="AF582" s="36"/>
      <c r="AG582" s="36"/>
      <c r="AH582" s="36"/>
      <c r="AI582" s="36"/>
      <c r="AJ582" s="36"/>
    </row>
    <row r="583" ht="15.75" customHeight="1">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c r="AA583" s="36"/>
      <c r="AB583" s="36"/>
      <c r="AC583" s="36"/>
      <c r="AD583" s="36"/>
      <c r="AE583" s="36"/>
      <c r="AF583" s="36"/>
      <c r="AG583" s="36"/>
      <c r="AH583" s="36"/>
      <c r="AI583" s="36"/>
      <c r="AJ583" s="36"/>
    </row>
    <row r="584" ht="15.75" customHeight="1">
      <c r="A584" s="380" t="s">
        <v>1361</v>
      </c>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c r="AA584" s="36"/>
      <c r="AB584" s="36"/>
      <c r="AC584" s="36"/>
      <c r="AD584" s="36"/>
      <c r="AE584" s="36"/>
      <c r="AF584" s="36"/>
      <c r="AG584" s="36"/>
      <c r="AH584" s="36"/>
      <c r="AI584" s="36"/>
      <c r="AJ584" s="36"/>
    </row>
    <row r="585" ht="15.75" customHeight="1">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c r="AA585" s="36"/>
      <c r="AB585" s="36"/>
      <c r="AC585" s="36"/>
      <c r="AD585" s="36"/>
      <c r="AE585" s="36"/>
      <c r="AF585" s="36"/>
      <c r="AG585" s="36"/>
      <c r="AH585" s="36"/>
      <c r="AI585" s="36"/>
      <c r="AJ585" s="36"/>
    </row>
    <row r="586" ht="15.75" customHeight="1">
      <c r="A586" s="36" t="s">
        <v>215</v>
      </c>
      <c r="B586" s="36">
        <v>1.0</v>
      </c>
      <c r="C586" s="36">
        <v>2.0</v>
      </c>
      <c r="D586" s="36">
        <v>3.0</v>
      </c>
      <c r="E586" s="36">
        <v>4.0</v>
      </c>
      <c r="F586" s="36">
        <v>5.0</v>
      </c>
      <c r="G586" s="36">
        <v>6.0</v>
      </c>
      <c r="H586" s="36">
        <v>7.0</v>
      </c>
      <c r="I586" s="36">
        <v>8.0</v>
      </c>
      <c r="J586" s="36">
        <v>9.0</v>
      </c>
      <c r="K586" s="36">
        <v>10.0</v>
      </c>
      <c r="L586" s="36">
        <v>11.0</v>
      </c>
      <c r="M586" s="36">
        <v>12.0</v>
      </c>
      <c r="N586" s="36">
        <v>13.0</v>
      </c>
      <c r="O586" s="36">
        <v>14.0</v>
      </c>
      <c r="P586" s="36">
        <v>15.0</v>
      </c>
      <c r="Q586" s="36">
        <v>16.0</v>
      </c>
      <c r="R586" s="36">
        <v>17.0</v>
      </c>
      <c r="S586" s="36">
        <v>18.0</v>
      </c>
      <c r="T586" s="36">
        <v>19.0</v>
      </c>
      <c r="U586" s="36">
        <v>20.0</v>
      </c>
      <c r="V586" s="36">
        <v>21.0</v>
      </c>
      <c r="W586" s="36">
        <v>22.0</v>
      </c>
      <c r="X586" s="36">
        <v>23.0</v>
      </c>
      <c r="Y586" s="36">
        <v>24.0</v>
      </c>
      <c r="Z586" s="36">
        <v>25.0</v>
      </c>
      <c r="AA586" s="36">
        <v>26.0</v>
      </c>
      <c r="AB586" s="36">
        <v>27.0</v>
      </c>
      <c r="AC586" s="36">
        <v>28.0</v>
      </c>
      <c r="AD586" s="36">
        <v>29.0</v>
      </c>
      <c r="AE586" s="36">
        <v>30.0</v>
      </c>
      <c r="AF586" s="36"/>
      <c r="AG586" s="36"/>
      <c r="AH586" s="36"/>
      <c r="AI586" s="36"/>
      <c r="AJ586" s="36"/>
    </row>
    <row r="587" ht="15.75" customHeight="1">
      <c r="A587" s="12" t="s">
        <v>217</v>
      </c>
      <c r="B587" s="12">
        <v>0.0</v>
      </c>
      <c r="C587" s="12">
        <v>0.0</v>
      </c>
      <c r="D587" s="12">
        <v>0.0</v>
      </c>
      <c r="E587" s="12">
        <v>0.0</v>
      </c>
      <c r="F587" s="12">
        <v>0.0</v>
      </c>
      <c r="G587" s="12">
        <v>0.0</v>
      </c>
      <c r="H587" s="12">
        <v>0.0</v>
      </c>
      <c r="I587" s="12">
        <v>0.0</v>
      </c>
      <c r="J587" s="12">
        <v>0.0</v>
      </c>
      <c r="K587" s="12">
        <v>0.0</v>
      </c>
      <c r="L587" s="12">
        <v>0.0</v>
      </c>
      <c r="M587" s="12">
        <v>0.0</v>
      </c>
      <c r="N587" s="12">
        <v>0.0</v>
      </c>
      <c r="O587" s="12">
        <v>0.0</v>
      </c>
      <c r="P587" s="12">
        <v>0.0</v>
      </c>
      <c r="Q587" s="12">
        <v>0.0</v>
      </c>
      <c r="R587" s="12">
        <v>0.0</v>
      </c>
      <c r="S587" s="12">
        <v>0.0</v>
      </c>
      <c r="T587" s="12">
        <v>0.0</v>
      </c>
      <c r="U587" s="12">
        <v>0.0</v>
      </c>
      <c r="V587" s="12">
        <v>0.0</v>
      </c>
      <c r="W587" s="12">
        <v>0.0</v>
      </c>
      <c r="X587" s="12">
        <v>0.0</v>
      </c>
      <c r="Y587" s="12">
        <v>0.0</v>
      </c>
      <c r="Z587" s="12">
        <v>0.0</v>
      </c>
      <c r="AA587" s="12">
        <v>0.0</v>
      </c>
      <c r="AB587" s="12">
        <v>0.0</v>
      </c>
      <c r="AC587" s="12">
        <v>0.0</v>
      </c>
      <c r="AD587" s="12">
        <v>0.0</v>
      </c>
      <c r="AE587" s="12">
        <v>0.0</v>
      </c>
      <c r="AF587" s="36"/>
      <c r="AG587" s="36"/>
      <c r="AH587" s="36"/>
      <c r="AI587" s="36"/>
      <c r="AJ587" s="36"/>
    </row>
    <row r="588" ht="15.75" customHeight="1">
      <c r="A588" s="12" t="s">
        <v>218</v>
      </c>
      <c r="B588" s="194">
        <v>0.0021</v>
      </c>
      <c r="C588" s="194">
        <v>0.0021</v>
      </c>
      <c r="D588" s="194">
        <v>0.0021</v>
      </c>
      <c r="E588" s="194">
        <v>0.0021</v>
      </c>
      <c r="F588" s="194">
        <v>0.0021</v>
      </c>
      <c r="G588" s="194">
        <v>0.001</v>
      </c>
      <c r="H588" s="194">
        <v>0.001</v>
      </c>
      <c r="I588" s="194">
        <v>0.001</v>
      </c>
      <c r="J588" s="194">
        <v>0.001</v>
      </c>
      <c r="K588" s="194">
        <v>0.001</v>
      </c>
      <c r="L588" s="194">
        <v>0.001</v>
      </c>
      <c r="M588" s="194">
        <v>0.001</v>
      </c>
      <c r="N588" s="194">
        <v>0.001</v>
      </c>
      <c r="O588" s="194">
        <v>0.001</v>
      </c>
      <c r="P588" s="194">
        <v>0.001</v>
      </c>
      <c r="Q588" s="194">
        <v>0.001</v>
      </c>
      <c r="R588" s="194">
        <v>0.001</v>
      </c>
      <c r="S588" s="194">
        <v>0.001</v>
      </c>
      <c r="T588" s="194">
        <v>0.001</v>
      </c>
      <c r="U588" s="194">
        <v>0.001</v>
      </c>
      <c r="V588" s="194">
        <v>0.001</v>
      </c>
      <c r="W588" s="194">
        <v>0.001</v>
      </c>
      <c r="X588" s="194">
        <v>0.001</v>
      </c>
      <c r="Y588" s="194">
        <v>0.001</v>
      </c>
      <c r="Z588" s="194">
        <v>0.001</v>
      </c>
      <c r="AA588" s="194">
        <v>0.001</v>
      </c>
      <c r="AB588" s="194">
        <v>0.001</v>
      </c>
      <c r="AC588" s="194">
        <v>0.001</v>
      </c>
      <c r="AD588" s="194">
        <v>0.001</v>
      </c>
      <c r="AE588" s="194">
        <v>0.001</v>
      </c>
      <c r="AF588" s="36"/>
      <c r="AG588" s="36"/>
      <c r="AH588" s="36"/>
      <c r="AI588" s="36"/>
      <c r="AJ588" s="36"/>
    </row>
    <row r="589" ht="15.75" customHeight="1">
      <c r="A589" s="391"/>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c r="AA589" s="36"/>
      <c r="AB589" s="36"/>
      <c r="AC589" s="36"/>
      <c r="AD589" s="36"/>
      <c r="AE589" s="36"/>
      <c r="AF589" s="36"/>
      <c r="AG589" s="36"/>
      <c r="AH589" s="36"/>
      <c r="AI589" s="36"/>
      <c r="AJ589" s="36"/>
    </row>
    <row r="590" ht="15.75" customHeight="1">
      <c r="A590" s="381" t="s">
        <v>1356</v>
      </c>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c r="AA590" s="36"/>
      <c r="AB590" s="36"/>
      <c r="AC590" s="36"/>
      <c r="AD590" s="36"/>
      <c r="AE590" s="36"/>
      <c r="AF590" s="36"/>
      <c r="AG590" s="36"/>
      <c r="AH590" s="36"/>
      <c r="AI590" s="36"/>
      <c r="AJ590" s="36"/>
    </row>
    <row r="591" ht="15.75" customHeight="1">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c r="AA591" s="36"/>
      <c r="AB591" s="36"/>
      <c r="AC591" s="36"/>
      <c r="AD591" s="36"/>
      <c r="AE591" s="36"/>
      <c r="AF591" s="36"/>
      <c r="AG591" s="36"/>
      <c r="AH591" s="36"/>
      <c r="AI591" s="36"/>
      <c r="AJ591" s="36"/>
    </row>
    <row r="592" ht="13.5" customHeight="1">
      <c r="A592" s="36" t="s">
        <v>1956</v>
      </c>
      <c r="B592" s="36">
        <v>1.0</v>
      </c>
      <c r="C592" s="36">
        <v>2.0</v>
      </c>
      <c r="D592" s="36">
        <v>3.0</v>
      </c>
      <c r="E592" s="36">
        <v>4.0</v>
      </c>
      <c r="F592" s="36">
        <v>5.0</v>
      </c>
      <c r="G592" s="36">
        <v>6.0</v>
      </c>
      <c r="H592" s="36">
        <v>7.0</v>
      </c>
      <c r="I592" s="36">
        <v>8.0</v>
      </c>
      <c r="J592" s="36">
        <v>9.0</v>
      </c>
      <c r="K592" s="36">
        <v>10.0</v>
      </c>
      <c r="L592" s="36">
        <v>11.0</v>
      </c>
      <c r="M592" s="36">
        <v>12.0</v>
      </c>
      <c r="N592" s="36">
        <v>13.0</v>
      </c>
      <c r="O592" s="36">
        <v>14.0</v>
      </c>
      <c r="P592" s="36">
        <v>15.0</v>
      </c>
      <c r="Q592" s="36">
        <v>16.0</v>
      </c>
      <c r="R592" s="36">
        <v>17.0</v>
      </c>
      <c r="S592" s="36">
        <v>18.0</v>
      </c>
      <c r="T592" s="36">
        <v>19.0</v>
      </c>
      <c r="U592" s="36">
        <v>20.0</v>
      </c>
      <c r="V592" s="36">
        <v>21.0</v>
      </c>
      <c r="W592" s="36">
        <v>22.0</v>
      </c>
      <c r="X592" s="36">
        <v>23.0</v>
      </c>
      <c r="Y592" s="36">
        <v>24.0</v>
      </c>
      <c r="Z592" s="36">
        <v>25.0</v>
      </c>
      <c r="AA592" s="36">
        <v>26.0</v>
      </c>
      <c r="AB592" s="36">
        <v>27.0</v>
      </c>
      <c r="AC592" s="36">
        <v>28.0</v>
      </c>
      <c r="AD592" s="36">
        <v>29.0</v>
      </c>
      <c r="AE592" s="36">
        <v>30.0</v>
      </c>
      <c r="AF592" s="36"/>
      <c r="AG592" s="36"/>
      <c r="AH592" s="36"/>
      <c r="AI592" s="36"/>
      <c r="AJ592" s="36"/>
    </row>
    <row r="593" ht="15.75" customHeight="1">
      <c r="A593" s="36">
        <v>0.0</v>
      </c>
      <c r="B593" s="184">
        <v>0.0014</v>
      </c>
      <c r="C593" s="36">
        <f t="shared" ref="C593:F593" si="95">0.14%</f>
        <v>0.0014</v>
      </c>
      <c r="D593" s="36">
        <f t="shared" si="95"/>
        <v>0.0014</v>
      </c>
      <c r="E593" s="36">
        <f t="shared" si="95"/>
        <v>0.0014</v>
      </c>
      <c r="F593" s="36">
        <f t="shared" si="95"/>
        <v>0.0014</v>
      </c>
      <c r="G593" s="36">
        <v>0.0</v>
      </c>
      <c r="H593" s="36">
        <v>0.0</v>
      </c>
      <c r="I593" s="36">
        <v>0.0</v>
      </c>
      <c r="J593" s="36">
        <v>0.0</v>
      </c>
      <c r="K593" s="36">
        <v>0.0</v>
      </c>
      <c r="L593" s="36">
        <v>0.0</v>
      </c>
      <c r="M593" s="36">
        <v>0.0</v>
      </c>
      <c r="N593" s="36">
        <v>0.0</v>
      </c>
      <c r="O593" s="36">
        <v>0.0</v>
      </c>
      <c r="P593" s="36">
        <v>0.0</v>
      </c>
      <c r="Q593" s="36">
        <v>0.0</v>
      </c>
      <c r="R593" s="36">
        <v>0.0</v>
      </c>
      <c r="S593" s="36">
        <v>0.0</v>
      </c>
      <c r="T593" s="36">
        <v>0.0</v>
      </c>
      <c r="U593" s="36">
        <v>0.0</v>
      </c>
      <c r="V593" s="36">
        <v>0.0</v>
      </c>
      <c r="W593" s="36">
        <v>0.0</v>
      </c>
      <c r="X593" s="36">
        <v>0.0</v>
      </c>
      <c r="Y593" s="36">
        <v>0.0</v>
      </c>
      <c r="Z593" s="36">
        <v>0.0</v>
      </c>
      <c r="AA593" s="36">
        <v>0.0</v>
      </c>
      <c r="AB593" s="36">
        <v>0.0</v>
      </c>
      <c r="AC593" s="36">
        <v>0.0</v>
      </c>
      <c r="AD593" s="36">
        <v>0.0</v>
      </c>
      <c r="AE593" s="36">
        <v>0.0</v>
      </c>
      <c r="AF593" s="36"/>
      <c r="AG593" s="36"/>
      <c r="AH593" s="36"/>
      <c r="AI593" s="36"/>
      <c r="AJ593" s="36"/>
    </row>
    <row r="594" ht="15.75" customHeight="1">
      <c r="A594" s="36">
        <v>200000.0</v>
      </c>
      <c r="B594" s="184">
        <v>4.0E-4</v>
      </c>
      <c r="C594" s="36">
        <f>18%*Annual_Prem/12</f>
        <v>1500</v>
      </c>
      <c r="D594" s="36">
        <f>15%*Annual_Prem/12</f>
        <v>1250</v>
      </c>
      <c r="E594" s="36">
        <f t="shared" ref="E594:E596" si="96">900/12</f>
        <v>75</v>
      </c>
      <c r="F594" s="36">
        <f t="shared" ref="F594:F596" si="97">E594*1.05</f>
        <v>78.75</v>
      </c>
      <c r="G594" s="36">
        <v>0.0</v>
      </c>
      <c r="H594" s="36">
        <v>0.0</v>
      </c>
      <c r="I594" s="36">
        <v>0.0</v>
      </c>
      <c r="J594" s="36">
        <v>0.0</v>
      </c>
      <c r="K594" s="36">
        <v>0.0</v>
      </c>
      <c r="L594" s="36">
        <v>0.0</v>
      </c>
      <c r="M594" s="36">
        <v>0.0</v>
      </c>
      <c r="N594" s="36">
        <v>0.0</v>
      </c>
      <c r="O594" s="36">
        <v>0.0</v>
      </c>
      <c r="P594" s="36">
        <v>0.0</v>
      </c>
      <c r="Q594" s="36">
        <v>0.0</v>
      </c>
      <c r="R594" s="36">
        <v>0.0</v>
      </c>
      <c r="S594" s="36">
        <v>0.0</v>
      </c>
      <c r="T594" s="36">
        <v>0.0</v>
      </c>
      <c r="U594" s="36">
        <v>0.0</v>
      </c>
      <c r="V594" s="36">
        <v>0.0</v>
      </c>
      <c r="W594" s="36">
        <v>0.0</v>
      </c>
      <c r="X594" s="36">
        <v>0.0</v>
      </c>
      <c r="Y594" s="36">
        <v>0.0</v>
      </c>
      <c r="Z594" s="36">
        <v>0.0</v>
      </c>
      <c r="AA594" s="36">
        <v>0.0</v>
      </c>
      <c r="AB594" s="36">
        <v>0.0</v>
      </c>
      <c r="AC594" s="36">
        <v>0.0</v>
      </c>
      <c r="AD594" s="36">
        <v>0.0</v>
      </c>
      <c r="AE594" s="36">
        <v>0.0</v>
      </c>
      <c r="AF594" s="36"/>
      <c r="AG594" s="36"/>
      <c r="AH594" s="36"/>
      <c r="AI594" s="36"/>
      <c r="AJ594" s="36"/>
    </row>
    <row r="595" ht="15.75" customHeight="1">
      <c r="A595" s="36">
        <v>500000.0</v>
      </c>
      <c r="B595" s="184">
        <v>1.0E-4</v>
      </c>
      <c r="C595" s="36">
        <f>18%*Annual_Prem/12</f>
        <v>1500</v>
      </c>
      <c r="D595" s="36">
        <f>15%*Annual_Prem/12</f>
        <v>1250</v>
      </c>
      <c r="E595" s="36">
        <f t="shared" si="96"/>
        <v>75</v>
      </c>
      <c r="F595" s="36">
        <f t="shared" si="97"/>
        <v>78.75</v>
      </c>
      <c r="G595" s="36">
        <v>0.0</v>
      </c>
      <c r="H595" s="36">
        <v>0.0</v>
      </c>
      <c r="I595" s="36">
        <v>0.0</v>
      </c>
      <c r="J595" s="36">
        <v>0.0</v>
      </c>
      <c r="K595" s="36">
        <v>0.0</v>
      </c>
      <c r="L595" s="36">
        <v>0.0</v>
      </c>
      <c r="M595" s="36">
        <v>0.0</v>
      </c>
      <c r="N595" s="36">
        <v>0.0</v>
      </c>
      <c r="O595" s="36">
        <v>0.0</v>
      </c>
      <c r="P595" s="36">
        <v>0.0</v>
      </c>
      <c r="Q595" s="36">
        <v>0.0</v>
      </c>
      <c r="R595" s="36">
        <v>0.0</v>
      </c>
      <c r="S595" s="36">
        <v>0.0</v>
      </c>
      <c r="T595" s="36">
        <v>0.0</v>
      </c>
      <c r="U595" s="36">
        <v>0.0</v>
      </c>
      <c r="V595" s="36">
        <v>0.0</v>
      </c>
      <c r="W595" s="36">
        <v>0.0</v>
      </c>
      <c r="X595" s="36">
        <v>0.0</v>
      </c>
      <c r="Y595" s="36">
        <v>0.0</v>
      </c>
      <c r="Z595" s="36">
        <v>0.0</v>
      </c>
      <c r="AA595" s="36">
        <v>0.0</v>
      </c>
      <c r="AB595" s="36">
        <v>0.0</v>
      </c>
      <c r="AC595" s="36">
        <v>0.0</v>
      </c>
      <c r="AD595" s="36">
        <v>0.0</v>
      </c>
      <c r="AE595" s="36">
        <v>0.0</v>
      </c>
      <c r="AF595" s="36"/>
      <c r="AG595" s="36"/>
      <c r="AH595" s="36"/>
      <c r="AI595" s="36"/>
      <c r="AJ595" s="36"/>
    </row>
    <row r="596" ht="15.75" customHeight="1">
      <c r="A596" s="36">
        <v>1000000.0</v>
      </c>
      <c r="B596" s="214">
        <v>0.0</v>
      </c>
      <c r="C596" s="36">
        <f>18%*Annual_Prem/12</f>
        <v>1500</v>
      </c>
      <c r="D596" s="36">
        <f>15%*Annual_Prem/12</f>
        <v>1250</v>
      </c>
      <c r="E596" s="36">
        <f t="shared" si="96"/>
        <v>75</v>
      </c>
      <c r="F596" s="36">
        <f t="shared" si="97"/>
        <v>78.75</v>
      </c>
      <c r="G596" s="36">
        <v>0.0</v>
      </c>
      <c r="H596" s="36">
        <v>0.0</v>
      </c>
      <c r="I596" s="36">
        <v>0.0</v>
      </c>
      <c r="J596" s="36">
        <v>0.0</v>
      </c>
      <c r="K596" s="36">
        <v>0.0</v>
      </c>
      <c r="L596" s="36">
        <v>0.0</v>
      </c>
      <c r="M596" s="36">
        <v>0.0</v>
      </c>
      <c r="N596" s="36">
        <v>0.0</v>
      </c>
      <c r="O596" s="36">
        <v>0.0</v>
      </c>
      <c r="P596" s="36">
        <v>0.0</v>
      </c>
      <c r="Q596" s="36">
        <v>0.0</v>
      </c>
      <c r="R596" s="36">
        <v>0.0</v>
      </c>
      <c r="S596" s="36">
        <v>0.0</v>
      </c>
      <c r="T596" s="36">
        <v>0.0</v>
      </c>
      <c r="U596" s="36">
        <v>0.0</v>
      </c>
      <c r="V596" s="36">
        <v>0.0</v>
      </c>
      <c r="W596" s="36">
        <v>0.0</v>
      </c>
      <c r="X596" s="36">
        <v>0.0</v>
      </c>
      <c r="Y596" s="36">
        <v>0.0</v>
      </c>
      <c r="Z596" s="36">
        <v>0.0</v>
      </c>
      <c r="AA596" s="36">
        <v>0.0</v>
      </c>
      <c r="AB596" s="36">
        <v>0.0</v>
      </c>
      <c r="AC596" s="36">
        <v>0.0</v>
      </c>
      <c r="AD596" s="36">
        <v>0.0</v>
      </c>
      <c r="AE596" s="36">
        <v>0.0</v>
      </c>
      <c r="AF596" s="36"/>
      <c r="AG596" s="36"/>
      <c r="AH596" s="36"/>
      <c r="AI596" s="36"/>
      <c r="AJ596" s="36"/>
    </row>
    <row r="597" ht="15.75" customHeight="1">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c r="AI597" s="36"/>
      <c r="AJ597" s="36"/>
    </row>
    <row r="598" ht="15.75" customHeight="1">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c r="AI598" s="36"/>
      <c r="AJ598" s="36"/>
    </row>
    <row r="599" ht="15.75" customHeight="1">
      <c r="A599" s="36" t="s">
        <v>1957</v>
      </c>
      <c r="B599" s="36">
        <v>1.0</v>
      </c>
      <c r="C599" s="36">
        <v>2.0</v>
      </c>
      <c r="D599" s="36">
        <v>3.0</v>
      </c>
      <c r="E599" s="36">
        <v>4.0</v>
      </c>
      <c r="F599" s="36">
        <v>5.0</v>
      </c>
      <c r="G599" s="36">
        <v>6.0</v>
      </c>
      <c r="H599" s="36">
        <v>7.0</v>
      </c>
      <c r="I599" s="36">
        <v>8.0</v>
      </c>
      <c r="J599" s="36">
        <v>9.0</v>
      </c>
      <c r="K599" s="36">
        <v>10.0</v>
      </c>
      <c r="L599" s="36">
        <v>11.0</v>
      </c>
      <c r="M599" s="36">
        <v>12.0</v>
      </c>
      <c r="N599" s="36">
        <v>13.0</v>
      </c>
      <c r="O599" s="36">
        <v>14.0</v>
      </c>
      <c r="P599" s="36">
        <v>15.0</v>
      </c>
      <c r="Q599" s="36">
        <v>16.0</v>
      </c>
      <c r="R599" s="36">
        <v>17.0</v>
      </c>
      <c r="S599" s="36">
        <v>18.0</v>
      </c>
      <c r="T599" s="36">
        <v>19.0</v>
      </c>
      <c r="U599" s="36">
        <v>20.0</v>
      </c>
      <c r="V599" s="36">
        <v>21.0</v>
      </c>
      <c r="W599" s="36">
        <v>22.0</v>
      </c>
      <c r="X599" s="36">
        <v>23.0</v>
      </c>
      <c r="Y599" s="36">
        <v>24.0</v>
      </c>
      <c r="Z599" s="36">
        <v>25.0</v>
      </c>
      <c r="AA599" s="36">
        <v>26.0</v>
      </c>
      <c r="AB599" s="36">
        <v>27.0</v>
      </c>
      <c r="AC599" s="36">
        <v>28.0</v>
      </c>
      <c r="AD599" s="36">
        <v>29.0</v>
      </c>
      <c r="AE599" s="36">
        <v>30.0</v>
      </c>
      <c r="AF599" s="36"/>
      <c r="AG599" s="36"/>
      <c r="AH599" s="36"/>
      <c r="AI599" s="36"/>
      <c r="AJ599" s="36"/>
    </row>
    <row r="600" ht="15.75" customHeight="1">
      <c r="A600" s="12" t="s">
        <v>217</v>
      </c>
      <c r="B600" s="12">
        <v>0.0</v>
      </c>
      <c r="C600" s="12">
        <v>0.0</v>
      </c>
      <c r="D600" s="12">
        <v>0.0</v>
      </c>
      <c r="E600" s="12">
        <v>0.0</v>
      </c>
      <c r="F600" s="12">
        <v>0.0</v>
      </c>
      <c r="G600" s="12">
        <v>0.0</v>
      </c>
      <c r="H600" s="12">
        <v>0.0</v>
      </c>
      <c r="I600" s="12">
        <v>0.0</v>
      </c>
      <c r="J600" s="12">
        <v>0.0</v>
      </c>
      <c r="K600" s="12">
        <v>0.0</v>
      </c>
      <c r="L600" s="12">
        <v>0.0</v>
      </c>
      <c r="M600" s="12">
        <v>0.0</v>
      </c>
      <c r="N600" s="12">
        <v>0.0</v>
      </c>
      <c r="O600" s="12">
        <v>0.0</v>
      </c>
      <c r="P600" s="12">
        <v>0.0</v>
      </c>
      <c r="Q600" s="12">
        <v>0.0</v>
      </c>
      <c r="R600" s="12">
        <v>0.0</v>
      </c>
      <c r="S600" s="12">
        <v>0.0</v>
      </c>
      <c r="T600" s="12">
        <v>0.0</v>
      </c>
      <c r="U600" s="12">
        <v>0.0</v>
      </c>
      <c r="V600" s="12">
        <v>0.0</v>
      </c>
      <c r="W600" s="12">
        <v>0.0</v>
      </c>
      <c r="X600" s="12">
        <v>0.0</v>
      </c>
      <c r="Y600" s="12">
        <v>0.0</v>
      </c>
      <c r="Z600" s="12">
        <v>0.0</v>
      </c>
      <c r="AA600" s="12">
        <v>0.0</v>
      </c>
      <c r="AB600" s="12">
        <v>0.0</v>
      </c>
      <c r="AC600" s="12">
        <v>0.0</v>
      </c>
      <c r="AD600" s="12">
        <v>0.0</v>
      </c>
      <c r="AE600" s="12">
        <v>0.0</v>
      </c>
      <c r="AF600" s="36"/>
      <c r="AG600" s="36"/>
      <c r="AH600" s="36"/>
      <c r="AI600" s="36"/>
      <c r="AJ600" s="36"/>
    </row>
    <row r="601" ht="15.75" customHeight="1">
      <c r="A601" s="12" t="s">
        <v>218</v>
      </c>
      <c r="B601" s="184">
        <f t="array" ref="B601">INDEX($A$592:$AE$596,MATCH(Annual_Prem,$A$592:$A$596,1),MATCH(B599,$A$592:$AE$592,0))</f>
        <v>0.0014</v>
      </c>
      <c r="C601" s="184">
        <f t="array" ref="C601">INDEX($A$592:$AE$596,MATCH(Annual_Prem,$A$592:$A$596,1),MATCH(C599,$A$592:$AE$592,0))</f>
        <v>0.0014</v>
      </c>
      <c r="D601" s="184">
        <f t="array" ref="D601">INDEX($A$592:$AE$596,MATCH(Annual_Prem,$A$592:$A$596,1),MATCH(D599,$A$592:$AE$592,0))</f>
        <v>0.0014</v>
      </c>
      <c r="E601" s="184">
        <f t="array" ref="E601">INDEX($A$592:$AE$596,MATCH(Annual_Prem,$A$592:$A$596,1),MATCH(E599,$A$592:$AE$592,0))</f>
        <v>0.0014</v>
      </c>
      <c r="F601" s="184">
        <f t="array" ref="F601">INDEX($A$592:$AE$596,MATCH(Annual_Prem,$A$592:$A$596,1),MATCH(F599,$A$592:$AE$592,0))</f>
        <v>0.0014</v>
      </c>
      <c r="G601" s="184">
        <f t="array" ref="G601">INDEX($A$592:$AE$596,MATCH(Annual_Prem,$A$592:$A$596,1),MATCH(G599,$A$592:$AE$592,0))</f>
        <v>0</v>
      </c>
      <c r="H601" s="184">
        <f t="array" ref="H601">INDEX($A$592:$AE$596,MATCH(Annual_Prem,$A$592:$A$596,1),MATCH(H599,$A$592:$AE$592,0))</f>
        <v>0</v>
      </c>
      <c r="I601" s="184">
        <f t="array" ref="I601">INDEX($A$592:$AE$596,MATCH(Annual_Prem,$A$592:$A$596,1),MATCH(I599,$A$592:$AE$592,0))</f>
        <v>0</v>
      </c>
      <c r="J601" s="184">
        <f t="array" ref="J601">INDEX($A$592:$AE$596,MATCH(Annual_Prem,$A$592:$A$596,1),MATCH(J599,$A$592:$AE$592,0))</f>
        <v>0</v>
      </c>
      <c r="K601" s="184">
        <f t="array" ref="K601">INDEX($A$592:$AE$596,MATCH(Annual_Prem,$A$592:$A$596,1),MATCH(K599,$A$592:$AE$592,0))</f>
        <v>0</v>
      </c>
      <c r="L601" s="184">
        <f t="array" ref="L601">INDEX($A$592:$AE$596,MATCH(Annual_Prem,$A$592:$A$596,1),MATCH(L599,$A$592:$AE$592,0))</f>
        <v>0</v>
      </c>
      <c r="M601" s="184">
        <f t="array" ref="M601">INDEX($A$592:$AE$596,MATCH(Annual_Prem,$A$592:$A$596,1),MATCH(M599,$A$592:$AE$592,0))</f>
        <v>0</v>
      </c>
      <c r="N601" s="184">
        <f t="array" ref="N601">INDEX($A$592:$AE$596,MATCH(Annual_Prem,$A$592:$A$596,1),MATCH(N599,$A$592:$AE$592,0))</f>
        <v>0</v>
      </c>
      <c r="O601" s="184">
        <f t="array" ref="O601">INDEX($A$592:$AE$596,MATCH(Annual_Prem,$A$592:$A$596,1),MATCH(O599,$A$592:$AE$592,0))</f>
        <v>0</v>
      </c>
      <c r="P601" s="184">
        <f t="array" ref="P601">INDEX($A$592:$AE$596,MATCH(Annual_Prem,$A$592:$A$596,1),MATCH(P599,$A$592:$AE$592,0))</f>
        <v>0</v>
      </c>
      <c r="Q601" s="184">
        <f t="array" ref="Q601">INDEX($A$592:$AE$596,MATCH(Annual_Prem,$A$592:$A$596,1),MATCH(Q599,$A$592:$AE$592,0))</f>
        <v>0</v>
      </c>
      <c r="R601" s="184">
        <f t="array" ref="R601">INDEX($A$592:$AE$596,MATCH(Annual_Prem,$A$592:$A$596,1),MATCH(R599,$A$592:$AE$592,0))</f>
        <v>0</v>
      </c>
      <c r="S601" s="184">
        <f t="array" ref="S601">INDEX($A$592:$AE$596,MATCH(Annual_Prem,$A$592:$A$596,1),MATCH(S599,$A$592:$AE$592,0))</f>
        <v>0</v>
      </c>
      <c r="T601" s="184">
        <f t="array" ref="T601">INDEX($A$592:$AE$596,MATCH(Annual_Prem,$A$592:$A$596,1),MATCH(T599,$A$592:$AE$592,0))</f>
        <v>0</v>
      </c>
      <c r="U601" s="184">
        <f t="array" ref="U601">INDEX($A$592:$AE$596,MATCH(Annual_Prem,$A$592:$A$596,1),MATCH(U599,$A$592:$AE$592,0))</f>
        <v>0</v>
      </c>
      <c r="V601" s="184">
        <f t="array" ref="V601">INDEX($A$592:$AE$596,MATCH(Annual_Prem,$A$592:$A$596,1),MATCH(V599,$A$592:$AE$592,0))</f>
        <v>0</v>
      </c>
      <c r="W601" s="184">
        <f t="array" ref="W601">INDEX($A$592:$AE$596,MATCH(Annual_Prem,$A$592:$A$596,1),MATCH(W599,$A$592:$AE$592,0))</f>
        <v>0</v>
      </c>
      <c r="X601" s="184">
        <f t="array" ref="X601">INDEX($A$592:$AE$596,MATCH(Annual_Prem,$A$592:$A$596,1),MATCH(X599,$A$592:$AE$592,0))</f>
        <v>0</v>
      </c>
      <c r="Y601" s="184">
        <f t="array" ref="Y601">INDEX($A$592:$AE$596,MATCH(Annual_Prem,$A$592:$A$596,1),MATCH(Y599,$A$592:$AE$592,0))</f>
        <v>0</v>
      </c>
      <c r="Z601" s="184">
        <f t="array" ref="Z601">INDEX($A$592:$AE$596,MATCH(Annual_Prem,$A$592:$A$596,1),MATCH(Z599,$A$592:$AE$592,0))</f>
        <v>0</v>
      </c>
      <c r="AA601" s="184">
        <f t="array" ref="AA601">INDEX($A$592:$AE$596,MATCH(Annual_Prem,$A$592:$A$596,1),MATCH(AA599,$A$592:$AE$592,0))</f>
        <v>0</v>
      </c>
      <c r="AB601" s="184">
        <f t="array" ref="AB601">INDEX($A$592:$AE$596,MATCH(Annual_Prem,$A$592:$A$596,1),MATCH(AB599,$A$592:$AE$592,0))</f>
        <v>0</v>
      </c>
      <c r="AC601" s="184">
        <f t="array" ref="AC601">INDEX($A$592:$AE$596,MATCH(Annual_Prem,$A$592:$A$596,1),MATCH(AC599,$A$592:$AE$592,0))</f>
        <v>0</v>
      </c>
      <c r="AD601" s="184">
        <f t="array" ref="AD601">INDEX($A$592:$AE$596,MATCH(Annual_Prem,$A$592:$A$596,1),MATCH(AD599,$A$592:$AE$592,0))</f>
        <v>0</v>
      </c>
      <c r="AE601" s="184">
        <f t="array" ref="AE601">INDEX($A$592:$AE$596,MATCH(Annual_Prem,$A$592:$A$596,1),MATCH(AE599,$A$592:$AE$592,0))</f>
        <v>0</v>
      </c>
      <c r="AF601" s="36"/>
      <c r="AG601" s="36"/>
      <c r="AH601" s="36"/>
      <c r="AI601" s="36"/>
      <c r="AJ601" s="36"/>
    </row>
    <row r="602" ht="15.75" customHeight="1">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c r="AI602" s="36"/>
      <c r="AJ602" s="36"/>
    </row>
    <row r="603" ht="15.75" customHeight="1">
      <c r="A603" s="380" t="s">
        <v>1344</v>
      </c>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c r="AI603" s="36"/>
      <c r="AJ603" s="36"/>
    </row>
    <row r="604" ht="15.75" customHeight="1">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c r="AI604" s="36"/>
      <c r="AJ604" s="36"/>
    </row>
    <row r="605" ht="13.5" customHeight="1">
      <c r="A605" s="36" t="s">
        <v>1956</v>
      </c>
      <c r="B605" s="36">
        <v>1.0</v>
      </c>
      <c r="C605" s="36">
        <v>2.0</v>
      </c>
      <c r="D605" s="36">
        <v>3.0</v>
      </c>
      <c r="E605" s="36">
        <v>4.0</v>
      </c>
      <c r="F605" s="36">
        <v>5.0</v>
      </c>
      <c r="G605" s="36">
        <v>6.0</v>
      </c>
      <c r="H605" s="36">
        <v>7.0</v>
      </c>
      <c r="I605" s="36">
        <v>8.0</v>
      </c>
      <c r="J605" s="36">
        <v>9.0</v>
      </c>
      <c r="K605" s="36">
        <v>10.0</v>
      </c>
      <c r="L605" s="36">
        <v>11.0</v>
      </c>
      <c r="M605" s="36">
        <v>12.0</v>
      </c>
      <c r="N605" s="36">
        <v>13.0</v>
      </c>
      <c r="O605" s="36">
        <v>14.0</v>
      </c>
      <c r="P605" s="36">
        <v>15.0</v>
      </c>
      <c r="Q605" s="36">
        <v>16.0</v>
      </c>
      <c r="R605" s="36">
        <v>17.0</v>
      </c>
      <c r="S605" s="36">
        <v>18.0</v>
      </c>
      <c r="T605" s="36">
        <v>19.0</v>
      </c>
      <c r="U605" s="36">
        <v>20.0</v>
      </c>
      <c r="V605" s="36">
        <v>21.0</v>
      </c>
      <c r="W605" s="36">
        <v>22.0</v>
      </c>
      <c r="X605" s="36">
        <v>23.0</v>
      </c>
      <c r="Y605" s="36">
        <v>24.0</v>
      </c>
      <c r="Z605" s="36">
        <v>25.0</v>
      </c>
      <c r="AA605" s="36">
        <v>26.0</v>
      </c>
      <c r="AB605" s="36">
        <v>27.0</v>
      </c>
      <c r="AC605" s="36">
        <v>28.0</v>
      </c>
      <c r="AD605" s="36">
        <v>29.0</v>
      </c>
      <c r="AE605" s="36">
        <v>30.0</v>
      </c>
      <c r="AF605" s="36"/>
      <c r="AG605" s="36"/>
      <c r="AH605" s="36"/>
      <c r="AI605" s="36"/>
      <c r="AJ605" s="36"/>
    </row>
    <row r="606" ht="15.75" customHeight="1">
      <c r="A606" s="36">
        <v>0.0</v>
      </c>
      <c r="B606" s="184">
        <v>0.0025</v>
      </c>
      <c r="C606" s="184">
        <v>0.0025</v>
      </c>
      <c r="D606" s="184">
        <v>0.0025</v>
      </c>
      <c r="E606" s="184">
        <v>0.0025</v>
      </c>
      <c r="F606" s="184">
        <v>0.0025</v>
      </c>
      <c r="G606" s="184">
        <v>5.0E-4</v>
      </c>
      <c r="H606" s="184">
        <v>5.0E-4</v>
      </c>
      <c r="I606" s="184">
        <v>5.0E-4</v>
      </c>
      <c r="J606" s="184">
        <v>5.0E-4</v>
      </c>
      <c r="K606" s="184">
        <v>5.0E-4</v>
      </c>
      <c r="L606" s="36">
        <v>0.0</v>
      </c>
      <c r="M606" s="36">
        <v>0.0</v>
      </c>
      <c r="N606" s="36">
        <v>0.0</v>
      </c>
      <c r="O606" s="36">
        <v>0.0</v>
      </c>
      <c r="P606" s="36">
        <v>0.0</v>
      </c>
      <c r="Q606" s="36">
        <v>0.0</v>
      </c>
      <c r="R606" s="36">
        <v>0.0</v>
      </c>
      <c r="S606" s="36">
        <v>0.0</v>
      </c>
      <c r="T606" s="36">
        <v>0.0</v>
      </c>
      <c r="U606" s="36">
        <v>0.0</v>
      </c>
      <c r="V606" s="36">
        <v>0.0</v>
      </c>
      <c r="W606" s="36">
        <v>0.0</v>
      </c>
      <c r="X606" s="36">
        <v>0.0</v>
      </c>
      <c r="Y606" s="36">
        <v>0.0</v>
      </c>
      <c r="Z606" s="36">
        <v>0.0</v>
      </c>
      <c r="AA606" s="36">
        <v>0.0</v>
      </c>
      <c r="AB606" s="36">
        <v>0.0</v>
      </c>
      <c r="AC606" s="36">
        <v>0.0</v>
      </c>
      <c r="AD606" s="36">
        <v>0.0</v>
      </c>
      <c r="AE606" s="36">
        <v>0.0</v>
      </c>
      <c r="AF606" s="36"/>
      <c r="AG606" s="36"/>
      <c r="AH606" s="36"/>
      <c r="AI606" s="36"/>
      <c r="AJ606" s="36"/>
    </row>
    <row r="607" ht="15.75" customHeight="1">
      <c r="A607" s="36">
        <v>500000.0</v>
      </c>
      <c r="B607" s="184">
        <v>0.001</v>
      </c>
      <c r="C607" s="184">
        <v>0.001</v>
      </c>
      <c r="D607" s="184">
        <v>0.001</v>
      </c>
      <c r="E607" s="184">
        <v>0.001</v>
      </c>
      <c r="F607" s="184">
        <v>0.001</v>
      </c>
      <c r="G607" s="184">
        <v>5.0E-4</v>
      </c>
      <c r="H607" s="184">
        <v>5.0E-4</v>
      </c>
      <c r="I607" s="184">
        <v>5.0E-4</v>
      </c>
      <c r="J607" s="184">
        <v>5.0E-4</v>
      </c>
      <c r="K607" s="184">
        <v>5.0E-4</v>
      </c>
      <c r="L607" s="36">
        <v>0.0</v>
      </c>
      <c r="M607" s="36">
        <v>0.0</v>
      </c>
      <c r="N607" s="36">
        <v>0.0</v>
      </c>
      <c r="O607" s="36">
        <v>0.0</v>
      </c>
      <c r="P607" s="36">
        <v>0.0</v>
      </c>
      <c r="Q607" s="36">
        <v>0.0</v>
      </c>
      <c r="R607" s="36">
        <v>0.0</v>
      </c>
      <c r="S607" s="36">
        <v>0.0</v>
      </c>
      <c r="T607" s="36">
        <v>0.0</v>
      </c>
      <c r="U607" s="36">
        <v>0.0</v>
      </c>
      <c r="V607" s="36">
        <v>0.0</v>
      </c>
      <c r="W607" s="36">
        <v>0.0</v>
      </c>
      <c r="X607" s="36">
        <v>0.0</v>
      </c>
      <c r="Y607" s="36">
        <v>0.0</v>
      </c>
      <c r="Z607" s="36">
        <v>0.0</v>
      </c>
      <c r="AA607" s="36">
        <v>0.0</v>
      </c>
      <c r="AB607" s="36">
        <v>0.0</v>
      </c>
      <c r="AC607" s="36">
        <v>0.0</v>
      </c>
      <c r="AD607" s="36">
        <v>0.0</v>
      </c>
      <c r="AE607" s="36">
        <v>0.0</v>
      </c>
      <c r="AF607" s="36"/>
      <c r="AG607" s="36"/>
      <c r="AH607" s="36"/>
      <c r="AI607" s="36"/>
      <c r="AJ607" s="36"/>
    </row>
    <row r="608" ht="15.75" customHeight="1">
      <c r="A608" s="36">
        <v>1000000.0</v>
      </c>
      <c r="B608" s="184">
        <v>5.0E-4</v>
      </c>
      <c r="C608" s="184">
        <v>5.0E-4</v>
      </c>
      <c r="D608" s="184">
        <v>5.0E-4</v>
      </c>
      <c r="E608" s="184">
        <v>5.0E-4</v>
      </c>
      <c r="F608" s="184">
        <v>5.0E-4</v>
      </c>
      <c r="G608" s="184">
        <v>5.0E-4</v>
      </c>
      <c r="H608" s="184">
        <v>5.0E-4</v>
      </c>
      <c r="I608" s="184">
        <v>5.0E-4</v>
      </c>
      <c r="J608" s="184">
        <v>5.0E-4</v>
      </c>
      <c r="K608" s="184">
        <v>5.0E-4</v>
      </c>
      <c r="L608" s="36">
        <v>0.0</v>
      </c>
      <c r="M608" s="36">
        <v>0.0</v>
      </c>
      <c r="N608" s="36">
        <v>0.0</v>
      </c>
      <c r="O608" s="36">
        <v>0.0</v>
      </c>
      <c r="P608" s="36">
        <v>0.0</v>
      </c>
      <c r="Q608" s="36">
        <v>0.0</v>
      </c>
      <c r="R608" s="36">
        <v>0.0</v>
      </c>
      <c r="S608" s="36">
        <v>0.0</v>
      </c>
      <c r="T608" s="36">
        <v>0.0</v>
      </c>
      <c r="U608" s="36">
        <v>0.0</v>
      </c>
      <c r="V608" s="36">
        <v>0.0</v>
      </c>
      <c r="W608" s="36">
        <v>0.0</v>
      </c>
      <c r="X608" s="36">
        <v>0.0</v>
      </c>
      <c r="Y608" s="36">
        <v>0.0</v>
      </c>
      <c r="Z608" s="36">
        <v>0.0</v>
      </c>
      <c r="AA608" s="36">
        <v>0.0</v>
      </c>
      <c r="AB608" s="36">
        <v>0.0</v>
      </c>
      <c r="AC608" s="36">
        <v>0.0</v>
      </c>
      <c r="AD608" s="36">
        <v>0.0</v>
      </c>
      <c r="AE608" s="36">
        <v>0.0</v>
      </c>
      <c r="AF608" s="36"/>
      <c r="AG608" s="36"/>
      <c r="AH608" s="36"/>
      <c r="AI608" s="36"/>
      <c r="AJ608" s="36"/>
    </row>
    <row r="609" ht="15.7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row>
    <row r="610" ht="15.75" customHeight="1">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c r="AA610" s="36"/>
      <c r="AB610" s="36"/>
      <c r="AC610" s="36"/>
      <c r="AD610" s="36"/>
      <c r="AE610" s="36"/>
      <c r="AF610" s="36"/>
      <c r="AG610" s="36"/>
      <c r="AH610" s="36"/>
      <c r="AI610" s="36"/>
      <c r="AJ610" s="36"/>
    </row>
    <row r="611" ht="15.75" customHeight="1">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c r="AA611" s="36"/>
      <c r="AB611" s="36"/>
      <c r="AC611" s="36"/>
      <c r="AD611" s="36"/>
      <c r="AE611" s="36"/>
      <c r="AF611" s="36"/>
      <c r="AG611" s="36"/>
      <c r="AH611" s="36"/>
      <c r="AI611" s="36"/>
      <c r="AJ611" s="36"/>
    </row>
    <row r="612" ht="15.75" customHeight="1">
      <c r="A612" s="36" t="s">
        <v>1957</v>
      </c>
      <c r="B612" s="36">
        <v>1.0</v>
      </c>
      <c r="C612" s="36">
        <v>2.0</v>
      </c>
      <c r="D612" s="36">
        <v>3.0</v>
      </c>
      <c r="E612" s="36">
        <v>4.0</v>
      </c>
      <c r="F612" s="36">
        <v>5.0</v>
      </c>
      <c r="G612" s="36">
        <v>6.0</v>
      </c>
      <c r="H612" s="36">
        <v>7.0</v>
      </c>
      <c r="I612" s="36">
        <v>8.0</v>
      </c>
      <c r="J612" s="36">
        <v>9.0</v>
      </c>
      <c r="K612" s="36">
        <v>10.0</v>
      </c>
      <c r="L612" s="36">
        <v>11.0</v>
      </c>
      <c r="M612" s="36">
        <v>12.0</v>
      </c>
      <c r="N612" s="36">
        <v>13.0</v>
      </c>
      <c r="O612" s="36">
        <v>14.0</v>
      </c>
      <c r="P612" s="36">
        <v>15.0</v>
      </c>
      <c r="Q612" s="36">
        <v>16.0</v>
      </c>
      <c r="R612" s="36">
        <v>17.0</v>
      </c>
      <c r="S612" s="36">
        <v>18.0</v>
      </c>
      <c r="T612" s="36">
        <v>19.0</v>
      </c>
      <c r="U612" s="36">
        <v>20.0</v>
      </c>
      <c r="V612" s="36">
        <v>21.0</v>
      </c>
      <c r="W612" s="36">
        <v>22.0</v>
      </c>
      <c r="X612" s="36">
        <v>23.0</v>
      </c>
      <c r="Y612" s="36">
        <v>24.0</v>
      </c>
      <c r="Z612" s="36">
        <v>25.0</v>
      </c>
      <c r="AA612" s="36">
        <v>26.0</v>
      </c>
      <c r="AB612" s="36">
        <v>27.0</v>
      </c>
      <c r="AC612" s="36">
        <v>28.0</v>
      </c>
      <c r="AD612" s="36">
        <v>29.0</v>
      </c>
      <c r="AE612" s="36">
        <v>30.0</v>
      </c>
      <c r="AF612" s="36"/>
      <c r="AG612" s="36"/>
      <c r="AH612" s="36"/>
      <c r="AI612" s="36"/>
      <c r="AJ612" s="36"/>
    </row>
    <row r="613" ht="15.75" customHeight="1">
      <c r="A613" s="12" t="s">
        <v>217</v>
      </c>
      <c r="B613" s="12">
        <v>0.0</v>
      </c>
      <c r="C613" s="12">
        <v>0.0</v>
      </c>
      <c r="D613" s="12">
        <v>0.0</v>
      </c>
      <c r="E613" s="12">
        <v>0.0</v>
      </c>
      <c r="F613" s="12">
        <v>0.0</v>
      </c>
      <c r="G613" s="12">
        <v>0.0</v>
      </c>
      <c r="H613" s="12">
        <v>0.0</v>
      </c>
      <c r="I613" s="12">
        <v>0.0</v>
      </c>
      <c r="J613" s="12">
        <v>0.0</v>
      </c>
      <c r="K613" s="12">
        <v>0.0</v>
      </c>
      <c r="L613" s="12">
        <v>0.0</v>
      </c>
      <c r="M613" s="12">
        <v>0.0</v>
      </c>
      <c r="N613" s="12">
        <v>0.0</v>
      </c>
      <c r="O613" s="12">
        <v>0.0</v>
      </c>
      <c r="P613" s="12">
        <v>0.0</v>
      </c>
      <c r="Q613" s="12">
        <v>0.0</v>
      </c>
      <c r="R613" s="12">
        <v>0.0</v>
      </c>
      <c r="S613" s="12">
        <v>0.0</v>
      </c>
      <c r="T613" s="12">
        <v>0.0</v>
      </c>
      <c r="U613" s="12">
        <v>0.0</v>
      </c>
      <c r="V613" s="12">
        <v>0.0</v>
      </c>
      <c r="W613" s="12">
        <v>0.0</v>
      </c>
      <c r="X613" s="12">
        <v>0.0</v>
      </c>
      <c r="Y613" s="12">
        <v>0.0</v>
      </c>
      <c r="Z613" s="12">
        <v>0.0</v>
      </c>
      <c r="AA613" s="12">
        <v>0.0</v>
      </c>
      <c r="AB613" s="12">
        <v>0.0</v>
      </c>
      <c r="AC613" s="12">
        <v>0.0</v>
      </c>
      <c r="AD613" s="12">
        <v>0.0</v>
      </c>
      <c r="AE613" s="12">
        <v>0.0</v>
      </c>
      <c r="AF613" s="36"/>
      <c r="AG613" s="36"/>
      <c r="AH613" s="36"/>
      <c r="AI613" s="36"/>
      <c r="AJ613" s="36"/>
    </row>
    <row r="614" ht="15.75" customHeight="1">
      <c r="A614" s="12" t="s">
        <v>218</v>
      </c>
      <c r="B614" s="184">
        <f t="array" ref="B614">INDEX($A$605:$AE$608,MATCH(Annual_Prem,$A$605:$A$608,1),MATCH(B612,$A$605:$AE$605,0))</f>
        <v>0.0025</v>
      </c>
      <c r="C614" s="184">
        <f t="array" ref="C614">INDEX($A$605:$AE$608,MATCH(Annual_Prem,$A$605:$A$608,1),MATCH(C612,$A$605:$AE$605,0))</f>
        <v>0.0025</v>
      </c>
      <c r="D614" s="184">
        <f t="array" ref="D614">INDEX($A$605:$AE$608,MATCH(Annual_Prem,$A$605:$A$608,1),MATCH(D612,$A$605:$AE$605,0))</f>
        <v>0.0025</v>
      </c>
      <c r="E614" s="184">
        <f t="array" ref="E614">INDEX($A$605:$AE$608,MATCH(Annual_Prem,$A$605:$A$608,1),MATCH(E612,$A$605:$AE$605,0))</f>
        <v>0.0025</v>
      </c>
      <c r="F614" s="184">
        <f t="array" ref="F614">INDEX($A$605:$AE$608,MATCH(Annual_Prem,$A$605:$A$608,1),MATCH(F612,$A$605:$AE$605,0))</f>
        <v>0.0025</v>
      </c>
      <c r="G614" s="184">
        <f t="array" ref="G614">INDEX($A$605:$AE$608,MATCH(Annual_Prem,$A$605:$A$608,1),MATCH(G612,$A$605:$AE$605,0))</f>
        <v>0.0005</v>
      </c>
      <c r="H614" s="184">
        <f t="array" ref="H614">INDEX($A$605:$AE$608,MATCH(Annual_Prem,$A$605:$A$608,1),MATCH(H612,$A$605:$AE$605,0))</f>
        <v>0.0005</v>
      </c>
      <c r="I614" s="184">
        <f t="array" ref="I614">INDEX($A$605:$AE$608,MATCH(Annual_Prem,$A$605:$A$608,1),MATCH(I612,$A$605:$AE$605,0))</f>
        <v>0.0005</v>
      </c>
      <c r="J614" s="184">
        <f t="array" ref="J614">INDEX($A$605:$AE$608,MATCH(Annual_Prem,$A$605:$A$608,1),MATCH(J612,$A$605:$AE$605,0))</f>
        <v>0.0005</v>
      </c>
      <c r="K614" s="184">
        <f t="array" ref="K614">INDEX($A$605:$AE$608,MATCH(Annual_Prem,$A$605:$A$608,1),MATCH(K612,$A$605:$AE$605,0))</f>
        <v>0.0005</v>
      </c>
      <c r="L614" s="36">
        <f t="array" ref="L614">INDEX($A$605:$AE$608,MATCH(Annual_Prem,$A$605:$A$608,1),MATCH(L612,$A$605:$AE$605,0))</f>
        <v>0</v>
      </c>
      <c r="M614" s="36">
        <f t="array" ref="M614">INDEX($A$605:$AE$608,MATCH(Annual_Prem,$A$605:$A$608,1),MATCH(M612,$A$605:$AE$605,0))</f>
        <v>0</v>
      </c>
      <c r="N614" s="36">
        <f t="array" ref="N614">INDEX($A$605:$AE$608,MATCH(Annual_Prem,$A$605:$A$608,1),MATCH(N612,$A$605:$AE$605,0))</f>
        <v>0</v>
      </c>
      <c r="O614" s="36">
        <f t="array" ref="O614">INDEX($A$605:$AE$608,MATCH(Annual_Prem,$A$605:$A$608,1),MATCH(O612,$A$605:$AE$605,0))</f>
        <v>0</v>
      </c>
      <c r="P614" s="36">
        <f t="array" ref="P614">INDEX($A$605:$AE$608,MATCH(Annual_Prem,$A$605:$A$608,1),MATCH(P612,$A$605:$AE$605,0))</f>
        <v>0</v>
      </c>
      <c r="Q614" s="36">
        <f t="array" ref="Q614">INDEX($A$605:$AE$608,MATCH(Annual_Prem,$A$605:$A$608,1),MATCH(Q612,$A$605:$AE$605,0))</f>
        <v>0</v>
      </c>
      <c r="R614" s="36">
        <f t="array" ref="R614">INDEX($A$605:$AE$608,MATCH(Annual_Prem,$A$605:$A$608,1),MATCH(R612,$A$605:$AE$605,0))</f>
        <v>0</v>
      </c>
      <c r="S614" s="36">
        <f t="array" ref="S614">INDEX($A$605:$AE$608,MATCH(Annual_Prem,$A$605:$A$608,1),MATCH(S612,$A$605:$AE$605,0))</f>
        <v>0</v>
      </c>
      <c r="T614" s="36">
        <f t="array" ref="T614">INDEX($A$605:$AE$608,MATCH(Annual_Prem,$A$605:$A$608,1),MATCH(T612,$A$605:$AE$605,0))</f>
        <v>0</v>
      </c>
      <c r="U614" s="36">
        <f t="array" ref="U614">INDEX($A$605:$AE$608,MATCH(Annual_Prem,$A$605:$A$608,1),MATCH(U612,$A$605:$AE$605,0))</f>
        <v>0</v>
      </c>
      <c r="V614" s="36">
        <f t="array" ref="V614">INDEX($A$605:$AE$608,MATCH(Annual_Prem,$A$605:$A$608,1),MATCH(V612,$A$605:$AE$605,0))</f>
        <v>0</v>
      </c>
      <c r="W614" s="36">
        <f t="array" ref="W614">INDEX($A$605:$AE$608,MATCH(Annual_Prem,$A$605:$A$608,1),MATCH(W612,$A$605:$AE$605,0))</f>
        <v>0</v>
      </c>
      <c r="X614" s="36">
        <f t="array" ref="X614">INDEX($A$605:$AE$608,MATCH(Annual_Prem,$A$605:$A$608,1),MATCH(X612,$A$605:$AE$605,0))</f>
        <v>0</v>
      </c>
      <c r="Y614" s="36">
        <f t="array" ref="Y614">INDEX($A$605:$AE$608,MATCH(Annual_Prem,$A$605:$A$608,1),MATCH(Y612,$A$605:$AE$605,0))</f>
        <v>0</v>
      </c>
      <c r="Z614" s="36">
        <f t="array" ref="Z614">INDEX($A$605:$AE$608,MATCH(Annual_Prem,$A$605:$A$608,1),MATCH(Z612,$A$605:$AE$605,0))</f>
        <v>0</v>
      </c>
      <c r="AA614" s="36">
        <f t="array" ref="AA614">INDEX($A$605:$AE$608,MATCH(Annual_Prem,$A$605:$A$608,1),MATCH(AA612,$A$605:$AE$605,0))</f>
        <v>0</v>
      </c>
      <c r="AB614" s="36">
        <f t="array" ref="AB614">INDEX($A$605:$AE$608,MATCH(Annual_Prem,$A$605:$A$608,1),MATCH(AB612,$A$605:$AE$605,0))</f>
        <v>0</v>
      </c>
      <c r="AC614" s="36">
        <f t="array" ref="AC614">INDEX($A$605:$AE$608,MATCH(Annual_Prem,$A$605:$A$608,1),MATCH(AC612,$A$605:$AE$605,0))</f>
        <v>0</v>
      </c>
      <c r="AD614" s="36">
        <f t="array" ref="AD614">INDEX($A$605:$AE$608,MATCH(Annual_Prem,$A$605:$A$608,1),MATCH(AD612,$A$605:$AE$605,0))</f>
        <v>0</v>
      </c>
      <c r="AE614" s="36">
        <f t="array" ref="AE614">INDEX($A$605:$AE$608,MATCH(Annual_Prem,$A$605:$A$608,1),MATCH(AE612,$A$605:$AE$605,0))</f>
        <v>0</v>
      </c>
      <c r="AF614" s="36"/>
      <c r="AG614" s="36"/>
      <c r="AH614" s="36"/>
      <c r="AI614" s="36"/>
      <c r="AJ614" s="36"/>
    </row>
    <row r="615" ht="15.75" customHeight="1">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c r="AA615" s="36"/>
      <c r="AB615" s="36"/>
      <c r="AC615" s="36"/>
      <c r="AD615" s="36"/>
      <c r="AE615" s="36"/>
      <c r="AF615" s="36"/>
      <c r="AG615" s="36"/>
      <c r="AH615" s="36"/>
      <c r="AI615" s="36"/>
      <c r="AJ615" s="36"/>
    </row>
    <row r="616" ht="15.75" customHeight="1">
      <c r="A616" s="380" t="s">
        <v>1342</v>
      </c>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c r="AA616" s="36"/>
      <c r="AB616" s="36"/>
      <c r="AC616" s="36"/>
      <c r="AD616" s="36"/>
      <c r="AE616" s="36"/>
      <c r="AF616" s="36"/>
      <c r="AG616" s="36"/>
      <c r="AH616" s="36"/>
      <c r="AI616" s="36"/>
      <c r="AJ616" s="36"/>
    </row>
    <row r="617" ht="15.75" customHeight="1">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c r="AA617" s="36"/>
      <c r="AB617" s="36"/>
      <c r="AC617" s="36"/>
      <c r="AD617" s="36"/>
      <c r="AE617" s="36"/>
      <c r="AF617" s="36"/>
      <c r="AG617" s="36"/>
      <c r="AH617" s="36"/>
      <c r="AI617" s="36"/>
      <c r="AJ617" s="36"/>
    </row>
    <row r="618" ht="15.75" customHeight="1">
      <c r="A618" s="36" t="s">
        <v>215</v>
      </c>
      <c r="B618" s="36">
        <v>1.0</v>
      </c>
      <c r="C618" s="36">
        <v>2.0</v>
      </c>
      <c r="D618" s="36">
        <v>3.0</v>
      </c>
      <c r="E618" s="36">
        <v>4.0</v>
      </c>
      <c r="F618" s="36">
        <v>5.0</v>
      </c>
      <c r="G618" s="36">
        <v>6.0</v>
      </c>
      <c r="H618" s="36">
        <v>7.0</v>
      </c>
      <c r="I618" s="36">
        <v>8.0</v>
      </c>
      <c r="J618" s="36">
        <v>9.0</v>
      </c>
      <c r="K618" s="36">
        <v>10.0</v>
      </c>
      <c r="L618" s="36">
        <v>11.0</v>
      </c>
      <c r="M618" s="36">
        <v>12.0</v>
      </c>
      <c r="N618" s="36">
        <v>13.0</v>
      </c>
      <c r="O618" s="36">
        <v>14.0</v>
      </c>
      <c r="P618" s="36">
        <v>15.0</v>
      </c>
      <c r="Q618" s="36">
        <v>16.0</v>
      </c>
      <c r="R618" s="36">
        <v>17.0</v>
      </c>
      <c r="S618" s="36">
        <v>18.0</v>
      </c>
      <c r="T618" s="36">
        <v>19.0</v>
      </c>
      <c r="U618" s="36">
        <v>20.0</v>
      </c>
      <c r="V618" s="36">
        <v>21.0</v>
      </c>
      <c r="W618" s="36">
        <v>22.0</v>
      </c>
      <c r="X618" s="36">
        <v>23.0</v>
      </c>
      <c r="Y618" s="36">
        <v>24.0</v>
      </c>
      <c r="Z618" s="36">
        <v>25.0</v>
      </c>
      <c r="AA618" s="36">
        <v>26.0</v>
      </c>
      <c r="AB618" s="36">
        <v>27.0</v>
      </c>
      <c r="AC618" s="36">
        <v>28.0</v>
      </c>
      <c r="AD618" s="36">
        <v>29.0</v>
      </c>
      <c r="AE618" s="36">
        <v>30.0</v>
      </c>
      <c r="AF618" s="36"/>
      <c r="AG618" s="36"/>
      <c r="AH618" s="36"/>
      <c r="AI618" s="36"/>
      <c r="AJ618" s="36"/>
    </row>
    <row r="619" ht="15.75" customHeight="1">
      <c r="A619" s="12" t="s">
        <v>217</v>
      </c>
      <c r="B619" s="36">
        <v>50.0</v>
      </c>
      <c r="C619" s="36">
        <v>50.0</v>
      </c>
      <c r="D619" s="36">
        <v>50.0</v>
      </c>
      <c r="E619" s="36">
        <v>50.0</v>
      </c>
      <c r="F619" s="36">
        <v>50.0</v>
      </c>
      <c r="G619" s="36">
        <v>0.0</v>
      </c>
      <c r="H619" s="36">
        <v>0.0</v>
      </c>
      <c r="I619" s="36">
        <v>0.0</v>
      </c>
      <c r="J619" s="36">
        <v>0.0</v>
      </c>
      <c r="K619" s="36">
        <v>0.0</v>
      </c>
      <c r="L619" s="36">
        <v>0.0</v>
      </c>
      <c r="M619" s="36">
        <v>0.0</v>
      </c>
      <c r="N619" s="36">
        <v>0.0</v>
      </c>
      <c r="O619" s="36">
        <v>0.0</v>
      </c>
      <c r="P619" s="36">
        <v>0.0</v>
      </c>
      <c r="Q619" s="36">
        <v>0.0</v>
      </c>
      <c r="R619" s="36">
        <v>0.0</v>
      </c>
      <c r="S619" s="36">
        <v>0.0</v>
      </c>
      <c r="T619" s="36">
        <v>0.0</v>
      </c>
      <c r="U619" s="36">
        <v>0.0</v>
      </c>
      <c r="V619" s="36">
        <v>0.0</v>
      </c>
      <c r="W619" s="36">
        <v>0.0</v>
      </c>
      <c r="X619" s="36">
        <v>0.0</v>
      </c>
      <c r="Y619" s="36">
        <v>0.0</v>
      </c>
      <c r="Z619" s="36">
        <v>0.0</v>
      </c>
      <c r="AA619" s="36">
        <v>0.0</v>
      </c>
      <c r="AB619" s="36">
        <v>0.0</v>
      </c>
      <c r="AC619" s="36">
        <v>0.0</v>
      </c>
      <c r="AD619" s="36">
        <v>0.0</v>
      </c>
      <c r="AE619" s="36">
        <v>0.0</v>
      </c>
      <c r="AF619" s="36"/>
      <c r="AG619" s="36"/>
      <c r="AH619" s="36"/>
      <c r="AI619" s="36"/>
      <c r="AJ619" s="36"/>
    </row>
    <row r="620" ht="15.75" customHeight="1">
      <c r="A620" s="12" t="s">
        <v>218</v>
      </c>
      <c r="B620" s="121">
        <v>0.0</v>
      </c>
      <c r="C620" s="121">
        <v>0.0</v>
      </c>
      <c r="D620" s="121">
        <v>0.0</v>
      </c>
      <c r="E620" s="121">
        <v>0.0</v>
      </c>
      <c r="F620" s="121">
        <v>0.0</v>
      </c>
      <c r="G620" s="121">
        <v>0.0</v>
      </c>
      <c r="H620" s="121">
        <v>0.0</v>
      </c>
      <c r="I620" s="121">
        <v>0.0</v>
      </c>
      <c r="J620" s="121">
        <v>0.0</v>
      </c>
      <c r="K620" s="121">
        <v>0.0</v>
      </c>
      <c r="L620" s="121">
        <v>0.0</v>
      </c>
      <c r="M620" s="121">
        <v>0.0</v>
      </c>
      <c r="N620" s="121">
        <v>0.0</v>
      </c>
      <c r="O620" s="121">
        <v>0.0</v>
      </c>
      <c r="P620" s="121">
        <v>0.0</v>
      </c>
      <c r="Q620" s="121">
        <v>0.0</v>
      </c>
      <c r="R620" s="121">
        <v>0.0</v>
      </c>
      <c r="S620" s="121">
        <v>0.0</v>
      </c>
      <c r="T620" s="121">
        <v>0.0</v>
      </c>
      <c r="U620" s="121">
        <v>0.0</v>
      </c>
      <c r="V620" s="121">
        <v>0.0</v>
      </c>
      <c r="W620" s="121">
        <v>0.0</v>
      </c>
      <c r="X620" s="121">
        <v>0.0</v>
      </c>
      <c r="Y620" s="121">
        <v>0.0</v>
      </c>
      <c r="Z620" s="121">
        <v>0.0</v>
      </c>
      <c r="AA620" s="121">
        <v>0.0</v>
      </c>
      <c r="AB620" s="121">
        <v>0.0</v>
      </c>
      <c r="AC620" s="121">
        <v>0.0</v>
      </c>
      <c r="AD620" s="121">
        <v>0.0</v>
      </c>
      <c r="AE620" s="121">
        <v>0.0</v>
      </c>
      <c r="AF620" s="36"/>
      <c r="AG620" s="36"/>
      <c r="AH620" s="36"/>
      <c r="AI620" s="36"/>
      <c r="AJ620" s="36"/>
    </row>
    <row r="621" ht="15.75" customHeight="1">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c r="AA621" s="36"/>
      <c r="AB621" s="36"/>
      <c r="AC621" s="36"/>
      <c r="AD621" s="36"/>
      <c r="AE621" s="36"/>
      <c r="AF621" s="36"/>
      <c r="AG621" s="36"/>
      <c r="AH621" s="36"/>
      <c r="AI621" s="36"/>
      <c r="AJ621" s="36"/>
    </row>
    <row r="622" ht="15.75" customHeight="1">
      <c r="A622" s="380" t="s">
        <v>1334</v>
      </c>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c r="AA622" s="36"/>
      <c r="AB622" s="36"/>
      <c r="AC622" s="36"/>
      <c r="AD622" s="36"/>
      <c r="AE622" s="36"/>
      <c r="AF622" s="36"/>
      <c r="AG622" s="36"/>
      <c r="AH622" s="36"/>
      <c r="AI622" s="36"/>
      <c r="AJ622" s="36"/>
    </row>
    <row r="623" ht="15.75" customHeight="1">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c r="AA623" s="36"/>
      <c r="AB623" s="36"/>
      <c r="AC623" s="36"/>
      <c r="AD623" s="36"/>
      <c r="AE623" s="36"/>
      <c r="AF623" s="36"/>
      <c r="AG623" s="36"/>
      <c r="AH623" s="36"/>
      <c r="AI623" s="36"/>
      <c r="AJ623" s="36"/>
    </row>
    <row r="624" ht="15.75" customHeight="1">
      <c r="A624" s="36" t="s">
        <v>215</v>
      </c>
      <c r="B624" s="36">
        <v>1.0</v>
      </c>
      <c r="C624" s="36">
        <v>2.0</v>
      </c>
      <c r="D624" s="36">
        <v>3.0</v>
      </c>
      <c r="E624" s="36">
        <v>4.0</v>
      </c>
      <c r="F624" s="36">
        <v>5.0</v>
      </c>
      <c r="G624" s="36">
        <v>6.0</v>
      </c>
      <c r="H624" s="36">
        <v>7.0</v>
      </c>
      <c r="I624" s="36">
        <v>8.0</v>
      </c>
      <c r="J624" s="36">
        <v>9.0</v>
      </c>
      <c r="K624" s="36">
        <v>10.0</v>
      </c>
      <c r="L624" s="36">
        <v>11.0</v>
      </c>
      <c r="M624" s="36">
        <v>12.0</v>
      </c>
      <c r="N624" s="36">
        <v>13.0</v>
      </c>
      <c r="O624" s="36">
        <v>14.0</v>
      </c>
      <c r="P624" s="36">
        <v>15.0</v>
      </c>
      <c r="Q624" s="36">
        <v>16.0</v>
      </c>
      <c r="R624" s="36">
        <v>17.0</v>
      </c>
      <c r="S624" s="36">
        <v>18.0</v>
      </c>
      <c r="T624" s="36">
        <v>19.0</v>
      </c>
      <c r="U624" s="36">
        <v>20.0</v>
      </c>
      <c r="V624" s="36">
        <v>21.0</v>
      </c>
      <c r="W624" s="36">
        <v>22.0</v>
      </c>
      <c r="X624" s="36">
        <v>23.0</v>
      </c>
      <c r="Y624" s="36">
        <v>24.0</v>
      </c>
      <c r="Z624" s="36">
        <v>25.0</v>
      </c>
      <c r="AA624" s="36">
        <v>26.0</v>
      </c>
      <c r="AB624" s="36">
        <v>27.0</v>
      </c>
      <c r="AC624" s="36">
        <v>28.0</v>
      </c>
      <c r="AD624" s="36">
        <v>29.0</v>
      </c>
      <c r="AE624" s="36">
        <v>30.0</v>
      </c>
      <c r="AF624" s="36"/>
      <c r="AG624" s="36"/>
      <c r="AH624" s="36"/>
      <c r="AI624" s="36"/>
      <c r="AJ624" s="36"/>
    </row>
    <row r="625" ht="15.75" customHeight="1">
      <c r="A625" s="12" t="s">
        <v>217</v>
      </c>
      <c r="B625" s="12">
        <v>0.0</v>
      </c>
      <c r="C625" s="12">
        <v>0.0</v>
      </c>
      <c r="D625" s="12">
        <v>0.0</v>
      </c>
      <c r="E625" s="12">
        <v>0.0</v>
      </c>
      <c r="F625" s="12">
        <v>0.0</v>
      </c>
      <c r="G625" s="12">
        <v>0.0</v>
      </c>
      <c r="H625" s="12">
        <v>0.0</v>
      </c>
      <c r="I625" s="12">
        <v>0.0</v>
      </c>
      <c r="J625" s="12">
        <v>0.0</v>
      </c>
      <c r="K625" s="12">
        <v>0.0</v>
      </c>
      <c r="L625" s="12">
        <v>0.0</v>
      </c>
      <c r="M625" s="12">
        <v>0.0</v>
      </c>
      <c r="N625" s="12">
        <v>0.0</v>
      </c>
      <c r="O625" s="12">
        <v>0.0</v>
      </c>
      <c r="P625" s="12">
        <v>0.0</v>
      </c>
      <c r="Q625" s="12">
        <v>0.0</v>
      </c>
      <c r="R625" s="12">
        <v>0.0</v>
      </c>
      <c r="S625" s="12">
        <v>0.0</v>
      </c>
      <c r="T625" s="12">
        <v>0.0</v>
      </c>
      <c r="U625" s="12">
        <v>0.0</v>
      </c>
      <c r="V625" s="12">
        <v>0.0</v>
      </c>
      <c r="W625" s="12">
        <v>0.0</v>
      </c>
      <c r="X625" s="12">
        <v>0.0</v>
      </c>
      <c r="Y625" s="12">
        <v>0.0</v>
      </c>
      <c r="Z625" s="12">
        <v>0.0</v>
      </c>
      <c r="AA625" s="12">
        <v>0.0</v>
      </c>
      <c r="AB625" s="12">
        <v>0.0</v>
      </c>
      <c r="AC625" s="12">
        <v>0.0</v>
      </c>
      <c r="AD625" s="12">
        <v>0.0</v>
      </c>
      <c r="AE625" s="12">
        <v>0.0</v>
      </c>
      <c r="AF625" s="36"/>
      <c r="AG625" s="36"/>
      <c r="AH625" s="36"/>
      <c r="AI625" s="36"/>
      <c r="AJ625" s="36"/>
    </row>
    <row r="626" ht="15.75" customHeight="1">
      <c r="A626" s="12" t="s">
        <v>218</v>
      </c>
      <c r="B626" s="184">
        <f>IF(B624&lt;=PPT,0.47%,IF(OR(B624=PPT+1,B624=PPT+2,B624=PPT+3),0.1%,0))</f>
        <v>0.0047</v>
      </c>
      <c r="C626" s="184">
        <f>IF(C624&lt;=PPT,0.47%,IF(OR(C624=PPT+1,C624=PPT+2,C624=PPT+3),0.1%,0))</f>
        <v>0.0047</v>
      </c>
      <c r="D626" s="184">
        <f>IF(D624&lt;=PPT,0.47%,IF(OR(D624=PPT+1,D624=PPT+2,D624=PPT+3),0.1%,0))</f>
        <v>0.0047</v>
      </c>
      <c r="E626" s="184">
        <f>IF(E624&lt;=PPT,0.47%,IF(OR(E624=PPT+1,E624=PPT+2,E624=PPT+3),0.1%,0))</f>
        <v>0.0047</v>
      </c>
      <c r="F626" s="184">
        <f>IF(F624&lt;=PPT,0.47%,IF(OR(F624=PPT+1,F624=PPT+2,F624=PPT+3),0.1%,0))</f>
        <v>0.0047</v>
      </c>
      <c r="G626" s="184">
        <f>IF(G624&lt;=PPT,0.47%,IF(OR(G624=PPT+1,G624=PPT+2,G624=PPT+3),0.1%,0))</f>
        <v>0.0047</v>
      </c>
      <c r="H626" s="184">
        <f>IF(H624&lt;=PPT,0.47%,IF(OR(H624=PPT+1,H624=PPT+2,H624=PPT+3),0.1%,0))</f>
        <v>0.0047</v>
      </c>
      <c r="I626" s="184">
        <f>IF(I624&lt;=PPT,0.47%,IF(OR(I624=PPT+1,I624=PPT+2,I624=PPT+3),0.1%,0))</f>
        <v>0.0047</v>
      </c>
      <c r="J626" s="184">
        <f>IF(J624&lt;=PPT,0.47%,IF(OR(J624=PPT+1,J624=PPT+2,J624=PPT+3),0.1%,0))</f>
        <v>0.0047</v>
      </c>
      <c r="K626" s="184">
        <f>IF(K624&lt;=PPT,0.47%,IF(OR(K624=PPT+1,K624=PPT+2,K624=PPT+3),0.1%,0))</f>
        <v>0.0047</v>
      </c>
      <c r="L626" s="184">
        <f>IF(L624&lt;=PPT,0.47%,IF(OR(L624=PPT+1,L624=PPT+2,L624=PPT+3),0.1%,0))</f>
        <v>0.001</v>
      </c>
      <c r="M626" s="184">
        <f>IF(M624&lt;=PPT,0.47%,IF(OR(M624=PPT+1,M624=PPT+2,M624=PPT+3),0.1%,0))</f>
        <v>0.001</v>
      </c>
      <c r="N626" s="184">
        <f>IF(N624&lt;=PPT,0.47%,IF(OR(N624=PPT+1,N624=PPT+2,N624=PPT+3),0.1%,0))</f>
        <v>0.001</v>
      </c>
      <c r="O626" s="184">
        <f>IF(O624&lt;=PPT,0.47%,IF(OR(O624=PPT+1,O624=PPT+2,O624=PPT+3),0.1%,0))</f>
        <v>0</v>
      </c>
      <c r="P626" s="184">
        <f>IF(P624&lt;=PPT,0.47%,IF(OR(P624=PPT+1,P624=PPT+2,P624=PPT+3),0.1%,0))</f>
        <v>0</v>
      </c>
      <c r="Q626" s="184">
        <f>IF(Q624&lt;=PPT,0.47%,IF(OR(Q624=PPT+1,Q624=PPT+2,Q624=PPT+3),0.1%,0))</f>
        <v>0</v>
      </c>
      <c r="R626" s="184">
        <f>IF(R624&lt;=PPT,0.47%,IF(OR(R624=PPT+1,R624=PPT+2,R624=PPT+3),0.1%,0))</f>
        <v>0</v>
      </c>
      <c r="S626" s="184">
        <f>IF(S624&lt;=PPT,0.47%,IF(OR(S624=PPT+1,S624=PPT+2,S624=PPT+3),0.1%,0))</f>
        <v>0</v>
      </c>
      <c r="T626" s="184">
        <f>IF(T624&lt;=PPT,0.47%,IF(OR(T624=PPT+1,T624=PPT+2,T624=PPT+3),0.1%,0))</f>
        <v>0</v>
      </c>
      <c r="U626" s="184">
        <f>IF(U624&lt;=PPT,0.47%,IF(OR(U624=PPT+1,U624=PPT+2,U624=PPT+3),0.1%,0))</f>
        <v>0</v>
      </c>
      <c r="V626" s="184">
        <f>IF(V624&lt;=PPT,0.47%,IF(OR(V624=PPT+1,V624=PPT+2,V624=PPT+3),0.1%,0))</f>
        <v>0</v>
      </c>
      <c r="W626" s="184">
        <f>IF(W624&lt;=PPT,0.47%,IF(OR(W624=PPT+1,W624=PPT+2,W624=PPT+3),0.1%,0))</f>
        <v>0</v>
      </c>
      <c r="X626" s="184">
        <f>IF(X624&lt;=PPT,0.47%,IF(OR(X624=PPT+1,X624=PPT+2,X624=PPT+3),0.1%,0))</f>
        <v>0</v>
      </c>
      <c r="Y626" s="184">
        <f>IF(Y624&lt;=PPT,0.47%,IF(OR(Y624=PPT+1,Y624=PPT+2,Y624=PPT+3),0.1%,0))</f>
        <v>0</v>
      </c>
      <c r="Z626" s="184">
        <f>IF(Z624&lt;=PPT,0.47%,IF(OR(Z624=PPT+1,Z624=PPT+2,Z624=PPT+3),0.1%,0))</f>
        <v>0</v>
      </c>
      <c r="AA626" s="184">
        <f>IF(AA624&lt;=PPT,0.47%,IF(OR(AA624=PPT+1,AA624=PPT+2,AA624=PPT+3),0.1%,0))</f>
        <v>0</v>
      </c>
      <c r="AB626" s="184">
        <f>IF(AB624&lt;=PPT,0.47%,IF(OR(AB624=PPT+1,AB624=PPT+2,AB624=PPT+3),0.1%,0))</f>
        <v>0</v>
      </c>
      <c r="AC626" s="184">
        <f>IF(AC624&lt;=PPT,0.47%,IF(OR(AC624=PPT+1,AC624=PPT+2,AC624=PPT+3),0.1%,0))</f>
        <v>0</v>
      </c>
      <c r="AD626" s="184">
        <f>IF(AD624&lt;=PPT,0.47%,IF(OR(AD624=PPT+1,AD624=PPT+2,AD624=PPT+3),0.1%,0))</f>
        <v>0</v>
      </c>
      <c r="AE626" s="184">
        <f>IF(AE624&lt;=PPT,0.47%,IF(OR(AE624=PPT+1,AE624=PPT+2,AE624=PPT+3),0.1%,0))</f>
        <v>0</v>
      </c>
      <c r="AF626" s="36"/>
      <c r="AG626" s="36"/>
      <c r="AH626" s="36"/>
      <c r="AI626" s="36"/>
      <c r="AJ626" s="36"/>
    </row>
    <row r="627" ht="15.75" customHeight="1">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c r="AA627" s="36"/>
      <c r="AB627" s="36"/>
      <c r="AC627" s="36"/>
      <c r="AD627" s="36"/>
      <c r="AE627" s="36"/>
      <c r="AF627" s="36"/>
      <c r="AG627" s="36"/>
      <c r="AH627" s="36"/>
      <c r="AI627" s="36"/>
      <c r="AJ627" s="36"/>
    </row>
    <row r="628" ht="15.75" customHeight="1">
      <c r="A628" s="380" t="s">
        <v>1329</v>
      </c>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c r="AA628" s="36"/>
      <c r="AB628" s="36"/>
      <c r="AC628" s="36"/>
      <c r="AD628" s="36"/>
      <c r="AE628" s="36"/>
      <c r="AF628" s="36"/>
      <c r="AG628" s="36"/>
      <c r="AH628" s="36"/>
      <c r="AI628" s="36"/>
      <c r="AJ628" s="36"/>
    </row>
    <row r="629" ht="15.75" customHeight="1">
      <c r="A629" s="380"/>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c r="AA629" s="36"/>
      <c r="AB629" s="36"/>
      <c r="AC629" s="36"/>
      <c r="AD629" s="36"/>
      <c r="AE629" s="36"/>
      <c r="AF629" s="36"/>
      <c r="AG629" s="36"/>
      <c r="AH629" s="36"/>
      <c r="AI629" s="36"/>
      <c r="AJ629" s="36"/>
    </row>
    <row r="630" ht="15.75" customHeight="1">
      <c r="A630" s="36" t="s">
        <v>215</v>
      </c>
      <c r="B630" s="36">
        <v>1.0</v>
      </c>
      <c r="C630" s="36">
        <v>2.0</v>
      </c>
      <c r="D630" s="36">
        <v>3.0</v>
      </c>
      <c r="E630" s="36">
        <v>4.0</v>
      </c>
      <c r="F630" s="36">
        <v>5.0</v>
      </c>
      <c r="G630" s="36">
        <v>6.0</v>
      </c>
      <c r="H630" s="36">
        <v>7.0</v>
      </c>
      <c r="I630" s="36">
        <v>8.0</v>
      </c>
      <c r="J630" s="36">
        <v>9.0</v>
      </c>
      <c r="K630" s="36">
        <v>10.0</v>
      </c>
      <c r="L630" s="36">
        <v>11.0</v>
      </c>
      <c r="M630" s="36">
        <v>12.0</v>
      </c>
      <c r="N630" s="36">
        <v>13.0</v>
      </c>
      <c r="O630" s="36">
        <v>14.0</v>
      </c>
      <c r="P630" s="36">
        <v>15.0</v>
      </c>
      <c r="Q630" s="36">
        <v>16.0</v>
      </c>
      <c r="R630" s="36">
        <v>17.0</v>
      </c>
      <c r="S630" s="36">
        <v>18.0</v>
      </c>
      <c r="T630" s="36">
        <v>19.0</v>
      </c>
      <c r="U630" s="36">
        <v>20.0</v>
      </c>
      <c r="V630" s="36">
        <v>21.0</v>
      </c>
      <c r="W630" s="36">
        <v>22.0</v>
      </c>
      <c r="X630" s="36">
        <v>23.0</v>
      </c>
      <c r="Y630" s="36">
        <v>24.0</v>
      </c>
      <c r="Z630" s="36">
        <v>25.0</v>
      </c>
      <c r="AA630" s="36">
        <v>26.0</v>
      </c>
      <c r="AB630" s="36">
        <v>27.0</v>
      </c>
      <c r="AC630" s="36">
        <v>28.0</v>
      </c>
      <c r="AD630" s="36">
        <v>29.0</v>
      </c>
      <c r="AE630" s="36">
        <v>30.0</v>
      </c>
      <c r="AF630" s="36"/>
      <c r="AG630" s="36"/>
      <c r="AH630" s="36"/>
      <c r="AI630" s="36"/>
      <c r="AJ630" s="36"/>
    </row>
    <row r="631" ht="15.75" customHeight="1">
      <c r="A631" s="12" t="s">
        <v>217</v>
      </c>
      <c r="B631" s="36">
        <v>500.0</v>
      </c>
      <c r="C631" s="36">
        <v>500.0</v>
      </c>
      <c r="D631" s="36">
        <v>500.0</v>
      </c>
      <c r="E631" s="36">
        <v>500.0</v>
      </c>
      <c r="F631" s="36">
        <v>500.0</v>
      </c>
      <c r="G631" s="36">
        <v>0.0</v>
      </c>
      <c r="H631" s="36">
        <v>0.0</v>
      </c>
      <c r="I631" s="36">
        <v>0.0</v>
      </c>
      <c r="J631" s="36">
        <v>0.0</v>
      </c>
      <c r="K631" s="36">
        <v>0.0</v>
      </c>
      <c r="L631" s="36">
        <v>0.0</v>
      </c>
      <c r="M631" s="36">
        <v>0.0</v>
      </c>
      <c r="N631" s="36">
        <v>0.0</v>
      </c>
      <c r="O631" s="36">
        <v>0.0</v>
      </c>
      <c r="P631" s="36">
        <v>0.0</v>
      </c>
      <c r="Q631" s="36">
        <v>0.0</v>
      </c>
      <c r="R631" s="36">
        <v>0.0</v>
      </c>
      <c r="S631" s="36">
        <v>0.0</v>
      </c>
      <c r="T631" s="36">
        <v>0.0</v>
      </c>
      <c r="U631" s="36">
        <v>0.0</v>
      </c>
      <c r="V631" s="36">
        <v>0.0</v>
      </c>
      <c r="W631" s="36">
        <v>0.0</v>
      </c>
      <c r="X631" s="36">
        <v>0.0</v>
      </c>
      <c r="Y631" s="36">
        <v>0.0</v>
      </c>
      <c r="Z631" s="36">
        <v>0.0</v>
      </c>
      <c r="AA631" s="36">
        <v>0.0</v>
      </c>
      <c r="AB631" s="36">
        <v>0.0</v>
      </c>
      <c r="AC631" s="36">
        <v>0.0</v>
      </c>
      <c r="AD631" s="36">
        <v>0.0</v>
      </c>
      <c r="AE631" s="36">
        <v>0.0</v>
      </c>
      <c r="AF631" s="36"/>
      <c r="AG631" s="36"/>
      <c r="AH631" s="36"/>
      <c r="AI631" s="36"/>
      <c r="AJ631" s="36"/>
    </row>
    <row r="632" ht="15.75" customHeight="1">
      <c r="A632" s="12" t="s">
        <v>218</v>
      </c>
      <c r="B632" s="121">
        <v>0.0</v>
      </c>
      <c r="C632" s="121">
        <v>0.0</v>
      </c>
      <c r="D632" s="121">
        <v>0.0</v>
      </c>
      <c r="E632" s="121">
        <v>0.0</v>
      </c>
      <c r="F632" s="121">
        <v>0.0</v>
      </c>
      <c r="G632" s="121">
        <v>0.0</v>
      </c>
      <c r="H632" s="121">
        <v>0.0</v>
      </c>
      <c r="I632" s="121">
        <v>0.0</v>
      </c>
      <c r="J632" s="121">
        <v>0.0</v>
      </c>
      <c r="K632" s="121">
        <v>0.0</v>
      </c>
      <c r="L632" s="121">
        <v>0.0</v>
      </c>
      <c r="M632" s="121">
        <v>0.0</v>
      </c>
      <c r="N632" s="121">
        <v>0.0</v>
      </c>
      <c r="O632" s="121">
        <v>0.0</v>
      </c>
      <c r="P632" s="121">
        <v>0.0</v>
      </c>
      <c r="Q632" s="121">
        <v>0.0</v>
      </c>
      <c r="R632" s="121">
        <v>0.0</v>
      </c>
      <c r="S632" s="121">
        <v>0.0</v>
      </c>
      <c r="T632" s="121">
        <v>0.0</v>
      </c>
      <c r="U632" s="121">
        <v>0.0</v>
      </c>
      <c r="V632" s="121">
        <v>0.0</v>
      </c>
      <c r="W632" s="121">
        <v>0.0</v>
      </c>
      <c r="X632" s="121">
        <v>0.0</v>
      </c>
      <c r="Y632" s="121">
        <v>0.0</v>
      </c>
      <c r="Z632" s="121">
        <v>0.0</v>
      </c>
      <c r="AA632" s="121">
        <v>0.0</v>
      </c>
      <c r="AB632" s="121">
        <v>0.0</v>
      </c>
      <c r="AC632" s="121">
        <v>0.0</v>
      </c>
      <c r="AD632" s="121">
        <v>0.0</v>
      </c>
      <c r="AE632" s="121">
        <v>0.0</v>
      </c>
      <c r="AF632" s="36"/>
      <c r="AG632" s="36"/>
      <c r="AH632" s="36"/>
      <c r="AI632" s="36"/>
      <c r="AJ632" s="36"/>
    </row>
    <row r="633" ht="15.75" customHeight="1">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c r="AA633" s="36"/>
      <c r="AB633" s="36"/>
      <c r="AC633" s="36"/>
      <c r="AD633" s="36"/>
      <c r="AE633" s="36"/>
      <c r="AF633" s="36"/>
      <c r="AG633" s="36"/>
      <c r="AH633" s="36"/>
      <c r="AI633" s="36"/>
      <c r="AJ633" s="36"/>
    </row>
    <row r="634" ht="15.75" customHeight="1">
      <c r="A634" s="380" t="s">
        <v>1324</v>
      </c>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c r="AA634" s="36"/>
      <c r="AB634" s="36"/>
      <c r="AC634" s="36"/>
      <c r="AD634" s="36"/>
      <c r="AE634" s="36"/>
      <c r="AF634" s="36"/>
      <c r="AG634" s="36"/>
      <c r="AH634" s="36"/>
      <c r="AI634" s="36"/>
      <c r="AJ634" s="36"/>
    </row>
    <row r="635" ht="15.75" customHeight="1">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c r="AA635" s="36"/>
      <c r="AB635" s="36"/>
      <c r="AC635" s="36"/>
      <c r="AD635" s="36"/>
      <c r="AE635" s="36"/>
      <c r="AF635" s="36"/>
      <c r="AG635" s="36"/>
      <c r="AH635" s="36"/>
      <c r="AI635" s="36"/>
      <c r="AJ635" s="36"/>
    </row>
    <row r="636" ht="15.75" customHeight="1">
      <c r="A636" s="36" t="s">
        <v>215</v>
      </c>
      <c r="B636" s="36">
        <v>1.0</v>
      </c>
      <c r="C636" s="36">
        <v>2.0</v>
      </c>
      <c r="D636" s="36">
        <v>3.0</v>
      </c>
      <c r="E636" s="36">
        <v>4.0</v>
      </c>
      <c r="F636" s="36">
        <v>5.0</v>
      </c>
      <c r="G636" s="36">
        <v>6.0</v>
      </c>
      <c r="H636" s="36">
        <v>7.0</v>
      </c>
      <c r="I636" s="36">
        <v>8.0</v>
      </c>
      <c r="J636" s="36">
        <v>9.0</v>
      </c>
      <c r="K636" s="36">
        <v>10.0</v>
      </c>
      <c r="L636" s="36">
        <v>11.0</v>
      </c>
      <c r="M636" s="36">
        <v>12.0</v>
      </c>
      <c r="N636" s="36">
        <v>13.0</v>
      </c>
      <c r="O636" s="36">
        <v>14.0</v>
      </c>
      <c r="P636" s="36">
        <v>15.0</v>
      </c>
      <c r="Q636" s="36">
        <v>16.0</v>
      </c>
      <c r="R636" s="36">
        <v>17.0</v>
      </c>
      <c r="S636" s="36">
        <v>18.0</v>
      </c>
      <c r="T636" s="36">
        <v>19.0</v>
      </c>
      <c r="U636" s="36">
        <v>20.0</v>
      </c>
      <c r="V636" s="36">
        <v>21.0</v>
      </c>
      <c r="W636" s="36">
        <v>22.0</v>
      </c>
      <c r="X636" s="36">
        <v>23.0</v>
      </c>
      <c r="Y636" s="36">
        <v>24.0</v>
      </c>
      <c r="Z636" s="36">
        <v>25.0</v>
      </c>
      <c r="AA636" s="36">
        <v>26.0</v>
      </c>
      <c r="AB636" s="36">
        <v>27.0</v>
      </c>
      <c r="AC636" s="36">
        <v>28.0</v>
      </c>
      <c r="AD636" s="36">
        <v>29.0</v>
      </c>
      <c r="AE636" s="36">
        <v>30.0</v>
      </c>
      <c r="AF636" s="36"/>
      <c r="AG636" s="36"/>
      <c r="AH636" s="36"/>
      <c r="AI636" s="36"/>
      <c r="AJ636" s="36"/>
    </row>
    <row r="637" ht="15.75" customHeight="1">
      <c r="A637" s="12" t="s">
        <v>217</v>
      </c>
      <c r="B637" s="36">
        <v>500.0</v>
      </c>
      <c r="C637" s="36">
        <v>500.0</v>
      </c>
      <c r="D637" s="36">
        <v>500.0</v>
      </c>
      <c r="E637" s="36">
        <v>500.0</v>
      </c>
      <c r="F637" s="36">
        <v>500.0</v>
      </c>
      <c r="G637" s="36">
        <v>0.0</v>
      </c>
      <c r="H637" s="36">
        <v>0.0</v>
      </c>
      <c r="I637" s="36">
        <v>0.0</v>
      </c>
      <c r="J637" s="36">
        <v>0.0</v>
      </c>
      <c r="K637" s="36">
        <v>0.0</v>
      </c>
      <c r="L637" s="36">
        <v>0.0</v>
      </c>
      <c r="M637" s="36">
        <v>0.0</v>
      </c>
      <c r="N637" s="36">
        <v>0.0</v>
      </c>
      <c r="O637" s="36">
        <v>0.0</v>
      </c>
      <c r="P637" s="36">
        <v>0.0</v>
      </c>
      <c r="Q637" s="36">
        <v>0.0</v>
      </c>
      <c r="R637" s="36">
        <v>0.0</v>
      </c>
      <c r="S637" s="36">
        <v>0.0</v>
      </c>
      <c r="T637" s="36">
        <v>0.0</v>
      </c>
      <c r="U637" s="36">
        <v>0.0</v>
      </c>
      <c r="V637" s="36">
        <v>0.0</v>
      </c>
      <c r="W637" s="36">
        <v>0.0</v>
      </c>
      <c r="X637" s="36">
        <v>0.0</v>
      </c>
      <c r="Y637" s="36">
        <v>0.0</v>
      </c>
      <c r="Z637" s="36">
        <v>0.0</v>
      </c>
      <c r="AA637" s="36">
        <v>0.0</v>
      </c>
      <c r="AB637" s="36">
        <v>0.0</v>
      </c>
      <c r="AC637" s="36">
        <v>0.0</v>
      </c>
      <c r="AD637" s="36">
        <v>0.0</v>
      </c>
      <c r="AE637" s="36">
        <v>0.0</v>
      </c>
      <c r="AF637" s="36"/>
      <c r="AG637" s="36"/>
      <c r="AH637" s="36"/>
      <c r="AI637" s="36"/>
      <c r="AJ637" s="36"/>
    </row>
    <row r="638" ht="15.75" customHeight="1">
      <c r="A638" s="12" t="s">
        <v>218</v>
      </c>
      <c r="B638" s="121">
        <v>0.0</v>
      </c>
      <c r="C638" s="121">
        <v>0.0</v>
      </c>
      <c r="D638" s="121">
        <v>0.0</v>
      </c>
      <c r="E638" s="121">
        <v>0.0</v>
      </c>
      <c r="F638" s="121">
        <v>0.0</v>
      </c>
      <c r="G638" s="121">
        <v>0.0</v>
      </c>
      <c r="H638" s="121">
        <v>0.0</v>
      </c>
      <c r="I638" s="121">
        <v>0.0</v>
      </c>
      <c r="J638" s="121">
        <v>0.0</v>
      </c>
      <c r="K638" s="121">
        <v>0.0</v>
      </c>
      <c r="L638" s="121">
        <v>0.0</v>
      </c>
      <c r="M638" s="121">
        <v>0.0</v>
      </c>
      <c r="N638" s="121">
        <v>0.0</v>
      </c>
      <c r="O638" s="121">
        <v>0.0</v>
      </c>
      <c r="P638" s="121">
        <v>0.0</v>
      </c>
      <c r="Q638" s="121">
        <v>0.0</v>
      </c>
      <c r="R638" s="121">
        <v>0.0</v>
      </c>
      <c r="S638" s="121">
        <v>0.0</v>
      </c>
      <c r="T638" s="121">
        <v>0.0</v>
      </c>
      <c r="U638" s="121">
        <v>0.0</v>
      </c>
      <c r="V638" s="121">
        <v>0.0</v>
      </c>
      <c r="W638" s="121">
        <v>0.0</v>
      </c>
      <c r="X638" s="121">
        <v>0.0</v>
      </c>
      <c r="Y638" s="121">
        <v>0.0</v>
      </c>
      <c r="Z638" s="121">
        <v>0.0</v>
      </c>
      <c r="AA638" s="121">
        <v>0.0</v>
      </c>
      <c r="AB638" s="121">
        <v>0.0</v>
      </c>
      <c r="AC638" s="121">
        <v>0.0</v>
      </c>
      <c r="AD638" s="121">
        <v>0.0</v>
      </c>
      <c r="AE638" s="121">
        <v>0.0</v>
      </c>
      <c r="AF638" s="36"/>
      <c r="AG638" s="36"/>
      <c r="AH638" s="36"/>
      <c r="AI638" s="36"/>
      <c r="AJ638" s="36"/>
    </row>
    <row r="639" ht="15.75" customHeight="1">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c r="AA639" s="36"/>
      <c r="AB639" s="36"/>
      <c r="AC639" s="36"/>
      <c r="AD639" s="36"/>
      <c r="AE639" s="36"/>
      <c r="AF639" s="36"/>
      <c r="AG639" s="36"/>
      <c r="AH639" s="36"/>
      <c r="AI639" s="36"/>
      <c r="AJ639" s="36"/>
    </row>
    <row r="640" ht="15.75" customHeight="1">
      <c r="A640" s="380" t="s">
        <v>1320</v>
      </c>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c r="AA640" s="36"/>
      <c r="AB640" s="36"/>
      <c r="AC640" s="36"/>
      <c r="AD640" s="36"/>
      <c r="AE640" s="36"/>
      <c r="AF640" s="36"/>
      <c r="AG640" s="36"/>
      <c r="AH640" s="36"/>
      <c r="AI640" s="36"/>
      <c r="AJ640" s="36"/>
    </row>
    <row r="641" ht="15.75" customHeight="1">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c r="AA641" s="36"/>
      <c r="AB641" s="36"/>
      <c r="AC641" s="36"/>
      <c r="AD641" s="36"/>
      <c r="AE641" s="36"/>
      <c r="AF641" s="36"/>
      <c r="AG641" s="36"/>
      <c r="AH641" s="36"/>
      <c r="AI641" s="36"/>
      <c r="AJ641" s="36"/>
    </row>
    <row r="642" ht="15.75" customHeight="1">
      <c r="A642" s="36" t="s">
        <v>215</v>
      </c>
      <c r="B642" s="36">
        <v>1.0</v>
      </c>
      <c r="C642" s="36">
        <v>2.0</v>
      </c>
      <c r="D642" s="36">
        <v>3.0</v>
      </c>
      <c r="E642" s="36">
        <v>4.0</v>
      </c>
      <c r="F642" s="36">
        <v>5.0</v>
      </c>
      <c r="G642" s="36">
        <v>6.0</v>
      </c>
      <c r="H642" s="36">
        <v>7.0</v>
      </c>
      <c r="I642" s="36">
        <v>8.0</v>
      </c>
      <c r="J642" s="36">
        <v>9.0</v>
      </c>
      <c r="K642" s="36">
        <v>10.0</v>
      </c>
      <c r="L642" s="36">
        <v>11.0</v>
      </c>
      <c r="M642" s="36">
        <v>12.0</v>
      </c>
      <c r="N642" s="36">
        <v>13.0</v>
      </c>
      <c r="O642" s="36">
        <v>14.0</v>
      </c>
      <c r="P642" s="36">
        <v>15.0</v>
      </c>
      <c r="Q642" s="36">
        <v>16.0</v>
      </c>
      <c r="R642" s="36">
        <v>17.0</v>
      </c>
      <c r="S642" s="36">
        <v>18.0</v>
      </c>
      <c r="T642" s="36">
        <v>19.0</v>
      </c>
      <c r="U642" s="36">
        <v>20.0</v>
      </c>
      <c r="V642" s="36">
        <v>21.0</v>
      </c>
      <c r="W642" s="36">
        <v>22.0</v>
      </c>
      <c r="X642" s="36">
        <v>23.0</v>
      </c>
      <c r="Y642" s="36">
        <v>24.0</v>
      </c>
      <c r="Z642" s="36">
        <v>25.0</v>
      </c>
      <c r="AA642" s="36">
        <v>26.0</v>
      </c>
      <c r="AB642" s="36">
        <v>27.0</v>
      </c>
      <c r="AC642" s="36">
        <v>28.0</v>
      </c>
      <c r="AD642" s="36">
        <v>29.0</v>
      </c>
      <c r="AE642" s="36">
        <v>30.0</v>
      </c>
      <c r="AF642" s="36"/>
      <c r="AG642" s="36"/>
      <c r="AH642" s="36"/>
      <c r="AI642" s="36"/>
      <c r="AJ642" s="36"/>
    </row>
    <row r="643" ht="15.75" customHeight="1">
      <c r="A643" s="12" t="s">
        <v>217</v>
      </c>
      <c r="B643" s="12">
        <v>0.0</v>
      </c>
      <c r="C643" s="12">
        <v>0.0</v>
      </c>
      <c r="D643" s="12">
        <v>0.0</v>
      </c>
      <c r="E643" s="12">
        <v>0.0</v>
      </c>
      <c r="F643" s="12">
        <v>0.0</v>
      </c>
      <c r="G643" s="12">
        <v>0.0</v>
      </c>
      <c r="H643" s="12">
        <v>0.0</v>
      </c>
      <c r="I643" s="12">
        <v>0.0</v>
      </c>
      <c r="J643" s="12">
        <v>0.0</v>
      </c>
      <c r="K643" s="12">
        <v>0.0</v>
      </c>
      <c r="L643" s="12">
        <v>0.0</v>
      </c>
      <c r="M643" s="12">
        <v>0.0</v>
      </c>
      <c r="N643" s="12">
        <v>0.0</v>
      </c>
      <c r="O643" s="12">
        <v>0.0</v>
      </c>
      <c r="P643" s="12">
        <v>0.0</v>
      </c>
      <c r="Q643" s="12">
        <v>0.0</v>
      </c>
      <c r="R643" s="12">
        <v>0.0</v>
      </c>
      <c r="S643" s="12">
        <v>0.0</v>
      </c>
      <c r="T643" s="12">
        <v>0.0</v>
      </c>
      <c r="U643" s="12">
        <v>0.0</v>
      </c>
      <c r="V643" s="12">
        <v>0.0</v>
      </c>
      <c r="W643" s="12">
        <v>0.0</v>
      </c>
      <c r="X643" s="12">
        <v>0.0</v>
      </c>
      <c r="Y643" s="12">
        <v>0.0</v>
      </c>
      <c r="Z643" s="12">
        <v>0.0</v>
      </c>
      <c r="AA643" s="12">
        <v>0.0</v>
      </c>
      <c r="AB643" s="12">
        <v>0.0</v>
      </c>
      <c r="AC643" s="12">
        <v>0.0</v>
      </c>
      <c r="AD643" s="12">
        <v>0.0</v>
      </c>
      <c r="AE643" s="12">
        <v>0.0</v>
      </c>
      <c r="AF643" s="36"/>
      <c r="AG643" s="36"/>
      <c r="AH643" s="36"/>
      <c r="AI643" s="36"/>
      <c r="AJ643" s="36"/>
    </row>
    <row r="644" ht="15.75" customHeight="1">
      <c r="A644" s="12" t="s">
        <v>218</v>
      </c>
      <c r="B644" s="184">
        <f>IF(B642&lt;=PPT,0.47%,IF(AND(B642&gt;PPT,B642&lt;=PT),0.1%,0))</f>
        <v>0.0047</v>
      </c>
      <c r="C644" s="184">
        <f>IF(C642&lt;=PPT,0.47%,IF(AND(C642&gt;PPT,C642&lt;=PT),0.1%,0))</f>
        <v>0.0047</v>
      </c>
      <c r="D644" s="184">
        <f>IF(D642&lt;=PPT,0.47%,IF(AND(D642&gt;PPT,D642&lt;=PT),0.1%,0))</f>
        <v>0.0047</v>
      </c>
      <c r="E644" s="184">
        <f>IF(E642&lt;=PPT,0.47%,IF(AND(E642&gt;PPT,E642&lt;=PT),0.1%,0))</f>
        <v>0.0047</v>
      </c>
      <c r="F644" s="184">
        <f>IF(F642&lt;=PPT,0.47%,IF(AND(F642&gt;PPT,F642&lt;=PT),0.1%,0))</f>
        <v>0.0047</v>
      </c>
      <c r="G644" s="184">
        <f>IF(G642&lt;=PPT,0.47%,IF(AND(G642&gt;PPT,G642&lt;=PT),0.1%,0))</f>
        <v>0.0047</v>
      </c>
      <c r="H644" s="184">
        <f>IF(H642&lt;=PPT,0.47%,IF(AND(H642&gt;PPT,H642&lt;=PT),0.1%,0))</f>
        <v>0.0047</v>
      </c>
      <c r="I644" s="184">
        <f>IF(I642&lt;=PPT,0.47%,IF(AND(I642&gt;PPT,I642&lt;=PT),0.1%,0))</f>
        <v>0.0047</v>
      </c>
      <c r="J644" s="184">
        <f>IF(J642&lt;=PPT,0.47%,IF(AND(J642&gt;PPT,J642&lt;=PT),0.1%,0))</f>
        <v>0.0047</v>
      </c>
      <c r="K644" s="184">
        <f>IF(K642&lt;=PPT,0.47%,IF(AND(K642&gt;PPT,K642&lt;=PT),0.1%,0))</f>
        <v>0.0047</v>
      </c>
      <c r="L644" s="184">
        <f>IF(L642&lt;=PPT,0.47%,IF(AND(L642&gt;PPT,L642&lt;=PT),0.1%,0))</f>
        <v>0</v>
      </c>
      <c r="M644" s="184">
        <f>IF(M642&lt;=PPT,0.47%,IF(AND(M642&gt;PPT,M642&lt;=PT),0.1%,0))</f>
        <v>0</v>
      </c>
      <c r="N644" s="184">
        <f>IF(N642&lt;=PPT,0.47%,IF(AND(N642&gt;PPT,N642&lt;=PT),0.1%,0))</f>
        <v>0</v>
      </c>
      <c r="O644" s="184">
        <f>IF(O642&lt;=PPT,0.47%,IF(AND(O642&gt;PPT,O642&lt;=PT),0.1%,0))</f>
        <v>0</v>
      </c>
      <c r="P644" s="184">
        <f>IF(P642&lt;=PPT,0.47%,IF(AND(P642&gt;PPT,P642&lt;=PT),0.1%,0))</f>
        <v>0</v>
      </c>
      <c r="Q644" s="184">
        <f>IF(Q642&lt;=PPT,0.47%,IF(AND(Q642&gt;PPT,Q642&lt;=PT),0.1%,0))</f>
        <v>0</v>
      </c>
      <c r="R644" s="184">
        <f>IF(R642&lt;=PPT,0.47%,IF(AND(R642&gt;PPT,R642&lt;=PT),0.1%,0))</f>
        <v>0</v>
      </c>
      <c r="S644" s="184">
        <f>IF(S642&lt;=PPT,0.47%,IF(AND(S642&gt;PPT,S642&lt;=PT),0.1%,0))</f>
        <v>0</v>
      </c>
      <c r="T644" s="184">
        <f>IF(T642&lt;=PPT,0.47%,IF(AND(T642&gt;PPT,T642&lt;=PT),0.1%,0))</f>
        <v>0</v>
      </c>
      <c r="U644" s="184">
        <f>IF(U642&lt;=PPT,0.47%,IF(AND(U642&gt;PPT,U642&lt;=PT),0.1%,0))</f>
        <v>0</v>
      </c>
      <c r="V644" s="184">
        <f>IF(V642&lt;=PPT,0.47%,IF(AND(V642&gt;PPT,V642&lt;=PT),0.1%,0))</f>
        <v>0</v>
      </c>
      <c r="W644" s="184">
        <f>IF(W642&lt;=PPT,0.47%,IF(AND(W642&gt;PPT,W642&lt;=PT),0.1%,0))</f>
        <v>0</v>
      </c>
      <c r="X644" s="184">
        <f>IF(X642&lt;=PPT,0.47%,IF(AND(X642&gt;PPT,X642&lt;=PT),0.1%,0))</f>
        <v>0</v>
      </c>
      <c r="Y644" s="184">
        <f>IF(Y642&lt;=PPT,0.47%,IF(AND(Y642&gt;PPT,Y642&lt;=PT),0.1%,0))</f>
        <v>0</v>
      </c>
      <c r="Z644" s="184">
        <f>IF(Z642&lt;=PPT,0.47%,IF(AND(Z642&gt;PPT,Z642&lt;=PT),0.1%,0))</f>
        <v>0</v>
      </c>
      <c r="AA644" s="184">
        <f>IF(AA642&lt;=PPT,0.47%,IF(AND(AA642&gt;PPT,AA642&lt;=PT),0.1%,0))</f>
        <v>0</v>
      </c>
      <c r="AB644" s="184">
        <f>IF(AB642&lt;=PPT,0.47%,IF(AND(AB642&gt;PPT,AB642&lt;=PT),0.1%,0))</f>
        <v>0</v>
      </c>
      <c r="AC644" s="184">
        <f>IF(AC642&lt;=PPT,0.47%,IF(AND(AC642&gt;PPT,AC642&lt;=PT),0.1%,0))</f>
        <v>0</v>
      </c>
      <c r="AD644" s="184">
        <f>IF(AD642&lt;=PPT,0.47%,IF(AND(AD642&gt;PPT,AD642&lt;=PT),0.1%,0))</f>
        <v>0</v>
      </c>
      <c r="AE644" s="184">
        <f>IF(AE642&lt;=PPT,0.47%,IF(AND(AE642&gt;PPT,AE642&lt;=PT),0.1%,0))</f>
        <v>0</v>
      </c>
      <c r="AF644" s="36"/>
      <c r="AG644" s="36"/>
      <c r="AH644" s="36"/>
      <c r="AI644" s="36"/>
      <c r="AJ644" s="36"/>
    </row>
    <row r="645" ht="15.75" customHeight="1">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c r="AA645" s="36"/>
      <c r="AB645" s="36"/>
      <c r="AC645" s="36"/>
      <c r="AD645" s="36"/>
      <c r="AE645" s="36"/>
      <c r="AF645" s="36"/>
      <c r="AG645" s="36"/>
      <c r="AH645" s="36"/>
      <c r="AI645" s="36"/>
      <c r="AJ645" s="36"/>
    </row>
    <row r="646" ht="15.75" customHeight="1">
      <c r="A646" s="380" t="s">
        <v>1314</v>
      </c>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c r="AA646" s="36"/>
      <c r="AB646" s="36"/>
      <c r="AC646" s="36"/>
      <c r="AD646" s="36"/>
      <c r="AE646" s="36"/>
      <c r="AF646" s="36"/>
      <c r="AG646" s="36"/>
      <c r="AH646" s="36"/>
      <c r="AI646" s="36"/>
      <c r="AJ646" s="36"/>
    </row>
    <row r="647" ht="15.75" customHeight="1">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c r="AA647" s="36"/>
      <c r="AB647" s="36"/>
      <c r="AC647" s="36"/>
      <c r="AD647" s="36"/>
      <c r="AE647" s="36"/>
      <c r="AF647" s="36"/>
      <c r="AG647" s="36"/>
      <c r="AH647" s="36"/>
      <c r="AI647" s="36"/>
      <c r="AJ647" s="36"/>
    </row>
    <row r="648" ht="15.75" customHeight="1">
      <c r="A648" s="36" t="s">
        <v>215</v>
      </c>
      <c r="B648" s="36">
        <v>1.0</v>
      </c>
      <c r="C648" s="36">
        <v>2.0</v>
      </c>
      <c r="D648" s="36">
        <v>3.0</v>
      </c>
      <c r="E648" s="36">
        <v>4.0</v>
      </c>
      <c r="F648" s="36">
        <v>5.0</v>
      </c>
      <c r="G648" s="36">
        <v>6.0</v>
      </c>
      <c r="H648" s="36">
        <v>7.0</v>
      </c>
      <c r="I648" s="36">
        <v>8.0</v>
      </c>
      <c r="J648" s="36">
        <v>9.0</v>
      </c>
      <c r="K648" s="36">
        <v>10.0</v>
      </c>
      <c r="L648" s="36">
        <v>11.0</v>
      </c>
      <c r="M648" s="36">
        <v>12.0</v>
      </c>
      <c r="N648" s="36">
        <v>13.0</v>
      </c>
      <c r="O648" s="36">
        <v>14.0</v>
      </c>
      <c r="P648" s="36">
        <v>15.0</v>
      </c>
      <c r="Q648" s="36">
        <v>16.0</v>
      </c>
      <c r="R648" s="36">
        <v>17.0</v>
      </c>
      <c r="S648" s="36">
        <v>18.0</v>
      </c>
      <c r="T648" s="36">
        <v>19.0</v>
      </c>
      <c r="U648" s="36">
        <v>20.0</v>
      </c>
      <c r="V648" s="36">
        <v>21.0</v>
      </c>
      <c r="W648" s="36">
        <v>22.0</v>
      </c>
      <c r="X648" s="36">
        <v>23.0</v>
      </c>
      <c r="Y648" s="36">
        <v>24.0</v>
      </c>
      <c r="Z648" s="36">
        <v>25.0</v>
      </c>
      <c r="AA648" s="36">
        <v>26.0</v>
      </c>
      <c r="AB648" s="36">
        <v>27.0</v>
      </c>
      <c r="AC648" s="36">
        <v>28.0</v>
      </c>
      <c r="AD648" s="36">
        <v>29.0</v>
      </c>
      <c r="AE648" s="36">
        <v>30.0</v>
      </c>
      <c r="AF648" s="36"/>
      <c r="AG648" s="36"/>
      <c r="AH648" s="36"/>
      <c r="AI648" s="36"/>
      <c r="AJ648" s="36"/>
    </row>
    <row r="649" ht="15.75" customHeight="1">
      <c r="A649" s="12" t="s">
        <v>217</v>
      </c>
      <c r="B649" s="12">
        <v>0.0</v>
      </c>
      <c r="C649" s="12">
        <v>0.0</v>
      </c>
      <c r="D649" s="12">
        <v>0.0</v>
      </c>
      <c r="E649" s="12">
        <v>0.0</v>
      </c>
      <c r="F649" s="12">
        <v>0.0</v>
      </c>
      <c r="G649" s="12">
        <v>0.0</v>
      </c>
      <c r="H649" s="12">
        <v>0.0</v>
      </c>
      <c r="I649" s="12">
        <v>0.0</v>
      </c>
      <c r="J649" s="12">
        <v>0.0</v>
      </c>
      <c r="K649" s="12">
        <v>0.0</v>
      </c>
      <c r="L649" s="12">
        <v>0.0</v>
      </c>
      <c r="M649" s="12">
        <v>0.0</v>
      </c>
      <c r="N649" s="12">
        <v>0.0</v>
      </c>
      <c r="O649" s="12">
        <v>0.0</v>
      </c>
      <c r="P649" s="12">
        <v>0.0</v>
      </c>
      <c r="Q649" s="12">
        <v>0.0</v>
      </c>
      <c r="R649" s="12">
        <v>0.0</v>
      </c>
      <c r="S649" s="12">
        <v>0.0</v>
      </c>
      <c r="T649" s="12">
        <v>0.0</v>
      </c>
      <c r="U649" s="12">
        <v>0.0</v>
      </c>
      <c r="V649" s="12">
        <v>0.0</v>
      </c>
      <c r="W649" s="12">
        <v>0.0</v>
      </c>
      <c r="X649" s="12">
        <v>0.0</v>
      </c>
      <c r="Y649" s="12">
        <v>0.0</v>
      </c>
      <c r="Z649" s="12">
        <v>0.0</v>
      </c>
      <c r="AA649" s="12">
        <v>0.0</v>
      </c>
      <c r="AB649" s="12">
        <v>0.0</v>
      </c>
      <c r="AC649" s="12">
        <v>0.0</v>
      </c>
      <c r="AD649" s="12">
        <v>0.0</v>
      </c>
      <c r="AE649" s="12">
        <v>0.0</v>
      </c>
      <c r="AF649" s="36"/>
      <c r="AG649" s="36"/>
      <c r="AH649" s="36"/>
      <c r="AI649" s="36"/>
      <c r="AJ649" s="36"/>
    </row>
    <row r="650" ht="15.75" customHeight="1">
      <c r="A650" s="12" t="s">
        <v>218</v>
      </c>
      <c r="B650" s="194">
        <v>0.0025</v>
      </c>
      <c r="C650" s="194">
        <v>0.0025</v>
      </c>
      <c r="D650" s="194">
        <v>0.0025</v>
      </c>
      <c r="E650" s="194">
        <v>0.0025</v>
      </c>
      <c r="F650" s="194">
        <v>0.0025</v>
      </c>
      <c r="G650" s="194">
        <v>0.001</v>
      </c>
      <c r="H650" s="194">
        <v>0.001</v>
      </c>
      <c r="I650" s="194">
        <v>0.001</v>
      </c>
      <c r="J650" s="194">
        <v>0.001</v>
      </c>
      <c r="K650" s="194">
        <v>0.001</v>
      </c>
      <c r="L650" s="12">
        <v>0.0</v>
      </c>
      <c r="M650" s="12">
        <v>0.0</v>
      </c>
      <c r="N650" s="12">
        <v>0.0</v>
      </c>
      <c r="O650" s="12">
        <v>0.0</v>
      </c>
      <c r="P650" s="12">
        <v>0.0</v>
      </c>
      <c r="Q650" s="12">
        <v>0.0</v>
      </c>
      <c r="R650" s="12">
        <v>0.0</v>
      </c>
      <c r="S650" s="12">
        <v>0.0</v>
      </c>
      <c r="T650" s="12">
        <v>0.0</v>
      </c>
      <c r="U650" s="12">
        <v>0.0</v>
      </c>
      <c r="V650" s="12">
        <v>0.0</v>
      </c>
      <c r="W650" s="12">
        <v>0.0</v>
      </c>
      <c r="X650" s="12">
        <v>0.0</v>
      </c>
      <c r="Y650" s="12">
        <v>0.0</v>
      </c>
      <c r="Z650" s="12">
        <v>0.0</v>
      </c>
      <c r="AA650" s="12">
        <v>0.0</v>
      </c>
      <c r="AB650" s="12">
        <v>0.0</v>
      </c>
      <c r="AC650" s="12">
        <v>0.0</v>
      </c>
      <c r="AD650" s="12">
        <v>0.0</v>
      </c>
      <c r="AE650" s="12">
        <v>0.0</v>
      </c>
      <c r="AF650" s="36"/>
      <c r="AG650" s="36"/>
      <c r="AH650" s="36"/>
      <c r="AI650" s="36"/>
      <c r="AJ650" s="36"/>
    </row>
    <row r="651" ht="15.75" customHeight="1">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c r="AA651" s="36"/>
      <c r="AB651" s="36"/>
      <c r="AC651" s="36"/>
      <c r="AD651" s="36"/>
      <c r="AE651" s="36"/>
      <c r="AF651" s="36"/>
      <c r="AG651" s="36"/>
      <c r="AH651" s="36"/>
      <c r="AI651" s="36"/>
      <c r="AJ651" s="36"/>
    </row>
    <row r="652" ht="15.75" customHeight="1">
      <c r="A652" s="380" t="s">
        <v>1305</v>
      </c>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c r="AA652" s="36"/>
      <c r="AB652" s="36"/>
      <c r="AC652" s="36"/>
      <c r="AD652" s="36"/>
      <c r="AE652" s="36"/>
      <c r="AF652" s="36"/>
      <c r="AG652" s="36"/>
      <c r="AH652" s="36"/>
      <c r="AI652" s="36"/>
      <c r="AJ652" s="36"/>
    </row>
    <row r="653" ht="15.75" customHeight="1">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c r="AA653" s="36"/>
      <c r="AB653" s="36"/>
      <c r="AC653" s="36"/>
      <c r="AD653" s="36"/>
      <c r="AE653" s="36"/>
      <c r="AF653" s="36"/>
      <c r="AG653" s="36"/>
      <c r="AH653" s="36"/>
      <c r="AI653" s="36"/>
      <c r="AJ653" s="36"/>
    </row>
    <row r="654" ht="15.75" customHeight="1">
      <c r="A654" s="36" t="s">
        <v>215</v>
      </c>
      <c r="B654" s="36">
        <v>1.0</v>
      </c>
      <c r="C654" s="36">
        <v>2.0</v>
      </c>
      <c r="D654" s="36">
        <v>3.0</v>
      </c>
      <c r="E654" s="36">
        <v>4.0</v>
      </c>
      <c r="F654" s="36">
        <v>5.0</v>
      </c>
      <c r="G654" s="36">
        <v>6.0</v>
      </c>
      <c r="H654" s="36">
        <v>7.0</v>
      </c>
      <c r="I654" s="36">
        <v>8.0</v>
      </c>
      <c r="J654" s="36">
        <v>9.0</v>
      </c>
      <c r="K654" s="36">
        <v>10.0</v>
      </c>
      <c r="L654" s="36">
        <v>11.0</v>
      </c>
      <c r="M654" s="36">
        <v>12.0</v>
      </c>
      <c r="N654" s="36">
        <v>13.0</v>
      </c>
      <c r="O654" s="36">
        <v>14.0</v>
      </c>
      <c r="P654" s="36">
        <v>15.0</v>
      </c>
      <c r="Q654" s="36">
        <v>16.0</v>
      </c>
      <c r="R654" s="36">
        <v>17.0</v>
      </c>
      <c r="S654" s="36">
        <v>18.0</v>
      </c>
      <c r="T654" s="36">
        <v>19.0</v>
      </c>
      <c r="U654" s="36">
        <v>20.0</v>
      </c>
      <c r="V654" s="36">
        <v>21.0</v>
      </c>
      <c r="W654" s="36">
        <v>22.0</v>
      </c>
      <c r="X654" s="36">
        <v>23.0</v>
      </c>
      <c r="Y654" s="36">
        <v>24.0</v>
      </c>
      <c r="Z654" s="36">
        <v>25.0</v>
      </c>
      <c r="AA654" s="36">
        <v>26.0</v>
      </c>
      <c r="AB654" s="36">
        <v>27.0</v>
      </c>
      <c r="AC654" s="36">
        <v>28.0</v>
      </c>
      <c r="AD654" s="36">
        <v>29.0</v>
      </c>
      <c r="AE654" s="36">
        <v>30.0</v>
      </c>
      <c r="AF654" s="36"/>
      <c r="AG654" s="36"/>
      <c r="AH654" s="36"/>
      <c r="AI654" s="36"/>
      <c r="AJ654" s="36"/>
    </row>
    <row r="655" ht="15.75" customHeight="1">
      <c r="A655" s="12" t="s">
        <v>217</v>
      </c>
      <c r="B655" s="12">
        <v>0.0</v>
      </c>
      <c r="C655" s="12">
        <v>0.0</v>
      </c>
      <c r="D655" s="12">
        <v>0.0</v>
      </c>
      <c r="E655" s="12">
        <v>0.0</v>
      </c>
      <c r="F655" s="12">
        <v>0.0</v>
      </c>
      <c r="G655" s="12">
        <v>0.0</v>
      </c>
      <c r="H655" s="12">
        <v>0.0</v>
      </c>
      <c r="I655" s="12">
        <v>0.0</v>
      </c>
      <c r="J655" s="12">
        <v>0.0</v>
      </c>
      <c r="K655" s="12">
        <v>0.0</v>
      </c>
      <c r="L655" s="12">
        <v>0.0</v>
      </c>
      <c r="M655" s="12">
        <v>0.0</v>
      </c>
      <c r="N655" s="12">
        <v>0.0</v>
      </c>
      <c r="O655" s="12">
        <v>0.0</v>
      </c>
      <c r="P655" s="12">
        <v>0.0</v>
      </c>
      <c r="Q655" s="12">
        <v>0.0</v>
      </c>
      <c r="R655" s="12">
        <v>0.0</v>
      </c>
      <c r="S655" s="12">
        <v>0.0</v>
      </c>
      <c r="T655" s="12">
        <v>0.0</v>
      </c>
      <c r="U655" s="12">
        <v>0.0</v>
      </c>
      <c r="V655" s="12">
        <v>0.0</v>
      </c>
      <c r="W655" s="12">
        <v>0.0</v>
      </c>
      <c r="X655" s="12">
        <v>0.0</v>
      </c>
      <c r="Y655" s="12">
        <v>0.0</v>
      </c>
      <c r="Z655" s="12">
        <v>0.0</v>
      </c>
      <c r="AA655" s="12">
        <v>0.0</v>
      </c>
      <c r="AB655" s="12">
        <v>0.0</v>
      </c>
      <c r="AC655" s="12">
        <v>0.0</v>
      </c>
      <c r="AD655" s="12">
        <v>0.0</v>
      </c>
      <c r="AE655" s="12">
        <v>0.0</v>
      </c>
      <c r="AF655" s="36"/>
      <c r="AG655" s="36"/>
      <c r="AH655" s="36"/>
      <c r="AI655" s="36"/>
      <c r="AJ655" s="36"/>
    </row>
    <row r="656" ht="15.75" customHeight="1">
      <c r="A656" s="12" t="s">
        <v>218</v>
      </c>
      <c r="B656" s="184">
        <f>IF(B654&lt;=PPT,0.47%,IF(AND(B654&gt;PPT,B654&lt;=PT),0.1%,0))</f>
        <v>0.0047</v>
      </c>
      <c r="C656" s="184">
        <f>IF(C654&lt;=PPT,0.47%,IF(AND(C654&gt;PPT,C654&lt;=PT),0.1%,0))</f>
        <v>0.0047</v>
      </c>
      <c r="D656" s="184">
        <f>IF(D654&lt;=PPT,0.47%,IF(AND(D654&gt;PPT,D654&lt;=PT),0.1%,0))</f>
        <v>0.0047</v>
      </c>
      <c r="E656" s="184">
        <f>IF(E654&lt;=PPT,0.47%,IF(AND(E654&gt;PPT,E654&lt;=PT),0.1%,0))</f>
        <v>0.0047</v>
      </c>
      <c r="F656" s="184">
        <f>IF(F654&lt;=PPT,0.47%,IF(AND(F654&gt;PPT,F654&lt;=PT),0.1%,0))</f>
        <v>0.0047</v>
      </c>
      <c r="G656" s="184">
        <f>IF(G654&lt;=PPT,0.47%,IF(AND(G654&gt;PPT,G654&lt;=PT),0.1%,0))</f>
        <v>0.0047</v>
      </c>
      <c r="H656" s="184">
        <f>IF(H654&lt;=PPT,0.47%,IF(AND(H654&gt;PPT,H654&lt;=PT),0.1%,0))</f>
        <v>0.0047</v>
      </c>
      <c r="I656" s="184">
        <f>IF(I654&lt;=PPT,0.47%,IF(AND(I654&gt;PPT,I654&lt;=PT),0.1%,0))</f>
        <v>0.0047</v>
      </c>
      <c r="J656" s="184">
        <f>IF(J654&lt;=PPT,0.47%,IF(AND(J654&gt;PPT,J654&lt;=PT),0.1%,0))</f>
        <v>0.0047</v>
      </c>
      <c r="K656" s="184">
        <f>IF(K654&lt;=PPT,0.47%,IF(AND(K654&gt;PPT,K654&lt;=PT),0.1%,0))</f>
        <v>0.0047</v>
      </c>
      <c r="L656" s="184">
        <f>IF(L654&lt;=PPT,0.47%,IF(AND(L654&gt;PPT,L654&lt;=PT),0.1%,0))</f>
        <v>0</v>
      </c>
      <c r="M656" s="184">
        <f>IF(M654&lt;=PPT,0.47%,IF(AND(M654&gt;PPT,M654&lt;=PT),0.1%,0))</f>
        <v>0</v>
      </c>
      <c r="N656" s="184">
        <f>IF(N654&lt;=PPT,0.47%,IF(AND(N654&gt;PPT,N654&lt;=PT),0.1%,0))</f>
        <v>0</v>
      </c>
      <c r="O656" s="184">
        <f>IF(O654&lt;=PPT,0.47%,IF(AND(O654&gt;PPT,O654&lt;=PT),0.1%,0))</f>
        <v>0</v>
      </c>
      <c r="P656" s="184">
        <f>IF(P654&lt;=PPT,0.47%,IF(AND(P654&gt;PPT,P654&lt;=PT),0.1%,0))</f>
        <v>0</v>
      </c>
      <c r="Q656" s="184">
        <f>IF(Q654&lt;=PPT,0.47%,IF(AND(Q654&gt;PPT,Q654&lt;=PT),0.1%,0))</f>
        <v>0</v>
      </c>
      <c r="R656" s="184">
        <f>IF(R654&lt;=PPT,0.47%,IF(AND(R654&gt;PPT,R654&lt;=PT),0.1%,0))</f>
        <v>0</v>
      </c>
      <c r="S656" s="184">
        <f>IF(S654&lt;=PPT,0.47%,IF(AND(S654&gt;PPT,S654&lt;=PT),0.1%,0))</f>
        <v>0</v>
      </c>
      <c r="T656" s="184">
        <f>IF(T654&lt;=PPT,0.47%,IF(AND(T654&gt;PPT,T654&lt;=PT),0.1%,0))</f>
        <v>0</v>
      </c>
      <c r="U656" s="184">
        <f>IF(U654&lt;=PPT,0.47%,IF(AND(U654&gt;PPT,U654&lt;=PT),0.1%,0))</f>
        <v>0</v>
      </c>
      <c r="V656" s="184">
        <f>IF(V654&lt;=PPT,0.47%,IF(AND(V654&gt;PPT,V654&lt;=PT),0.1%,0))</f>
        <v>0</v>
      </c>
      <c r="W656" s="184">
        <f>IF(W654&lt;=PPT,0.47%,IF(AND(W654&gt;PPT,W654&lt;=PT),0.1%,0))</f>
        <v>0</v>
      </c>
      <c r="X656" s="184">
        <f>IF(X654&lt;=PPT,0.47%,IF(AND(X654&gt;PPT,X654&lt;=PT),0.1%,0))</f>
        <v>0</v>
      </c>
      <c r="Y656" s="184">
        <f>IF(Y654&lt;=PPT,0.47%,IF(AND(Y654&gt;PPT,Y654&lt;=PT),0.1%,0))</f>
        <v>0</v>
      </c>
      <c r="Z656" s="184">
        <f>IF(Z654&lt;=PPT,0.47%,IF(AND(Z654&gt;PPT,Z654&lt;=PT),0.1%,0))</f>
        <v>0</v>
      </c>
      <c r="AA656" s="184">
        <f>IF(AA654&lt;=PPT,0.47%,IF(AND(AA654&gt;PPT,AA654&lt;=PT),0.1%,0))</f>
        <v>0</v>
      </c>
      <c r="AB656" s="184">
        <f>IF(AB654&lt;=PPT,0.47%,IF(AND(AB654&gt;PPT,AB654&lt;=PT),0.1%,0))</f>
        <v>0</v>
      </c>
      <c r="AC656" s="184">
        <f>IF(AC654&lt;=PPT,0.47%,IF(AND(AC654&gt;PPT,AC654&lt;=PT),0.1%,0))</f>
        <v>0</v>
      </c>
      <c r="AD656" s="184">
        <f>IF(AD654&lt;=PPT,0.47%,IF(AND(AD654&gt;PPT,AD654&lt;=PT),0.1%,0))</f>
        <v>0</v>
      </c>
      <c r="AE656" s="184">
        <f>IF(AE654&lt;=PPT,0.47%,IF(AND(AE654&gt;PPT,AE654&lt;=PT),0.1%,0))</f>
        <v>0</v>
      </c>
      <c r="AF656" s="36"/>
      <c r="AG656" s="36"/>
      <c r="AH656" s="36"/>
      <c r="AI656" s="36"/>
      <c r="AJ656" s="36"/>
    </row>
    <row r="657" ht="15.75" customHeight="1">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c r="AA657" s="36"/>
      <c r="AB657" s="36"/>
      <c r="AC657" s="36"/>
      <c r="AD657" s="36"/>
      <c r="AE657" s="36"/>
      <c r="AF657" s="36"/>
      <c r="AG657" s="36"/>
      <c r="AH657" s="36"/>
      <c r="AI657" s="36"/>
      <c r="AJ657" s="36"/>
    </row>
    <row r="658" ht="15.75" customHeight="1">
      <c r="A658" s="380" t="s">
        <v>1310</v>
      </c>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c r="AA658" s="36"/>
      <c r="AB658" s="36"/>
      <c r="AC658" s="36"/>
      <c r="AD658" s="36"/>
      <c r="AE658" s="36"/>
      <c r="AF658" s="36"/>
      <c r="AG658" s="36"/>
      <c r="AH658" s="36"/>
      <c r="AI658" s="36"/>
      <c r="AJ658" s="36"/>
    </row>
    <row r="659" ht="15.75" customHeight="1">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c r="AA659" s="36"/>
      <c r="AB659" s="36"/>
      <c r="AC659" s="36"/>
      <c r="AD659" s="36"/>
      <c r="AE659" s="36"/>
      <c r="AF659" s="36"/>
      <c r="AG659" s="36"/>
      <c r="AH659" s="36"/>
      <c r="AI659" s="36"/>
      <c r="AJ659" s="36"/>
    </row>
    <row r="660" ht="15.75" customHeight="1">
      <c r="A660" s="36" t="s">
        <v>215</v>
      </c>
      <c r="B660" s="36">
        <v>1.0</v>
      </c>
      <c r="C660" s="36">
        <v>2.0</v>
      </c>
      <c r="D660" s="36">
        <v>3.0</v>
      </c>
      <c r="E660" s="36">
        <v>4.0</v>
      </c>
      <c r="F660" s="36">
        <v>5.0</v>
      </c>
      <c r="G660" s="36">
        <v>6.0</v>
      </c>
      <c r="H660" s="36">
        <v>7.0</v>
      </c>
      <c r="I660" s="36">
        <v>8.0</v>
      </c>
      <c r="J660" s="36">
        <v>9.0</v>
      </c>
      <c r="K660" s="36">
        <v>10.0</v>
      </c>
      <c r="L660" s="36">
        <v>11.0</v>
      </c>
      <c r="M660" s="36">
        <v>12.0</v>
      </c>
      <c r="N660" s="36">
        <v>13.0</v>
      </c>
      <c r="O660" s="36">
        <v>14.0</v>
      </c>
      <c r="P660" s="36">
        <v>15.0</v>
      </c>
      <c r="Q660" s="36">
        <v>16.0</v>
      </c>
      <c r="R660" s="36">
        <v>17.0</v>
      </c>
      <c r="S660" s="36">
        <v>18.0</v>
      </c>
      <c r="T660" s="36">
        <v>19.0</v>
      </c>
      <c r="U660" s="36">
        <v>20.0</v>
      </c>
      <c r="V660" s="36">
        <v>21.0</v>
      </c>
      <c r="W660" s="36">
        <v>22.0</v>
      </c>
      <c r="X660" s="36">
        <v>23.0</v>
      </c>
      <c r="Y660" s="36">
        <v>24.0</v>
      </c>
      <c r="Z660" s="36">
        <v>25.0</v>
      </c>
      <c r="AA660" s="36">
        <v>26.0</v>
      </c>
      <c r="AB660" s="36">
        <v>27.0</v>
      </c>
      <c r="AC660" s="36">
        <v>28.0</v>
      </c>
      <c r="AD660" s="36">
        <v>29.0</v>
      </c>
      <c r="AE660" s="36">
        <v>30.0</v>
      </c>
      <c r="AF660" s="36"/>
      <c r="AG660" s="36"/>
      <c r="AH660" s="36"/>
      <c r="AI660" s="36"/>
      <c r="AJ660" s="36"/>
    </row>
    <row r="661" ht="15.75" customHeight="1">
      <c r="A661" s="12" t="s">
        <v>217</v>
      </c>
      <c r="B661" s="12">
        <v>0.0</v>
      </c>
      <c r="C661" s="12">
        <v>0.0</v>
      </c>
      <c r="D661" s="12">
        <v>0.0</v>
      </c>
      <c r="E661" s="12">
        <v>0.0</v>
      </c>
      <c r="F661" s="12">
        <v>0.0</v>
      </c>
      <c r="G661" s="12">
        <v>0.0</v>
      </c>
      <c r="H661" s="12">
        <v>0.0</v>
      </c>
      <c r="I661" s="12">
        <v>0.0</v>
      </c>
      <c r="J661" s="12">
        <v>0.0</v>
      </c>
      <c r="K661" s="12">
        <v>0.0</v>
      </c>
      <c r="L661" s="12">
        <v>0.0</v>
      </c>
      <c r="M661" s="12">
        <v>0.0</v>
      </c>
      <c r="N661" s="12">
        <v>0.0</v>
      </c>
      <c r="O661" s="12">
        <v>0.0</v>
      </c>
      <c r="P661" s="12">
        <v>0.0</v>
      </c>
      <c r="Q661" s="12">
        <v>0.0</v>
      </c>
      <c r="R661" s="12">
        <v>0.0</v>
      </c>
      <c r="S661" s="12">
        <v>0.0</v>
      </c>
      <c r="T661" s="12">
        <v>0.0</v>
      </c>
      <c r="U661" s="12">
        <v>0.0</v>
      </c>
      <c r="V661" s="12">
        <v>0.0</v>
      </c>
      <c r="W661" s="12">
        <v>0.0</v>
      </c>
      <c r="X661" s="12">
        <v>0.0</v>
      </c>
      <c r="Y661" s="12">
        <v>0.0</v>
      </c>
      <c r="Z661" s="12">
        <v>0.0</v>
      </c>
      <c r="AA661" s="12">
        <v>0.0</v>
      </c>
      <c r="AB661" s="12">
        <v>0.0</v>
      </c>
      <c r="AC661" s="12">
        <v>0.0</v>
      </c>
      <c r="AD661" s="12">
        <v>0.0</v>
      </c>
      <c r="AE661" s="12">
        <v>0.0</v>
      </c>
      <c r="AF661" s="36"/>
      <c r="AG661" s="36"/>
      <c r="AH661" s="36"/>
      <c r="AI661" s="36"/>
      <c r="AJ661" s="36"/>
    </row>
    <row r="662" ht="15.75" customHeight="1">
      <c r="A662" s="12" t="s">
        <v>218</v>
      </c>
      <c r="B662" s="184">
        <f>IF(B660&lt;=PPT,0.47%,IF(AND(B660&gt;PPT,B660&lt;=PT),0.1%,0))</f>
        <v>0.0047</v>
      </c>
      <c r="C662" s="184">
        <f>IF(C660&lt;=PPT,0.47%,IF(AND(C660&gt;PPT,C660&lt;=PT),0.1%,0))</f>
        <v>0.0047</v>
      </c>
      <c r="D662" s="184">
        <f>IF(D660&lt;=PPT,0.47%,IF(AND(D660&gt;PPT,D660&lt;=PT),0.1%,0))</f>
        <v>0.0047</v>
      </c>
      <c r="E662" s="184">
        <f>IF(E660&lt;=PPT,0.47%,IF(AND(E660&gt;PPT,E660&lt;=PT),0.1%,0))</f>
        <v>0.0047</v>
      </c>
      <c r="F662" s="184">
        <f>IF(F660&lt;=PPT,0.47%,IF(AND(F660&gt;PPT,F660&lt;=PT),0.1%,0))</f>
        <v>0.0047</v>
      </c>
      <c r="G662" s="184">
        <f>IF(G660&lt;=PPT,0.47%,IF(AND(G660&gt;PPT,G660&lt;=PT),0.1%,0))</f>
        <v>0.0047</v>
      </c>
      <c r="H662" s="184">
        <f>IF(H660&lt;=PPT,0.47%,IF(AND(H660&gt;PPT,H660&lt;=PT),0.1%,0))</f>
        <v>0.0047</v>
      </c>
      <c r="I662" s="184">
        <f>IF(I660&lt;=PPT,0.47%,IF(AND(I660&gt;PPT,I660&lt;=PT),0.1%,0))</f>
        <v>0.0047</v>
      </c>
      <c r="J662" s="184">
        <f>IF(J660&lt;=PPT,0.47%,IF(AND(J660&gt;PPT,J660&lt;=PT),0.1%,0))</f>
        <v>0.0047</v>
      </c>
      <c r="K662" s="184">
        <f>IF(K660&lt;=PPT,0.47%,IF(AND(K660&gt;PPT,K660&lt;=PT),0.1%,0))</f>
        <v>0.0047</v>
      </c>
      <c r="L662" s="184">
        <f>IF(L660&lt;=PPT,0.47%,IF(AND(L660&gt;PPT,L660&lt;=PT),0.1%,0))</f>
        <v>0</v>
      </c>
      <c r="M662" s="184">
        <f>IF(M660&lt;=PPT,0.47%,IF(AND(M660&gt;PPT,M660&lt;=PT),0.1%,0))</f>
        <v>0</v>
      </c>
      <c r="N662" s="184">
        <f>IF(N660&lt;=PPT,0.47%,IF(AND(N660&gt;PPT,N660&lt;=PT),0.1%,0))</f>
        <v>0</v>
      </c>
      <c r="O662" s="184">
        <f>IF(O660&lt;=PPT,0.47%,IF(AND(O660&gt;PPT,O660&lt;=PT),0.1%,0))</f>
        <v>0</v>
      </c>
      <c r="P662" s="184">
        <f>IF(P660&lt;=PPT,0.47%,IF(AND(P660&gt;PPT,P660&lt;=PT),0.1%,0))</f>
        <v>0</v>
      </c>
      <c r="Q662" s="184">
        <f>IF(Q660&lt;=PPT,0.47%,IF(AND(Q660&gt;PPT,Q660&lt;=PT),0.1%,0))</f>
        <v>0</v>
      </c>
      <c r="R662" s="184">
        <f>IF(R660&lt;=PPT,0.47%,IF(AND(R660&gt;PPT,R660&lt;=PT),0.1%,0))</f>
        <v>0</v>
      </c>
      <c r="S662" s="184">
        <f>IF(S660&lt;=PPT,0.47%,IF(AND(S660&gt;PPT,S660&lt;=PT),0.1%,0))</f>
        <v>0</v>
      </c>
      <c r="T662" s="184">
        <f>IF(T660&lt;=PPT,0.47%,IF(AND(T660&gt;PPT,T660&lt;=PT),0.1%,0))</f>
        <v>0</v>
      </c>
      <c r="U662" s="184">
        <f>IF(U660&lt;=PPT,0.47%,IF(AND(U660&gt;PPT,U660&lt;=PT),0.1%,0))</f>
        <v>0</v>
      </c>
      <c r="V662" s="184">
        <f>IF(V660&lt;=PPT,0.47%,IF(AND(V660&gt;PPT,V660&lt;=PT),0.1%,0))</f>
        <v>0</v>
      </c>
      <c r="W662" s="184">
        <f>IF(W660&lt;=PPT,0.47%,IF(AND(W660&gt;PPT,W660&lt;=PT),0.1%,0))</f>
        <v>0</v>
      </c>
      <c r="X662" s="184">
        <f>IF(X660&lt;=PPT,0.47%,IF(AND(X660&gt;PPT,X660&lt;=PT),0.1%,0))</f>
        <v>0</v>
      </c>
      <c r="Y662" s="184">
        <f>IF(Y660&lt;=PPT,0.47%,IF(AND(Y660&gt;PPT,Y660&lt;=PT),0.1%,0))</f>
        <v>0</v>
      </c>
      <c r="Z662" s="184">
        <f>IF(Z660&lt;=PPT,0.47%,IF(AND(Z660&gt;PPT,Z660&lt;=PT),0.1%,0))</f>
        <v>0</v>
      </c>
      <c r="AA662" s="184">
        <f>IF(AA660&lt;=PPT,0.47%,IF(AND(AA660&gt;PPT,AA660&lt;=PT),0.1%,0))</f>
        <v>0</v>
      </c>
      <c r="AB662" s="184">
        <f>IF(AB660&lt;=PPT,0.47%,IF(AND(AB660&gt;PPT,AB660&lt;=PT),0.1%,0))</f>
        <v>0</v>
      </c>
      <c r="AC662" s="184">
        <f>IF(AC660&lt;=PPT,0.47%,IF(AND(AC660&gt;PPT,AC660&lt;=PT),0.1%,0))</f>
        <v>0</v>
      </c>
      <c r="AD662" s="184">
        <f>IF(AD660&lt;=PPT,0.47%,IF(AND(AD660&gt;PPT,AD660&lt;=PT),0.1%,0))</f>
        <v>0</v>
      </c>
      <c r="AE662" s="184">
        <f>IF(AE660&lt;=PPT,0.47%,IF(AND(AE660&gt;PPT,AE660&lt;=PT),0.1%,0))</f>
        <v>0</v>
      </c>
      <c r="AF662" s="36"/>
      <c r="AG662" s="36"/>
      <c r="AH662" s="36"/>
      <c r="AI662" s="36"/>
      <c r="AJ662" s="36"/>
    </row>
    <row r="663" ht="15.75" customHeight="1">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c r="AA663" s="36"/>
      <c r="AB663" s="36"/>
      <c r="AC663" s="36"/>
      <c r="AD663" s="36"/>
      <c r="AE663" s="36"/>
      <c r="AF663" s="36"/>
      <c r="AG663" s="36"/>
      <c r="AH663" s="36"/>
      <c r="AI663" s="36"/>
      <c r="AJ663" s="36"/>
    </row>
    <row r="664" ht="15.75" customHeight="1">
      <c r="A664" s="380" t="s">
        <v>1300</v>
      </c>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c r="AA664" s="36"/>
      <c r="AB664" s="36"/>
      <c r="AC664" s="36"/>
      <c r="AD664" s="36"/>
      <c r="AE664" s="36"/>
      <c r="AF664" s="36"/>
      <c r="AG664" s="36"/>
      <c r="AH664" s="36"/>
      <c r="AI664" s="36"/>
      <c r="AJ664" s="36"/>
    </row>
    <row r="665" ht="15.75" customHeight="1">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c r="AA665" s="36"/>
      <c r="AB665" s="36"/>
      <c r="AC665" s="36"/>
      <c r="AD665" s="36"/>
      <c r="AE665" s="36"/>
      <c r="AF665" s="36"/>
      <c r="AG665" s="36"/>
      <c r="AH665" s="36"/>
      <c r="AI665" s="36"/>
      <c r="AJ665" s="36"/>
    </row>
    <row r="666" ht="15.75" customHeight="1">
      <c r="A666" s="36" t="s">
        <v>215</v>
      </c>
      <c r="B666" s="36">
        <v>1.0</v>
      </c>
      <c r="C666" s="36">
        <v>2.0</v>
      </c>
      <c r="D666" s="36">
        <v>3.0</v>
      </c>
      <c r="E666" s="36">
        <v>4.0</v>
      </c>
      <c r="F666" s="36">
        <v>5.0</v>
      </c>
      <c r="G666" s="36">
        <v>6.0</v>
      </c>
      <c r="H666" s="36">
        <v>7.0</v>
      </c>
      <c r="I666" s="36">
        <v>8.0</v>
      </c>
      <c r="J666" s="36">
        <v>9.0</v>
      </c>
      <c r="K666" s="36">
        <v>10.0</v>
      </c>
      <c r="L666" s="36">
        <v>11.0</v>
      </c>
      <c r="M666" s="36">
        <v>12.0</v>
      </c>
      <c r="N666" s="36">
        <v>13.0</v>
      </c>
      <c r="O666" s="36">
        <v>14.0</v>
      </c>
      <c r="P666" s="36">
        <v>15.0</v>
      </c>
      <c r="Q666" s="36">
        <v>16.0</v>
      </c>
      <c r="R666" s="36">
        <v>17.0</v>
      </c>
      <c r="S666" s="36">
        <v>18.0</v>
      </c>
      <c r="T666" s="36">
        <v>19.0</v>
      </c>
      <c r="U666" s="36">
        <v>20.0</v>
      </c>
      <c r="V666" s="36">
        <v>21.0</v>
      </c>
      <c r="W666" s="36">
        <v>22.0</v>
      </c>
      <c r="X666" s="36">
        <v>23.0</v>
      </c>
      <c r="Y666" s="36">
        <v>24.0</v>
      </c>
      <c r="Z666" s="36">
        <v>25.0</v>
      </c>
      <c r="AA666" s="36">
        <v>26.0</v>
      </c>
      <c r="AB666" s="36">
        <v>27.0</v>
      </c>
      <c r="AC666" s="36">
        <v>28.0</v>
      </c>
      <c r="AD666" s="36">
        <v>29.0</v>
      </c>
      <c r="AE666" s="36">
        <v>30.0</v>
      </c>
      <c r="AF666" s="36"/>
      <c r="AG666" s="36"/>
      <c r="AH666" s="36"/>
      <c r="AI666" s="36"/>
      <c r="AJ666" s="36"/>
    </row>
    <row r="667" ht="15.75" customHeight="1">
      <c r="A667" s="12" t="s">
        <v>217</v>
      </c>
      <c r="B667" s="12">
        <v>0.0</v>
      </c>
      <c r="C667" s="12">
        <v>0.0</v>
      </c>
      <c r="D667" s="12">
        <v>0.0</v>
      </c>
      <c r="E667" s="12">
        <v>0.0</v>
      </c>
      <c r="F667" s="12">
        <v>0.0</v>
      </c>
      <c r="G667" s="12">
        <v>0.0</v>
      </c>
      <c r="H667" s="12">
        <v>0.0</v>
      </c>
      <c r="I667" s="12">
        <v>0.0</v>
      </c>
      <c r="J667" s="12">
        <v>0.0</v>
      </c>
      <c r="K667" s="12">
        <v>0.0</v>
      </c>
      <c r="L667" s="12">
        <v>0.0</v>
      </c>
      <c r="M667" s="12">
        <v>0.0</v>
      </c>
      <c r="N667" s="12">
        <v>0.0</v>
      </c>
      <c r="O667" s="12">
        <v>0.0</v>
      </c>
      <c r="P667" s="12">
        <v>0.0</v>
      </c>
      <c r="Q667" s="12">
        <v>0.0</v>
      </c>
      <c r="R667" s="12">
        <v>0.0</v>
      </c>
      <c r="S667" s="12">
        <v>0.0</v>
      </c>
      <c r="T667" s="12">
        <v>0.0</v>
      </c>
      <c r="U667" s="12">
        <v>0.0</v>
      </c>
      <c r="V667" s="12">
        <v>0.0</v>
      </c>
      <c r="W667" s="12">
        <v>0.0</v>
      </c>
      <c r="X667" s="12">
        <v>0.0</v>
      </c>
      <c r="Y667" s="12">
        <v>0.0</v>
      </c>
      <c r="Z667" s="12">
        <v>0.0</v>
      </c>
      <c r="AA667" s="12">
        <v>0.0</v>
      </c>
      <c r="AB667" s="12">
        <v>0.0</v>
      </c>
      <c r="AC667" s="12">
        <v>0.0</v>
      </c>
      <c r="AD667" s="12">
        <v>0.0</v>
      </c>
      <c r="AE667" s="12">
        <v>0.0</v>
      </c>
      <c r="AF667" s="36"/>
      <c r="AG667" s="36"/>
      <c r="AH667" s="36"/>
      <c r="AI667" s="36"/>
      <c r="AJ667" s="36"/>
    </row>
    <row r="668" ht="15.75" customHeight="1">
      <c r="A668" s="12" t="s">
        <v>218</v>
      </c>
      <c r="B668" s="194">
        <v>0.0025</v>
      </c>
      <c r="C668" s="194">
        <v>0.0025</v>
      </c>
      <c r="D668" s="194">
        <v>0.0025</v>
      </c>
      <c r="E668" s="194">
        <v>0.0025</v>
      </c>
      <c r="F668" s="194">
        <v>0.0025</v>
      </c>
      <c r="G668" s="194">
        <v>0.001</v>
      </c>
      <c r="H668" s="194">
        <v>0.001</v>
      </c>
      <c r="I668" s="194">
        <v>0.001</v>
      </c>
      <c r="J668" s="194">
        <v>0.001</v>
      </c>
      <c r="K668" s="194">
        <v>0.001</v>
      </c>
      <c r="L668" s="121">
        <v>0.0</v>
      </c>
      <c r="M668" s="121">
        <v>0.0</v>
      </c>
      <c r="N668" s="121">
        <v>0.0</v>
      </c>
      <c r="O668" s="121">
        <v>0.0</v>
      </c>
      <c r="P668" s="121">
        <v>0.0</v>
      </c>
      <c r="Q668" s="121">
        <v>0.0</v>
      </c>
      <c r="R668" s="121">
        <v>0.0</v>
      </c>
      <c r="S668" s="121">
        <v>0.0</v>
      </c>
      <c r="T668" s="121">
        <v>0.0</v>
      </c>
      <c r="U668" s="121">
        <v>0.0</v>
      </c>
      <c r="V668" s="121">
        <v>0.0</v>
      </c>
      <c r="W668" s="121">
        <v>0.0</v>
      </c>
      <c r="X668" s="121">
        <v>0.0</v>
      </c>
      <c r="Y668" s="121">
        <v>0.0</v>
      </c>
      <c r="Z668" s="121">
        <v>0.0</v>
      </c>
      <c r="AA668" s="121">
        <v>0.0</v>
      </c>
      <c r="AB668" s="121">
        <v>0.0</v>
      </c>
      <c r="AC668" s="121">
        <v>0.0</v>
      </c>
      <c r="AD668" s="121">
        <v>0.0</v>
      </c>
      <c r="AE668" s="121">
        <v>0.0</v>
      </c>
      <c r="AF668" s="36"/>
      <c r="AG668" s="36"/>
      <c r="AH668" s="36"/>
      <c r="AI668" s="36"/>
      <c r="AJ668" s="36"/>
    </row>
    <row r="669" ht="15.75" customHeight="1">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c r="AA669" s="36"/>
      <c r="AB669" s="36"/>
      <c r="AC669" s="36"/>
      <c r="AD669" s="36"/>
      <c r="AE669" s="36"/>
      <c r="AF669" s="36"/>
      <c r="AG669" s="36"/>
      <c r="AH669" s="36"/>
      <c r="AI669" s="36"/>
      <c r="AJ669" s="36"/>
    </row>
    <row r="670" ht="15.75" customHeight="1">
      <c r="A670" s="380" t="s">
        <v>1296</v>
      </c>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c r="AA670" s="36"/>
      <c r="AB670" s="36"/>
      <c r="AC670" s="36"/>
      <c r="AD670" s="36"/>
      <c r="AE670" s="36"/>
      <c r="AF670" s="36"/>
      <c r="AG670" s="36"/>
      <c r="AH670" s="36"/>
      <c r="AI670" s="36"/>
      <c r="AJ670" s="36"/>
    </row>
    <row r="671" ht="15.75" customHeight="1">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c r="AA671" s="36"/>
      <c r="AB671" s="36"/>
      <c r="AC671" s="36"/>
      <c r="AD671" s="36"/>
      <c r="AE671" s="36"/>
      <c r="AF671" s="36"/>
      <c r="AG671" s="36"/>
      <c r="AH671" s="36"/>
      <c r="AI671" s="36"/>
      <c r="AJ671" s="36"/>
    </row>
    <row r="672" ht="15.75" customHeight="1">
      <c r="A672" s="36" t="s">
        <v>215</v>
      </c>
      <c r="B672" s="36">
        <v>1.0</v>
      </c>
      <c r="C672" s="36">
        <v>2.0</v>
      </c>
      <c r="D672" s="36">
        <v>3.0</v>
      </c>
      <c r="E672" s="36">
        <v>4.0</v>
      </c>
      <c r="F672" s="36">
        <v>5.0</v>
      </c>
      <c r="G672" s="36">
        <v>6.0</v>
      </c>
      <c r="H672" s="36">
        <v>7.0</v>
      </c>
      <c r="I672" s="36">
        <v>8.0</v>
      </c>
      <c r="J672" s="36">
        <v>9.0</v>
      </c>
      <c r="K672" s="36">
        <v>10.0</v>
      </c>
      <c r="L672" s="36">
        <v>11.0</v>
      </c>
      <c r="M672" s="36">
        <v>12.0</v>
      </c>
      <c r="N672" s="36">
        <v>13.0</v>
      </c>
      <c r="O672" s="36">
        <v>14.0</v>
      </c>
      <c r="P672" s="36">
        <v>15.0</v>
      </c>
      <c r="Q672" s="36">
        <v>16.0</v>
      </c>
      <c r="R672" s="36">
        <v>17.0</v>
      </c>
      <c r="S672" s="36">
        <v>18.0</v>
      </c>
      <c r="T672" s="36">
        <v>19.0</v>
      </c>
      <c r="U672" s="36">
        <v>20.0</v>
      </c>
      <c r="V672" s="36">
        <v>21.0</v>
      </c>
      <c r="W672" s="36">
        <v>22.0</v>
      </c>
      <c r="X672" s="36">
        <v>23.0</v>
      </c>
      <c r="Y672" s="36">
        <v>24.0</v>
      </c>
      <c r="Z672" s="36">
        <v>25.0</v>
      </c>
      <c r="AA672" s="36">
        <v>26.0</v>
      </c>
      <c r="AB672" s="36">
        <v>27.0</v>
      </c>
      <c r="AC672" s="36">
        <v>28.0</v>
      </c>
      <c r="AD672" s="36">
        <v>29.0</v>
      </c>
      <c r="AE672" s="36">
        <v>30.0</v>
      </c>
      <c r="AF672" s="36"/>
      <c r="AG672" s="36"/>
      <c r="AH672" s="36"/>
      <c r="AI672" s="36"/>
      <c r="AJ672" s="36"/>
    </row>
    <row r="673" ht="15.75" customHeight="1">
      <c r="A673" s="12" t="s">
        <v>217</v>
      </c>
      <c r="B673" s="12">
        <v>60.0</v>
      </c>
      <c r="C673" s="12">
        <v>60.0</v>
      </c>
      <c r="D673" s="12">
        <v>60.0</v>
      </c>
      <c r="E673" s="12">
        <v>0.0</v>
      </c>
      <c r="F673" s="12">
        <v>0.0</v>
      </c>
      <c r="G673" s="12">
        <v>0.0</v>
      </c>
      <c r="H673" s="12">
        <v>0.0</v>
      </c>
      <c r="I673" s="12">
        <v>0.0</v>
      </c>
      <c r="J673" s="12">
        <v>0.0</v>
      </c>
      <c r="K673" s="12">
        <v>0.0</v>
      </c>
      <c r="L673" s="12">
        <v>0.0</v>
      </c>
      <c r="M673" s="12">
        <v>0.0</v>
      </c>
      <c r="N673" s="12">
        <v>0.0</v>
      </c>
      <c r="O673" s="12">
        <v>0.0</v>
      </c>
      <c r="P673" s="12">
        <v>0.0</v>
      </c>
      <c r="Q673" s="12">
        <v>0.0</v>
      </c>
      <c r="R673" s="12">
        <v>0.0</v>
      </c>
      <c r="S673" s="12">
        <v>0.0</v>
      </c>
      <c r="T673" s="12">
        <v>0.0</v>
      </c>
      <c r="U673" s="12">
        <v>0.0</v>
      </c>
      <c r="V673" s="12">
        <v>0.0</v>
      </c>
      <c r="W673" s="12">
        <v>0.0</v>
      </c>
      <c r="X673" s="12">
        <v>0.0</v>
      </c>
      <c r="Y673" s="12">
        <v>0.0</v>
      </c>
      <c r="Z673" s="12">
        <v>0.0</v>
      </c>
      <c r="AA673" s="12">
        <v>0.0</v>
      </c>
      <c r="AB673" s="12">
        <v>0.0</v>
      </c>
      <c r="AC673" s="12">
        <v>0.0</v>
      </c>
      <c r="AD673" s="12">
        <v>0.0</v>
      </c>
      <c r="AE673" s="12">
        <v>0.0</v>
      </c>
      <c r="AF673" s="36"/>
      <c r="AG673" s="36"/>
      <c r="AH673" s="36"/>
      <c r="AI673" s="36"/>
      <c r="AJ673" s="36"/>
    </row>
    <row r="674" ht="15.75" customHeight="1">
      <c r="A674" s="392" t="s">
        <v>218</v>
      </c>
      <c r="B674" s="121">
        <v>0.0</v>
      </c>
      <c r="C674" s="121">
        <v>0.0</v>
      </c>
      <c r="D674" s="121">
        <v>0.0</v>
      </c>
      <c r="E674" s="121">
        <v>0.0</v>
      </c>
      <c r="F674" s="121">
        <v>0.0</v>
      </c>
      <c r="G674" s="121">
        <v>0.0</v>
      </c>
      <c r="H674" s="121">
        <v>0.0</v>
      </c>
      <c r="I674" s="121">
        <v>0.0</v>
      </c>
      <c r="J674" s="121">
        <v>0.0</v>
      </c>
      <c r="K674" s="121">
        <v>0.0</v>
      </c>
      <c r="L674" s="121">
        <v>0.0</v>
      </c>
      <c r="M674" s="121">
        <v>0.0</v>
      </c>
      <c r="N674" s="121">
        <v>0.0</v>
      </c>
      <c r="O674" s="121">
        <v>0.0</v>
      </c>
      <c r="P674" s="121">
        <v>0.0</v>
      </c>
      <c r="Q674" s="121">
        <v>0.0</v>
      </c>
      <c r="R674" s="121">
        <v>0.0</v>
      </c>
      <c r="S674" s="121">
        <v>0.0</v>
      </c>
      <c r="T674" s="121">
        <v>0.0</v>
      </c>
      <c r="U674" s="121">
        <v>0.0</v>
      </c>
      <c r="V674" s="121">
        <v>0.0</v>
      </c>
      <c r="W674" s="121">
        <v>0.0</v>
      </c>
      <c r="X674" s="121">
        <v>0.0</v>
      </c>
      <c r="Y674" s="121">
        <v>0.0</v>
      </c>
      <c r="Z674" s="121">
        <v>0.0</v>
      </c>
      <c r="AA674" s="121">
        <v>0.0</v>
      </c>
      <c r="AB674" s="121">
        <v>0.0</v>
      </c>
      <c r="AC674" s="121">
        <v>0.0</v>
      </c>
      <c r="AD674" s="121">
        <v>0.0</v>
      </c>
      <c r="AE674" s="121">
        <v>0.0</v>
      </c>
      <c r="AF674" s="393"/>
      <c r="AG674" s="393"/>
      <c r="AH674" s="393"/>
      <c r="AI674" s="393"/>
      <c r="AJ674" s="393"/>
    </row>
    <row r="675" ht="15.75" customHeight="1">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c r="AA675" s="36"/>
      <c r="AB675" s="36"/>
      <c r="AC675" s="36"/>
      <c r="AD675" s="36"/>
      <c r="AE675" s="36"/>
      <c r="AF675" s="36"/>
      <c r="AG675" s="36"/>
      <c r="AH675" s="36"/>
      <c r="AI675" s="36"/>
      <c r="AJ675" s="36"/>
    </row>
    <row r="676" ht="15.75" customHeight="1">
      <c r="A676" s="380" t="s">
        <v>1287</v>
      </c>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c r="AA676" s="36"/>
      <c r="AB676" s="36"/>
      <c r="AC676" s="36"/>
      <c r="AD676" s="36"/>
      <c r="AE676" s="36"/>
      <c r="AF676" s="36"/>
      <c r="AG676" s="36"/>
      <c r="AH676" s="36"/>
      <c r="AI676" s="36"/>
      <c r="AJ676" s="36"/>
    </row>
    <row r="677" ht="15.75" customHeight="1">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c r="AA677" s="36"/>
      <c r="AB677" s="36"/>
      <c r="AC677" s="36"/>
      <c r="AD677" s="36"/>
      <c r="AE677" s="36"/>
      <c r="AF677" s="36"/>
      <c r="AG677" s="36"/>
      <c r="AH677" s="36"/>
      <c r="AI677" s="36"/>
      <c r="AJ677" s="36"/>
    </row>
    <row r="678" ht="15.75" customHeight="1">
      <c r="A678" s="36" t="s">
        <v>215</v>
      </c>
      <c r="B678" s="36">
        <v>1.0</v>
      </c>
      <c r="C678" s="36">
        <v>2.0</v>
      </c>
      <c r="D678" s="36">
        <v>3.0</v>
      </c>
      <c r="E678" s="36">
        <v>4.0</v>
      </c>
      <c r="F678" s="36">
        <v>5.0</v>
      </c>
      <c r="G678" s="36">
        <v>6.0</v>
      </c>
      <c r="H678" s="36">
        <v>7.0</v>
      </c>
      <c r="I678" s="36">
        <v>8.0</v>
      </c>
      <c r="J678" s="36">
        <v>9.0</v>
      </c>
      <c r="K678" s="36">
        <v>10.0</v>
      </c>
      <c r="L678" s="36">
        <v>11.0</v>
      </c>
      <c r="M678" s="36">
        <v>12.0</v>
      </c>
      <c r="N678" s="36">
        <v>13.0</v>
      </c>
      <c r="O678" s="36">
        <v>14.0</v>
      </c>
      <c r="P678" s="36">
        <v>15.0</v>
      </c>
      <c r="Q678" s="36">
        <v>16.0</v>
      </c>
      <c r="R678" s="36">
        <v>17.0</v>
      </c>
      <c r="S678" s="36">
        <v>18.0</v>
      </c>
      <c r="T678" s="36">
        <v>19.0</v>
      </c>
      <c r="U678" s="36">
        <v>20.0</v>
      </c>
      <c r="V678" s="36">
        <v>21.0</v>
      </c>
      <c r="W678" s="36">
        <v>22.0</v>
      </c>
      <c r="X678" s="36">
        <v>23.0</v>
      </c>
      <c r="Y678" s="36">
        <v>24.0</v>
      </c>
      <c r="Z678" s="36">
        <v>25.0</v>
      </c>
      <c r="AA678" s="36">
        <v>26.0</v>
      </c>
      <c r="AB678" s="36">
        <v>27.0</v>
      </c>
      <c r="AC678" s="36">
        <v>28.0</v>
      </c>
      <c r="AD678" s="36">
        <v>29.0</v>
      </c>
      <c r="AE678" s="36">
        <v>30.0</v>
      </c>
      <c r="AF678" s="36"/>
      <c r="AG678" s="36"/>
      <c r="AH678" s="36"/>
      <c r="AI678" s="36"/>
      <c r="AJ678" s="36"/>
    </row>
    <row r="679" ht="15.75" customHeight="1">
      <c r="A679" s="12" t="s">
        <v>217</v>
      </c>
      <c r="B679" s="12">
        <v>60.0</v>
      </c>
      <c r="C679" s="12">
        <v>60.0</v>
      </c>
      <c r="D679" s="12">
        <v>60.0</v>
      </c>
      <c r="E679" s="12">
        <v>0.0</v>
      </c>
      <c r="F679" s="12">
        <v>0.0</v>
      </c>
      <c r="G679" s="12">
        <v>0.0</v>
      </c>
      <c r="H679" s="12">
        <v>0.0</v>
      </c>
      <c r="I679" s="12">
        <v>0.0</v>
      </c>
      <c r="J679" s="12">
        <v>0.0</v>
      </c>
      <c r="K679" s="12">
        <v>0.0</v>
      </c>
      <c r="L679" s="12">
        <v>0.0</v>
      </c>
      <c r="M679" s="12">
        <v>0.0</v>
      </c>
      <c r="N679" s="12">
        <v>0.0</v>
      </c>
      <c r="O679" s="12">
        <v>0.0</v>
      </c>
      <c r="P679" s="12">
        <v>0.0</v>
      </c>
      <c r="Q679" s="12">
        <v>0.0</v>
      </c>
      <c r="R679" s="12">
        <v>0.0</v>
      </c>
      <c r="S679" s="12">
        <v>0.0</v>
      </c>
      <c r="T679" s="12">
        <v>0.0</v>
      </c>
      <c r="U679" s="12">
        <v>0.0</v>
      </c>
      <c r="V679" s="12">
        <v>0.0</v>
      </c>
      <c r="W679" s="12">
        <v>0.0</v>
      </c>
      <c r="X679" s="12">
        <v>0.0</v>
      </c>
      <c r="Y679" s="12">
        <v>0.0</v>
      </c>
      <c r="Z679" s="12">
        <v>0.0</v>
      </c>
      <c r="AA679" s="12">
        <v>0.0</v>
      </c>
      <c r="AB679" s="12">
        <v>0.0</v>
      </c>
      <c r="AC679" s="12">
        <v>0.0</v>
      </c>
      <c r="AD679" s="12">
        <v>0.0</v>
      </c>
      <c r="AE679" s="12">
        <v>0.0</v>
      </c>
      <c r="AF679" s="36"/>
      <c r="AG679" s="36"/>
      <c r="AH679" s="36"/>
      <c r="AI679" s="36"/>
      <c r="AJ679" s="36"/>
    </row>
    <row r="680" ht="15.75" customHeight="1">
      <c r="A680" s="12" t="s">
        <v>218</v>
      </c>
      <c r="B680" s="121">
        <v>0.0</v>
      </c>
      <c r="C680" s="121">
        <v>0.0</v>
      </c>
      <c r="D680" s="121">
        <v>0.0</v>
      </c>
      <c r="E680" s="121">
        <v>0.0</v>
      </c>
      <c r="F680" s="121">
        <v>0.0</v>
      </c>
      <c r="G680" s="121">
        <v>0.0</v>
      </c>
      <c r="H680" s="121">
        <v>0.0</v>
      </c>
      <c r="I680" s="121">
        <v>0.0</v>
      </c>
      <c r="J680" s="121">
        <v>0.0</v>
      </c>
      <c r="K680" s="121">
        <v>0.0</v>
      </c>
      <c r="L680" s="121">
        <v>0.0</v>
      </c>
      <c r="M680" s="121">
        <v>0.0</v>
      </c>
      <c r="N680" s="121">
        <v>0.0</v>
      </c>
      <c r="O680" s="121">
        <v>0.0</v>
      </c>
      <c r="P680" s="121">
        <v>0.0</v>
      </c>
      <c r="Q680" s="121">
        <v>0.0</v>
      </c>
      <c r="R680" s="121">
        <v>0.0</v>
      </c>
      <c r="S680" s="121">
        <v>0.0</v>
      </c>
      <c r="T680" s="121">
        <v>0.0</v>
      </c>
      <c r="U680" s="121">
        <v>0.0</v>
      </c>
      <c r="V680" s="121">
        <v>0.0</v>
      </c>
      <c r="W680" s="121">
        <v>0.0</v>
      </c>
      <c r="X680" s="121">
        <v>0.0</v>
      </c>
      <c r="Y680" s="121">
        <v>0.0</v>
      </c>
      <c r="Z680" s="121">
        <v>0.0</v>
      </c>
      <c r="AA680" s="121">
        <v>0.0</v>
      </c>
      <c r="AB680" s="121">
        <v>0.0</v>
      </c>
      <c r="AC680" s="121">
        <v>0.0</v>
      </c>
      <c r="AD680" s="121">
        <v>0.0</v>
      </c>
      <c r="AE680" s="121">
        <v>0.0</v>
      </c>
      <c r="AF680" s="36"/>
      <c r="AG680" s="36"/>
      <c r="AH680" s="36"/>
      <c r="AI680" s="36"/>
      <c r="AJ680" s="36"/>
    </row>
    <row r="681" ht="15.75" customHeight="1">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c r="AA681" s="36"/>
      <c r="AB681" s="36"/>
      <c r="AC681" s="36"/>
      <c r="AD681" s="36"/>
      <c r="AE681" s="36"/>
      <c r="AF681" s="36"/>
      <c r="AG681" s="36"/>
      <c r="AH681" s="36"/>
      <c r="AI681" s="36"/>
      <c r="AJ681" s="36"/>
    </row>
    <row r="682" ht="15.75" customHeight="1">
      <c r="A682" s="380" t="s">
        <v>1283</v>
      </c>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c r="AA682" s="36"/>
      <c r="AB682" s="36"/>
      <c r="AC682" s="36"/>
      <c r="AD682" s="36"/>
      <c r="AE682" s="36"/>
      <c r="AF682" s="36"/>
      <c r="AG682" s="36"/>
      <c r="AH682" s="36"/>
      <c r="AI682" s="36"/>
      <c r="AJ682" s="36"/>
    </row>
    <row r="683" ht="15.75" customHeight="1">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c r="AA683" s="36"/>
      <c r="AB683" s="36"/>
      <c r="AC683" s="36"/>
      <c r="AD683" s="36"/>
      <c r="AE683" s="36"/>
      <c r="AF683" s="36"/>
      <c r="AG683" s="36"/>
      <c r="AH683" s="36"/>
      <c r="AI683" s="36"/>
      <c r="AJ683" s="36"/>
    </row>
    <row r="684" ht="15.75" customHeight="1">
      <c r="A684" s="36" t="s">
        <v>215</v>
      </c>
      <c r="B684" s="36">
        <v>1.0</v>
      </c>
      <c r="C684" s="36">
        <v>2.0</v>
      </c>
      <c r="D684" s="36">
        <v>3.0</v>
      </c>
      <c r="E684" s="36">
        <v>4.0</v>
      </c>
      <c r="F684" s="36">
        <v>5.0</v>
      </c>
      <c r="G684" s="36">
        <v>6.0</v>
      </c>
      <c r="H684" s="36">
        <v>7.0</v>
      </c>
      <c r="I684" s="36">
        <v>8.0</v>
      </c>
      <c r="J684" s="36">
        <v>9.0</v>
      </c>
      <c r="K684" s="36">
        <v>10.0</v>
      </c>
      <c r="L684" s="36">
        <v>11.0</v>
      </c>
      <c r="M684" s="36">
        <v>12.0</v>
      </c>
      <c r="N684" s="36">
        <v>13.0</v>
      </c>
      <c r="O684" s="36">
        <v>14.0</v>
      </c>
      <c r="P684" s="36">
        <v>15.0</v>
      </c>
      <c r="Q684" s="36">
        <v>16.0</v>
      </c>
      <c r="R684" s="36">
        <v>17.0</v>
      </c>
      <c r="S684" s="36">
        <v>18.0</v>
      </c>
      <c r="T684" s="36">
        <v>19.0</v>
      </c>
      <c r="U684" s="36">
        <v>20.0</v>
      </c>
      <c r="V684" s="36">
        <v>21.0</v>
      </c>
      <c r="W684" s="36">
        <v>22.0</v>
      </c>
      <c r="X684" s="36">
        <v>23.0</v>
      </c>
      <c r="Y684" s="36">
        <v>24.0</v>
      </c>
      <c r="Z684" s="36">
        <v>25.0</v>
      </c>
      <c r="AA684" s="36">
        <v>26.0</v>
      </c>
      <c r="AB684" s="36">
        <v>27.0</v>
      </c>
      <c r="AC684" s="36">
        <v>28.0</v>
      </c>
      <c r="AD684" s="36">
        <v>29.0</v>
      </c>
      <c r="AE684" s="36">
        <v>30.0</v>
      </c>
      <c r="AF684" s="36"/>
      <c r="AG684" s="36"/>
      <c r="AH684" s="36"/>
      <c r="AI684" s="36"/>
      <c r="AJ684" s="36"/>
    </row>
    <row r="685" ht="15.75" customHeight="1">
      <c r="A685" s="12" t="s">
        <v>217</v>
      </c>
      <c r="B685" s="12">
        <v>0.0</v>
      </c>
      <c r="C685" s="12">
        <v>60.0</v>
      </c>
      <c r="D685" s="12">
        <v>60.0</v>
      </c>
      <c r="E685" s="12">
        <v>60.0</v>
      </c>
      <c r="F685" s="12">
        <v>0.0</v>
      </c>
      <c r="G685" s="12">
        <v>0.0</v>
      </c>
      <c r="H685" s="12">
        <v>0.0</v>
      </c>
      <c r="I685" s="12">
        <v>0.0</v>
      </c>
      <c r="J685" s="12">
        <v>0.0</v>
      </c>
      <c r="K685" s="12">
        <v>0.0</v>
      </c>
      <c r="L685" s="12">
        <v>0.0</v>
      </c>
      <c r="M685" s="12">
        <v>0.0</v>
      </c>
      <c r="N685" s="12">
        <v>0.0</v>
      </c>
      <c r="O685" s="12">
        <v>0.0</v>
      </c>
      <c r="P685" s="12">
        <v>0.0</v>
      </c>
      <c r="Q685" s="12">
        <v>0.0</v>
      </c>
      <c r="R685" s="12">
        <v>0.0</v>
      </c>
      <c r="S685" s="12">
        <v>0.0</v>
      </c>
      <c r="T685" s="12">
        <v>0.0</v>
      </c>
      <c r="U685" s="12">
        <v>0.0</v>
      </c>
      <c r="V685" s="12">
        <v>0.0</v>
      </c>
      <c r="W685" s="12">
        <v>0.0</v>
      </c>
      <c r="X685" s="12">
        <v>0.0</v>
      </c>
      <c r="Y685" s="12">
        <v>0.0</v>
      </c>
      <c r="Z685" s="12">
        <v>0.0</v>
      </c>
      <c r="AA685" s="12">
        <v>0.0</v>
      </c>
      <c r="AB685" s="12">
        <v>0.0</v>
      </c>
      <c r="AC685" s="12">
        <v>0.0</v>
      </c>
      <c r="AD685" s="12">
        <v>0.0</v>
      </c>
      <c r="AE685" s="12">
        <v>0.0</v>
      </c>
      <c r="AF685" s="36"/>
      <c r="AG685" s="36"/>
      <c r="AH685" s="36"/>
      <c r="AI685" s="36"/>
      <c r="AJ685" s="36"/>
    </row>
    <row r="686" ht="15.75" customHeight="1">
      <c r="A686" s="12" t="s">
        <v>218</v>
      </c>
      <c r="B686" s="121">
        <v>0.0</v>
      </c>
      <c r="C686" s="121">
        <v>0.0</v>
      </c>
      <c r="D686" s="121">
        <v>0.0</v>
      </c>
      <c r="E686" s="121">
        <v>0.0</v>
      </c>
      <c r="F686" s="121">
        <v>0.0</v>
      </c>
      <c r="G686" s="121">
        <v>0.0</v>
      </c>
      <c r="H686" s="121">
        <v>0.0</v>
      </c>
      <c r="I686" s="121">
        <v>0.0</v>
      </c>
      <c r="J686" s="121">
        <v>0.0</v>
      </c>
      <c r="K686" s="121">
        <v>0.0</v>
      </c>
      <c r="L686" s="121">
        <v>0.0</v>
      </c>
      <c r="M686" s="121">
        <v>0.0</v>
      </c>
      <c r="N686" s="121">
        <v>0.0</v>
      </c>
      <c r="O686" s="121">
        <v>0.0</v>
      </c>
      <c r="P686" s="121">
        <v>0.0</v>
      </c>
      <c r="Q686" s="121">
        <v>0.0</v>
      </c>
      <c r="R686" s="121">
        <v>0.0</v>
      </c>
      <c r="S686" s="121">
        <v>0.0</v>
      </c>
      <c r="T686" s="121">
        <v>0.0</v>
      </c>
      <c r="U686" s="121">
        <v>0.0</v>
      </c>
      <c r="V686" s="121">
        <v>0.0</v>
      </c>
      <c r="W686" s="121">
        <v>0.0</v>
      </c>
      <c r="X686" s="121">
        <v>0.0</v>
      </c>
      <c r="Y686" s="121">
        <v>0.0</v>
      </c>
      <c r="Z686" s="121">
        <v>0.0</v>
      </c>
      <c r="AA686" s="121">
        <v>0.0</v>
      </c>
      <c r="AB686" s="121">
        <v>0.0</v>
      </c>
      <c r="AC686" s="121">
        <v>0.0</v>
      </c>
      <c r="AD686" s="121">
        <v>0.0</v>
      </c>
      <c r="AE686" s="121">
        <v>0.0</v>
      </c>
      <c r="AF686" s="36"/>
      <c r="AG686" s="36"/>
      <c r="AH686" s="36"/>
      <c r="AI686" s="36"/>
      <c r="AJ686" s="36"/>
    </row>
    <row r="687" ht="15.75" customHeight="1">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36"/>
      <c r="AC687" s="36"/>
      <c r="AD687" s="36"/>
      <c r="AE687" s="36"/>
      <c r="AF687" s="36"/>
      <c r="AG687" s="36"/>
      <c r="AH687" s="36"/>
      <c r="AI687" s="36"/>
      <c r="AJ687" s="36"/>
    </row>
    <row r="688" ht="15.75" customHeight="1">
      <c r="A688" s="380" t="s">
        <v>1280</v>
      </c>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36"/>
      <c r="AC688" s="36"/>
      <c r="AD688" s="36"/>
      <c r="AE688" s="36"/>
      <c r="AF688" s="36"/>
      <c r="AG688" s="36"/>
      <c r="AH688" s="36"/>
      <c r="AI688" s="36"/>
      <c r="AJ688" s="36"/>
    </row>
    <row r="689" ht="15.75" customHeight="1">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36"/>
      <c r="AC689" s="36"/>
      <c r="AD689" s="36"/>
      <c r="AE689" s="36"/>
      <c r="AF689" s="36"/>
      <c r="AG689" s="36"/>
      <c r="AH689" s="36"/>
      <c r="AI689" s="36"/>
      <c r="AJ689" s="36"/>
    </row>
    <row r="690" ht="15.75" customHeight="1">
      <c r="A690" s="36" t="s">
        <v>215</v>
      </c>
      <c r="B690" s="36">
        <v>1.0</v>
      </c>
      <c r="C690" s="36">
        <v>2.0</v>
      </c>
      <c r="D690" s="36">
        <v>3.0</v>
      </c>
      <c r="E690" s="36">
        <v>4.0</v>
      </c>
      <c r="F690" s="36">
        <v>5.0</v>
      </c>
      <c r="G690" s="36">
        <v>6.0</v>
      </c>
      <c r="H690" s="36">
        <v>7.0</v>
      </c>
      <c r="I690" s="36">
        <v>8.0</v>
      </c>
      <c r="J690" s="36">
        <v>9.0</v>
      </c>
      <c r="K690" s="36">
        <v>10.0</v>
      </c>
      <c r="L690" s="36">
        <v>11.0</v>
      </c>
      <c r="M690" s="36">
        <v>12.0</v>
      </c>
      <c r="N690" s="36">
        <v>13.0</v>
      </c>
      <c r="O690" s="36">
        <v>14.0</v>
      </c>
      <c r="P690" s="36">
        <v>15.0</v>
      </c>
      <c r="Q690" s="36">
        <v>16.0</v>
      </c>
      <c r="R690" s="36">
        <v>17.0</v>
      </c>
      <c r="S690" s="36">
        <v>18.0</v>
      </c>
      <c r="T690" s="36">
        <v>19.0</v>
      </c>
      <c r="U690" s="36">
        <v>20.0</v>
      </c>
      <c r="V690" s="36">
        <v>21.0</v>
      </c>
      <c r="W690" s="36">
        <v>22.0</v>
      </c>
      <c r="X690" s="36">
        <v>23.0</v>
      </c>
      <c r="Y690" s="36">
        <v>24.0</v>
      </c>
      <c r="Z690" s="36">
        <v>25.0</v>
      </c>
      <c r="AA690" s="36">
        <v>26.0</v>
      </c>
      <c r="AB690" s="36">
        <v>27.0</v>
      </c>
      <c r="AC690" s="36">
        <v>28.0</v>
      </c>
      <c r="AD690" s="36">
        <v>29.0</v>
      </c>
      <c r="AE690" s="36">
        <v>30.0</v>
      </c>
      <c r="AF690" s="36"/>
      <c r="AG690" s="36"/>
      <c r="AH690" s="36"/>
      <c r="AI690" s="36"/>
      <c r="AJ690" s="36"/>
    </row>
    <row r="691" ht="15.75" customHeight="1">
      <c r="A691" s="12" t="s">
        <v>217</v>
      </c>
      <c r="B691" s="12">
        <v>0.0</v>
      </c>
      <c r="C691" s="12">
        <v>60.0</v>
      </c>
      <c r="D691" s="12">
        <v>60.0</v>
      </c>
      <c r="E691" s="12">
        <v>60.0</v>
      </c>
      <c r="F691" s="12">
        <v>60.0</v>
      </c>
      <c r="G691" s="12">
        <v>60.0</v>
      </c>
      <c r="H691" s="12">
        <v>60.0</v>
      </c>
      <c r="I691" s="12">
        <v>60.0</v>
      </c>
      <c r="J691" s="12">
        <v>60.0</v>
      </c>
      <c r="K691" s="12">
        <v>60.0</v>
      </c>
      <c r="L691" s="12">
        <v>0.0</v>
      </c>
      <c r="M691" s="12">
        <v>0.0</v>
      </c>
      <c r="N691" s="12">
        <v>0.0</v>
      </c>
      <c r="O691" s="12">
        <v>0.0</v>
      </c>
      <c r="P691" s="12">
        <v>0.0</v>
      </c>
      <c r="Q691" s="12">
        <v>0.0</v>
      </c>
      <c r="R691" s="12">
        <v>0.0</v>
      </c>
      <c r="S691" s="12">
        <v>0.0</v>
      </c>
      <c r="T691" s="12">
        <v>0.0</v>
      </c>
      <c r="U691" s="12">
        <v>0.0</v>
      </c>
      <c r="V691" s="12">
        <v>0.0</v>
      </c>
      <c r="W691" s="12">
        <v>0.0</v>
      </c>
      <c r="X691" s="12">
        <v>0.0</v>
      </c>
      <c r="Y691" s="12">
        <v>0.0</v>
      </c>
      <c r="Z691" s="12">
        <v>0.0</v>
      </c>
      <c r="AA691" s="12">
        <v>0.0</v>
      </c>
      <c r="AB691" s="12">
        <v>0.0</v>
      </c>
      <c r="AC691" s="12">
        <v>0.0</v>
      </c>
      <c r="AD691" s="12">
        <v>0.0</v>
      </c>
      <c r="AE691" s="12">
        <v>0.0</v>
      </c>
      <c r="AF691" s="36"/>
      <c r="AG691" s="36"/>
      <c r="AH691" s="36"/>
      <c r="AI691" s="36"/>
      <c r="AJ691" s="36"/>
    </row>
    <row r="692" ht="15.75" customHeight="1">
      <c r="A692" s="12" t="s">
        <v>218</v>
      </c>
      <c r="B692" s="121">
        <v>0.0</v>
      </c>
      <c r="C692" s="121">
        <v>0.0</v>
      </c>
      <c r="D692" s="121">
        <v>0.0</v>
      </c>
      <c r="E692" s="121">
        <v>0.0</v>
      </c>
      <c r="F692" s="121">
        <v>0.0</v>
      </c>
      <c r="G692" s="121">
        <v>0.0</v>
      </c>
      <c r="H692" s="121">
        <v>0.0</v>
      </c>
      <c r="I692" s="121">
        <v>0.0</v>
      </c>
      <c r="J692" s="121">
        <v>0.0</v>
      </c>
      <c r="K692" s="121">
        <v>0.0</v>
      </c>
      <c r="L692" s="121">
        <v>0.0</v>
      </c>
      <c r="M692" s="121">
        <v>0.0</v>
      </c>
      <c r="N692" s="121">
        <v>0.0</v>
      </c>
      <c r="O692" s="121">
        <v>0.0</v>
      </c>
      <c r="P692" s="121">
        <v>0.0</v>
      </c>
      <c r="Q692" s="121">
        <v>0.0</v>
      </c>
      <c r="R692" s="121">
        <v>0.0</v>
      </c>
      <c r="S692" s="121">
        <v>0.0</v>
      </c>
      <c r="T692" s="121">
        <v>0.0</v>
      </c>
      <c r="U692" s="121">
        <v>0.0</v>
      </c>
      <c r="V692" s="121">
        <v>0.0</v>
      </c>
      <c r="W692" s="121">
        <v>0.0</v>
      </c>
      <c r="X692" s="121">
        <v>0.0</v>
      </c>
      <c r="Y692" s="121">
        <v>0.0</v>
      </c>
      <c r="Z692" s="121">
        <v>0.0</v>
      </c>
      <c r="AA692" s="121">
        <v>0.0</v>
      </c>
      <c r="AB692" s="121">
        <v>0.0</v>
      </c>
      <c r="AC692" s="121">
        <v>0.0</v>
      </c>
      <c r="AD692" s="121">
        <v>0.0</v>
      </c>
      <c r="AE692" s="121">
        <v>0.0</v>
      </c>
      <c r="AF692" s="36"/>
      <c r="AG692" s="36"/>
      <c r="AH692" s="36"/>
      <c r="AI692" s="36"/>
      <c r="AJ692" s="36"/>
    </row>
    <row r="693" ht="15.75" customHeight="1">
      <c r="A693" s="12"/>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c r="AA693" s="36"/>
      <c r="AB693" s="36"/>
      <c r="AC693" s="36"/>
      <c r="AD693" s="36"/>
      <c r="AE693" s="36"/>
      <c r="AF693" s="36"/>
      <c r="AG693" s="36"/>
      <c r="AH693" s="36"/>
      <c r="AI693" s="36"/>
      <c r="AJ693" s="36"/>
    </row>
    <row r="694" ht="15.75" customHeight="1">
      <c r="A694" s="380" t="s">
        <v>1276</v>
      </c>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c r="AA694" s="36"/>
      <c r="AB694" s="36"/>
      <c r="AC694" s="36"/>
      <c r="AD694" s="36"/>
      <c r="AE694" s="36"/>
      <c r="AF694" s="36"/>
      <c r="AG694" s="36"/>
      <c r="AH694" s="36"/>
      <c r="AI694" s="36"/>
      <c r="AJ694" s="36"/>
    </row>
    <row r="695" ht="15.75" customHeight="1">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c r="AA695" s="36"/>
      <c r="AB695" s="36"/>
      <c r="AC695" s="36"/>
      <c r="AD695" s="36"/>
      <c r="AE695" s="36"/>
      <c r="AF695" s="36"/>
      <c r="AG695" s="36"/>
      <c r="AH695" s="36"/>
      <c r="AI695" s="36"/>
      <c r="AJ695" s="36"/>
    </row>
    <row r="696" ht="15.75" customHeight="1">
      <c r="A696" s="36" t="s">
        <v>215</v>
      </c>
      <c r="B696" s="12">
        <v>1.0</v>
      </c>
      <c r="C696" s="36">
        <v>2.0</v>
      </c>
      <c r="D696" s="36">
        <v>3.0</v>
      </c>
      <c r="E696" s="36">
        <v>4.0</v>
      </c>
      <c r="F696" s="36">
        <v>5.0</v>
      </c>
      <c r="G696" s="36">
        <v>6.0</v>
      </c>
      <c r="H696" s="36">
        <v>7.0</v>
      </c>
      <c r="I696" s="36">
        <v>8.0</v>
      </c>
      <c r="J696" s="36">
        <v>9.0</v>
      </c>
      <c r="K696" s="36">
        <v>10.0</v>
      </c>
      <c r="L696" s="36">
        <v>11.0</v>
      </c>
      <c r="M696" s="36">
        <v>12.0</v>
      </c>
      <c r="N696" s="36">
        <v>13.0</v>
      </c>
      <c r="O696" s="36">
        <v>14.0</v>
      </c>
      <c r="P696" s="36">
        <v>15.0</v>
      </c>
      <c r="Q696" s="36">
        <v>16.0</v>
      </c>
      <c r="R696" s="36">
        <v>17.0</v>
      </c>
      <c r="S696" s="36">
        <v>18.0</v>
      </c>
      <c r="T696" s="36">
        <v>19.0</v>
      </c>
      <c r="U696" s="36">
        <v>20.0</v>
      </c>
      <c r="V696" s="36">
        <v>21.0</v>
      </c>
      <c r="W696" s="36">
        <v>22.0</v>
      </c>
      <c r="X696" s="36">
        <v>23.0</v>
      </c>
      <c r="Y696" s="36">
        <v>24.0</v>
      </c>
      <c r="Z696" s="36">
        <v>25.0</v>
      </c>
      <c r="AA696" s="36">
        <v>26.0</v>
      </c>
      <c r="AB696" s="36">
        <v>27.0</v>
      </c>
      <c r="AC696" s="36">
        <v>28.0</v>
      </c>
      <c r="AD696" s="36">
        <v>29.0</v>
      </c>
      <c r="AE696" s="36">
        <v>30.0</v>
      </c>
      <c r="AF696" s="36"/>
      <c r="AG696" s="36"/>
      <c r="AH696" s="36"/>
      <c r="AI696" s="36"/>
      <c r="AJ696" s="36"/>
    </row>
    <row r="697" ht="15.75" customHeight="1">
      <c r="A697" s="12" t="s">
        <v>217</v>
      </c>
      <c r="B697" s="12">
        <v>80.0</v>
      </c>
      <c r="C697" s="12">
        <v>80.0</v>
      </c>
      <c r="D697" s="12">
        <v>80.0</v>
      </c>
      <c r="E697" s="12">
        <v>80.0</v>
      </c>
      <c r="F697" s="12">
        <v>80.0</v>
      </c>
      <c r="G697" s="12">
        <v>0.0</v>
      </c>
      <c r="H697" s="12">
        <v>0.0</v>
      </c>
      <c r="I697" s="12">
        <v>0.0</v>
      </c>
      <c r="J697" s="12">
        <v>0.0</v>
      </c>
      <c r="K697" s="12">
        <v>0.0</v>
      </c>
      <c r="L697" s="12">
        <v>0.0</v>
      </c>
      <c r="M697" s="12">
        <v>0.0</v>
      </c>
      <c r="N697" s="12">
        <v>0.0</v>
      </c>
      <c r="O697" s="12">
        <v>0.0</v>
      </c>
      <c r="P697" s="12">
        <v>0.0</v>
      </c>
      <c r="Q697" s="12">
        <v>0.0</v>
      </c>
      <c r="R697" s="12">
        <v>0.0</v>
      </c>
      <c r="S697" s="12">
        <v>0.0</v>
      </c>
      <c r="T697" s="12">
        <v>0.0</v>
      </c>
      <c r="U697" s="12">
        <v>0.0</v>
      </c>
      <c r="V697" s="12">
        <v>0.0</v>
      </c>
      <c r="W697" s="12">
        <v>0.0</v>
      </c>
      <c r="X697" s="12">
        <v>0.0</v>
      </c>
      <c r="Y697" s="12">
        <v>0.0</v>
      </c>
      <c r="Z697" s="12">
        <v>0.0</v>
      </c>
      <c r="AA697" s="12">
        <v>0.0</v>
      </c>
      <c r="AB697" s="12">
        <v>0.0</v>
      </c>
      <c r="AC697" s="12">
        <v>0.0</v>
      </c>
      <c r="AD697" s="12">
        <v>0.0</v>
      </c>
      <c r="AE697" s="12">
        <v>0.0</v>
      </c>
      <c r="AF697" s="36"/>
      <c r="AG697" s="36"/>
      <c r="AH697" s="36"/>
      <c r="AI697" s="36"/>
      <c r="AJ697" s="36"/>
    </row>
    <row r="698" ht="15.75" customHeight="1">
      <c r="A698" s="392" t="s">
        <v>218</v>
      </c>
      <c r="B698" s="121">
        <v>0.0</v>
      </c>
      <c r="C698" s="121">
        <v>0.0</v>
      </c>
      <c r="D698" s="121">
        <v>0.0</v>
      </c>
      <c r="E698" s="121">
        <v>0.0</v>
      </c>
      <c r="F698" s="121">
        <v>0.0</v>
      </c>
      <c r="G698" s="121">
        <v>0.0</v>
      </c>
      <c r="H698" s="121">
        <v>0.0</v>
      </c>
      <c r="I698" s="121">
        <v>0.0</v>
      </c>
      <c r="J698" s="121">
        <v>0.0</v>
      </c>
      <c r="K698" s="121">
        <v>0.0</v>
      </c>
      <c r="L698" s="121">
        <v>0.0</v>
      </c>
      <c r="M698" s="121">
        <v>0.0</v>
      </c>
      <c r="N698" s="121">
        <v>0.0</v>
      </c>
      <c r="O698" s="121">
        <v>0.0</v>
      </c>
      <c r="P698" s="121">
        <v>0.0</v>
      </c>
      <c r="Q698" s="121">
        <v>0.0</v>
      </c>
      <c r="R698" s="121">
        <v>0.0</v>
      </c>
      <c r="S698" s="121">
        <v>0.0</v>
      </c>
      <c r="T698" s="121">
        <v>0.0</v>
      </c>
      <c r="U698" s="121">
        <v>0.0</v>
      </c>
      <c r="V698" s="121">
        <v>0.0</v>
      </c>
      <c r="W698" s="121">
        <v>0.0</v>
      </c>
      <c r="X698" s="121">
        <v>0.0</v>
      </c>
      <c r="Y698" s="121">
        <v>0.0</v>
      </c>
      <c r="Z698" s="121">
        <v>0.0</v>
      </c>
      <c r="AA698" s="121">
        <v>0.0</v>
      </c>
      <c r="AB698" s="121">
        <v>0.0</v>
      </c>
      <c r="AC698" s="121">
        <v>0.0</v>
      </c>
      <c r="AD698" s="121">
        <v>0.0</v>
      </c>
      <c r="AE698" s="121">
        <v>0.0</v>
      </c>
      <c r="AF698" s="393"/>
      <c r="AG698" s="393"/>
      <c r="AH698" s="393"/>
      <c r="AI698" s="393"/>
      <c r="AJ698" s="393"/>
    </row>
    <row r="699" ht="15.75" customHeight="1">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c r="AA699" s="36"/>
      <c r="AB699" s="36"/>
      <c r="AC699" s="36"/>
      <c r="AD699" s="36"/>
      <c r="AE699" s="36"/>
      <c r="AF699" s="36"/>
      <c r="AG699" s="36"/>
      <c r="AH699" s="36"/>
      <c r="AI699" s="36"/>
      <c r="AJ699" s="36"/>
    </row>
    <row r="700" ht="15.75" customHeight="1">
      <c r="A700" s="382" t="s">
        <v>1273</v>
      </c>
      <c r="B700" s="372"/>
      <c r="C700" s="372"/>
      <c r="D700" s="372"/>
      <c r="E700" s="372"/>
      <c r="F700" s="372"/>
      <c r="G700" s="372"/>
      <c r="H700" s="372"/>
      <c r="I700" s="372"/>
      <c r="J700" s="372"/>
      <c r="K700" s="372"/>
      <c r="L700" s="372"/>
      <c r="M700" s="372"/>
      <c r="N700" s="372"/>
      <c r="O700" s="372"/>
      <c r="P700" s="372"/>
      <c r="Q700" s="372"/>
      <c r="R700" s="372"/>
      <c r="S700" s="372"/>
      <c r="T700" s="372"/>
      <c r="U700" s="372"/>
      <c r="V700" s="372"/>
      <c r="W700" s="372"/>
      <c r="X700" s="372"/>
      <c r="Y700" s="372"/>
      <c r="Z700" s="372"/>
      <c r="AA700" s="372"/>
      <c r="AB700" s="372"/>
      <c r="AC700" s="372"/>
      <c r="AD700" s="372"/>
      <c r="AE700" s="372"/>
      <c r="AF700" s="372"/>
      <c r="AG700" s="372"/>
      <c r="AH700" s="372"/>
      <c r="AI700" s="372"/>
      <c r="AJ700" s="372"/>
    </row>
    <row r="701" ht="15.75" customHeight="1">
      <c r="A701" s="372"/>
      <c r="B701" s="372"/>
      <c r="C701" s="372"/>
      <c r="D701" s="372"/>
      <c r="E701" s="372"/>
      <c r="F701" s="372"/>
      <c r="G701" s="372"/>
      <c r="H701" s="372"/>
      <c r="I701" s="372"/>
      <c r="J701" s="372"/>
      <c r="K701" s="372"/>
      <c r="L701" s="372"/>
      <c r="M701" s="372"/>
      <c r="N701" s="372"/>
      <c r="O701" s="372"/>
      <c r="P701" s="372"/>
      <c r="Q701" s="372"/>
      <c r="R701" s="372"/>
      <c r="S701" s="372"/>
      <c r="T701" s="372"/>
      <c r="U701" s="372"/>
      <c r="V701" s="372"/>
      <c r="W701" s="372"/>
      <c r="X701" s="372"/>
      <c r="Y701" s="372"/>
      <c r="Z701" s="372"/>
      <c r="AA701" s="372"/>
      <c r="AB701" s="372"/>
      <c r="AC701" s="372"/>
      <c r="AD701" s="372"/>
      <c r="AE701" s="372"/>
      <c r="AF701" s="372"/>
      <c r="AG701" s="372"/>
      <c r="AH701" s="372"/>
      <c r="AI701" s="372"/>
      <c r="AJ701" s="372"/>
    </row>
    <row r="702" ht="15.75" customHeight="1">
      <c r="A702" s="372" t="s">
        <v>215</v>
      </c>
      <c r="B702" s="1">
        <v>1.0</v>
      </c>
      <c r="C702" s="372">
        <v>2.0</v>
      </c>
      <c r="D702" s="372">
        <v>3.0</v>
      </c>
      <c r="E702" s="372">
        <v>4.0</v>
      </c>
      <c r="F702" s="372">
        <v>5.0</v>
      </c>
      <c r="G702" s="372">
        <v>6.0</v>
      </c>
      <c r="H702" s="372">
        <v>7.0</v>
      </c>
      <c r="I702" s="372">
        <v>8.0</v>
      </c>
      <c r="J702" s="372">
        <v>9.0</v>
      </c>
      <c r="K702" s="372">
        <v>10.0</v>
      </c>
      <c r="L702" s="372">
        <v>11.0</v>
      </c>
      <c r="M702" s="372">
        <v>12.0</v>
      </c>
      <c r="N702" s="372">
        <v>13.0</v>
      </c>
      <c r="O702" s="372">
        <v>14.0</v>
      </c>
      <c r="P702" s="372">
        <v>15.0</v>
      </c>
      <c r="Q702" s="372">
        <v>16.0</v>
      </c>
      <c r="R702" s="372">
        <v>17.0</v>
      </c>
      <c r="S702" s="372">
        <v>18.0</v>
      </c>
      <c r="T702" s="372">
        <v>19.0</v>
      </c>
      <c r="U702" s="372">
        <v>20.0</v>
      </c>
      <c r="V702" s="372">
        <v>21.0</v>
      </c>
      <c r="W702" s="372">
        <v>22.0</v>
      </c>
      <c r="X702" s="372">
        <v>23.0</v>
      </c>
      <c r="Y702" s="372">
        <v>24.0</v>
      </c>
      <c r="Z702" s="372">
        <v>25.0</v>
      </c>
      <c r="AA702" s="372">
        <v>26.0</v>
      </c>
      <c r="AB702" s="372">
        <v>27.0</v>
      </c>
      <c r="AC702" s="372">
        <v>28.0</v>
      </c>
      <c r="AD702" s="372">
        <v>29.0</v>
      </c>
      <c r="AE702" s="372">
        <v>30.0</v>
      </c>
      <c r="AF702" s="372"/>
      <c r="AG702" s="372"/>
      <c r="AH702" s="372"/>
      <c r="AI702" s="372"/>
      <c r="AJ702" s="372"/>
    </row>
    <row r="703" ht="15.75" customHeight="1">
      <c r="A703" s="1" t="s">
        <v>217</v>
      </c>
      <c r="B703" s="1">
        <v>0.0</v>
      </c>
      <c r="C703" s="1">
        <v>0.0</v>
      </c>
      <c r="D703" s="1">
        <v>0.0</v>
      </c>
      <c r="E703" s="1">
        <v>0.0</v>
      </c>
      <c r="F703" s="1">
        <v>0.0</v>
      </c>
      <c r="G703" s="1">
        <v>0.0</v>
      </c>
      <c r="H703" s="1">
        <v>0.0</v>
      </c>
      <c r="I703" s="1">
        <v>0.0</v>
      </c>
      <c r="J703" s="1">
        <v>0.0</v>
      </c>
      <c r="K703" s="1">
        <v>0.0</v>
      </c>
      <c r="L703" s="1">
        <v>0.0</v>
      </c>
      <c r="M703" s="1">
        <v>0.0</v>
      </c>
      <c r="N703" s="1">
        <v>0.0</v>
      </c>
      <c r="O703" s="1">
        <v>0.0</v>
      </c>
      <c r="P703" s="1">
        <v>0.0</v>
      </c>
      <c r="Q703" s="1">
        <v>0.0</v>
      </c>
      <c r="R703" s="1">
        <v>0.0</v>
      </c>
      <c r="S703" s="1">
        <v>0.0</v>
      </c>
      <c r="T703" s="1">
        <v>0.0</v>
      </c>
      <c r="U703" s="1">
        <v>0.0</v>
      </c>
      <c r="V703" s="1">
        <v>0.0</v>
      </c>
      <c r="W703" s="1">
        <v>0.0</v>
      </c>
      <c r="X703" s="1">
        <v>0.0</v>
      </c>
      <c r="Y703" s="1">
        <v>0.0</v>
      </c>
      <c r="Z703" s="1">
        <v>0.0</v>
      </c>
      <c r="AA703" s="1">
        <v>0.0</v>
      </c>
      <c r="AB703" s="1">
        <v>0.0</v>
      </c>
      <c r="AC703" s="1">
        <v>0.0</v>
      </c>
      <c r="AD703" s="1">
        <v>0.0</v>
      </c>
      <c r="AE703" s="1">
        <v>0.0</v>
      </c>
      <c r="AF703" s="372"/>
      <c r="AG703" s="372"/>
      <c r="AH703" s="372"/>
      <c r="AI703" s="372"/>
      <c r="AJ703" s="372"/>
    </row>
    <row r="704" ht="15.75" customHeight="1">
      <c r="A704" s="394" t="s">
        <v>218</v>
      </c>
      <c r="B704" s="1">
        <f>IF(Annual_Prem&lt;250000,2.64%,IF(AND(Annual_Prem &gt;=250000,Annual_Prem&lt;=500000),2.4%,2.16%))/Mode/12</f>
        <v>0.0001833333333</v>
      </c>
      <c r="C704" s="1">
        <f>IF(Annual_Prem&lt;250000,2.64%,IF(AND(Annual_Prem &gt;=250000,Annual_Prem&lt;=500000),2.4%,2.16%))/Mode/12</f>
        <v>0.0001833333333</v>
      </c>
      <c r="D704" s="1">
        <f>IF(Annual_Prem&lt;250000,2.64%,IF(AND(Annual_Prem &gt;=250000,Annual_Prem&lt;=500000),2.4%,2.16%))/Mode/12</f>
        <v>0.0001833333333</v>
      </c>
      <c r="E704" s="1">
        <f>IF(Annual_Prem&lt;250000,2.64%,IF(AND(Annual_Prem &gt;=250000,Annual_Prem&lt;=500000),2.4%,2.16%))/Mode/12</f>
        <v>0.0001833333333</v>
      </c>
      <c r="F704" s="1">
        <f>IF(Annual_Prem&lt;250000,2.64%,IF(AND(Annual_Prem &gt;=250000,Annual_Prem&lt;=500000),2.4%,2.16%))/Mode/12</f>
        <v>0.0001833333333</v>
      </c>
      <c r="G704" s="1">
        <v>0.0</v>
      </c>
      <c r="H704" s="1">
        <v>0.0</v>
      </c>
      <c r="I704" s="1">
        <v>0.0</v>
      </c>
      <c r="J704" s="1">
        <v>0.0</v>
      </c>
      <c r="K704" s="1">
        <v>0.0</v>
      </c>
      <c r="L704" s="1">
        <v>0.0</v>
      </c>
      <c r="M704" s="1">
        <v>0.0</v>
      </c>
      <c r="N704" s="1">
        <v>0.0</v>
      </c>
      <c r="O704" s="1">
        <v>0.0</v>
      </c>
      <c r="P704" s="1">
        <v>0.0</v>
      </c>
      <c r="Q704" s="1">
        <v>0.0</v>
      </c>
      <c r="R704" s="1">
        <v>0.0</v>
      </c>
      <c r="S704" s="1">
        <v>0.0</v>
      </c>
      <c r="T704" s="1">
        <v>0.0</v>
      </c>
      <c r="U704" s="1">
        <v>0.0</v>
      </c>
      <c r="V704" s="1">
        <v>0.0</v>
      </c>
      <c r="W704" s="1">
        <v>0.0</v>
      </c>
      <c r="X704" s="1">
        <v>0.0</v>
      </c>
      <c r="Y704" s="1">
        <v>0.0</v>
      </c>
      <c r="Z704" s="1">
        <v>0.0</v>
      </c>
      <c r="AA704" s="1">
        <v>0.0</v>
      </c>
      <c r="AB704" s="1">
        <v>0.0</v>
      </c>
      <c r="AC704" s="1">
        <v>0.0</v>
      </c>
      <c r="AD704" s="1">
        <v>0.0</v>
      </c>
      <c r="AE704" s="1">
        <v>0.0</v>
      </c>
      <c r="AF704" s="372"/>
      <c r="AG704" s="372"/>
      <c r="AH704" s="372"/>
      <c r="AI704" s="372"/>
      <c r="AJ704" s="372"/>
    </row>
    <row r="705" ht="15.75" customHeight="1">
      <c r="A705" s="380" t="s">
        <v>1269</v>
      </c>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c r="AA705" s="36"/>
      <c r="AB705" s="36"/>
      <c r="AC705" s="36"/>
      <c r="AD705" s="36"/>
      <c r="AE705" s="36"/>
      <c r="AF705" s="36"/>
      <c r="AG705" s="36"/>
      <c r="AH705" s="36"/>
      <c r="AI705" s="36"/>
      <c r="AJ705" s="36"/>
    </row>
    <row r="706" ht="15.75" customHeight="1">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c r="AA706" s="36"/>
      <c r="AB706" s="36"/>
      <c r="AC706" s="36"/>
      <c r="AD706" s="36"/>
      <c r="AE706" s="36"/>
      <c r="AF706" s="36"/>
      <c r="AG706" s="36"/>
      <c r="AH706" s="36"/>
      <c r="AI706" s="36"/>
      <c r="AJ706" s="36"/>
    </row>
    <row r="707" ht="15.75" customHeight="1">
      <c r="A707" s="36" t="s">
        <v>215</v>
      </c>
      <c r="B707" s="36">
        <v>1.0</v>
      </c>
      <c r="C707" s="36">
        <v>2.0</v>
      </c>
      <c r="D707" s="36">
        <v>3.0</v>
      </c>
      <c r="E707" s="36">
        <v>4.0</v>
      </c>
      <c r="F707" s="36">
        <v>5.0</v>
      </c>
      <c r="G707" s="36">
        <v>6.0</v>
      </c>
      <c r="H707" s="36">
        <v>7.0</v>
      </c>
      <c r="I707" s="36">
        <v>8.0</v>
      </c>
      <c r="J707" s="36">
        <v>9.0</v>
      </c>
      <c r="K707" s="36">
        <v>10.0</v>
      </c>
      <c r="L707" s="36">
        <v>11.0</v>
      </c>
      <c r="M707" s="36">
        <v>12.0</v>
      </c>
      <c r="N707" s="36">
        <v>13.0</v>
      </c>
      <c r="O707" s="36">
        <v>14.0</v>
      </c>
      <c r="P707" s="36">
        <v>15.0</v>
      </c>
      <c r="Q707" s="36">
        <v>16.0</v>
      </c>
      <c r="R707" s="36">
        <v>17.0</v>
      </c>
      <c r="S707" s="36">
        <v>18.0</v>
      </c>
      <c r="T707" s="36">
        <v>19.0</v>
      </c>
      <c r="U707" s="36">
        <v>20.0</v>
      </c>
      <c r="V707" s="36">
        <v>21.0</v>
      </c>
      <c r="W707" s="36">
        <v>22.0</v>
      </c>
      <c r="X707" s="36">
        <v>23.0</v>
      </c>
      <c r="Y707" s="36">
        <v>24.0</v>
      </c>
      <c r="Z707" s="36">
        <v>25.0</v>
      </c>
      <c r="AA707" s="36">
        <v>26.0</v>
      </c>
      <c r="AB707" s="36">
        <v>27.0</v>
      </c>
      <c r="AC707" s="36">
        <v>28.0</v>
      </c>
      <c r="AD707" s="36">
        <v>29.0</v>
      </c>
      <c r="AE707" s="36">
        <v>30.0</v>
      </c>
      <c r="AF707" s="36"/>
      <c r="AG707" s="36"/>
      <c r="AH707" s="36"/>
      <c r="AI707" s="36"/>
      <c r="AJ707" s="36"/>
    </row>
    <row r="708" ht="15.75" customHeight="1">
      <c r="A708" s="12" t="s">
        <v>217</v>
      </c>
      <c r="B708" s="12">
        <v>0.0</v>
      </c>
      <c r="C708" s="12">
        <v>60.0</v>
      </c>
      <c r="D708" s="12">
        <v>60.0</v>
      </c>
      <c r="E708" s="12">
        <v>60.0</v>
      </c>
      <c r="F708" s="12">
        <v>0.0</v>
      </c>
      <c r="G708" s="12">
        <v>0.0</v>
      </c>
      <c r="H708" s="12">
        <v>0.0</v>
      </c>
      <c r="I708" s="12">
        <v>0.0</v>
      </c>
      <c r="J708" s="12">
        <v>0.0</v>
      </c>
      <c r="K708" s="12">
        <v>0.0</v>
      </c>
      <c r="L708" s="12">
        <v>0.0</v>
      </c>
      <c r="M708" s="12">
        <v>0.0</v>
      </c>
      <c r="N708" s="12">
        <v>0.0</v>
      </c>
      <c r="O708" s="12">
        <v>0.0</v>
      </c>
      <c r="P708" s="12">
        <v>0.0</v>
      </c>
      <c r="Q708" s="12">
        <v>0.0</v>
      </c>
      <c r="R708" s="12">
        <v>0.0</v>
      </c>
      <c r="S708" s="12">
        <v>0.0</v>
      </c>
      <c r="T708" s="12">
        <v>0.0</v>
      </c>
      <c r="U708" s="12">
        <v>0.0</v>
      </c>
      <c r="V708" s="12">
        <v>0.0</v>
      </c>
      <c r="W708" s="12">
        <v>0.0</v>
      </c>
      <c r="X708" s="12">
        <v>0.0</v>
      </c>
      <c r="Y708" s="12">
        <v>0.0</v>
      </c>
      <c r="Z708" s="12">
        <v>0.0</v>
      </c>
      <c r="AA708" s="12">
        <v>0.0</v>
      </c>
      <c r="AB708" s="12">
        <v>0.0</v>
      </c>
      <c r="AC708" s="12">
        <v>0.0</v>
      </c>
      <c r="AD708" s="12">
        <v>0.0</v>
      </c>
      <c r="AE708" s="12">
        <v>0.0</v>
      </c>
      <c r="AF708" s="36"/>
      <c r="AG708" s="36"/>
      <c r="AH708" s="36"/>
      <c r="AI708" s="36"/>
      <c r="AJ708" s="36"/>
    </row>
    <row r="709" ht="15.75" customHeight="1">
      <c r="A709" s="12" t="s">
        <v>218</v>
      </c>
      <c r="B709" s="121">
        <v>0.0</v>
      </c>
      <c r="C709" s="121">
        <v>0.0</v>
      </c>
      <c r="D709" s="121">
        <v>0.0</v>
      </c>
      <c r="E709" s="121">
        <v>0.0</v>
      </c>
      <c r="F709" s="121">
        <v>0.0</v>
      </c>
      <c r="G709" s="121">
        <v>0.0</v>
      </c>
      <c r="H709" s="121">
        <v>0.0</v>
      </c>
      <c r="I709" s="121">
        <v>0.0</v>
      </c>
      <c r="J709" s="121">
        <v>0.0</v>
      </c>
      <c r="K709" s="121">
        <v>0.0</v>
      </c>
      <c r="L709" s="121">
        <v>0.0</v>
      </c>
      <c r="M709" s="121">
        <v>0.0</v>
      </c>
      <c r="N709" s="121">
        <v>0.0</v>
      </c>
      <c r="O709" s="121">
        <v>0.0</v>
      </c>
      <c r="P709" s="121">
        <v>0.0</v>
      </c>
      <c r="Q709" s="121">
        <v>0.0</v>
      </c>
      <c r="R709" s="121">
        <v>0.0</v>
      </c>
      <c r="S709" s="121">
        <v>0.0</v>
      </c>
      <c r="T709" s="121">
        <v>0.0</v>
      </c>
      <c r="U709" s="121">
        <v>0.0</v>
      </c>
      <c r="V709" s="121">
        <v>0.0</v>
      </c>
      <c r="W709" s="121">
        <v>0.0</v>
      </c>
      <c r="X709" s="121">
        <v>0.0</v>
      </c>
      <c r="Y709" s="121">
        <v>0.0</v>
      </c>
      <c r="Z709" s="121">
        <v>0.0</v>
      </c>
      <c r="AA709" s="121">
        <v>0.0</v>
      </c>
      <c r="AB709" s="121">
        <v>0.0</v>
      </c>
      <c r="AC709" s="121">
        <v>0.0</v>
      </c>
      <c r="AD709" s="121">
        <v>0.0</v>
      </c>
      <c r="AE709" s="121">
        <v>0.0</v>
      </c>
      <c r="AF709" s="36"/>
      <c r="AG709" s="36"/>
      <c r="AH709" s="36"/>
      <c r="AI709" s="36"/>
      <c r="AJ709" s="36"/>
    </row>
    <row r="710" ht="15.75" customHeight="1">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c r="AA710" s="36"/>
      <c r="AB710" s="36"/>
      <c r="AC710" s="36"/>
      <c r="AD710" s="36"/>
      <c r="AE710" s="36"/>
      <c r="AF710" s="36"/>
      <c r="AG710" s="36"/>
      <c r="AH710" s="36"/>
      <c r="AI710" s="36"/>
      <c r="AJ710" s="36"/>
    </row>
    <row r="711" ht="15.75" customHeight="1">
      <c r="A711" s="380" t="s">
        <v>1116</v>
      </c>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c r="AA711" s="36"/>
      <c r="AB711" s="36"/>
      <c r="AC711" s="36"/>
      <c r="AD711" s="36"/>
      <c r="AE711" s="36"/>
      <c r="AF711" s="36"/>
      <c r="AG711" s="36"/>
      <c r="AH711" s="36"/>
      <c r="AI711" s="36"/>
      <c r="AJ711" s="36"/>
    </row>
    <row r="712" ht="15.75" customHeight="1">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c r="AA712" s="36"/>
      <c r="AB712" s="36"/>
      <c r="AC712" s="36"/>
      <c r="AD712" s="36"/>
      <c r="AE712" s="36"/>
      <c r="AF712" s="36"/>
      <c r="AG712" s="36"/>
      <c r="AH712" s="36"/>
      <c r="AI712" s="36"/>
      <c r="AJ712" s="36"/>
    </row>
    <row r="713" ht="15.75" customHeight="1">
      <c r="A713" s="36" t="s">
        <v>215</v>
      </c>
      <c r="B713" s="36">
        <v>1.0</v>
      </c>
      <c r="C713" s="36">
        <v>2.0</v>
      </c>
      <c r="D713" s="36">
        <v>3.0</v>
      </c>
      <c r="E713" s="36">
        <v>4.0</v>
      </c>
      <c r="F713" s="36">
        <v>5.0</v>
      </c>
      <c r="G713" s="36">
        <v>6.0</v>
      </c>
      <c r="H713" s="36">
        <v>7.0</v>
      </c>
      <c r="I713" s="36">
        <v>8.0</v>
      </c>
      <c r="J713" s="36">
        <v>9.0</v>
      </c>
      <c r="K713" s="36">
        <v>10.0</v>
      </c>
      <c r="L713" s="36">
        <v>11.0</v>
      </c>
      <c r="M713" s="36">
        <v>12.0</v>
      </c>
      <c r="N713" s="36">
        <v>13.0</v>
      </c>
      <c r="O713" s="36">
        <v>14.0</v>
      </c>
      <c r="P713" s="36">
        <v>15.0</v>
      </c>
      <c r="Q713" s="36">
        <v>16.0</v>
      </c>
      <c r="R713" s="36">
        <v>17.0</v>
      </c>
      <c r="S713" s="36">
        <v>18.0</v>
      </c>
      <c r="T713" s="36">
        <v>19.0</v>
      </c>
      <c r="U713" s="36">
        <v>20.0</v>
      </c>
      <c r="V713" s="36">
        <v>21.0</v>
      </c>
      <c r="W713" s="36">
        <v>22.0</v>
      </c>
      <c r="X713" s="36">
        <v>23.0</v>
      </c>
      <c r="Y713" s="36">
        <v>24.0</v>
      </c>
      <c r="Z713" s="36">
        <v>25.0</v>
      </c>
      <c r="AA713" s="36">
        <v>26.0</v>
      </c>
      <c r="AB713" s="36">
        <v>27.0</v>
      </c>
      <c r="AC713" s="36">
        <v>28.0</v>
      </c>
      <c r="AD713" s="36">
        <v>29.0</v>
      </c>
      <c r="AE713" s="36">
        <v>30.0</v>
      </c>
      <c r="AF713" s="36"/>
      <c r="AG713" s="36"/>
      <c r="AH713" s="36"/>
      <c r="AI713" s="36"/>
      <c r="AJ713" s="36"/>
    </row>
    <row r="714" ht="15.75" customHeight="1">
      <c r="A714" s="12" t="s">
        <v>217</v>
      </c>
      <c r="B714" s="12">
        <v>50.0</v>
      </c>
      <c r="C714" s="12">
        <v>50.0</v>
      </c>
      <c r="D714" s="12">
        <v>50.0</v>
      </c>
      <c r="E714" s="12">
        <v>50.0</v>
      </c>
      <c r="F714" s="12">
        <v>50.0</v>
      </c>
      <c r="G714" s="12">
        <v>50.0</v>
      </c>
      <c r="H714" s="12">
        <v>50.0</v>
      </c>
      <c r="I714" s="12">
        <v>50.0</v>
      </c>
      <c r="J714" s="12">
        <v>50.0</v>
      </c>
      <c r="K714" s="12">
        <v>50.0</v>
      </c>
      <c r="L714" s="12">
        <v>50.0</v>
      </c>
      <c r="M714" s="12">
        <v>50.0</v>
      </c>
      <c r="N714" s="12">
        <v>50.0</v>
      </c>
      <c r="O714" s="12">
        <v>50.0</v>
      </c>
      <c r="P714" s="12">
        <v>50.0</v>
      </c>
      <c r="Q714" s="12">
        <v>50.0</v>
      </c>
      <c r="R714" s="12">
        <v>50.0</v>
      </c>
      <c r="S714" s="12">
        <v>50.0</v>
      </c>
      <c r="T714" s="12">
        <v>50.0</v>
      </c>
      <c r="U714" s="12">
        <v>50.0</v>
      </c>
      <c r="V714" s="12">
        <v>50.0</v>
      </c>
      <c r="W714" s="12">
        <v>50.0</v>
      </c>
      <c r="X714" s="12">
        <v>50.0</v>
      </c>
      <c r="Y714" s="12">
        <v>50.0</v>
      </c>
      <c r="Z714" s="12">
        <v>50.0</v>
      </c>
      <c r="AA714" s="12">
        <v>50.0</v>
      </c>
      <c r="AB714" s="12">
        <v>50.0</v>
      </c>
      <c r="AC714" s="12">
        <v>50.0</v>
      </c>
      <c r="AD714" s="12">
        <v>50.0</v>
      </c>
      <c r="AE714" s="12">
        <v>50.0</v>
      </c>
      <c r="AF714" s="36"/>
      <c r="AG714" s="36"/>
      <c r="AH714" s="36"/>
      <c r="AI714" s="36"/>
      <c r="AJ714" s="36"/>
    </row>
    <row r="715" ht="15.75" customHeight="1">
      <c r="A715" s="12" t="s">
        <v>218</v>
      </c>
      <c r="B715" s="121">
        <v>0.0</v>
      </c>
      <c r="C715" s="121">
        <v>0.0</v>
      </c>
      <c r="D715" s="121">
        <v>0.0</v>
      </c>
      <c r="E715" s="121">
        <v>0.0</v>
      </c>
      <c r="F715" s="121">
        <v>0.0</v>
      </c>
      <c r="G715" s="121">
        <v>0.0</v>
      </c>
      <c r="H715" s="121">
        <v>0.0</v>
      </c>
      <c r="I715" s="121">
        <v>0.0</v>
      </c>
      <c r="J715" s="121">
        <v>0.0</v>
      </c>
      <c r="K715" s="121">
        <v>0.0</v>
      </c>
      <c r="L715" s="121">
        <v>0.0</v>
      </c>
      <c r="M715" s="121">
        <v>0.0</v>
      </c>
      <c r="N715" s="121">
        <v>0.0</v>
      </c>
      <c r="O715" s="121">
        <v>0.0</v>
      </c>
      <c r="P715" s="121">
        <v>0.0</v>
      </c>
      <c r="Q715" s="121">
        <v>0.0</v>
      </c>
      <c r="R715" s="121">
        <v>0.0</v>
      </c>
      <c r="S715" s="121">
        <v>0.0</v>
      </c>
      <c r="T715" s="121">
        <v>0.0</v>
      </c>
      <c r="U715" s="121">
        <v>0.0</v>
      </c>
      <c r="V715" s="121">
        <v>0.0</v>
      </c>
      <c r="W715" s="121">
        <v>0.0</v>
      </c>
      <c r="X715" s="121">
        <v>0.0</v>
      </c>
      <c r="Y715" s="121">
        <v>0.0</v>
      </c>
      <c r="Z715" s="121">
        <v>0.0</v>
      </c>
      <c r="AA715" s="121">
        <v>0.0</v>
      </c>
      <c r="AB715" s="121">
        <v>0.0</v>
      </c>
      <c r="AC715" s="121">
        <v>0.0</v>
      </c>
      <c r="AD715" s="121">
        <v>0.0</v>
      </c>
      <c r="AE715" s="121">
        <v>0.0</v>
      </c>
      <c r="AF715" s="36"/>
      <c r="AG715" s="36"/>
      <c r="AH715" s="36"/>
      <c r="AI715" s="36"/>
      <c r="AJ715" s="36"/>
    </row>
    <row r="716" ht="15.75" customHeight="1">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c r="AA716" s="36"/>
      <c r="AB716" s="36"/>
      <c r="AC716" s="36"/>
      <c r="AD716" s="36"/>
      <c r="AE716" s="36"/>
      <c r="AF716" s="36"/>
      <c r="AG716" s="36"/>
      <c r="AH716" s="36"/>
      <c r="AI716" s="36"/>
      <c r="AJ716" s="36"/>
    </row>
    <row r="717" ht="15.75" customHeight="1">
      <c r="A717" s="380" t="s">
        <v>1265</v>
      </c>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c r="AA717" s="36"/>
      <c r="AB717" s="36"/>
      <c r="AC717" s="36"/>
      <c r="AD717" s="36"/>
      <c r="AE717" s="36"/>
      <c r="AF717" s="36"/>
      <c r="AG717" s="36"/>
      <c r="AH717" s="36"/>
      <c r="AI717" s="36"/>
      <c r="AJ717" s="36"/>
    </row>
    <row r="718" ht="15.75" customHeight="1">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c r="AA718" s="36"/>
      <c r="AB718" s="36"/>
      <c r="AC718" s="36"/>
      <c r="AD718" s="36"/>
      <c r="AE718" s="36"/>
      <c r="AF718" s="36"/>
      <c r="AG718" s="36"/>
      <c r="AH718" s="36"/>
      <c r="AI718" s="36"/>
      <c r="AJ718" s="36"/>
    </row>
    <row r="719" ht="13.5" customHeight="1">
      <c r="A719" s="36" t="s">
        <v>1956</v>
      </c>
      <c r="B719" s="36">
        <v>1.0</v>
      </c>
      <c r="C719" s="36">
        <v>2.0</v>
      </c>
      <c r="D719" s="36">
        <v>3.0</v>
      </c>
      <c r="E719" s="36">
        <v>4.0</v>
      </c>
      <c r="F719" s="36">
        <v>5.0</v>
      </c>
      <c r="G719" s="36">
        <v>6.0</v>
      </c>
      <c r="H719" s="36">
        <v>7.0</v>
      </c>
      <c r="I719" s="36">
        <v>8.0</v>
      </c>
      <c r="J719" s="36">
        <v>9.0</v>
      </c>
      <c r="K719" s="36">
        <v>10.0</v>
      </c>
      <c r="L719" s="36">
        <v>11.0</v>
      </c>
      <c r="M719" s="36">
        <v>12.0</v>
      </c>
      <c r="N719" s="36">
        <v>13.0</v>
      </c>
      <c r="O719" s="36">
        <v>14.0</v>
      </c>
      <c r="P719" s="36">
        <v>15.0</v>
      </c>
      <c r="Q719" s="36">
        <v>16.0</v>
      </c>
      <c r="R719" s="36">
        <v>17.0</v>
      </c>
      <c r="S719" s="36">
        <v>18.0</v>
      </c>
      <c r="T719" s="36">
        <v>19.0</v>
      </c>
      <c r="U719" s="36">
        <v>20.0</v>
      </c>
      <c r="V719" s="36">
        <v>21.0</v>
      </c>
      <c r="W719" s="36">
        <v>22.0</v>
      </c>
      <c r="X719" s="36">
        <v>23.0</v>
      </c>
      <c r="Y719" s="36">
        <v>24.0</v>
      </c>
      <c r="Z719" s="36">
        <v>25.0</v>
      </c>
      <c r="AA719" s="36">
        <v>26.0</v>
      </c>
      <c r="AB719" s="36">
        <v>27.0</v>
      </c>
      <c r="AC719" s="36">
        <v>28.0</v>
      </c>
      <c r="AD719" s="36">
        <v>29.0</v>
      </c>
      <c r="AE719" s="36">
        <v>30.0</v>
      </c>
      <c r="AF719" s="36"/>
      <c r="AG719" s="36"/>
      <c r="AH719" s="36"/>
      <c r="AI719" s="36"/>
      <c r="AJ719" s="36"/>
    </row>
    <row r="720" ht="15.75" customHeight="1">
      <c r="A720" s="36">
        <v>0.0</v>
      </c>
      <c r="B720" s="194">
        <v>0.0075</v>
      </c>
      <c r="C720" s="194">
        <v>0.0075</v>
      </c>
      <c r="D720" s="194">
        <v>0.0075</v>
      </c>
      <c r="E720" s="194">
        <v>0.0075</v>
      </c>
      <c r="F720" s="194">
        <v>0.0075</v>
      </c>
      <c r="G720" s="36">
        <v>0.0</v>
      </c>
      <c r="H720" s="36">
        <v>0.0</v>
      </c>
      <c r="I720" s="36">
        <v>0.0</v>
      </c>
      <c r="J720" s="36">
        <v>0.0</v>
      </c>
      <c r="K720" s="36">
        <v>0.0</v>
      </c>
      <c r="L720" s="36">
        <v>0.0</v>
      </c>
      <c r="M720" s="36">
        <v>0.0</v>
      </c>
      <c r="N720" s="36">
        <v>0.0</v>
      </c>
      <c r="O720" s="36">
        <v>0.0</v>
      </c>
      <c r="P720" s="36">
        <v>0.0</v>
      </c>
      <c r="Q720" s="36">
        <v>0.0</v>
      </c>
      <c r="R720" s="36">
        <v>0.0</v>
      </c>
      <c r="S720" s="36">
        <v>0.0</v>
      </c>
      <c r="T720" s="36">
        <v>0.0</v>
      </c>
      <c r="U720" s="36">
        <v>0.0</v>
      </c>
      <c r="V720" s="36">
        <v>0.0</v>
      </c>
      <c r="W720" s="36">
        <v>0.0</v>
      </c>
      <c r="X720" s="36">
        <v>0.0</v>
      </c>
      <c r="Y720" s="36">
        <v>0.0</v>
      </c>
      <c r="Z720" s="36">
        <v>0.0</v>
      </c>
      <c r="AA720" s="36">
        <v>0.0</v>
      </c>
      <c r="AB720" s="36">
        <v>0.0</v>
      </c>
      <c r="AC720" s="36">
        <v>0.0</v>
      </c>
      <c r="AD720" s="36">
        <v>0.0</v>
      </c>
      <c r="AE720" s="36">
        <v>0.0</v>
      </c>
      <c r="AF720" s="36"/>
      <c r="AG720" s="36"/>
      <c r="AH720" s="36"/>
      <c r="AI720" s="36"/>
      <c r="AJ720" s="36"/>
    </row>
    <row r="721" ht="15.75" customHeight="1">
      <c r="A721" s="12">
        <v>15000.0</v>
      </c>
      <c r="B721" s="194">
        <v>0.005</v>
      </c>
      <c r="C721" s="194">
        <v>0.005</v>
      </c>
      <c r="D721" s="194">
        <v>0.005</v>
      </c>
      <c r="E721" s="194">
        <v>0.005</v>
      </c>
      <c r="F721" s="194">
        <v>0.005</v>
      </c>
      <c r="G721" s="36">
        <v>0.0</v>
      </c>
      <c r="H721" s="36">
        <v>0.0</v>
      </c>
      <c r="I721" s="36">
        <v>0.0</v>
      </c>
      <c r="J721" s="36">
        <v>0.0</v>
      </c>
      <c r="K721" s="36">
        <v>0.0</v>
      </c>
      <c r="L721" s="36">
        <v>0.0</v>
      </c>
      <c r="M721" s="36">
        <v>0.0</v>
      </c>
      <c r="N721" s="36">
        <v>0.0</v>
      </c>
      <c r="O721" s="36">
        <v>0.0</v>
      </c>
      <c r="P721" s="36">
        <v>0.0</v>
      </c>
      <c r="Q721" s="36">
        <v>0.0</v>
      </c>
      <c r="R721" s="36">
        <v>0.0</v>
      </c>
      <c r="S721" s="36">
        <v>0.0</v>
      </c>
      <c r="T721" s="36">
        <v>0.0</v>
      </c>
      <c r="U721" s="36">
        <v>0.0</v>
      </c>
      <c r="V721" s="36">
        <v>0.0</v>
      </c>
      <c r="W721" s="36">
        <v>0.0</v>
      </c>
      <c r="X721" s="36">
        <v>0.0</v>
      </c>
      <c r="Y721" s="36">
        <v>0.0</v>
      </c>
      <c r="Z721" s="36">
        <v>0.0</v>
      </c>
      <c r="AA721" s="36">
        <v>0.0</v>
      </c>
      <c r="AB721" s="36">
        <v>0.0</v>
      </c>
      <c r="AC721" s="36">
        <v>0.0</v>
      </c>
      <c r="AD721" s="36">
        <v>0.0</v>
      </c>
      <c r="AE721" s="36">
        <v>0.0</v>
      </c>
      <c r="AF721" s="36"/>
      <c r="AG721" s="36"/>
      <c r="AH721" s="36"/>
      <c r="AI721" s="36"/>
      <c r="AJ721" s="36"/>
    </row>
    <row r="722" ht="15.75" customHeight="1">
      <c r="A722" s="12">
        <v>25000.0</v>
      </c>
      <c r="B722" s="194">
        <v>0.004</v>
      </c>
      <c r="C722" s="194">
        <v>0.004</v>
      </c>
      <c r="D722" s="194">
        <v>0.004</v>
      </c>
      <c r="E722" s="194">
        <v>0.004</v>
      </c>
      <c r="F722" s="194">
        <v>0.004</v>
      </c>
      <c r="G722" s="36">
        <v>0.0</v>
      </c>
      <c r="H722" s="36">
        <v>0.0</v>
      </c>
      <c r="I722" s="36">
        <v>0.0</v>
      </c>
      <c r="J722" s="36">
        <v>0.0</v>
      </c>
      <c r="K722" s="36">
        <v>0.0</v>
      </c>
      <c r="L722" s="36">
        <v>0.0</v>
      </c>
      <c r="M722" s="36">
        <v>0.0</v>
      </c>
      <c r="N722" s="36">
        <v>0.0</v>
      </c>
      <c r="O722" s="36">
        <v>0.0</v>
      </c>
      <c r="P722" s="36">
        <v>0.0</v>
      </c>
      <c r="Q722" s="36">
        <v>0.0</v>
      </c>
      <c r="R722" s="36">
        <v>0.0</v>
      </c>
      <c r="S722" s="36">
        <v>0.0</v>
      </c>
      <c r="T722" s="36">
        <v>0.0</v>
      </c>
      <c r="U722" s="36">
        <v>0.0</v>
      </c>
      <c r="V722" s="36">
        <v>0.0</v>
      </c>
      <c r="W722" s="36">
        <v>0.0</v>
      </c>
      <c r="X722" s="36">
        <v>0.0</v>
      </c>
      <c r="Y722" s="36">
        <v>0.0</v>
      </c>
      <c r="Z722" s="36">
        <v>0.0</v>
      </c>
      <c r="AA722" s="36">
        <v>0.0</v>
      </c>
      <c r="AB722" s="36">
        <v>0.0</v>
      </c>
      <c r="AC722" s="36">
        <v>0.0</v>
      </c>
      <c r="AD722" s="36">
        <v>0.0</v>
      </c>
      <c r="AE722" s="36">
        <v>0.0</v>
      </c>
      <c r="AF722" s="36"/>
      <c r="AG722" s="36"/>
      <c r="AH722" s="36"/>
      <c r="AI722" s="36"/>
      <c r="AJ722" s="36"/>
    </row>
    <row r="723" ht="15.75" customHeight="1">
      <c r="A723" s="12">
        <v>50000.0</v>
      </c>
      <c r="B723" s="194">
        <v>0.003</v>
      </c>
      <c r="C723" s="194">
        <v>0.003</v>
      </c>
      <c r="D723" s="194">
        <v>0.003</v>
      </c>
      <c r="E723" s="194">
        <v>0.003</v>
      </c>
      <c r="F723" s="194">
        <v>0.003</v>
      </c>
      <c r="G723" s="36">
        <v>0.0</v>
      </c>
      <c r="H723" s="36">
        <v>0.0</v>
      </c>
      <c r="I723" s="36">
        <v>0.0</v>
      </c>
      <c r="J723" s="36">
        <v>0.0</v>
      </c>
      <c r="K723" s="36">
        <v>0.0</v>
      </c>
      <c r="L723" s="36">
        <v>0.0</v>
      </c>
      <c r="M723" s="36">
        <v>0.0</v>
      </c>
      <c r="N723" s="36">
        <v>0.0</v>
      </c>
      <c r="O723" s="36">
        <v>0.0</v>
      </c>
      <c r="P723" s="36">
        <v>0.0</v>
      </c>
      <c r="Q723" s="36">
        <v>0.0</v>
      </c>
      <c r="R723" s="36">
        <v>0.0</v>
      </c>
      <c r="S723" s="36">
        <v>0.0</v>
      </c>
      <c r="T723" s="36">
        <v>0.0</v>
      </c>
      <c r="U723" s="36">
        <v>0.0</v>
      </c>
      <c r="V723" s="36">
        <v>0.0</v>
      </c>
      <c r="W723" s="36">
        <v>0.0</v>
      </c>
      <c r="X723" s="36">
        <v>0.0</v>
      </c>
      <c r="Y723" s="36">
        <v>0.0</v>
      </c>
      <c r="Z723" s="36">
        <v>0.0</v>
      </c>
      <c r="AA723" s="36">
        <v>0.0</v>
      </c>
      <c r="AB723" s="36">
        <v>0.0</v>
      </c>
      <c r="AC723" s="36">
        <v>0.0</v>
      </c>
      <c r="AD723" s="36">
        <v>0.0</v>
      </c>
      <c r="AE723" s="36">
        <v>0.0</v>
      </c>
      <c r="AF723" s="36"/>
      <c r="AG723" s="36"/>
      <c r="AH723" s="36"/>
      <c r="AI723" s="36"/>
      <c r="AJ723" s="36"/>
    </row>
    <row r="724" ht="15.75" customHeight="1">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c r="AA724" s="36"/>
      <c r="AB724" s="36"/>
      <c r="AC724" s="36"/>
      <c r="AD724" s="36"/>
      <c r="AE724" s="36"/>
      <c r="AF724" s="36"/>
      <c r="AG724" s="36"/>
      <c r="AH724" s="36"/>
      <c r="AI724" s="36"/>
      <c r="AJ724" s="36"/>
    </row>
    <row r="725" ht="15.75" customHeight="1">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c r="AA725" s="36"/>
      <c r="AB725" s="36"/>
      <c r="AC725" s="36"/>
      <c r="AD725" s="36"/>
      <c r="AE725" s="36"/>
      <c r="AF725" s="36"/>
      <c r="AG725" s="36"/>
      <c r="AH725" s="36"/>
      <c r="AI725" s="36"/>
      <c r="AJ725" s="36"/>
    </row>
    <row r="726" ht="15.75" customHeight="1">
      <c r="A726" s="171" t="s">
        <v>1957</v>
      </c>
      <c r="B726" s="171">
        <v>1.0</v>
      </c>
      <c r="C726" s="171">
        <v>2.0</v>
      </c>
      <c r="D726" s="171">
        <v>3.0</v>
      </c>
      <c r="E726" s="171">
        <v>4.0</v>
      </c>
      <c r="F726" s="171">
        <v>5.0</v>
      </c>
      <c r="G726" s="171">
        <v>6.0</v>
      </c>
      <c r="H726" s="171">
        <v>7.0</v>
      </c>
      <c r="I726" s="171">
        <v>8.0</v>
      </c>
      <c r="J726" s="171">
        <v>9.0</v>
      </c>
      <c r="K726" s="171">
        <v>10.0</v>
      </c>
      <c r="L726" s="171">
        <v>11.0</v>
      </c>
      <c r="M726" s="171">
        <v>12.0</v>
      </c>
      <c r="N726" s="171">
        <v>13.0</v>
      </c>
      <c r="O726" s="171">
        <v>14.0</v>
      </c>
      <c r="P726" s="171">
        <v>15.0</v>
      </c>
      <c r="Q726" s="171">
        <v>16.0</v>
      </c>
      <c r="R726" s="171">
        <v>17.0</v>
      </c>
      <c r="S726" s="171">
        <v>18.0</v>
      </c>
      <c r="T726" s="171">
        <v>19.0</v>
      </c>
      <c r="U726" s="171">
        <v>20.0</v>
      </c>
      <c r="V726" s="171">
        <v>21.0</v>
      </c>
      <c r="W726" s="171">
        <v>22.0</v>
      </c>
      <c r="X726" s="171">
        <v>23.0</v>
      </c>
      <c r="Y726" s="171">
        <v>24.0</v>
      </c>
      <c r="Z726" s="171">
        <v>25.0</v>
      </c>
      <c r="AA726" s="171">
        <v>26.0</v>
      </c>
      <c r="AB726" s="171">
        <v>27.0</v>
      </c>
      <c r="AC726" s="171">
        <v>28.0</v>
      </c>
      <c r="AD726" s="171">
        <v>29.0</v>
      </c>
      <c r="AE726" s="171">
        <v>30.0</v>
      </c>
      <c r="AF726" s="36"/>
      <c r="AG726" s="36"/>
      <c r="AH726" s="36"/>
      <c r="AI726" s="36"/>
      <c r="AJ726" s="36"/>
    </row>
    <row r="727" ht="15.75" customHeight="1">
      <c r="A727" s="112" t="s">
        <v>217</v>
      </c>
      <c r="B727" s="112">
        <v>0.0</v>
      </c>
      <c r="C727" s="112">
        <v>0.0</v>
      </c>
      <c r="D727" s="112">
        <v>0.0</v>
      </c>
      <c r="E727" s="112">
        <v>0.0</v>
      </c>
      <c r="F727" s="112">
        <v>0.0</v>
      </c>
      <c r="G727" s="112">
        <v>0.0</v>
      </c>
      <c r="H727" s="112">
        <v>0.0</v>
      </c>
      <c r="I727" s="112">
        <v>0.0</v>
      </c>
      <c r="J727" s="112">
        <v>0.0</v>
      </c>
      <c r="K727" s="112">
        <v>0.0</v>
      </c>
      <c r="L727" s="112">
        <v>0.0</v>
      </c>
      <c r="M727" s="112">
        <v>0.0</v>
      </c>
      <c r="N727" s="112">
        <v>0.0</v>
      </c>
      <c r="O727" s="112">
        <v>0.0</v>
      </c>
      <c r="P727" s="112">
        <v>0.0</v>
      </c>
      <c r="Q727" s="112">
        <v>0.0</v>
      </c>
      <c r="R727" s="112">
        <v>0.0</v>
      </c>
      <c r="S727" s="112">
        <v>0.0</v>
      </c>
      <c r="T727" s="112">
        <v>0.0</v>
      </c>
      <c r="U727" s="112">
        <v>0.0</v>
      </c>
      <c r="V727" s="112">
        <v>0.0</v>
      </c>
      <c r="W727" s="112">
        <v>0.0</v>
      </c>
      <c r="X727" s="112">
        <v>0.0</v>
      </c>
      <c r="Y727" s="112">
        <v>0.0</v>
      </c>
      <c r="Z727" s="112">
        <v>0.0</v>
      </c>
      <c r="AA727" s="112">
        <v>0.0</v>
      </c>
      <c r="AB727" s="112">
        <v>0.0</v>
      </c>
      <c r="AC727" s="112">
        <v>0.0</v>
      </c>
      <c r="AD727" s="112">
        <v>0.0</v>
      </c>
      <c r="AE727" s="112">
        <v>0.0</v>
      </c>
      <c r="AF727" s="36"/>
      <c r="AG727" s="36"/>
      <c r="AH727" s="36"/>
      <c r="AI727" s="36"/>
      <c r="AJ727" s="36"/>
    </row>
    <row r="728" ht="15.75" customHeight="1">
      <c r="A728" s="112" t="s">
        <v>218</v>
      </c>
      <c r="B728" s="183">
        <f t="array" ref="B728">INDEX($A$719:$AE$723,MATCH(Annual_Prem,$A$719:$A$723,1),MATCH(B726,$A$719:$AE$719,0))</f>
        <v>0.003</v>
      </c>
      <c r="C728" s="183">
        <f t="array" ref="C728">INDEX($A$719:$AE$723,MATCH(Annual_Prem,$A$719:$A$723,1),MATCH(C726,$A$719:$AE$719,0))</f>
        <v>0.003</v>
      </c>
      <c r="D728" s="183">
        <f t="array" ref="D728">INDEX($A$719:$AE$723,MATCH(Annual_Prem,$A$719:$A$723,1),MATCH(D726,$A$719:$AE$719,0))</f>
        <v>0.003</v>
      </c>
      <c r="E728" s="183">
        <f t="array" ref="E728">INDEX($A$719:$AE$723,MATCH(Annual_Prem,$A$719:$A$723,1),MATCH(E726,$A$719:$AE$719,0))</f>
        <v>0.003</v>
      </c>
      <c r="F728" s="183">
        <f t="array" ref="F728">INDEX($A$719:$AE$723,MATCH(Annual_Prem,$A$719:$A$723,1),MATCH(F726,$A$719:$AE$719,0))</f>
        <v>0.003</v>
      </c>
      <c r="G728" s="171">
        <f t="array" ref="G728">INDEX($A$719:$AE$723,MATCH(Annual_Prem,$A$719:$A$723,1),MATCH(G726,$A$719:$AE$719,0))</f>
        <v>0</v>
      </c>
      <c r="H728" s="171">
        <f t="array" ref="H728">INDEX($A$719:$AE$723,MATCH(Annual_Prem,$A$719:$A$723,1),MATCH(H726,$A$719:$AE$719,0))</f>
        <v>0</v>
      </c>
      <c r="I728" s="171">
        <f t="array" ref="I728">INDEX($A$719:$AE$723,MATCH(Annual_Prem,$A$719:$A$723,1),MATCH(I726,$A$719:$AE$719,0))</f>
        <v>0</v>
      </c>
      <c r="J728" s="171">
        <f t="array" ref="J728">INDEX($A$719:$AE$723,MATCH(Annual_Prem,$A$719:$A$723,1),MATCH(J726,$A$719:$AE$719,0))</f>
        <v>0</v>
      </c>
      <c r="K728" s="171">
        <f t="array" ref="K728">INDEX($A$719:$AE$723,MATCH(Annual_Prem,$A$719:$A$723,1),MATCH(K726,$A$719:$AE$719,0))</f>
        <v>0</v>
      </c>
      <c r="L728" s="171">
        <f t="array" ref="L728">INDEX($A$719:$AE$723,MATCH(Annual_Prem,$A$719:$A$723,1),MATCH(L726,$A$719:$AE$719,0))</f>
        <v>0</v>
      </c>
      <c r="M728" s="171">
        <f t="array" ref="M728">INDEX($A$719:$AE$723,MATCH(Annual_Prem,$A$719:$A$723,1),MATCH(M726,$A$719:$AE$719,0))</f>
        <v>0</v>
      </c>
      <c r="N728" s="171">
        <f t="array" ref="N728">INDEX($A$719:$AE$723,MATCH(Annual_Prem,$A$719:$A$723,1),MATCH(N726,$A$719:$AE$719,0))</f>
        <v>0</v>
      </c>
      <c r="O728" s="171">
        <f t="array" ref="O728">INDEX($A$719:$AE$723,MATCH(Annual_Prem,$A$719:$A$723,1),MATCH(O726,$A$719:$AE$719,0))</f>
        <v>0</v>
      </c>
      <c r="P728" s="171">
        <f t="array" ref="P728">INDEX($A$719:$AE$723,MATCH(Annual_Prem,$A$719:$A$723,1),MATCH(P726,$A$719:$AE$719,0))</f>
        <v>0</v>
      </c>
      <c r="Q728" s="171">
        <f t="array" ref="Q728">INDEX($A$719:$AE$723,MATCH(Annual_Prem,$A$719:$A$723,1),MATCH(Q726,$A$719:$AE$719,0))</f>
        <v>0</v>
      </c>
      <c r="R728" s="171">
        <f t="array" ref="R728">INDEX($A$719:$AE$723,MATCH(Annual_Prem,$A$719:$A$723,1),MATCH(R726,$A$719:$AE$719,0))</f>
        <v>0</v>
      </c>
      <c r="S728" s="171">
        <f t="array" ref="S728">INDEX($A$719:$AE$723,MATCH(Annual_Prem,$A$719:$A$723,1),MATCH(S726,$A$719:$AE$719,0))</f>
        <v>0</v>
      </c>
      <c r="T728" s="171">
        <f t="array" ref="T728">INDEX($A$719:$AE$723,MATCH(Annual_Prem,$A$719:$A$723,1),MATCH(T726,$A$719:$AE$719,0))</f>
        <v>0</v>
      </c>
      <c r="U728" s="171">
        <f t="array" ref="U728">INDEX($A$719:$AE$723,MATCH(Annual_Prem,$A$719:$A$723,1),MATCH(U726,$A$719:$AE$719,0))</f>
        <v>0</v>
      </c>
      <c r="V728" s="171">
        <f t="array" ref="V728">INDEX($A$719:$AE$723,MATCH(Annual_Prem,$A$719:$A$723,1),MATCH(V726,$A$719:$AE$719,0))</f>
        <v>0</v>
      </c>
      <c r="W728" s="171">
        <f t="array" ref="W728">INDEX($A$719:$AE$723,MATCH(Annual_Prem,$A$719:$A$723,1),MATCH(W726,$A$719:$AE$719,0))</f>
        <v>0</v>
      </c>
      <c r="X728" s="171">
        <f t="array" ref="X728">INDEX($A$719:$AE$723,MATCH(Annual_Prem,$A$719:$A$723,1),MATCH(X726,$A$719:$AE$719,0))</f>
        <v>0</v>
      </c>
      <c r="Y728" s="171">
        <f t="array" ref="Y728">INDEX($A$719:$AE$723,MATCH(Annual_Prem,$A$719:$A$723,1),MATCH(Y726,$A$719:$AE$719,0))</f>
        <v>0</v>
      </c>
      <c r="Z728" s="171">
        <f t="array" ref="Z728">INDEX($A$719:$AE$723,MATCH(Annual_Prem,$A$719:$A$723,1),MATCH(Z726,$A$719:$AE$719,0))</f>
        <v>0</v>
      </c>
      <c r="AA728" s="171">
        <f t="array" ref="AA728">INDEX($A$719:$AE$723,MATCH(Annual_Prem,$A$719:$A$723,1),MATCH(AA726,$A$719:$AE$719,0))</f>
        <v>0</v>
      </c>
      <c r="AB728" s="171">
        <f t="array" ref="AB728">INDEX($A$719:$AE$723,MATCH(Annual_Prem,$A$719:$A$723,1),MATCH(AB726,$A$719:$AE$719,0))</f>
        <v>0</v>
      </c>
      <c r="AC728" s="171">
        <f t="array" ref="AC728">INDEX($A$719:$AE$723,MATCH(Annual_Prem,$A$719:$A$723,1),MATCH(AC726,$A$719:$AE$719,0))</f>
        <v>0</v>
      </c>
      <c r="AD728" s="171">
        <f t="array" ref="AD728">INDEX($A$719:$AE$723,MATCH(Annual_Prem,$A$719:$A$723,1),MATCH(AD726,$A$719:$AE$719,0))</f>
        <v>0</v>
      </c>
      <c r="AE728" s="171">
        <f t="array" ref="AE728">INDEX($A$719:$AE$723,MATCH(Annual_Prem,$A$719:$A$723,1),MATCH(AE726,$A$719:$AE$719,0))</f>
        <v>0</v>
      </c>
      <c r="AF728" s="36"/>
      <c r="AG728" s="36"/>
      <c r="AH728" s="36"/>
      <c r="AI728" s="36"/>
      <c r="AJ728" s="36"/>
    </row>
    <row r="729" ht="15.75" customHeight="1">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c r="AA729" s="36"/>
      <c r="AB729" s="36"/>
      <c r="AC729" s="36"/>
      <c r="AD729" s="36"/>
      <c r="AE729" s="36"/>
      <c r="AF729" s="36"/>
      <c r="AG729" s="36"/>
      <c r="AH729" s="36"/>
      <c r="AI729" s="36"/>
      <c r="AJ729" s="36"/>
    </row>
    <row r="730" ht="15.75" customHeight="1">
      <c r="A730" s="380" t="s">
        <v>1262</v>
      </c>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c r="AA730" s="36"/>
      <c r="AB730" s="36"/>
      <c r="AC730" s="36"/>
      <c r="AD730" s="36"/>
      <c r="AE730" s="36"/>
      <c r="AF730" s="36"/>
      <c r="AG730" s="36"/>
      <c r="AH730" s="36"/>
      <c r="AI730" s="36"/>
      <c r="AJ730" s="36"/>
    </row>
    <row r="731" ht="15.75" customHeight="1">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c r="AA731" s="36"/>
      <c r="AB731" s="36"/>
      <c r="AC731" s="36"/>
      <c r="AD731" s="36"/>
      <c r="AE731" s="36"/>
      <c r="AF731" s="36"/>
      <c r="AG731" s="36"/>
      <c r="AH731" s="36"/>
      <c r="AI731" s="36"/>
      <c r="AJ731" s="36"/>
    </row>
    <row r="732" ht="15.75" customHeight="1">
      <c r="A732" s="36" t="s">
        <v>1956</v>
      </c>
      <c r="B732" s="36">
        <v>1.0</v>
      </c>
      <c r="C732" s="36">
        <v>2.0</v>
      </c>
      <c r="D732" s="36">
        <v>3.0</v>
      </c>
      <c r="E732" s="36">
        <v>4.0</v>
      </c>
      <c r="F732" s="36">
        <v>5.0</v>
      </c>
      <c r="G732" s="36">
        <v>6.0</v>
      </c>
      <c r="H732" s="36">
        <v>7.0</v>
      </c>
      <c r="I732" s="36">
        <v>8.0</v>
      </c>
      <c r="J732" s="36">
        <v>9.0</v>
      </c>
      <c r="K732" s="36">
        <v>10.0</v>
      </c>
      <c r="L732" s="36">
        <v>11.0</v>
      </c>
      <c r="M732" s="36">
        <v>12.0</v>
      </c>
      <c r="N732" s="36">
        <v>13.0</v>
      </c>
      <c r="O732" s="36">
        <v>14.0</v>
      </c>
      <c r="P732" s="36">
        <v>15.0</v>
      </c>
      <c r="Q732" s="36">
        <v>16.0</v>
      </c>
      <c r="R732" s="36">
        <v>17.0</v>
      </c>
      <c r="S732" s="36">
        <v>18.0</v>
      </c>
      <c r="T732" s="36">
        <v>19.0</v>
      </c>
      <c r="U732" s="36">
        <v>20.0</v>
      </c>
      <c r="V732" s="36">
        <v>21.0</v>
      </c>
      <c r="W732" s="36">
        <v>22.0</v>
      </c>
      <c r="X732" s="36">
        <v>23.0</v>
      </c>
      <c r="Y732" s="36">
        <v>24.0</v>
      </c>
      <c r="Z732" s="36">
        <v>25.0</v>
      </c>
      <c r="AA732" s="36">
        <v>26.0</v>
      </c>
      <c r="AB732" s="36">
        <v>27.0</v>
      </c>
      <c r="AC732" s="36">
        <v>28.0</v>
      </c>
      <c r="AD732" s="36">
        <v>29.0</v>
      </c>
      <c r="AE732" s="36">
        <v>30.0</v>
      </c>
      <c r="AF732" s="36"/>
      <c r="AG732" s="36"/>
      <c r="AH732" s="36"/>
      <c r="AI732" s="36"/>
      <c r="AJ732" s="36"/>
    </row>
    <row r="733" ht="15.75" customHeight="1">
      <c r="A733" s="36">
        <v>0.0</v>
      </c>
      <c r="B733" s="194">
        <v>0.011</v>
      </c>
      <c r="C733" s="194">
        <v>0.011</v>
      </c>
      <c r="D733" s="194">
        <v>0.011</v>
      </c>
      <c r="E733" s="194">
        <v>0.011</v>
      </c>
      <c r="F733" s="194">
        <v>0.011</v>
      </c>
      <c r="G733" s="36">
        <v>0.0</v>
      </c>
      <c r="H733" s="36">
        <v>0.0</v>
      </c>
      <c r="I733" s="36">
        <v>0.0</v>
      </c>
      <c r="J733" s="36">
        <v>0.0</v>
      </c>
      <c r="K733" s="36">
        <v>0.0</v>
      </c>
      <c r="L733" s="36">
        <v>0.0</v>
      </c>
      <c r="M733" s="36">
        <v>0.0</v>
      </c>
      <c r="N733" s="36">
        <v>0.0</v>
      </c>
      <c r="O733" s="36">
        <v>0.0</v>
      </c>
      <c r="P733" s="36">
        <v>0.0</v>
      </c>
      <c r="Q733" s="36">
        <v>0.0</v>
      </c>
      <c r="R733" s="36">
        <v>0.0</v>
      </c>
      <c r="S733" s="36">
        <v>0.0</v>
      </c>
      <c r="T733" s="36">
        <v>0.0</v>
      </c>
      <c r="U733" s="36">
        <v>0.0</v>
      </c>
      <c r="V733" s="36">
        <v>0.0</v>
      </c>
      <c r="W733" s="36">
        <v>0.0</v>
      </c>
      <c r="X733" s="36">
        <v>0.0</v>
      </c>
      <c r="Y733" s="36">
        <v>0.0</v>
      </c>
      <c r="Z733" s="36">
        <v>0.0</v>
      </c>
      <c r="AA733" s="36">
        <v>0.0</v>
      </c>
      <c r="AB733" s="36">
        <v>0.0</v>
      </c>
      <c r="AC733" s="36">
        <v>0.0</v>
      </c>
      <c r="AD733" s="36">
        <v>0.0</v>
      </c>
      <c r="AE733" s="36">
        <v>0.0</v>
      </c>
      <c r="AF733" s="36"/>
      <c r="AG733" s="36"/>
      <c r="AH733" s="36"/>
      <c r="AI733" s="36"/>
      <c r="AJ733" s="36"/>
    </row>
    <row r="734" ht="15.75" customHeight="1">
      <c r="A734" s="12">
        <v>15000.0</v>
      </c>
      <c r="B734" s="194">
        <v>0.01</v>
      </c>
      <c r="C734" s="194">
        <v>0.01</v>
      </c>
      <c r="D734" s="194">
        <v>0.01</v>
      </c>
      <c r="E734" s="194">
        <v>0.01</v>
      </c>
      <c r="F734" s="194">
        <v>0.01</v>
      </c>
      <c r="G734" s="36">
        <v>0.0</v>
      </c>
      <c r="H734" s="36">
        <v>0.0</v>
      </c>
      <c r="I734" s="36">
        <v>0.0</v>
      </c>
      <c r="J734" s="36">
        <v>0.0</v>
      </c>
      <c r="K734" s="36">
        <v>0.0</v>
      </c>
      <c r="L734" s="36">
        <v>0.0</v>
      </c>
      <c r="M734" s="36">
        <v>0.0</v>
      </c>
      <c r="N734" s="36">
        <v>0.0</v>
      </c>
      <c r="O734" s="36">
        <v>0.0</v>
      </c>
      <c r="P734" s="36">
        <v>0.0</v>
      </c>
      <c r="Q734" s="36">
        <v>0.0</v>
      </c>
      <c r="R734" s="36">
        <v>0.0</v>
      </c>
      <c r="S734" s="36">
        <v>0.0</v>
      </c>
      <c r="T734" s="36">
        <v>0.0</v>
      </c>
      <c r="U734" s="36">
        <v>0.0</v>
      </c>
      <c r="V734" s="36">
        <v>0.0</v>
      </c>
      <c r="W734" s="36">
        <v>0.0</v>
      </c>
      <c r="X734" s="36">
        <v>0.0</v>
      </c>
      <c r="Y734" s="36">
        <v>0.0</v>
      </c>
      <c r="Z734" s="36">
        <v>0.0</v>
      </c>
      <c r="AA734" s="36">
        <v>0.0</v>
      </c>
      <c r="AB734" s="36">
        <v>0.0</v>
      </c>
      <c r="AC734" s="36">
        <v>0.0</v>
      </c>
      <c r="AD734" s="36">
        <v>0.0</v>
      </c>
      <c r="AE734" s="36">
        <v>0.0</v>
      </c>
      <c r="AF734" s="36"/>
      <c r="AG734" s="36"/>
      <c r="AH734" s="36"/>
      <c r="AI734" s="36"/>
      <c r="AJ734" s="36"/>
    </row>
    <row r="735" ht="15.75" customHeight="1">
      <c r="A735" s="12">
        <v>25000.0</v>
      </c>
      <c r="B735" s="194">
        <v>0.009</v>
      </c>
      <c r="C735" s="194">
        <v>0.009</v>
      </c>
      <c r="D735" s="194">
        <v>0.009</v>
      </c>
      <c r="E735" s="194">
        <v>0.009</v>
      </c>
      <c r="F735" s="194">
        <v>0.009</v>
      </c>
      <c r="G735" s="36">
        <v>0.0</v>
      </c>
      <c r="H735" s="36">
        <v>0.0</v>
      </c>
      <c r="I735" s="36">
        <v>0.0</v>
      </c>
      <c r="J735" s="36">
        <v>0.0</v>
      </c>
      <c r="K735" s="36">
        <v>0.0</v>
      </c>
      <c r="L735" s="36">
        <v>0.0</v>
      </c>
      <c r="M735" s="36">
        <v>0.0</v>
      </c>
      <c r="N735" s="36">
        <v>0.0</v>
      </c>
      <c r="O735" s="36">
        <v>0.0</v>
      </c>
      <c r="P735" s="36">
        <v>0.0</v>
      </c>
      <c r="Q735" s="36">
        <v>0.0</v>
      </c>
      <c r="R735" s="36">
        <v>0.0</v>
      </c>
      <c r="S735" s="36">
        <v>0.0</v>
      </c>
      <c r="T735" s="36">
        <v>0.0</v>
      </c>
      <c r="U735" s="36">
        <v>0.0</v>
      </c>
      <c r="V735" s="36">
        <v>0.0</v>
      </c>
      <c r="W735" s="36">
        <v>0.0</v>
      </c>
      <c r="X735" s="36">
        <v>0.0</v>
      </c>
      <c r="Y735" s="36">
        <v>0.0</v>
      </c>
      <c r="Z735" s="36">
        <v>0.0</v>
      </c>
      <c r="AA735" s="36">
        <v>0.0</v>
      </c>
      <c r="AB735" s="36">
        <v>0.0</v>
      </c>
      <c r="AC735" s="36">
        <v>0.0</v>
      </c>
      <c r="AD735" s="36">
        <v>0.0</v>
      </c>
      <c r="AE735" s="36">
        <v>0.0</v>
      </c>
      <c r="AF735" s="36"/>
      <c r="AG735" s="36"/>
      <c r="AH735" s="36"/>
      <c r="AI735" s="36"/>
      <c r="AJ735" s="36"/>
    </row>
    <row r="736" ht="15.75" customHeight="1">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c r="AA736" s="36"/>
      <c r="AB736" s="36"/>
      <c r="AC736" s="36"/>
      <c r="AD736" s="36"/>
      <c r="AE736" s="36"/>
      <c r="AF736" s="36"/>
      <c r="AG736" s="36"/>
      <c r="AH736" s="36"/>
      <c r="AI736" s="36"/>
      <c r="AJ736" s="36"/>
    </row>
    <row r="737" ht="15.75" customHeight="1">
      <c r="A737" s="171" t="s">
        <v>1957</v>
      </c>
      <c r="B737" s="171">
        <v>1.0</v>
      </c>
      <c r="C737" s="171">
        <v>2.0</v>
      </c>
      <c r="D737" s="171">
        <v>3.0</v>
      </c>
      <c r="E737" s="171">
        <v>4.0</v>
      </c>
      <c r="F737" s="171">
        <v>5.0</v>
      </c>
      <c r="G737" s="171">
        <v>6.0</v>
      </c>
      <c r="H737" s="171">
        <v>7.0</v>
      </c>
      <c r="I737" s="171">
        <v>8.0</v>
      </c>
      <c r="J737" s="171">
        <v>9.0</v>
      </c>
      <c r="K737" s="171">
        <v>10.0</v>
      </c>
      <c r="L737" s="171">
        <v>11.0</v>
      </c>
      <c r="M737" s="171">
        <v>12.0</v>
      </c>
      <c r="N737" s="171">
        <v>13.0</v>
      </c>
      <c r="O737" s="171">
        <v>14.0</v>
      </c>
      <c r="P737" s="171">
        <v>15.0</v>
      </c>
      <c r="Q737" s="171">
        <v>16.0</v>
      </c>
      <c r="R737" s="171">
        <v>17.0</v>
      </c>
      <c r="S737" s="171">
        <v>18.0</v>
      </c>
      <c r="T737" s="171">
        <v>19.0</v>
      </c>
      <c r="U737" s="171">
        <v>20.0</v>
      </c>
      <c r="V737" s="171">
        <v>21.0</v>
      </c>
      <c r="W737" s="171">
        <v>22.0</v>
      </c>
      <c r="X737" s="171">
        <v>23.0</v>
      </c>
      <c r="Y737" s="171">
        <v>24.0</v>
      </c>
      <c r="Z737" s="171">
        <v>25.0</v>
      </c>
      <c r="AA737" s="171">
        <v>26.0</v>
      </c>
      <c r="AB737" s="171">
        <v>27.0</v>
      </c>
      <c r="AC737" s="171">
        <v>28.0</v>
      </c>
      <c r="AD737" s="171">
        <v>29.0</v>
      </c>
      <c r="AE737" s="171">
        <v>30.0</v>
      </c>
      <c r="AF737" s="36"/>
      <c r="AG737" s="36"/>
      <c r="AH737" s="36"/>
      <c r="AI737" s="36"/>
      <c r="AJ737" s="36"/>
    </row>
    <row r="738" ht="15.75" customHeight="1">
      <c r="A738" s="112" t="s">
        <v>217</v>
      </c>
      <c r="B738" s="112">
        <v>0.0</v>
      </c>
      <c r="C738" s="112">
        <v>0.0</v>
      </c>
      <c r="D738" s="112">
        <v>0.0</v>
      </c>
      <c r="E738" s="112">
        <v>0.0</v>
      </c>
      <c r="F738" s="112">
        <v>0.0</v>
      </c>
      <c r="G738" s="112">
        <v>0.0</v>
      </c>
      <c r="H738" s="112">
        <v>0.0</v>
      </c>
      <c r="I738" s="112">
        <v>0.0</v>
      </c>
      <c r="J738" s="112">
        <v>0.0</v>
      </c>
      <c r="K738" s="112">
        <v>0.0</v>
      </c>
      <c r="L738" s="112">
        <v>0.0</v>
      </c>
      <c r="M738" s="112">
        <v>0.0</v>
      </c>
      <c r="N738" s="112">
        <v>0.0</v>
      </c>
      <c r="O738" s="112">
        <v>0.0</v>
      </c>
      <c r="P738" s="112">
        <v>0.0</v>
      </c>
      <c r="Q738" s="112">
        <v>0.0</v>
      </c>
      <c r="R738" s="112">
        <v>0.0</v>
      </c>
      <c r="S738" s="112">
        <v>0.0</v>
      </c>
      <c r="T738" s="112">
        <v>0.0</v>
      </c>
      <c r="U738" s="112">
        <v>0.0</v>
      </c>
      <c r="V738" s="112">
        <v>0.0</v>
      </c>
      <c r="W738" s="112">
        <v>0.0</v>
      </c>
      <c r="X738" s="112">
        <v>0.0</v>
      </c>
      <c r="Y738" s="112">
        <v>0.0</v>
      </c>
      <c r="Z738" s="112">
        <v>0.0</v>
      </c>
      <c r="AA738" s="112">
        <v>0.0</v>
      </c>
      <c r="AB738" s="112">
        <v>0.0</v>
      </c>
      <c r="AC738" s="112">
        <v>0.0</v>
      </c>
      <c r="AD738" s="112">
        <v>0.0</v>
      </c>
      <c r="AE738" s="112">
        <v>0.0</v>
      </c>
      <c r="AF738" s="36"/>
      <c r="AG738" s="36"/>
      <c r="AH738" s="36"/>
      <c r="AI738" s="36"/>
      <c r="AJ738" s="36"/>
    </row>
    <row r="739" ht="15.75" customHeight="1">
      <c r="A739" s="112" t="s">
        <v>218</v>
      </c>
      <c r="B739" s="183">
        <f t="array" ref="B739">INDEX($A$732:$AE$735,MATCH(Annual_Prem,$A$732:$A$735,1),MATCH(B737,$A$732:$AE$732,0))</f>
        <v>0.009</v>
      </c>
      <c r="C739" s="183">
        <f t="array" ref="C739">INDEX($A$732:$AE$735,MATCH(Annual_Prem,$A$732:$A$735,1),MATCH(C737,$A$732:$AE$732,0))</f>
        <v>0.009</v>
      </c>
      <c r="D739" s="183">
        <f t="array" ref="D739">INDEX($A$732:$AE$735,MATCH(Annual_Prem,$A$732:$A$735,1),MATCH(D737,$A$732:$AE$732,0))</f>
        <v>0.009</v>
      </c>
      <c r="E739" s="183">
        <f t="array" ref="E739">INDEX($A$732:$AE$735,MATCH(Annual_Prem,$A$732:$A$735,1),MATCH(E737,$A$732:$AE$732,0))</f>
        <v>0.009</v>
      </c>
      <c r="F739" s="183">
        <f t="array" ref="F739">INDEX($A$732:$AE$735,MATCH(Annual_Prem,$A$732:$A$735,1),MATCH(F737,$A$732:$AE$732,0))</f>
        <v>0.009</v>
      </c>
      <c r="G739" s="171">
        <f t="array" ref="G739">INDEX($A$732:$AE$735,MATCH(Annual_Prem,$A$732:$A$735,1),MATCH(G737,$A$732:$AE$732,0))</f>
        <v>0</v>
      </c>
      <c r="H739" s="171">
        <f t="array" ref="H739">INDEX($A$732:$AE$735,MATCH(Annual_Prem,$A$732:$A$735,1),MATCH(H737,$A$732:$AE$732,0))</f>
        <v>0</v>
      </c>
      <c r="I739" s="171">
        <f t="array" ref="I739">INDEX($A$732:$AE$735,MATCH(Annual_Prem,$A$732:$A$735,1),MATCH(I737,$A$732:$AE$732,0))</f>
        <v>0</v>
      </c>
      <c r="J739" s="171">
        <f t="array" ref="J739">INDEX($A$732:$AE$735,MATCH(Annual_Prem,$A$732:$A$735,1),MATCH(J737,$A$732:$AE$732,0))</f>
        <v>0</v>
      </c>
      <c r="K739" s="171">
        <f t="array" ref="K739">INDEX($A$732:$AE$735,MATCH(Annual_Prem,$A$732:$A$735,1),MATCH(K737,$A$732:$AE$732,0))</f>
        <v>0</v>
      </c>
      <c r="L739" s="171">
        <f t="array" ref="L739">INDEX($A$732:$AE$735,MATCH(Annual_Prem,$A$732:$A$735,1),MATCH(L737,$A$732:$AE$732,0))</f>
        <v>0</v>
      </c>
      <c r="M739" s="171">
        <f t="array" ref="M739">INDEX($A$732:$AE$735,MATCH(Annual_Prem,$A$732:$A$735,1),MATCH(M737,$A$732:$AE$732,0))</f>
        <v>0</v>
      </c>
      <c r="N739" s="171">
        <f t="array" ref="N739">INDEX($A$732:$AE$735,MATCH(Annual_Prem,$A$732:$A$735,1),MATCH(N737,$A$732:$AE$732,0))</f>
        <v>0</v>
      </c>
      <c r="O739" s="171">
        <f t="array" ref="O739">INDEX($A$732:$AE$735,MATCH(Annual_Prem,$A$732:$A$735,1),MATCH(O737,$A$732:$AE$732,0))</f>
        <v>0</v>
      </c>
      <c r="P739" s="171">
        <f t="array" ref="P739">INDEX($A$732:$AE$735,MATCH(Annual_Prem,$A$732:$A$735,1),MATCH(P737,$A$732:$AE$732,0))</f>
        <v>0</v>
      </c>
      <c r="Q739" s="171">
        <f t="array" ref="Q739">INDEX($A$732:$AE$735,MATCH(Annual_Prem,$A$732:$A$735,1),MATCH(Q737,$A$732:$AE$732,0))</f>
        <v>0</v>
      </c>
      <c r="R739" s="171">
        <f t="array" ref="R739">INDEX($A$732:$AE$735,MATCH(Annual_Prem,$A$732:$A$735,1),MATCH(R737,$A$732:$AE$732,0))</f>
        <v>0</v>
      </c>
      <c r="S739" s="171">
        <f t="array" ref="S739">INDEX($A$732:$AE$735,MATCH(Annual_Prem,$A$732:$A$735,1),MATCH(S737,$A$732:$AE$732,0))</f>
        <v>0</v>
      </c>
      <c r="T739" s="171">
        <f t="array" ref="T739">INDEX($A$732:$AE$735,MATCH(Annual_Prem,$A$732:$A$735,1),MATCH(T737,$A$732:$AE$732,0))</f>
        <v>0</v>
      </c>
      <c r="U739" s="171">
        <f t="array" ref="U739">INDEX($A$732:$AE$735,MATCH(Annual_Prem,$A$732:$A$735,1),MATCH(U737,$A$732:$AE$732,0))</f>
        <v>0</v>
      </c>
      <c r="V739" s="171">
        <f t="array" ref="V739">INDEX($A$732:$AE$735,MATCH(Annual_Prem,$A$732:$A$735,1),MATCH(V737,$A$732:$AE$732,0))</f>
        <v>0</v>
      </c>
      <c r="W739" s="171">
        <f t="array" ref="W739">INDEX($A$732:$AE$735,MATCH(Annual_Prem,$A$732:$A$735,1),MATCH(W737,$A$732:$AE$732,0))</f>
        <v>0</v>
      </c>
      <c r="X739" s="171">
        <f t="array" ref="X739">INDEX($A$732:$AE$735,MATCH(Annual_Prem,$A$732:$A$735,1),MATCH(X737,$A$732:$AE$732,0))</f>
        <v>0</v>
      </c>
      <c r="Y739" s="171">
        <f t="array" ref="Y739">INDEX($A$732:$AE$735,MATCH(Annual_Prem,$A$732:$A$735,1),MATCH(Y737,$A$732:$AE$732,0))</f>
        <v>0</v>
      </c>
      <c r="Z739" s="171">
        <f t="array" ref="Z739">INDEX($A$732:$AE$735,MATCH(Annual_Prem,$A$732:$A$735,1),MATCH(Z737,$A$732:$AE$732,0))</f>
        <v>0</v>
      </c>
      <c r="AA739" s="171">
        <f t="array" ref="AA739">INDEX($A$732:$AE$735,MATCH(Annual_Prem,$A$732:$A$735,1),MATCH(AA737,$A$732:$AE$732,0))</f>
        <v>0</v>
      </c>
      <c r="AB739" s="171">
        <f t="array" ref="AB739">INDEX($A$732:$AE$735,MATCH(Annual_Prem,$A$732:$A$735,1),MATCH(AB737,$A$732:$AE$732,0))</f>
        <v>0</v>
      </c>
      <c r="AC739" s="171">
        <f t="array" ref="AC739">INDEX($A$732:$AE$735,MATCH(Annual_Prem,$A$732:$A$735,1),MATCH(AC737,$A$732:$AE$732,0))</f>
        <v>0</v>
      </c>
      <c r="AD739" s="171">
        <f t="array" ref="AD739">INDEX($A$732:$AE$735,MATCH(Annual_Prem,$A$732:$A$735,1),MATCH(AD737,$A$732:$AE$732,0))</f>
        <v>0</v>
      </c>
      <c r="AE739" s="171">
        <f t="array" ref="AE739">INDEX($A$732:$AE$735,MATCH(Annual_Prem,$A$732:$A$735,1),MATCH(AE737,$A$732:$AE$732,0))</f>
        <v>0</v>
      </c>
      <c r="AF739" s="36"/>
      <c r="AG739" s="36"/>
      <c r="AH739" s="36"/>
      <c r="AI739" s="36"/>
      <c r="AJ739" s="36"/>
    </row>
    <row r="740" ht="15.75" customHeight="1">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c r="AA740" s="36"/>
      <c r="AB740" s="36"/>
      <c r="AC740" s="36"/>
      <c r="AD740" s="36"/>
      <c r="AE740" s="36"/>
      <c r="AF740" s="36"/>
      <c r="AG740" s="36"/>
      <c r="AH740" s="36"/>
      <c r="AI740" s="36"/>
      <c r="AJ740" s="36"/>
    </row>
    <row r="741" ht="15.75" customHeight="1">
      <c r="A741" s="380" t="s">
        <v>1258</v>
      </c>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c r="AA741" s="36"/>
      <c r="AB741" s="36"/>
      <c r="AC741" s="36"/>
      <c r="AD741" s="36"/>
      <c r="AE741" s="36"/>
      <c r="AF741" s="36"/>
      <c r="AG741" s="36"/>
      <c r="AH741" s="36"/>
      <c r="AI741" s="36"/>
      <c r="AJ741" s="36"/>
    </row>
    <row r="742" ht="15.75" customHeight="1">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c r="AA742" s="36"/>
      <c r="AB742" s="36"/>
      <c r="AC742" s="36"/>
      <c r="AD742" s="36"/>
      <c r="AE742" s="36"/>
      <c r="AF742" s="36"/>
      <c r="AG742" s="36"/>
      <c r="AH742" s="36"/>
      <c r="AI742" s="36"/>
      <c r="AJ742" s="36"/>
    </row>
    <row r="743" ht="15.75" customHeight="1">
      <c r="A743" s="12" t="s">
        <v>215</v>
      </c>
      <c r="B743" s="12">
        <v>1.0</v>
      </c>
      <c r="C743" s="36">
        <v>2.0</v>
      </c>
      <c r="D743" s="36">
        <v>3.0</v>
      </c>
      <c r="E743" s="36">
        <v>4.0</v>
      </c>
      <c r="F743" s="36">
        <v>5.0</v>
      </c>
      <c r="G743" s="36">
        <v>6.0</v>
      </c>
      <c r="H743" s="36">
        <v>7.0</v>
      </c>
      <c r="I743" s="36">
        <v>8.0</v>
      </c>
      <c r="J743" s="36">
        <v>9.0</v>
      </c>
      <c r="K743" s="36">
        <v>10.0</v>
      </c>
      <c r="L743" s="36">
        <v>11.0</v>
      </c>
      <c r="M743" s="36">
        <v>12.0</v>
      </c>
      <c r="N743" s="36">
        <v>13.0</v>
      </c>
      <c r="O743" s="36">
        <v>14.0</v>
      </c>
      <c r="P743" s="36">
        <v>15.0</v>
      </c>
      <c r="Q743" s="36">
        <v>16.0</v>
      </c>
      <c r="R743" s="36">
        <v>17.0</v>
      </c>
      <c r="S743" s="36">
        <v>18.0</v>
      </c>
      <c r="T743" s="36">
        <v>19.0</v>
      </c>
      <c r="U743" s="36">
        <v>20.0</v>
      </c>
      <c r="V743" s="36">
        <v>21.0</v>
      </c>
      <c r="W743" s="36">
        <v>22.0</v>
      </c>
      <c r="X743" s="36">
        <v>23.0</v>
      </c>
      <c r="Y743" s="36">
        <v>24.0</v>
      </c>
      <c r="Z743" s="36">
        <v>25.0</v>
      </c>
      <c r="AA743" s="36">
        <v>26.0</v>
      </c>
      <c r="AB743" s="36">
        <v>27.0</v>
      </c>
      <c r="AC743" s="36">
        <v>28.0</v>
      </c>
      <c r="AD743" s="36">
        <v>29.0</v>
      </c>
      <c r="AE743" s="36">
        <v>30.0</v>
      </c>
      <c r="AF743" s="36"/>
      <c r="AG743" s="36"/>
      <c r="AH743" s="36"/>
      <c r="AI743" s="36"/>
      <c r="AJ743" s="36"/>
    </row>
    <row r="744" ht="15.75" customHeight="1">
      <c r="A744" s="12" t="s">
        <v>217</v>
      </c>
      <c r="B744" s="12">
        <v>0.0</v>
      </c>
      <c r="C744" s="12">
        <v>0.0</v>
      </c>
      <c r="D744" s="12">
        <v>0.0</v>
      </c>
      <c r="E744" s="12">
        <v>0.0</v>
      </c>
      <c r="F744" s="12">
        <v>0.0</v>
      </c>
      <c r="G744" s="12">
        <v>0.0</v>
      </c>
      <c r="H744" s="12">
        <v>0.0</v>
      </c>
      <c r="I744" s="12">
        <v>0.0</v>
      </c>
      <c r="J744" s="12">
        <v>0.0</v>
      </c>
      <c r="K744" s="12">
        <v>0.0</v>
      </c>
      <c r="L744" s="12">
        <v>0.0</v>
      </c>
      <c r="M744" s="12">
        <v>0.0</v>
      </c>
      <c r="N744" s="12">
        <v>0.0</v>
      </c>
      <c r="O744" s="12">
        <v>0.0</v>
      </c>
      <c r="P744" s="12">
        <v>0.0</v>
      </c>
      <c r="Q744" s="12">
        <v>0.0</v>
      </c>
      <c r="R744" s="12">
        <v>0.0</v>
      </c>
      <c r="S744" s="12">
        <v>0.0</v>
      </c>
      <c r="T744" s="12">
        <v>0.0</v>
      </c>
      <c r="U744" s="12">
        <v>0.0</v>
      </c>
      <c r="V744" s="12">
        <v>0.0</v>
      </c>
      <c r="W744" s="12">
        <v>0.0</v>
      </c>
      <c r="X744" s="12">
        <v>0.0</v>
      </c>
      <c r="Y744" s="12">
        <v>0.0</v>
      </c>
      <c r="Z744" s="12">
        <v>0.0</v>
      </c>
      <c r="AA744" s="12">
        <v>0.0</v>
      </c>
      <c r="AB744" s="12">
        <v>0.0</v>
      </c>
      <c r="AC744" s="12">
        <v>0.0</v>
      </c>
      <c r="AD744" s="12">
        <v>0.0</v>
      </c>
      <c r="AE744" s="12">
        <v>0.0</v>
      </c>
      <c r="AF744" s="36"/>
      <c r="AG744" s="36"/>
      <c r="AH744" s="36"/>
      <c r="AI744" s="36"/>
      <c r="AJ744" s="36"/>
    </row>
    <row r="745" ht="15.75" customHeight="1">
      <c r="A745" s="12" t="s">
        <v>218</v>
      </c>
      <c r="B745" s="194">
        <f t="shared" ref="B745:D745" si="98">0.4%</f>
        <v>0.004</v>
      </c>
      <c r="C745" s="194">
        <f t="shared" si="98"/>
        <v>0.004</v>
      </c>
      <c r="D745" s="194">
        <f t="shared" si="98"/>
        <v>0.004</v>
      </c>
      <c r="E745" s="12">
        <v>0.0</v>
      </c>
      <c r="F745" s="12">
        <v>0.0</v>
      </c>
      <c r="G745" s="12">
        <v>0.0</v>
      </c>
      <c r="H745" s="12">
        <v>0.0</v>
      </c>
      <c r="I745" s="12">
        <v>0.0</v>
      </c>
      <c r="J745" s="12">
        <v>0.0</v>
      </c>
      <c r="K745" s="12">
        <v>0.0</v>
      </c>
      <c r="L745" s="12">
        <v>0.0</v>
      </c>
      <c r="M745" s="12">
        <v>0.0</v>
      </c>
      <c r="N745" s="12">
        <v>0.0</v>
      </c>
      <c r="O745" s="12">
        <v>0.0</v>
      </c>
      <c r="P745" s="12">
        <v>0.0</v>
      </c>
      <c r="Q745" s="12">
        <v>0.0</v>
      </c>
      <c r="R745" s="12">
        <v>0.0</v>
      </c>
      <c r="S745" s="12">
        <v>0.0</v>
      </c>
      <c r="T745" s="12">
        <v>0.0</v>
      </c>
      <c r="U745" s="12">
        <v>0.0</v>
      </c>
      <c r="V745" s="12">
        <v>0.0</v>
      </c>
      <c r="W745" s="12">
        <v>0.0</v>
      </c>
      <c r="X745" s="12">
        <v>0.0</v>
      </c>
      <c r="Y745" s="12">
        <v>0.0</v>
      </c>
      <c r="Z745" s="12">
        <v>0.0</v>
      </c>
      <c r="AA745" s="12">
        <v>0.0</v>
      </c>
      <c r="AB745" s="12">
        <v>0.0</v>
      </c>
      <c r="AC745" s="12">
        <v>0.0</v>
      </c>
      <c r="AD745" s="12">
        <v>0.0</v>
      </c>
      <c r="AE745" s="12">
        <v>0.0</v>
      </c>
      <c r="AF745" s="36"/>
      <c r="AG745" s="36"/>
      <c r="AH745" s="36"/>
      <c r="AI745" s="36"/>
      <c r="AJ745" s="36"/>
    </row>
    <row r="746" ht="15.75" customHeight="1">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c r="AA746" s="36"/>
      <c r="AB746" s="36"/>
      <c r="AC746" s="36"/>
      <c r="AD746" s="36"/>
      <c r="AE746" s="36"/>
      <c r="AF746" s="36"/>
      <c r="AG746" s="36"/>
      <c r="AH746" s="36"/>
      <c r="AI746" s="36"/>
      <c r="AJ746" s="36"/>
    </row>
    <row r="747" ht="15.75" customHeight="1">
      <c r="A747" s="395" t="s">
        <v>1254</v>
      </c>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c r="AA747" s="36"/>
      <c r="AB747" s="36"/>
      <c r="AC747" s="36"/>
      <c r="AD747" s="36"/>
      <c r="AE747" s="36"/>
      <c r="AF747" s="36"/>
      <c r="AG747" s="36"/>
      <c r="AH747" s="36"/>
      <c r="AI747" s="36"/>
      <c r="AJ747" s="36"/>
    </row>
    <row r="748" ht="15.75" customHeight="1">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c r="AA748" s="36"/>
      <c r="AB748" s="36"/>
      <c r="AC748" s="36"/>
      <c r="AD748" s="36"/>
      <c r="AE748" s="36"/>
      <c r="AF748" s="36"/>
      <c r="AG748" s="36"/>
      <c r="AH748" s="36"/>
      <c r="AI748" s="36"/>
      <c r="AJ748" s="36"/>
    </row>
    <row r="749" ht="15.75" customHeight="1">
      <c r="A749" s="36" t="s">
        <v>215</v>
      </c>
      <c r="B749" s="36">
        <v>1.0</v>
      </c>
      <c r="C749" s="36">
        <v>2.0</v>
      </c>
      <c r="D749" s="36">
        <v>3.0</v>
      </c>
      <c r="E749" s="36">
        <v>4.0</v>
      </c>
      <c r="F749" s="36">
        <v>5.0</v>
      </c>
      <c r="G749" s="36">
        <v>6.0</v>
      </c>
      <c r="H749" s="36">
        <v>7.0</v>
      </c>
      <c r="I749" s="36">
        <v>8.0</v>
      </c>
      <c r="J749" s="36">
        <v>9.0</v>
      </c>
      <c r="K749" s="36">
        <v>10.0</v>
      </c>
      <c r="L749" s="36">
        <v>11.0</v>
      </c>
      <c r="M749" s="36">
        <v>12.0</v>
      </c>
      <c r="N749" s="36">
        <v>13.0</v>
      </c>
      <c r="O749" s="36">
        <v>14.0</v>
      </c>
      <c r="P749" s="36">
        <v>15.0</v>
      </c>
      <c r="Q749" s="36">
        <v>16.0</v>
      </c>
      <c r="R749" s="36">
        <v>17.0</v>
      </c>
      <c r="S749" s="36">
        <v>18.0</v>
      </c>
      <c r="T749" s="36">
        <v>19.0</v>
      </c>
      <c r="U749" s="36">
        <v>20.0</v>
      </c>
      <c r="V749" s="36">
        <v>21.0</v>
      </c>
      <c r="W749" s="36">
        <v>22.0</v>
      </c>
      <c r="X749" s="36">
        <v>23.0</v>
      </c>
      <c r="Y749" s="36">
        <v>24.0</v>
      </c>
      <c r="Z749" s="36">
        <v>25.0</v>
      </c>
      <c r="AA749" s="36">
        <v>26.0</v>
      </c>
      <c r="AB749" s="36">
        <v>27.0</v>
      </c>
      <c r="AC749" s="36">
        <v>28.0</v>
      </c>
      <c r="AD749" s="36">
        <v>29.0</v>
      </c>
      <c r="AE749" s="36">
        <v>30.0</v>
      </c>
      <c r="AF749" s="36"/>
      <c r="AG749" s="36"/>
      <c r="AH749" s="36"/>
      <c r="AI749" s="36"/>
      <c r="AJ749" s="36"/>
    </row>
    <row r="750" ht="15.75" customHeight="1">
      <c r="A750" s="12" t="s">
        <v>217</v>
      </c>
      <c r="B750" s="12">
        <v>0.0</v>
      </c>
      <c r="C750" s="12">
        <v>50.0</v>
      </c>
      <c r="D750" s="12">
        <v>50.0</v>
      </c>
      <c r="E750" s="12">
        <v>50.0</v>
      </c>
      <c r="F750" s="12">
        <v>50.0</v>
      </c>
      <c r="G750" s="12">
        <v>50.0</v>
      </c>
      <c r="H750" s="12">
        <v>50.0</v>
      </c>
      <c r="I750" s="12">
        <v>50.0</v>
      </c>
      <c r="J750" s="12">
        <v>50.0</v>
      </c>
      <c r="K750" s="12">
        <v>50.0</v>
      </c>
      <c r="L750" s="12">
        <v>0.0</v>
      </c>
      <c r="M750" s="12">
        <v>0.0</v>
      </c>
      <c r="N750" s="12">
        <v>0.0</v>
      </c>
      <c r="O750" s="12">
        <v>0.0</v>
      </c>
      <c r="P750" s="12">
        <v>0.0</v>
      </c>
      <c r="Q750" s="12">
        <v>0.0</v>
      </c>
      <c r="R750" s="12">
        <v>0.0</v>
      </c>
      <c r="S750" s="12">
        <v>0.0</v>
      </c>
      <c r="T750" s="12">
        <v>0.0</v>
      </c>
      <c r="U750" s="12">
        <v>0.0</v>
      </c>
      <c r="V750" s="12">
        <v>0.0</v>
      </c>
      <c r="W750" s="12">
        <v>0.0</v>
      </c>
      <c r="X750" s="12">
        <v>0.0</v>
      </c>
      <c r="Y750" s="12">
        <v>0.0</v>
      </c>
      <c r="Z750" s="12">
        <v>0.0</v>
      </c>
      <c r="AA750" s="12">
        <v>0.0</v>
      </c>
      <c r="AB750" s="12">
        <v>0.0</v>
      </c>
      <c r="AC750" s="12">
        <v>0.0</v>
      </c>
      <c r="AD750" s="12">
        <v>0.0</v>
      </c>
      <c r="AE750" s="12">
        <v>0.0</v>
      </c>
      <c r="AF750" s="36"/>
      <c r="AG750" s="36"/>
      <c r="AH750" s="36"/>
      <c r="AI750" s="36"/>
      <c r="AJ750" s="36"/>
    </row>
    <row r="751" ht="15.75" customHeight="1">
      <c r="A751" s="12" t="s">
        <v>218</v>
      </c>
      <c r="B751" s="121">
        <v>0.0</v>
      </c>
      <c r="C751" s="121">
        <v>0.0</v>
      </c>
      <c r="D751" s="121">
        <v>0.0</v>
      </c>
      <c r="E751" s="121">
        <v>0.0</v>
      </c>
      <c r="F751" s="121">
        <v>0.0</v>
      </c>
      <c r="G751" s="121">
        <v>0.0</v>
      </c>
      <c r="H751" s="121">
        <v>0.0</v>
      </c>
      <c r="I751" s="121">
        <v>0.0</v>
      </c>
      <c r="J751" s="121">
        <v>0.0</v>
      </c>
      <c r="K751" s="121">
        <v>0.0</v>
      </c>
      <c r="L751" s="121">
        <v>0.0</v>
      </c>
      <c r="M751" s="121">
        <v>0.0</v>
      </c>
      <c r="N751" s="121">
        <v>0.0</v>
      </c>
      <c r="O751" s="121">
        <v>0.0</v>
      </c>
      <c r="P751" s="121">
        <v>0.0</v>
      </c>
      <c r="Q751" s="121">
        <v>0.0</v>
      </c>
      <c r="R751" s="121">
        <v>0.0</v>
      </c>
      <c r="S751" s="121">
        <v>0.0</v>
      </c>
      <c r="T751" s="121">
        <v>0.0</v>
      </c>
      <c r="U751" s="121">
        <v>0.0</v>
      </c>
      <c r="V751" s="121">
        <v>0.0</v>
      </c>
      <c r="W751" s="121">
        <v>0.0</v>
      </c>
      <c r="X751" s="121">
        <v>0.0</v>
      </c>
      <c r="Y751" s="121">
        <v>0.0</v>
      </c>
      <c r="Z751" s="121">
        <v>0.0</v>
      </c>
      <c r="AA751" s="121">
        <v>0.0</v>
      </c>
      <c r="AB751" s="121">
        <v>0.0</v>
      </c>
      <c r="AC751" s="121">
        <v>0.0</v>
      </c>
      <c r="AD751" s="121">
        <v>0.0</v>
      </c>
      <c r="AE751" s="121">
        <v>0.0</v>
      </c>
      <c r="AF751" s="36"/>
      <c r="AG751" s="36"/>
      <c r="AH751" s="36"/>
      <c r="AI751" s="36"/>
      <c r="AJ751" s="36"/>
    </row>
    <row r="752" ht="15.75" customHeight="1">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c r="AA752" s="36"/>
      <c r="AB752" s="36"/>
      <c r="AC752" s="36"/>
      <c r="AD752" s="36"/>
      <c r="AE752" s="36"/>
      <c r="AF752" s="36"/>
      <c r="AG752" s="36"/>
      <c r="AH752" s="36"/>
      <c r="AI752" s="36"/>
      <c r="AJ752" s="36"/>
    </row>
    <row r="753" ht="15.75" customHeight="1">
      <c r="A753" s="380" t="s">
        <v>1250</v>
      </c>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c r="AA753" s="36"/>
      <c r="AB753" s="36"/>
      <c r="AC753" s="36"/>
      <c r="AD753" s="36"/>
      <c r="AE753" s="36"/>
      <c r="AF753" s="36"/>
      <c r="AG753" s="36"/>
      <c r="AH753" s="36"/>
      <c r="AI753" s="36"/>
      <c r="AJ753" s="36"/>
    </row>
    <row r="754" ht="15.75" customHeight="1">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c r="AA754" s="36"/>
      <c r="AB754" s="36"/>
      <c r="AC754" s="36"/>
      <c r="AD754" s="36"/>
      <c r="AE754" s="36"/>
      <c r="AF754" s="36"/>
      <c r="AG754" s="36"/>
      <c r="AH754" s="36"/>
      <c r="AI754" s="36"/>
      <c r="AJ754" s="36"/>
    </row>
    <row r="755" ht="15.75" customHeight="1">
      <c r="A755" s="36" t="s">
        <v>1956</v>
      </c>
      <c r="B755" s="36">
        <v>1.0</v>
      </c>
      <c r="C755" s="36">
        <v>2.0</v>
      </c>
      <c r="D755" s="36">
        <v>3.0</v>
      </c>
      <c r="E755" s="36">
        <v>4.0</v>
      </c>
      <c r="F755" s="36">
        <v>5.0</v>
      </c>
      <c r="G755" s="36">
        <v>6.0</v>
      </c>
      <c r="H755" s="36">
        <v>7.0</v>
      </c>
      <c r="I755" s="36">
        <v>8.0</v>
      </c>
      <c r="J755" s="36">
        <v>9.0</v>
      </c>
      <c r="K755" s="36">
        <v>10.0</v>
      </c>
      <c r="L755" s="36">
        <v>11.0</v>
      </c>
      <c r="M755" s="36">
        <v>12.0</v>
      </c>
      <c r="N755" s="36">
        <v>13.0</v>
      </c>
      <c r="O755" s="36">
        <v>14.0</v>
      </c>
      <c r="P755" s="36">
        <v>15.0</v>
      </c>
      <c r="Q755" s="36">
        <v>16.0</v>
      </c>
      <c r="R755" s="36">
        <v>17.0</v>
      </c>
      <c r="S755" s="36">
        <v>18.0</v>
      </c>
      <c r="T755" s="36">
        <v>19.0</v>
      </c>
      <c r="U755" s="36">
        <v>20.0</v>
      </c>
      <c r="V755" s="36">
        <v>21.0</v>
      </c>
      <c r="W755" s="36">
        <v>22.0</v>
      </c>
      <c r="X755" s="36">
        <v>23.0</v>
      </c>
      <c r="Y755" s="36">
        <v>24.0</v>
      </c>
      <c r="Z755" s="36">
        <v>25.0</v>
      </c>
      <c r="AA755" s="36">
        <v>26.0</v>
      </c>
      <c r="AB755" s="36">
        <v>27.0</v>
      </c>
      <c r="AC755" s="36">
        <v>28.0</v>
      </c>
      <c r="AD755" s="36">
        <v>29.0</v>
      </c>
      <c r="AE755" s="36">
        <v>30.0</v>
      </c>
      <c r="AF755" s="36"/>
      <c r="AG755" s="36"/>
      <c r="AH755" s="36"/>
      <c r="AI755" s="36"/>
      <c r="AJ755" s="36"/>
    </row>
    <row r="756" ht="15.75" customHeight="1">
      <c r="A756" s="36">
        <v>0.0</v>
      </c>
      <c r="B756" s="194">
        <v>0.004</v>
      </c>
      <c r="C756" s="194">
        <v>0.004</v>
      </c>
      <c r="D756" s="194">
        <v>0.004</v>
      </c>
      <c r="E756" s="194">
        <v>0.004</v>
      </c>
      <c r="F756" s="194">
        <v>0.004</v>
      </c>
      <c r="G756" s="36">
        <v>0.0</v>
      </c>
      <c r="H756" s="36">
        <v>0.0</v>
      </c>
      <c r="I756" s="36">
        <v>0.0</v>
      </c>
      <c r="J756" s="36">
        <v>0.0</v>
      </c>
      <c r="K756" s="36">
        <v>0.0</v>
      </c>
      <c r="L756" s="36">
        <v>0.0</v>
      </c>
      <c r="M756" s="36">
        <v>0.0</v>
      </c>
      <c r="N756" s="36">
        <v>0.0</v>
      </c>
      <c r="O756" s="36">
        <v>0.0</v>
      </c>
      <c r="P756" s="36">
        <v>0.0</v>
      </c>
      <c r="Q756" s="36">
        <v>0.0</v>
      </c>
      <c r="R756" s="36">
        <v>0.0</v>
      </c>
      <c r="S756" s="36">
        <v>0.0</v>
      </c>
      <c r="T756" s="36">
        <v>0.0</v>
      </c>
      <c r="U756" s="36">
        <v>0.0</v>
      </c>
      <c r="V756" s="36">
        <v>0.0</v>
      </c>
      <c r="W756" s="36">
        <v>0.0</v>
      </c>
      <c r="X756" s="36">
        <v>0.0</v>
      </c>
      <c r="Y756" s="36">
        <v>0.0</v>
      </c>
      <c r="Z756" s="36">
        <v>0.0</v>
      </c>
      <c r="AA756" s="36">
        <v>0.0</v>
      </c>
      <c r="AB756" s="36">
        <v>0.0</v>
      </c>
      <c r="AC756" s="36">
        <v>0.0</v>
      </c>
      <c r="AD756" s="36">
        <v>0.0</v>
      </c>
      <c r="AE756" s="36">
        <v>0.0</v>
      </c>
      <c r="AF756" s="36"/>
      <c r="AG756" s="36"/>
      <c r="AH756" s="36"/>
      <c r="AI756" s="36"/>
      <c r="AJ756" s="36"/>
    </row>
    <row r="757" ht="15.75" customHeight="1">
      <c r="A757" s="12">
        <v>15000.0</v>
      </c>
      <c r="B757" s="194">
        <v>0.003</v>
      </c>
      <c r="C757" s="194">
        <v>0.003</v>
      </c>
      <c r="D757" s="194">
        <v>0.003</v>
      </c>
      <c r="E757" s="194">
        <v>0.003</v>
      </c>
      <c r="F757" s="194">
        <v>0.003</v>
      </c>
      <c r="G757" s="36">
        <v>0.0</v>
      </c>
      <c r="H757" s="36">
        <v>0.0</v>
      </c>
      <c r="I757" s="36">
        <v>0.0</v>
      </c>
      <c r="J757" s="36">
        <v>0.0</v>
      </c>
      <c r="K757" s="36">
        <v>0.0</v>
      </c>
      <c r="L757" s="36">
        <v>0.0</v>
      </c>
      <c r="M757" s="36">
        <v>0.0</v>
      </c>
      <c r="N757" s="36">
        <v>0.0</v>
      </c>
      <c r="O757" s="36">
        <v>0.0</v>
      </c>
      <c r="P757" s="36">
        <v>0.0</v>
      </c>
      <c r="Q757" s="36">
        <v>0.0</v>
      </c>
      <c r="R757" s="36">
        <v>0.0</v>
      </c>
      <c r="S757" s="36">
        <v>0.0</v>
      </c>
      <c r="T757" s="36">
        <v>0.0</v>
      </c>
      <c r="U757" s="36">
        <v>0.0</v>
      </c>
      <c r="V757" s="36">
        <v>0.0</v>
      </c>
      <c r="W757" s="36">
        <v>0.0</v>
      </c>
      <c r="X757" s="36">
        <v>0.0</v>
      </c>
      <c r="Y757" s="36">
        <v>0.0</v>
      </c>
      <c r="Z757" s="36">
        <v>0.0</v>
      </c>
      <c r="AA757" s="36">
        <v>0.0</v>
      </c>
      <c r="AB757" s="36">
        <v>0.0</v>
      </c>
      <c r="AC757" s="36">
        <v>0.0</v>
      </c>
      <c r="AD757" s="36">
        <v>0.0</v>
      </c>
      <c r="AE757" s="36">
        <v>0.0</v>
      </c>
      <c r="AF757" s="36"/>
      <c r="AG757" s="36"/>
      <c r="AH757" s="36"/>
      <c r="AI757" s="36"/>
      <c r="AJ757" s="36"/>
    </row>
    <row r="758" ht="15.75" customHeight="1">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c r="AA758" s="36"/>
      <c r="AB758" s="36"/>
      <c r="AC758" s="36"/>
      <c r="AD758" s="36"/>
      <c r="AE758" s="36"/>
      <c r="AF758" s="36"/>
      <c r="AG758" s="36"/>
      <c r="AH758" s="36"/>
      <c r="AI758" s="36"/>
      <c r="AJ758" s="36"/>
    </row>
    <row r="759" ht="15.75" customHeight="1">
      <c r="A759" s="171" t="s">
        <v>1957</v>
      </c>
      <c r="B759" s="171">
        <v>1.0</v>
      </c>
      <c r="C759" s="171">
        <v>2.0</v>
      </c>
      <c r="D759" s="171">
        <v>3.0</v>
      </c>
      <c r="E759" s="171">
        <v>4.0</v>
      </c>
      <c r="F759" s="171">
        <v>5.0</v>
      </c>
      <c r="G759" s="171">
        <v>6.0</v>
      </c>
      <c r="H759" s="171">
        <v>7.0</v>
      </c>
      <c r="I759" s="171">
        <v>8.0</v>
      </c>
      <c r="J759" s="171">
        <v>9.0</v>
      </c>
      <c r="K759" s="171">
        <v>10.0</v>
      </c>
      <c r="L759" s="171">
        <v>11.0</v>
      </c>
      <c r="M759" s="171">
        <v>12.0</v>
      </c>
      <c r="N759" s="171">
        <v>13.0</v>
      </c>
      <c r="O759" s="171">
        <v>14.0</v>
      </c>
      <c r="P759" s="171">
        <v>15.0</v>
      </c>
      <c r="Q759" s="171">
        <v>16.0</v>
      </c>
      <c r="R759" s="171">
        <v>17.0</v>
      </c>
      <c r="S759" s="171">
        <v>18.0</v>
      </c>
      <c r="T759" s="171">
        <v>19.0</v>
      </c>
      <c r="U759" s="171">
        <v>20.0</v>
      </c>
      <c r="V759" s="171">
        <v>21.0</v>
      </c>
      <c r="W759" s="171">
        <v>22.0</v>
      </c>
      <c r="X759" s="171">
        <v>23.0</v>
      </c>
      <c r="Y759" s="171">
        <v>24.0</v>
      </c>
      <c r="Z759" s="171">
        <v>25.0</v>
      </c>
      <c r="AA759" s="171">
        <v>26.0</v>
      </c>
      <c r="AB759" s="171">
        <v>27.0</v>
      </c>
      <c r="AC759" s="171">
        <v>28.0</v>
      </c>
      <c r="AD759" s="171">
        <v>29.0</v>
      </c>
      <c r="AE759" s="171">
        <v>30.0</v>
      </c>
      <c r="AF759" s="36"/>
      <c r="AG759" s="36"/>
      <c r="AH759" s="36"/>
      <c r="AI759" s="36"/>
      <c r="AJ759" s="36"/>
    </row>
    <row r="760" ht="15.75" customHeight="1">
      <c r="A760" s="112" t="s">
        <v>217</v>
      </c>
      <c r="B760" s="112">
        <v>0.0</v>
      </c>
      <c r="C760" s="112">
        <v>0.0</v>
      </c>
      <c r="D760" s="112">
        <v>0.0</v>
      </c>
      <c r="E760" s="112">
        <v>0.0</v>
      </c>
      <c r="F760" s="112">
        <v>0.0</v>
      </c>
      <c r="G760" s="112">
        <v>0.0</v>
      </c>
      <c r="H760" s="112">
        <v>0.0</v>
      </c>
      <c r="I760" s="112">
        <v>0.0</v>
      </c>
      <c r="J760" s="112">
        <v>0.0</v>
      </c>
      <c r="K760" s="112">
        <v>0.0</v>
      </c>
      <c r="L760" s="112">
        <v>0.0</v>
      </c>
      <c r="M760" s="112">
        <v>0.0</v>
      </c>
      <c r="N760" s="112">
        <v>0.0</v>
      </c>
      <c r="O760" s="112">
        <v>0.0</v>
      </c>
      <c r="P760" s="112">
        <v>0.0</v>
      </c>
      <c r="Q760" s="112">
        <v>0.0</v>
      </c>
      <c r="R760" s="112">
        <v>0.0</v>
      </c>
      <c r="S760" s="112">
        <v>0.0</v>
      </c>
      <c r="T760" s="112">
        <v>0.0</v>
      </c>
      <c r="U760" s="112">
        <v>0.0</v>
      </c>
      <c r="V760" s="112">
        <v>0.0</v>
      </c>
      <c r="W760" s="112">
        <v>0.0</v>
      </c>
      <c r="X760" s="112">
        <v>0.0</v>
      </c>
      <c r="Y760" s="112">
        <v>0.0</v>
      </c>
      <c r="Z760" s="112">
        <v>0.0</v>
      </c>
      <c r="AA760" s="112">
        <v>0.0</v>
      </c>
      <c r="AB760" s="112">
        <v>0.0</v>
      </c>
      <c r="AC760" s="112">
        <v>0.0</v>
      </c>
      <c r="AD760" s="112">
        <v>0.0</v>
      </c>
      <c r="AE760" s="112">
        <v>0.0</v>
      </c>
      <c r="AF760" s="36"/>
      <c r="AG760" s="36"/>
      <c r="AH760" s="36"/>
      <c r="AI760" s="36"/>
      <c r="AJ760" s="36"/>
    </row>
    <row r="761" ht="15.75" customHeight="1">
      <c r="A761" s="112" t="s">
        <v>218</v>
      </c>
      <c r="B761" s="183">
        <f t="array" ref="B761">INDEX($A$755:$AE$757,MATCH(Annual_Prem,$A$755:$A$757,1),MATCH(B759,$A$755:$AE$755,0))</f>
        <v>0.003</v>
      </c>
      <c r="C761" s="183">
        <f t="array" ref="C761">INDEX($A$755:$AE$757,MATCH(Annual_Prem,$A$755:$A$757,1),MATCH(C759,$A$755:$AE$755,0))</f>
        <v>0.003</v>
      </c>
      <c r="D761" s="183">
        <f t="array" ref="D761">INDEX($A$755:$AE$757,MATCH(Annual_Prem,$A$755:$A$757,1),MATCH(D759,$A$755:$AE$755,0))</f>
        <v>0.003</v>
      </c>
      <c r="E761" s="183">
        <f t="array" ref="E761">INDEX($A$755:$AE$757,MATCH(Annual_Prem,$A$755:$A$757,1),MATCH(E759,$A$755:$AE$755,0))</f>
        <v>0.003</v>
      </c>
      <c r="F761" s="183">
        <f t="array" ref="F761">INDEX($A$755:$AE$757,MATCH(Annual_Prem,$A$755:$A$757,1),MATCH(F759,$A$755:$AE$755,0))</f>
        <v>0.003</v>
      </c>
      <c r="G761" s="171">
        <f t="array" ref="G761">INDEX($A$755:$AE$757,MATCH(Annual_Prem,$A$755:$A$757,1),MATCH(G759,$A$755:$AE$755,0))</f>
        <v>0</v>
      </c>
      <c r="H761" s="171">
        <f t="array" ref="H761">INDEX($A$755:$AE$757,MATCH(Annual_Prem,$A$755:$A$757,1),MATCH(H759,$A$755:$AE$755,0))</f>
        <v>0</v>
      </c>
      <c r="I761" s="171">
        <f t="array" ref="I761">INDEX($A$755:$AE$757,MATCH(Annual_Prem,$A$755:$A$757,1),MATCH(I759,$A$755:$AE$755,0))</f>
        <v>0</v>
      </c>
      <c r="J761" s="171">
        <f t="array" ref="J761">INDEX($A$755:$AE$757,MATCH(Annual_Prem,$A$755:$A$757,1),MATCH(J759,$A$755:$AE$755,0))</f>
        <v>0</v>
      </c>
      <c r="K761" s="171">
        <f t="array" ref="K761">INDEX($A$755:$AE$757,MATCH(Annual_Prem,$A$755:$A$757,1),MATCH(K759,$A$755:$AE$755,0))</f>
        <v>0</v>
      </c>
      <c r="L761" s="171">
        <f t="array" ref="L761">INDEX($A$755:$AE$757,MATCH(Annual_Prem,$A$755:$A$757,1),MATCH(L759,$A$755:$AE$755,0))</f>
        <v>0</v>
      </c>
      <c r="M761" s="171">
        <f t="array" ref="M761">INDEX($A$755:$AE$757,MATCH(Annual_Prem,$A$755:$A$757,1),MATCH(M759,$A$755:$AE$755,0))</f>
        <v>0</v>
      </c>
      <c r="N761" s="171">
        <f t="array" ref="N761">INDEX($A$755:$AE$757,MATCH(Annual_Prem,$A$755:$A$757,1),MATCH(N759,$A$755:$AE$755,0))</f>
        <v>0</v>
      </c>
      <c r="O761" s="171">
        <f t="array" ref="O761">INDEX($A$755:$AE$757,MATCH(Annual_Prem,$A$755:$A$757,1),MATCH(O759,$A$755:$AE$755,0))</f>
        <v>0</v>
      </c>
      <c r="P761" s="171">
        <f t="array" ref="P761">INDEX($A$755:$AE$757,MATCH(Annual_Prem,$A$755:$A$757,1),MATCH(P759,$A$755:$AE$755,0))</f>
        <v>0</v>
      </c>
      <c r="Q761" s="171">
        <f t="array" ref="Q761">INDEX($A$755:$AE$757,MATCH(Annual_Prem,$A$755:$A$757,1),MATCH(Q759,$A$755:$AE$755,0))</f>
        <v>0</v>
      </c>
      <c r="R761" s="171">
        <f t="array" ref="R761">INDEX($A$755:$AE$757,MATCH(Annual_Prem,$A$755:$A$757,1),MATCH(R759,$A$755:$AE$755,0))</f>
        <v>0</v>
      </c>
      <c r="S761" s="171">
        <f t="array" ref="S761">INDEX($A$755:$AE$757,MATCH(Annual_Prem,$A$755:$A$757,1),MATCH(S759,$A$755:$AE$755,0))</f>
        <v>0</v>
      </c>
      <c r="T761" s="171">
        <f t="array" ref="T761">INDEX($A$755:$AE$757,MATCH(Annual_Prem,$A$755:$A$757,1),MATCH(T759,$A$755:$AE$755,0))</f>
        <v>0</v>
      </c>
      <c r="U761" s="171">
        <f t="array" ref="U761">INDEX($A$755:$AE$757,MATCH(Annual_Prem,$A$755:$A$757,1),MATCH(U759,$A$755:$AE$755,0))</f>
        <v>0</v>
      </c>
      <c r="V761" s="171">
        <f t="array" ref="V761">INDEX($A$755:$AE$757,MATCH(Annual_Prem,$A$755:$A$757,1),MATCH(V759,$A$755:$AE$755,0))</f>
        <v>0</v>
      </c>
      <c r="W761" s="171">
        <f t="array" ref="W761">INDEX($A$755:$AE$757,MATCH(Annual_Prem,$A$755:$A$757,1),MATCH(W759,$A$755:$AE$755,0))</f>
        <v>0</v>
      </c>
      <c r="X761" s="171">
        <f t="array" ref="X761">INDEX($A$755:$AE$757,MATCH(Annual_Prem,$A$755:$A$757,1),MATCH(X759,$A$755:$AE$755,0))</f>
        <v>0</v>
      </c>
      <c r="Y761" s="171">
        <f t="array" ref="Y761">INDEX($A$755:$AE$757,MATCH(Annual_Prem,$A$755:$A$757,1),MATCH(Y759,$A$755:$AE$755,0))</f>
        <v>0</v>
      </c>
      <c r="Z761" s="171">
        <f t="array" ref="Z761">INDEX($A$755:$AE$757,MATCH(Annual_Prem,$A$755:$A$757,1),MATCH(Z759,$A$755:$AE$755,0))</f>
        <v>0</v>
      </c>
      <c r="AA761" s="171">
        <f t="array" ref="AA761">INDEX($A$755:$AE$757,MATCH(Annual_Prem,$A$755:$A$757,1),MATCH(AA759,$A$755:$AE$755,0))</f>
        <v>0</v>
      </c>
      <c r="AB761" s="171">
        <f t="array" ref="AB761">INDEX($A$755:$AE$757,MATCH(Annual_Prem,$A$755:$A$757,1),MATCH(AB759,$A$755:$AE$755,0))</f>
        <v>0</v>
      </c>
      <c r="AC761" s="171">
        <f t="array" ref="AC761">INDEX($A$755:$AE$757,MATCH(Annual_Prem,$A$755:$A$757,1),MATCH(AC759,$A$755:$AE$755,0))</f>
        <v>0</v>
      </c>
      <c r="AD761" s="171">
        <f t="array" ref="AD761">INDEX($A$755:$AE$757,MATCH(Annual_Prem,$A$755:$A$757,1),MATCH(AD759,$A$755:$AE$755,0))</f>
        <v>0</v>
      </c>
      <c r="AE761" s="171">
        <f t="array" ref="AE761">INDEX($A$755:$AE$757,MATCH(Annual_Prem,$A$755:$A$757,1),MATCH(AE759,$A$755:$AE$755,0))</f>
        <v>0</v>
      </c>
      <c r="AF761" s="36"/>
      <c r="AG761" s="36"/>
      <c r="AH761" s="36"/>
      <c r="AI761" s="36"/>
      <c r="AJ761" s="36"/>
    </row>
    <row r="762" ht="15.75" customHeight="1">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c r="AA762" s="36"/>
      <c r="AB762" s="36"/>
      <c r="AC762" s="36"/>
      <c r="AD762" s="36"/>
      <c r="AE762" s="36"/>
      <c r="AF762" s="36"/>
      <c r="AG762" s="36"/>
      <c r="AH762" s="36"/>
      <c r="AI762" s="36"/>
      <c r="AJ762" s="36"/>
    </row>
    <row r="763" ht="15.75" customHeight="1">
      <c r="A763" s="380" t="s">
        <v>1246</v>
      </c>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c r="AA763" s="36"/>
      <c r="AB763" s="36"/>
      <c r="AC763" s="36"/>
      <c r="AD763" s="36"/>
      <c r="AE763" s="36"/>
      <c r="AF763" s="36"/>
      <c r="AG763" s="36"/>
      <c r="AH763" s="36"/>
      <c r="AI763" s="36"/>
      <c r="AJ763" s="36"/>
    </row>
    <row r="764" ht="15.75" customHeight="1">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c r="AA764" s="36"/>
      <c r="AB764" s="36"/>
      <c r="AC764" s="36"/>
      <c r="AD764" s="36"/>
      <c r="AE764" s="36"/>
      <c r="AF764" s="36"/>
      <c r="AG764" s="36"/>
      <c r="AH764" s="36"/>
      <c r="AI764" s="36"/>
      <c r="AJ764" s="36"/>
    </row>
    <row r="765" ht="15.75" customHeight="1">
      <c r="A765" s="36" t="s">
        <v>1956</v>
      </c>
      <c r="B765" s="36">
        <v>1.0</v>
      </c>
      <c r="C765" s="36">
        <v>2.0</v>
      </c>
      <c r="D765" s="36">
        <v>3.0</v>
      </c>
      <c r="E765" s="36">
        <v>4.0</v>
      </c>
      <c r="F765" s="36">
        <v>5.0</v>
      </c>
      <c r="G765" s="36">
        <v>6.0</v>
      </c>
      <c r="H765" s="36">
        <v>7.0</v>
      </c>
      <c r="I765" s="36">
        <v>8.0</v>
      </c>
      <c r="J765" s="36">
        <v>9.0</v>
      </c>
      <c r="K765" s="36">
        <v>10.0</v>
      </c>
      <c r="L765" s="36">
        <v>11.0</v>
      </c>
      <c r="M765" s="36">
        <v>12.0</v>
      </c>
      <c r="N765" s="36">
        <v>13.0</v>
      </c>
      <c r="O765" s="36">
        <v>14.0</v>
      </c>
      <c r="P765" s="36">
        <v>15.0</v>
      </c>
      <c r="Q765" s="36">
        <v>16.0</v>
      </c>
      <c r="R765" s="36">
        <v>17.0</v>
      </c>
      <c r="S765" s="36">
        <v>18.0</v>
      </c>
      <c r="T765" s="36">
        <v>19.0</v>
      </c>
      <c r="U765" s="36">
        <v>20.0</v>
      </c>
      <c r="V765" s="36">
        <v>21.0</v>
      </c>
      <c r="W765" s="36">
        <v>22.0</v>
      </c>
      <c r="X765" s="36">
        <v>23.0</v>
      </c>
      <c r="Y765" s="36">
        <v>24.0</v>
      </c>
      <c r="Z765" s="36">
        <v>25.0</v>
      </c>
      <c r="AA765" s="36">
        <v>26.0</v>
      </c>
      <c r="AB765" s="36">
        <v>27.0</v>
      </c>
      <c r="AC765" s="36">
        <v>28.0</v>
      </c>
      <c r="AD765" s="36">
        <v>29.0</v>
      </c>
      <c r="AE765" s="36">
        <v>30.0</v>
      </c>
      <c r="AF765" s="36"/>
      <c r="AG765" s="36"/>
      <c r="AH765" s="36"/>
      <c r="AI765" s="36"/>
      <c r="AJ765" s="36"/>
    </row>
    <row r="766" ht="15.75" customHeight="1">
      <c r="A766" s="12">
        <v>24000.0</v>
      </c>
      <c r="B766" s="194">
        <v>0.009</v>
      </c>
      <c r="C766" s="194">
        <v>0.009</v>
      </c>
      <c r="D766" s="194">
        <v>0.009</v>
      </c>
      <c r="E766" s="194">
        <v>0.009</v>
      </c>
      <c r="F766" s="194">
        <v>0.009</v>
      </c>
      <c r="G766" s="36">
        <v>0.0</v>
      </c>
      <c r="H766" s="36">
        <v>0.0</v>
      </c>
      <c r="I766" s="36">
        <v>0.0</v>
      </c>
      <c r="J766" s="36">
        <v>0.0</v>
      </c>
      <c r="K766" s="36">
        <v>0.0</v>
      </c>
      <c r="L766" s="36">
        <v>0.0</v>
      </c>
      <c r="M766" s="36">
        <v>0.0</v>
      </c>
      <c r="N766" s="36">
        <v>0.0</v>
      </c>
      <c r="O766" s="36">
        <v>0.0</v>
      </c>
      <c r="P766" s="36">
        <v>0.0</v>
      </c>
      <c r="Q766" s="36">
        <v>0.0</v>
      </c>
      <c r="R766" s="36">
        <v>0.0</v>
      </c>
      <c r="S766" s="36">
        <v>0.0</v>
      </c>
      <c r="T766" s="36">
        <v>0.0</v>
      </c>
      <c r="U766" s="36">
        <v>0.0</v>
      </c>
      <c r="V766" s="36">
        <v>0.0</v>
      </c>
      <c r="W766" s="36">
        <v>0.0</v>
      </c>
      <c r="X766" s="36">
        <v>0.0</v>
      </c>
      <c r="Y766" s="36">
        <v>0.0</v>
      </c>
      <c r="Z766" s="36">
        <v>0.0</v>
      </c>
      <c r="AA766" s="36">
        <v>0.0</v>
      </c>
      <c r="AB766" s="36">
        <v>0.0</v>
      </c>
      <c r="AC766" s="36">
        <v>0.0</v>
      </c>
      <c r="AD766" s="36">
        <v>0.0</v>
      </c>
      <c r="AE766" s="36">
        <v>0.0</v>
      </c>
      <c r="AF766" s="36"/>
      <c r="AG766" s="36"/>
      <c r="AH766" s="36"/>
      <c r="AI766" s="36"/>
      <c r="AJ766" s="36"/>
    </row>
    <row r="767" ht="15.75" customHeight="1">
      <c r="A767" s="12">
        <v>100000.0</v>
      </c>
      <c r="B767" s="194">
        <v>0.008</v>
      </c>
      <c r="C767" s="194">
        <v>0.008</v>
      </c>
      <c r="D767" s="194">
        <v>0.008</v>
      </c>
      <c r="E767" s="194">
        <v>0.008</v>
      </c>
      <c r="F767" s="194">
        <v>0.008</v>
      </c>
      <c r="G767" s="36">
        <v>0.0</v>
      </c>
      <c r="H767" s="36">
        <v>0.0</v>
      </c>
      <c r="I767" s="36">
        <v>0.0</v>
      </c>
      <c r="J767" s="36">
        <v>0.0</v>
      </c>
      <c r="K767" s="36">
        <v>0.0</v>
      </c>
      <c r="L767" s="36">
        <v>0.0</v>
      </c>
      <c r="M767" s="36">
        <v>0.0</v>
      </c>
      <c r="N767" s="36">
        <v>0.0</v>
      </c>
      <c r="O767" s="36">
        <v>0.0</v>
      </c>
      <c r="P767" s="36">
        <v>0.0</v>
      </c>
      <c r="Q767" s="36">
        <v>0.0</v>
      </c>
      <c r="R767" s="36">
        <v>0.0</v>
      </c>
      <c r="S767" s="36">
        <v>0.0</v>
      </c>
      <c r="T767" s="36">
        <v>0.0</v>
      </c>
      <c r="U767" s="36">
        <v>0.0</v>
      </c>
      <c r="V767" s="36">
        <v>0.0</v>
      </c>
      <c r="W767" s="36">
        <v>0.0</v>
      </c>
      <c r="X767" s="36">
        <v>0.0</v>
      </c>
      <c r="Y767" s="36">
        <v>0.0</v>
      </c>
      <c r="Z767" s="36">
        <v>0.0</v>
      </c>
      <c r="AA767" s="36">
        <v>0.0</v>
      </c>
      <c r="AB767" s="36">
        <v>0.0</v>
      </c>
      <c r="AC767" s="36">
        <v>0.0</v>
      </c>
      <c r="AD767" s="36">
        <v>0.0</v>
      </c>
      <c r="AE767" s="36">
        <v>0.0</v>
      </c>
      <c r="AF767" s="36"/>
      <c r="AG767" s="36"/>
      <c r="AH767" s="36"/>
      <c r="AI767" s="36"/>
      <c r="AJ767" s="36"/>
    </row>
    <row r="768" ht="15.75" customHeight="1">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c r="AA768" s="36"/>
      <c r="AB768" s="36"/>
      <c r="AC768" s="36"/>
      <c r="AD768" s="36"/>
      <c r="AE768" s="36"/>
      <c r="AF768" s="36"/>
      <c r="AG768" s="36"/>
      <c r="AH768" s="36"/>
      <c r="AI768" s="36"/>
      <c r="AJ768" s="36"/>
    </row>
    <row r="769" ht="15.75" customHeight="1">
      <c r="A769" s="171" t="s">
        <v>1957</v>
      </c>
      <c r="B769" s="171">
        <v>1.0</v>
      </c>
      <c r="C769" s="171">
        <v>2.0</v>
      </c>
      <c r="D769" s="171">
        <v>3.0</v>
      </c>
      <c r="E769" s="171">
        <v>4.0</v>
      </c>
      <c r="F769" s="171">
        <v>5.0</v>
      </c>
      <c r="G769" s="171">
        <v>6.0</v>
      </c>
      <c r="H769" s="171">
        <v>7.0</v>
      </c>
      <c r="I769" s="171">
        <v>8.0</v>
      </c>
      <c r="J769" s="171">
        <v>9.0</v>
      </c>
      <c r="K769" s="171">
        <v>10.0</v>
      </c>
      <c r="L769" s="171">
        <v>11.0</v>
      </c>
      <c r="M769" s="171">
        <v>12.0</v>
      </c>
      <c r="N769" s="171">
        <v>13.0</v>
      </c>
      <c r="O769" s="171">
        <v>14.0</v>
      </c>
      <c r="P769" s="171">
        <v>15.0</v>
      </c>
      <c r="Q769" s="171">
        <v>16.0</v>
      </c>
      <c r="R769" s="171">
        <v>17.0</v>
      </c>
      <c r="S769" s="171">
        <v>18.0</v>
      </c>
      <c r="T769" s="171">
        <v>19.0</v>
      </c>
      <c r="U769" s="171">
        <v>20.0</v>
      </c>
      <c r="V769" s="171">
        <v>21.0</v>
      </c>
      <c r="W769" s="171">
        <v>22.0</v>
      </c>
      <c r="X769" s="171">
        <v>23.0</v>
      </c>
      <c r="Y769" s="171">
        <v>24.0</v>
      </c>
      <c r="Z769" s="171">
        <v>25.0</v>
      </c>
      <c r="AA769" s="171">
        <v>26.0</v>
      </c>
      <c r="AB769" s="171">
        <v>27.0</v>
      </c>
      <c r="AC769" s="171">
        <v>28.0</v>
      </c>
      <c r="AD769" s="171">
        <v>29.0</v>
      </c>
      <c r="AE769" s="171">
        <v>30.0</v>
      </c>
      <c r="AF769" s="36"/>
      <c r="AG769" s="36"/>
      <c r="AH769" s="36"/>
      <c r="AI769" s="36"/>
      <c r="AJ769" s="36"/>
    </row>
    <row r="770" ht="15.75" customHeight="1">
      <c r="A770" s="112" t="s">
        <v>217</v>
      </c>
      <c r="B770" s="112">
        <v>0.0</v>
      </c>
      <c r="C770" s="112">
        <v>0.0</v>
      </c>
      <c r="D770" s="112">
        <v>0.0</v>
      </c>
      <c r="E770" s="112">
        <v>0.0</v>
      </c>
      <c r="F770" s="112">
        <v>0.0</v>
      </c>
      <c r="G770" s="112">
        <v>0.0</v>
      </c>
      <c r="H770" s="112">
        <v>0.0</v>
      </c>
      <c r="I770" s="112">
        <v>0.0</v>
      </c>
      <c r="J770" s="112">
        <v>0.0</v>
      </c>
      <c r="K770" s="112">
        <v>0.0</v>
      </c>
      <c r="L770" s="112">
        <v>0.0</v>
      </c>
      <c r="M770" s="112">
        <v>0.0</v>
      </c>
      <c r="N770" s="112">
        <v>0.0</v>
      </c>
      <c r="O770" s="112">
        <v>0.0</v>
      </c>
      <c r="P770" s="112">
        <v>0.0</v>
      </c>
      <c r="Q770" s="112">
        <v>0.0</v>
      </c>
      <c r="R770" s="112">
        <v>0.0</v>
      </c>
      <c r="S770" s="112">
        <v>0.0</v>
      </c>
      <c r="T770" s="112">
        <v>0.0</v>
      </c>
      <c r="U770" s="112">
        <v>0.0</v>
      </c>
      <c r="V770" s="112">
        <v>0.0</v>
      </c>
      <c r="W770" s="112">
        <v>0.0</v>
      </c>
      <c r="X770" s="112">
        <v>0.0</v>
      </c>
      <c r="Y770" s="112">
        <v>0.0</v>
      </c>
      <c r="Z770" s="112">
        <v>0.0</v>
      </c>
      <c r="AA770" s="112">
        <v>0.0</v>
      </c>
      <c r="AB770" s="112">
        <v>0.0</v>
      </c>
      <c r="AC770" s="112">
        <v>0.0</v>
      </c>
      <c r="AD770" s="112">
        <v>0.0</v>
      </c>
      <c r="AE770" s="112">
        <v>0.0</v>
      </c>
      <c r="AF770" s="36"/>
      <c r="AG770" s="36"/>
      <c r="AH770" s="36"/>
      <c r="AI770" s="36"/>
      <c r="AJ770" s="36"/>
    </row>
    <row r="771" ht="15.75" customHeight="1">
      <c r="A771" s="112" t="s">
        <v>218</v>
      </c>
      <c r="B771" s="183">
        <f t="array" ref="B771">INDEX($A$765:$AE$767,MATCH(Annual_Prem,$A$765:$A$767,1),MATCH(B769,$A$765:$AE$765,0))</f>
        <v>0.008</v>
      </c>
      <c r="C771" s="183">
        <f t="array" ref="C771">INDEX($A$765:$AE$767,MATCH(Annual_Prem,$A$765:$A$767,1),MATCH(C769,$A$765:$AE$765,0))</f>
        <v>0.008</v>
      </c>
      <c r="D771" s="183">
        <f t="array" ref="D771">INDEX($A$765:$AE$767,MATCH(Annual_Prem,$A$765:$A$767,1),MATCH(D769,$A$765:$AE$765,0))</f>
        <v>0.008</v>
      </c>
      <c r="E771" s="183">
        <f t="array" ref="E771">INDEX($A$765:$AE$767,MATCH(Annual_Prem,$A$765:$A$767,1),MATCH(E769,$A$765:$AE$765,0))</f>
        <v>0.008</v>
      </c>
      <c r="F771" s="183">
        <f t="array" ref="F771">INDEX($A$765:$AE$767,MATCH(Annual_Prem,$A$765:$A$767,1),MATCH(F769,$A$765:$AE$765,0))</f>
        <v>0.008</v>
      </c>
      <c r="G771" s="171">
        <f t="array" ref="G771">INDEX($A$765:$AE$767,MATCH(Annual_Prem,$A$765:$A$767,1),MATCH(G769,$A$765:$AE$765,0))</f>
        <v>0</v>
      </c>
      <c r="H771" s="171">
        <f t="array" ref="H771">INDEX($A$765:$AE$767,MATCH(Annual_Prem,$A$765:$A$767,1),MATCH(H769,$A$765:$AE$765,0))</f>
        <v>0</v>
      </c>
      <c r="I771" s="171">
        <f t="array" ref="I771">INDEX($A$765:$AE$767,MATCH(Annual_Prem,$A$765:$A$767,1),MATCH(I769,$A$765:$AE$765,0))</f>
        <v>0</v>
      </c>
      <c r="J771" s="171">
        <f t="array" ref="J771">INDEX($A$765:$AE$767,MATCH(Annual_Prem,$A$765:$A$767,1),MATCH(J769,$A$765:$AE$765,0))</f>
        <v>0</v>
      </c>
      <c r="K771" s="171">
        <f t="array" ref="K771">INDEX($A$765:$AE$767,MATCH(Annual_Prem,$A$765:$A$767,1),MATCH(K769,$A$765:$AE$765,0))</f>
        <v>0</v>
      </c>
      <c r="L771" s="171">
        <f t="array" ref="L771">INDEX($A$765:$AE$767,MATCH(Annual_Prem,$A$765:$A$767,1),MATCH(L769,$A$765:$AE$765,0))</f>
        <v>0</v>
      </c>
      <c r="M771" s="171">
        <f t="array" ref="M771">INDEX($A$765:$AE$767,MATCH(Annual_Prem,$A$765:$A$767,1),MATCH(M769,$A$765:$AE$765,0))</f>
        <v>0</v>
      </c>
      <c r="N771" s="171">
        <f t="array" ref="N771">INDEX($A$765:$AE$767,MATCH(Annual_Prem,$A$765:$A$767,1),MATCH(N769,$A$765:$AE$765,0))</f>
        <v>0</v>
      </c>
      <c r="O771" s="171">
        <f t="array" ref="O771">INDEX($A$765:$AE$767,MATCH(Annual_Prem,$A$765:$A$767,1),MATCH(O769,$A$765:$AE$765,0))</f>
        <v>0</v>
      </c>
      <c r="P771" s="171">
        <f t="array" ref="P771">INDEX($A$765:$AE$767,MATCH(Annual_Prem,$A$765:$A$767,1),MATCH(P769,$A$765:$AE$765,0))</f>
        <v>0</v>
      </c>
      <c r="Q771" s="171">
        <f t="array" ref="Q771">INDEX($A$765:$AE$767,MATCH(Annual_Prem,$A$765:$A$767,1),MATCH(Q769,$A$765:$AE$765,0))</f>
        <v>0</v>
      </c>
      <c r="R771" s="171">
        <f t="array" ref="R771">INDEX($A$765:$AE$767,MATCH(Annual_Prem,$A$765:$A$767,1),MATCH(R769,$A$765:$AE$765,0))</f>
        <v>0</v>
      </c>
      <c r="S771" s="171">
        <f t="array" ref="S771">INDEX($A$765:$AE$767,MATCH(Annual_Prem,$A$765:$A$767,1),MATCH(S769,$A$765:$AE$765,0))</f>
        <v>0</v>
      </c>
      <c r="T771" s="171">
        <f t="array" ref="T771">INDEX($A$765:$AE$767,MATCH(Annual_Prem,$A$765:$A$767,1),MATCH(T769,$A$765:$AE$765,0))</f>
        <v>0</v>
      </c>
      <c r="U771" s="171">
        <f t="array" ref="U771">INDEX($A$765:$AE$767,MATCH(Annual_Prem,$A$765:$A$767,1),MATCH(U769,$A$765:$AE$765,0))</f>
        <v>0</v>
      </c>
      <c r="V771" s="171">
        <f t="array" ref="V771">INDEX($A$765:$AE$767,MATCH(Annual_Prem,$A$765:$A$767,1),MATCH(V769,$A$765:$AE$765,0))</f>
        <v>0</v>
      </c>
      <c r="W771" s="171">
        <f t="array" ref="W771">INDEX($A$765:$AE$767,MATCH(Annual_Prem,$A$765:$A$767,1),MATCH(W769,$A$765:$AE$765,0))</f>
        <v>0</v>
      </c>
      <c r="X771" s="171">
        <f t="array" ref="X771">INDEX($A$765:$AE$767,MATCH(Annual_Prem,$A$765:$A$767,1),MATCH(X769,$A$765:$AE$765,0))</f>
        <v>0</v>
      </c>
      <c r="Y771" s="171">
        <f t="array" ref="Y771">INDEX($A$765:$AE$767,MATCH(Annual_Prem,$A$765:$A$767,1),MATCH(Y769,$A$765:$AE$765,0))</f>
        <v>0</v>
      </c>
      <c r="Z771" s="171">
        <f t="array" ref="Z771">INDEX($A$765:$AE$767,MATCH(Annual_Prem,$A$765:$A$767,1),MATCH(Z769,$A$765:$AE$765,0))</f>
        <v>0</v>
      </c>
      <c r="AA771" s="171">
        <f t="array" ref="AA771">INDEX($A$765:$AE$767,MATCH(Annual_Prem,$A$765:$A$767,1),MATCH(AA769,$A$765:$AE$765,0))</f>
        <v>0</v>
      </c>
      <c r="AB771" s="171">
        <f t="array" ref="AB771">INDEX($A$765:$AE$767,MATCH(Annual_Prem,$A$765:$A$767,1),MATCH(AB769,$A$765:$AE$765,0))</f>
        <v>0</v>
      </c>
      <c r="AC771" s="171">
        <f t="array" ref="AC771">INDEX($A$765:$AE$767,MATCH(Annual_Prem,$A$765:$A$767,1),MATCH(AC769,$A$765:$AE$765,0))</f>
        <v>0</v>
      </c>
      <c r="AD771" s="171">
        <f t="array" ref="AD771">INDEX($A$765:$AE$767,MATCH(Annual_Prem,$A$765:$A$767,1),MATCH(AD769,$A$765:$AE$765,0))</f>
        <v>0</v>
      </c>
      <c r="AE771" s="171">
        <f t="array" ref="AE771">INDEX($A$765:$AE$767,MATCH(Annual_Prem,$A$765:$A$767,1),MATCH(AE769,$A$765:$AE$765,0))</f>
        <v>0</v>
      </c>
      <c r="AF771" s="36"/>
      <c r="AG771" s="36"/>
      <c r="AH771" s="36"/>
      <c r="AI771" s="36"/>
      <c r="AJ771" s="36"/>
    </row>
    <row r="772" ht="15.75" customHeight="1">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c r="AA772" s="36"/>
      <c r="AB772" s="36"/>
      <c r="AC772" s="36"/>
      <c r="AD772" s="36"/>
      <c r="AE772" s="36"/>
      <c r="AF772" s="36"/>
      <c r="AG772" s="36"/>
      <c r="AH772" s="36"/>
      <c r="AI772" s="36"/>
      <c r="AJ772" s="36"/>
    </row>
    <row r="773" ht="15.75" customHeight="1">
      <c r="A773" s="380" t="s">
        <v>1242</v>
      </c>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c r="AA773" s="36"/>
      <c r="AB773" s="36"/>
      <c r="AC773" s="36"/>
      <c r="AD773" s="36"/>
      <c r="AE773" s="36"/>
      <c r="AF773" s="36"/>
      <c r="AG773" s="36"/>
      <c r="AH773" s="36"/>
      <c r="AI773" s="36"/>
      <c r="AJ773" s="36"/>
    </row>
    <row r="774" ht="15.75" customHeight="1">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c r="AA774" s="36"/>
      <c r="AB774" s="36"/>
      <c r="AC774" s="36"/>
      <c r="AD774" s="36"/>
      <c r="AE774" s="36"/>
      <c r="AF774" s="36"/>
      <c r="AG774" s="36"/>
      <c r="AH774" s="36"/>
      <c r="AI774" s="36"/>
      <c r="AJ774" s="36"/>
    </row>
    <row r="775" ht="15.75" customHeight="1">
      <c r="A775" s="36" t="s">
        <v>1956</v>
      </c>
      <c r="B775" s="36">
        <v>1.0</v>
      </c>
      <c r="C775" s="36">
        <v>2.0</v>
      </c>
      <c r="D775" s="36">
        <v>3.0</v>
      </c>
      <c r="E775" s="36">
        <v>4.0</v>
      </c>
      <c r="F775" s="36">
        <v>5.0</v>
      </c>
      <c r="G775" s="36">
        <v>6.0</v>
      </c>
      <c r="H775" s="36">
        <v>7.0</v>
      </c>
      <c r="I775" s="36">
        <v>8.0</v>
      </c>
      <c r="J775" s="36">
        <v>9.0</v>
      </c>
      <c r="K775" s="36">
        <v>10.0</v>
      </c>
      <c r="L775" s="36">
        <v>11.0</v>
      </c>
      <c r="M775" s="36">
        <v>12.0</v>
      </c>
      <c r="N775" s="36">
        <v>13.0</v>
      </c>
      <c r="O775" s="36">
        <v>14.0</v>
      </c>
      <c r="P775" s="36">
        <v>15.0</v>
      </c>
      <c r="Q775" s="36">
        <v>16.0</v>
      </c>
      <c r="R775" s="36">
        <v>17.0</v>
      </c>
      <c r="S775" s="36">
        <v>18.0</v>
      </c>
      <c r="T775" s="36">
        <v>19.0</v>
      </c>
      <c r="U775" s="36">
        <v>20.0</v>
      </c>
      <c r="V775" s="36">
        <v>21.0</v>
      </c>
      <c r="W775" s="36">
        <v>22.0</v>
      </c>
      <c r="X775" s="36">
        <v>23.0</v>
      </c>
      <c r="Y775" s="36">
        <v>24.0</v>
      </c>
      <c r="Z775" s="36">
        <v>25.0</v>
      </c>
      <c r="AA775" s="36">
        <v>26.0</v>
      </c>
      <c r="AB775" s="36">
        <v>27.0</v>
      </c>
      <c r="AC775" s="36">
        <v>28.0</v>
      </c>
      <c r="AD775" s="36">
        <v>29.0</v>
      </c>
      <c r="AE775" s="36">
        <v>30.0</v>
      </c>
      <c r="AF775" s="36"/>
      <c r="AG775" s="36"/>
      <c r="AH775" s="36"/>
      <c r="AI775" s="36"/>
      <c r="AJ775" s="36"/>
    </row>
    <row r="776" ht="15.75" customHeight="1">
      <c r="A776" s="12">
        <v>50000.0</v>
      </c>
      <c r="B776" s="194">
        <v>0.006</v>
      </c>
      <c r="C776" s="194">
        <v>0.006</v>
      </c>
      <c r="D776" s="194">
        <v>0.006</v>
      </c>
      <c r="E776" s="194">
        <v>0.006</v>
      </c>
      <c r="F776" s="194">
        <v>0.006</v>
      </c>
      <c r="G776" s="36">
        <v>0.0</v>
      </c>
      <c r="H776" s="36">
        <v>0.0</v>
      </c>
      <c r="I776" s="36">
        <v>0.0</v>
      </c>
      <c r="J776" s="36">
        <v>0.0</v>
      </c>
      <c r="K776" s="36">
        <v>0.0</v>
      </c>
      <c r="L776" s="36">
        <v>0.0</v>
      </c>
      <c r="M776" s="36">
        <v>0.0</v>
      </c>
      <c r="N776" s="36">
        <v>0.0</v>
      </c>
      <c r="O776" s="36">
        <v>0.0</v>
      </c>
      <c r="P776" s="36">
        <v>0.0</v>
      </c>
      <c r="Q776" s="36">
        <v>0.0</v>
      </c>
      <c r="R776" s="36">
        <v>0.0</v>
      </c>
      <c r="S776" s="36">
        <v>0.0</v>
      </c>
      <c r="T776" s="36">
        <v>0.0</v>
      </c>
      <c r="U776" s="36">
        <v>0.0</v>
      </c>
      <c r="V776" s="36">
        <v>0.0</v>
      </c>
      <c r="W776" s="36">
        <v>0.0</v>
      </c>
      <c r="X776" s="36">
        <v>0.0</v>
      </c>
      <c r="Y776" s="36">
        <v>0.0</v>
      </c>
      <c r="Z776" s="36">
        <v>0.0</v>
      </c>
      <c r="AA776" s="36">
        <v>0.0</v>
      </c>
      <c r="AB776" s="36">
        <v>0.0</v>
      </c>
      <c r="AC776" s="36">
        <v>0.0</v>
      </c>
      <c r="AD776" s="36">
        <v>0.0</v>
      </c>
      <c r="AE776" s="36">
        <v>0.0</v>
      </c>
      <c r="AF776" s="36"/>
      <c r="AG776" s="36"/>
      <c r="AH776" s="36"/>
      <c r="AI776" s="36"/>
      <c r="AJ776" s="36"/>
    </row>
    <row r="777" ht="15.75" customHeight="1">
      <c r="A777" s="12">
        <v>200000.0</v>
      </c>
      <c r="B777" s="194">
        <v>0.004</v>
      </c>
      <c r="C777" s="194">
        <v>0.004</v>
      </c>
      <c r="D777" s="194">
        <v>0.004</v>
      </c>
      <c r="E777" s="194">
        <v>0.004</v>
      </c>
      <c r="F777" s="194">
        <v>0.004</v>
      </c>
      <c r="G777" s="36">
        <v>0.0</v>
      </c>
      <c r="H777" s="36">
        <v>0.0</v>
      </c>
      <c r="I777" s="36">
        <v>0.0</v>
      </c>
      <c r="J777" s="36">
        <v>0.0</v>
      </c>
      <c r="K777" s="36">
        <v>0.0</v>
      </c>
      <c r="L777" s="36">
        <v>0.0</v>
      </c>
      <c r="M777" s="36">
        <v>0.0</v>
      </c>
      <c r="N777" s="36">
        <v>0.0</v>
      </c>
      <c r="O777" s="36">
        <v>0.0</v>
      </c>
      <c r="P777" s="36">
        <v>0.0</v>
      </c>
      <c r="Q777" s="36">
        <v>0.0</v>
      </c>
      <c r="R777" s="36">
        <v>0.0</v>
      </c>
      <c r="S777" s="36">
        <v>0.0</v>
      </c>
      <c r="T777" s="36">
        <v>0.0</v>
      </c>
      <c r="U777" s="36">
        <v>0.0</v>
      </c>
      <c r="V777" s="36">
        <v>0.0</v>
      </c>
      <c r="W777" s="36">
        <v>0.0</v>
      </c>
      <c r="X777" s="36">
        <v>0.0</v>
      </c>
      <c r="Y777" s="36">
        <v>0.0</v>
      </c>
      <c r="Z777" s="36">
        <v>0.0</v>
      </c>
      <c r="AA777" s="36">
        <v>0.0</v>
      </c>
      <c r="AB777" s="36">
        <v>0.0</v>
      </c>
      <c r="AC777" s="36">
        <v>0.0</v>
      </c>
      <c r="AD777" s="36">
        <v>0.0</v>
      </c>
      <c r="AE777" s="36">
        <v>0.0</v>
      </c>
      <c r="AF777" s="36"/>
      <c r="AG777" s="36"/>
      <c r="AH777" s="36"/>
      <c r="AI777" s="36"/>
      <c r="AJ777" s="36"/>
    </row>
    <row r="778" ht="15.75" customHeight="1">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c r="AA778" s="36"/>
      <c r="AB778" s="36"/>
      <c r="AC778" s="36"/>
      <c r="AD778" s="36"/>
      <c r="AE778" s="36"/>
      <c r="AF778" s="36"/>
      <c r="AG778" s="36"/>
      <c r="AH778" s="36"/>
      <c r="AI778" s="36"/>
      <c r="AJ778" s="36"/>
    </row>
    <row r="779" ht="15.75" customHeight="1">
      <c r="A779" s="171" t="s">
        <v>1957</v>
      </c>
      <c r="B779" s="171">
        <v>1.0</v>
      </c>
      <c r="C779" s="171">
        <v>2.0</v>
      </c>
      <c r="D779" s="171">
        <v>3.0</v>
      </c>
      <c r="E779" s="171">
        <v>4.0</v>
      </c>
      <c r="F779" s="171">
        <v>5.0</v>
      </c>
      <c r="G779" s="171">
        <v>6.0</v>
      </c>
      <c r="H779" s="171">
        <v>7.0</v>
      </c>
      <c r="I779" s="171">
        <v>8.0</v>
      </c>
      <c r="J779" s="171">
        <v>9.0</v>
      </c>
      <c r="K779" s="171">
        <v>10.0</v>
      </c>
      <c r="L779" s="171">
        <v>11.0</v>
      </c>
      <c r="M779" s="171">
        <v>12.0</v>
      </c>
      <c r="N779" s="171">
        <v>13.0</v>
      </c>
      <c r="O779" s="171">
        <v>14.0</v>
      </c>
      <c r="P779" s="171">
        <v>15.0</v>
      </c>
      <c r="Q779" s="171">
        <v>16.0</v>
      </c>
      <c r="R779" s="171">
        <v>17.0</v>
      </c>
      <c r="S779" s="171">
        <v>18.0</v>
      </c>
      <c r="T779" s="171">
        <v>19.0</v>
      </c>
      <c r="U779" s="171">
        <v>20.0</v>
      </c>
      <c r="V779" s="171">
        <v>21.0</v>
      </c>
      <c r="W779" s="171">
        <v>22.0</v>
      </c>
      <c r="X779" s="171">
        <v>23.0</v>
      </c>
      <c r="Y779" s="171">
        <v>24.0</v>
      </c>
      <c r="Z779" s="171">
        <v>25.0</v>
      </c>
      <c r="AA779" s="171">
        <v>26.0</v>
      </c>
      <c r="AB779" s="171">
        <v>27.0</v>
      </c>
      <c r="AC779" s="171">
        <v>28.0</v>
      </c>
      <c r="AD779" s="171">
        <v>29.0</v>
      </c>
      <c r="AE779" s="171">
        <v>30.0</v>
      </c>
      <c r="AF779" s="36"/>
      <c r="AG779" s="36"/>
      <c r="AH779" s="36"/>
      <c r="AI779" s="36"/>
      <c r="AJ779" s="36"/>
    </row>
    <row r="780" ht="15.75" customHeight="1">
      <c r="A780" s="112" t="s">
        <v>217</v>
      </c>
      <c r="B780" s="112">
        <v>0.0</v>
      </c>
      <c r="C780" s="112">
        <v>0.0</v>
      </c>
      <c r="D780" s="112">
        <v>0.0</v>
      </c>
      <c r="E780" s="112">
        <v>0.0</v>
      </c>
      <c r="F780" s="112">
        <v>0.0</v>
      </c>
      <c r="G780" s="112">
        <v>0.0</v>
      </c>
      <c r="H780" s="112">
        <v>0.0</v>
      </c>
      <c r="I780" s="112">
        <v>0.0</v>
      </c>
      <c r="J780" s="112">
        <v>0.0</v>
      </c>
      <c r="K780" s="112">
        <v>0.0</v>
      </c>
      <c r="L780" s="112">
        <v>0.0</v>
      </c>
      <c r="M780" s="112">
        <v>0.0</v>
      </c>
      <c r="N780" s="112">
        <v>0.0</v>
      </c>
      <c r="O780" s="112">
        <v>0.0</v>
      </c>
      <c r="P780" s="112">
        <v>0.0</v>
      </c>
      <c r="Q780" s="112">
        <v>0.0</v>
      </c>
      <c r="R780" s="112">
        <v>0.0</v>
      </c>
      <c r="S780" s="112">
        <v>0.0</v>
      </c>
      <c r="T780" s="112">
        <v>0.0</v>
      </c>
      <c r="U780" s="112">
        <v>0.0</v>
      </c>
      <c r="V780" s="112">
        <v>0.0</v>
      </c>
      <c r="W780" s="112">
        <v>0.0</v>
      </c>
      <c r="X780" s="112">
        <v>0.0</v>
      </c>
      <c r="Y780" s="112">
        <v>0.0</v>
      </c>
      <c r="Z780" s="112">
        <v>0.0</v>
      </c>
      <c r="AA780" s="112">
        <v>0.0</v>
      </c>
      <c r="AB780" s="112">
        <v>0.0</v>
      </c>
      <c r="AC780" s="112">
        <v>0.0</v>
      </c>
      <c r="AD780" s="112">
        <v>0.0</v>
      </c>
      <c r="AE780" s="112">
        <v>0.0</v>
      </c>
      <c r="AF780" s="36"/>
      <c r="AG780" s="36"/>
      <c r="AH780" s="36"/>
      <c r="AI780" s="36"/>
      <c r="AJ780" s="36"/>
    </row>
    <row r="781" ht="15.75" customHeight="1">
      <c r="A781" s="112" t="s">
        <v>218</v>
      </c>
      <c r="B781" s="183">
        <f t="array" ref="B781">INDEX($A$775:$AE$777,MATCH(Annual_Prem,$A$775:$A$777,1),MATCH(B779,$A$775:$AE$775,0))</f>
        <v>0.006</v>
      </c>
      <c r="C781" s="183">
        <f t="array" ref="C781">INDEX($A$775:$AE$777,MATCH(Annual_Prem,$A$775:$A$777,1),MATCH(C779,$A$775:$AE$775,0))</f>
        <v>0.006</v>
      </c>
      <c r="D781" s="183">
        <f t="array" ref="D781">INDEX($A$775:$AE$777,MATCH(Annual_Prem,$A$775:$A$777,1),MATCH(D779,$A$775:$AE$775,0))</f>
        <v>0.006</v>
      </c>
      <c r="E781" s="183">
        <f t="array" ref="E781">INDEX($A$775:$AE$777,MATCH(Annual_Prem,$A$775:$A$777,1),MATCH(E779,$A$775:$AE$775,0))</f>
        <v>0.006</v>
      </c>
      <c r="F781" s="183">
        <f t="array" ref="F781">INDEX($A$775:$AE$777,MATCH(Annual_Prem,$A$775:$A$777,1),MATCH(F779,$A$775:$AE$775,0))</f>
        <v>0.006</v>
      </c>
      <c r="G781" s="171">
        <f t="array" ref="G781">INDEX($A$775:$AE$777,MATCH(Annual_Prem,$A$775:$A$777,1),MATCH(G779,$A$775:$AE$775,0))</f>
        <v>0</v>
      </c>
      <c r="H781" s="171">
        <f t="array" ref="H781">INDEX($A$775:$AE$777,MATCH(Annual_Prem,$A$775:$A$777,1),MATCH(H779,$A$775:$AE$775,0))</f>
        <v>0</v>
      </c>
      <c r="I781" s="171">
        <f t="array" ref="I781">INDEX($A$775:$AE$777,MATCH(Annual_Prem,$A$775:$A$777,1),MATCH(I779,$A$775:$AE$775,0))</f>
        <v>0</v>
      </c>
      <c r="J781" s="171">
        <f t="array" ref="J781">INDEX($A$775:$AE$777,MATCH(Annual_Prem,$A$775:$A$777,1),MATCH(J779,$A$775:$AE$775,0))</f>
        <v>0</v>
      </c>
      <c r="K781" s="171">
        <f t="array" ref="K781">INDEX($A$775:$AE$777,MATCH(Annual_Prem,$A$775:$A$777,1),MATCH(K779,$A$775:$AE$775,0))</f>
        <v>0</v>
      </c>
      <c r="L781" s="171">
        <f t="array" ref="L781">INDEX($A$775:$AE$777,MATCH(Annual_Prem,$A$775:$A$777,1),MATCH(L779,$A$775:$AE$775,0))</f>
        <v>0</v>
      </c>
      <c r="M781" s="171">
        <f t="array" ref="M781">INDEX($A$775:$AE$777,MATCH(Annual_Prem,$A$775:$A$777,1),MATCH(M779,$A$775:$AE$775,0))</f>
        <v>0</v>
      </c>
      <c r="N781" s="171">
        <f t="array" ref="N781">INDEX($A$775:$AE$777,MATCH(Annual_Prem,$A$775:$A$777,1),MATCH(N779,$A$775:$AE$775,0))</f>
        <v>0</v>
      </c>
      <c r="O781" s="171">
        <f t="array" ref="O781">INDEX($A$775:$AE$777,MATCH(Annual_Prem,$A$775:$A$777,1),MATCH(O779,$A$775:$AE$775,0))</f>
        <v>0</v>
      </c>
      <c r="P781" s="171">
        <f t="array" ref="P781">INDEX($A$775:$AE$777,MATCH(Annual_Prem,$A$775:$A$777,1),MATCH(P779,$A$775:$AE$775,0))</f>
        <v>0</v>
      </c>
      <c r="Q781" s="171">
        <f t="array" ref="Q781">INDEX($A$775:$AE$777,MATCH(Annual_Prem,$A$775:$A$777,1),MATCH(Q779,$A$775:$AE$775,0))</f>
        <v>0</v>
      </c>
      <c r="R781" s="171">
        <f t="array" ref="R781">INDEX($A$775:$AE$777,MATCH(Annual_Prem,$A$775:$A$777,1),MATCH(R779,$A$775:$AE$775,0))</f>
        <v>0</v>
      </c>
      <c r="S781" s="171">
        <f t="array" ref="S781">INDEX($A$775:$AE$777,MATCH(Annual_Prem,$A$775:$A$777,1),MATCH(S779,$A$775:$AE$775,0))</f>
        <v>0</v>
      </c>
      <c r="T781" s="171">
        <f t="array" ref="T781">INDEX($A$775:$AE$777,MATCH(Annual_Prem,$A$775:$A$777,1),MATCH(T779,$A$775:$AE$775,0))</f>
        <v>0</v>
      </c>
      <c r="U781" s="171">
        <f t="array" ref="U781">INDEX($A$775:$AE$777,MATCH(Annual_Prem,$A$775:$A$777,1),MATCH(U779,$A$775:$AE$775,0))</f>
        <v>0</v>
      </c>
      <c r="V781" s="171">
        <f t="array" ref="V781">INDEX($A$775:$AE$777,MATCH(Annual_Prem,$A$775:$A$777,1),MATCH(V779,$A$775:$AE$775,0))</f>
        <v>0</v>
      </c>
      <c r="W781" s="171">
        <f t="array" ref="W781">INDEX($A$775:$AE$777,MATCH(Annual_Prem,$A$775:$A$777,1),MATCH(W779,$A$775:$AE$775,0))</f>
        <v>0</v>
      </c>
      <c r="X781" s="171">
        <f t="array" ref="X781">INDEX($A$775:$AE$777,MATCH(Annual_Prem,$A$775:$A$777,1),MATCH(X779,$A$775:$AE$775,0))</f>
        <v>0</v>
      </c>
      <c r="Y781" s="171">
        <f t="array" ref="Y781">INDEX($A$775:$AE$777,MATCH(Annual_Prem,$A$775:$A$777,1),MATCH(Y779,$A$775:$AE$775,0))</f>
        <v>0</v>
      </c>
      <c r="Z781" s="171">
        <f t="array" ref="Z781">INDEX($A$775:$AE$777,MATCH(Annual_Prem,$A$775:$A$777,1),MATCH(Z779,$A$775:$AE$775,0))</f>
        <v>0</v>
      </c>
      <c r="AA781" s="171">
        <f t="array" ref="AA781">INDEX($A$775:$AE$777,MATCH(Annual_Prem,$A$775:$A$777,1),MATCH(AA779,$A$775:$AE$775,0))</f>
        <v>0</v>
      </c>
      <c r="AB781" s="171">
        <f t="array" ref="AB781">INDEX($A$775:$AE$777,MATCH(Annual_Prem,$A$775:$A$777,1),MATCH(AB779,$A$775:$AE$775,0))</f>
        <v>0</v>
      </c>
      <c r="AC781" s="171">
        <f t="array" ref="AC781">INDEX($A$775:$AE$777,MATCH(Annual_Prem,$A$775:$A$777,1),MATCH(AC779,$A$775:$AE$775,0))</f>
        <v>0</v>
      </c>
      <c r="AD781" s="171">
        <f t="array" ref="AD781">INDEX($A$775:$AE$777,MATCH(Annual_Prem,$A$775:$A$777,1),MATCH(AD779,$A$775:$AE$775,0))</f>
        <v>0</v>
      </c>
      <c r="AE781" s="171">
        <f t="array" ref="AE781">INDEX($A$775:$AE$777,MATCH(Annual_Prem,$A$775:$A$777,1),MATCH(AE779,$A$775:$AE$775,0))</f>
        <v>0</v>
      </c>
      <c r="AF781" s="36"/>
      <c r="AG781" s="36"/>
      <c r="AH781" s="36"/>
      <c r="AI781" s="36"/>
      <c r="AJ781" s="36"/>
    </row>
    <row r="782" ht="15.75" customHeight="1">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c r="AA782" s="36"/>
      <c r="AB782" s="36"/>
      <c r="AC782" s="36"/>
      <c r="AD782" s="36"/>
      <c r="AE782" s="36"/>
      <c r="AF782" s="36"/>
      <c r="AG782" s="36"/>
      <c r="AH782" s="36"/>
      <c r="AI782" s="36"/>
      <c r="AJ782" s="36"/>
    </row>
    <row r="783" ht="15.75" customHeight="1">
      <c r="A783" s="380" t="s">
        <v>1238</v>
      </c>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c r="AI783" s="36"/>
      <c r="AJ783" s="36"/>
    </row>
    <row r="784" ht="15.75" customHeight="1">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c r="AI784" s="36"/>
      <c r="AJ784" s="36"/>
    </row>
    <row r="785" ht="15.75" customHeight="1">
      <c r="A785" s="36" t="s">
        <v>215</v>
      </c>
      <c r="B785" s="36">
        <v>1.0</v>
      </c>
      <c r="C785" s="36">
        <v>2.0</v>
      </c>
      <c r="D785" s="36">
        <v>3.0</v>
      </c>
      <c r="E785" s="36">
        <v>4.0</v>
      </c>
      <c r="F785" s="36">
        <v>5.0</v>
      </c>
      <c r="G785" s="36">
        <v>6.0</v>
      </c>
      <c r="H785" s="36">
        <v>7.0</v>
      </c>
      <c r="I785" s="36">
        <v>8.0</v>
      </c>
      <c r="J785" s="36">
        <v>9.0</v>
      </c>
      <c r="K785" s="36">
        <v>10.0</v>
      </c>
      <c r="L785" s="36">
        <v>11.0</v>
      </c>
      <c r="M785" s="36">
        <v>12.0</v>
      </c>
      <c r="N785" s="36">
        <v>13.0</v>
      </c>
      <c r="O785" s="36">
        <v>14.0</v>
      </c>
      <c r="P785" s="36">
        <v>15.0</v>
      </c>
      <c r="Q785" s="36">
        <v>16.0</v>
      </c>
      <c r="R785" s="36">
        <v>17.0</v>
      </c>
      <c r="S785" s="36">
        <v>18.0</v>
      </c>
      <c r="T785" s="36">
        <v>19.0</v>
      </c>
      <c r="U785" s="36">
        <v>20.0</v>
      </c>
      <c r="V785" s="36">
        <v>21.0</v>
      </c>
      <c r="W785" s="36">
        <v>22.0</v>
      </c>
      <c r="X785" s="36">
        <v>23.0</v>
      </c>
      <c r="Y785" s="36">
        <v>24.0</v>
      </c>
      <c r="Z785" s="36">
        <v>25.0</v>
      </c>
      <c r="AA785" s="36">
        <v>26.0</v>
      </c>
      <c r="AB785" s="36">
        <v>27.0</v>
      </c>
      <c r="AC785" s="36">
        <v>28.0</v>
      </c>
      <c r="AD785" s="36">
        <v>29.0</v>
      </c>
      <c r="AE785" s="36">
        <v>30.0</v>
      </c>
      <c r="AF785" s="36"/>
      <c r="AG785" s="36"/>
      <c r="AH785" s="36"/>
      <c r="AI785" s="36"/>
      <c r="AJ785" s="36"/>
    </row>
    <row r="786" ht="15.75" customHeight="1">
      <c r="A786" s="12" t="s">
        <v>217</v>
      </c>
      <c r="B786" s="12">
        <v>0.0</v>
      </c>
      <c r="C786" s="12">
        <v>0.0</v>
      </c>
      <c r="D786" s="12">
        <v>0.0</v>
      </c>
      <c r="E786" s="12">
        <v>0.0</v>
      </c>
      <c r="F786" s="12">
        <v>0.0</v>
      </c>
      <c r="G786" s="12">
        <v>0.0</v>
      </c>
      <c r="H786" s="12">
        <v>0.0</v>
      </c>
      <c r="I786" s="12">
        <v>0.0</v>
      </c>
      <c r="J786" s="12">
        <v>0.0</v>
      </c>
      <c r="K786" s="12">
        <v>0.0</v>
      </c>
      <c r="L786" s="12">
        <v>0.0</v>
      </c>
      <c r="M786" s="12">
        <v>0.0</v>
      </c>
      <c r="N786" s="12">
        <v>0.0</v>
      </c>
      <c r="O786" s="12">
        <v>0.0</v>
      </c>
      <c r="P786" s="12">
        <v>0.0</v>
      </c>
      <c r="Q786" s="12">
        <v>0.0</v>
      </c>
      <c r="R786" s="12">
        <v>0.0</v>
      </c>
      <c r="S786" s="12">
        <v>0.0</v>
      </c>
      <c r="T786" s="12">
        <v>0.0</v>
      </c>
      <c r="U786" s="12">
        <v>0.0</v>
      </c>
      <c r="V786" s="12">
        <v>0.0</v>
      </c>
      <c r="W786" s="12">
        <v>0.0</v>
      </c>
      <c r="X786" s="12">
        <v>0.0</v>
      </c>
      <c r="Y786" s="12">
        <v>0.0</v>
      </c>
      <c r="Z786" s="12">
        <v>0.0</v>
      </c>
      <c r="AA786" s="12">
        <v>0.0</v>
      </c>
      <c r="AB786" s="12">
        <v>0.0</v>
      </c>
      <c r="AC786" s="12">
        <v>0.0</v>
      </c>
      <c r="AD786" s="12">
        <v>0.0</v>
      </c>
      <c r="AE786" s="12">
        <v>0.0</v>
      </c>
      <c r="AF786" s="36"/>
      <c r="AG786" s="36"/>
      <c r="AH786" s="36"/>
      <c r="AI786" s="36"/>
      <c r="AJ786" s="36"/>
    </row>
    <row r="787" ht="15.75" customHeight="1">
      <c r="A787" s="12" t="s">
        <v>218</v>
      </c>
      <c r="B787" s="194">
        <v>0.003</v>
      </c>
      <c r="C787" s="194">
        <v>0.003</v>
      </c>
      <c r="D787" s="194">
        <v>0.003</v>
      </c>
      <c r="E787" s="121">
        <v>0.0</v>
      </c>
      <c r="F787" s="121">
        <v>0.0</v>
      </c>
      <c r="G787" s="121">
        <v>0.0</v>
      </c>
      <c r="H787" s="121">
        <v>0.0</v>
      </c>
      <c r="I787" s="121">
        <v>0.0</v>
      </c>
      <c r="J787" s="121">
        <v>0.0</v>
      </c>
      <c r="K787" s="121">
        <v>0.0</v>
      </c>
      <c r="L787" s="121">
        <v>0.0</v>
      </c>
      <c r="M787" s="121">
        <v>0.0</v>
      </c>
      <c r="N787" s="121">
        <v>0.0</v>
      </c>
      <c r="O787" s="121">
        <v>0.0</v>
      </c>
      <c r="P787" s="121">
        <v>0.0</v>
      </c>
      <c r="Q787" s="121">
        <v>0.0</v>
      </c>
      <c r="R787" s="121">
        <v>0.0</v>
      </c>
      <c r="S787" s="121">
        <v>0.0</v>
      </c>
      <c r="T787" s="121">
        <v>0.0</v>
      </c>
      <c r="U787" s="121">
        <v>0.0</v>
      </c>
      <c r="V787" s="121">
        <v>0.0</v>
      </c>
      <c r="W787" s="121">
        <v>0.0</v>
      </c>
      <c r="X787" s="121">
        <v>0.0</v>
      </c>
      <c r="Y787" s="121">
        <v>0.0</v>
      </c>
      <c r="Z787" s="121">
        <v>0.0</v>
      </c>
      <c r="AA787" s="121">
        <v>0.0</v>
      </c>
      <c r="AB787" s="121">
        <v>0.0</v>
      </c>
      <c r="AC787" s="121">
        <v>0.0</v>
      </c>
      <c r="AD787" s="121">
        <v>0.0</v>
      </c>
      <c r="AE787" s="121">
        <v>0.0</v>
      </c>
      <c r="AF787" s="36"/>
      <c r="AG787" s="36"/>
      <c r="AH787" s="36"/>
      <c r="AI787" s="36"/>
      <c r="AJ787" s="36"/>
    </row>
    <row r="788" ht="15.75" customHeight="1">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c r="AI788" s="36"/>
      <c r="AJ788" s="36"/>
    </row>
    <row r="789" ht="15.75" customHeight="1">
      <c r="A789" s="380" t="s">
        <v>1120</v>
      </c>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c r="AI789" s="36"/>
      <c r="AJ789" s="36"/>
    </row>
    <row r="790" ht="15.75" customHeight="1">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c r="AI790" s="36"/>
      <c r="AJ790" s="36"/>
    </row>
    <row r="791" ht="15.75" customHeight="1">
      <c r="A791" s="36" t="s">
        <v>215</v>
      </c>
      <c r="B791" s="36">
        <v>1.0</v>
      </c>
      <c r="C791" s="36">
        <v>2.0</v>
      </c>
      <c r="D791" s="36">
        <v>3.0</v>
      </c>
      <c r="E791" s="36">
        <v>4.0</v>
      </c>
      <c r="F791" s="36">
        <v>5.0</v>
      </c>
      <c r="G791" s="36">
        <v>6.0</v>
      </c>
      <c r="H791" s="36">
        <v>7.0</v>
      </c>
      <c r="I791" s="36">
        <v>8.0</v>
      </c>
      <c r="J791" s="36">
        <v>9.0</v>
      </c>
      <c r="K791" s="36">
        <v>10.0</v>
      </c>
      <c r="L791" s="36">
        <v>11.0</v>
      </c>
      <c r="M791" s="36">
        <v>12.0</v>
      </c>
      <c r="N791" s="36">
        <v>13.0</v>
      </c>
      <c r="O791" s="36">
        <v>14.0</v>
      </c>
      <c r="P791" s="36">
        <v>15.0</v>
      </c>
      <c r="Q791" s="36">
        <v>16.0</v>
      </c>
      <c r="R791" s="36">
        <v>17.0</v>
      </c>
      <c r="S791" s="36">
        <v>18.0</v>
      </c>
      <c r="T791" s="36">
        <v>19.0</v>
      </c>
      <c r="U791" s="36">
        <v>20.0</v>
      </c>
      <c r="V791" s="36">
        <v>21.0</v>
      </c>
      <c r="W791" s="36">
        <v>22.0</v>
      </c>
      <c r="X791" s="36">
        <v>23.0</v>
      </c>
      <c r="Y791" s="36">
        <v>24.0</v>
      </c>
      <c r="Z791" s="36">
        <v>25.0</v>
      </c>
      <c r="AA791" s="36">
        <v>26.0</v>
      </c>
      <c r="AB791" s="36">
        <v>27.0</v>
      </c>
      <c r="AC791" s="36">
        <v>28.0</v>
      </c>
      <c r="AD791" s="36">
        <v>29.0</v>
      </c>
      <c r="AE791" s="36">
        <v>30.0</v>
      </c>
      <c r="AF791" s="36"/>
      <c r="AG791" s="36"/>
      <c r="AH791" s="36"/>
      <c r="AI791" s="36"/>
      <c r="AJ791" s="36"/>
    </row>
    <row r="792" ht="15.75" customHeight="1">
      <c r="A792" s="12" t="s">
        <v>217</v>
      </c>
      <c r="B792" s="12">
        <v>50.0</v>
      </c>
      <c r="C792" s="12">
        <v>50.0</v>
      </c>
      <c r="D792" s="12">
        <v>50.0</v>
      </c>
      <c r="E792" s="12">
        <v>50.0</v>
      </c>
      <c r="F792" s="12">
        <v>50.0</v>
      </c>
      <c r="G792" s="12">
        <v>50.0</v>
      </c>
      <c r="H792" s="12">
        <v>50.0</v>
      </c>
      <c r="I792" s="12">
        <v>50.0</v>
      </c>
      <c r="J792" s="12">
        <v>50.0</v>
      </c>
      <c r="K792" s="12">
        <v>50.0</v>
      </c>
      <c r="L792" s="12">
        <v>50.0</v>
      </c>
      <c r="M792" s="12">
        <v>50.0</v>
      </c>
      <c r="N792" s="12">
        <v>50.0</v>
      </c>
      <c r="O792" s="12">
        <v>50.0</v>
      </c>
      <c r="P792" s="12">
        <v>50.0</v>
      </c>
      <c r="Q792" s="12">
        <v>50.0</v>
      </c>
      <c r="R792" s="12">
        <v>50.0</v>
      </c>
      <c r="S792" s="12">
        <v>50.0</v>
      </c>
      <c r="T792" s="12">
        <v>50.0</v>
      </c>
      <c r="U792" s="12">
        <v>50.0</v>
      </c>
      <c r="V792" s="12">
        <v>50.0</v>
      </c>
      <c r="W792" s="12">
        <v>50.0</v>
      </c>
      <c r="X792" s="12">
        <v>50.0</v>
      </c>
      <c r="Y792" s="12">
        <v>50.0</v>
      </c>
      <c r="Z792" s="12">
        <v>50.0</v>
      </c>
      <c r="AA792" s="12">
        <v>50.0</v>
      </c>
      <c r="AB792" s="12">
        <v>50.0</v>
      </c>
      <c r="AC792" s="12">
        <v>50.0</v>
      </c>
      <c r="AD792" s="12">
        <v>50.0</v>
      </c>
      <c r="AE792" s="12">
        <v>50.0</v>
      </c>
      <c r="AF792" s="36"/>
      <c r="AG792" s="36"/>
      <c r="AH792" s="36"/>
      <c r="AI792" s="36"/>
      <c r="AJ792" s="36"/>
    </row>
    <row r="793" ht="15.75" customHeight="1">
      <c r="A793" s="12" t="s">
        <v>218</v>
      </c>
      <c r="B793" s="121">
        <v>0.0</v>
      </c>
      <c r="C793" s="121">
        <v>0.0</v>
      </c>
      <c r="D793" s="121">
        <v>0.0</v>
      </c>
      <c r="E793" s="121">
        <v>0.0</v>
      </c>
      <c r="F793" s="121">
        <v>0.0</v>
      </c>
      <c r="G793" s="121">
        <v>0.0</v>
      </c>
      <c r="H793" s="121">
        <v>0.0</v>
      </c>
      <c r="I793" s="121">
        <v>0.0</v>
      </c>
      <c r="J793" s="121">
        <v>0.0</v>
      </c>
      <c r="K793" s="121">
        <v>0.0</v>
      </c>
      <c r="L793" s="121">
        <v>0.0</v>
      </c>
      <c r="M793" s="121">
        <v>0.0</v>
      </c>
      <c r="N793" s="121">
        <v>0.0</v>
      </c>
      <c r="O793" s="121">
        <v>0.0</v>
      </c>
      <c r="P793" s="121">
        <v>0.0</v>
      </c>
      <c r="Q793" s="121">
        <v>0.0</v>
      </c>
      <c r="R793" s="121">
        <v>0.0</v>
      </c>
      <c r="S793" s="121">
        <v>0.0</v>
      </c>
      <c r="T793" s="121">
        <v>0.0</v>
      </c>
      <c r="U793" s="121">
        <v>0.0</v>
      </c>
      <c r="V793" s="121">
        <v>0.0</v>
      </c>
      <c r="W793" s="121">
        <v>0.0</v>
      </c>
      <c r="X793" s="121">
        <v>0.0</v>
      </c>
      <c r="Y793" s="121">
        <v>0.0</v>
      </c>
      <c r="Z793" s="121">
        <v>0.0</v>
      </c>
      <c r="AA793" s="121">
        <v>0.0</v>
      </c>
      <c r="AB793" s="121">
        <v>0.0</v>
      </c>
      <c r="AC793" s="121">
        <v>0.0</v>
      </c>
      <c r="AD793" s="121">
        <v>0.0</v>
      </c>
      <c r="AE793" s="121">
        <v>0.0</v>
      </c>
      <c r="AF793" s="36"/>
      <c r="AG793" s="36"/>
      <c r="AH793" s="36"/>
      <c r="AI793" s="36"/>
      <c r="AJ793" s="36"/>
    </row>
    <row r="794" ht="15.75" customHeight="1">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c r="AA794" s="36"/>
      <c r="AB794" s="36"/>
      <c r="AC794" s="36"/>
      <c r="AD794" s="36"/>
      <c r="AE794" s="36"/>
      <c r="AF794" s="36"/>
      <c r="AG794" s="36"/>
      <c r="AH794" s="36"/>
      <c r="AI794" s="36"/>
      <c r="AJ794" s="36"/>
    </row>
    <row r="795" ht="15.75" customHeight="1">
      <c r="A795" s="380" t="s">
        <v>1124</v>
      </c>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c r="AA795" s="36"/>
      <c r="AB795" s="36"/>
      <c r="AC795" s="36"/>
      <c r="AD795" s="36"/>
      <c r="AE795" s="36"/>
      <c r="AF795" s="36"/>
      <c r="AG795" s="36"/>
      <c r="AH795" s="36"/>
      <c r="AI795" s="36"/>
      <c r="AJ795" s="36"/>
    </row>
    <row r="796" ht="15.75" customHeight="1">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c r="AA796" s="36"/>
      <c r="AB796" s="36"/>
      <c r="AC796" s="36"/>
      <c r="AD796" s="36"/>
      <c r="AE796" s="36"/>
      <c r="AF796" s="36"/>
      <c r="AG796" s="36"/>
      <c r="AH796" s="36"/>
      <c r="AI796" s="36"/>
      <c r="AJ796" s="36"/>
    </row>
    <row r="797" ht="15.75" customHeight="1">
      <c r="A797" s="36" t="s">
        <v>215</v>
      </c>
      <c r="B797" s="36">
        <v>1.0</v>
      </c>
      <c r="C797" s="36">
        <v>2.0</v>
      </c>
      <c r="D797" s="36">
        <v>3.0</v>
      </c>
      <c r="E797" s="36">
        <v>4.0</v>
      </c>
      <c r="F797" s="36">
        <v>5.0</v>
      </c>
      <c r="G797" s="36">
        <v>6.0</v>
      </c>
      <c r="H797" s="36">
        <v>7.0</v>
      </c>
      <c r="I797" s="36">
        <v>8.0</v>
      </c>
      <c r="J797" s="36">
        <v>9.0</v>
      </c>
      <c r="K797" s="36">
        <v>10.0</v>
      </c>
      <c r="L797" s="36">
        <v>11.0</v>
      </c>
      <c r="M797" s="36">
        <v>12.0</v>
      </c>
      <c r="N797" s="36">
        <v>13.0</v>
      </c>
      <c r="O797" s="36">
        <v>14.0</v>
      </c>
      <c r="P797" s="36">
        <v>15.0</v>
      </c>
      <c r="Q797" s="36">
        <v>16.0</v>
      </c>
      <c r="R797" s="36">
        <v>17.0</v>
      </c>
      <c r="S797" s="36">
        <v>18.0</v>
      </c>
      <c r="T797" s="36">
        <v>19.0</v>
      </c>
      <c r="U797" s="36">
        <v>20.0</v>
      </c>
      <c r="V797" s="36">
        <v>21.0</v>
      </c>
      <c r="W797" s="36">
        <v>22.0</v>
      </c>
      <c r="X797" s="36">
        <v>23.0</v>
      </c>
      <c r="Y797" s="36">
        <v>24.0</v>
      </c>
      <c r="Z797" s="36">
        <v>25.0</v>
      </c>
      <c r="AA797" s="36">
        <v>26.0</v>
      </c>
      <c r="AB797" s="36">
        <v>27.0</v>
      </c>
      <c r="AC797" s="36">
        <v>28.0</v>
      </c>
      <c r="AD797" s="36">
        <v>29.0</v>
      </c>
      <c r="AE797" s="36">
        <v>30.0</v>
      </c>
      <c r="AF797" s="36"/>
      <c r="AG797" s="36"/>
      <c r="AH797" s="36"/>
      <c r="AI797" s="36"/>
      <c r="AJ797" s="36"/>
    </row>
    <row r="798" ht="15.75" customHeight="1">
      <c r="A798" s="12" t="s">
        <v>217</v>
      </c>
      <c r="B798" s="12">
        <v>50.0</v>
      </c>
      <c r="C798" s="12">
        <v>50.0</v>
      </c>
      <c r="D798" s="12">
        <v>50.0</v>
      </c>
      <c r="E798" s="12">
        <v>50.0</v>
      </c>
      <c r="F798" s="12">
        <v>50.0</v>
      </c>
      <c r="G798" s="12">
        <v>50.0</v>
      </c>
      <c r="H798" s="12">
        <v>50.0</v>
      </c>
      <c r="I798" s="12">
        <v>50.0</v>
      </c>
      <c r="J798" s="12">
        <v>50.0</v>
      </c>
      <c r="K798" s="12">
        <v>50.0</v>
      </c>
      <c r="L798" s="12">
        <v>50.0</v>
      </c>
      <c r="M798" s="12">
        <v>50.0</v>
      </c>
      <c r="N798" s="12">
        <v>50.0</v>
      </c>
      <c r="O798" s="12">
        <v>50.0</v>
      </c>
      <c r="P798" s="12">
        <v>50.0</v>
      </c>
      <c r="Q798" s="12">
        <v>50.0</v>
      </c>
      <c r="R798" s="12">
        <v>50.0</v>
      </c>
      <c r="S798" s="12">
        <v>50.0</v>
      </c>
      <c r="T798" s="12">
        <v>50.0</v>
      </c>
      <c r="U798" s="12">
        <v>50.0</v>
      </c>
      <c r="V798" s="12">
        <v>50.0</v>
      </c>
      <c r="W798" s="12">
        <v>50.0</v>
      </c>
      <c r="X798" s="12">
        <v>50.0</v>
      </c>
      <c r="Y798" s="12">
        <v>50.0</v>
      </c>
      <c r="Z798" s="12">
        <v>50.0</v>
      </c>
      <c r="AA798" s="12">
        <v>50.0</v>
      </c>
      <c r="AB798" s="12">
        <v>50.0</v>
      </c>
      <c r="AC798" s="12">
        <v>50.0</v>
      </c>
      <c r="AD798" s="12">
        <v>50.0</v>
      </c>
      <c r="AE798" s="12">
        <v>50.0</v>
      </c>
      <c r="AF798" s="36"/>
      <c r="AG798" s="36"/>
      <c r="AH798" s="36"/>
      <c r="AI798" s="36"/>
      <c r="AJ798" s="36"/>
    </row>
    <row r="799" ht="15.75" customHeight="1">
      <c r="A799" s="12" t="s">
        <v>218</v>
      </c>
      <c r="B799" s="121">
        <v>0.0</v>
      </c>
      <c r="C799" s="121">
        <v>0.0</v>
      </c>
      <c r="D799" s="121">
        <v>0.0</v>
      </c>
      <c r="E799" s="121">
        <v>0.0</v>
      </c>
      <c r="F799" s="121">
        <v>0.0</v>
      </c>
      <c r="G799" s="121">
        <v>0.0</v>
      </c>
      <c r="H799" s="121">
        <v>0.0</v>
      </c>
      <c r="I799" s="121">
        <v>0.0</v>
      </c>
      <c r="J799" s="121">
        <v>0.0</v>
      </c>
      <c r="K799" s="121">
        <v>0.0</v>
      </c>
      <c r="L799" s="121">
        <v>0.0</v>
      </c>
      <c r="M799" s="121">
        <v>0.0</v>
      </c>
      <c r="N799" s="121">
        <v>0.0</v>
      </c>
      <c r="O799" s="121">
        <v>0.0</v>
      </c>
      <c r="P799" s="121">
        <v>0.0</v>
      </c>
      <c r="Q799" s="121">
        <v>0.0</v>
      </c>
      <c r="R799" s="121">
        <v>0.0</v>
      </c>
      <c r="S799" s="121">
        <v>0.0</v>
      </c>
      <c r="T799" s="121">
        <v>0.0</v>
      </c>
      <c r="U799" s="121">
        <v>0.0</v>
      </c>
      <c r="V799" s="121">
        <v>0.0</v>
      </c>
      <c r="W799" s="121">
        <v>0.0</v>
      </c>
      <c r="X799" s="121">
        <v>0.0</v>
      </c>
      <c r="Y799" s="121">
        <v>0.0</v>
      </c>
      <c r="Z799" s="121">
        <v>0.0</v>
      </c>
      <c r="AA799" s="121">
        <v>0.0</v>
      </c>
      <c r="AB799" s="121">
        <v>0.0</v>
      </c>
      <c r="AC799" s="121">
        <v>0.0</v>
      </c>
      <c r="AD799" s="121">
        <v>0.0</v>
      </c>
      <c r="AE799" s="121">
        <v>0.0</v>
      </c>
      <c r="AF799" s="36"/>
      <c r="AG799" s="36"/>
      <c r="AH799" s="36"/>
      <c r="AI799" s="36"/>
      <c r="AJ799" s="36"/>
    </row>
    <row r="800" ht="15.75" customHeight="1">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c r="AA800" s="36"/>
      <c r="AB800" s="36"/>
      <c r="AC800" s="36"/>
      <c r="AD800" s="36"/>
      <c r="AE800" s="36"/>
      <c r="AF800" s="36"/>
      <c r="AG800" s="36"/>
      <c r="AH800" s="36"/>
      <c r="AI800" s="36"/>
      <c r="AJ800" s="36"/>
    </row>
    <row r="801" ht="15.75" customHeight="1">
      <c r="A801" s="380" t="s">
        <v>1234</v>
      </c>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c r="AA801" s="36"/>
      <c r="AB801" s="36"/>
      <c r="AC801" s="36"/>
      <c r="AD801" s="36"/>
      <c r="AE801" s="36"/>
      <c r="AF801" s="36"/>
      <c r="AG801" s="36"/>
      <c r="AH801" s="36"/>
      <c r="AI801" s="36"/>
      <c r="AJ801" s="36"/>
    </row>
    <row r="802" ht="15.75" customHeight="1">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c r="AA802" s="36"/>
      <c r="AB802" s="36"/>
      <c r="AC802" s="36"/>
      <c r="AD802" s="36"/>
      <c r="AE802" s="36"/>
      <c r="AF802" s="36"/>
      <c r="AG802" s="36"/>
      <c r="AH802" s="36"/>
      <c r="AI802" s="36"/>
      <c r="AJ802" s="36"/>
    </row>
    <row r="803" ht="15.75" customHeight="1">
      <c r="A803" s="36" t="s">
        <v>215</v>
      </c>
      <c r="B803" s="36">
        <v>1.0</v>
      </c>
      <c r="C803" s="36">
        <v>2.0</v>
      </c>
      <c r="D803" s="36">
        <v>3.0</v>
      </c>
      <c r="E803" s="36">
        <v>4.0</v>
      </c>
      <c r="F803" s="36">
        <v>5.0</v>
      </c>
      <c r="G803" s="36">
        <v>6.0</v>
      </c>
      <c r="H803" s="36">
        <v>7.0</v>
      </c>
      <c r="I803" s="36">
        <v>8.0</v>
      </c>
      <c r="J803" s="36">
        <v>9.0</v>
      </c>
      <c r="K803" s="36">
        <v>10.0</v>
      </c>
      <c r="L803" s="36">
        <v>11.0</v>
      </c>
      <c r="M803" s="36">
        <v>12.0</v>
      </c>
      <c r="N803" s="36">
        <v>13.0</v>
      </c>
      <c r="O803" s="36">
        <v>14.0</v>
      </c>
      <c r="P803" s="36">
        <v>15.0</v>
      </c>
      <c r="Q803" s="36">
        <v>16.0</v>
      </c>
      <c r="R803" s="36">
        <v>17.0</v>
      </c>
      <c r="S803" s="36">
        <v>18.0</v>
      </c>
      <c r="T803" s="36">
        <v>19.0</v>
      </c>
      <c r="U803" s="36">
        <v>20.0</v>
      </c>
      <c r="V803" s="36">
        <v>21.0</v>
      </c>
      <c r="W803" s="36">
        <v>22.0</v>
      </c>
      <c r="X803" s="36">
        <v>23.0</v>
      </c>
      <c r="Y803" s="36">
        <v>24.0</v>
      </c>
      <c r="Z803" s="36">
        <v>25.0</v>
      </c>
      <c r="AA803" s="36">
        <v>26.0</v>
      </c>
      <c r="AB803" s="36">
        <v>27.0</v>
      </c>
      <c r="AC803" s="36">
        <v>28.0</v>
      </c>
      <c r="AD803" s="36">
        <v>29.0</v>
      </c>
      <c r="AE803" s="36">
        <v>30.0</v>
      </c>
      <c r="AF803" s="36"/>
      <c r="AG803" s="36"/>
      <c r="AH803" s="36"/>
      <c r="AI803" s="36"/>
      <c r="AJ803" s="36"/>
    </row>
    <row r="804" ht="15.75" customHeight="1">
      <c r="A804" s="12" t="s">
        <v>217</v>
      </c>
      <c r="B804" s="12">
        <v>60.0</v>
      </c>
      <c r="C804" s="12">
        <v>60.0</v>
      </c>
      <c r="D804" s="12">
        <v>60.0</v>
      </c>
      <c r="E804" s="12">
        <v>60.0</v>
      </c>
      <c r="F804" s="12">
        <v>60.0</v>
      </c>
      <c r="G804" s="12">
        <v>60.0</v>
      </c>
      <c r="H804" s="12">
        <v>60.0</v>
      </c>
      <c r="I804" s="12">
        <v>60.0</v>
      </c>
      <c r="J804" s="12">
        <v>60.0</v>
      </c>
      <c r="K804" s="12">
        <v>60.0</v>
      </c>
      <c r="L804" s="12">
        <v>60.0</v>
      </c>
      <c r="M804" s="12">
        <v>60.0</v>
      </c>
      <c r="N804" s="12">
        <v>60.0</v>
      </c>
      <c r="O804" s="12">
        <v>60.0</v>
      </c>
      <c r="P804" s="12">
        <v>60.0</v>
      </c>
      <c r="Q804" s="12">
        <v>60.0</v>
      </c>
      <c r="R804" s="12">
        <v>60.0</v>
      </c>
      <c r="S804" s="12">
        <v>60.0</v>
      </c>
      <c r="T804" s="12">
        <v>60.0</v>
      </c>
      <c r="U804" s="12">
        <v>60.0</v>
      </c>
      <c r="V804" s="12">
        <v>60.0</v>
      </c>
      <c r="W804" s="12">
        <v>60.0</v>
      </c>
      <c r="X804" s="12">
        <v>60.0</v>
      </c>
      <c r="Y804" s="12">
        <v>60.0</v>
      </c>
      <c r="Z804" s="12">
        <v>60.0</v>
      </c>
      <c r="AA804" s="12">
        <v>60.0</v>
      </c>
      <c r="AB804" s="12">
        <v>60.0</v>
      </c>
      <c r="AC804" s="12">
        <v>60.0</v>
      </c>
      <c r="AD804" s="12">
        <v>60.0</v>
      </c>
      <c r="AE804" s="12">
        <v>60.0</v>
      </c>
      <c r="AF804" s="36"/>
      <c r="AG804" s="36"/>
      <c r="AH804" s="36"/>
      <c r="AI804" s="36"/>
      <c r="AJ804" s="36"/>
    </row>
    <row r="805" ht="15.75" customHeight="1">
      <c r="A805" s="12" t="s">
        <v>218</v>
      </c>
      <c r="B805" s="121">
        <v>0.0</v>
      </c>
      <c r="C805" s="121">
        <v>0.0</v>
      </c>
      <c r="D805" s="121">
        <v>0.0</v>
      </c>
      <c r="E805" s="121">
        <v>0.0</v>
      </c>
      <c r="F805" s="121">
        <v>0.0</v>
      </c>
      <c r="G805" s="121">
        <v>0.0</v>
      </c>
      <c r="H805" s="121">
        <v>0.0</v>
      </c>
      <c r="I805" s="121">
        <v>0.0</v>
      </c>
      <c r="J805" s="121">
        <v>0.0</v>
      </c>
      <c r="K805" s="121">
        <v>0.0</v>
      </c>
      <c r="L805" s="121">
        <v>0.0</v>
      </c>
      <c r="M805" s="121">
        <v>0.0</v>
      </c>
      <c r="N805" s="121">
        <v>0.0</v>
      </c>
      <c r="O805" s="121">
        <v>0.0</v>
      </c>
      <c r="P805" s="121">
        <v>0.0</v>
      </c>
      <c r="Q805" s="121">
        <v>0.0</v>
      </c>
      <c r="R805" s="121">
        <v>0.0</v>
      </c>
      <c r="S805" s="121">
        <v>0.0</v>
      </c>
      <c r="T805" s="121">
        <v>0.0</v>
      </c>
      <c r="U805" s="121">
        <v>0.0</v>
      </c>
      <c r="V805" s="121">
        <v>0.0</v>
      </c>
      <c r="W805" s="121">
        <v>0.0</v>
      </c>
      <c r="X805" s="121">
        <v>0.0</v>
      </c>
      <c r="Y805" s="121">
        <v>0.0</v>
      </c>
      <c r="Z805" s="121">
        <v>0.0</v>
      </c>
      <c r="AA805" s="121">
        <v>0.0</v>
      </c>
      <c r="AB805" s="121">
        <v>0.0</v>
      </c>
      <c r="AC805" s="121">
        <v>0.0</v>
      </c>
      <c r="AD805" s="121">
        <v>0.0</v>
      </c>
      <c r="AE805" s="121">
        <v>0.0</v>
      </c>
      <c r="AF805" s="36"/>
      <c r="AG805" s="36"/>
      <c r="AH805" s="36"/>
      <c r="AI805" s="36"/>
      <c r="AJ805" s="36"/>
    </row>
    <row r="806" ht="15.75" customHeight="1">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c r="AA806" s="36"/>
      <c r="AB806" s="36"/>
      <c r="AC806" s="36"/>
      <c r="AD806" s="36"/>
      <c r="AE806" s="36"/>
      <c r="AF806" s="36"/>
      <c r="AG806" s="36"/>
      <c r="AH806" s="36"/>
      <c r="AI806" s="36"/>
      <c r="AJ806" s="36"/>
    </row>
    <row r="807" ht="15.75" customHeight="1">
      <c r="A807" s="380" t="s">
        <v>1128</v>
      </c>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c r="AA807" s="36"/>
      <c r="AB807" s="36"/>
      <c r="AC807" s="36"/>
      <c r="AD807" s="36"/>
      <c r="AE807" s="36"/>
      <c r="AF807" s="36"/>
      <c r="AG807" s="36"/>
      <c r="AH807" s="36"/>
      <c r="AI807" s="36"/>
      <c r="AJ807" s="36"/>
    </row>
    <row r="808" ht="15.75" customHeight="1">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c r="AA808" s="36"/>
      <c r="AB808" s="36"/>
      <c r="AC808" s="36"/>
      <c r="AD808" s="36"/>
      <c r="AE808" s="36"/>
      <c r="AF808" s="36"/>
      <c r="AG808" s="36"/>
      <c r="AH808" s="36"/>
      <c r="AI808" s="36"/>
      <c r="AJ808" s="36"/>
    </row>
    <row r="809" ht="15.75" customHeight="1">
      <c r="A809" s="36" t="s">
        <v>215</v>
      </c>
      <c r="B809" s="36">
        <v>1.0</v>
      </c>
      <c r="C809" s="36">
        <v>2.0</v>
      </c>
      <c r="D809" s="36">
        <v>3.0</v>
      </c>
      <c r="E809" s="36">
        <v>4.0</v>
      </c>
      <c r="F809" s="36">
        <v>5.0</v>
      </c>
      <c r="G809" s="36">
        <v>6.0</v>
      </c>
      <c r="H809" s="36">
        <v>7.0</v>
      </c>
      <c r="I809" s="36">
        <v>8.0</v>
      </c>
      <c r="J809" s="36">
        <v>9.0</v>
      </c>
      <c r="K809" s="36">
        <v>10.0</v>
      </c>
      <c r="L809" s="36">
        <v>11.0</v>
      </c>
      <c r="M809" s="36">
        <v>12.0</v>
      </c>
      <c r="N809" s="36">
        <v>13.0</v>
      </c>
      <c r="O809" s="36">
        <v>14.0</v>
      </c>
      <c r="P809" s="36">
        <v>15.0</v>
      </c>
      <c r="Q809" s="36">
        <v>16.0</v>
      </c>
      <c r="R809" s="36">
        <v>17.0</v>
      </c>
      <c r="S809" s="36">
        <v>18.0</v>
      </c>
      <c r="T809" s="36">
        <v>19.0</v>
      </c>
      <c r="U809" s="36">
        <v>20.0</v>
      </c>
      <c r="V809" s="36">
        <v>21.0</v>
      </c>
      <c r="W809" s="36">
        <v>22.0</v>
      </c>
      <c r="X809" s="36">
        <v>23.0</v>
      </c>
      <c r="Y809" s="36">
        <v>24.0</v>
      </c>
      <c r="Z809" s="36">
        <v>25.0</v>
      </c>
      <c r="AA809" s="36">
        <v>26.0</v>
      </c>
      <c r="AB809" s="36">
        <v>27.0</v>
      </c>
      <c r="AC809" s="36">
        <v>28.0</v>
      </c>
      <c r="AD809" s="36">
        <v>29.0</v>
      </c>
      <c r="AE809" s="36">
        <v>30.0</v>
      </c>
      <c r="AF809" s="36"/>
      <c r="AG809" s="36"/>
      <c r="AH809" s="36"/>
      <c r="AI809" s="36"/>
      <c r="AJ809" s="36"/>
    </row>
    <row r="810" ht="15.75" customHeight="1">
      <c r="A810" s="12" t="s">
        <v>217</v>
      </c>
      <c r="B810" s="12">
        <v>40.0</v>
      </c>
      <c r="C810" s="12">
        <v>40.0</v>
      </c>
      <c r="D810" s="12">
        <v>40.0</v>
      </c>
      <c r="E810" s="12">
        <v>40.0</v>
      </c>
      <c r="F810" s="12">
        <v>40.0</v>
      </c>
      <c r="G810" s="12">
        <v>40.0</v>
      </c>
      <c r="H810" s="12">
        <v>40.0</v>
      </c>
      <c r="I810" s="12">
        <v>40.0</v>
      </c>
      <c r="J810" s="12">
        <v>40.0</v>
      </c>
      <c r="K810" s="12">
        <v>40.0</v>
      </c>
      <c r="L810" s="12">
        <v>40.0</v>
      </c>
      <c r="M810" s="12">
        <v>40.0</v>
      </c>
      <c r="N810" s="12">
        <v>40.0</v>
      </c>
      <c r="O810" s="12">
        <v>40.0</v>
      </c>
      <c r="P810" s="12">
        <v>40.0</v>
      </c>
      <c r="Q810" s="12">
        <v>40.0</v>
      </c>
      <c r="R810" s="12">
        <v>40.0</v>
      </c>
      <c r="S810" s="12">
        <v>40.0</v>
      </c>
      <c r="T810" s="12">
        <v>40.0</v>
      </c>
      <c r="U810" s="12">
        <v>40.0</v>
      </c>
      <c r="V810" s="12">
        <v>40.0</v>
      </c>
      <c r="W810" s="12">
        <v>40.0</v>
      </c>
      <c r="X810" s="12">
        <v>40.0</v>
      </c>
      <c r="Y810" s="12">
        <v>40.0</v>
      </c>
      <c r="Z810" s="12">
        <v>40.0</v>
      </c>
      <c r="AA810" s="12">
        <v>40.0</v>
      </c>
      <c r="AB810" s="12">
        <v>40.0</v>
      </c>
      <c r="AC810" s="12">
        <v>40.0</v>
      </c>
      <c r="AD810" s="12">
        <v>40.0</v>
      </c>
      <c r="AE810" s="12">
        <v>40.0</v>
      </c>
      <c r="AF810" s="36"/>
      <c r="AG810" s="36"/>
      <c r="AH810" s="36"/>
      <c r="AI810" s="36"/>
      <c r="AJ810" s="36"/>
    </row>
    <row r="811" ht="15.75" customHeight="1">
      <c r="A811" s="12" t="s">
        <v>218</v>
      </c>
      <c r="B811" s="121">
        <v>0.0</v>
      </c>
      <c r="C811" s="121">
        <v>0.0</v>
      </c>
      <c r="D811" s="121">
        <v>0.0</v>
      </c>
      <c r="E811" s="121">
        <v>0.0</v>
      </c>
      <c r="F811" s="121">
        <v>0.0</v>
      </c>
      <c r="G811" s="121">
        <v>0.0</v>
      </c>
      <c r="H811" s="121">
        <v>0.0</v>
      </c>
      <c r="I811" s="121">
        <v>0.0</v>
      </c>
      <c r="J811" s="121">
        <v>0.0</v>
      </c>
      <c r="K811" s="121">
        <v>0.0</v>
      </c>
      <c r="L811" s="121">
        <v>0.0</v>
      </c>
      <c r="M811" s="121">
        <v>0.0</v>
      </c>
      <c r="N811" s="121">
        <v>0.0</v>
      </c>
      <c r="O811" s="121">
        <v>0.0</v>
      </c>
      <c r="P811" s="121">
        <v>0.0</v>
      </c>
      <c r="Q811" s="121">
        <v>0.0</v>
      </c>
      <c r="R811" s="121">
        <v>0.0</v>
      </c>
      <c r="S811" s="121">
        <v>0.0</v>
      </c>
      <c r="T811" s="121">
        <v>0.0</v>
      </c>
      <c r="U811" s="121">
        <v>0.0</v>
      </c>
      <c r="V811" s="121">
        <v>0.0</v>
      </c>
      <c r="W811" s="121">
        <v>0.0</v>
      </c>
      <c r="X811" s="121">
        <v>0.0</v>
      </c>
      <c r="Y811" s="121">
        <v>0.0</v>
      </c>
      <c r="Z811" s="121">
        <v>0.0</v>
      </c>
      <c r="AA811" s="121">
        <v>0.0</v>
      </c>
      <c r="AB811" s="121">
        <v>0.0</v>
      </c>
      <c r="AC811" s="121">
        <v>0.0</v>
      </c>
      <c r="AD811" s="121">
        <v>0.0</v>
      </c>
      <c r="AE811" s="121">
        <v>0.0</v>
      </c>
      <c r="AF811" s="36"/>
      <c r="AG811" s="36"/>
      <c r="AH811" s="36"/>
      <c r="AI811" s="36"/>
      <c r="AJ811" s="36"/>
    </row>
    <row r="812" ht="15.75" customHeight="1">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c r="AA812" s="36"/>
      <c r="AB812" s="36"/>
      <c r="AC812" s="36"/>
      <c r="AD812" s="36"/>
      <c r="AE812" s="36"/>
      <c r="AF812" s="36"/>
      <c r="AG812" s="36"/>
      <c r="AH812" s="36"/>
      <c r="AI812" s="36"/>
      <c r="AJ812" s="36"/>
    </row>
    <row r="813" ht="15.75" customHeight="1">
      <c r="A813" s="380" t="s">
        <v>1227</v>
      </c>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c r="AA813" s="36"/>
      <c r="AB813" s="36"/>
      <c r="AC813" s="36"/>
      <c r="AD813" s="36"/>
      <c r="AE813" s="36"/>
      <c r="AF813" s="36"/>
      <c r="AG813" s="36"/>
      <c r="AH813" s="36"/>
      <c r="AI813" s="36"/>
      <c r="AJ813" s="36"/>
    </row>
    <row r="814" ht="15.75" customHeight="1">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c r="AA814" s="36"/>
      <c r="AB814" s="36"/>
      <c r="AC814" s="36"/>
      <c r="AD814" s="36"/>
      <c r="AE814" s="36"/>
      <c r="AF814" s="36"/>
      <c r="AG814" s="36"/>
      <c r="AH814" s="36"/>
      <c r="AI814" s="36"/>
      <c r="AJ814" s="36"/>
    </row>
    <row r="815" ht="15.75" customHeight="1">
      <c r="A815" s="36" t="s">
        <v>215</v>
      </c>
      <c r="B815" s="36">
        <v>1.0</v>
      </c>
      <c r="C815" s="36">
        <v>2.0</v>
      </c>
      <c r="D815" s="36">
        <v>3.0</v>
      </c>
      <c r="E815" s="36">
        <v>4.0</v>
      </c>
      <c r="F815" s="36">
        <v>5.0</v>
      </c>
      <c r="G815" s="36">
        <v>6.0</v>
      </c>
      <c r="H815" s="36">
        <v>7.0</v>
      </c>
      <c r="I815" s="36">
        <v>8.0</v>
      </c>
      <c r="J815" s="36">
        <v>9.0</v>
      </c>
      <c r="K815" s="36">
        <v>10.0</v>
      </c>
      <c r="L815" s="36">
        <v>11.0</v>
      </c>
      <c r="M815" s="36">
        <v>12.0</v>
      </c>
      <c r="N815" s="36">
        <v>13.0</v>
      </c>
      <c r="O815" s="36">
        <v>14.0</v>
      </c>
      <c r="P815" s="36">
        <v>15.0</v>
      </c>
      <c r="Q815" s="36">
        <v>16.0</v>
      </c>
      <c r="R815" s="36">
        <v>17.0</v>
      </c>
      <c r="S815" s="36">
        <v>18.0</v>
      </c>
      <c r="T815" s="36">
        <v>19.0</v>
      </c>
      <c r="U815" s="36">
        <v>20.0</v>
      </c>
      <c r="V815" s="36">
        <v>21.0</v>
      </c>
      <c r="W815" s="36">
        <v>22.0</v>
      </c>
      <c r="X815" s="36">
        <v>23.0</v>
      </c>
      <c r="Y815" s="36">
        <v>24.0</v>
      </c>
      <c r="Z815" s="36">
        <v>25.0</v>
      </c>
      <c r="AA815" s="36">
        <v>26.0</v>
      </c>
      <c r="AB815" s="36">
        <v>27.0</v>
      </c>
      <c r="AC815" s="36">
        <v>28.0</v>
      </c>
      <c r="AD815" s="36">
        <v>29.0</v>
      </c>
      <c r="AE815" s="36">
        <v>30.0</v>
      </c>
      <c r="AF815" s="36"/>
      <c r="AG815" s="36"/>
      <c r="AH815" s="36"/>
      <c r="AI815" s="36"/>
      <c r="AJ815" s="36"/>
    </row>
    <row r="816" ht="15.75" customHeight="1">
      <c r="A816" s="12" t="s">
        <v>217</v>
      </c>
      <c r="B816" s="12">
        <v>0.0</v>
      </c>
      <c r="C816" s="12">
        <v>0.0</v>
      </c>
      <c r="D816" s="12">
        <v>0.0</v>
      </c>
      <c r="E816" s="12">
        <v>0.0</v>
      </c>
      <c r="F816" s="12">
        <v>0.0</v>
      </c>
      <c r="G816" s="12">
        <v>0.0</v>
      </c>
      <c r="H816" s="12">
        <v>0.0</v>
      </c>
      <c r="I816" s="12">
        <v>0.0</v>
      </c>
      <c r="J816" s="12">
        <v>0.0</v>
      </c>
      <c r="K816" s="12">
        <v>0.0</v>
      </c>
      <c r="L816" s="12">
        <v>0.0</v>
      </c>
      <c r="M816" s="12">
        <v>0.0</v>
      </c>
      <c r="N816" s="12">
        <v>0.0</v>
      </c>
      <c r="O816" s="12">
        <v>0.0</v>
      </c>
      <c r="P816" s="12">
        <v>0.0</v>
      </c>
      <c r="Q816" s="12">
        <v>0.0</v>
      </c>
      <c r="R816" s="12">
        <v>0.0</v>
      </c>
      <c r="S816" s="12">
        <v>0.0</v>
      </c>
      <c r="T816" s="12">
        <v>0.0</v>
      </c>
      <c r="U816" s="12">
        <v>0.0</v>
      </c>
      <c r="V816" s="12">
        <v>0.0</v>
      </c>
      <c r="W816" s="12">
        <v>0.0</v>
      </c>
      <c r="X816" s="12">
        <v>0.0</v>
      </c>
      <c r="Y816" s="12">
        <v>0.0</v>
      </c>
      <c r="Z816" s="12">
        <v>0.0</v>
      </c>
      <c r="AA816" s="12">
        <v>0.0</v>
      </c>
      <c r="AB816" s="12">
        <v>0.0</v>
      </c>
      <c r="AC816" s="12">
        <v>0.0</v>
      </c>
      <c r="AD816" s="12">
        <v>0.0</v>
      </c>
      <c r="AE816" s="12">
        <v>0.0</v>
      </c>
      <c r="AF816" s="36"/>
      <c r="AG816" s="36"/>
      <c r="AH816" s="36"/>
      <c r="AI816" s="36"/>
      <c r="AJ816" s="36"/>
    </row>
    <row r="817" ht="15.75" customHeight="1">
      <c r="A817" s="12" t="s">
        <v>218</v>
      </c>
      <c r="B817" s="194">
        <v>0.0075</v>
      </c>
      <c r="C817" s="194">
        <v>0.0075</v>
      </c>
      <c r="D817" s="194">
        <v>0.0075</v>
      </c>
      <c r="E817" s="194">
        <v>0.0075</v>
      </c>
      <c r="F817" s="194">
        <v>0.0075</v>
      </c>
      <c r="G817" s="194">
        <v>0.003</v>
      </c>
      <c r="H817" s="194">
        <v>0.003</v>
      </c>
      <c r="I817" s="194">
        <v>0.003</v>
      </c>
      <c r="J817" s="194">
        <v>0.003</v>
      </c>
      <c r="K817" s="194">
        <v>0.003</v>
      </c>
      <c r="L817" s="121">
        <v>0.0</v>
      </c>
      <c r="M817" s="121">
        <v>0.0</v>
      </c>
      <c r="N817" s="121">
        <v>0.0</v>
      </c>
      <c r="O817" s="121">
        <v>0.0</v>
      </c>
      <c r="P817" s="121">
        <v>0.0</v>
      </c>
      <c r="Q817" s="121">
        <v>0.0</v>
      </c>
      <c r="R817" s="121">
        <v>0.0</v>
      </c>
      <c r="S817" s="121">
        <v>0.0</v>
      </c>
      <c r="T817" s="121">
        <v>0.0</v>
      </c>
      <c r="U817" s="121">
        <v>0.0</v>
      </c>
      <c r="V817" s="121">
        <v>0.0</v>
      </c>
      <c r="W817" s="121">
        <v>0.0</v>
      </c>
      <c r="X817" s="121">
        <v>0.0</v>
      </c>
      <c r="Y817" s="121">
        <v>0.0</v>
      </c>
      <c r="Z817" s="121">
        <v>0.0</v>
      </c>
      <c r="AA817" s="121">
        <v>0.0</v>
      </c>
      <c r="AB817" s="121">
        <v>0.0</v>
      </c>
      <c r="AC817" s="121">
        <v>0.0</v>
      </c>
      <c r="AD817" s="121">
        <v>0.0</v>
      </c>
      <c r="AE817" s="121">
        <v>0.0</v>
      </c>
      <c r="AF817" s="36"/>
      <c r="AG817" s="36"/>
      <c r="AH817" s="36"/>
      <c r="AI817" s="36"/>
      <c r="AJ817" s="36"/>
    </row>
    <row r="818" ht="15.75" customHeight="1">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c r="AA818" s="36"/>
      <c r="AB818" s="36"/>
      <c r="AC818" s="36"/>
      <c r="AD818" s="36"/>
      <c r="AE818" s="36"/>
      <c r="AF818" s="36"/>
      <c r="AG818" s="36"/>
      <c r="AH818" s="36"/>
      <c r="AI818" s="36"/>
      <c r="AJ818" s="36"/>
    </row>
    <row r="819" ht="15.75" customHeight="1">
      <c r="A819" s="380" t="s">
        <v>1140</v>
      </c>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c r="AA819" s="36"/>
      <c r="AB819" s="36"/>
      <c r="AC819" s="36"/>
      <c r="AD819" s="36"/>
      <c r="AE819" s="36"/>
      <c r="AF819" s="36"/>
      <c r="AG819" s="36"/>
      <c r="AH819" s="36"/>
      <c r="AI819" s="36"/>
      <c r="AJ819" s="36"/>
    </row>
    <row r="820" ht="15.75" customHeight="1">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c r="AA820" s="36"/>
      <c r="AB820" s="36"/>
      <c r="AC820" s="36"/>
      <c r="AD820" s="36"/>
      <c r="AE820" s="36"/>
      <c r="AF820" s="36"/>
      <c r="AG820" s="36"/>
      <c r="AH820" s="36"/>
      <c r="AI820" s="36"/>
      <c r="AJ820" s="36"/>
    </row>
    <row r="821" ht="15.75" customHeight="1">
      <c r="A821" s="36" t="s">
        <v>215</v>
      </c>
      <c r="B821" s="36">
        <v>1.0</v>
      </c>
      <c r="C821" s="36">
        <v>2.0</v>
      </c>
      <c r="D821" s="36">
        <v>3.0</v>
      </c>
      <c r="E821" s="36">
        <v>4.0</v>
      </c>
      <c r="F821" s="36">
        <v>5.0</v>
      </c>
      <c r="G821" s="36">
        <v>6.0</v>
      </c>
      <c r="H821" s="36">
        <v>7.0</v>
      </c>
      <c r="I821" s="36">
        <v>8.0</v>
      </c>
      <c r="J821" s="36">
        <v>9.0</v>
      </c>
      <c r="K821" s="36">
        <v>10.0</v>
      </c>
      <c r="L821" s="36">
        <v>11.0</v>
      </c>
      <c r="M821" s="36">
        <v>12.0</v>
      </c>
      <c r="N821" s="36">
        <v>13.0</v>
      </c>
      <c r="O821" s="36">
        <v>14.0</v>
      </c>
      <c r="P821" s="36">
        <v>15.0</v>
      </c>
      <c r="Q821" s="36">
        <v>16.0</v>
      </c>
      <c r="R821" s="36">
        <v>17.0</v>
      </c>
      <c r="S821" s="36">
        <v>18.0</v>
      </c>
      <c r="T821" s="36">
        <v>19.0</v>
      </c>
      <c r="U821" s="36">
        <v>20.0</v>
      </c>
      <c r="V821" s="36">
        <v>21.0</v>
      </c>
      <c r="W821" s="36">
        <v>22.0</v>
      </c>
      <c r="X821" s="36">
        <v>23.0</v>
      </c>
      <c r="Y821" s="36">
        <v>24.0</v>
      </c>
      <c r="Z821" s="36">
        <v>25.0</v>
      </c>
      <c r="AA821" s="36">
        <v>26.0</v>
      </c>
      <c r="AB821" s="36">
        <v>27.0</v>
      </c>
      <c r="AC821" s="36">
        <v>28.0</v>
      </c>
      <c r="AD821" s="36">
        <v>29.0</v>
      </c>
      <c r="AE821" s="36">
        <v>30.0</v>
      </c>
      <c r="AF821" s="36"/>
      <c r="AG821" s="36"/>
      <c r="AH821" s="36"/>
      <c r="AI821" s="36"/>
      <c r="AJ821" s="36"/>
    </row>
    <row r="822" ht="15.75" customHeight="1">
      <c r="A822" s="12" t="s">
        <v>217</v>
      </c>
      <c r="B822" s="12">
        <v>60.0</v>
      </c>
      <c r="C822" s="12">
        <v>60.0</v>
      </c>
      <c r="D822" s="12">
        <v>60.0</v>
      </c>
      <c r="E822" s="12">
        <v>60.0</v>
      </c>
      <c r="F822" s="12">
        <v>60.0</v>
      </c>
      <c r="G822" s="12">
        <v>60.0</v>
      </c>
      <c r="H822" s="12">
        <v>60.0</v>
      </c>
      <c r="I822" s="12">
        <v>60.0</v>
      </c>
      <c r="J822" s="12">
        <v>60.0</v>
      </c>
      <c r="K822" s="12">
        <v>60.0</v>
      </c>
      <c r="L822" s="12">
        <v>60.0</v>
      </c>
      <c r="M822" s="12">
        <v>60.0</v>
      </c>
      <c r="N822" s="12">
        <v>60.0</v>
      </c>
      <c r="O822" s="12">
        <v>60.0</v>
      </c>
      <c r="P822" s="12">
        <v>60.0</v>
      </c>
      <c r="Q822" s="12">
        <v>60.0</v>
      </c>
      <c r="R822" s="12">
        <v>60.0</v>
      </c>
      <c r="S822" s="12">
        <v>60.0</v>
      </c>
      <c r="T822" s="12">
        <v>60.0</v>
      </c>
      <c r="U822" s="12">
        <v>60.0</v>
      </c>
      <c r="V822" s="12">
        <v>60.0</v>
      </c>
      <c r="W822" s="12">
        <v>60.0</v>
      </c>
      <c r="X822" s="12">
        <v>60.0</v>
      </c>
      <c r="Y822" s="12">
        <v>60.0</v>
      </c>
      <c r="Z822" s="12">
        <v>60.0</v>
      </c>
      <c r="AA822" s="12">
        <v>60.0</v>
      </c>
      <c r="AB822" s="12">
        <v>60.0</v>
      </c>
      <c r="AC822" s="12">
        <v>60.0</v>
      </c>
      <c r="AD822" s="12">
        <v>60.0</v>
      </c>
      <c r="AE822" s="12">
        <v>60.0</v>
      </c>
      <c r="AF822" s="36"/>
      <c r="AG822" s="36"/>
      <c r="AH822" s="36"/>
      <c r="AI822" s="36"/>
      <c r="AJ822" s="36"/>
    </row>
    <row r="823" ht="15.75" customHeight="1">
      <c r="A823" s="12" t="s">
        <v>218</v>
      </c>
      <c r="B823" s="121">
        <v>0.0</v>
      </c>
      <c r="C823" s="121">
        <v>0.0</v>
      </c>
      <c r="D823" s="121">
        <v>0.0</v>
      </c>
      <c r="E823" s="121">
        <v>0.0</v>
      </c>
      <c r="F823" s="121">
        <v>0.0</v>
      </c>
      <c r="G823" s="121">
        <v>0.0</v>
      </c>
      <c r="H823" s="121">
        <v>0.0</v>
      </c>
      <c r="I823" s="121">
        <v>0.0</v>
      </c>
      <c r="J823" s="121">
        <v>0.0</v>
      </c>
      <c r="K823" s="121">
        <v>0.0</v>
      </c>
      <c r="L823" s="121">
        <v>0.0</v>
      </c>
      <c r="M823" s="121">
        <v>0.0</v>
      </c>
      <c r="N823" s="121">
        <v>0.0</v>
      </c>
      <c r="O823" s="121">
        <v>0.0</v>
      </c>
      <c r="P823" s="121">
        <v>0.0</v>
      </c>
      <c r="Q823" s="121">
        <v>0.0</v>
      </c>
      <c r="R823" s="121">
        <v>0.0</v>
      </c>
      <c r="S823" s="121">
        <v>0.0</v>
      </c>
      <c r="T823" s="121">
        <v>0.0</v>
      </c>
      <c r="U823" s="121">
        <v>0.0</v>
      </c>
      <c r="V823" s="121">
        <v>0.0</v>
      </c>
      <c r="W823" s="121">
        <v>0.0</v>
      </c>
      <c r="X823" s="121">
        <v>0.0</v>
      </c>
      <c r="Y823" s="121">
        <v>0.0</v>
      </c>
      <c r="Z823" s="121">
        <v>0.0</v>
      </c>
      <c r="AA823" s="121">
        <v>0.0</v>
      </c>
      <c r="AB823" s="121">
        <v>0.0</v>
      </c>
      <c r="AC823" s="121">
        <v>0.0</v>
      </c>
      <c r="AD823" s="121">
        <v>0.0</v>
      </c>
      <c r="AE823" s="121">
        <v>0.0</v>
      </c>
      <c r="AF823" s="36"/>
      <c r="AG823" s="36"/>
      <c r="AH823" s="36"/>
      <c r="AI823" s="36"/>
      <c r="AJ823" s="36"/>
    </row>
    <row r="824" ht="15.75" customHeight="1">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c r="AA824" s="36"/>
      <c r="AB824" s="36"/>
      <c r="AC824" s="36"/>
      <c r="AD824" s="36"/>
      <c r="AE824" s="36"/>
      <c r="AF824" s="36"/>
      <c r="AG824" s="36"/>
      <c r="AH824" s="36"/>
      <c r="AI824" s="36"/>
      <c r="AJ824" s="36"/>
    </row>
    <row r="825" ht="15.75" customHeight="1">
      <c r="A825" s="380" t="s">
        <v>1150</v>
      </c>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c r="AA825" s="36"/>
      <c r="AB825" s="36"/>
      <c r="AC825" s="36"/>
      <c r="AD825" s="36"/>
      <c r="AE825" s="36"/>
      <c r="AF825" s="36"/>
      <c r="AG825" s="36"/>
      <c r="AH825" s="36"/>
      <c r="AI825" s="36"/>
      <c r="AJ825" s="36"/>
    </row>
    <row r="826" ht="15.75" customHeight="1">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c r="AA826" s="36"/>
      <c r="AB826" s="36"/>
      <c r="AC826" s="36"/>
      <c r="AD826" s="36"/>
      <c r="AE826" s="36"/>
      <c r="AF826" s="36"/>
      <c r="AG826" s="36"/>
      <c r="AH826" s="36"/>
      <c r="AI826" s="36"/>
      <c r="AJ826" s="36"/>
    </row>
    <row r="827" ht="15.75" customHeight="1">
      <c r="A827" s="36" t="s">
        <v>215</v>
      </c>
      <c r="B827" s="36">
        <v>1.0</v>
      </c>
      <c r="C827" s="36">
        <v>2.0</v>
      </c>
      <c r="D827" s="36">
        <v>3.0</v>
      </c>
      <c r="E827" s="36">
        <v>4.0</v>
      </c>
      <c r="F827" s="36">
        <v>5.0</v>
      </c>
      <c r="G827" s="36">
        <v>6.0</v>
      </c>
      <c r="H827" s="36">
        <v>7.0</v>
      </c>
      <c r="I827" s="36">
        <v>8.0</v>
      </c>
      <c r="J827" s="36">
        <v>9.0</v>
      </c>
      <c r="K827" s="36">
        <v>10.0</v>
      </c>
      <c r="L827" s="36">
        <v>11.0</v>
      </c>
      <c r="M827" s="36">
        <v>12.0</v>
      </c>
      <c r="N827" s="36">
        <v>13.0</v>
      </c>
      <c r="O827" s="36">
        <v>14.0</v>
      </c>
      <c r="P827" s="36">
        <v>15.0</v>
      </c>
      <c r="Q827" s="36">
        <v>16.0</v>
      </c>
      <c r="R827" s="36">
        <v>17.0</v>
      </c>
      <c r="S827" s="36">
        <v>18.0</v>
      </c>
      <c r="T827" s="36">
        <v>19.0</v>
      </c>
      <c r="U827" s="36">
        <v>20.0</v>
      </c>
      <c r="V827" s="36">
        <v>21.0</v>
      </c>
      <c r="W827" s="36">
        <v>22.0</v>
      </c>
      <c r="X827" s="36">
        <v>23.0</v>
      </c>
      <c r="Y827" s="36">
        <v>24.0</v>
      </c>
      <c r="Z827" s="36">
        <v>25.0</v>
      </c>
      <c r="AA827" s="36">
        <v>26.0</v>
      </c>
      <c r="AB827" s="36">
        <v>27.0</v>
      </c>
      <c r="AC827" s="36">
        <v>28.0</v>
      </c>
      <c r="AD827" s="36">
        <v>29.0</v>
      </c>
      <c r="AE827" s="36">
        <v>30.0</v>
      </c>
      <c r="AF827" s="36"/>
      <c r="AG827" s="36"/>
      <c r="AH827" s="36"/>
      <c r="AI827" s="36"/>
      <c r="AJ827" s="36"/>
    </row>
    <row r="828" ht="15.75" customHeight="1">
      <c r="A828" s="12" t="s">
        <v>217</v>
      </c>
      <c r="B828" s="12">
        <v>20.0</v>
      </c>
      <c r="C828" s="12">
        <v>20.0</v>
      </c>
      <c r="D828" s="12">
        <v>20.0</v>
      </c>
      <c r="E828" s="12">
        <v>20.0</v>
      </c>
      <c r="F828" s="12">
        <v>20.0</v>
      </c>
      <c r="G828" s="12">
        <v>20.0</v>
      </c>
      <c r="H828" s="12">
        <v>20.0</v>
      </c>
      <c r="I828" s="12">
        <v>20.0</v>
      </c>
      <c r="J828" s="12">
        <v>20.0</v>
      </c>
      <c r="K828" s="12">
        <v>20.0</v>
      </c>
      <c r="L828" s="12">
        <v>20.0</v>
      </c>
      <c r="M828" s="12">
        <v>20.0</v>
      </c>
      <c r="N828" s="12">
        <v>20.0</v>
      </c>
      <c r="O828" s="12">
        <v>20.0</v>
      </c>
      <c r="P828" s="12">
        <v>20.0</v>
      </c>
      <c r="Q828" s="12">
        <v>20.0</v>
      </c>
      <c r="R828" s="12">
        <v>20.0</v>
      </c>
      <c r="S828" s="12">
        <v>20.0</v>
      </c>
      <c r="T828" s="12">
        <v>20.0</v>
      </c>
      <c r="U828" s="12">
        <v>20.0</v>
      </c>
      <c r="V828" s="12">
        <v>20.0</v>
      </c>
      <c r="W828" s="12">
        <v>20.0</v>
      </c>
      <c r="X828" s="12">
        <v>20.0</v>
      </c>
      <c r="Y828" s="12">
        <v>20.0</v>
      </c>
      <c r="Z828" s="12">
        <v>20.0</v>
      </c>
      <c r="AA828" s="12">
        <v>20.0</v>
      </c>
      <c r="AB828" s="12">
        <v>20.0</v>
      </c>
      <c r="AC828" s="12">
        <v>20.0</v>
      </c>
      <c r="AD828" s="12">
        <v>20.0</v>
      </c>
      <c r="AE828" s="12">
        <v>20.0</v>
      </c>
      <c r="AF828" s="36"/>
      <c r="AG828" s="36"/>
      <c r="AH828" s="36"/>
      <c r="AI828" s="36"/>
      <c r="AJ828" s="36"/>
    </row>
    <row r="829" ht="15.75" customHeight="1">
      <c r="A829" s="12" t="s">
        <v>218</v>
      </c>
      <c r="B829" s="121">
        <v>0.0</v>
      </c>
      <c r="C829" s="121">
        <v>0.0</v>
      </c>
      <c r="D829" s="121">
        <v>0.0</v>
      </c>
      <c r="E829" s="121">
        <v>0.0</v>
      </c>
      <c r="F829" s="121">
        <v>0.0</v>
      </c>
      <c r="G829" s="121">
        <v>0.0</v>
      </c>
      <c r="H829" s="121">
        <v>0.0</v>
      </c>
      <c r="I829" s="121">
        <v>0.0</v>
      </c>
      <c r="J829" s="121">
        <v>0.0</v>
      </c>
      <c r="K829" s="121">
        <v>0.0</v>
      </c>
      <c r="L829" s="121">
        <v>0.0</v>
      </c>
      <c r="M829" s="121">
        <v>0.0</v>
      </c>
      <c r="N829" s="121">
        <v>0.0</v>
      </c>
      <c r="O829" s="121">
        <v>0.0</v>
      </c>
      <c r="P829" s="121">
        <v>0.0</v>
      </c>
      <c r="Q829" s="121">
        <v>0.0</v>
      </c>
      <c r="R829" s="121">
        <v>0.0</v>
      </c>
      <c r="S829" s="121">
        <v>0.0</v>
      </c>
      <c r="T829" s="121">
        <v>0.0</v>
      </c>
      <c r="U829" s="121">
        <v>0.0</v>
      </c>
      <c r="V829" s="121">
        <v>0.0</v>
      </c>
      <c r="W829" s="121">
        <v>0.0</v>
      </c>
      <c r="X829" s="121">
        <v>0.0</v>
      </c>
      <c r="Y829" s="121">
        <v>0.0</v>
      </c>
      <c r="Z829" s="121">
        <v>0.0</v>
      </c>
      <c r="AA829" s="121">
        <v>0.0</v>
      </c>
      <c r="AB829" s="121">
        <v>0.0</v>
      </c>
      <c r="AC829" s="121">
        <v>0.0</v>
      </c>
      <c r="AD829" s="121">
        <v>0.0</v>
      </c>
      <c r="AE829" s="121">
        <v>0.0</v>
      </c>
      <c r="AF829" s="36"/>
      <c r="AG829" s="36"/>
      <c r="AH829" s="36"/>
      <c r="AI829" s="36"/>
      <c r="AJ829" s="36"/>
    </row>
    <row r="830" ht="15.75" customHeight="1">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c r="AA830" s="36"/>
      <c r="AB830" s="36"/>
      <c r="AC830" s="36"/>
      <c r="AD830" s="36"/>
      <c r="AE830" s="36"/>
      <c r="AF830" s="36"/>
      <c r="AG830" s="36"/>
      <c r="AH830" s="36"/>
      <c r="AI830" s="36"/>
      <c r="AJ830" s="36"/>
    </row>
    <row r="831" ht="15.75" customHeight="1">
      <c r="A831" s="380" t="s">
        <v>1154</v>
      </c>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c r="AA831" s="36"/>
      <c r="AB831" s="36"/>
      <c r="AC831" s="36"/>
      <c r="AD831" s="36"/>
      <c r="AE831" s="36"/>
      <c r="AF831" s="36"/>
      <c r="AG831" s="36"/>
      <c r="AH831" s="36"/>
      <c r="AI831" s="36"/>
      <c r="AJ831" s="36"/>
    </row>
    <row r="832" ht="15.75" customHeight="1">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c r="AA832" s="36"/>
      <c r="AB832" s="36"/>
      <c r="AC832" s="36"/>
      <c r="AD832" s="36"/>
      <c r="AE832" s="36"/>
      <c r="AF832" s="36"/>
      <c r="AG832" s="36"/>
      <c r="AH832" s="36"/>
      <c r="AI832" s="36"/>
      <c r="AJ832" s="36"/>
    </row>
    <row r="833" ht="15.75" customHeight="1">
      <c r="A833" s="36" t="s">
        <v>215</v>
      </c>
      <c r="B833" s="36">
        <v>1.0</v>
      </c>
      <c r="C833" s="36">
        <v>2.0</v>
      </c>
      <c r="D833" s="36">
        <v>3.0</v>
      </c>
      <c r="E833" s="36">
        <v>4.0</v>
      </c>
      <c r="F833" s="36">
        <v>5.0</v>
      </c>
      <c r="G833" s="36">
        <v>6.0</v>
      </c>
      <c r="H833" s="36">
        <v>7.0</v>
      </c>
      <c r="I833" s="36">
        <v>8.0</v>
      </c>
      <c r="J833" s="36">
        <v>9.0</v>
      </c>
      <c r="K833" s="36">
        <v>10.0</v>
      </c>
      <c r="L833" s="36">
        <v>11.0</v>
      </c>
      <c r="M833" s="36">
        <v>12.0</v>
      </c>
      <c r="N833" s="36">
        <v>13.0</v>
      </c>
      <c r="O833" s="36">
        <v>14.0</v>
      </c>
      <c r="P833" s="36">
        <v>15.0</v>
      </c>
      <c r="Q833" s="36">
        <v>16.0</v>
      </c>
      <c r="R833" s="36">
        <v>17.0</v>
      </c>
      <c r="S833" s="36">
        <v>18.0</v>
      </c>
      <c r="T833" s="36">
        <v>19.0</v>
      </c>
      <c r="U833" s="36">
        <v>20.0</v>
      </c>
      <c r="V833" s="36">
        <v>21.0</v>
      </c>
      <c r="W833" s="36">
        <v>22.0</v>
      </c>
      <c r="X833" s="36">
        <v>23.0</v>
      </c>
      <c r="Y833" s="36">
        <v>24.0</v>
      </c>
      <c r="Z833" s="36">
        <v>25.0</v>
      </c>
      <c r="AA833" s="36">
        <v>26.0</v>
      </c>
      <c r="AB833" s="36">
        <v>27.0</v>
      </c>
      <c r="AC833" s="36">
        <v>28.0</v>
      </c>
      <c r="AD833" s="36">
        <v>29.0</v>
      </c>
      <c r="AE833" s="36">
        <v>30.0</v>
      </c>
      <c r="AF833" s="36"/>
      <c r="AG833" s="36"/>
      <c r="AH833" s="36"/>
      <c r="AI833" s="36"/>
      <c r="AJ833" s="36"/>
    </row>
    <row r="834" ht="15.75" customHeight="1">
      <c r="A834" s="12" t="s">
        <v>217</v>
      </c>
      <c r="B834" s="12">
        <v>60.0</v>
      </c>
      <c r="C834" s="12">
        <v>60.0</v>
      </c>
      <c r="D834" s="12">
        <v>60.0</v>
      </c>
      <c r="E834" s="12">
        <v>60.0</v>
      </c>
      <c r="F834" s="12">
        <v>60.0</v>
      </c>
      <c r="G834" s="12">
        <v>60.0</v>
      </c>
      <c r="H834" s="12">
        <v>60.0</v>
      </c>
      <c r="I834" s="12">
        <v>60.0</v>
      </c>
      <c r="J834" s="12">
        <v>60.0</v>
      </c>
      <c r="K834" s="12">
        <v>60.0</v>
      </c>
      <c r="L834" s="12">
        <v>60.0</v>
      </c>
      <c r="M834" s="12">
        <v>60.0</v>
      </c>
      <c r="N834" s="12">
        <v>60.0</v>
      </c>
      <c r="O834" s="12">
        <v>60.0</v>
      </c>
      <c r="P834" s="12">
        <v>60.0</v>
      </c>
      <c r="Q834" s="12">
        <v>60.0</v>
      </c>
      <c r="R834" s="12">
        <v>60.0</v>
      </c>
      <c r="S834" s="12">
        <v>60.0</v>
      </c>
      <c r="T834" s="12">
        <v>60.0</v>
      </c>
      <c r="U834" s="12">
        <v>60.0</v>
      </c>
      <c r="V834" s="12">
        <v>60.0</v>
      </c>
      <c r="W834" s="12">
        <v>60.0</v>
      </c>
      <c r="X834" s="12">
        <v>60.0</v>
      </c>
      <c r="Y834" s="12">
        <v>60.0</v>
      </c>
      <c r="Z834" s="12">
        <v>60.0</v>
      </c>
      <c r="AA834" s="12">
        <v>60.0</v>
      </c>
      <c r="AB834" s="12">
        <v>60.0</v>
      </c>
      <c r="AC834" s="12">
        <v>60.0</v>
      </c>
      <c r="AD834" s="12">
        <v>60.0</v>
      </c>
      <c r="AE834" s="12">
        <v>60.0</v>
      </c>
      <c r="AF834" s="36"/>
      <c r="AG834" s="36"/>
      <c r="AH834" s="36"/>
      <c r="AI834" s="36"/>
      <c r="AJ834" s="36"/>
    </row>
    <row r="835" ht="15.75" customHeight="1">
      <c r="A835" s="12" t="s">
        <v>218</v>
      </c>
      <c r="B835" s="121">
        <v>0.0</v>
      </c>
      <c r="C835" s="121">
        <v>0.0</v>
      </c>
      <c r="D835" s="121">
        <v>0.0</v>
      </c>
      <c r="E835" s="121">
        <v>0.0</v>
      </c>
      <c r="F835" s="121">
        <v>0.0</v>
      </c>
      <c r="G835" s="121">
        <v>0.0</v>
      </c>
      <c r="H835" s="121">
        <v>0.0</v>
      </c>
      <c r="I835" s="121">
        <v>0.0</v>
      </c>
      <c r="J835" s="121">
        <v>0.0</v>
      </c>
      <c r="K835" s="121">
        <v>0.0</v>
      </c>
      <c r="L835" s="121">
        <v>0.0</v>
      </c>
      <c r="M835" s="121">
        <v>0.0</v>
      </c>
      <c r="N835" s="121">
        <v>0.0</v>
      </c>
      <c r="O835" s="121">
        <v>0.0</v>
      </c>
      <c r="P835" s="121">
        <v>0.0</v>
      </c>
      <c r="Q835" s="121">
        <v>0.0</v>
      </c>
      <c r="R835" s="121">
        <v>0.0</v>
      </c>
      <c r="S835" s="121">
        <v>0.0</v>
      </c>
      <c r="T835" s="121">
        <v>0.0</v>
      </c>
      <c r="U835" s="121">
        <v>0.0</v>
      </c>
      <c r="V835" s="121">
        <v>0.0</v>
      </c>
      <c r="W835" s="121">
        <v>0.0</v>
      </c>
      <c r="X835" s="121">
        <v>0.0</v>
      </c>
      <c r="Y835" s="121">
        <v>0.0</v>
      </c>
      <c r="Z835" s="121">
        <v>0.0</v>
      </c>
      <c r="AA835" s="121">
        <v>0.0</v>
      </c>
      <c r="AB835" s="121">
        <v>0.0</v>
      </c>
      <c r="AC835" s="121">
        <v>0.0</v>
      </c>
      <c r="AD835" s="121">
        <v>0.0</v>
      </c>
      <c r="AE835" s="121">
        <v>0.0</v>
      </c>
      <c r="AF835" s="36"/>
      <c r="AG835" s="36"/>
      <c r="AH835" s="36"/>
      <c r="AI835" s="36"/>
      <c r="AJ835" s="36"/>
    </row>
    <row r="836" ht="15.75" customHeight="1">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c r="AA836" s="36"/>
      <c r="AB836" s="36"/>
      <c r="AC836" s="36"/>
      <c r="AD836" s="36"/>
      <c r="AE836" s="36"/>
      <c r="AF836" s="36"/>
      <c r="AG836" s="36"/>
      <c r="AH836" s="36"/>
      <c r="AI836" s="36"/>
      <c r="AJ836" s="36"/>
    </row>
    <row r="837" ht="15.75" customHeight="1">
      <c r="A837" s="380" t="s">
        <v>1163</v>
      </c>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c r="AA837" s="36"/>
      <c r="AB837" s="36"/>
      <c r="AC837" s="36"/>
      <c r="AD837" s="36"/>
      <c r="AE837" s="36"/>
      <c r="AF837" s="36"/>
      <c r="AG837" s="36"/>
      <c r="AH837" s="36"/>
      <c r="AI837" s="36"/>
      <c r="AJ837" s="36"/>
    </row>
    <row r="838" ht="15.75" customHeight="1">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c r="AA838" s="36"/>
      <c r="AB838" s="36"/>
      <c r="AC838" s="36"/>
      <c r="AD838" s="36"/>
      <c r="AE838" s="36"/>
      <c r="AF838" s="36"/>
      <c r="AG838" s="36"/>
      <c r="AH838" s="36"/>
      <c r="AI838" s="36"/>
      <c r="AJ838" s="36"/>
    </row>
    <row r="839" ht="15.75" customHeight="1">
      <c r="A839" s="36" t="s">
        <v>215</v>
      </c>
      <c r="B839" s="36">
        <v>1.0</v>
      </c>
      <c r="C839" s="36">
        <v>2.0</v>
      </c>
      <c r="D839" s="36">
        <v>3.0</v>
      </c>
      <c r="E839" s="36">
        <v>4.0</v>
      </c>
      <c r="F839" s="36">
        <v>5.0</v>
      </c>
      <c r="G839" s="36">
        <v>6.0</v>
      </c>
      <c r="H839" s="36">
        <v>7.0</v>
      </c>
      <c r="I839" s="36">
        <v>8.0</v>
      </c>
      <c r="J839" s="36">
        <v>9.0</v>
      </c>
      <c r="K839" s="36">
        <v>10.0</v>
      </c>
      <c r="L839" s="36">
        <v>11.0</v>
      </c>
      <c r="M839" s="36">
        <v>12.0</v>
      </c>
      <c r="N839" s="36">
        <v>13.0</v>
      </c>
      <c r="O839" s="36">
        <v>14.0</v>
      </c>
      <c r="P839" s="36">
        <v>15.0</v>
      </c>
      <c r="Q839" s="36">
        <v>16.0</v>
      </c>
      <c r="R839" s="36">
        <v>17.0</v>
      </c>
      <c r="S839" s="36">
        <v>18.0</v>
      </c>
      <c r="T839" s="36">
        <v>19.0</v>
      </c>
      <c r="U839" s="36">
        <v>20.0</v>
      </c>
      <c r="V839" s="36">
        <v>21.0</v>
      </c>
      <c r="W839" s="36">
        <v>22.0</v>
      </c>
      <c r="X839" s="36">
        <v>23.0</v>
      </c>
      <c r="Y839" s="36">
        <v>24.0</v>
      </c>
      <c r="Z839" s="36">
        <v>25.0</v>
      </c>
      <c r="AA839" s="36">
        <v>26.0</v>
      </c>
      <c r="AB839" s="36">
        <v>27.0</v>
      </c>
      <c r="AC839" s="36">
        <v>28.0</v>
      </c>
      <c r="AD839" s="36">
        <v>29.0</v>
      </c>
      <c r="AE839" s="36">
        <v>30.0</v>
      </c>
      <c r="AF839" s="36"/>
      <c r="AG839" s="36"/>
      <c r="AH839" s="36"/>
      <c r="AI839" s="36"/>
      <c r="AJ839" s="36"/>
    </row>
    <row r="840" ht="15.75" customHeight="1">
      <c r="A840" s="12" t="s">
        <v>217</v>
      </c>
      <c r="B840" s="12">
        <v>20.0</v>
      </c>
      <c r="C840" s="12">
        <v>20.0</v>
      </c>
      <c r="D840" s="12">
        <v>20.0</v>
      </c>
      <c r="E840" s="12">
        <v>20.0</v>
      </c>
      <c r="F840" s="12">
        <v>20.0</v>
      </c>
      <c r="G840" s="12">
        <v>20.0</v>
      </c>
      <c r="H840" s="12">
        <v>20.0</v>
      </c>
      <c r="I840" s="12">
        <v>20.0</v>
      </c>
      <c r="J840" s="12">
        <v>20.0</v>
      </c>
      <c r="K840" s="12">
        <v>20.0</v>
      </c>
      <c r="L840" s="12">
        <v>20.0</v>
      </c>
      <c r="M840" s="12">
        <v>20.0</v>
      </c>
      <c r="N840" s="12">
        <v>20.0</v>
      </c>
      <c r="O840" s="12">
        <v>20.0</v>
      </c>
      <c r="P840" s="12">
        <v>20.0</v>
      </c>
      <c r="Q840" s="12">
        <v>20.0</v>
      </c>
      <c r="R840" s="12">
        <v>20.0</v>
      </c>
      <c r="S840" s="12">
        <v>20.0</v>
      </c>
      <c r="T840" s="12">
        <v>20.0</v>
      </c>
      <c r="U840" s="12">
        <v>20.0</v>
      </c>
      <c r="V840" s="12">
        <v>20.0</v>
      </c>
      <c r="W840" s="12">
        <v>20.0</v>
      </c>
      <c r="X840" s="12">
        <v>20.0</v>
      </c>
      <c r="Y840" s="12">
        <v>20.0</v>
      </c>
      <c r="Z840" s="12">
        <v>20.0</v>
      </c>
      <c r="AA840" s="12">
        <v>20.0</v>
      </c>
      <c r="AB840" s="12">
        <v>20.0</v>
      </c>
      <c r="AC840" s="12">
        <v>20.0</v>
      </c>
      <c r="AD840" s="12">
        <v>20.0</v>
      </c>
      <c r="AE840" s="12">
        <v>20.0</v>
      </c>
      <c r="AF840" s="36"/>
      <c r="AG840" s="36"/>
      <c r="AH840" s="36"/>
      <c r="AI840" s="36"/>
      <c r="AJ840" s="36"/>
    </row>
    <row r="841" ht="15.75" customHeight="1">
      <c r="A841" s="12" t="s">
        <v>218</v>
      </c>
      <c r="B841" s="121">
        <v>0.0</v>
      </c>
      <c r="C841" s="121">
        <v>0.0</v>
      </c>
      <c r="D841" s="121">
        <v>0.0</v>
      </c>
      <c r="E841" s="121">
        <v>0.0</v>
      </c>
      <c r="F841" s="121">
        <v>0.0</v>
      </c>
      <c r="G841" s="121">
        <v>0.0</v>
      </c>
      <c r="H841" s="121">
        <v>0.0</v>
      </c>
      <c r="I841" s="121">
        <v>0.0</v>
      </c>
      <c r="J841" s="121">
        <v>0.0</v>
      </c>
      <c r="K841" s="121">
        <v>0.0</v>
      </c>
      <c r="L841" s="121">
        <v>0.0</v>
      </c>
      <c r="M841" s="121">
        <v>0.0</v>
      </c>
      <c r="N841" s="121">
        <v>0.0</v>
      </c>
      <c r="O841" s="121">
        <v>0.0</v>
      </c>
      <c r="P841" s="121">
        <v>0.0</v>
      </c>
      <c r="Q841" s="121">
        <v>0.0</v>
      </c>
      <c r="R841" s="121">
        <v>0.0</v>
      </c>
      <c r="S841" s="121">
        <v>0.0</v>
      </c>
      <c r="T841" s="121">
        <v>0.0</v>
      </c>
      <c r="U841" s="121">
        <v>0.0</v>
      </c>
      <c r="V841" s="121">
        <v>0.0</v>
      </c>
      <c r="W841" s="121">
        <v>0.0</v>
      </c>
      <c r="X841" s="121">
        <v>0.0</v>
      </c>
      <c r="Y841" s="121">
        <v>0.0</v>
      </c>
      <c r="Z841" s="121">
        <v>0.0</v>
      </c>
      <c r="AA841" s="121">
        <v>0.0</v>
      </c>
      <c r="AB841" s="121">
        <v>0.0</v>
      </c>
      <c r="AC841" s="121">
        <v>0.0</v>
      </c>
      <c r="AD841" s="121">
        <v>0.0</v>
      </c>
      <c r="AE841" s="121">
        <v>0.0</v>
      </c>
      <c r="AF841" s="36"/>
      <c r="AG841" s="36"/>
      <c r="AH841" s="36"/>
      <c r="AI841" s="36"/>
      <c r="AJ841" s="36"/>
    </row>
    <row r="842" ht="15.75" customHeight="1">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c r="AA842" s="36"/>
      <c r="AB842" s="36"/>
      <c r="AC842" s="36"/>
      <c r="AD842" s="36"/>
      <c r="AE842" s="36"/>
      <c r="AF842" s="36"/>
      <c r="AG842" s="36"/>
      <c r="AH842" s="36"/>
      <c r="AI842" s="36"/>
      <c r="AJ842" s="36"/>
    </row>
    <row r="843" ht="15.75" customHeight="1">
      <c r="A843" s="380" t="s">
        <v>1221</v>
      </c>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c r="AA843" s="36"/>
      <c r="AB843" s="36"/>
      <c r="AC843" s="36"/>
      <c r="AD843" s="36"/>
      <c r="AE843" s="36"/>
      <c r="AF843" s="36"/>
      <c r="AG843" s="36"/>
      <c r="AH843" s="36"/>
      <c r="AI843" s="36"/>
      <c r="AJ843" s="36"/>
    </row>
    <row r="844" ht="15.75" customHeight="1">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c r="AA844" s="36"/>
      <c r="AB844" s="36"/>
      <c r="AC844" s="36"/>
      <c r="AD844" s="36"/>
      <c r="AE844" s="36"/>
      <c r="AF844" s="36"/>
      <c r="AG844" s="36"/>
      <c r="AH844" s="36"/>
      <c r="AI844" s="36"/>
      <c r="AJ844" s="36"/>
    </row>
    <row r="845" ht="15.75" customHeight="1">
      <c r="A845" s="36" t="s">
        <v>215</v>
      </c>
      <c r="B845" s="36">
        <v>1.0</v>
      </c>
      <c r="C845" s="36">
        <v>2.0</v>
      </c>
      <c r="D845" s="36">
        <v>3.0</v>
      </c>
      <c r="E845" s="36">
        <v>4.0</v>
      </c>
      <c r="F845" s="36">
        <v>5.0</v>
      </c>
      <c r="G845" s="36">
        <v>6.0</v>
      </c>
      <c r="H845" s="36">
        <v>7.0</v>
      </c>
      <c r="I845" s="36">
        <v>8.0</v>
      </c>
      <c r="J845" s="36">
        <v>9.0</v>
      </c>
      <c r="K845" s="36">
        <v>10.0</v>
      </c>
      <c r="L845" s="36">
        <v>11.0</v>
      </c>
      <c r="M845" s="36">
        <v>12.0</v>
      </c>
      <c r="N845" s="36">
        <v>13.0</v>
      </c>
      <c r="O845" s="36">
        <v>14.0</v>
      </c>
      <c r="P845" s="36">
        <v>15.0</v>
      </c>
      <c r="Q845" s="36">
        <v>16.0</v>
      </c>
      <c r="R845" s="36">
        <v>17.0</v>
      </c>
      <c r="S845" s="36">
        <v>18.0</v>
      </c>
      <c r="T845" s="36">
        <v>19.0</v>
      </c>
      <c r="U845" s="36">
        <v>20.0</v>
      </c>
      <c r="V845" s="36">
        <v>21.0</v>
      </c>
      <c r="W845" s="36">
        <v>22.0</v>
      </c>
      <c r="X845" s="36">
        <v>23.0</v>
      </c>
      <c r="Y845" s="36">
        <v>24.0</v>
      </c>
      <c r="Z845" s="36">
        <v>25.0</v>
      </c>
      <c r="AA845" s="36">
        <v>26.0</v>
      </c>
      <c r="AB845" s="36">
        <v>27.0</v>
      </c>
      <c r="AC845" s="36">
        <v>28.0</v>
      </c>
      <c r="AD845" s="36">
        <v>29.0</v>
      </c>
      <c r="AE845" s="36">
        <v>30.0</v>
      </c>
      <c r="AF845" s="36"/>
      <c r="AG845" s="36"/>
      <c r="AH845" s="36"/>
      <c r="AI845" s="36"/>
      <c r="AJ845" s="36"/>
    </row>
    <row r="846" ht="15.75" customHeight="1">
      <c r="A846" s="12" t="s">
        <v>217</v>
      </c>
      <c r="B846" s="12">
        <v>5.0</v>
      </c>
      <c r="C846" s="12">
        <v>5.0</v>
      </c>
      <c r="D846" s="12">
        <v>5.0</v>
      </c>
      <c r="E846" s="12">
        <v>5.0</v>
      </c>
      <c r="F846" s="12">
        <v>5.0</v>
      </c>
      <c r="G846" s="12">
        <v>0.0</v>
      </c>
      <c r="H846" s="12">
        <v>0.0</v>
      </c>
      <c r="I846" s="12">
        <v>0.0</v>
      </c>
      <c r="J846" s="12">
        <v>0.0</v>
      </c>
      <c r="K846" s="12">
        <v>0.0</v>
      </c>
      <c r="L846" s="12">
        <v>0.0</v>
      </c>
      <c r="M846" s="12">
        <v>0.0</v>
      </c>
      <c r="N846" s="12">
        <v>0.0</v>
      </c>
      <c r="O846" s="12">
        <v>0.0</v>
      </c>
      <c r="P846" s="12">
        <v>0.0</v>
      </c>
      <c r="Q846" s="12">
        <v>0.0</v>
      </c>
      <c r="R846" s="12">
        <v>0.0</v>
      </c>
      <c r="S846" s="12">
        <v>0.0</v>
      </c>
      <c r="T846" s="12">
        <v>0.0</v>
      </c>
      <c r="U846" s="12">
        <v>0.0</v>
      </c>
      <c r="V846" s="12">
        <v>0.0</v>
      </c>
      <c r="W846" s="12">
        <v>0.0</v>
      </c>
      <c r="X846" s="12">
        <v>0.0</v>
      </c>
      <c r="Y846" s="12">
        <v>0.0</v>
      </c>
      <c r="Z846" s="12">
        <v>0.0</v>
      </c>
      <c r="AA846" s="12">
        <v>0.0</v>
      </c>
      <c r="AB846" s="12">
        <v>0.0</v>
      </c>
      <c r="AC846" s="12">
        <v>0.0</v>
      </c>
      <c r="AD846" s="12">
        <v>0.0</v>
      </c>
      <c r="AE846" s="12">
        <v>0.0</v>
      </c>
      <c r="AF846" s="36"/>
      <c r="AG846" s="36"/>
      <c r="AH846" s="36"/>
      <c r="AI846" s="36"/>
      <c r="AJ846" s="36"/>
    </row>
    <row r="847" ht="15.75" customHeight="1">
      <c r="A847" s="12" t="s">
        <v>218</v>
      </c>
      <c r="B847" s="121">
        <v>0.0</v>
      </c>
      <c r="C847" s="121">
        <v>0.0</v>
      </c>
      <c r="D847" s="121">
        <v>0.0</v>
      </c>
      <c r="E847" s="121">
        <v>0.0</v>
      </c>
      <c r="F847" s="121">
        <v>0.0</v>
      </c>
      <c r="G847" s="121">
        <v>0.0</v>
      </c>
      <c r="H847" s="121">
        <v>0.0</v>
      </c>
      <c r="I847" s="121">
        <v>0.0</v>
      </c>
      <c r="J847" s="121">
        <v>0.0</v>
      </c>
      <c r="K847" s="121">
        <v>0.0</v>
      </c>
      <c r="L847" s="121">
        <v>0.0</v>
      </c>
      <c r="M847" s="121">
        <v>0.0</v>
      </c>
      <c r="N847" s="121">
        <v>0.0</v>
      </c>
      <c r="O847" s="121">
        <v>0.0</v>
      </c>
      <c r="P847" s="121">
        <v>0.0</v>
      </c>
      <c r="Q847" s="121">
        <v>0.0</v>
      </c>
      <c r="R847" s="121">
        <v>0.0</v>
      </c>
      <c r="S847" s="121">
        <v>0.0</v>
      </c>
      <c r="T847" s="121">
        <v>0.0</v>
      </c>
      <c r="U847" s="121">
        <v>0.0</v>
      </c>
      <c r="V847" s="121">
        <v>0.0</v>
      </c>
      <c r="W847" s="121">
        <v>0.0</v>
      </c>
      <c r="X847" s="121">
        <v>0.0</v>
      </c>
      <c r="Y847" s="121">
        <v>0.0</v>
      </c>
      <c r="Z847" s="121">
        <v>0.0</v>
      </c>
      <c r="AA847" s="121">
        <v>0.0</v>
      </c>
      <c r="AB847" s="121">
        <v>0.0</v>
      </c>
      <c r="AC847" s="121">
        <v>0.0</v>
      </c>
      <c r="AD847" s="121">
        <v>0.0</v>
      </c>
      <c r="AE847" s="121">
        <v>0.0</v>
      </c>
      <c r="AF847" s="36"/>
      <c r="AG847" s="36"/>
      <c r="AH847" s="36"/>
      <c r="AI847" s="36"/>
      <c r="AJ847" s="36"/>
    </row>
    <row r="848" ht="15.75" customHeight="1">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c r="AA848" s="36"/>
      <c r="AB848" s="36"/>
      <c r="AC848" s="36"/>
      <c r="AD848" s="36"/>
      <c r="AE848" s="36"/>
      <c r="AF848" s="36"/>
      <c r="AG848" s="36"/>
      <c r="AH848" s="36"/>
      <c r="AI848" s="36"/>
      <c r="AJ848" s="36"/>
    </row>
    <row r="849" ht="15.75" customHeight="1">
      <c r="A849" s="380" t="s">
        <v>1217</v>
      </c>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c r="AA849" s="36"/>
      <c r="AB849" s="36"/>
      <c r="AC849" s="36"/>
      <c r="AD849" s="36"/>
      <c r="AE849" s="36"/>
      <c r="AF849" s="36"/>
      <c r="AG849" s="36"/>
      <c r="AH849" s="36"/>
      <c r="AI849" s="36"/>
      <c r="AJ849" s="36"/>
    </row>
    <row r="850" ht="15.75" customHeight="1">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c r="AA850" s="36"/>
      <c r="AB850" s="36"/>
      <c r="AC850" s="36"/>
      <c r="AD850" s="36"/>
      <c r="AE850" s="36"/>
      <c r="AF850" s="36"/>
      <c r="AG850" s="36"/>
      <c r="AH850" s="36"/>
      <c r="AI850" s="36"/>
      <c r="AJ850" s="36"/>
    </row>
    <row r="851" ht="15.75" customHeight="1">
      <c r="A851" s="36" t="s">
        <v>215</v>
      </c>
      <c r="B851" s="36">
        <v>1.0</v>
      </c>
      <c r="C851" s="36">
        <v>2.0</v>
      </c>
      <c r="D851" s="36">
        <v>3.0</v>
      </c>
      <c r="E851" s="36">
        <v>4.0</v>
      </c>
      <c r="F851" s="36">
        <v>5.0</v>
      </c>
      <c r="G851" s="36">
        <v>6.0</v>
      </c>
      <c r="H851" s="36">
        <v>7.0</v>
      </c>
      <c r="I851" s="36">
        <v>8.0</v>
      </c>
      <c r="J851" s="36">
        <v>9.0</v>
      </c>
      <c r="K851" s="36">
        <v>10.0</v>
      </c>
      <c r="L851" s="36">
        <v>11.0</v>
      </c>
      <c r="M851" s="36">
        <v>12.0</v>
      </c>
      <c r="N851" s="36">
        <v>13.0</v>
      </c>
      <c r="O851" s="36">
        <v>14.0</v>
      </c>
      <c r="P851" s="36">
        <v>15.0</v>
      </c>
      <c r="Q851" s="36">
        <v>16.0</v>
      </c>
      <c r="R851" s="36">
        <v>17.0</v>
      </c>
      <c r="S851" s="36">
        <v>18.0</v>
      </c>
      <c r="T851" s="36">
        <v>19.0</v>
      </c>
      <c r="U851" s="36">
        <v>20.0</v>
      </c>
      <c r="V851" s="36">
        <v>21.0</v>
      </c>
      <c r="W851" s="36">
        <v>22.0</v>
      </c>
      <c r="X851" s="36">
        <v>23.0</v>
      </c>
      <c r="Y851" s="36">
        <v>24.0</v>
      </c>
      <c r="Z851" s="36">
        <v>25.0</v>
      </c>
      <c r="AA851" s="36">
        <v>26.0</v>
      </c>
      <c r="AB851" s="36">
        <v>27.0</v>
      </c>
      <c r="AC851" s="36">
        <v>28.0</v>
      </c>
      <c r="AD851" s="36">
        <v>29.0</v>
      </c>
      <c r="AE851" s="36">
        <v>30.0</v>
      </c>
      <c r="AF851" s="36"/>
      <c r="AG851" s="36"/>
      <c r="AH851" s="36"/>
      <c r="AI851" s="36"/>
      <c r="AJ851" s="36"/>
    </row>
    <row r="852" ht="15.75" customHeight="1">
      <c r="A852" s="12" t="s">
        <v>217</v>
      </c>
      <c r="B852" s="12">
        <v>40.0</v>
      </c>
      <c r="C852" s="12">
        <v>40.0</v>
      </c>
      <c r="D852" s="12">
        <v>40.0</v>
      </c>
      <c r="E852" s="12">
        <v>40.0</v>
      </c>
      <c r="F852" s="12">
        <v>40.0</v>
      </c>
      <c r="G852" s="12">
        <v>40.0</v>
      </c>
      <c r="H852" s="12">
        <v>40.0</v>
      </c>
      <c r="I852" s="12">
        <v>40.0</v>
      </c>
      <c r="J852" s="12">
        <v>40.0</v>
      </c>
      <c r="K852" s="12">
        <v>40.0</v>
      </c>
      <c r="L852" s="12">
        <v>40.0</v>
      </c>
      <c r="M852" s="12">
        <v>40.0</v>
      </c>
      <c r="N852" s="12">
        <v>40.0</v>
      </c>
      <c r="O852" s="12">
        <v>40.0</v>
      </c>
      <c r="P852" s="12">
        <v>40.0</v>
      </c>
      <c r="Q852" s="12">
        <v>40.0</v>
      </c>
      <c r="R852" s="12">
        <v>40.0</v>
      </c>
      <c r="S852" s="12">
        <v>40.0</v>
      </c>
      <c r="T852" s="12">
        <v>40.0</v>
      </c>
      <c r="U852" s="12">
        <v>40.0</v>
      </c>
      <c r="V852" s="12">
        <v>40.0</v>
      </c>
      <c r="W852" s="12">
        <v>40.0</v>
      </c>
      <c r="X852" s="12">
        <v>40.0</v>
      </c>
      <c r="Y852" s="12">
        <v>40.0</v>
      </c>
      <c r="Z852" s="12">
        <v>40.0</v>
      </c>
      <c r="AA852" s="12">
        <v>40.0</v>
      </c>
      <c r="AB852" s="12">
        <v>40.0</v>
      </c>
      <c r="AC852" s="12">
        <v>40.0</v>
      </c>
      <c r="AD852" s="12">
        <v>40.0</v>
      </c>
      <c r="AE852" s="12">
        <v>40.0</v>
      </c>
      <c r="AF852" s="36"/>
      <c r="AG852" s="36"/>
      <c r="AH852" s="36"/>
      <c r="AI852" s="36"/>
      <c r="AJ852" s="36"/>
    </row>
    <row r="853" ht="15.75" customHeight="1">
      <c r="A853" s="12" t="s">
        <v>218</v>
      </c>
      <c r="B853" s="12">
        <v>0.0</v>
      </c>
      <c r="C853" s="12">
        <v>0.0</v>
      </c>
      <c r="D853" s="12">
        <v>0.0</v>
      </c>
      <c r="E853" s="12">
        <v>0.0</v>
      </c>
      <c r="F853" s="12">
        <v>0.0</v>
      </c>
      <c r="G853" s="12">
        <v>0.0</v>
      </c>
      <c r="H853" s="12">
        <v>0.0</v>
      </c>
      <c r="I853" s="12">
        <v>0.0</v>
      </c>
      <c r="J853" s="12">
        <v>0.0</v>
      </c>
      <c r="K853" s="12">
        <v>0.0</v>
      </c>
      <c r="L853" s="12">
        <v>0.0</v>
      </c>
      <c r="M853" s="12">
        <v>0.0</v>
      </c>
      <c r="N853" s="12">
        <v>0.0</v>
      </c>
      <c r="O853" s="12">
        <v>0.0</v>
      </c>
      <c r="P853" s="12">
        <v>0.0</v>
      </c>
      <c r="Q853" s="12">
        <v>0.0</v>
      </c>
      <c r="R853" s="12">
        <v>0.0</v>
      </c>
      <c r="S853" s="12">
        <v>0.0</v>
      </c>
      <c r="T853" s="12">
        <v>0.0</v>
      </c>
      <c r="U853" s="12">
        <v>0.0</v>
      </c>
      <c r="V853" s="12">
        <v>0.0</v>
      </c>
      <c r="W853" s="12">
        <v>0.0</v>
      </c>
      <c r="X853" s="12">
        <v>0.0</v>
      </c>
      <c r="Y853" s="12">
        <v>0.0</v>
      </c>
      <c r="Z853" s="12">
        <v>0.0</v>
      </c>
      <c r="AA853" s="12">
        <v>0.0</v>
      </c>
      <c r="AB853" s="12">
        <v>0.0</v>
      </c>
      <c r="AC853" s="12">
        <v>0.0</v>
      </c>
      <c r="AD853" s="12">
        <v>0.0</v>
      </c>
      <c r="AE853" s="12">
        <v>0.0</v>
      </c>
      <c r="AF853" s="36"/>
      <c r="AG853" s="36"/>
      <c r="AH853" s="36"/>
      <c r="AI853" s="36"/>
      <c r="AJ853" s="36"/>
    </row>
    <row r="854" ht="15.75" customHeight="1">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c r="AA854" s="36"/>
      <c r="AB854" s="36"/>
      <c r="AC854" s="36"/>
      <c r="AD854" s="36"/>
      <c r="AE854" s="36"/>
      <c r="AF854" s="36"/>
      <c r="AG854" s="36"/>
      <c r="AH854" s="36"/>
      <c r="AI854" s="36"/>
      <c r="AJ854" s="36"/>
    </row>
    <row r="855" ht="15.75" customHeight="1">
      <c r="A855" s="380" t="s">
        <v>1167</v>
      </c>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c r="AA855" s="36"/>
      <c r="AB855" s="36"/>
      <c r="AC855" s="36"/>
      <c r="AD855" s="36"/>
      <c r="AE855" s="36"/>
      <c r="AF855" s="36"/>
      <c r="AG855" s="36"/>
      <c r="AH855" s="36"/>
      <c r="AI855" s="36"/>
      <c r="AJ855" s="36"/>
    </row>
    <row r="856" ht="15.75" customHeight="1">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c r="AA856" s="36"/>
      <c r="AB856" s="36"/>
      <c r="AC856" s="36"/>
      <c r="AD856" s="36"/>
      <c r="AE856" s="36"/>
      <c r="AF856" s="36"/>
      <c r="AG856" s="36"/>
      <c r="AH856" s="36"/>
      <c r="AI856" s="36"/>
      <c r="AJ856" s="36"/>
    </row>
    <row r="857" ht="15.75" customHeight="1">
      <c r="A857" s="36" t="s">
        <v>215</v>
      </c>
      <c r="B857" s="36">
        <v>1.0</v>
      </c>
      <c r="C857" s="36">
        <v>2.0</v>
      </c>
      <c r="D857" s="36">
        <v>3.0</v>
      </c>
      <c r="E857" s="36">
        <v>4.0</v>
      </c>
      <c r="F857" s="36">
        <v>5.0</v>
      </c>
      <c r="G857" s="36">
        <v>6.0</v>
      </c>
      <c r="H857" s="36">
        <v>7.0</v>
      </c>
      <c r="I857" s="36">
        <v>8.0</v>
      </c>
      <c r="J857" s="36">
        <v>9.0</v>
      </c>
      <c r="K857" s="36">
        <v>10.0</v>
      </c>
      <c r="L857" s="36">
        <v>11.0</v>
      </c>
      <c r="M857" s="36">
        <v>12.0</v>
      </c>
      <c r="N857" s="36">
        <v>13.0</v>
      </c>
      <c r="O857" s="36">
        <v>14.0</v>
      </c>
      <c r="P857" s="36">
        <v>15.0</v>
      </c>
      <c r="Q857" s="36">
        <v>16.0</v>
      </c>
      <c r="R857" s="36">
        <v>17.0</v>
      </c>
      <c r="S857" s="36">
        <v>18.0</v>
      </c>
      <c r="T857" s="36">
        <v>19.0</v>
      </c>
      <c r="U857" s="36">
        <v>20.0</v>
      </c>
      <c r="V857" s="36">
        <v>21.0</v>
      </c>
      <c r="W857" s="36">
        <v>22.0</v>
      </c>
      <c r="X857" s="36">
        <v>23.0</v>
      </c>
      <c r="Y857" s="36">
        <v>24.0</v>
      </c>
      <c r="Z857" s="36">
        <v>25.0</v>
      </c>
      <c r="AA857" s="36">
        <v>26.0</v>
      </c>
      <c r="AB857" s="36">
        <v>27.0</v>
      </c>
      <c r="AC857" s="36">
        <v>28.0</v>
      </c>
      <c r="AD857" s="36">
        <v>29.0</v>
      </c>
      <c r="AE857" s="36">
        <v>30.0</v>
      </c>
      <c r="AF857" s="36"/>
      <c r="AG857" s="36"/>
      <c r="AH857" s="36"/>
      <c r="AI857" s="36"/>
      <c r="AJ857" s="36"/>
    </row>
    <row r="858" ht="15.75" customHeight="1">
      <c r="A858" s="12" t="s">
        <v>217</v>
      </c>
      <c r="B858" s="12">
        <v>60.0</v>
      </c>
      <c r="C858" s="12">
        <v>60.0</v>
      </c>
      <c r="D858" s="12">
        <v>60.0</v>
      </c>
      <c r="E858" s="12">
        <v>60.0</v>
      </c>
      <c r="F858" s="12">
        <v>60.0</v>
      </c>
      <c r="G858" s="12">
        <v>60.0</v>
      </c>
      <c r="H858" s="12">
        <v>60.0</v>
      </c>
      <c r="I858" s="12">
        <v>60.0</v>
      </c>
      <c r="J858" s="12">
        <v>60.0</v>
      </c>
      <c r="K858" s="12">
        <v>60.0</v>
      </c>
      <c r="L858" s="12">
        <v>60.0</v>
      </c>
      <c r="M858" s="12">
        <v>60.0</v>
      </c>
      <c r="N858" s="12">
        <v>60.0</v>
      </c>
      <c r="O858" s="12">
        <v>60.0</v>
      </c>
      <c r="P858" s="12">
        <v>60.0</v>
      </c>
      <c r="Q858" s="12">
        <v>60.0</v>
      </c>
      <c r="R858" s="12">
        <v>60.0</v>
      </c>
      <c r="S858" s="12">
        <v>60.0</v>
      </c>
      <c r="T858" s="12">
        <v>60.0</v>
      </c>
      <c r="U858" s="12">
        <v>60.0</v>
      </c>
      <c r="V858" s="12">
        <v>60.0</v>
      </c>
      <c r="W858" s="12">
        <v>60.0</v>
      </c>
      <c r="X858" s="12">
        <v>60.0</v>
      </c>
      <c r="Y858" s="12">
        <v>60.0</v>
      </c>
      <c r="Z858" s="12">
        <v>60.0</v>
      </c>
      <c r="AA858" s="12">
        <v>60.0</v>
      </c>
      <c r="AB858" s="12">
        <v>60.0</v>
      </c>
      <c r="AC858" s="12">
        <v>60.0</v>
      </c>
      <c r="AD858" s="12">
        <v>60.0</v>
      </c>
      <c r="AE858" s="12">
        <v>60.0</v>
      </c>
      <c r="AF858" s="36"/>
      <c r="AG858" s="36"/>
      <c r="AH858" s="36"/>
      <c r="AI858" s="36"/>
      <c r="AJ858" s="36"/>
    </row>
    <row r="859" ht="15.75" customHeight="1">
      <c r="A859" s="12" t="s">
        <v>218</v>
      </c>
      <c r="B859" s="12">
        <v>0.0</v>
      </c>
      <c r="C859" s="12">
        <v>0.0</v>
      </c>
      <c r="D859" s="12">
        <v>0.0</v>
      </c>
      <c r="E859" s="12">
        <v>0.0</v>
      </c>
      <c r="F859" s="12">
        <v>0.0</v>
      </c>
      <c r="G859" s="12">
        <v>0.0</v>
      </c>
      <c r="H859" s="12">
        <v>0.0</v>
      </c>
      <c r="I859" s="12">
        <v>0.0</v>
      </c>
      <c r="J859" s="12">
        <v>0.0</v>
      </c>
      <c r="K859" s="12">
        <v>0.0</v>
      </c>
      <c r="L859" s="12">
        <v>0.0</v>
      </c>
      <c r="M859" s="12">
        <v>0.0</v>
      </c>
      <c r="N859" s="12">
        <v>0.0</v>
      </c>
      <c r="O859" s="12">
        <v>0.0</v>
      </c>
      <c r="P859" s="12">
        <v>0.0</v>
      </c>
      <c r="Q859" s="12">
        <v>0.0</v>
      </c>
      <c r="R859" s="12">
        <v>0.0</v>
      </c>
      <c r="S859" s="12">
        <v>0.0</v>
      </c>
      <c r="T859" s="12">
        <v>0.0</v>
      </c>
      <c r="U859" s="12">
        <v>0.0</v>
      </c>
      <c r="V859" s="12">
        <v>0.0</v>
      </c>
      <c r="W859" s="12">
        <v>0.0</v>
      </c>
      <c r="X859" s="12">
        <v>0.0</v>
      </c>
      <c r="Y859" s="12">
        <v>0.0</v>
      </c>
      <c r="Z859" s="12">
        <v>0.0</v>
      </c>
      <c r="AA859" s="12">
        <v>0.0</v>
      </c>
      <c r="AB859" s="12">
        <v>0.0</v>
      </c>
      <c r="AC859" s="12">
        <v>0.0</v>
      </c>
      <c r="AD859" s="12">
        <v>0.0</v>
      </c>
      <c r="AE859" s="12">
        <v>0.0</v>
      </c>
      <c r="AF859" s="36"/>
      <c r="AG859" s="36"/>
      <c r="AH859" s="36"/>
      <c r="AI859" s="36"/>
      <c r="AJ859" s="36"/>
    </row>
    <row r="860" ht="15.75" customHeight="1">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c r="AA860" s="36"/>
      <c r="AB860" s="36"/>
      <c r="AC860" s="36"/>
      <c r="AD860" s="36"/>
      <c r="AE860" s="36"/>
      <c r="AF860" s="36"/>
      <c r="AG860" s="36"/>
      <c r="AH860" s="36"/>
      <c r="AI860" s="36"/>
      <c r="AJ860" s="36"/>
    </row>
    <row r="861" ht="15.75" customHeight="1">
      <c r="A861" s="380" t="s">
        <v>1213</v>
      </c>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c r="AA861" s="36"/>
      <c r="AB861" s="36"/>
      <c r="AC861" s="36"/>
      <c r="AD861" s="36"/>
      <c r="AE861" s="36"/>
      <c r="AF861" s="36"/>
      <c r="AG861" s="36"/>
      <c r="AH861" s="36"/>
      <c r="AI861" s="36"/>
      <c r="AJ861" s="36"/>
    </row>
    <row r="862" ht="15.75" customHeight="1">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c r="AA862" s="36"/>
      <c r="AB862" s="36"/>
      <c r="AC862" s="36"/>
      <c r="AD862" s="36"/>
      <c r="AE862" s="36"/>
      <c r="AF862" s="36"/>
      <c r="AG862" s="36"/>
      <c r="AH862" s="36"/>
      <c r="AI862" s="36"/>
      <c r="AJ862" s="36"/>
    </row>
    <row r="863" ht="15.75" customHeight="1">
      <c r="A863" s="36" t="s">
        <v>215</v>
      </c>
      <c r="B863" s="36">
        <v>1.0</v>
      </c>
      <c r="C863" s="36">
        <v>2.0</v>
      </c>
      <c r="D863" s="36">
        <v>3.0</v>
      </c>
      <c r="E863" s="36">
        <v>4.0</v>
      </c>
      <c r="F863" s="36">
        <v>5.0</v>
      </c>
      <c r="G863" s="36">
        <v>6.0</v>
      </c>
      <c r="H863" s="36">
        <v>7.0</v>
      </c>
      <c r="I863" s="36">
        <v>8.0</v>
      </c>
      <c r="J863" s="36">
        <v>9.0</v>
      </c>
      <c r="K863" s="36">
        <v>10.0</v>
      </c>
      <c r="L863" s="36">
        <v>11.0</v>
      </c>
      <c r="M863" s="36">
        <v>12.0</v>
      </c>
      <c r="N863" s="36">
        <v>13.0</v>
      </c>
      <c r="O863" s="36">
        <v>14.0</v>
      </c>
      <c r="P863" s="36">
        <v>15.0</v>
      </c>
      <c r="Q863" s="36">
        <v>16.0</v>
      </c>
      <c r="R863" s="36">
        <v>17.0</v>
      </c>
      <c r="S863" s="36">
        <v>18.0</v>
      </c>
      <c r="T863" s="36">
        <v>19.0</v>
      </c>
      <c r="U863" s="36">
        <v>20.0</v>
      </c>
      <c r="V863" s="36">
        <v>21.0</v>
      </c>
      <c r="W863" s="36">
        <v>22.0</v>
      </c>
      <c r="X863" s="36">
        <v>23.0</v>
      </c>
      <c r="Y863" s="36">
        <v>24.0</v>
      </c>
      <c r="Z863" s="36">
        <v>25.0</v>
      </c>
      <c r="AA863" s="36">
        <v>26.0</v>
      </c>
      <c r="AB863" s="36">
        <v>27.0</v>
      </c>
      <c r="AC863" s="36">
        <v>28.0</v>
      </c>
      <c r="AD863" s="36">
        <v>29.0</v>
      </c>
      <c r="AE863" s="36">
        <v>30.0</v>
      </c>
      <c r="AF863" s="36"/>
      <c r="AG863" s="36"/>
      <c r="AH863" s="36"/>
      <c r="AI863" s="36"/>
      <c r="AJ863" s="36"/>
    </row>
    <row r="864" ht="15.75" customHeight="1">
      <c r="A864" s="12" t="s">
        <v>217</v>
      </c>
      <c r="B864" s="12">
        <v>60.0</v>
      </c>
      <c r="C864" s="12">
        <v>60.0</v>
      </c>
      <c r="D864" s="12">
        <v>60.0</v>
      </c>
      <c r="E864" s="12">
        <v>60.0</v>
      </c>
      <c r="F864" s="12">
        <v>60.0</v>
      </c>
      <c r="G864" s="12">
        <v>60.0</v>
      </c>
      <c r="H864" s="12">
        <v>60.0</v>
      </c>
      <c r="I864" s="12">
        <v>60.0</v>
      </c>
      <c r="J864" s="12">
        <v>60.0</v>
      </c>
      <c r="K864" s="12">
        <v>60.0</v>
      </c>
      <c r="L864" s="12">
        <v>60.0</v>
      </c>
      <c r="M864" s="12">
        <v>60.0</v>
      </c>
      <c r="N864" s="12">
        <v>60.0</v>
      </c>
      <c r="O864" s="12">
        <v>60.0</v>
      </c>
      <c r="P864" s="12">
        <v>60.0</v>
      </c>
      <c r="Q864" s="12">
        <v>60.0</v>
      </c>
      <c r="R864" s="12">
        <v>60.0</v>
      </c>
      <c r="S864" s="12">
        <v>60.0</v>
      </c>
      <c r="T864" s="12">
        <v>60.0</v>
      </c>
      <c r="U864" s="12">
        <v>60.0</v>
      </c>
      <c r="V864" s="12">
        <v>60.0</v>
      </c>
      <c r="W864" s="12">
        <v>60.0</v>
      </c>
      <c r="X864" s="12">
        <v>60.0</v>
      </c>
      <c r="Y864" s="12">
        <v>60.0</v>
      </c>
      <c r="Z864" s="12">
        <v>60.0</v>
      </c>
      <c r="AA864" s="12">
        <v>60.0</v>
      </c>
      <c r="AB864" s="12">
        <v>60.0</v>
      </c>
      <c r="AC864" s="12">
        <v>60.0</v>
      </c>
      <c r="AD864" s="12">
        <v>60.0</v>
      </c>
      <c r="AE864" s="12">
        <v>60.0</v>
      </c>
      <c r="AF864" s="36"/>
      <c r="AG864" s="36"/>
      <c r="AH864" s="36"/>
      <c r="AI864" s="36"/>
      <c r="AJ864" s="36"/>
    </row>
    <row r="865" ht="15.75" customHeight="1">
      <c r="A865" s="12" t="s">
        <v>218</v>
      </c>
      <c r="B865" s="12">
        <v>0.0</v>
      </c>
      <c r="C865" s="12">
        <v>0.0</v>
      </c>
      <c r="D865" s="12">
        <v>0.0</v>
      </c>
      <c r="E865" s="12">
        <v>0.0</v>
      </c>
      <c r="F865" s="12">
        <v>0.0</v>
      </c>
      <c r="G865" s="12">
        <v>0.0</v>
      </c>
      <c r="H865" s="12">
        <v>0.0</v>
      </c>
      <c r="I865" s="12">
        <v>0.0</v>
      </c>
      <c r="J865" s="12">
        <v>0.0</v>
      </c>
      <c r="K865" s="12">
        <v>0.0</v>
      </c>
      <c r="L865" s="12">
        <v>0.0</v>
      </c>
      <c r="M865" s="12">
        <v>0.0</v>
      </c>
      <c r="N865" s="12">
        <v>0.0</v>
      </c>
      <c r="O865" s="12">
        <v>0.0</v>
      </c>
      <c r="P865" s="12">
        <v>0.0</v>
      </c>
      <c r="Q865" s="12">
        <v>0.0</v>
      </c>
      <c r="R865" s="12">
        <v>0.0</v>
      </c>
      <c r="S865" s="12">
        <v>0.0</v>
      </c>
      <c r="T865" s="12">
        <v>0.0</v>
      </c>
      <c r="U865" s="12">
        <v>0.0</v>
      </c>
      <c r="V865" s="12">
        <v>0.0</v>
      </c>
      <c r="W865" s="12">
        <v>0.0</v>
      </c>
      <c r="X865" s="12">
        <v>0.0</v>
      </c>
      <c r="Y865" s="12">
        <v>0.0</v>
      </c>
      <c r="Z865" s="12">
        <v>0.0</v>
      </c>
      <c r="AA865" s="12">
        <v>0.0</v>
      </c>
      <c r="AB865" s="12">
        <v>0.0</v>
      </c>
      <c r="AC865" s="12">
        <v>0.0</v>
      </c>
      <c r="AD865" s="12">
        <v>0.0</v>
      </c>
      <c r="AE865" s="12">
        <v>0.0</v>
      </c>
      <c r="AF865" s="36"/>
      <c r="AG865" s="36"/>
      <c r="AH865" s="36"/>
      <c r="AI865" s="36"/>
      <c r="AJ865" s="36"/>
    </row>
    <row r="866" ht="15.75" customHeight="1">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c r="AA866" s="36"/>
      <c r="AB866" s="36"/>
      <c r="AC866" s="36"/>
      <c r="AD866" s="36"/>
      <c r="AE866" s="36"/>
      <c r="AF866" s="36"/>
      <c r="AG866" s="36"/>
      <c r="AH866" s="36"/>
      <c r="AI866" s="36"/>
      <c r="AJ866" s="36"/>
    </row>
    <row r="867" ht="15.75" customHeight="1">
      <c r="A867" s="380" t="s">
        <v>1201</v>
      </c>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c r="AA867" s="36"/>
      <c r="AB867" s="36"/>
      <c r="AC867" s="36"/>
      <c r="AD867" s="36"/>
      <c r="AE867" s="36"/>
      <c r="AF867" s="36"/>
      <c r="AG867" s="36"/>
      <c r="AH867" s="36"/>
      <c r="AI867" s="36"/>
      <c r="AJ867" s="36"/>
    </row>
    <row r="868" ht="15.75" customHeight="1">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c r="AA868" s="36"/>
      <c r="AB868" s="36"/>
      <c r="AC868" s="36"/>
      <c r="AD868" s="36"/>
      <c r="AE868" s="36"/>
      <c r="AF868" s="36"/>
      <c r="AG868" s="36"/>
      <c r="AH868" s="36"/>
      <c r="AI868" s="36"/>
      <c r="AJ868" s="36"/>
    </row>
    <row r="869" ht="13.5" customHeight="1">
      <c r="A869" s="36" t="s">
        <v>1956</v>
      </c>
      <c r="B869" s="36">
        <v>1.0</v>
      </c>
      <c r="C869" s="36">
        <v>2.0</v>
      </c>
      <c r="D869" s="36">
        <v>3.0</v>
      </c>
      <c r="E869" s="36">
        <v>4.0</v>
      </c>
      <c r="F869" s="36">
        <v>5.0</v>
      </c>
      <c r="G869" s="36">
        <v>6.0</v>
      </c>
      <c r="H869" s="36">
        <v>7.0</v>
      </c>
      <c r="I869" s="36">
        <v>8.0</v>
      </c>
      <c r="J869" s="36">
        <v>9.0</v>
      </c>
      <c r="K869" s="36">
        <v>10.0</v>
      </c>
      <c r="L869" s="36">
        <v>11.0</v>
      </c>
      <c r="M869" s="36">
        <v>12.0</v>
      </c>
      <c r="N869" s="36">
        <v>13.0</v>
      </c>
      <c r="O869" s="36">
        <v>14.0</v>
      </c>
      <c r="P869" s="36">
        <v>15.0</v>
      </c>
      <c r="Q869" s="36">
        <v>16.0</v>
      </c>
      <c r="R869" s="36">
        <v>17.0</v>
      </c>
      <c r="S869" s="36">
        <v>18.0</v>
      </c>
      <c r="T869" s="36">
        <v>19.0</v>
      </c>
      <c r="U869" s="36">
        <v>20.0</v>
      </c>
      <c r="V869" s="36">
        <v>21.0</v>
      </c>
      <c r="W869" s="36">
        <v>22.0</v>
      </c>
      <c r="X869" s="36">
        <v>23.0</v>
      </c>
      <c r="Y869" s="36">
        <v>24.0</v>
      </c>
      <c r="Z869" s="36">
        <v>25.0</v>
      </c>
      <c r="AA869" s="36">
        <v>26.0</v>
      </c>
      <c r="AB869" s="36">
        <v>27.0</v>
      </c>
      <c r="AC869" s="36">
        <v>28.0</v>
      </c>
      <c r="AD869" s="36">
        <v>29.0</v>
      </c>
      <c r="AE869" s="36">
        <v>30.0</v>
      </c>
      <c r="AF869" s="36"/>
      <c r="AG869" s="36"/>
      <c r="AH869" s="36"/>
      <c r="AI869" s="36"/>
      <c r="AJ869" s="36"/>
    </row>
    <row r="870" ht="15.75" customHeight="1">
      <c r="A870" s="12">
        <v>15000.0</v>
      </c>
      <c r="B870" s="194">
        <v>0.005</v>
      </c>
      <c r="C870" s="194">
        <v>0.005</v>
      </c>
      <c r="D870" s="194">
        <v>0.005</v>
      </c>
      <c r="E870" s="194">
        <v>0.005</v>
      </c>
      <c r="F870" s="194">
        <v>0.005</v>
      </c>
      <c r="G870" s="194">
        <v>0.005</v>
      </c>
      <c r="H870" s="194">
        <v>0.005</v>
      </c>
      <c r="I870" s="194">
        <v>0.005</v>
      </c>
      <c r="J870" s="194">
        <v>0.005</v>
      </c>
      <c r="K870" s="194">
        <v>0.005</v>
      </c>
      <c r="L870" s="36">
        <v>0.0</v>
      </c>
      <c r="M870" s="36">
        <v>0.0</v>
      </c>
      <c r="N870" s="36">
        <v>0.0</v>
      </c>
      <c r="O870" s="36">
        <v>0.0</v>
      </c>
      <c r="P870" s="36">
        <v>0.0</v>
      </c>
      <c r="Q870" s="36">
        <v>0.0</v>
      </c>
      <c r="R870" s="36">
        <v>0.0</v>
      </c>
      <c r="S870" s="36">
        <v>0.0</v>
      </c>
      <c r="T870" s="36">
        <v>0.0</v>
      </c>
      <c r="U870" s="36">
        <v>0.0</v>
      </c>
      <c r="V870" s="36">
        <v>0.0</v>
      </c>
      <c r="W870" s="36">
        <v>0.0</v>
      </c>
      <c r="X870" s="36">
        <v>0.0</v>
      </c>
      <c r="Y870" s="36">
        <v>0.0</v>
      </c>
      <c r="Z870" s="36">
        <v>0.0</v>
      </c>
      <c r="AA870" s="36">
        <v>0.0</v>
      </c>
      <c r="AB870" s="36">
        <v>0.0</v>
      </c>
      <c r="AC870" s="36">
        <v>0.0</v>
      </c>
      <c r="AD870" s="36">
        <v>0.0</v>
      </c>
      <c r="AE870" s="36">
        <v>0.0</v>
      </c>
      <c r="AF870" s="36"/>
      <c r="AG870" s="36"/>
      <c r="AH870" s="36"/>
      <c r="AI870" s="36"/>
      <c r="AJ870" s="36"/>
    </row>
    <row r="871" ht="15.75" customHeight="1">
      <c r="A871" s="12">
        <v>35000.0</v>
      </c>
      <c r="B871" s="194">
        <v>0.0035</v>
      </c>
      <c r="C871" s="194">
        <v>0.0035</v>
      </c>
      <c r="D871" s="194">
        <v>0.0035</v>
      </c>
      <c r="E871" s="194">
        <v>0.0035</v>
      </c>
      <c r="F871" s="194">
        <v>0.0035</v>
      </c>
      <c r="G871" s="194">
        <v>0.0035</v>
      </c>
      <c r="H871" s="194">
        <v>0.0035</v>
      </c>
      <c r="I871" s="194">
        <v>0.0035</v>
      </c>
      <c r="J871" s="194">
        <v>0.0035</v>
      </c>
      <c r="K871" s="194">
        <v>0.0035</v>
      </c>
      <c r="L871" s="36">
        <v>0.0</v>
      </c>
      <c r="M871" s="36">
        <v>0.0</v>
      </c>
      <c r="N871" s="36">
        <v>0.0</v>
      </c>
      <c r="O871" s="36">
        <v>0.0</v>
      </c>
      <c r="P871" s="36">
        <v>0.0</v>
      </c>
      <c r="Q871" s="36">
        <v>0.0</v>
      </c>
      <c r="R871" s="36">
        <v>0.0</v>
      </c>
      <c r="S871" s="36">
        <v>0.0</v>
      </c>
      <c r="T871" s="36">
        <v>0.0</v>
      </c>
      <c r="U871" s="36">
        <v>0.0</v>
      </c>
      <c r="V871" s="36">
        <v>0.0</v>
      </c>
      <c r="W871" s="36">
        <v>0.0</v>
      </c>
      <c r="X871" s="36">
        <v>0.0</v>
      </c>
      <c r="Y871" s="36">
        <v>0.0</v>
      </c>
      <c r="Z871" s="36">
        <v>0.0</v>
      </c>
      <c r="AA871" s="36">
        <v>0.0</v>
      </c>
      <c r="AB871" s="36">
        <v>0.0</v>
      </c>
      <c r="AC871" s="36">
        <v>0.0</v>
      </c>
      <c r="AD871" s="36">
        <v>0.0</v>
      </c>
      <c r="AE871" s="36">
        <v>0.0</v>
      </c>
      <c r="AF871" s="36"/>
      <c r="AG871" s="36"/>
      <c r="AH871" s="36"/>
      <c r="AI871" s="36"/>
      <c r="AJ871" s="36"/>
    </row>
    <row r="872" ht="15.75" customHeight="1">
      <c r="A872" s="12">
        <v>100000.0</v>
      </c>
      <c r="B872" s="194">
        <v>0.0025</v>
      </c>
      <c r="C872" s="194">
        <v>0.0025</v>
      </c>
      <c r="D872" s="194">
        <v>0.0025</v>
      </c>
      <c r="E872" s="194">
        <v>0.0025</v>
      </c>
      <c r="F872" s="194">
        <v>0.0025</v>
      </c>
      <c r="G872" s="194">
        <v>0.0025</v>
      </c>
      <c r="H872" s="194">
        <v>0.0025</v>
      </c>
      <c r="I872" s="194">
        <v>0.0025</v>
      </c>
      <c r="J872" s="194">
        <v>0.0025</v>
      </c>
      <c r="K872" s="194">
        <v>0.0025</v>
      </c>
      <c r="L872" s="36">
        <v>0.0</v>
      </c>
      <c r="M872" s="36">
        <v>0.0</v>
      </c>
      <c r="N872" s="36">
        <v>0.0</v>
      </c>
      <c r="O872" s="36">
        <v>0.0</v>
      </c>
      <c r="P872" s="36">
        <v>0.0</v>
      </c>
      <c r="Q872" s="36">
        <v>0.0</v>
      </c>
      <c r="R872" s="36">
        <v>0.0</v>
      </c>
      <c r="S872" s="36">
        <v>0.0</v>
      </c>
      <c r="T872" s="36">
        <v>0.0</v>
      </c>
      <c r="U872" s="36">
        <v>0.0</v>
      </c>
      <c r="V872" s="36">
        <v>0.0</v>
      </c>
      <c r="W872" s="36">
        <v>0.0</v>
      </c>
      <c r="X872" s="36">
        <v>0.0</v>
      </c>
      <c r="Y872" s="36">
        <v>0.0</v>
      </c>
      <c r="Z872" s="36">
        <v>0.0</v>
      </c>
      <c r="AA872" s="36">
        <v>0.0</v>
      </c>
      <c r="AB872" s="36">
        <v>0.0</v>
      </c>
      <c r="AC872" s="36">
        <v>0.0</v>
      </c>
      <c r="AD872" s="36">
        <v>0.0</v>
      </c>
      <c r="AE872" s="36">
        <v>0.0</v>
      </c>
      <c r="AF872" s="36"/>
      <c r="AG872" s="36"/>
      <c r="AH872" s="36"/>
      <c r="AI872" s="36"/>
      <c r="AJ872" s="36"/>
    </row>
    <row r="873" ht="15.75" customHeight="1">
      <c r="A873" s="12">
        <v>200000.0</v>
      </c>
      <c r="B873" s="194">
        <v>0.002</v>
      </c>
      <c r="C873" s="194">
        <v>0.002</v>
      </c>
      <c r="D873" s="194">
        <v>0.002</v>
      </c>
      <c r="E873" s="194">
        <v>0.002</v>
      </c>
      <c r="F873" s="194">
        <v>0.002</v>
      </c>
      <c r="G873" s="194">
        <v>0.002</v>
      </c>
      <c r="H873" s="194">
        <v>0.002</v>
      </c>
      <c r="I873" s="194">
        <v>0.002</v>
      </c>
      <c r="J873" s="194">
        <v>0.002</v>
      </c>
      <c r="K873" s="194">
        <v>0.002</v>
      </c>
      <c r="L873" s="36">
        <v>0.0</v>
      </c>
      <c r="M873" s="36">
        <v>0.0</v>
      </c>
      <c r="N873" s="36">
        <v>0.0</v>
      </c>
      <c r="O873" s="36">
        <v>0.0</v>
      </c>
      <c r="P873" s="36">
        <v>0.0</v>
      </c>
      <c r="Q873" s="36">
        <v>0.0</v>
      </c>
      <c r="R873" s="36">
        <v>0.0</v>
      </c>
      <c r="S873" s="36">
        <v>0.0</v>
      </c>
      <c r="T873" s="36">
        <v>0.0</v>
      </c>
      <c r="U873" s="36">
        <v>0.0</v>
      </c>
      <c r="V873" s="36">
        <v>0.0</v>
      </c>
      <c r="W873" s="36">
        <v>0.0</v>
      </c>
      <c r="X873" s="36">
        <v>0.0</v>
      </c>
      <c r="Y873" s="36">
        <v>0.0</v>
      </c>
      <c r="Z873" s="36">
        <v>0.0</v>
      </c>
      <c r="AA873" s="36">
        <v>0.0</v>
      </c>
      <c r="AB873" s="36">
        <v>0.0</v>
      </c>
      <c r="AC873" s="36">
        <v>0.0</v>
      </c>
      <c r="AD873" s="36">
        <v>0.0</v>
      </c>
      <c r="AE873" s="36">
        <v>0.0</v>
      </c>
      <c r="AF873" s="36"/>
      <c r="AG873" s="36"/>
      <c r="AH873" s="36"/>
      <c r="AI873" s="36"/>
      <c r="AJ873" s="36"/>
    </row>
    <row r="874" ht="15.75" customHeight="1">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c r="AA874" s="36"/>
      <c r="AB874" s="36"/>
      <c r="AC874" s="36"/>
      <c r="AD874" s="36"/>
      <c r="AE874" s="36"/>
      <c r="AF874" s="36"/>
      <c r="AG874" s="36"/>
      <c r="AH874" s="36"/>
      <c r="AI874" s="36"/>
      <c r="AJ874" s="36"/>
    </row>
    <row r="875" ht="15.75" customHeight="1">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c r="AA875" s="36"/>
      <c r="AB875" s="36"/>
      <c r="AC875" s="36"/>
      <c r="AD875" s="36"/>
      <c r="AE875" s="36"/>
      <c r="AF875" s="36"/>
      <c r="AG875" s="36"/>
      <c r="AH875" s="36"/>
      <c r="AI875" s="36"/>
      <c r="AJ875" s="36"/>
    </row>
    <row r="876" ht="15.75" customHeight="1">
      <c r="A876" s="171" t="s">
        <v>1957</v>
      </c>
      <c r="B876" s="171">
        <v>1.0</v>
      </c>
      <c r="C876" s="171">
        <v>2.0</v>
      </c>
      <c r="D876" s="171">
        <v>3.0</v>
      </c>
      <c r="E876" s="171">
        <v>4.0</v>
      </c>
      <c r="F876" s="171">
        <v>5.0</v>
      </c>
      <c r="G876" s="171">
        <v>6.0</v>
      </c>
      <c r="H876" s="171">
        <v>7.0</v>
      </c>
      <c r="I876" s="171">
        <v>8.0</v>
      </c>
      <c r="J876" s="171">
        <v>9.0</v>
      </c>
      <c r="K876" s="171">
        <v>10.0</v>
      </c>
      <c r="L876" s="171">
        <v>11.0</v>
      </c>
      <c r="M876" s="171">
        <v>12.0</v>
      </c>
      <c r="N876" s="171">
        <v>13.0</v>
      </c>
      <c r="O876" s="171">
        <v>14.0</v>
      </c>
      <c r="P876" s="171">
        <v>15.0</v>
      </c>
      <c r="Q876" s="171">
        <v>16.0</v>
      </c>
      <c r="R876" s="171">
        <v>17.0</v>
      </c>
      <c r="S876" s="171">
        <v>18.0</v>
      </c>
      <c r="T876" s="171">
        <v>19.0</v>
      </c>
      <c r="U876" s="171">
        <v>20.0</v>
      </c>
      <c r="V876" s="171">
        <v>21.0</v>
      </c>
      <c r="W876" s="171">
        <v>22.0</v>
      </c>
      <c r="X876" s="171">
        <v>23.0</v>
      </c>
      <c r="Y876" s="171">
        <v>24.0</v>
      </c>
      <c r="Z876" s="171">
        <v>25.0</v>
      </c>
      <c r="AA876" s="171">
        <v>26.0</v>
      </c>
      <c r="AB876" s="171">
        <v>27.0</v>
      </c>
      <c r="AC876" s="171">
        <v>28.0</v>
      </c>
      <c r="AD876" s="171">
        <v>29.0</v>
      </c>
      <c r="AE876" s="171">
        <v>30.0</v>
      </c>
      <c r="AF876" s="36"/>
      <c r="AG876" s="36"/>
      <c r="AH876" s="36"/>
      <c r="AI876" s="36"/>
      <c r="AJ876" s="36"/>
    </row>
    <row r="877" ht="15.75" customHeight="1">
      <c r="A877" s="112" t="s">
        <v>217</v>
      </c>
      <c r="B877" s="112">
        <v>0.0</v>
      </c>
      <c r="C877" s="112">
        <v>0.0</v>
      </c>
      <c r="D877" s="112">
        <v>0.0</v>
      </c>
      <c r="E877" s="112">
        <v>0.0</v>
      </c>
      <c r="F877" s="112">
        <v>0.0</v>
      </c>
      <c r="G877" s="112">
        <v>0.0</v>
      </c>
      <c r="H877" s="112">
        <v>0.0</v>
      </c>
      <c r="I877" s="112">
        <v>0.0</v>
      </c>
      <c r="J877" s="112">
        <v>0.0</v>
      </c>
      <c r="K877" s="112">
        <v>0.0</v>
      </c>
      <c r="L877" s="112">
        <v>0.0</v>
      </c>
      <c r="M877" s="112">
        <v>0.0</v>
      </c>
      <c r="N877" s="112">
        <v>0.0</v>
      </c>
      <c r="O877" s="112">
        <v>0.0</v>
      </c>
      <c r="P877" s="112">
        <v>0.0</v>
      </c>
      <c r="Q877" s="112">
        <v>0.0</v>
      </c>
      <c r="R877" s="112">
        <v>0.0</v>
      </c>
      <c r="S877" s="112">
        <v>0.0</v>
      </c>
      <c r="T877" s="112">
        <v>0.0</v>
      </c>
      <c r="U877" s="112">
        <v>0.0</v>
      </c>
      <c r="V877" s="112">
        <v>0.0</v>
      </c>
      <c r="W877" s="112">
        <v>0.0</v>
      </c>
      <c r="X877" s="112">
        <v>0.0</v>
      </c>
      <c r="Y877" s="112">
        <v>0.0</v>
      </c>
      <c r="Z877" s="112">
        <v>0.0</v>
      </c>
      <c r="AA877" s="112">
        <v>0.0</v>
      </c>
      <c r="AB877" s="112">
        <v>0.0</v>
      </c>
      <c r="AC877" s="112">
        <v>0.0</v>
      </c>
      <c r="AD877" s="112">
        <v>0.0</v>
      </c>
      <c r="AE877" s="112">
        <v>0.0</v>
      </c>
      <c r="AF877" s="36"/>
      <c r="AG877" s="36"/>
      <c r="AH877" s="36"/>
      <c r="AI877" s="36"/>
      <c r="AJ877" s="36"/>
    </row>
    <row r="878" ht="15.75" customHeight="1">
      <c r="A878" s="112" t="s">
        <v>218</v>
      </c>
      <c r="B878" s="183">
        <f t="array" ref="B878">INDEX($A$869:$AE$873,MATCH(Annual_Prem,$A$869:$A$873,1),MATCH(B876,$A$869:$AE$869,0))</f>
        <v>0.0025</v>
      </c>
      <c r="C878" s="183">
        <f t="array" ref="C878">INDEX($A$869:$AE$873,MATCH(Annual_Prem,$A$869:$A$873,1),MATCH(C876,$A$869:$AE$869,0))</f>
        <v>0.0025</v>
      </c>
      <c r="D878" s="183">
        <f t="array" ref="D878">INDEX($A$869:$AE$873,MATCH(Annual_Prem,$A$869:$A$873,1),MATCH(D876,$A$869:$AE$869,0))</f>
        <v>0.0025</v>
      </c>
      <c r="E878" s="183">
        <f t="array" ref="E878">INDEX($A$869:$AE$873,MATCH(Annual_Prem,$A$869:$A$873,1),MATCH(E876,$A$869:$AE$869,0))</f>
        <v>0.0025</v>
      </c>
      <c r="F878" s="183">
        <f t="array" ref="F878">INDEX($A$869:$AE$873,MATCH(Annual_Prem,$A$869:$A$873,1),MATCH(F876,$A$869:$AE$869,0))</f>
        <v>0.0025</v>
      </c>
      <c r="G878" s="183">
        <f t="array" ref="G878">INDEX($A$869:$AE$873,MATCH(Annual_Prem,$A$869:$A$873,1),MATCH(G876,$A$869:$AE$869,0))</f>
        <v>0.0025</v>
      </c>
      <c r="H878" s="183">
        <f t="array" ref="H878">INDEX($A$869:$AE$873,MATCH(Annual_Prem,$A$869:$A$873,1),MATCH(H876,$A$869:$AE$869,0))</f>
        <v>0.0025</v>
      </c>
      <c r="I878" s="183">
        <f t="array" ref="I878">INDEX($A$869:$AE$873,MATCH(Annual_Prem,$A$869:$A$873,1),MATCH(I876,$A$869:$AE$869,0))</f>
        <v>0.0025</v>
      </c>
      <c r="J878" s="183">
        <f t="array" ref="J878">INDEX($A$869:$AE$873,MATCH(Annual_Prem,$A$869:$A$873,1),MATCH(J876,$A$869:$AE$869,0))</f>
        <v>0.0025</v>
      </c>
      <c r="K878" s="183">
        <f t="array" ref="K878">INDEX($A$869:$AE$873,MATCH(Annual_Prem,$A$869:$A$873,1),MATCH(K876,$A$869:$AE$869,0))</f>
        <v>0.0025</v>
      </c>
      <c r="L878" s="171">
        <f t="array" ref="L878">INDEX($A$869:$AE$873,MATCH(Annual_Prem,$A$869:$A$873,1),MATCH(L876,$A$869:$AE$869,0))</f>
        <v>0</v>
      </c>
      <c r="M878" s="171">
        <f t="array" ref="M878">INDEX($A$869:$AE$873,MATCH(Annual_Prem,$A$869:$A$873,1),MATCH(M876,$A$869:$AE$869,0))</f>
        <v>0</v>
      </c>
      <c r="N878" s="171">
        <f t="array" ref="N878">INDEX($A$869:$AE$873,MATCH(Annual_Prem,$A$869:$A$873,1),MATCH(N876,$A$869:$AE$869,0))</f>
        <v>0</v>
      </c>
      <c r="O878" s="171">
        <f t="array" ref="O878">INDEX($A$869:$AE$873,MATCH(Annual_Prem,$A$869:$A$873,1),MATCH(O876,$A$869:$AE$869,0))</f>
        <v>0</v>
      </c>
      <c r="P878" s="171">
        <f t="array" ref="P878">INDEX($A$869:$AE$873,MATCH(Annual_Prem,$A$869:$A$873,1),MATCH(P876,$A$869:$AE$869,0))</f>
        <v>0</v>
      </c>
      <c r="Q878" s="171">
        <f t="array" ref="Q878">INDEX($A$869:$AE$873,MATCH(Annual_Prem,$A$869:$A$873,1),MATCH(Q876,$A$869:$AE$869,0))</f>
        <v>0</v>
      </c>
      <c r="R878" s="171">
        <f t="array" ref="R878">INDEX($A$869:$AE$873,MATCH(Annual_Prem,$A$869:$A$873,1),MATCH(R876,$A$869:$AE$869,0))</f>
        <v>0</v>
      </c>
      <c r="S878" s="171">
        <f t="array" ref="S878">INDEX($A$869:$AE$873,MATCH(Annual_Prem,$A$869:$A$873,1),MATCH(S876,$A$869:$AE$869,0))</f>
        <v>0</v>
      </c>
      <c r="T878" s="171">
        <f t="array" ref="T878">INDEX($A$869:$AE$873,MATCH(Annual_Prem,$A$869:$A$873,1),MATCH(T876,$A$869:$AE$869,0))</f>
        <v>0</v>
      </c>
      <c r="U878" s="171">
        <f t="array" ref="U878">INDEX($A$869:$AE$873,MATCH(Annual_Prem,$A$869:$A$873,1),MATCH(U876,$A$869:$AE$869,0))</f>
        <v>0</v>
      </c>
      <c r="V878" s="171">
        <f t="array" ref="V878">INDEX($A$869:$AE$873,MATCH(Annual_Prem,$A$869:$A$873,1),MATCH(V876,$A$869:$AE$869,0))</f>
        <v>0</v>
      </c>
      <c r="W878" s="171">
        <f t="array" ref="W878">INDEX($A$869:$AE$873,MATCH(Annual_Prem,$A$869:$A$873,1),MATCH(W876,$A$869:$AE$869,0))</f>
        <v>0</v>
      </c>
      <c r="X878" s="171">
        <f t="array" ref="X878">INDEX($A$869:$AE$873,MATCH(Annual_Prem,$A$869:$A$873,1),MATCH(X876,$A$869:$AE$869,0))</f>
        <v>0</v>
      </c>
      <c r="Y878" s="171">
        <f t="array" ref="Y878">INDEX($A$869:$AE$873,MATCH(Annual_Prem,$A$869:$A$873,1),MATCH(Y876,$A$869:$AE$869,0))</f>
        <v>0</v>
      </c>
      <c r="Z878" s="171">
        <f t="array" ref="Z878">INDEX($A$869:$AE$873,MATCH(Annual_Prem,$A$869:$A$873,1),MATCH(Z876,$A$869:$AE$869,0))</f>
        <v>0</v>
      </c>
      <c r="AA878" s="171">
        <f t="array" ref="AA878">INDEX($A$869:$AE$873,MATCH(Annual_Prem,$A$869:$A$873,1),MATCH(AA876,$A$869:$AE$869,0))</f>
        <v>0</v>
      </c>
      <c r="AB878" s="171">
        <f t="array" ref="AB878">INDEX($A$869:$AE$873,MATCH(Annual_Prem,$A$869:$A$873,1),MATCH(AB876,$A$869:$AE$869,0))</f>
        <v>0</v>
      </c>
      <c r="AC878" s="171">
        <f t="array" ref="AC878">INDEX($A$869:$AE$873,MATCH(Annual_Prem,$A$869:$A$873,1),MATCH(AC876,$A$869:$AE$869,0))</f>
        <v>0</v>
      </c>
      <c r="AD878" s="171">
        <f t="array" ref="AD878">INDEX($A$869:$AE$873,MATCH(Annual_Prem,$A$869:$A$873,1),MATCH(AD876,$A$869:$AE$869,0))</f>
        <v>0</v>
      </c>
      <c r="AE878" s="171">
        <f t="array" ref="AE878">INDEX($A$869:$AE$873,MATCH(Annual_Prem,$A$869:$A$873,1),MATCH(AE876,$A$869:$AE$869,0))</f>
        <v>0</v>
      </c>
      <c r="AF878" s="36"/>
      <c r="AG878" s="36"/>
      <c r="AH878" s="36"/>
      <c r="AI878" s="36"/>
      <c r="AJ878" s="36"/>
    </row>
    <row r="879" ht="15.75" customHeight="1">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c r="AA879" s="36"/>
      <c r="AB879" s="36"/>
      <c r="AC879" s="36"/>
      <c r="AD879" s="36"/>
      <c r="AE879" s="36"/>
      <c r="AF879" s="36"/>
      <c r="AG879" s="36"/>
      <c r="AH879" s="36"/>
      <c r="AI879" s="36"/>
      <c r="AJ879" s="36"/>
    </row>
    <row r="880" ht="15.75" customHeight="1">
      <c r="A880" s="380" t="s">
        <v>1171</v>
      </c>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c r="AA880" s="36"/>
      <c r="AB880" s="36"/>
      <c r="AC880" s="36"/>
      <c r="AD880" s="36"/>
      <c r="AE880" s="36"/>
      <c r="AF880" s="36"/>
      <c r="AG880" s="36"/>
      <c r="AH880" s="36"/>
      <c r="AI880" s="36"/>
      <c r="AJ880" s="36"/>
    </row>
    <row r="881" ht="15.75" customHeight="1">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c r="AA881" s="36"/>
      <c r="AB881" s="36"/>
      <c r="AC881" s="36"/>
      <c r="AD881" s="36"/>
      <c r="AE881" s="36"/>
      <c r="AF881" s="36"/>
      <c r="AG881" s="36"/>
      <c r="AH881" s="36"/>
      <c r="AI881" s="36"/>
      <c r="AJ881" s="36"/>
    </row>
    <row r="882" ht="15.75" customHeight="1">
      <c r="A882" s="36" t="s">
        <v>215</v>
      </c>
      <c r="B882" s="36">
        <v>1.0</v>
      </c>
      <c r="C882" s="36">
        <v>2.0</v>
      </c>
      <c r="D882" s="36">
        <v>3.0</v>
      </c>
      <c r="E882" s="36">
        <v>4.0</v>
      </c>
      <c r="F882" s="36">
        <v>5.0</v>
      </c>
      <c r="G882" s="36">
        <v>6.0</v>
      </c>
      <c r="H882" s="36">
        <v>7.0</v>
      </c>
      <c r="I882" s="36">
        <v>8.0</v>
      </c>
      <c r="J882" s="36">
        <v>9.0</v>
      </c>
      <c r="K882" s="36">
        <v>10.0</v>
      </c>
      <c r="L882" s="36">
        <v>11.0</v>
      </c>
      <c r="M882" s="36">
        <v>12.0</v>
      </c>
      <c r="N882" s="36">
        <v>13.0</v>
      </c>
      <c r="O882" s="36">
        <v>14.0</v>
      </c>
      <c r="P882" s="36">
        <v>15.0</v>
      </c>
      <c r="Q882" s="36">
        <v>16.0</v>
      </c>
      <c r="R882" s="36">
        <v>17.0</v>
      </c>
      <c r="S882" s="36">
        <v>18.0</v>
      </c>
      <c r="T882" s="36">
        <v>19.0</v>
      </c>
      <c r="U882" s="36">
        <v>20.0</v>
      </c>
      <c r="V882" s="36">
        <v>21.0</v>
      </c>
      <c r="W882" s="36">
        <v>22.0</v>
      </c>
      <c r="X882" s="36">
        <v>23.0</v>
      </c>
      <c r="Y882" s="36">
        <v>24.0</v>
      </c>
      <c r="Z882" s="36">
        <v>25.0</v>
      </c>
      <c r="AA882" s="36">
        <v>26.0</v>
      </c>
      <c r="AB882" s="36">
        <v>27.0</v>
      </c>
      <c r="AC882" s="36">
        <v>28.0</v>
      </c>
      <c r="AD882" s="36">
        <v>29.0</v>
      </c>
      <c r="AE882" s="36">
        <v>30.0</v>
      </c>
      <c r="AF882" s="36"/>
      <c r="AG882" s="36"/>
      <c r="AH882" s="36"/>
      <c r="AI882" s="36"/>
      <c r="AJ882" s="36"/>
    </row>
    <row r="883" ht="15.75" customHeight="1">
      <c r="A883" s="12" t="s">
        <v>217</v>
      </c>
      <c r="B883" s="12">
        <v>20.0</v>
      </c>
      <c r="C883" s="12">
        <v>20.0</v>
      </c>
      <c r="D883" s="12">
        <v>20.0</v>
      </c>
      <c r="E883" s="12">
        <v>20.0</v>
      </c>
      <c r="F883" s="12">
        <v>20.0</v>
      </c>
      <c r="G883" s="12">
        <v>20.0</v>
      </c>
      <c r="H883" s="12">
        <v>20.0</v>
      </c>
      <c r="I883" s="12">
        <v>20.0</v>
      </c>
      <c r="J883" s="12">
        <v>20.0</v>
      </c>
      <c r="K883" s="12">
        <v>20.0</v>
      </c>
      <c r="L883" s="12">
        <v>20.0</v>
      </c>
      <c r="M883" s="12">
        <v>20.0</v>
      </c>
      <c r="N883" s="12">
        <v>20.0</v>
      </c>
      <c r="O883" s="12">
        <v>20.0</v>
      </c>
      <c r="P883" s="12">
        <v>20.0</v>
      </c>
      <c r="Q883" s="12">
        <v>20.0</v>
      </c>
      <c r="R883" s="12">
        <v>20.0</v>
      </c>
      <c r="S883" s="12">
        <v>20.0</v>
      </c>
      <c r="T883" s="12">
        <v>20.0</v>
      </c>
      <c r="U883" s="12">
        <v>20.0</v>
      </c>
      <c r="V883" s="12">
        <v>20.0</v>
      </c>
      <c r="W883" s="12">
        <v>20.0</v>
      </c>
      <c r="X883" s="12">
        <v>20.0</v>
      </c>
      <c r="Y883" s="12">
        <v>20.0</v>
      </c>
      <c r="Z883" s="12">
        <v>20.0</v>
      </c>
      <c r="AA883" s="12">
        <v>20.0</v>
      </c>
      <c r="AB883" s="12">
        <v>20.0</v>
      </c>
      <c r="AC883" s="12">
        <v>20.0</v>
      </c>
      <c r="AD883" s="12">
        <v>20.0</v>
      </c>
      <c r="AE883" s="12">
        <v>20.0</v>
      </c>
      <c r="AF883" s="36"/>
      <c r="AG883" s="36"/>
      <c r="AH883" s="36"/>
      <c r="AI883" s="36"/>
      <c r="AJ883" s="36"/>
    </row>
    <row r="884" ht="15.75" customHeight="1">
      <c r="A884" s="12" t="s">
        <v>218</v>
      </c>
      <c r="B884" s="121">
        <v>0.0</v>
      </c>
      <c r="C884" s="121">
        <v>0.0</v>
      </c>
      <c r="D884" s="121">
        <v>0.0</v>
      </c>
      <c r="E884" s="121">
        <v>0.0</v>
      </c>
      <c r="F884" s="121">
        <v>0.0</v>
      </c>
      <c r="G884" s="121">
        <v>0.0</v>
      </c>
      <c r="H884" s="121">
        <v>0.0</v>
      </c>
      <c r="I884" s="121">
        <v>0.0</v>
      </c>
      <c r="J884" s="121">
        <v>0.0</v>
      </c>
      <c r="K884" s="121">
        <v>0.0</v>
      </c>
      <c r="L884" s="121">
        <v>0.0</v>
      </c>
      <c r="M884" s="121">
        <v>0.0</v>
      </c>
      <c r="N884" s="121">
        <v>0.0</v>
      </c>
      <c r="O884" s="121">
        <v>0.0</v>
      </c>
      <c r="P884" s="121">
        <v>0.0</v>
      </c>
      <c r="Q884" s="121">
        <v>0.0</v>
      </c>
      <c r="R884" s="121">
        <v>0.0</v>
      </c>
      <c r="S884" s="121">
        <v>0.0</v>
      </c>
      <c r="T884" s="121">
        <v>0.0</v>
      </c>
      <c r="U884" s="121">
        <v>0.0</v>
      </c>
      <c r="V884" s="121">
        <v>0.0</v>
      </c>
      <c r="W884" s="121">
        <v>0.0</v>
      </c>
      <c r="X884" s="121">
        <v>0.0</v>
      </c>
      <c r="Y884" s="121">
        <v>0.0</v>
      </c>
      <c r="Z884" s="121">
        <v>0.0</v>
      </c>
      <c r="AA884" s="121">
        <v>0.0</v>
      </c>
      <c r="AB884" s="121">
        <v>0.0</v>
      </c>
      <c r="AC884" s="121">
        <v>0.0</v>
      </c>
      <c r="AD884" s="121">
        <v>0.0</v>
      </c>
      <c r="AE884" s="121">
        <v>0.0</v>
      </c>
      <c r="AF884" s="36"/>
      <c r="AG884" s="36"/>
      <c r="AH884" s="36"/>
      <c r="AI884" s="36"/>
      <c r="AJ884" s="36"/>
    </row>
    <row r="885" ht="15.75" customHeight="1">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c r="AA885" s="36"/>
      <c r="AB885" s="36"/>
      <c r="AC885" s="36"/>
      <c r="AD885" s="36"/>
      <c r="AE885" s="36"/>
      <c r="AF885" s="36"/>
      <c r="AG885" s="36"/>
      <c r="AH885" s="36"/>
      <c r="AI885" s="36"/>
      <c r="AJ885" s="36"/>
    </row>
    <row r="886" ht="15.75" customHeight="1">
      <c r="A886" s="380" t="s">
        <v>1177</v>
      </c>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c r="AA886" s="36"/>
      <c r="AB886" s="36"/>
      <c r="AC886" s="36"/>
      <c r="AD886" s="36"/>
      <c r="AE886" s="36"/>
      <c r="AF886" s="36"/>
      <c r="AG886" s="36"/>
      <c r="AH886" s="36"/>
      <c r="AI886" s="36"/>
      <c r="AJ886" s="36"/>
    </row>
    <row r="887" ht="15.75" customHeight="1">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c r="AA887" s="36"/>
      <c r="AB887" s="36"/>
      <c r="AC887" s="36"/>
      <c r="AD887" s="36"/>
      <c r="AE887" s="36"/>
      <c r="AF887" s="36"/>
      <c r="AG887" s="36"/>
      <c r="AH887" s="36"/>
      <c r="AI887" s="36"/>
      <c r="AJ887" s="36"/>
    </row>
    <row r="888" ht="15.75" customHeight="1">
      <c r="A888" s="36" t="s">
        <v>215</v>
      </c>
      <c r="B888" s="36">
        <v>1.0</v>
      </c>
      <c r="C888" s="36">
        <v>2.0</v>
      </c>
      <c r="D888" s="36">
        <v>3.0</v>
      </c>
      <c r="E888" s="36">
        <v>4.0</v>
      </c>
      <c r="F888" s="36">
        <v>5.0</v>
      </c>
      <c r="G888" s="36">
        <v>6.0</v>
      </c>
      <c r="H888" s="36">
        <v>7.0</v>
      </c>
      <c r="I888" s="36">
        <v>8.0</v>
      </c>
      <c r="J888" s="36">
        <v>9.0</v>
      </c>
      <c r="K888" s="36">
        <v>10.0</v>
      </c>
      <c r="L888" s="36">
        <v>11.0</v>
      </c>
      <c r="M888" s="36">
        <v>12.0</v>
      </c>
      <c r="N888" s="36">
        <v>13.0</v>
      </c>
      <c r="O888" s="36">
        <v>14.0</v>
      </c>
      <c r="P888" s="36">
        <v>15.0</v>
      </c>
      <c r="Q888" s="36">
        <v>16.0</v>
      </c>
      <c r="R888" s="36">
        <v>17.0</v>
      </c>
      <c r="S888" s="36">
        <v>18.0</v>
      </c>
      <c r="T888" s="36">
        <v>19.0</v>
      </c>
      <c r="U888" s="36">
        <v>20.0</v>
      </c>
      <c r="V888" s="36">
        <v>21.0</v>
      </c>
      <c r="W888" s="36">
        <v>22.0</v>
      </c>
      <c r="X888" s="36">
        <v>23.0</v>
      </c>
      <c r="Y888" s="36">
        <v>24.0</v>
      </c>
      <c r="Z888" s="36">
        <v>25.0</v>
      </c>
      <c r="AA888" s="36">
        <v>26.0</v>
      </c>
      <c r="AB888" s="36">
        <v>27.0</v>
      </c>
      <c r="AC888" s="36">
        <v>28.0</v>
      </c>
      <c r="AD888" s="36">
        <v>29.0</v>
      </c>
      <c r="AE888" s="36">
        <v>30.0</v>
      </c>
      <c r="AF888" s="36"/>
      <c r="AG888" s="36"/>
      <c r="AH888" s="36"/>
      <c r="AI888" s="36"/>
      <c r="AJ888" s="36"/>
    </row>
    <row r="889" ht="15.75" customHeight="1">
      <c r="A889" s="12" t="s">
        <v>217</v>
      </c>
      <c r="B889" s="12">
        <v>60.0</v>
      </c>
      <c r="C889" s="12">
        <v>60.0</v>
      </c>
      <c r="D889" s="12">
        <v>60.0</v>
      </c>
      <c r="E889" s="12">
        <v>60.0</v>
      </c>
      <c r="F889" s="12">
        <v>60.0</v>
      </c>
      <c r="G889" s="12">
        <v>60.0</v>
      </c>
      <c r="H889" s="12">
        <v>60.0</v>
      </c>
      <c r="I889" s="12">
        <v>60.0</v>
      </c>
      <c r="J889" s="12">
        <v>60.0</v>
      </c>
      <c r="K889" s="12">
        <v>60.0</v>
      </c>
      <c r="L889" s="12">
        <v>60.0</v>
      </c>
      <c r="M889" s="12">
        <v>60.0</v>
      </c>
      <c r="N889" s="12">
        <v>60.0</v>
      </c>
      <c r="O889" s="12">
        <v>60.0</v>
      </c>
      <c r="P889" s="12">
        <v>60.0</v>
      </c>
      <c r="Q889" s="12">
        <v>60.0</v>
      </c>
      <c r="R889" s="12">
        <v>60.0</v>
      </c>
      <c r="S889" s="12">
        <v>60.0</v>
      </c>
      <c r="T889" s="12">
        <v>60.0</v>
      </c>
      <c r="U889" s="12">
        <v>60.0</v>
      </c>
      <c r="V889" s="12">
        <v>60.0</v>
      </c>
      <c r="W889" s="12">
        <v>60.0</v>
      </c>
      <c r="X889" s="12">
        <v>60.0</v>
      </c>
      <c r="Y889" s="12">
        <v>60.0</v>
      </c>
      <c r="Z889" s="12">
        <v>60.0</v>
      </c>
      <c r="AA889" s="12">
        <v>60.0</v>
      </c>
      <c r="AB889" s="12">
        <v>60.0</v>
      </c>
      <c r="AC889" s="12">
        <v>60.0</v>
      </c>
      <c r="AD889" s="12">
        <v>60.0</v>
      </c>
      <c r="AE889" s="12">
        <v>60.0</v>
      </c>
      <c r="AF889" s="36"/>
      <c r="AG889" s="36"/>
      <c r="AH889" s="36"/>
      <c r="AI889" s="36"/>
      <c r="AJ889" s="36"/>
    </row>
    <row r="890" ht="15.75" customHeight="1">
      <c r="A890" s="12" t="s">
        <v>218</v>
      </c>
      <c r="B890" s="121">
        <v>0.0</v>
      </c>
      <c r="C890" s="121">
        <v>0.0</v>
      </c>
      <c r="D890" s="121">
        <v>0.0</v>
      </c>
      <c r="E890" s="121">
        <v>0.0</v>
      </c>
      <c r="F890" s="121">
        <v>0.0</v>
      </c>
      <c r="G890" s="121">
        <v>0.0</v>
      </c>
      <c r="H890" s="121">
        <v>0.0</v>
      </c>
      <c r="I890" s="121">
        <v>0.0</v>
      </c>
      <c r="J890" s="121">
        <v>0.0</v>
      </c>
      <c r="K890" s="121">
        <v>0.0</v>
      </c>
      <c r="L890" s="121">
        <v>0.0</v>
      </c>
      <c r="M890" s="121">
        <v>0.0</v>
      </c>
      <c r="N890" s="121">
        <v>0.0</v>
      </c>
      <c r="O890" s="121">
        <v>0.0</v>
      </c>
      <c r="P890" s="121">
        <v>0.0</v>
      </c>
      <c r="Q890" s="121">
        <v>0.0</v>
      </c>
      <c r="R890" s="121">
        <v>0.0</v>
      </c>
      <c r="S890" s="121">
        <v>0.0</v>
      </c>
      <c r="T890" s="121">
        <v>0.0</v>
      </c>
      <c r="U890" s="121">
        <v>0.0</v>
      </c>
      <c r="V890" s="121">
        <v>0.0</v>
      </c>
      <c r="W890" s="121">
        <v>0.0</v>
      </c>
      <c r="X890" s="121">
        <v>0.0</v>
      </c>
      <c r="Y890" s="121">
        <v>0.0</v>
      </c>
      <c r="Z890" s="121">
        <v>0.0</v>
      </c>
      <c r="AA890" s="121">
        <v>0.0</v>
      </c>
      <c r="AB890" s="121">
        <v>0.0</v>
      </c>
      <c r="AC890" s="121">
        <v>0.0</v>
      </c>
      <c r="AD890" s="121">
        <v>0.0</v>
      </c>
      <c r="AE890" s="121">
        <v>0.0</v>
      </c>
      <c r="AF890" s="36"/>
      <c r="AG890" s="36"/>
      <c r="AH890" s="36"/>
      <c r="AI890" s="36"/>
      <c r="AJ890" s="36"/>
    </row>
    <row r="891" ht="15.75" customHeight="1">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c r="AA891" s="36"/>
      <c r="AB891" s="36"/>
      <c r="AC891" s="36"/>
      <c r="AD891" s="36"/>
      <c r="AE891" s="36"/>
      <c r="AF891" s="36"/>
      <c r="AG891" s="36"/>
      <c r="AH891" s="36"/>
      <c r="AI891" s="36"/>
      <c r="AJ891" s="36"/>
    </row>
    <row r="892" ht="15.75" customHeight="1">
      <c r="A892" s="380" t="s">
        <v>1181</v>
      </c>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c r="AA892" s="36"/>
      <c r="AB892" s="36"/>
      <c r="AC892" s="36"/>
      <c r="AD892" s="36"/>
      <c r="AE892" s="36"/>
      <c r="AF892" s="36"/>
      <c r="AG892" s="36"/>
      <c r="AH892" s="36"/>
      <c r="AI892" s="36"/>
      <c r="AJ892" s="36"/>
    </row>
    <row r="893" ht="15.75" customHeight="1">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c r="AA893" s="36"/>
      <c r="AB893" s="36"/>
      <c r="AC893" s="36"/>
      <c r="AD893" s="36"/>
      <c r="AE893" s="36"/>
      <c r="AF893" s="36"/>
      <c r="AG893" s="36"/>
      <c r="AH893" s="36"/>
      <c r="AI893" s="36"/>
      <c r="AJ893" s="36"/>
    </row>
    <row r="894" ht="15.75" customHeight="1">
      <c r="A894" s="36" t="s">
        <v>215</v>
      </c>
      <c r="B894" s="36">
        <v>1.0</v>
      </c>
      <c r="C894" s="36">
        <v>2.0</v>
      </c>
      <c r="D894" s="36">
        <v>3.0</v>
      </c>
      <c r="E894" s="36">
        <v>4.0</v>
      </c>
      <c r="F894" s="36">
        <v>5.0</v>
      </c>
      <c r="G894" s="36">
        <v>6.0</v>
      </c>
      <c r="H894" s="36">
        <v>7.0</v>
      </c>
      <c r="I894" s="36">
        <v>8.0</v>
      </c>
      <c r="J894" s="36">
        <v>9.0</v>
      </c>
      <c r="K894" s="36">
        <v>10.0</v>
      </c>
      <c r="L894" s="36">
        <v>11.0</v>
      </c>
      <c r="M894" s="36">
        <v>12.0</v>
      </c>
      <c r="N894" s="36">
        <v>13.0</v>
      </c>
      <c r="O894" s="36">
        <v>14.0</v>
      </c>
      <c r="P894" s="36">
        <v>15.0</v>
      </c>
      <c r="Q894" s="36">
        <v>16.0</v>
      </c>
      <c r="R894" s="36">
        <v>17.0</v>
      </c>
      <c r="S894" s="36">
        <v>18.0</v>
      </c>
      <c r="T894" s="36">
        <v>19.0</v>
      </c>
      <c r="U894" s="36">
        <v>20.0</v>
      </c>
      <c r="V894" s="36">
        <v>21.0</v>
      </c>
      <c r="W894" s="36">
        <v>22.0</v>
      </c>
      <c r="X894" s="36">
        <v>23.0</v>
      </c>
      <c r="Y894" s="36">
        <v>24.0</v>
      </c>
      <c r="Z894" s="36">
        <v>25.0</v>
      </c>
      <c r="AA894" s="36">
        <v>26.0</v>
      </c>
      <c r="AB894" s="36">
        <v>27.0</v>
      </c>
      <c r="AC894" s="36">
        <v>28.0</v>
      </c>
      <c r="AD894" s="36">
        <v>29.0</v>
      </c>
      <c r="AE894" s="36">
        <v>30.0</v>
      </c>
      <c r="AF894" s="36"/>
      <c r="AG894" s="36"/>
      <c r="AH894" s="36"/>
      <c r="AI894" s="36"/>
      <c r="AJ894" s="36"/>
    </row>
    <row r="895" ht="15.75" customHeight="1">
      <c r="A895" s="12" t="s">
        <v>217</v>
      </c>
      <c r="B895" s="12">
        <v>40.0</v>
      </c>
      <c r="C895" s="12">
        <v>40.0</v>
      </c>
      <c r="D895" s="12">
        <v>40.0</v>
      </c>
      <c r="E895" s="12">
        <v>40.0</v>
      </c>
      <c r="F895" s="12">
        <v>40.0</v>
      </c>
      <c r="G895" s="12">
        <v>40.0</v>
      </c>
      <c r="H895" s="12">
        <v>40.0</v>
      </c>
      <c r="I895" s="12">
        <v>40.0</v>
      </c>
      <c r="J895" s="12">
        <v>40.0</v>
      </c>
      <c r="K895" s="12">
        <v>40.0</v>
      </c>
      <c r="L895" s="12">
        <v>40.0</v>
      </c>
      <c r="M895" s="12">
        <v>40.0</v>
      </c>
      <c r="N895" s="12">
        <v>40.0</v>
      </c>
      <c r="O895" s="12">
        <v>40.0</v>
      </c>
      <c r="P895" s="12">
        <v>40.0</v>
      </c>
      <c r="Q895" s="12">
        <v>40.0</v>
      </c>
      <c r="R895" s="12">
        <v>40.0</v>
      </c>
      <c r="S895" s="12">
        <v>40.0</v>
      </c>
      <c r="T895" s="12">
        <v>40.0</v>
      </c>
      <c r="U895" s="12">
        <v>40.0</v>
      </c>
      <c r="V895" s="12">
        <v>40.0</v>
      </c>
      <c r="W895" s="12">
        <v>40.0</v>
      </c>
      <c r="X895" s="12">
        <v>40.0</v>
      </c>
      <c r="Y895" s="12">
        <v>40.0</v>
      </c>
      <c r="Z895" s="12">
        <v>40.0</v>
      </c>
      <c r="AA895" s="12">
        <v>40.0</v>
      </c>
      <c r="AB895" s="12">
        <v>40.0</v>
      </c>
      <c r="AC895" s="12">
        <v>40.0</v>
      </c>
      <c r="AD895" s="12">
        <v>40.0</v>
      </c>
      <c r="AE895" s="12">
        <v>40.0</v>
      </c>
      <c r="AF895" s="36"/>
      <c r="AG895" s="36"/>
      <c r="AH895" s="36"/>
      <c r="AI895" s="36"/>
      <c r="AJ895" s="36"/>
    </row>
    <row r="896" ht="15.75" customHeight="1">
      <c r="A896" s="12" t="s">
        <v>218</v>
      </c>
      <c r="B896" s="121">
        <v>0.0</v>
      </c>
      <c r="C896" s="121">
        <v>0.0</v>
      </c>
      <c r="D896" s="121">
        <v>0.0</v>
      </c>
      <c r="E896" s="121">
        <v>0.0</v>
      </c>
      <c r="F896" s="121">
        <v>0.0</v>
      </c>
      <c r="G896" s="121">
        <v>0.0</v>
      </c>
      <c r="H896" s="121">
        <v>0.0</v>
      </c>
      <c r="I896" s="121">
        <v>0.0</v>
      </c>
      <c r="J896" s="121">
        <v>0.0</v>
      </c>
      <c r="K896" s="121">
        <v>0.0</v>
      </c>
      <c r="L896" s="121">
        <v>0.0</v>
      </c>
      <c r="M896" s="121">
        <v>0.0</v>
      </c>
      <c r="N896" s="121">
        <v>0.0</v>
      </c>
      <c r="O896" s="121">
        <v>0.0</v>
      </c>
      <c r="P896" s="121">
        <v>0.0</v>
      </c>
      <c r="Q896" s="121">
        <v>0.0</v>
      </c>
      <c r="R896" s="121">
        <v>0.0</v>
      </c>
      <c r="S896" s="121">
        <v>0.0</v>
      </c>
      <c r="T896" s="121">
        <v>0.0</v>
      </c>
      <c r="U896" s="121">
        <v>0.0</v>
      </c>
      <c r="V896" s="121">
        <v>0.0</v>
      </c>
      <c r="W896" s="121">
        <v>0.0</v>
      </c>
      <c r="X896" s="121">
        <v>0.0</v>
      </c>
      <c r="Y896" s="121">
        <v>0.0</v>
      </c>
      <c r="Z896" s="121">
        <v>0.0</v>
      </c>
      <c r="AA896" s="121">
        <v>0.0</v>
      </c>
      <c r="AB896" s="121">
        <v>0.0</v>
      </c>
      <c r="AC896" s="121">
        <v>0.0</v>
      </c>
      <c r="AD896" s="121">
        <v>0.0</v>
      </c>
      <c r="AE896" s="121">
        <v>0.0</v>
      </c>
      <c r="AF896" s="36"/>
      <c r="AG896" s="36"/>
      <c r="AH896" s="36"/>
      <c r="AI896" s="36"/>
      <c r="AJ896" s="36"/>
    </row>
    <row r="897" ht="15.75" customHeight="1">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c r="AA897" s="36"/>
      <c r="AB897" s="36"/>
      <c r="AC897" s="36"/>
      <c r="AD897" s="36"/>
      <c r="AE897" s="36"/>
      <c r="AF897" s="36"/>
      <c r="AG897" s="36"/>
      <c r="AH897" s="36"/>
      <c r="AI897" s="36"/>
      <c r="AJ897" s="36"/>
    </row>
    <row r="898" ht="15.75" customHeight="1">
      <c r="A898" s="380" t="s">
        <v>1185</v>
      </c>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c r="AA898" s="36"/>
      <c r="AB898" s="36"/>
      <c r="AC898" s="36"/>
      <c r="AD898" s="36"/>
      <c r="AE898" s="36"/>
      <c r="AF898" s="36"/>
      <c r="AG898" s="36"/>
      <c r="AH898" s="36"/>
      <c r="AI898" s="36"/>
      <c r="AJ898" s="36"/>
    </row>
    <row r="899" ht="15.75" customHeight="1">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c r="AA899" s="36"/>
      <c r="AB899" s="36"/>
      <c r="AC899" s="36"/>
      <c r="AD899" s="36"/>
      <c r="AE899" s="36"/>
      <c r="AF899" s="36"/>
      <c r="AG899" s="36"/>
      <c r="AH899" s="36"/>
      <c r="AI899" s="36"/>
      <c r="AJ899" s="36"/>
    </row>
    <row r="900" ht="15.75" customHeight="1">
      <c r="A900" s="36" t="s">
        <v>215</v>
      </c>
      <c r="B900" s="36">
        <v>1.0</v>
      </c>
      <c r="C900" s="36">
        <v>2.0</v>
      </c>
      <c r="D900" s="36">
        <v>3.0</v>
      </c>
      <c r="E900" s="36">
        <v>4.0</v>
      </c>
      <c r="F900" s="36">
        <v>5.0</v>
      </c>
      <c r="G900" s="36">
        <v>6.0</v>
      </c>
      <c r="H900" s="36">
        <v>7.0</v>
      </c>
      <c r="I900" s="36">
        <v>8.0</v>
      </c>
      <c r="J900" s="36">
        <v>9.0</v>
      </c>
      <c r="K900" s="36">
        <v>10.0</v>
      </c>
      <c r="L900" s="36">
        <v>11.0</v>
      </c>
      <c r="M900" s="36">
        <v>12.0</v>
      </c>
      <c r="N900" s="36">
        <v>13.0</v>
      </c>
      <c r="O900" s="36">
        <v>14.0</v>
      </c>
      <c r="P900" s="36">
        <v>15.0</v>
      </c>
      <c r="Q900" s="36">
        <v>16.0</v>
      </c>
      <c r="R900" s="36">
        <v>17.0</v>
      </c>
      <c r="S900" s="36">
        <v>18.0</v>
      </c>
      <c r="T900" s="36">
        <v>19.0</v>
      </c>
      <c r="U900" s="36">
        <v>20.0</v>
      </c>
      <c r="V900" s="36">
        <v>21.0</v>
      </c>
      <c r="W900" s="36">
        <v>22.0</v>
      </c>
      <c r="X900" s="36">
        <v>23.0</v>
      </c>
      <c r="Y900" s="36">
        <v>24.0</v>
      </c>
      <c r="Z900" s="36">
        <v>25.0</v>
      </c>
      <c r="AA900" s="36">
        <v>26.0</v>
      </c>
      <c r="AB900" s="36">
        <v>27.0</v>
      </c>
      <c r="AC900" s="36">
        <v>28.0</v>
      </c>
      <c r="AD900" s="36">
        <v>29.0</v>
      </c>
      <c r="AE900" s="36">
        <v>30.0</v>
      </c>
      <c r="AF900" s="36"/>
      <c r="AG900" s="36"/>
      <c r="AH900" s="36"/>
      <c r="AI900" s="36"/>
      <c r="AJ900" s="36"/>
    </row>
    <row r="901" ht="15.75" customHeight="1">
      <c r="A901" s="12" t="s">
        <v>217</v>
      </c>
      <c r="B901" s="12">
        <v>40.0</v>
      </c>
      <c r="C901" s="12">
        <v>40.0</v>
      </c>
      <c r="D901" s="12">
        <v>40.0</v>
      </c>
      <c r="E901" s="12">
        <v>40.0</v>
      </c>
      <c r="F901" s="12">
        <v>40.0</v>
      </c>
      <c r="G901" s="12">
        <v>40.0</v>
      </c>
      <c r="H901" s="12">
        <v>40.0</v>
      </c>
      <c r="I901" s="12">
        <v>40.0</v>
      </c>
      <c r="J901" s="12">
        <v>40.0</v>
      </c>
      <c r="K901" s="12">
        <v>40.0</v>
      </c>
      <c r="L901" s="12">
        <v>40.0</v>
      </c>
      <c r="M901" s="12">
        <v>40.0</v>
      </c>
      <c r="N901" s="12">
        <v>40.0</v>
      </c>
      <c r="O901" s="12">
        <v>40.0</v>
      </c>
      <c r="P901" s="12">
        <v>40.0</v>
      </c>
      <c r="Q901" s="12">
        <v>40.0</v>
      </c>
      <c r="R901" s="12">
        <v>40.0</v>
      </c>
      <c r="S901" s="12">
        <v>40.0</v>
      </c>
      <c r="T901" s="12">
        <v>40.0</v>
      </c>
      <c r="U901" s="12">
        <v>40.0</v>
      </c>
      <c r="V901" s="12">
        <v>40.0</v>
      </c>
      <c r="W901" s="12">
        <v>40.0</v>
      </c>
      <c r="X901" s="12">
        <v>40.0</v>
      </c>
      <c r="Y901" s="12">
        <v>40.0</v>
      </c>
      <c r="Z901" s="12">
        <v>40.0</v>
      </c>
      <c r="AA901" s="12">
        <v>40.0</v>
      </c>
      <c r="AB901" s="12">
        <v>40.0</v>
      </c>
      <c r="AC901" s="12">
        <v>40.0</v>
      </c>
      <c r="AD901" s="12">
        <v>40.0</v>
      </c>
      <c r="AE901" s="12">
        <v>40.0</v>
      </c>
      <c r="AF901" s="36"/>
      <c r="AG901" s="36"/>
      <c r="AH901" s="36"/>
      <c r="AI901" s="36"/>
      <c r="AJ901" s="36"/>
    </row>
    <row r="902" ht="15.75" customHeight="1">
      <c r="A902" s="12" t="s">
        <v>218</v>
      </c>
      <c r="B902" s="121">
        <v>0.0</v>
      </c>
      <c r="C902" s="121">
        <v>0.0</v>
      </c>
      <c r="D902" s="121">
        <v>0.0</v>
      </c>
      <c r="E902" s="121">
        <v>0.0</v>
      </c>
      <c r="F902" s="121">
        <v>0.0</v>
      </c>
      <c r="G902" s="121">
        <v>0.0</v>
      </c>
      <c r="H902" s="121">
        <v>0.0</v>
      </c>
      <c r="I902" s="121">
        <v>0.0</v>
      </c>
      <c r="J902" s="121">
        <v>0.0</v>
      </c>
      <c r="K902" s="121">
        <v>0.0</v>
      </c>
      <c r="L902" s="121">
        <v>0.0</v>
      </c>
      <c r="M902" s="121">
        <v>0.0</v>
      </c>
      <c r="N902" s="121">
        <v>0.0</v>
      </c>
      <c r="O902" s="121">
        <v>0.0</v>
      </c>
      <c r="P902" s="121">
        <v>0.0</v>
      </c>
      <c r="Q902" s="121">
        <v>0.0</v>
      </c>
      <c r="R902" s="121">
        <v>0.0</v>
      </c>
      <c r="S902" s="121">
        <v>0.0</v>
      </c>
      <c r="T902" s="121">
        <v>0.0</v>
      </c>
      <c r="U902" s="121">
        <v>0.0</v>
      </c>
      <c r="V902" s="121">
        <v>0.0</v>
      </c>
      <c r="W902" s="121">
        <v>0.0</v>
      </c>
      <c r="X902" s="121">
        <v>0.0</v>
      </c>
      <c r="Y902" s="121">
        <v>0.0</v>
      </c>
      <c r="Z902" s="121">
        <v>0.0</v>
      </c>
      <c r="AA902" s="121">
        <v>0.0</v>
      </c>
      <c r="AB902" s="121">
        <v>0.0</v>
      </c>
      <c r="AC902" s="121">
        <v>0.0</v>
      </c>
      <c r="AD902" s="121">
        <v>0.0</v>
      </c>
      <c r="AE902" s="121">
        <v>0.0</v>
      </c>
      <c r="AF902" s="36"/>
      <c r="AG902" s="36"/>
      <c r="AH902" s="36"/>
      <c r="AI902" s="36"/>
      <c r="AJ902" s="36"/>
    </row>
    <row r="903" ht="15.75" customHeight="1">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c r="AA903" s="36"/>
      <c r="AB903" s="36"/>
      <c r="AC903" s="36"/>
      <c r="AD903" s="36"/>
      <c r="AE903" s="36"/>
      <c r="AF903" s="36"/>
      <c r="AG903" s="36"/>
      <c r="AH903" s="36"/>
      <c r="AI903" s="36"/>
      <c r="AJ903" s="36"/>
    </row>
    <row r="904" ht="15.75" customHeight="1">
      <c r="A904" s="380" t="s">
        <v>1197</v>
      </c>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c r="AA904" s="36"/>
      <c r="AB904" s="36"/>
      <c r="AC904" s="36"/>
      <c r="AD904" s="36"/>
      <c r="AE904" s="36"/>
      <c r="AF904" s="36"/>
      <c r="AG904" s="36"/>
      <c r="AH904" s="36"/>
      <c r="AI904" s="36"/>
      <c r="AJ904" s="36"/>
    </row>
    <row r="905" ht="15.75" customHeight="1">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c r="AA905" s="36"/>
      <c r="AB905" s="36"/>
      <c r="AC905" s="36"/>
      <c r="AD905" s="36"/>
      <c r="AE905" s="36"/>
      <c r="AF905" s="36"/>
      <c r="AG905" s="36"/>
      <c r="AH905" s="36"/>
      <c r="AI905" s="36"/>
      <c r="AJ905" s="36"/>
    </row>
    <row r="906" ht="15.75" customHeight="1">
      <c r="A906" s="36" t="s">
        <v>215</v>
      </c>
      <c r="B906" s="36">
        <v>1.0</v>
      </c>
      <c r="C906" s="36">
        <v>2.0</v>
      </c>
      <c r="D906" s="36">
        <v>3.0</v>
      </c>
      <c r="E906" s="36">
        <v>4.0</v>
      </c>
      <c r="F906" s="36">
        <v>5.0</v>
      </c>
      <c r="G906" s="36">
        <v>6.0</v>
      </c>
      <c r="H906" s="36">
        <v>7.0</v>
      </c>
      <c r="I906" s="36">
        <v>8.0</v>
      </c>
      <c r="J906" s="36">
        <v>9.0</v>
      </c>
      <c r="K906" s="36">
        <v>10.0</v>
      </c>
      <c r="L906" s="36">
        <v>11.0</v>
      </c>
      <c r="M906" s="36">
        <v>12.0</v>
      </c>
      <c r="N906" s="36">
        <v>13.0</v>
      </c>
      <c r="O906" s="36">
        <v>14.0</v>
      </c>
      <c r="P906" s="36">
        <v>15.0</v>
      </c>
      <c r="Q906" s="36">
        <v>16.0</v>
      </c>
      <c r="R906" s="36">
        <v>17.0</v>
      </c>
      <c r="S906" s="36">
        <v>18.0</v>
      </c>
      <c r="T906" s="36">
        <v>19.0</v>
      </c>
      <c r="U906" s="36">
        <v>20.0</v>
      </c>
      <c r="V906" s="36">
        <v>21.0</v>
      </c>
      <c r="W906" s="36">
        <v>22.0</v>
      </c>
      <c r="X906" s="36">
        <v>23.0</v>
      </c>
      <c r="Y906" s="36">
        <v>24.0</v>
      </c>
      <c r="Z906" s="36">
        <v>25.0</v>
      </c>
      <c r="AA906" s="36">
        <v>26.0</v>
      </c>
      <c r="AB906" s="36">
        <v>27.0</v>
      </c>
      <c r="AC906" s="36">
        <v>28.0</v>
      </c>
      <c r="AD906" s="36">
        <v>29.0</v>
      </c>
      <c r="AE906" s="36">
        <v>30.0</v>
      </c>
      <c r="AF906" s="36"/>
      <c r="AG906" s="36"/>
      <c r="AH906" s="36"/>
      <c r="AI906" s="36"/>
      <c r="AJ906" s="36"/>
    </row>
    <row r="907" ht="15.75" customHeight="1">
      <c r="A907" s="12" t="s">
        <v>217</v>
      </c>
      <c r="B907" s="12">
        <v>60.0</v>
      </c>
      <c r="C907" s="12">
        <v>60.0</v>
      </c>
      <c r="D907" s="12">
        <v>60.0</v>
      </c>
      <c r="E907" s="12">
        <v>60.0</v>
      </c>
      <c r="F907" s="12">
        <v>60.0</v>
      </c>
      <c r="G907" s="12">
        <v>60.0</v>
      </c>
      <c r="H907" s="12">
        <v>60.0</v>
      </c>
      <c r="I907" s="12">
        <v>60.0</v>
      </c>
      <c r="J907" s="12">
        <v>60.0</v>
      </c>
      <c r="K907" s="12">
        <v>60.0</v>
      </c>
      <c r="L907" s="12">
        <v>60.0</v>
      </c>
      <c r="M907" s="12">
        <v>60.0</v>
      </c>
      <c r="N907" s="12">
        <v>60.0</v>
      </c>
      <c r="O907" s="12">
        <v>60.0</v>
      </c>
      <c r="P907" s="12">
        <v>60.0</v>
      </c>
      <c r="Q907" s="12">
        <v>60.0</v>
      </c>
      <c r="R907" s="12">
        <v>60.0</v>
      </c>
      <c r="S907" s="12">
        <v>60.0</v>
      </c>
      <c r="T907" s="12">
        <v>60.0</v>
      </c>
      <c r="U907" s="12">
        <v>60.0</v>
      </c>
      <c r="V907" s="12">
        <v>60.0</v>
      </c>
      <c r="W907" s="12">
        <v>60.0</v>
      </c>
      <c r="X907" s="12">
        <v>60.0</v>
      </c>
      <c r="Y907" s="12">
        <v>60.0</v>
      </c>
      <c r="Z907" s="12">
        <v>60.0</v>
      </c>
      <c r="AA907" s="12">
        <v>60.0</v>
      </c>
      <c r="AB907" s="12">
        <v>60.0</v>
      </c>
      <c r="AC907" s="12">
        <v>60.0</v>
      </c>
      <c r="AD907" s="12">
        <v>60.0</v>
      </c>
      <c r="AE907" s="12">
        <v>60.0</v>
      </c>
      <c r="AF907" s="36"/>
      <c r="AG907" s="36"/>
      <c r="AH907" s="36"/>
      <c r="AI907" s="36"/>
      <c r="AJ907" s="36"/>
    </row>
    <row r="908" ht="15.75" customHeight="1">
      <c r="A908" s="12" t="s">
        <v>218</v>
      </c>
      <c r="B908" s="121">
        <v>0.0</v>
      </c>
      <c r="C908" s="121">
        <v>0.0</v>
      </c>
      <c r="D908" s="121">
        <v>0.0</v>
      </c>
      <c r="E908" s="121">
        <v>0.0</v>
      </c>
      <c r="F908" s="121">
        <v>0.0</v>
      </c>
      <c r="G908" s="121">
        <v>0.0</v>
      </c>
      <c r="H908" s="121">
        <v>0.0</v>
      </c>
      <c r="I908" s="121">
        <v>0.0</v>
      </c>
      <c r="J908" s="121">
        <v>0.0</v>
      </c>
      <c r="K908" s="121">
        <v>0.0</v>
      </c>
      <c r="L908" s="121">
        <v>0.0</v>
      </c>
      <c r="M908" s="121">
        <v>0.0</v>
      </c>
      <c r="N908" s="121">
        <v>0.0</v>
      </c>
      <c r="O908" s="121">
        <v>0.0</v>
      </c>
      <c r="P908" s="121">
        <v>0.0</v>
      </c>
      <c r="Q908" s="121">
        <v>0.0</v>
      </c>
      <c r="R908" s="121">
        <v>0.0</v>
      </c>
      <c r="S908" s="121">
        <v>0.0</v>
      </c>
      <c r="T908" s="121">
        <v>0.0</v>
      </c>
      <c r="U908" s="121">
        <v>0.0</v>
      </c>
      <c r="V908" s="121">
        <v>0.0</v>
      </c>
      <c r="W908" s="121">
        <v>0.0</v>
      </c>
      <c r="X908" s="121">
        <v>0.0</v>
      </c>
      <c r="Y908" s="121">
        <v>0.0</v>
      </c>
      <c r="Z908" s="121">
        <v>0.0</v>
      </c>
      <c r="AA908" s="121">
        <v>0.0</v>
      </c>
      <c r="AB908" s="121">
        <v>0.0</v>
      </c>
      <c r="AC908" s="121">
        <v>0.0</v>
      </c>
      <c r="AD908" s="121">
        <v>0.0</v>
      </c>
      <c r="AE908" s="121">
        <v>0.0</v>
      </c>
      <c r="AF908" s="36"/>
      <c r="AG908" s="36"/>
      <c r="AH908" s="36"/>
      <c r="AI908" s="36"/>
      <c r="AJ908" s="36"/>
    </row>
    <row r="909" ht="15.75" customHeight="1">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c r="AA909" s="36"/>
      <c r="AB909" s="36"/>
      <c r="AC909" s="36"/>
      <c r="AD909" s="36"/>
      <c r="AE909" s="36"/>
      <c r="AF909" s="36"/>
      <c r="AG909" s="36"/>
      <c r="AH909" s="36"/>
      <c r="AI909" s="36"/>
      <c r="AJ909" s="36"/>
    </row>
    <row r="910" ht="15.75" customHeight="1">
      <c r="A910" s="382" t="s">
        <v>948</v>
      </c>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c r="AA910" s="36"/>
      <c r="AB910" s="36"/>
      <c r="AC910" s="36"/>
      <c r="AD910" s="36"/>
      <c r="AE910" s="36"/>
      <c r="AF910" s="36"/>
      <c r="AG910" s="36"/>
      <c r="AH910" s="36"/>
      <c r="AI910" s="36"/>
      <c r="AJ910" s="36"/>
    </row>
    <row r="911" ht="15.75" customHeight="1">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c r="AA911" s="36"/>
      <c r="AB911" s="36"/>
      <c r="AC911" s="36"/>
      <c r="AD911" s="36"/>
      <c r="AE911" s="36"/>
      <c r="AF911" s="36"/>
      <c r="AG911" s="36"/>
      <c r="AH911" s="36"/>
      <c r="AI911" s="36"/>
      <c r="AJ911" s="36"/>
    </row>
    <row r="912" ht="13.5" customHeight="1">
      <c r="A912" s="36" t="s">
        <v>1956</v>
      </c>
      <c r="B912" s="36">
        <v>1.0</v>
      </c>
      <c r="C912" s="36">
        <v>2.0</v>
      </c>
      <c r="D912" s="36">
        <v>3.0</v>
      </c>
      <c r="E912" s="36">
        <v>4.0</v>
      </c>
      <c r="F912" s="36">
        <v>5.0</v>
      </c>
      <c r="G912" s="36">
        <v>6.0</v>
      </c>
      <c r="H912" s="36">
        <v>7.0</v>
      </c>
      <c r="I912" s="36">
        <v>8.0</v>
      </c>
      <c r="J912" s="36">
        <v>9.0</v>
      </c>
      <c r="K912" s="36">
        <v>10.0</v>
      </c>
      <c r="L912" s="36">
        <v>11.0</v>
      </c>
      <c r="M912" s="36">
        <v>12.0</v>
      </c>
      <c r="N912" s="36">
        <v>13.0</v>
      </c>
      <c r="O912" s="36">
        <v>14.0</v>
      </c>
      <c r="P912" s="36">
        <v>15.0</v>
      </c>
      <c r="Q912" s="36">
        <v>16.0</v>
      </c>
      <c r="R912" s="36">
        <v>17.0</v>
      </c>
      <c r="S912" s="36">
        <v>18.0</v>
      </c>
      <c r="T912" s="36">
        <v>19.0</v>
      </c>
      <c r="U912" s="36">
        <v>20.0</v>
      </c>
      <c r="V912" s="36">
        <v>21.0</v>
      </c>
      <c r="W912" s="36">
        <v>22.0</v>
      </c>
      <c r="X912" s="36">
        <v>23.0</v>
      </c>
      <c r="Y912" s="36">
        <v>24.0</v>
      </c>
      <c r="Z912" s="36">
        <v>25.0</v>
      </c>
      <c r="AA912" s="36">
        <v>26.0</v>
      </c>
      <c r="AB912" s="36">
        <v>27.0</v>
      </c>
      <c r="AC912" s="36">
        <v>28.0</v>
      </c>
      <c r="AD912" s="36">
        <v>29.0</v>
      </c>
      <c r="AE912" s="36">
        <v>30.0</v>
      </c>
      <c r="AF912" s="36"/>
      <c r="AG912" s="36"/>
      <c r="AH912" s="36"/>
      <c r="AI912" s="36"/>
      <c r="AJ912" s="36"/>
    </row>
    <row r="913" ht="15.75" customHeight="1">
      <c r="A913" s="12">
        <v>12000.0</v>
      </c>
      <c r="B913" s="194">
        <v>0.3</v>
      </c>
      <c r="C913" s="194">
        <v>0.06</v>
      </c>
      <c r="D913" s="194">
        <v>0.06</v>
      </c>
      <c r="E913" s="194">
        <v>0.06</v>
      </c>
      <c r="F913" s="194">
        <v>0.06</v>
      </c>
      <c r="G913" s="194">
        <v>0.06</v>
      </c>
      <c r="H913" s="194">
        <v>0.06</v>
      </c>
      <c r="I913" s="194">
        <v>0.06</v>
      </c>
      <c r="J913" s="194">
        <v>0.06</v>
      </c>
      <c r="K913" s="194">
        <v>0.06</v>
      </c>
      <c r="L913" s="194">
        <v>0.06</v>
      </c>
      <c r="M913" s="194">
        <v>0.06</v>
      </c>
      <c r="N913" s="194">
        <v>0.06</v>
      </c>
      <c r="O913" s="194">
        <v>0.06</v>
      </c>
      <c r="P913" s="194">
        <v>0.06</v>
      </c>
      <c r="Q913" s="194">
        <v>0.06</v>
      </c>
      <c r="R913" s="194">
        <v>0.06</v>
      </c>
      <c r="S913" s="194">
        <v>0.06</v>
      </c>
      <c r="T913" s="194">
        <v>0.06</v>
      </c>
      <c r="U913" s="194">
        <v>0.06</v>
      </c>
      <c r="V913" s="194">
        <v>0.06</v>
      </c>
      <c r="W913" s="194">
        <v>0.06</v>
      </c>
      <c r="X913" s="194">
        <v>0.06</v>
      </c>
      <c r="Y913" s="194">
        <v>0.06</v>
      </c>
      <c r="Z913" s="194">
        <v>0.06</v>
      </c>
      <c r="AA913" s="194">
        <v>0.06</v>
      </c>
      <c r="AB913" s="194">
        <v>0.06</v>
      </c>
      <c r="AC913" s="194">
        <v>0.06</v>
      </c>
      <c r="AD913" s="194">
        <v>0.06</v>
      </c>
      <c r="AE913" s="194">
        <v>0.06</v>
      </c>
      <c r="AF913" s="36"/>
      <c r="AG913" s="36"/>
      <c r="AH913" s="36"/>
      <c r="AI913" s="36"/>
      <c r="AJ913" s="36"/>
    </row>
    <row r="914" ht="15.75" customHeight="1">
      <c r="A914" s="12">
        <v>25000.0</v>
      </c>
      <c r="B914" s="194">
        <v>0.25</v>
      </c>
      <c r="C914" s="194">
        <v>0.035</v>
      </c>
      <c r="D914" s="194">
        <v>0.035</v>
      </c>
      <c r="E914" s="194">
        <v>0.035</v>
      </c>
      <c r="F914" s="194">
        <v>0.035</v>
      </c>
      <c r="G914" s="194">
        <v>0.035</v>
      </c>
      <c r="H914" s="194">
        <v>0.035</v>
      </c>
      <c r="I914" s="194">
        <v>0.035</v>
      </c>
      <c r="J914" s="194">
        <v>0.035</v>
      </c>
      <c r="K914" s="194">
        <v>0.035</v>
      </c>
      <c r="L914" s="194">
        <v>0.035</v>
      </c>
      <c r="M914" s="194">
        <v>0.035</v>
      </c>
      <c r="N914" s="194">
        <v>0.035</v>
      </c>
      <c r="O914" s="194">
        <v>0.035</v>
      </c>
      <c r="P914" s="194">
        <v>0.035</v>
      </c>
      <c r="Q914" s="194">
        <v>0.035</v>
      </c>
      <c r="R914" s="194">
        <v>0.035</v>
      </c>
      <c r="S914" s="194">
        <v>0.035</v>
      </c>
      <c r="T914" s="194">
        <v>0.035</v>
      </c>
      <c r="U914" s="194">
        <v>0.035</v>
      </c>
      <c r="V914" s="194">
        <v>0.035</v>
      </c>
      <c r="W914" s="194">
        <v>0.035</v>
      </c>
      <c r="X914" s="194">
        <v>0.035</v>
      </c>
      <c r="Y914" s="194">
        <v>0.035</v>
      </c>
      <c r="Z914" s="194">
        <v>0.035</v>
      </c>
      <c r="AA914" s="194">
        <v>0.035</v>
      </c>
      <c r="AB914" s="194">
        <v>0.035</v>
      </c>
      <c r="AC914" s="194">
        <v>0.035</v>
      </c>
      <c r="AD914" s="194">
        <v>0.035</v>
      </c>
      <c r="AE914" s="194">
        <v>0.035</v>
      </c>
      <c r="AF914" s="36"/>
      <c r="AG914" s="36"/>
      <c r="AH914" s="36"/>
      <c r="AI914" s="36"/>
      <c r="AJ914" s="36"/>
    </row>
    <row r="915" ht="15.75" customHeight="1">
      <c r="A915" s="12">
        <v>50000.0</v>
      </c>
      <c r="B915" s="194">
        <v>0.2</v>
      </c>
      <c r="C915" s="194">
        <v>0.02</v>
      </c>
      <c r="D915" s="194">
        <v>0.02</v>
      </c>
      <c r="E915" s="194">
        <v>0.02</v>
      </c>
      <c r="F915" s="194">
        <v>0.02</v>
      </c>
      <c r="G915" s="194">
        <v>0.02</v>
      </c>
      <c r="H915" s="194">
        <v>0.02</v>
      </c>
      <c r="I915" s="194">
        <v>0.02</v>
      </c>
      <c r="J915" s="194">
        <v>0.02</v>
      </c>
      <c r="K915" s="194">
        <v>0.02</v>
      </c>
      <c r="L915" s="194">
        <v>0.02</v>
      </c>
      <c r="M915" s="194">
        <v>0.02</v>
      </c>
      <c r="N915" s="194">
        <v>0.02</v>
      </c>
      <c r="O915" s="194">
        <v>0.02</v>
      </c>
      <c r="P915" s="194">
        <v>0.02</v>
      </c>
      <c r="Q915" s="194">
        <v>0.02</v>
      </c>
      <c r="R915" s="194">
        <v>0.02</v>
      </c>
      <c r="S915" s="194">
        <v>0.02</v>
      </c>
      <c r="T915" s="194">
        <v>0.02</v>
      </c>
      <c r="U915" s="194">
        <v>0.02</v>
      </c>
      <c r="V915" s="194">
        <v>0.02</v>
      </c>
      <c r="W915" s="194">
        <v>0.02</v>
      </c>
      <c r="X915" s="194">
        <v>0.02</v>
      </c>
      <c r="Y915" s="194">
        <v>0.02</v>
      </c>
      <c r="Z915" s="194">
        <v>0.02</v>
      </c>
      <c r="AA915" s="194">
        <v>0.02</v>
      </c>
      <c r="AB915" s="194">
        <v>0.02</v>
      </c>
      <c r="AC915" s="194">
        <v>0.02</v>
      </c>
      <c r="AD915" s="194">
        <v>0.02</v>
      </c>
      <c r="AE915" s="194">
        <v>0.02</v>
      </c>
      <c r="AF915" s="36"/>
      <c r="AG915" s="36"/>
      <c r="AH915" s="36"/>
      <c r="AI915" s="36"/>
      <c r="AJ915" s="36"/>
    </row>
    <row r="916" ht="15.75" customHeight="1">
      <c r="A916" s="12">
        <v>100000.0</v>
      </c>
      <c r="B916" s="194">
        <v>0.15</v>
      </c>
      <c r="C916" s="194">
        <v>0.01</v>
      </c>
      <c r="D916" s="194">
        <v>0.01</v>
      </c>
      <c r="E916" s="194">
        <v>0.01</v>
      </c>
      <c r="F916" s="194">
        <v>0.01</v>
      </c>
      <c r="G916" s="194">
        <v>0.01</v>
      </c>
      <c r="H916" s="194">
        <v>0.01</v>
      </c>
      <c r="I916" s="194">
        <v>0.01</v>
      </c>
      <c r="J916" s="194">
        <v>0.01</v>
      </c>
      <c r="K916" s="194">
        <v>0.01</v>
      </c>
      <c r="L916" s="194">
        <v>0.01</v>
      </c>
      <c r="M916" s="194">
        <v>0.01</v>
      </c>
      <c r="N916" s="194">
        <v>0.01</v>
      </c>
      <c r="O916" s="194">
        <v>0.01</v>
      </c>
      <c r="P916" s="194">
        <v>0.01</v>
      </c>
      <c r="Q916" s="194">
        <v>0.01</v>
      </c>
      <c r="R916" s="194">
        <v>0.01</v>
      </c>
      <c r="S916" s="194">
        <v>0.01</v>
      </c>
      <c r="T916" s="194">
        <v>0.01</v>
      </c>
      <c r="U916" s="194">
        <v>0.01</v>
      </c>
      <c r="V916" s="194">
        <v>0.01</v>
      </c>
      <c r="W916" s="194">
        <v>0.01</v>
      </c>
      <c r="X916" s="194">
        <v>0.01</v>
      </c>
      <c r="Y916" s="194">
        <v>0.01</v>
      </c>
      <c r="Z916" s="194">
        <v>0.01</v>
      </c>
      <c r="AA916" s="194">
        <v>0.01</v>
      </c>
      <c r="AB916" s="194">
        <v>0.01</v>
      </c>
      <c r="AC916" s="194">
        <v>0.01</v>
      </c>
      <c r="AD916" s="194">
        <v>0.01</v>
      </c>
      <c r="AE916" s="194">
        <v>0.01</v>
      </c>
      <c r="AF916" s="36"/>
      <c r="AG916" s="36"/>
      <c r="AH916" s="36"/>
      <c r="AI916" s="36"/>
      <c r="AJ916" s="36"/>
    </row>
    <row r="917" ht="15.75" customHeight="1">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c r="AA917" s="36"/>
      <c r="AB917" s="36"/>
      <c r="AC917" s="36"/>
      <c r="AD917" s="36"/>
      <c r="AE917" s="36"/>
      <c r="AF917" s="36"/>
      <c r="AG917" s="36"/>
      <c r="AH917" s="36"/>
      <c r="AI917" s="36"/>
      <c r="AJ917" s="36"/>
    </row>
    <row r="918" ht="15.75" customHeight="1">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c r="AA918" s="36"/>
      <c r="AB918" s="36"/>
      <c r="AC918" s="36"/>
      <c r="AD918" s="36"/>
      <c r="AE918" s="36"/>
      <c r="AF918" s="36"/>
      <c r="AG918" s="36"/>
      <c r="AH918" s="36"/>
      <c r="AI918" s="36"/>
      <c r="AJ918" s="36"/>
    </row>
    <row r="919" ht="15.75" customHeight="1">
      <c r="A919" s="171" t="s">
        <v>1957</v>
      </c>
      <c r="B919" s="171">
        <v>1.0</v>
      </c>
      <c r="C919" s="171">
        <v>2.0</v>
      </c>
      <c r="D919" s="171">
        <v>3.0</v>
      </c>
      <c r="E919" s="171">
        <v>4.0</v>
      </c>
      <c r="F919" s="171">
        <v>5.0</v>
      </c>
      <c r="G919" s="171">
        <v>6.0</v>
      </c>
      <c r="H919" s="171">
        <v>7.0</v>
      </c>
      <c r="I919" s="171">
        <v>8.0</v>
      </c>
      <c r="J919" s="171">
        <v>9.0</v>
      </c>
      <c r="K919" s="171">
        <v>10.0</v>
      </c>
      <c r="L919" s="171">
        <v>11.0</v>
      </c>
      <c r="M919" s="171">
        <v>12.0</v>
      </c>
      <c r="N919" s="171">
        <v>13.0</v>
      </c>
      <c r="O919" s="171">
        <v>14.0</v>
      </c>
      <c r="P919" s="171">
        <v>15.0</v>
      </c>
      <c r="Q919" s="171">
        <v>16.0</v>
      </c>
      <c r="R919" s="171">
        <v>17.0</v>
      </c>
      <c r="S919" s="171">
        <v>18.0</v>
      </c>
      <c r="T919" s="171">
        <v>19.0</v>
      </c>
      <c r="U919" s="171">
        <v>20.0</v>
      </c>
      <c r="V919" s="171">
        <v>21.0</v>
      </c>
      <c r="W919" s="171">
        <v>22.0</v>
      </c>
      <c r="X919" s="171">
        <v>23.0</v>
      </c>
      <c r="Y919" s="171">
        <v>24.0</v>
      </c>
      <c r="Z919" s="171">
        <v>25.0</v>
      </c>
      <c r="AA919" s="171">
        <v>26.0</v>
      </c>
      <c r="AB919" s="171">
        <v>27.0</v>
      </c>
      <c r="AC919" s="171">
        <v>28.0</v>
      </c>
      <c r="AD919" s="171">
        <v>29.0</v>
      </c>
      <c r="AE919" s="171">
        <v>30.0</v>
      </c>
      <c r="AF919" s="36"/>
      <c r="AG919" s="36"/>
      <c r="AH919" s="36"/>
      <c r="AI919" s="36"/>
      <c r="AJ919" s="36"/>
    </row>
    <row r="920" ht="15.75" customHeight="1">
      <c r="A920" s="12" t="s">
        <v>217</v>
      </c>
      <c r="B920" s="12">
        <v>0.0</v>
      </c>
      <c r="C920" s="12">
        <v>0.0</v>
      </c>
      <c r="D920" s="12">
        <v>0.0</v>
      </c>
      <c r="E920" s="12">
        <v>0.0</v>
      </c>
      <c r="F920" s="12">
        <v>0.0</v>
      </c>
      <c r="G920" s="12">
        <v>0.0</v>
      </c>
      <c r="H920" s="12">
        <v>0.0</v>
      </c>
      <c r="I920" s="12">
        <v>0.0</v>
      </c>
      <c r="J920" s="12">
        <v>0.0</v>
      </c>
      <c r="K920" s="12">
        <v>0.0</v>
      </c>
      <c r="L920" s="12">
        <v>0.0</v>
      </c>
      <c r="M920" s="12">
        <v>0.0</v>
      </c>
      <c r="N920" s="12">
        <v>0.0</v>
      </c>
      <c r="O920" s="12">
        <v>0.0</v>
      </c>
      <c r="P920" s="12">
        <v>0.0</v>
      </c>
      <c r="Q920" s="12">
        <v>0.0</v>
      </c>
      <c r="R920" s="12">
        <v>0.0</v>
      </c>
      <c r="S920" s="12">
        <v>0.0</v>
      </c>
      <c r="T920" s="12">
        <v>0.0</v>
      </c>
      <c r="U920" s="12">
        <v>0.0</v>
      </c>
      <c r="V920" s="12">
        <v>0.0</v>
      </c>
      <c r="W920" s="12">
        <v>0.0</v>
      </c>
      <c r="X920" s="12">
        <v>0.0</v>
      </c>
      <c r="Y920" s="12">
        <v>0.0</v>
      </c>
      <c r="Z920" s="12">
        <v>0.0</v>
      </c>
      <c r="AA920" s="12">
        <v>0.0</v>
      </c>
      <c r="AB920" s="12">
        <v>0.0</v>
      </c>
      <c r="AC920" s="12">
        <v>0.0</v>
      </c>
      <c r="AD920" s="12">
        <v>0.0</v>
      </c>
      <c r="AE920" s="12">
        <v>0.0</v>
      </c>
      <c r="AF920" s="36"/>
      <c r="AG920" s="36"/>
      <c r="AH920" s="36"/>
      <c r="AI920" s="36"/>
      <c r="AJ920" s="36"/>
    </row>
    <row r="921" ht="15.75" customHeight="1">
      <c r="A921" s="12" t="s">
        <v>218</v>
      </c>
      <c r="B921" s="171">
        <f t="array" ref="B921">INDEX($A$912:$AE$916,MATCH(Annual_Prem,$A$912:$A$916,1),MATCH(B919,$A$912:$AE$912,0))/12</f>
        <v>0.0125</v>
      </c>
      <c r="C921" s="171">
        <f t="array" ref="C921">INDEX($A$912:$AE$916,MATCH(Annual_Prem,$A$912:$A$916,1),MATCH(C919,$A$912:$AE$912,0))/12</f>
        <v>0.0008333333333</v>
      </c>
      <c r="D921" s="171">
        <f t="array" ref="D921">INDEX($A$912:$AE$916,MATCH(Annual_Prem,$A$912:$A$916,1),MATCH(D919,$A$912:$AE$912,0))/12</f>
        <v>0.0008333333333</v>
      </c>
      <c r="E921" s="171">
        <f t="array" ref="E921">INDEX($A$912:$AE$916,MATCH(Annual_Prem,$A$912:$A$916,1),MATCH(E919,$A$912:$AE$912,0))/12</f>
        <v>0.0008333333333</v>
      </c>
      <c r="F921" s="171">
        <f t="array" ref="F921">INDEX($A$912:$AE$916,MATCH(Annual_Prem,$A$912:$A$916,1),MATCH(F919,$A$912:$AE$912,0))/12</f>
        <v>0.0008333333333</v>
      </c>
      <c r="G921" s="171">
        <f t="array" ref="G921">INDEX($A$912:$AE$916,MATCH(Annual_Prem,$A$912:$A$916,1),MATCH(G919,$A$912:$AE$912,0))/12</f>
        <v>0.0008333333333</v>
      </c>
      <c r="H921" s="171">
        <f t="array" ref="H921">INDEX($A$912:$AE$916,MATCH(Annual_Prem,$A$912:$A$916,1),MATCH(H919,$A$912:$AE$912,0))/12</f>
        <v>0.0008333333333</v>
      </c>
      <c r="I921" s="171">
        <f t="array" ref="I921">INDEX($A$912:$AE$916,MATCH(Annual_Prem,$A$912:$A$916,1),MATCH(I919,$A$912:$AE$912,0))/12</f>
        <v>0.0008333333333</v>
      </c>
      <c r="J921" s="171">
        <f t="array" ref="J921">INDEX($A$912:$AE$916,MATCH(Annual_Prem,$A$912:$A$916,1),MATCH(J919,$A$912:$AE$912,0))/12</f>
        <v>0.0008333333333</v>
      </c>
      <c r="K921" s="171">
        <f t="array" ref="K921">INDEX($A$912:$AE$916,MATCH(Annual_Prem,$A$912:$A$916,1),MATCH(K919,$A$912:$AE$912,0))/12</f>
        <v>0.0008333333333</v>
      </c>
      <c r="L921" s="171">
        <f t="array" ref="L921">INDEX($A$912:$AE$916,MATCH(Annual_Prem,$A$912:$A$916,1),MATCH(L919,$A$912:$AE$912,0))/12</f>
        <v>0.0008333333333</v>
      </c>
      <c r="M921" s="171">
        <f t="array" ref="M921">INDEX($A$912:$AE$916,MATCH(Annual_Prem,$A$912:$A$916,1),MATCH(M919,$A$912:$AE$912,0))/12</f>
        <v>0.0008333333333</v>
      </c>
      <c r="N921" s="171">
        <f t="array" ref="N921">INDEX($A$912:$AE$916,MATCH(Annual_Prem,$A$912:$A$916,1),MATCH(N919,$A$912:$AE$912,0))/12</f>
        <v>0.0008333333333</v>
      </c>
      <c r="O921" s="171">
        <f t="array" ref="O921">INDEX($A$912:$AE$916,MATCH(Annual_Prem,$A$912:$A$916,1),MATCH(O919,$A$912:$AE$912,0))/12</f>
        <v>0.0008333333333</v>
      </c>
      <c r="P921" s="171">
        <f t="array" ref="P921">INDEX($A$912:$AE$916,MATCH(Annual_Prem,$A$912:$A$916,1),MATCH(P919,$A$912:$AE$912,0))/12</f>
        <v>0.0008333333333</v>
      </c>
      <c r="Q921" s="171">
        <f t="array" ref="Q921">INDEX($A$912:$AE$916,MATCH(Annual_Prem,$A$912:$A$916,1),MATCH(Q919,$A$912:$AE$912,0))/12</f>
        <v>0.0008333333333</v>
      </c>
      <c r="R921" s="171">
        <f t="array" ref="R921">INDEX($A$912:$AE$916,MATCH(Annual_Prem,$A$912:$A$916,1),MATCH(R919,$A$912:$AE$912,0))/12</f>
        <v>0.0008333333333</v>
      </c>
      <c r="S921" s="171">
        <f t="array" ref="S921">INDEX($A$912:$AE$916,MATCH(Annual_Prem,$A$912:$A$916,1),MATCH(S919,$A$912:$AE$912,0))/12</f>
        <v>0.0008333333333</v>
      </c>
      <c r="T921" s="171">
        <f t="array" ref="T921">INDEX($A$912:$AE$916,MATCH(Annual_Prem,$A$912:$A$916,1),MATCH(T919,$A$912:$AE$912,0))/12</f>
        <v>0.0008333333333</v>
      </c>
      <c r="U921" s="171">
        <f t="array" ref="U921">INDEX($A$912:$AE$916,MATCH(Annual_Prem,$A$912:$A$916,1),MATCH(U919,$A$912:$AE$912,0))/12</f>
        <v>0.0008333333333</v>
      </c>
      <c r="V921" s="171">
        <f t="array" ref="V921">INDEX($A$912:$AE$916,MATCH(Annual_Prem,$A$912:$A$916,1),MATCH(V919,$A$912:$AE$912,0))/12</f>
        <v>0.0008333333333</v>
      </c>
      <c r="W921" s="171">
        <f t="array" ref="W921">INDEX($A$912:$AE$916,MATCH(Annual_Prem,$A$912:$A$916,1),MATCH(W919,$A$912:$AE$912,0))/12</f>
        <v>0.0008333333333</v>
      </c>
      <c r="X921" s="171">
        <f t="array" ref="X921">INDEX($A$912:$AE$916,MATCH(Annual_Prem,$A$912:$A$916,1),MATCH(X919,$A$912:$AE$912,0))/12</f>
        <v>0.0008333333333</v>
      </c>
      <c r="Y921" s="171">
        <f t="array" ref="Y921">INDEX($A$912:$AE$916,MATCH(Annual_Prem,$A$912:$A$916,1),MATCH(Y919,$A$912:$AE$912,0))/12</f>
        <v>0.0008333333333</v>
      </c>
      <c r="Z921" s="171">
        <f t="array" ref="Z921">INDEX($A$912:$AE$916,MATCH(Annual_Prem,$A$912:$A$916,1),MATCH(Z919,$A$912:$AE$912,0))/12</f>
        <v>0.0008333333333</v>
      </c>
      <c r="AA921" s="171">
        <f t="array" ref="AA921">INDEX($A$912:$AE$916,MATCH(Annual_Prem,$A$912:$A$916,1),MATCH(AA919,$A$912:$AE$912,0))/12</f>
        <v>0.0008333333333</v>
      </c>
      <c r="AB921" s="171">
        <f t="array" ref="AB921">INDEX($A$912:$AE$916,MATCH(Annual_Prem,$A$912:$A$916,1),MATCH(AB919,$A$912:$AE$912,0))/12</f>
        <v>0.0008333333333</v>
      </c>
      <c r="AC921" s="171">
        <f t="array" ref="AC921">INDEX($A$912:$AE$916,MATCH(Annual_Prem,$A$912:$A$916,1),MATCH(AC919,$A$912:$AE$912,0))/12</f>
        <v>0.0008333333333</v>
      </c>
      <c r="AD921" s="171">
        <f t="array" ref="AD921">INDEX($A$912:$AE$916,MATCH(Annual_Prem,$A$912:$A$916,1),MATCH(AD919,$A$912:$AE$912,0))/12</f>
        <v>0.0008333333333</v>
      </c>
      <c r="AE921" s="171">
        <f t="array" ref="AE921">INDEX($A$912:$AE$916,MATCH(Annual_Prem,$A$912:$A$916,1),MATCH(AE919,$A$912:$AE$912,0))/12</f>
        <v>0.0008333333333</v>
      </c>
      <c r="AF921" s="12"/>
      <c r="AG921" s="36"/>
      <c r="AH921" s="36"/>
      <c r="AI921" s="36"/>
      <c r="AJ921" s="36"/>
    </row>
    <row r="922" ht="15.75" customHeight="1">
      <c r="A922" s="380" t="s">
        <v>1088</v>
      </c>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c r="AA922" s="36"/>
      <c r="AB922" s="36"/>
      <c r="AC922" s="36"/>
      <c r="AD922" s="36"/>
      <c r="AE922" s="36"/>
      <c r="AF922" s="36"/>
      <c r="AG922" s="36"/>
      <c r="AH922" s="36"/>
      <c r="AI922" s="36"/>
      <c r="AJ922" s="36"/>
    </row>
    <row r="923" ht="15.75" customHeight="1">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c r="AA923" s="36"/>
      <c r="AB923" s="36"/>
      <c r="AC923" s="36"/>
      <c r="AD923" s="36"/>
      <c r="AE923" s="36"/>
      <c r="AF923" s="36"/>
      <c r="AG923" s="36"/>
      <c r="AH923" s="36"/>
      <c r="AI923" s="36"/>
      <c r="AJ923" s="36"/>
    </row>
    <row r="924" ht="15.75" customHeight="1">
      <c r="A924" s="36" t="s">
        <v>215</v>
      </c>
      <c r="B924" s="36">
        <v>1.0</v>
      </c>
      <c r="C924" s="36">
        <v>2.0</v>
      </c>
      <c r="D924" s="36">
        <v>3.0</v>
      </c>
      <c r="E924" s="36">
        <v>4.0</v>
      </c>
      <c r="F924" s="36">
        <v>5.0</v>
      </c>
      <c r="G924" s="36">
        <v>6.0</v>
      </c>
      <c r="H924" s="36">
        <v>7.0</v>
      </c>
      <c r="I924" s="36">
        <v>8.0</v>
      </c>
      <c r="J924" s="36">
        <v>9.0</v>
      </c>
      <c r="K924" s="36">
        <v>10.0</v>
      </c>
      <c r="L924" s="36">
        <v>11.0</v>
      </c>
      <c r="M924" s="36">
        <v>12.0</v>
      </c>
      <c r="N924" s="36">
        <v>13.0</v>
      </c>
      <c r="O924" s="36">
        <v>14.0</v>
      </c>
      <c r="P924" s="36">
        <v>15.0</v>
      </c>
      <c r="Q924" s="36">
        <v>16.0</v>
      </c>
      <c r="R924" s="36">
        <v>17.0</v>
      </c>
      <c r="S924" s="36">
        <v>18.0</v>
      </c>
      <c r="T924" s="36">
        <v>19.0</v>
      </c>
      <c r="U924" s="36">
        <v>20.0</v>
      </c>
      <c r="V924" s="36">
        <v>21.0</v>
      </c>
      <c r="W924" s="36">
        <v>22.0</v>
      </c>
      <c r="X924" s="36">
        <v>23.0</v>
      </c>
      <c r="Y924" s="36">
        <v>24.0</v>
      </c>
      <c r="Z924" s="36">
        <v>25.0</v>
      </c>
      <c r="AA924" s="36">
        <v>26.0</v>
      </c>
      <c r="AB924" s="36">
        <v>27.0</v>
      </c>
      <c r="AC924" s="36">
        <v>28.0</v>
      </c>
      <c r="AD924" s="36">
        <v>29.0</v>
      </c>
      <c r="AE924" s="36">
        <v>30.0</v>
      </c>
      <c r="AF924" s="36"/>
      <c r="AG924" s="36"/>
      <c r="AH924" s="36"/>
      <c r="AI924" s="36"/>
      <c r="AJ924" s="36"/>
    </row>
    <row r="925" ht="15.75" customHeight="1">
      <c r="A925" s="12" t="s">
        <v>217</v>
      </c>
      <c r="B925" s="12">
        <v>60.0</v>
      </c>
      <c r="C925" s="12">
        <v>60.0</v>
      </c>
      <c r="D925" s="12">
        <v>60.0</v>
      </c>
      <c r="E925" s="12">
        <v>60.0</v>
      </c>
      <c r="F925" s="12">
        <v>60.0</v>
      </c>
      <c r="G925" s="12">
        <v>60.0</v>
      </c>
      <c r="H925" s="12">
        <v>60.0</v>
      </c>
      <c r="I925" s="12">
        <v>60.0</v>
      </c>
      <c r="J925" s="12">
        <v>60.0</v>
      </c>
      <c r="K925" s="12">
        <v>60.0</v>
      </c>
      <c r="L925" s="12">
        <v>60.0</v>
      </c>
      <c r="M925" s="12">
        <v>60.0</v>
      </c>
      <c r="N925" s="12">
        <v>60.0</v>
      </c>
      <c r="O925" s="12">
        <v>60.0</v>
      </c>
      <c r="P925" s="12">
        <v>60.0</v>
      </c>
      <c r="Q925" s="12">
        <v>60.0</v>
      </c>
      <c r="R925" s="12">
        <v>60.0</v>
      </c>
      <c r="S925" s="12">
        <v>60.0</v>
      </c>
      <c r="T925" s="12">
        <v>60.0</v>
      </c>
      <c r="U925" s="12">
        <v>60.0</v>
      </c>
      <c r="V925" s="12">
        <v>60.0</v>
      </c>
      <c r="W925" s="12">
        <v>60.0</v>
      </c>
      <c r="X925" s="12">
        <v>60.0</v>
      </c>
      <c r="Y925" s="12">
        <v>60.0</v>
      </c>
      <c r="Z925" s="12">
        <v>60.0</v>
      </c>
      <c r="AA925" s="12">
        <v>60.0</v>
      </c>
      <c r="AB925" s="12">
        <v>60.0</v>
      </c>
      <c r="AC925" s="12">
        <v>60.0</v>
      </c>
      <c r="AD925" s="12">
        <v>60.0</v>
      </c>
      <c r="AE925" s="12">
        <v>60.0</v>
      </c>
      <c r="AF925" s="36"/>
      <c r="AG925" s="36"/>
      <c r="AH925" s="36"/>
      <c r="AI925" s="36"/>
      <c r="AJ925" s="36"/>
    </row>
    <row r="926" ht="15.75" customHeight="1">
      <c r="A926" s="12" t="s">
        <v>218</v>
      </c>
      <c r="B926" s="121">
        <v>0.0</v>
      </c>
      <c r="C926" s="121">
        <v>0.0</v>
      </c>
      <c r="D926" s="121">
        <v>0.0</v>
      </c>
      <c r="E926" s="121">
        <v>0.0</v>
      </c>
      <c r="F926" s="121">
        <v>0.0</v>
      </c>
      <c r="G926" s="121">
        <v>0.0</v>
      </c>
      <c r="H926" s="121">
        <v>0.0</v>
      </c>
      <c r="I926" s="121">
        <v>0.0</v>
      </c>
      <c r="J926" s="121">
        <v>0.0</v>
      </c>
      <c r="K926" s="121">
        <v>0.0</v>
      </c>
      <c r="L926" s="121">
        <v>0.0</v>
      </c>
      <c r="M926" s="121">
        <v>0.0</v>
      </c>
      <c r="N926" s="121">
        <v>0.0</v>
      </c>
      <c r="O926" s="121">
        <v>0.0</v>
      </c>
      <c r="P926" s="121">
        <v>0.0</v>
      </c>
      <c r="Q926" s="121">
        <v>0.0</v>
      </c>
      <c r="R926" s="121">
        <v>0.0</v>
      </c>
      <c r="S926" s="121">
        <v>0.0</v>
      </c>
      <c r="T926" s="121">
        <v>0.0</v>
      </c>
      <c r="U926" s="121">
        <v>0.0</v>
      </c>
      <c r="V926" s="121">
        <v>0.0</v>
      </c>
      <c r="W926" s="121">
        <v>0.0</v>
      </c>
      <c r="X926" s="121">
        <v>0.0</v>
      </c>
      <c r="Y926" s="121">
        <v>0.0</v>
      </c>
      <c r="Z926" s="121">
        <v>0.0</v>
      </c>
      <c r="AA926" s="121">
        <v>0.0</v>
      </c>
      <c r="AB926" s="121">
        <v>0.0</v>
      </c>
      <c r="AC926" s="121">
        <v>0.0</v>
      </c>
      <c r="AD926" s="121">
        <v>0.0</v>
      </c>
      <c r="AE926" s="121">
        <v>0.0</v>
      </c>
      <c r="AF926" s="36"/>
      <c r="AG926" s="36"/>
      <c r="AH926" s="36"/>
      <c r="AI926" s="36"/>
      <c r="AJ926" s="36"/>
    </row>
    <row r="927" ht="15.75" customHeight="1">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c r="AA927" s="36"/>
      <c r="AB927" s="36"/>
      <c r="AC927" s="36"/>
      <c r="AD927" s="36"/>
      <c r="AE927" s="36"/>
      <c r="AF927" s="36"/>
      <c r="AG927" s="36"/>
      <c r="AH927" s="36"/>
      <c r="AI927" s="36"/>
      <c r="AJ927" s="36"/>
    </row>
    <row r="928" ht="15.75" customHeight="1">
      <c r="A928" s="380" t="s">
        <v>1092</v>
      </c>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c r="AA928" s="36"/>
      <c r="AB928" s="36"/>
      <c r="AC928" s="36"/>
      <c r="AD928" s="36"/>
      <c r="AE928" s="36"/>
      <c r="AF928" s="36"/>
      <c r="AG928" s="36"/>
      <c r="AH928" s="36"/>
      <c r="AI928" s="36"/>
      <c r="AJ928" s="36"/>
    </row>
    <row r="929" ht="15.75" customHeight="1">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c r="AA929" s="36"/>
      <c r="AB929" s="36"/>
      <c r="AC929" s="36"/>
      <c r="AD929" s="36"/>
      <c r="AE929" s="36"/>
      <c r="AF929" s="36"/>
      <c r="AG929" s="36"/>
      <c r="AH929" s="36"/>
      <c r="AI929" s="36"/>
      <c r="AJ929" s="36"/>
    </row>
    <row r="930" ht="15.75" customHeight="1">
      <c r="A930" s="36" t="s">
        <v>215</v>
      </c>
      <c r="B930" s="36">
        <v>1.0</v>
      </c>
      <c r="C930" s="36">
        <v>2.0</v>
      </c>
      <c r="D930" s="36">
        <v>3.0</v>
      </c>
      <c r="E930" s="36">
        <v>4.0</v>
      </c>
      <c r="F930" s="36">
        <v>5.0</v>
      </c>
      <c r="G930" s="36">
        <v>6.0</v>
      </c>
      <c r="H930" s="36">
        <v>7.0</v>
      </c>
      <c r="I930" s="36">
        <v>8.0</v>
      </c>
      <c r="J930" s="36">
        <v>9.0</v>
      </c>
      <c r="K930" s="36">
        <v>10.0</v>
      </c>
      <c r="L930" s="36">
        <v>11.0</v>
      </c>
      <c r="M930" s="36">
        <v>12.0</v>
      </c>
      <c r="N930" s="36">
        <v>13.0</v>
      </c>
      <c r="O930" s="36">
        <v>14.0</v>
      </c>
      <c r="P930" s="36">
        <v>15.0</v>
      </c>
      <c r="Q930" s="36">
        <v>16.0</v>
      </c>
      <c r="R930" s="36">
        <v>17.0</v>
      </c>
      <c r="S930" s="36">
        <v>18.0</v>
      </c>
      <c r="T930" s="36">
        <v>19.0</v>
      </c>
      <c r="U930" s="36">
        <v>20.0</v>
      </c>
      <c r="V930" s="36">
        <v>21.0</v>
      </c>
      <c r="W930" s="36">
        <v>22.0</v>
      </c>
      <c r="X930" s="36">
        <v>23.0</v>
      </c>
      <c r="Y930" s="36">
        <v>24.0</v>
      </c>
      <c r="Z930" s="36">
        <v>25.0</v>
      </c>
      <c r="AA930" s="36">
        <v>26.0</v>
      </c>
      <c r="AB930" s="36">
        <v>27.0</v>
      </c>
      <c r="AC930" s="36">
        <v>28.0</v>
      </c>
      <c r="AD930" s="36">
        <v>29.0</v>
      </c>
      <c r="AE930" s="36">
        <v>30.0</v>
      </c>
      <c r="AF930" s="36"/>
      <c r="AG930" s="36"/>
      <c r="AH930" s="36"/>
      <c r="AI930" s="36"/>
      <c r="AJ930" s="36"/>
    </row>
    <row r="931" ht="15.75" customHeight="1">
      <c r="A931" s="12" t="s">
        <v>217</v>
      </c>
      <c r="B931" s="12">
        <v>20.0</v>
      </c>
      <c r="C931" s="12">
        <v>20.0</v>
      </c>
      <c r="D931" s="12">
        <v>20.0</v>
      </c>
      <c r="E931" s="12">
        <v>20.0</v>
      </c>
      <c r="F931" s="12">
        <v>20.0</v>
      </c>
      <c r="G931" s="12">
        <v>20.0</v>
      </c>
      <c r="H931" s="12">
        <v>20.0</v>
      </c>
      <c r="I931" s="12">
        <v>20.0</v>
      </c>
      <c r="J931" s="12">
        <v>20.0</v>
      </c>
      <c r="K931" s="12">
        <v>20.0</v>
      </c>
      <c r="L931" s="12">
        <v>20.0</v>
      </c>
      <c r="M931" s="12">
        <v>20.0</v>
      </c>
      <c r="N931" s="12">
        <v>20.0</v>
      </c>
      <c r="O931" s="12">
        <v>20.0</v>
      </c>
      <c r="P931" s="12">
        <v>20.0</v>
      </c>
      <c r="Q931" s="12">
        <v>20.0</v>
      </c>
      <c r="R931" s="12">
        <v>20.0</v>
      </c>
      <c r="S931" s="12">
        <v>20.0</v>
      </c>
      <c r="T931" s="12">
        <v>20.0</v>
      </c>
      <c r="U931" s="12">
        <v>20.0</v>
      </c>
      <c r="V931" s="12">
        <v>20.0</v>
      </c>
      <c r="W931" s="12">
        <v>20.0</v>
      </c>
      <c r="X931" s="12">
        <v>20.0</v>
      </c>
      <c r="Y931" s="12">
        <v>20.0</v>
      </c>
      <c r="Z931" s="12">
        <v>20.0</v>
      </c>
      <c r="AA931" s="12">
        <v>20.0</v>
      </c>
      <c r="AB931" s="12">
        <v>20.0</v>
      </c>
      <c r="AC931" s="12">
        <v>20.0</v>
      </c>
      <c r="AD931" s="12">
        <v>20.0</v>
      </c>
      <c r="AE931" s="12">
        <v>20.0</v>
      </c>
      <c r="AF931" s="36"/>
      <c r="AG931" s="36"/>
      <c r="AH931" s="36"/>
      <c r="AI931" s="36"/>
      <c r="AJ931" s="36"/>
    </row>
    <row r="932" ht="15.75" customHeight="1">
      <c r="A932" s="12" t="s">
        <v>218</v>
      </c>
      <c r="B932" s="121">
        <v>0.0</v>
      </c>
      <c r="C932" s="121">
        <v>0.0</v>
      </c>
      <c r="D932" s="121">
        <v>0.0</v>
      </c>
      <c r="E932" s="121">
        <v>0.0</v>
      </c>
      <c r="F932" s="121">
        <v>0.0</v>
      </c>
      <c r="G932" s="121">
        <v>0.0</v>
      </c>
      <c r="H932" s="121">
        <v>0.0</v>
      </c>
      <c r="I932" s="121">
        <v>0.0</v>
      </c>
      <c r="J932" s="121">
        <v>0.0</v>
      </c>
      <c r="K932" s="121">
        <v>0.0</v>
      </c>
      <c r="L932" s="121">
        <v>0.0</v>
      </c>
      <c r="M932" s="121">
        <v>0.0</v>
      </c>
      <c r="N932" s="121">
        <v>0.0</v>
      </c>
      <c r="O932" s="121">
        <v>0.0</v>
      </c>
      <c r="P932" s="121">
        <v>0.0</v>
      </c>
      <c r="Q932" s="121">
        <v>0.0</v>
      </c>
      <c r="R932" s="121">
        <v>0.0</v>
      </c>
      <c r="S932" s="121">
        <v>0.0</v>
      </c>
      <c r="T932" s="121">
        <v>0.0</v>
      </c>
      <c r="U932" s="121">
        <v>0.0</v>
      </c>
      <c r="V932" s="121">
        <v>0.0</v>
      </c>
      <c r="W932" s="121">
        <v>0.0</v>
      </c>
      <c r="X932" s="121">
        <v>0.0</v>
      </c>
      <c r="Y932" s="121">
        <v>0.0</v>
      </c>
      <c r="Z932" s="121">
        <v>0.0</v>
      </c>
      <c r="AA932" s="121">
        <v>0.0</v>
      </c>
      <c r="AB932" s="121">
        <v>0.0</v>
      </c>
      <c r="AC932" s="121">
        <v>0.0</v>
      </c>
      <c r="AD932" s="121">
        <v>0.0</v>
      </c>
      <c r="AE932" s="121">
        <v>0.0</v>
      </c>
      <c r="AF932" s="36"/>
      <c r="AG932" s="36"/>
      <c r="AH932" s="36"/>
      <c r="AI932" s="36"/>
      <c r="AJ932" s="36"/>
    </row>
    <row r="933" ht="15.75" customHeight="1">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c r="AA933" s="36"/>
      <c r="AB933" s="36"/>
      <c r="AC933" s="36"/>
      <c r="AD933" s="36"/>
      <c r="AE933" s="36"/>
      <c r="AF933" s="36"/>
      <c r="AG933" s="36"/>
      <c r="AH933" s="36"/>
      <c r="AI933" s="36"/>
      <c r="AJ933" s="36"/>
    </row>
    <row r="934" ht="15.75" customHeight="1">
      <c r="A934" s="380" t="s">
        <v>1096</v>
      </c>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c r="AA934" s="36"/>
      <c r="AB934" s="36"/>
      <c r="AC934" s="36"/>
      <c r="AD934" s="36"/>
      <c r="AE934" s="36"/>
      <c r="AF934" s="36"/>
      <c r="AG934" s="36"/>
      <c r="AH934" s="36"/>
      <c r="AI934" s="36"/>
      <c r="AJ934" s="36"/>
    </row>
    <row r="935" ht="15.75" customHeight="1">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c r="AA935" s="36"/>
      <c r="AB935" s="36"/>
      <c r="AC935" s="36"/>
      <c r="AD935" s="36"/>
      <c r="AE935" s="36"/>
      <c r="AF935" s="36"/>
      <c r="AG935" s="36"/>
      <c r="AH935" s="36"/>
      <c r="AI935" s="36"/>
      <c r="AJ935" s="36"/>
    </row>
    <row r="936" ht="15.75" customHeight="1">
      <c r="A936" s="36" t="s">
        <v>215</v>
      </c>
      <c r="B936" s="36">
        <v>1.0</v>
      </c>
      <c r="C936" s="36">
        <v>2.0</v>
      </c>
      <c r="D936" s="36">
        <v>3.0</v>
      </c>
      <c r="E936" s="36">
        <v>4.0</v>
      </c>
      <c r="F936" s="36">
        <v>5.0</v>
      </c>
      <c r="G936" s="36">
        <v>6.0</v>
      </c>
      <c r="H936" s="36">
        <v>7.0</v>
      </c>
      <c r="I936" s="36">
        <v>8.0</v>
      </c>
      <c r="J936" s="36">
        <v>9.0</v>
      </c>
      <c r="K936" s="36">
        <v>10.0</v>
      </c>
      <c r="L936" s="36">
        <v>11.0</v>
      </c>
      <c r="M936" s="36">
        <v>12.0</v>
      </c>
      <c r="N936" s="36">
        <v>13.0</v>
      </c>
      <c r="O936" s="36">
        <v>14.0</v>
      </c>
      <c r="P936" s="36">
        <v>15.0</v>
      </c>
      <c r="Q936" s="36">
        <v>16.0</v>
      </c>
      <c r="R936" s="36">
        <v>17.0</v>
      </c>
      <c r="S936" s="36">
        <v>18.0</v>
      </c>
      <c r="T936" s="36">
        <v>19.0</v>
      </c>
      <c r="U936" s="36">
        <v>20.0</v>
      </c>
      <c r="V936" s="36">
        <v>21.0</v>
      </c>
      <c r="W936" s="36">
        <v>22.0</v>
      </c>
      <c r="X936" s="36">
        <v>23.0</v>
      </c>
      <c r="Y936" s="36">
        <v>24.0</v>
      </c>
      <c r="Z936" s="36">
        <v>25.0</v>
      </c>
      <c r="AA936" s="36">
        <v>26.0</v>
      </c>
      <c r="AB936" s="36">
        <v>27.0</v>
      </c>
      <c r="AC936" s="36">
        <v>28.0</v>
      </c>
      <c r="AD936" s="36">
        <v>29.0</v>
      </c>
      <c r="AE936" s="36">
        <v>30.0</v>
      </c>
      <c r="AF936" s="36"/>
      <c r="AG936" s="36"/>
      <c r="AH936" s="36"/>
      <c r="AI936" s="36"/>
      <c r="AJ936" s="36"/>
    </row>
    <row r="937" ht="15.75" customHeight="1">
      <c r="A937" s="12" t="s">
        <v>217</v>
      </c>
      <c r="B937" s="12">
        <v>20.0</v>
      </c>
      <c r="C937" s="12">
        <v>20.0</v>
      </c>
      <c r="D937" s="12">
        <v>20.0</v>
      </c>
      <c r="E937" s="12">
        <v>20.0</v>
      </c>
      <c r="F937" s="12">
        <v>20.0</v>
      </c>
      <c r="G937" s="12">
        <v>20.0</v>
      </c>
      <c r="H937" s="12">
        <v>20.0</v>
      </c>
      <c r="I937" s="12">
        <v>20.0</v>
      </c>
      <c r="J937" s="12">
        <v>20.0</v>
      </c>
      <c r="K937" s="12">
        <v>20.0</v>
      </c>
      <c r="L937" s="12">
        <v>20.0</v>
      </c>
      <c r="M937" s="12">
        <v>20.0</v>
      </c>
      <c r="N937" s="12">
        <v>20.0</v>
      </c>
      <c r="O937" s="12">
        <v>20.0</v>
      </c>
      <c r="P937" s="12">
        <v>20.0</v>
      </c>
      <c r="Q937" s="12">
        <v>20.0</v>
      </c>
      <c r="R937" s="12">
        <v>20.0</v>
      </c>
      <c r="S937" s="12">
        <v>20.0</v>
      </c>
      <c r="T937" s="12">
        <v>20.0</v>
      </c>
      <c r="U937" s="12">
        <v>20.0</v>
      </c>
      <c r="V937" s="12">
        <v>20.0</v>
      </c>
      <c r="W937" s="12">
        <v>20.0</v>
      </c>
      <c r="X937" s="12">
        <v>20.0</v>
      </c>
      <c r="Y937" s="12">
        <v>20.0</v>
      </c>
      <c r="Z937" s="12">
        <v>20.0</v>
      </c>
      <c r="AA937" s="12">
        <v>20.0</v>
      </c>
      <c r="AB937" s="12">
        <v>20.0</v>
      </c>
      <c r="AC937" s="12">
        <v>20.0</v>
      </c>
      <c r="AD937" s="12">
        <v>20.0</v>
      </c>
      <c r="AE937" s="12">
        <v>20.0</v>
      </c>
      <c r="AF937" s="36"/>
      <c r="AG937" s="36"/>
      <c r="AH937" s="36"/>
      <c r="AI937" s="36"/>
      <c r="AJ937" s="36"/>
    </row>
    <row r="938" ht="15.75" customHeight="1">
      <c r="A938" s="12" t="s">
        <v>218</v>
      </c>
      <c r="B938" s="121">
        <v>0.0</v>
      </c>
      <c r="C938" s="121">
        <v>0.0</v>
      </c>
      <c r="D938" s="121">
        <v>0.0</v>
      </c>
      <c r="E938" s="121">
        <v>0.0</v>
      </c>
      <c r="F938" s="121">
        <v>0.0</v>
      </c>
      <c r="G938" s="121">
        <v>0.0</v>
      </c>
      <c r="H938" s="121">
        <v>0.0</v>
      </c>
      <c r="I938" s="121">
        <v>0.0</v>
      </c>
      <c r="J938" s="121">
        <v>0.0</v>
      </c>
      <c r="K938" s="121">
        <v>0.0</v>
      </c>
      <c r="L938" s="121">
        <v>0.0</v>
      </c>
      <c r="M938" s="121">
        <v>0.0</v>
      </c>
      <c r="N938" s="121">
        <v>0.0</v>
      </c>
      <c r="O938" s="121">
        <v>0.0</v>
      </c>
      <c r="P938" s="121">
        <v>0.0</v>
      </c>
      <c r="Q938" s="121">
        <v>0.0</v>
      </c>
      <c r="R938" s="121">
        <v>0.0</v>
      </c>
      <c r="S938" s="121">
        <v>0.0</v>
      </c>
      <c r="T938" s="121">
        <v>0.0</v>
      </c>
      <c r="U938" s="121">
        <v>0.0</v>
      </c>
      <c r="V938" s="121">
        <v>0.0</v>
      </c>
      <c r="W938" s="121">
        <v>0.0</v>
      </c>
      <c r="X938" s="121">
        <v>0.0</v>
      </c>
      <c r="Y938" s="121">
        <v>0.0</v>
      </c>
      <c r="Z938" s="121">
        <v>0.0</v>
      </c>
      <c r="AA938" s="121">
        <v>0.0</v>
      </c>
      <c r="AB938" s="121">
        <v>0.0</v>
      </c>
      <c r="AC938" s="121">
        <v>0.0</v>
      </c>
      <c r="AD938" s="121">
        <v>0.0</v>
      </c>
      <c r="AE938" s="121">
        <v>0.0</v>
      </c>
      <c r="AF938" s="36"/>
      <c r="AG938" s="36"/>
      <c r="AH938" s="36"/>
      <c r="AI938" s="36"/>
      <c r="AJ938" s="36"/>
    </row>
    <row r="939" ht="15.75" customHeight="1">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c r="AA939" s="36"/>
      <c r="AB939" s="36"/>
      <c r="AC939" s="36"/>
      <c r="AD939" s="36"/>
      <c r="AE939" s="36"/>
      <c r="AF939" s="36"/>
      <c r="AG939" s="36"/>
      <c r="AH939" s="36"/>
      <c r="AI939" s="36"/>
      <c r="AJ939" s="36"/>
    </row>
    <row r="940" ht="15.75" customHeight="1">
      <c r="A940" s="380" t="s">
        <v>1100</v>
      </c>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c r="AA940" s="36"/>
      <c r="AB940" s="36"/>
      <c r="AC940" s="36"/>
      <c r="AD940" s="36"/>
      <c r="AE940" s="36"/>
      <c r="AF940" s="36"/>
      <c r="AG940" s="36"/>
      <c r="AH940" s="36"/>
      <c r="AI940" s="36"/>
      <c r="AJ940" s="36"/>
    </row>
    <row r="941" ht="15.75" customHeight="1">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c r="AA941" s="36"/>
      <c r="AB941" s="36"/>
      <c r="AC941" s="36"/>
      <c r="AD941" s="36"/>
      <c r="AE941" s="36"/>
      <c r="AF941" s="36"/>
      <c r="AG941" s="36"/>
      <c r="AH941" s="36"/>
      <c r="AI941" s="36"/>
      <c r="AJ941" s="36"/>
    </row>
    <row r="942" ht="15.75" customHeight="1">
      <c r="A942" s="36" t="s">
        <v>215</v>
      </c>
      <c r="B942" s="36">
        <v>1.0</v>
      </c>
      <c r="C942" s="36">
        <v>2.0</v>
      </c>
      <c r="D942" s="36">
        <v>3.0</v>
      </c>
      <c r="E942" s="36">
        <v>4.0</v>
      </c>
      <c r="F942" s="36">
        <v>5.0</v>
      </c>
      <c r="G942" s="36">
        <v>6.0</v>
      </c>
      <c r="H942" s="36">
        <v>7.0</v>
      </c>
      <c r="I942" s="36">
        <v>8.0</v>
      </c>
      <c r="J942" s="36">
        <v>9.0</v>
      </c>
      <c r="K942" s="36">
        <v>10.0</v>
      </c>
      <c r="L942" s="36">
        <v>11.0</v>
      </c>
      <c r="M942" s="36">
        <v>12.0</v>
      </c>
      <c r="N942" s="36">
        <v>13.0</v>
      </c>
      <c r="O942" s="36">
        <v>14.0</v>
      </c>
      <c r="P942" s="36">
        <v>15.0</v>
      </c>
      <c r="Q942" s="36">
        <v>16.0</v>
      </c>
      <c r="R942" s="36">
        <v>17.0</v>
      </c>
      <c r="S942" s="36">
        <v>18.0</v>
      </c>
      <c r="T942" s="36">
        <v>19.0</v>
      </c>
      <c r="U942" s="36">
        <v>20.0</v>
      </c>
      <c r="V942" s="36">
        <v>21.0</v>
      </c>
      <c r="W942" s="36">
        <v>22.0</v>
      </c>
      <c r="X942" s="36">
        <v>23.0</v>
      </c>
      <c r="Y942" s="36">
        <v>24.0</v>
      </c>
      <c r="Z942" s="36">
        <v>25.0</v>
      </c>
      <c r="AA942" s="36">
        <v>26.0</v>
      </c>
      <c r="AB942" s="36">
        <v>27.0</v>
      </c>
      <c r="AC942" s="36">
        <v>28.0</v>
      </c>
      <c r="AD942" s="36">
        <v>29.0</v>
      </c>
      <c r="AE942" s="36">
        <v>30.0</v>
      </c>
      <c r="AF942" s="36"/>
      <c r="AG942" s="36"/>
      <c r="AH942" s="36"/>
      <c r="AI942" s="36"/>
      <c r="AJ942" s="36"/>
    </row>
    <row r="943" ht="15.75" customHeight="1">
      <c r="A943" s="12" t="s">
        <v>217</v>
      </c>
      <c r="B943" s="12">
        <v>20.0</v>
      </c>
      <c r="C943" s="12">
        <v>20.0</v>
      </c>
      <c r="D943" s="12">
        <v>20.0</v>
      </c>
      <c r="E943" s="12">
        <v>20.0</v>
      </c>
      <c r="F943" s="12">
        <v>20.0</v>
      </c>
      <c r="G943" s="12">
        <v>20.0</v>
      </c>
      <c r="H943" s="12">
        <v>20.0</v>
      </c>
      <c r="I943" s="12">
        <v>20.0</v>
      </c>
      <c r="J943" s="12">
        <v>20.0</v>
      </c>
      <c r="K943" s="12">
        <v>20.0</v>
      </c>
      <c r="L943" s="12">
        <v>20.0</v>
      </c>
      <c r="M943" s="12">
        <v>20.0</v>
      </c>
      <c r="N943" s="12">
        <v>20.0</v>
      </c>
      <c r="O943" s="12">
        <v>20.0</v>
      </c>
      <c r="P943" s="12">
        <v>20.0</v>
      </c>
      <c r="Q943" s="12">
        <v>20.0</v>
      </c>
      <c r="R943" s="12">
        <v>20.0</v>
      </c>
      <c r="S943" s="12">
        <v>20.0</v>
      </c>
      <c r="T943" s="12">
        <v>20.0</v>
      </c>
      <c r="U943" s="12">
        <v>20.0</v>
      </c>
      <c r="V943" s="12">
        <v>20.0</v>
      </c>
      <c r="W943" s="12">
        <v>20.0</v>
      </c>
      <c r="X943" s="12">
        <v>20.0</v>
      </c>
      <c r="Y943" s="12">
        <v>20.0</v>
      </c>
      <c r="Z943" s="12">
        <v>20.0</v>
      </c>
      <c r="AA943" s="12">
        <v>20.0</v>
      </c>
      <c r="AB943" s="12">
        <v>20.0</v>
      </c>
      <c r="AC943" s="12">
        <v>20.0</v>
      </c>
      <c r="AD943" s="12">
        <v>20.0</v>
      </c>
      <c r="AE943" s="12">
        <v>20.0</v>
      </c>
      <c r="AF943" s="36"/>
      <c r="AG943" s="36"/>
      <c r="AH943" s="36"/>
      <c r="AI943" s="36"/>
      <c r="AJ943" s="36"/>
    </row>
    <row r="944" ht="15.75" customHeight="1">
      <c r="A944" s="12" t="s">
        <v>218</v>
      </c>
      <c r="B944" s="121">
        <v>0.0</v>
      </c>
      <c r="C944" s="121">
        <v>0.0</v>
      </c>
      <c r="D944" s="121">
        <v>0.0</v>
      </c>
      <c r="E944" s="121">
        <v>0.0</v>
      </c>
      <c r="F944" s="121">
        <v>0.0</v>
      </c>
      <c r="G944" s="121">
        <v>0.0</v>
      </c>
      <c r="H944" s="121">
        <v>0.0</v>
      </c>
      <c r="I944" s="121">
        <v>0.0</v>
      </c>
      <c r="J944" s="121">
        <v>0.0</v>
      </c>
      <c r="K944" s="121">
        <v>0.0</v>
      </c>
      <c r="L944" s="121">
        <v>0.0</v>
      </c>
      <c r="M944" s="121">
        <v>0.0</v>
      </c>
      <c r="N944" s="121">
        <v>0.0</v>
      </c>
      <c r="O944" s="121">
        <v>0.0</v>
      </c>
      <c r="P944" s="121">
        <v>0.0</v>
      </c>
      <c r="Q944" s="121">
        <v>0.0</v>
      </c>
      <c r="R944" s="121">
        <v>0.0</v>
      </c>
      <c r="S944" s="121">
        <v>0.0</v>
      </c>
      <c r="T944" s="121">
        <v>0.0</v>
      </c>
      <c r="U944" s="121">
        <v>0.0</v>
      </c>
      <c r="V944" s="121">
        <v>0.0</v>
      </c>
      <c r="W944" s="121">
        <v>0.0</v>
      </c>
      <c r="X944" s="121">
        <v>0.0</v>
      </c>
      <c r="Y944" s="121">
        <v>0.0</v>
      </c>
      <c r="Z944" s="121">
        <v>0.0</v>
      </c>
      <c r="AA944" s="121">
        <v>0.0</v>
      </c>
      <c r="AB944" s="121">
        <v>0.0</v>
      </c>
      <c r="AC944" s="121">
        <v>0.0</v>
      </c>
      <c r="AD944" s="121">
        <v>0.0</v>
      </c>
      <c r="AE944" s="121">
        <v>0.0</v>
      </c>
      <c r="AF944" s="36"/>
      <c r="AG944" s="36"/>
      <c r="AH944" s="36"/>
      <c r="AI944" s="36"/>
      <c r="AJ944" s="36"/>
    </row>
    <row r="945" ht="15.75" customHeight="1">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c r="AA945" s="36"/>
      <c r="AB945" s="36"/>
      <c r="AC945" s="36"/>
      <c r="AD945" s="36"/>
      <c r="AE945" s="36"/>
      <c r="AF945" s="36"/>
      <c r="AG945" s="36"/>
      <c r="AH945" s="36"/>
      <c r="AI945" s="36"/>
      <c r="AJ945" s="36"/>
    </row>
    <row r="946" ht="15.75" customHeight="1">
      <c r="A946" s="380" t="s">
        <v>1104</v>
      </c>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c r="AA946" s="36"/>
      <c r="AB946" s="36"/>
      <c r="AC946" s="36"/>
      <c r="AD946" s="36"/>
      <c r="AE946" s="36"/>
      <c r="AF946" s="36"/>
      <c r="AG946" s="36"/>
      <c r="AH946" s="36"/>
      <c r="AI946" s="36"/>
      <c r="AJ946" s="36"/>
    </row>
    <row r="947" ht="15.75" customHeight="1">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c r="AA947" s="36"/>
      <c r="AB947" s="36"/>
      <c r="AC947" s="36"/>
      <c r="AD947" s="36"/>
      <c r="AE947" s="36"/>
      <c r="AF947" s="36"/>
      <c r="AG947" s="36"/>
      <c r="AH947" s="36"/>
      <c r="AI947" s="36"/>
      <c r="AJ947" s="36"/>
    </row>
    <row r="948" ht="15.75" customHeight="1">
      <c r="A948" s="36" t="s">
        <v>215</v>
      </c>
      <c r="B948" s="36">
        <v>1.0</v>
      </c>
      <c r="C948" s="36">
        <v>2.0</v>
      </c>
      <c r="D948" s="36">
        <v>3.0</v>
      </c>
      <c r="E948" s="36">
        <v>4.0</v>
      </c>
      <c r="F948" s="36">
        <v>5.0</v>
      </c>
      <c r="G948" s="36">
        <v>6.0</v>
      </c>
      <c r="H948" s="36">
        <v>7.0</v>
      </c>
      <c r="I948" s="36">
        <v>8.0</v>
      </c>
      <c r="J948" s="36">
        <v>9.0</v>
      </c>
      <c r="K948" s="36">
        <v>10.0</v>
      </c>
      <c r="L948" s="36">
        <v>11.0</v>
      </c>
      <c r="M948" s="36">
        <v>12.0</v>
      </c>
      <c r="N948" s="36">
        <v>13.0</v>
      </c>
      <c r="O948" s="36">
        <v>14.0</v>
      </c>
      <c r="P948" s="36">
        <v>15.0</v>
      </c>
      <c r="Q948" s="36">
        <v>16.0</v>
      </c>
      <c r="R948" s="36">
        <v>17.0</v>
      </c>
      <c r="S948" s="36">
        <v>18.0</v>
      </c>
      <c r="T948" s="36">
        <v>19.0</v>
      </c>
      <c r="U948" s="36">
        <v>20.0</v>
      </c>
      <c r="V948" s="36">
        <v>21.0</v>
      </c>
      <c r="W948" s="36">
        <v>22.0</v>
      </c>
      <c r="X948" s="36">
        <v>23.0</v>
      </c>
      <c r="Y948" s="36">
        <v>24.0</v>
      </c>
      <c r="Z948" s="36">
        <v>25.0</v>
      </c>
      <c r="AA948" s="36">
        <v>26.0</v>
      </c>
      <c r="AB948" s="36">
        <v>27.0</v>
      </c>
      <c r="AC948" s="36">
        <v>28.0</v>
      </c>
      <c r="AD948" s="36">
        <v>29.0</v>
      </c>
      <c r="AE948" s="36">
        <v>30.0</v>
      </c>
      <c r="AF948" s="36"/>
      <c r="AG948" s="36"/>
      <c r="AH948" s="36"/>
      <c r="AI948" s="36"/>
      <c r="AJ948" s="36"/>
    </row>
    <row r="949" ht="15.75" customHeight="1">
      <c r="A949" s="12" t="s">
        <v>217</v>
      </c>
      <c r="B949" s="12">
        <v>20.0</v>
      </c>
      <c r="C949" s="12">
        <v>20.0</v>
      </c>
      <c r="D949" s="12">
        <v>20.0</v>
      </c>
      <c r="E949" s="12">
        <v>20.0</v>
      </c>
      <c r="F949" s="12">
        <v>20.0</v>
      </c>
      <c r="G949" s="12">
        <v>20.0</v>
      </c>
      <c r="H949" s="12">
        <v>20.0</v>
      </c>
      <c r="I949" s="12">
        <v>20.0</v>
      </c>
      <c r="J949" s="12">
        <v>20.0</v>
      </c>
      <c r="K949" s="12">
        <v>20.0</v>
      </c>
      <c r="L949" s="12">
        <v>20.0</v>
      </c>
      <c r="M949" s="12">
        <v>20.0</v>
      </c>
      <c r="N949" s="12">
        <v>20.0</v>
      </c>
      <c r="O949" s="12">
        <v>20.0</v>
      </c>
      <c r="P949" s="12">
        <v>20.0</v>
      </c>
      <c r="Q949" s="12">
        <v>20.0</v>
      </c>
      <c r="R949" s="12">
        <v>20.0</v>
      </c>
      <c r="S949" s="12">
        <v>20.0</v>
      </c>
      <c r="T949" s="12">
        <v>20.0</v>
      </c>
      <c r="U949" s="12">
        <v>20.0</v>
      </c>
      <c r="V949" s="12">
        <v>20.0</v>
      </c>
      <c r="W949" s="12">
        <v>20.0</v>
      </c>
      <c r="X949" s="12">
        <v>20.0</v>
      </c>
      <c r="Y949" s="12">
        <v>20.0</v>
      </c>
      <c r="Z949" s="12">
        <v>20.0</v>
      </c>
      <c r="AA949" s="12">
        <v>20.0</v>
      </c>
      <c r="AB949" s="12">
        <v>20.0</v>
      </c>
      <c r="AC949" s="12">
        <v>20.0</v>
      </c>
      <c r="AD949" s="12">
        <v>20.0</v>
      </c>
      <c r="AE949" s="12">
        <v>20.0</v>
      </c>
      <c r="AF949" s="36"/>
      <c r="AG949" s="36"/>
      <c r="AH949" s="36"/>
      <c r="AI949" s="36"/>
      <c r="AJ949" s="36"/>
    </row>
    <row r="950" ht="15.75" customHeight="1">
      <c r="A950" s="12" t="s">
        <v>218</v>
      </c>
      <c r="B950" s="121">
        <v>0.0</v>
      </c>
      <c r="C950" s="121">
        <v>0.0</v>
      </c>
      <c r="D950" s="121">
        <v>0.0</v>
      </c>
      <c r="E950" s="121">
        <v>0.0</v>
      </c>
      <c r="F950" s="121">
        <v>0.0</v>
      </c>
      <c r="G950" s="121">
        <v>0.0</v>
      </c>
      <c r="H950" s="121">
        <v>0.0</v>
      </c>
      <c r="I950" s="121">
        <v>0.0</v>
      </c>
      <c r="J950" s="121">
        <v>0.0</v>
      </c>
      <c r="K950" s="121">
        <v>0.0</v>
      </c>
      <c r="L950" s="121">
        <v>0.0</v>
      </c>
      <c r="M950" s="121">
        <v>0.0</v>
      </c>
      <c r="N950" s="121">
        <v>0.0</v>
      </c>
      <c r="O950" s="121">
        <v>0.0</v>
      </c>
      <c r="P950" s="121">
        <v>0.0</v>
      </c>
      <c r="Q950" s="121">
        <v>0.0</v>
      </c>
      <c r="R950" s="121">
        <v>0.0</v>
      </c>
      <c r="S950" s="121">
        <v>0.0</v>
      </c>
      <c r="T950" s="121">
        <v>0.0</v>
      </c>
      <c r="U950" s="121">
        <v>0.0</v>
      </c>
      <c r="V950" s="121">
        <v>0.0</v>
      </c>
      <c r="W950" s="121">
        <v>0.0</v>
      </c>
      <c r="X950" s="121">
        <v>0.0</v>
      </c>
      <c r="Y950" s="121">
        <v>0.0</v>
      </c>
      <c r="Z950" s="121">
        <v>0.0</v>
      </c>
      <c r="AA950" s="121">
        <v>0.0</v>
      </c>
      <c r="AB950" s="121">
        <v>0.0</v>
      </c>
      <c r="AC950" s="121">
        <v>0.0</v>
      </c>
      <c r="AD950" s="121">
        <v>0.0</v>
      </c>
      <c r="AE950" s="121">
        <v>0.0</v>
      </c>
      <c r="AF950" s="36"/>
      <c r="AG950" s="36"/>
      <c r="AH950" s="36"/>
      <c r="AI950" s="36"/>
      <c r="AJ950" s="36"/>
    </row>
    <row r="951" ht="15.75" customHeight="1">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c r="AA951" s="36"/>
      <c r="AB951" s="36"/>
      <c r="AC951" s="36"/>
      <c r="AD951" s="36"/>
      <c r="AE951" s="36"/>
      <c r="AF951" s="36"/>
      <c r="AG951" s="36"/>
      <c r="AH951" s="36"/>
      <c r="AI951" s="36"/>
      <c r="AJ951" s="36"/>
    </row>
    <row r="952" ht="15.75" customHeight="1">
      <c r="A952" s="380" t="s">
        <v>1110</v>
      </c>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c r="AA952" s="36"/>
      <c r="AB952" s="36"/>
      <c r="AC952" s="36"/>
      <c r="AD952" s="36"/>
      <c r="AE952" s="36"/>
      <c r="AF952" s="36"/>
      <c r="AG952" s="36"/>
      <c r="AH952" s="36"/>
      <c r="AI952" s="36"/>
      <c r="AJ952" s="36"/>
    </row>
    <row r="953" ht="15.75" customHeight="1">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c r="AA953" s="36"/>
      <c r="AB953" s="36"/>
      <c r="AC953" s="36"/>
      <c r="AD953" s="36"/>
      <c r="AE953" s="36"/>
      <c r="AF953" s="36"/>
      <c r="AG953" s="36"/>
      <c r="AH953" s="36"/>
      <c r="AI953" s="36"/>
      <c r="AJ953" s="36"/>
    </row>
    <row r="954" ht="15.75" customHeight="1">
      <c r="A954" s="36" t="s">
        <v>215</v>
      </c>
      <c r="B954" s="36">
        <v>1.0</v>
      </c>
      <c r="C954" s="36">
        <v>2.0</v>
      </c>
      <c r="D954" s="36">
        <v>3.0</v>
      </c>
      <c r="E954" s="36">
        <v>4.0</v>
      </c>
      <c r="F954" s="36">
        <v>5.0</v>
      </c>
      <c r="G954" s="36">
        <v>6.0</v>
      </c>
      <c r="H954" s="36">
        <v>7.0</v>
      </c>
      <c r="I954" s="36">
        <v>8.0</v>
      </c>
      <c r="J954" s="36">
        <v>9.0</v>
      </c>
      <c r="K954" s="36">
        <v>10.0</v>
      </c>
      <c r="L954" s="36">
        <v>11.0</v>
      </c>
      <c r="M954" s="36">
        <v>12.0</v>
      </c>
      <c r="N954" s="36">
        <v>13.0</v>
      </c>
      <c r="O954" s="36">
        <v>14.0</v>
      </c>
      <c r="P954" s="36">
        <v>15.0</v>
      </c>
      <c r="Q954" s="36">
        <v>16.0</v>
      </c>
      <c r="R954" s="36">
        <v>17.0</v>
      </c>
      <c r="S954" s="36">
        <v>18.0</v>
      </c>
      <c r="T954" s="36">
        <v>19.0</v>
      </c>
      <c r="U954" s="36">
        <v>20.0</v>
      </c>
      <c r="V954" s="36">
        <v>21.0</v>
      </c>
      <c r="W954" s="36">
        <v>22.0</v>
      </c>
      <c r="X954" s="36">
        <v>23.0</v>
      </c>
      <c r="Y954" s="36">
        <v>24.0</v>
      </c>
      <c r="Z954" s="36">
        <v>25.0</v>
      </c>
      <c r="AA954" s="36">
        <v>26.0</v>
      </c>
      <c r="AB954" s="36">
        <v>27.0</v>
      </c>
      <c r="AC954" s="36">
        <v>28.0</v>
      </c>
      <c r="AD954" s="36">
        <v>29.0</v>
      </c>
      <c r="AE954" s="36">
        <v>30.0</v>
      </c>
      <c r="AF954" s="36"/>
      <c r="AG954" s="36"/>
      <c r="AH954" s="36"/>
      <c r="AI954" s="36"/>
      <c r="AJ954" s="36"/>
    </row>
    <row r="955" ht="15.75" customHeight="1">
      <c r="A955" s="12" t="s">
        <v>217</v>
      </c>
      <c r="B955" s="12">
        <v>60.0</v>
      </c>
      <c r="C955" s="12">
        <v>60.0</v>
      </c>
      <c r="D955" s="12">
        <v>60.0</v>
      </c>
      <c r="E955" s="12">
        <v>60.0</v>
      </c>
      <c r="F955" s="12">
        <v>60.0</v>
      </c>
      <c r="G955" s="12">
        <v>60.0</v>
      </c>
      <c r="H955" s="12">
        <v>60.0</v>
      </c>
      <c r="I955" s="12">
        <v>60.0</v>
      </c>
      <c r="J955" s="12">
        <v>60.0</v>
      </c>
      <c r="K955" s="12">
        <v>60.0</v>
      </c>
      <c r="L955" s="12">
        <v>60.0</v>
      </c>
      <c r="M955" s="12">
        <v>60.0</v>
      </c>
      <c r="N955" s="12">
        <v>60.0</v>
      </c>
      <c r="O955" s="12">
        <v>60.0</v>
      </c>
      <c r="P955" s="12">
        <v>60.0</v>
      </c>
      <c r="Q955" s="12">
        <v>60.0</v>
      </c>
      <c r="R955" s="12">
        <v>60.0</v>
      </c>
      <c r="S955" s="12">
        <v>60.0</v>
      </c>
      <c r="T955" s="12">
        <v>60.0</v>
      </c>
      <c r="U955" s="12">
        <v>60.0</v>
      </c>
      <c r="V955" s="12">
        <v>60.0</v>
      </c>
      <c r="W955" s="12">
        <v>60.0</v>
      </c>
      <c r="X955" s="12">
        <v>60.0</v>
      </c>
      <c r="Y955" s="12">
        <v>60.0</v>
      </c>
      <c r="Z955" s="12">
        <v>60.0</v>
      </c>
      <c r="AA955" s="12">
        <v>60.0</v>
      </c>
      <c r="AB955" s="12">
        <v>60.0</v>
      </c>
      <c r="AC955" s="12">
        <v>60.0</v>
      </c>
      <c r="AD955" s="12">
        <v>60.0</v>
      </c>
      <c r="AE955" s="12">
        <v>60.0</v>
      </c>
      <c r="AF955" s="36"/>
      <c r="AG955" s="36"/>
      <c r="AH955" s="36"/>
      <c r="AI955" s="36"/>
      <c r="AJ955" s="36"/>
    </row>
    <row r="956" ht="15.75" customHeight="1">
      <c r="A956" s="12" t="s">
        <v>218</v>
      </c>
      <c r="B956" s="121">
        <v>0.0</v>
      </c>
      <c r="C956" s="121">
        <v>0.0</v>
      </c>
      <c r="D956" s="121">
        <v>0.0</v>
      </c>
      <c r="E956" s="121">
        <v>0.0</v>
      </c>
      <c r="F956" s="121">
        <v>0.0</v>
      </c>
      <c r="G956" s="121">
        <v>0.0</v>
      </c>
      <c r="H956" s="121">
        <v>0.0</v>
      </c>
      <c r="I956" s="121">
        <v>0.0</v>
      </c>
      <c r="J956" s="121">
        <v>0.0</v>
      </c>
      <c r="K956" s="121">
        <v>0.0</v>
      </c>
      <c r="L956" s="121">
        <v>0.0</v>
      </c>
      <c r="M956" s="121">
        <v>0.0</v>
      </c>
      <c r="N956" s="121">
        <v>0.0</v>
      </c>
      <c r="O956" s="121">
        <v>0.0</v>
      </c>
      <c r="P956" s="121">
        <v>0.0</v>
      </c>
      <c r="Q956" s="121">
        <v>0.0</v>
      </c>
      <c r="R956" s="121">
        <v>0.0</v>
      </c>
      <c r="S956" s="121">
        <v>0.0</v>
      </c>
      <c r="T956" s="121">
        <v>0.0</v>
      </c>
      <c r="U956" s="121">
        <v>0.0</v>
      </c>
      <c r="V956" s="121">
        <v>0.0</v>
      </c>
      <c r="W956" s="121">
        <v>0.0</v>
      </c>
      <c r="X956" s="121">
        <v>0.0</v>
      </c>
      <c r="Y956" s="121">
        <v>0.0</v>
      </c>
      <c r="Z956" s="121">
        <v>0.0</v>
      </c>
      <c r="AA956" s="121">
        <v>0.0</v>
      </c>
      <c r="AB956" s="121">
        <v>0.0</v>
      </c>
      <c r="AC956" s="121">
        <v>0.0</v>
      </c>
      <c r="AD956" s="121">
        <v>0.0</v>
      </c>
      <c r="AE956" s="121">
        <v>0.0</v>
      </c>
      <c r="AF956" s="36"/>
      <c r="AG956" s="36"/>
      <c r="AH956" s="36"/>
      <c r="AI956" s="36"/>
      <c r="AJ956" s="36"/>
    </row>
    <row r="957" ht="15.75" customHeight="1">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c r="AA957" s="36"/>
      <c r="AB957" s="36"/>
      <c r="AC957" s="36"/>
      <c r="AD957" s="36"/>
      <c r="AE957" s="36"/>
      <c r="AF957" s="36"/>
      <c r="AG957" s="36"/>
      <c r="AH957" s="36"/>
      <c r="AI957" s="36"/>
      <c r="AJ957" s="36"/>
    </row>
    <row r="958" ht="15.75" customHeight="1">
      <c r="A958" s="382" t="s">
        <v>1231</v>
      </c>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c r="AA958" s="36"/>
      <c r="AB958" s="36"/>
      <c r="AC958" s="36"/>
      <c r="AD958" s="36"/>
      <c r="AE958" s="36"/>
      <c r="AF958" s="36"/>
      <c r="AG958" s="36"/>
      <c r="AH958" s="36"/>
      <c r="AI958" s="36"/>
      <c r="AJ958" s="36"/>
    </row>
    <row r="959" ht="15.75" customHeight="1">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c r="AA959" s="36"/>
      <c r="AB959" s="36"/>
      <c r="AC959" s="36"/>
      <c r="AD959" s="36"/>
      <c r="AE959" s="36"/>
      <c r="AF959" s="36"/>
      <c r="AG959" s="36"/>
      <c r="AH959" s="36"/>
      <c r="AI959" s="36"/>
      <c r="AJ959" s="36"/>
    </row>
    <row r="960" ht="15.75" customHeight="1">
      <c r="A960" s="36" t="s">
        <v>215</v>
      </c>
      <c r="B960" s="36">
        <v>1.0</v>
      </c>
      <c r="C960" s="36">
        <v>2.0</v>
      </c>
      <c r="D960" s="36">
        <v>3.0</v>
      </c>
      <c r="E960" s="36">
        <v>4.0</v>
      </c>
      <c r="F960" s="36">
        <v>5.0</v>
      </c>
      <c r="G960" s="36">
        <v>6.0</v>
      </c>
      <c r="H960" s="36">
        <v>7.0</v>
      </c>
      <c r="I960" s="36">
        <v>8.0</v>
      </c>
      <c r="J960" s="36">
        <v>9.0</v>
      </c>
      <c r="K960" s="36">
        <v>10.0</v>
      </c>
      <c r="L960" s="36">
        <v>11.0</v>
      </c>
      <c r="M960" s="36">
        <v>12.0</v>
      </c>
      <c r="N960" s="36">
        <v>13.0</v>
      </c>
      <c r="O960" s="36">
        <v>14.0</v>
      </c>
      <c r="P960" s="36">
        <v>15.0</v>
      </c>
      <c r="Q960" s="36">
        <v>16.0</v>
      </c>
      <c r="R960" s="36">
        <v>17.0</v>
      </c>
      <c r="S960" s="36">
        <v>18.0</v>
      </c>
      <c r="T960" s="36">
        <v>19.0</v>
      </c>
      <c r="U960" s="36">
        <v>20.0</v>
      </c>
      <c r="V960" s="36">
        <v>21.0</v>
      </c>
      <c r="W960" s="36">
        <v>22.0</v>
      </c>
      <c r="X960" s="36">
        <v>23.0</v>
      </c>
      <c r="Y960" s="36">
        <v>24.0</v>
      </c>
      <c r="Z960" s="36">
        <v>25.0</v>
      </c>
      <c r="AA960" s="36">
        <v>26.0</v>
      </c>
      <c r="AB960" s="36">
        <v>27.0</v>
      </c>
      <c r="AC960" s="36">
        <v>28.0</v>
      </c>
      <c r="AD960" s="36">
        <v>29.0</v>
      </c>
      <c r="AE960" s="36">
        <v>30.0</v>
      </c>
      <c r="AF960" s="36"/>
      <c r="AG960" s="36"/>
      <c r="AH960" s="36"/>
      <c r="AI960" s="36"/>
      <c r="AJ960" s="36"/>
    </row>
    <row r="961" ht="15.75" customHeight="1">
      <c r="A961" s="12" t="s">
        <v>217</v>
      </c>
      <c r="B961" s="12">
        <v>60.0</v>
      </c>
      <c r="C961" s="12">
        <v>60.0</v>
      </c>
      <c r="D961" s="12">
        <v>60.0</v>
      </c>
      <c r="E961" s="12">
        <v>60.0</v>
      </c>
      <c r="F961" s="12">
        <v>60.0</v>
      </c>
      <c r="G961" s="12">
        <v>60.0</v>
      </c>
      <c r="H961" s="12">
        <v>60.0</v>
      </c>
      <c r="I961" s="12">
        <v>60.0</v>
      </c>
      <c r="J961" s="12">
        <v>60.0</v>
      </c>
      <c r="K961" s="12">
        <v>60.0</v>
      </c>
      <c r="L961" s="12">
        <v>60.0</v>
      </c>
      <c r="M961" s="12">
        <v>60.0</v>
      </c>
      <c r="N961" s="12">
        <v>60.0</v>
      </c>
      <c r="O961" s="12">
        <v>60.0</v>
      </c>
      <c r="P961" s="12">
        <v>60.0</v>
      </c>
      <c r="Q961" s="12">
        <v>60.0</v>
      </c>
      <c r="R961" s="12">
        <v>60.0</v>
      </c>
      <c r="S961" s="12">
        <v>60.0</v>
      </c>
      <c r="T961" s="12">
        <v>60.0</v>
      </c>
      <c r="U961" s="12">
        <v>60.0</v>
      </c>
      <c r="V961" s="12">
        <v>60.0</v>
      </c>
      <c r="W961" s="12">
        <v>60.0</v>
      </c>
      <c r="X961" s="12">
        <v>60.0</v>
      </c>
      <c r="Y961" s="12">
        <v>60.0</v>
      </c>
      <c r="Z961" s="12">
        <v>60.0</v>
      </c>
      <c r="AA961" s="12">
        <v>60.0</v>
      </c>
      <c r="AB961" s="12">
        <v>60.0</v>
      </c>
      <c r="AC961" s="12">
        <v>60.0</v>
      </c>
      <c r="AD961" s="12">
        <v>60.0</v>
      </c>
      <c r="AE961" s="12">
        <v>60.0</v>
      </c>
      <c r="AF961" s="36"/>
      <c r="AG961" s="36"/>
      <c r="AH961" s="36"/>
      <c r="AI961" s="36"/>
      <c r="AJ961" s="36"/>
    </row>
    <row r="962" ht="15.75" customHeight="1">
      <c r="A962" s="12" t="s">
        <v>218</v>
      </c>
      <c r="B962" s="121">
        <v>0.0</v>
      </c>
      <c r="C962" s="121">
        <v>0.0</v>
      </c>
      <c r="D962" s="121">
        <v>0.0</v>
      </c>
      <c r="E962" s="121">
        <v>0.0</v>
      </c>
      <c r="F962" s="121">
        <v>0.0</v>
      </c>
      <c r="G962" s="121">
        <v>0.0</v>
      </c>
      <c r="H962" s="121">
        <v>0.0</v>
      </c>
      <c r="I962" s="121">
        <v>0.0</v>
      </c>
      <c r="J962" s="121">
        <v>0.0</v>
      </c>
      <c r="K962" s="121">
        <v>0.0</v>
      </c>
      <c r="L962" s="121">
        <v>0.0</v>
      </c>
      <c r="M962" s="121">
        <v>0.0</v>
      </c>
      <c r="N962" s="121">
        <v>0.0</v>
      </c>
      <c r="O962" s="121">
        <v>0.0</v>
      </c>
      <c r="P962" s="121">
        <v>0.0</v>
      </c>
      <c r="Q962" s="121">
        <v>0.0</v>
      </c>
      <c r="R962" s="121">
        <v>0.0</v>
      </c>
      <c r="S962" s="121">
        <v>0.0</v>
      </c>
      <c r="T962" s="121">
        <v>0.0</v>
      </c>
      <c r="U962" s="121">
        <v>0.0</v>
      </c>
      <c r="V962" s="121">
        <v>0.0</v>
      </c>
      <c r="W962" s="121">
        <v>0.0</v>
      </c>
      <c r="X962" s="121">
        <v>0.0</v>
      </c>
      <c r="Y962" s="121">
        <v>0.0</v>
      </c>
      <c r="Z962" s="121">
        <v>0.0</v>
      </c>
      <c r="AA962" s="121">
        <v>0.0</v>
      </c>
      <c r="AB962" s="121">
        <v>0.0</v>
      </c>
      <c r="AC962" s="121">
        <v>0.0</v>
      </c>
      <c r="AD962" s="121">
        <v>0.0</v>
      </c>
      <c r="AE962" s="121">
        <v>0.0</v>
      </c>
      <c r="AF962" s="36"/>
      <c r="AG962" s="36"/>
      <c r="AH962" s="36"/>
      <c r="AI962" s="36"/>
      <c r="AJ962" s="36"/>
    </row>
    <row r="963" ht="15.75" customHeight="1">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c r="AA963" s="36"/>
      <c r="AB963" s="36"/>
      <c r="AC963" s="36"/>
      <c r="AD963" s="36"/>
      <c r="AE963" s="36"/>
      <c r="AF963" s="36"/>
      <c r="AG963" s="36"/>
      <c r="AH963" s="36"/>
      <c r="AI963" s="36"/>
      <c r="AJ963" s="36"/>
    </row>
    <row r="964" ht="15.75" customHeight="1">
      <c r="A964" s="396" t="s">
        <v>879</v>
      </c>
      <c r="B964" s="369"/>
      <c r="C964" s="369"/>
      <c r="D964" s="369"/>
      <c r="E964" s="369"/>
      <c r="F964" s="369"/>
      <c r="G964" s="369"/>
      <c r="H964" s="369"/>
      <c r="I964" s="369"/>
      <c r="J964" s="369"/>
      <c r="K964" s="369"/>
      <c r="L964" s="369"/>
      <c r="M964" s="369"/>
      <c r="N964" s="369"/>
      <c r="O964" s="369"/>
      <c r="P964" s="369"/>
      <c r="Q964" s="369"/>
      <c r="R964" s="369"/>
      <c r="S964" s="369"/>
      <c r="T964" s="369"/>
      <c r="U964" s="369"/>
      <c r="V964" s="369"/>
      <c r="W964" s="369"/>
      <c r="X964" s="369"/>
      <c r="Y964" s="369"/>
      <c r="Z964" s="369"/>
      <c r="AA964" s="369"/>
      <c r="AB964" s="369"/>
      <c r="AC964" s="369"/>
      <c r="AD964" s="369"/>
      <c r="AE964" s="369"/>
      <c r="AF964" s="369"/>
      <c r="AG964" s="369"/>
      <c r="AH964" s="369"/>
      <c r="AI964" s="369"/>
      <c r="AJ964" s="369"/>
    </row>
    <row r="965" ht="15.75" customHeight="1">
      <c r="A965" s="369"/>
      <c r="B965" s="369"/>
      <c r="C965" s="369"/>
      <c r="D965" s="369"/>
      <c r="E965" s="369"/>
      <c r="F965" s="369"/>
      <c r="G965" s="369"/>
      <c r="H965" s="369"/>
      <c r="I965" s="369"/>
      <c r="J965" s="369"/>
      <c r="K965" s="369"/>
      <c r="L965" s="369"/>
      <c r="M965" s="369"/>
      <c r="N965" s="369"/>
      <c r="O965" s="369"/>
      <c r="P965" s="369"/>
      <c r="Q965" s="369"/>
      <c r="R965" s="369"/>
      <c r="S965" s="369"/>
      <c r="T965" s="369"/>
      <c r="U965" s="369"/>
      <c r="V965" s="369"/>
      <c r="W965" s="369"/>
      <c r="X965" s="369"/>
      <c r="Y965" s="369"/>
      <c r="Z965" s="369"/>
      <c r="AA965" s="369"/>
      <c r="AB965" s="369"/>
      <c r="AC965" s="369"/>
      <c r="AD965" s="369"/>
      <c r="AE965" s="369"/>
      <c r="AF965" s="369"/>
      <c r="AG965" s="369"/>
      <c r="AH965" s="369"/>
      <c r="AI965" s="369"/>
      <c r="AJ965" s="369"/>
    </row>
    <row r="966" ht="15.75" customHeight="1">
      <c r="A966" s="369" t="s">
        <v>215</v>
      </c>
      <c r="B966" s="369">
        <v>1.0</v>
      </c>
      <c r="C966" s="369">
        <v>2.0</v>
      </c>
      <c r="D966" s="369">
        <v>3.0</v>
      </c>
      <c r="E966" s="369">
        <v>4.0</v>
      </c>
      <c r="F966" s="369">
        <v>5.0</v>
      </c>
      <c r="G966" s="369">
        <v>6.0</v>
      </c>
      <c r="H966" s="369">
        <v>7.0</v>
      </c>
      <c r="I966" s="369">
        <v>8.0</v>
      </c>
      <c r="J966" s="369">
        <v>9.0</v>
      </c>
      <c r="K966" s="369">
        <v>10.0</v>
      </c>
      <c r="L966" s="369">
        <v>11.0</v>
      </c>
      <c r="M966" s="369">
        <v>12.0</v>
      </c>
      <c r="N966" s="369">
        <v>13.0</v>
      </c>
      <c r="O966" s="369">
        <v>14.0</v>
      </c>
      <c r="P966" s="369">
        <v>15.0</v>
      </c>
      <c r="Q966" s="369">
        <v>16.0</v>
      </c>
      <c r="R966" s="369">
        <v>17.0</v>
      </c>
      <c r="S966" s="369">
        <v>18.0</v>
      </c>
      <c r="T966" s="369">
        <v>19.0</v>
      </c>
      <c r="U966" s="369">
        <v>20.0</v>
      </c>
      <c r="V966" s="369">
        <v>21.0</v>
      </c>
      <c r="W966" s="369">
        <v>22.0</v>
      </c>
      <c r="X966" s="369">
        <v>23.0</v>
      </c>
      <c r="Y966" s="369">
        <v>24.0</v>
      </c>
      <c r="Z966" s="369">
        <v>25.0</v>
      </c>
      <c r="AA966" s="369">
        <v>26.0</v>
      </c>
      <c r="AB966" s="369">
        <v>27.0</v>
      </c>
      <c r="AC966" s="369">
        <v>28.0</v>
      </c>
      <c r="AD966" s="369">
        <v>29.0</v>
      </c>
      <c r="AE966" s="369">
        <v>30.0</v>
      </c>
      <c r="AF966" s="369"/>
      <c r="AG966" s="369"/>
      <c r="AH966" s="369"/>
      <c r="AI966" s="369"/>
      <c r="AJ966" s="369"/>
    </row>
    <row r="967" ht="15.75" customHeight="1">
      <c r="A967" s="397" t="s">
        <v>217</v>
      </c>
      <c r="B967" s="397">
        <v>0.0</v>
      </c>
      <c r="C967" s="397">
        <v>50.0</v>
      </c>
      <c r="D967" s="397">
        <v>50.0</v>
      </c>
      <c r="E967" s="397">
        <v>50.0</v>
      </c>
      <c r="F967" s="397">
        <v>50.0</v>
      </c>
      <c r="G967" s="397">
        <v>50.0</v>
      </c>
      <c r="H967" s="397">
        <v>50.0</v>
      </c>
      <c r="I967" s="397">
        <v>50.0</v>
      </c>
      <c r="J967" s="397">
        <v>50.0</v>
      </c>
      <c r="K967" s="397">
        <v>50.0</v>
      </c>
      <c r="L967" s="397">
        <v>50.0</v>
      </c>
      <c r="M967" s="397">
        <v>50.0</v>
      </c>
      <c r="N967" s="397">
        <v>50.0</v>
      </c>
      <c r="O967" s="397">
        <v>50.0</v>
      </c>
      <c r="P967" s="397">
        <v>50.0</v>
      </c>
      <c r="Q967" s="397">
        <v>50.0</v>
      </c>
      <c r="R967" s="397">
        <v>50.0</v>
      </c>
      <c r="S967" s="397">
        <v>50.0</v>
      </c>
      <c r="T967" s="397">
        <v>50.0</v>
      </c>
      <c r="U967" s="397">
        <v>50.0</v>
      </c>
      <c r="V967" s="397">
        <v>50.0</v>
      </c>
      <c r="W967" s="397">
        <v>50.0</v>
      </c>
      <c r="X967" s="397">
        <v>50.0</v>
      </c>
      <c r="Y967" s="397">
        <v>50.0</v>
      </c>
      <c r="Z967" s="397">
        <v>50.0</v>
      </c>
      <c r="AA967" s="397">
        <v>50.0</v>
      </c>
      <c r="AB967" s="397">
        <v>50.0</v>
      </c>
      <c r="AC967" s="397">
        <v>50.0</v>
      </c>
      <c r="AD967" s="397">
        <v>50.0</v>
      </c>
      <c r="AE967" s="397">
        <v>50.0</v>
      </c>
      <c r="AF967" s="369"/>
      <c r="AG967" s="369"/>
      <c r="AH967" s="369"/>
      <c r="AI967" s="369"/>
      <c r="AJ967" s="369"/>
    </row>
    <row r="968" ht="15.75" customHeight="1">
      <c r="A968" s="397" t="s">
        <v>218</v>
      </c>
      <c r="B968" s="397">
        <f>IF(PT&lt;15,0.25%,IF(AND(PT&gt;=15,PT&lt;20),0.2%,IF(AND(PT&gt;=20,PT&lt;25),0.17%,0.15%)))*SA/12</f>
        <v>208.3333333</v>
      </c>
      <c r="C968" s="398">
        <v>0.0</v>
      </c>
      <c r="D968" s="398">
        <v>0.0</v>
      </c>
      <c r="E968" s="398">
        <v>0.0</v>
      </c>
      <c r="F968" s="398">
        <v>0.0</v>
      </c>
      <c r="G968" s="398">
        <v>0.0</v>
      </c>
      <c r="H968" s="398">
        <v>0.0</v>
      </c>
      <c r="I968" s="398">
        <v>0.0</v>
      </c>
      <c r="J968" s="398">
        <v>0.0</v>
      </c>
      <c r="K968" s="398">
        <v>0.0</v>
      </c>
      <c r="L968" s="398">
        <v>0.0</v>
      </c>
      <c r="M968" s="398">
        <v>0.0</v>
      </c>
      <c r="N968" s="398">
        <v>0.0</v>
      </c>
      <c r="O968" s="398">
        <v>0.0</v>
      </c>
      <c r="P968" s="398">
        <v>0.0</v>
      </c>
      <c r="Q968" s="398">
        <v>0.0</v>
      </c>
      <c r="R968" s="398">
        <v>0.0</v>
      </c>
      <c r="S968" s="398">
        <v>0.0</v>
      </c>
      <c r="T968" s="398">
        <v>0.0</v>
      </c>
      <c r="U968" s="398">
        <v>0.0</v>
      </c>
      <c r="V968" s="398">
        <v>0.0</v>
      </c>
      <c r="W968" s="398">
        <v>0.0</v>
      </c>
      <c r="X968" s="398">
        <v>0.0</v>
      </c>
      <c r="Y968" s="398">
        <v>0.0</v>
      </c>
      <c r="Z968" s="398">
        <v>0.0</v>
      </c>
      <c r="AA968" s="398">
        <v>0.0</v>
      </c>
      <c r="AB968" s="398">
        <v>0.0</v>
      </c>
      <c r="AC968" s="398">
        <v>0.0</v>
      </c>
      <c r="AD968" s="398">
        <v>0.0</v>
      </c>
      <c r="AE968" s="398">
        <v>0.0</v>
      </c>
      <c r="AF968" s="369"/>
      <c r="AG968" s="369"/>
      <c r="AH968" s="369"/>
      <c r="AI968" s="369"/>
      <c r="AJ968" s="369"/>
    </row>
    <row r="969" ht="15.75" customHeight="1">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c r="AA969" s="36"/>
      <c r="AB969" s="36"/>
      <c r="AC969" s="36"/>
      <c r="AD969" s="36"/>
      <c r="AE969" s="36"/>
      <c r="AF969" s="36"/>
      <c r="AG969" s="36"/>
      <c r="AH969" s="36"/>
      <c r="AI969" s="36"/>
      <c r="AJ969" s="36"/>
    </row>
    <row r="970" ht="15.75" customHeight="1">
      <c r="A970" s="357" t="s">
        <v>1422</v>
      </c>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c r="AA970" s="36"/>
      <c r="AB970" s="36"/>
      <c r="AC970" s="36"/>
      <c r="AD970" s="36"/>
      <c r="AE970" s="36"/>
      <c r="AF970" s="36"/>
      <c r="AG970" s="36"/>
      <c r="AH970" s="36"/>
      <c r="AI970" s="36"/>
      <c r="AJ970" s="36"/>
    </row>
    <row r="971" ht="15.75" customHeight="1">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c r="AA971" s="36"/>
      <c r="AB971" s="36"/>
      <c r="AC971" s="36"/>
      <c r="AD971" s="36"/>
      <c r="AE971" s="36"/>
      <c r="AF971" s="36"/>
      <c r="AG971" s="36"/>
      <c r="AH971" s="36"/>
      <c r="AI971" s="36"/>
      <c r="AJ971" s="36"/>
    </row>
    <row r="972" ht="15.75" customHeight="1">
      <c r="A972" s="36" t="s">
        <v>215</v>
      </c>
      <c r="B972" s="36">
        <v>1.0</v>
      </c>
      <c r="C972" s="36">
        <v>2.0</v>
      </c>
      <c r="D972" s="36">
        <v>3.0</v>
      </c>
      <c r="E972" s="36">
        <v>4.0</v>
      </c>
      <c r="F972" s="36">
        <v>5.0</v>
      </c>
      <c r="G972" s="36">
        <v>6.0</v>
      </c>
      <c r="H972" s="36">
        <v>7.0</v>
      </c>
      <c r="I972" s="36">
        <v>8.0</v>
      </c>
      <c r="J972" s="36">
        <v>9.0</v>
      </c>
      <c r="K972" s="36">
        <v>10.0</v>
      </c>
      <c r="L972" s="36">
        <v>11.0</v>
      </c>
      <c r="M972" s="36">
        <v>12.0</v>
      </c>
      <c r="N972" s="36">
        <v>13.0</v>
      </c>
      <c r="O972" s="36">
        <v>14.0</v>
      </c>
      <c r="P972" s="36">
        <v>15.0</v>
      </c>
      <c r="Q972" s="36">
        <v>16.0</v>
      </c>
      <c r="R972" s="36">
        <v>17.0</v>
      </c>
      <c r="S972" s="36">
        <v>18.0</v>
      </c>
      <c r="T972" s="36">
        <v>19.0</v>
      </c>
      <c r="U972" s="36">
        <v>20.0</v>
      </c>
      <c r="V972" s="36">
        <v>21.0</v>
      </c>
      <c r="W972" s="36">
        <v>22.0</v>
      </c>
      <c r="X972" s="36">
        <v>23.0</v>
      </c>
      <c r="Y972" s="36">
        <v>24.0</v>
      </c>
      <c r="Z972" s="36">
        <v>25.0</v>
      </c>
      <c r="AA972" s="36">
        <v>26.0</v>
      </c>
      <c r="AB972" s="36">
        <v>27.0</v>
      </c>
      <c r="AC972" s="36">
        <v>28.0</v>
      </c>
      <c r="AD972" s="36">
        <v>29.0</v>
      </c>
      <c r="AE972" s="36">
        <v>30.0</v>
      </c>
      <c r="AF972" s="36"/>
      <c r="AG972" s="36"/>
      <c r="AH972" s="36"/>
      <c r="AI972" s="36"/>
      <c r="AJ972" s="36"/>
    </row>
    <row r="973" ht="15.75" customHeight="1">
      <c r="A973" s="12" t="s">
        <v>217</v>
      </c>
      <c r="B973" s="12">
        <v>25.0</v>
      </c>
      <c r="C973" s="12">
        <v>25.0</v>
      </c>
      <c r="D973" s="12">
        <v>25.0</v>
      </c>
      <c r="E973" s="12">
        <v>25.0</v>
      </c>
      <c r="F973" s="12">
        <v>25.0</v>
      </c>
      <c r="G973" s="12">
        <v>25.0</v>
      </c>
      <c r="H973" s="12">
        <v>25.0</v>
      </c>
      <c r="I973" s="12">
        <v>25.0</v>
      </c>
      <c r="J973" s="12">
        <v>25.0</v>
      </c>
      <c r="K973" s="12">
        <v>25.0</v>
      </c>
      <c r="L973" s="12">
        <v>25.0</v>
      </c>
      <c r="M973" s="12">
        <v>25.0</v>
      </c>
      <c r="N973" s="12">
        <v>25.0</v>
      </c>
      <c r="O973" s="12">
        <v>25.0</v>
      </c>
      <c r="P973" s="12">
        <v>25.0</v>
      </c>
      <c r="Q973" s="12">
        <v>25.0</v>
      </c>
      <c r="R973" s="12">
        <v>25.0</v>
      </c>
      <c r="S973" s="12">
        <v>25.0</v>
      </c>
      <c r="T973" s="12">
        <v>25.0</v>
      </c>
      <c r="U973" s="12">
        <v>25.0</v>
      </c>
      <c r="V973" s="12">
        <v>25.0</v>
      </c>
      <c r="W973" s="12">
        <v>25.0</v>
      </c>
      <c r="X973" s="12">
        <v>25.0</v>
      </c>
      <c r="Y973" s="12">
        <v>25.0</v>
      </c>
      <c r="Z973" s="12">
        <v>25.0</v>
      </c>
      <c r="AA973" s="12">
        <v>25.0</v>
      </c>
      <c r="AB973" s="12">
        <v>25.0</v>
      </c>
      <c r="AC973" s="12">
        <v>25.0</v>
      </c>
      <c r="AD973" s="12">
        <v>25.0</v>
      </c>
      <c r="AE973" s="12">
        <v>25.0</v>
      </c>
      <c r="AF973" s="36"/>
      <c r="AG973" s="36"/>
      <c r="AH973" s="36"/>
      <c r="AI973" s="36"/>
      <c r="AJ973" s="36"/>
    </row>
    <row r="974" ht="15.75" customHeight="1">
      <c r="A974" s="12" t="s">
        <v>218</v>
      </c>
      <c r="B974" s="121">
        <v>0.0</v>
      </c>
      <c r="C974" s="121">
        <v>0.0</v>
      </c>
      <c r="D974" s="121">
        <v>0.0</v>
      </c>
      <c r="E974" s="121">
        <v>0.0</v>
      </c>
      <c r="F974" s="121">
        <v>0.0</v>
      </c>
      <c r="G974" s="121">
        <v>0.0</v>
      </c>
      <c r="H974" s="121">
        <v>0.0</v>
      </c>
      <c r="I974" s="121">
        <v>0.0</v>
      </c>
      <c r="J974" s="121">
        <v>0.0</v>
      </c>
      <c r="K974" s="121">
        <v>0.0</v>
      </c>
      <c r="L974" s="121">
        <v>0.0</v>
      </c>
      <c r="M974" s="121">
        <v>0.0</v>
      </c>
      <c r="N974" s="121">
        <v>0.0</v>
      </c>
      <c r="O974" s="121">
        <v>0.0</v>
      </c>
      <c r="P974" s="121">
        <v>0.0</v>
      </c>
      <c r="Q974" s="121">
        <v>0.0</v>
      </c>
      <c r="R974" s="121">
        <v>0.0</v>
      </c>
      <c r="S974" s="121">
        <v>0.0</v>
      </c>
      <c r="T974" s="121">
        <v>0.0</v>
      </c>
      <c r="U974" s="121">
        <v>0.0</v>
      </c>
      <c r="V974" s="121">
        <v>0.0</v>
      </c>
      <c r="W974" s="121">
        <v>0.0</v>
      </c>
      <c r="X974" s="121">
        <v>0.0</v>
      </c>
      <c r="Y974" s="121">
        <v>0.0</v>
      </c>
      <c r="Z974" s="121">
        <v>0.0</v>
      </c>
      <c r="AA974" s="121">
        <v>0.0</v>
      </c>
      <c r="AB974" s="121">
        <v>0.0</v>
      </c>
      <c r="AC974" s="121">
        <v>0.0</v>
      </c>
      <c r="AD974" s="121">
        <v>0.0</v>
      </c>
      <c r="AE974" s="121">
        <v>0.0</v>
      </c>
      <c r="AF974" s="36"/>
      <c r="AG974" s="36"/>
      <c r="AH974" s="36"/>
      <c r="AI974" s="36"/>
      <c r="AJ974" s="36"/>
    </row>
    <row r="975" ht="15.75" customHeight="1">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c r="AA975" s="36"/>
      <c r="AB975" s="36"/>
      <c r="AC975" s="36"/>
      <c r="AD975" s="36"/>
      <c r="AE975" s="36"/>
      <c r="AF975" s="36"/>
      <c r="AG975" s="36"/>
      <c r="AH975" s="36"/>
      <c r="AI975" s="36"/>
      <c r="AJ975" s="36"/>
    </row>
    <row r="976" ht="15.75" customHeight="1">
      <c r="A976" s="357" t="s">
        <v>1430</v>
      </c>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c r="AA976" s="36"/>
      <c r="AB976" s="36"/>
      <c r="AC976" s="36"/>
      <c r="AD976" s="36"/>
      <c r="AE976" s="36"/>
      <c r="AF976" s="36"/>
      <c r="AG976" s="36"/>
      <c r="AH976" s="36"/>
      <c r="AI976" s="36"/>
      <c r="AJ976" s="36"/>
    </row>
    <row r="977" ht="15.75" customHeight="1">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c r="AA977" s="36"/>
      <c r="AB977" s="36"/>
      <c r="AC977" s="36"/>
      <c r="AD977" s="36"/>
      <c r="AE977" s="36"/>
      <c r="AF977" s="36"/>
      <c r="AG977" s="36"/>
      <c r="AH977" s="36"/>
      <c r="AI977" s="36"/>
      <c r="AJ977" s="36"/>
    </row>
    <row r="978" ht="15.75" customHeight="1">
      <c r="A978" s="36" t="s">
        <v>215</v>
      </c>
      <c r="B978" s="36">
        <v>1.0</v>
      </c>
      <c r="C978" s="36">
        <v>2.0</v>
      </c>
      <c r="D978" s="36">
        <v>3.0</v>
      </c>
      <c r="E978" s="36">
        <v>4.0</v>
      </c>
      <c r="F978" s="36">
        <v>5.0</v>
      </c>
      <c r="G978" s="36">
        <v>6.0</v>
      </c>
      <c r="H978" s="36">
        <v>7.0</v>
      </c>
      <c r="I978" s="36">
        <v>8.0</v>
      </c>
      <c r="J978" s="36">
        <v>9.0</v>
      </c>
      <c r="K978" s="36">
        <v>10.0</v>
      </c>
      <c r="L978" s="36">
        <v>11.0</v>
      </c>
      <c r="M978" s="36">
        <v>12.0</v>
      </c>
      <c r="N978" s="36">
        <v>13.0</v>
      </c>
      <c r="O978" s="36">
        <v>14.0</v>
      </c>
      <c r="P978" s="36">
        <v>15.0</v>
      </c>
      <c r="Q978" s="36">
        <v>16.0</v>
      </c>
      <c r="R978" s="36">
        <v>17.0</v>
      </c>
      <c r="S978" s="36">
        <v>18.0</v>
      </c>
      <c r="T978" s="36">
        <v>19.0</v>
      </c>
      <c r="U978" s="36">
        <v>20.0</v>
      </c>
      <c r="V978" s="36">
        <v>21.0</v>
      </c>
      <c r="W978" s="36">
        <v>22.0</v>
      </c>
      <c r="X978" s="36">
        <v>23.0</v>
      </c>
      <c r="Y978" s="36">
        <v>24.0</v>
      </c>
      <c r="Z978" s="36">
        <v>25.0</v>
      </c>
      <c r="AA978" s="36">
        <v>26.0</v>
      </c>
      <c r="AB978" s="36">
        <v>27.0</v>
      </c>
      <c r="AC978" s="36">
        <v>28.0</v>
      </c>
      <c r="AD978" s="36">
        <v>29.0</v>
      </c>
      <c r="AE978" s="36">
        <v>30.0</v>
      </c>
      <c r="AF978" s="36"/>
      <c r="AG978" s="36"/>
      <c r="AH978" s="36"/>
      <c r="AI978" s="36"/>
      <c r="AJ978" s="36"/>
    </row>
    <row r="979" ht="15.75" customHeight="1">
      <c r="A979" s="12" t="s">
        <v>217</v>
      </c>
      <c r="B979" s="12">
        <v>38.0</v>
      </c>
      <c r="C979" s="12">
        <v>38.0</v>
      </c>
      <c r="D979" s="12">
        <v>38.0</v>
      </c>
      <c r="E979" s="12">
        <v>38.0</v>
      </c>
      <c r="F979" s="12">
        <v>38.0</v>
      </c>
      <c r="G979" s="12">
        <v>38.0</v>
      </c>
      <c r="H979" s="12">
        <v>38.0</v>
      </c>
      <c r="I979" s="12">
        <v>38.0</v>
      </c>
      <c r="J979" s="12">
        <v>38.0</v>
      </c>
      <c r="K979" s="12">
        <v>38.0</v>
      </c>
      <c r="L979" s="12">
        <v>38.0</v>
      </c>
      <c r="M979" s="12">
        <v>38.0</v>
      </c>
      <c r="N979" s="12">
        <v>38.0</v>
      </c>
      <c r="O979" s="12">
        <v>38.0</v>
      </c>
      <c r="P979" s="12">
        <v>38.0</v>
      </c>
      <c r="Q979" s="12">
        <v>38.0</v>
      </c>
      <c r="R979" s="12">
        <v>38.0</v>
      </c>
      <c r="S979" s="12">
        <v>38.0</v>
      </c>
      <c r="T979" s="12">
        <v>38.0</v>
      </c>
      <c r="U979" s="12">
        <v>38.0</v>
      </c>
      <c r="V979" s="12">
        <v>38.0</v>
      </c>
      <c r="W979" s="12">
        <v>38.0</v>
      </c>
      <c r="X979" s="12">
        <v>38.0</v>
      </c>
      <c r="Y979" s="12">
        <v>38.0</v>
      </c>
      <c r="Z979" s="12">
        <v>38.0</v>
      </c>
      <c r="AA979" s="12">
        <v>38.0</v>
      </c>
      <c r="AB979" s="12">
        <v>38.0</v>
      </c>
      <c r="AC979" s="12">
        <v>38.0</v>
      </c>
      <c r="AD979" s="12">
        <v>38.0</v>
      </c>
      <c r="AE979" s="12">
        <v>38.0</v>
      </c>
      <c r="AF979" s="36"/>
      <c r="AG979" s="36"/>
      <c r="AH979" s="36"/>
      <c r="AI979" s="36"/>
      <c r="AJ979" s="36"/>
    </row>
    <row r="980" ht="15.75" customHeight="1">
      <c r="A980" s="12" t="s">
        <v>218</v>
      </c>
      <c r="B980" s="121">
        <v>0.0</v>
      </c>
      <c r="C980" s="121">
        <v>0.0</v>
      </c>
      <c r="D980" s="121">
        <v>0.0</v>
      </c>
      <c r="E980" s="121">
        <v>0.0</v>
      </c>
      <c r="F980" s="121">
        <v>0.0</v>
      </c>
      <c r="G980" s="121">
        <v>0.0</v>
      </c>
      <c r="H980" s="121">
        <v>0.0</v>
      </c>
      <c r="I980" s="121">
        <v>0.0</v>
      </c>
      <c r="J980" s="121">
        <v>0.0</v>
      </c>
      <c r="K980" s="121">
        <v>0.0</v>
      </c>
      <c r="L980" s="121">
        <v>0.0</v>
      </c>
      <c r="M980" s="121">
        <v>0.0</v>
      </c>
      <c r="N980" s="121">
        <v>0.0</v>
      </c>
      <c r="O980" s="121">
        <v>0.0</v>
      </c>
      <c r="P980" s="121">
        <v>0.0</v>
      </c>
      <c r="Q980" s="121">
        <v>0.0</v>
      </c>
      <c r="R980" s="121">
        <v>0.0</v>
      </c>
      <c r="S980" s="121">
        <v>0.0</v>
      </c>
      <c r="T980" s="121">
        <v>0.0</v>
      </c>
      <c r="U980" s="121">
        <v>0.0</v>
      </c>
      <c r="V980" s="121">
        <v>0.0</v>
      </c>
      <c r="W980" s="121">
        <v>0.0</v>
      </c>
      <c r="X980" s="121">
        <v>0.0</v>
      </c>
      <c r="Y980" s="121">
        <v>0.0</v>
      </c>
      <c r="Z980" s="121">
        <v>0.0</v>
      </c>
      <c r="AA980" s="121">
        <v>0.0</v>
      </c>
      <c r="AB980" s="121">
        <v>0.0</v>
      </c>
      <c r="AC980" s="121">
        <v>0.0</v>
      </c>
      <c r="AD980" s="121">
        <v>0.0</v>
      </c>
      <c r="AE980" s="121">
        <v>0.0</v>
      </c>
      <c r="AF980" s="36"/>
      <c r="AG980" s="36"/>
      <c r="AH980" s="36"/>
      <c r="AI980" s="36"/>
      <c r="AJ980" s="36"/>
    </row>
    <row r="981" ht="15.75" customHeight="1">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c r="AA981" s="36"/>
      <c r="AB981" s="36"/>
      <c r="AC981" s="36"/>
      <c r="AD981" s="36"/>
      <c r="AE981" s="36"/>
      <c r="AF981" s="36"/>
      <c r="AG981" s="36"/>
      <c r="AH981" s="36"/>
      <c r="AI981" s="36"/>
      <c r="AJ981" s="36"/>
    </row>
    <row r="982" ht="15.75" customHeight="1">
      <c r="A982" s="357" t="s">
        <v>1434</v>
      </c>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c r="AA982" s="36"/>
      <c r="AB982" s="36"/>
      <c r="AC982" s="36"/>
      <c r="AD982" s="36"/>
      <c r="AE982" s="36"/>
      <c r="AF982" s="36"/>
      <c r="AG982" s="36"/>
      <c r="AH982" s="36"/>
      <c r="AI982" s="36"/>
      <c r="AJ982" s="36"/>
    </row>
    <row r="983" ht="15.75" customHeight="1">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c r="AA983" s="36"/>
      <c r="AB983" s="36"/>
      <c r="AC983" s="36"/>
      <c r="AD983" s="36"/>
      <c r="AE983" s="36"/>
      <c r="AF983" s="36"/>
      <c r="AG983" s="36"/>
      <c r="AH983" s="36"/>
      <c r="AI983" s="36"/>
      <c r="AJ983" s="36"/>
    </row>
    <row r="984" ht="15.75" customHeight="1">
      <c r="A984" s="36" t="s">
        <v>215</v>
      </c>
      <c r="B984" s="36">
        <v>1.0</v>
      </c>
      <c r="C984" s="36">
        <v>2.0</v>
      </c>
      <c r="D984" s="36">
        <v>3.0</v>
      </c>
      <c r="E984" s="36">
        <v>4.0</v>
      </c>
      <c r="F984" s="36">
        <v>5.0</v>
      </c>
      <c r="G984" s="36">
        <v>6.0</v>
      </c>
      <c r="H984" s="36">
        <v>7.0</v>
      </c>
      <c r="I984" s="36">
        <v>8.0</v>
      </c>
      <c r="J984" s="36">
        <v>9.0</v>
      </c>
      <c r="K984" s="36">
        <v>10.0</v>
      </c>
      <c r="L984" s="36">
        <v>11.0</v>
      </c>
      <c r="M984" s="36">
        <v>12.0</v>
      </c>
      <c r="N984" s="36">
        <v>13.0</v>
      </c>
      <c r="O984" s="36">
        <v>14.0</v>
      </c>
      <c r="P984" s="36">
        <v>15.0</v>
      </c>
      <c r="Q984" s="36">
        <v>16.0</v>
      </c>
      <c r="R984" s="36">
        <v>17.0</v>
      </c>
      <c r="S984" s="36">
        <v>18.0</v>
      </c>
      <c r="T984" s="36">
        <v>19.0</v>
      </c>
      <c r="U984" s="36">
        <v>20.0</v>
      </c>
      <c r="V984" s="36">
        <v>21.0</v>
      </c>
      <c r="W984" s="36">
        <v>22.0</v>
      </c>
      <c r="X984" s="36">
        <v>23.0</v>
      </c>
      <c r="Y984" s="36">
        <v>24.0</v>
      </c>
      <c r="Z984" s="36">
        <v>25.0</v>
      </c>
      <c r="AA984" s="36">
        <v>26.0</v>
      </c>
      <c r="AB984" s="36">
        <v>27.0</v>
      </c>
      <c r="AC984" s="36">
        <v>28.0</v>
      </c>
      <c r="AD984" s="36">
        <v>29.0</v>
      </c>
      <c r="AE984" s="36">
        <v>30.0</v>
      </c>
      <c r="AF984" s="36"/>
      <c r="AG984" s="36"/>
      <c r="AH984" s="36"/>
      <c r="AI984" s="36"/>
      <c r="AJ984" s="36"/>
    </row>
    <row r="985" ht="15.75" customHeight="1">
      <c r="A985" s="12" t="s">
        <v>217</v>
      </c>
      <c r="B985" s="12">
        <v>38.0</v>
      </c>
      <c r="C985" s="12">
        <v>38.0</v>
      </c>
      <c r="D985" s="12">
        <v>38.0</v>
      </c>
      <c r="E985" s="12">
        <v>38.0</v>
      </c>
      <c r="F985" s="12">
        <v>38.0</v>
      </c>
      <c r="G985" s="12">
        <v>38.0</v>
      </c>
      <c r="H985" s="12">
        <v>38.0</v>
      </c>
      <c r="I985" s="12">
        <v>38.0</v>
      </c>
      <c r="J985" s="12">
        <v>38.0</v>
      </c>
      <c r="K985" s="12">
        <v>38.0</v>
      </c>
      <c r="L985" s="12">
        <v>38.0</v>
      </c>
      <c r="M985" s="12">
        <v>38.0</v>
      </c>
      <c r="N985" s="12">
        <v>38.0</v>
      </c>
      <c r="O985" s="12">
        <v>38.0</v>
      </c>
      <c r="P985" s="12">
        <v>38.0</v>
      </c>
      <c r="Q985" s="12">
        <v>38.0</v>
      </c>
      <c r="R985" s="12">
        <v>38.0</v>
      </c>
      <c r="S985" s="12">
        <v>38.0</v>
      </c>
      <c r="T985" s="12">
        <v>38.0</v>
      </c>
      <c r="U985" s="12">
        <v>38.0</v>
      </c>
      <c r="V985" s="12">
        <v>38.0</v>
      </c>
      <c r="W985" s="12">
        <v>38.0</v>
      </c>
      <c r="X985" s="12">
        <v>38.0</v>
      </c>
      <c r="Y985" s="12">
        <v>38.0</v>
      </c>
      <c r="Z985" s="12">
        <v>38.0</v>
      </c>
      <c r="AA985" s="12">
        <v>38.0</v>
      </c>
      <c r="AB985" s="12">
        <v>38.0</v>
      </c>
      <c r="AC985" s="12">
        <v>38.0</v>
      </c>
      <c r="AD985" s="12">
        <v>38.0</v>
      </c>
      <c r="AE985" s="12">
        <v>38.0</v>
      </c>
      <c r="AF985" s="36"/>
      <c r="AG985" s="36"/>
      <c r="AH985" s="36"/>
      <c r="AI985" s="36"/>
      <c r="AJ985" s="36"/>
    </row>
    <row r="986" ht="15.75" customHeight="1">
      <c r="A986" s="12" t="s">
        <v>218</v>
      </c>
      <c r="B986" s="121">
        <v>0.0</v>
      </c>
      <c r="C986" s="121">
        <v>0.0</v>
      </c>
      <c r="D986" s="121">
        <v>0.0</v>
      </c>
      <c r="E986" s="121">
        <v>0.0</v>
      </c>
      <c r="F986" s="121">
        <v>0.0</v>
      </c>
      <c r="G986" s="121">
        <v>0.0</v>
      </c>
      <c r="H986" s="121">
        <v>0.0</v>
      </c>
      <c r="I986" s="121">
        <v>0.0</v>
      </c>
      <c r="J986" s="121">
        <v>0.0</v>
      </c>
      <c r="K986" s="121">
        <v>0.0</v>
      </c>
      <c r="L986" s="121">
        <v>0.0</v>
      </c>
      <c r="M986" s="121">
        <v>0.0</v>
      </c>
      <c r="N986" s="121">
        <v>0.0</v>
      </c>
      <c r="O986" s="121">
        <v>0.0</v>
      </c>
      <c r="P986" s="121">
        <v>0.0</v>
      </c>
      <c r="Q986" s="121">
        <v>0.0</v>
      </c>
      <c r="R986" s="121">
        <v>0.0</v>
      </c>
      <c r="S986" s="121">
        <v>0.0</v>
      </c>
      <c r="T986" s="121">
        <v>0.0</v>
      </c>
      <c r="U986" s="121">
        <v>0.0</v>
      </c>
      <c r="V986" s="121">
        <v>0.0</v>
      </c>
      <c r="W986" s="121">
        <v>0.0</v>
      </c>
      <c r="X986" s="121">
        <v>0.0</v>
      </c>
      <c r="Y986" s="121">
        <v>0.0</v>
      </c>
      <c r="Z986" s="121">
        <v>0.0</v>
      </c>
      <c r="AA986" s="121">
        <v>0.0</v>
      </c>
      <c r="AB986" s="121">
        <v>0.0</v>
      </c>
      <c r="AC986" s="121">
        <v>0.0</v>
      </c>
      <c r="AD986" s="121">
        <v>0.0</v>
      </c>
      <c r="AE986" s="121">
        <v>0.0</v>
      </c>
      <c r="AF986" s="36"/>
      <c r="AG986" s="36"/>
      <c r="AH986" s="36"/>
      <c r="AI986" s="36"/>
      <c r="AJ986" s="36"/>
    </row>
    <row r="987" ht="15.75" customHeight="1">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c r="AA987" s="36"/>
      <c r="AB987" s="36"/>
      <c r="AC987" s="36"/>
      <c r="AD987" s="36"/>
      <c r="AE987" s="36"/>
      <c r="AF987" s="36"/>
      <c r="AG987" s="36"/>
      <c r="AH987" s="36"/>
      <c r="AI987" s="36"/>
      <c r="AJ987" s="36"/>
    </row>
    <row r="988" ht="15.75" customHeight="1">
      <c r="A988" s="357" t="s">
        <v>1443</v>
      </c>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c r="AA988" s="36"/>
      <c r="AB988" s="36"/>
      <c r="AC988" s="36"/>
      <c r="AD988" s="36"/>
      <c r="AE988" s="36"/>
      <c r="AF988" s="36"/>
      <c r="AG988" s="36"/>
      <c r="AH988" s="36"/>
      <c r="AI988" s="36"/>
      <c r="AJ988" s="36"/>
    </row>
    <row r="989" ht="15.75" customHeight="1">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c r="AA989" s="36"/>
      <c r="AB989" s="36"/>
      <c r="AC989" s="36"/>
      <c r="AD989" s="36"/>
      <c r="AE989" s="36"/>
      <c r="AF989" s="36"/>
      <c r="AG989" s="36"/>
      <c r="AH989" s="36"/>
      <c r="AI989" s="36"/>
      <c r="AJ989" s="36"/>
    </row>
    <row r="990" ht="15.75" customHeight="1">
      <c r="A990" s="36" t="s">
        <v>215</v>
      </c>
      <c r="B990" s="36">
        <v>1.0</v>
      </c>
      <c r="C990" s="36">
        <v>2.0</v>
      </c>
      <c r="D990" s="36">
        <v>3.0</v>
      </c>
      <c r="E990" s="36">
        <v>4.0</v>
      </c>
      <c r="F990" s="36">
        <v>5.0</v>
      </c>
      <c r="G990" s="36">
        <v>6.0</v>
      </c>
      <c r="H990" s="36">
        <v>7.0</v>
      </c>
      <c r="I990" s="36">
        <v>8.0</v>
      </c>
      <c r="J990" s="36">
        <v>9.0</v>
      </c>
      <c r="K990" s="36">
        <v>10.0</v>
      </c>
      <c r="L990" s="36">
        <v>11.0</v>
      </c>
      <c r="M990" s="36">
        <v>12.0</v>
      </c>
      <c r="N990" s="36">
        <v>13.0</v>
      </c>
      <c r="O990" s="36">
        <v>14.0</v>
      </c>
      <c r="P990" s="36">
        <v>15.0</v>
      </c>
      <c r="Q990" s="36">
        <v>16.0</v>
      </c>
      <c r="R990" s="36">
        <v>17.0</v>
      </c>
      <c r="S990" s="36">
        <v>18.0</v>
      </c>
      <c r="T990" s="36">
        <v>19.0</v>
      </c>
      <c r="U990" s="36">
        <v>20.0</v>
      </c>
      <c r="V990" s="36">
        <v>21.0</v>
      </c>
      <c r="W990" s="36">
        <v>22.0</v>
      </c>
      <c r="X990" s="36">
        <v>23.0</v>
      </c>
      <c r="Y990" s="36">
        <v>24.0</v>
      </c>
      <c r="Z990" s="36">
        <v>25.0</v>
      </c>
      <c r="AA990" s="36">
        <v>26.0</v>
      </c>
      <c r="AB990" s="36">
        <v>27.0</v>
      </c>
      <c r="AC990" s="36">
        <v>28.0</v>
      </c>
      <c r="AD990" s="36">
        <v>29.0</v>
      </c>
      <c r="AE990" s="36">
        <v>30.0</v>
      </c>
      <c r="AF990" s="36"/>
      <c r="AG990" s="36"/>
      <c r="AH990" s="36"/>
      <c r="AI990" s="36"/>
      <c r="AJ990" s="36"/>
    </row>
    <row r="991" ht="15.75" customHeight="1">
      <c r="A991" s="12" t="s">
        <v>217</v>
      </c>
      <c r="B991" s="12">
        <v>50.0</v>
      </c>
      <c r="C991" s="12">
        <v>50.0</v>
      </c>
      <c r="D991" s="12">
        <v>50.0</v>
      </c>
      <c r="E991" s="12">
        <v>50.0</v>
      </c>
      <c r="F991" s="12">
        <v>50.0</v>
      </c>
      <c r="G991" s="12">
        <v>50.0</v>
      </c>
      <c r="H991" s="12">
        <v>50.0</v>
      </c>
      <c r="I991" s="12">
        <v>50.0</v>
      </c>
      <c r="J991" s="12">
        <v>50.0</v>
      </c>
      <c r="K991" s="12">
        <v>50.0</v>
      </c>
      <c r="L991" s="12">
        <v>50.0</v>
      </c>
      <c r="M991" s="12">
        <v>50.0</v>
      </c>
      <c r="N991" s="12">
        <v>50.0</v>
      </c>
      <c r="O991" s="12">
        <v>50.0</v>
      </c>
      <c r="P991" s="12">
        <v>50.0</v>
      </c>
      <c r="Q991" s="12">
        <v>50.0</v>
      </c>
      <c r="R991" s="12">
        <v>50.0</v>
      </c>
      <c r="S991" s="12">
        <v>50.0</v>
      </c>
      <c r="T991" s="12">
        <v>50.0</v>
      </c>
      <c r="U991" s="12">
        <v>50.0</v>
      </c>
      <c r="V991" s="12">
        <v>50.0</v>
      </c>
      <c r="W991" s="12">
        <v>50.0</v>
      </c>
      <c r="X991" s="12">
        <v>50.0</v>
      </c>
      <c r="Y991" s="12">
        <v>50.0</v>
      </c>
      <c r="Z991" s="12">
        <v>50.0</v>
      </c>
      <c r="AA991" s="12">
        <v>50.0</v>
      </c>
      <c r="AB991" s="12">
        <v>50.0</v>
      </c>
      <c r="AC991" s="12">
        <v>50.0</v>
      </c>
      <c r="AD991" s="12">
        <v>50.0</v>
      </c>
      <c r="AE991" s="12">
        <v>50.0</v>
      </c>
      <c r="AF991" s="36"/>
      <c r="AG991" s="36"/>
      <c r="AH991" s="36"/>
      <c r="AI991" s="36"/>
      <c r="AJ991" s="36"/>
    </row>
    <row r="992" ht="15.75" customHeight="1">
      <c r="A992" s="12" t="s">
        <v>218</v>
      </c>
      <c r="B992" s="121">
        <v>0.0</v>
      </c>
      <c r="C992" s="121">
        <v>0.0</v>
      </c>
      <c r="D992" s="121">
        <v>0.0</v>
      </c>
      <c r="E992" s="121">
        <v>0.0</v>
      </c>
      <c r="F992" s="121">
        <v>0.0</v>
      </c>
      <c r="G992" s="121">
        <v>0.0</v>
      </c>
      <c r="H992" s="121">
        <v>0.0</v>
      </c>
      <c r="I992" s="121">
        <v>0.0</v>
      </c>
      <c r="J992" s="121">
        <v>0.0</v>
      </c>
      <c r="K992" s="121">
        <v>0.0</v>
      </c>
      <c r="L992" s="121">
        <v>0.0</v>
      </c>
      <c r="M992" s="121">
        <v>0.0</v>
      </c>
      <c r="N992" s="121">
        <v>0.0</v>
      </c>
      <c r="O992" s="121">
        <v>0.0</v>
      </c>
      <c r="P992" s="121">
        <v>0.0</v>
      </c>
      <c r="Q992" s="121">
        <v>0.0</v>
      </c>
      <c r="R992" s="121">
        <v>0.0</v>
      </c>
      <c r="S992" s="121">
        <v>0.0</v>
      </c>
      <c r="T992" s="121">
        <v>0.0</v>
      </c>
      <c r="U992" s="121">
        <v>0.0</v>
      </c>
      <c r="V992" s="121">
        <v>0.0</v>
      </c>
      <c r="W992" s="121">
        <v>0.0</v>
      </c>
      <c r="X992" s="121">
        <v>0.0</v>
      </c>
      <c r="Y992" s="121">
        <v>0.0</v>
      </c>
      <c r="Z992" s="121">
        <v>0.0</v>
      </c>
      <c r="AA992" s="121">
        <v>0.0</v>
      </c>
      <c r="AB992" s="121">
        <v>0.0</v>
      </c>
      <c r="AC992" s="121">
        <v>0.0</v>
      </c>
      <c r="AD992" s="121">
        <v>0.0</v>
      </c>
      <c r="AE992" s="121">
        <v>0.0</v>
      </c>
      <c r="AF992" s="36"/>
      <c r="AG992" s="36"/>
      <c r="AH992" s="36"/>
      <c r="AI992" s="36"/>
      <c r="AJ992" s="36"/>
    </row>
    <row r="993" ht="15.75" customHeight="1">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c r="AA993" s="36"/>
      <c r="AB993" s="36"/>
      <c r="AC993" s="36"/>
      <c r="AD993" s="36"/>
      <c r="AE993" s="36"/>
      <c r="AF993" s="36"/>
      <c r="AG993" s="36"/>
      <c r="AH993" s="36"/>
      <c r="AI993" s="36"/>
      <c r="AJ993" s="36"/>
    </row>
    <row r="994" ht="15.75" customHeight="1">
      <c r="A994" s="357" t="s">
        <v>1447</v>
      </c>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c r="AA994" s="36"/>
      <c r="AB994" s="36"/>
      <c r="AC994" s="36"/>
      <c r="AD994" s="36"/>
      <c r="AE994" s="36"/>
      <c r="AF994" s="36"/>
      <c r="AG994" s="36"/>
      <c r="AH994" s="36"/>
      <c r="AI994" s="36"/>
      <c r="AJ994" s="36"/>
    </row>
    <row r="995" ht="15.75" customHeight="1">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c r="AA995" s="36"/>
      <c r="AB995" s="36"/>
      <c r="AC995" s="36"/>
      <c r="AD995" s="36"/>
      <c r="AE995" s="36"/>
      <c r="AF995" s="36"/>
      <c r="AG995" s="36"/>
      <c r="AH995" s="36"/>
      <c r="AI995" s="36"/>
      <c r="AJ995" s="36"/>
    </row>
    <row r="996" ht="15.75" customHeight="1">
      <c r="A996" s="36" t="s">
        <v>215</v>
      </c>
      <c r="B996" s="36">
        <v>1.0</v>
      </c>
      <c r="C996" s="36">
        <v>2.0</v>
      </c>
      <c r="D996" s="36">
        <v>3.0</v>
      </c>
      <c r="E996" s="36">
        <v>4.0</v>
      </c>
      <c r="F996" s="36">
        <v>5.0</v>
      </c>
      <c r="G996" s="36">
        <v>6.0</v>
      </c>
      <c r="H996" s="36">
        <v>7.0</v>
      </c>
      <c r="I996" s="36">
        <v>8.0</v>
      </c>
      <c r="J996" s="36">
        <v>9.0</v>
      </c>
      <c r="K996" s="36">
        <v>10.0</v>
      </c>
      <c r="L996" s="36">
        <v>11.0</v>
      </c>
      <c r="M996" s="36">
        <v>12.0</v>
      </c>
      <c r="N996" s="36">
        <v>13.0</v>
      </c>
      <c r="O996" s="36">
        <v>14.0</v>
      </c>
      <c r="P996" s="36">
        <v>15.0</v>
      </c>
      <c r="Q996" s="36">
        <v>16.0</v>
      </c>
      <c r="R996" s="36">
        <v>17.0</v>
      </c>
      <c r="S996" s="36">
        <v>18.0</v>
      </c>
      <c r="T996" s="36">
        <v>19.0</v>
      </c>
      <c r="U996" s="36">
        <v>20.0</v>
      </c>
      <c r="V996" s="36">
        <v>21.0</v>
      </c>
      <c r="W996" s="36">
        <v>22.0</v>
      </c>
      <c r="X996" s="36">
        <v>23.0</v>
      </c>
      <c r="Y996" s="36">
        <v>24.0</v>
      </c>
      <c r="Z996" s="36">
        <v>25.0</v>
      </c>
      <c r="AA996" s="36">
        <v>26.0</v>
      </c>
      <c r="AB996" s="36">
        <v>27.0</v>
      </c>
      <c r="AC996" s="36">
        <v>28.0</v>
      </c>
      <c r="AD996" s="36">
        <v>29.0</v>
      </c>
      <c r="AE996" s="36">
        <v>30.0</v>
      </c>
      <c r="AF996" s="36"/>
      <c r="AG996" s="36"/>
      <c r="AH996" s="36"/>
      <c r="AI996" s="36"/>
      <c r="AJ996" s="36"/>
    </row>
    <row r="997" ht="15.75" customHeight="1">
      <c r="A997" s="12" t="s">
        <v>217</v>
      </c>
      <c r="B997" s="12">
        <f>IF(Mod_Prem&gt;=50000,300,75)</f>
        <v>300</v>
      </c>
      <c r="C997" s="12">
        <v>75.0</v>
      </c>
      <c r="D997" s="12">
        <v>75.0</v>
      </c>
      <c r="E997" s="12">
        <v>75.0</v>
      </c>
      <c r="F997" s="12">
        <v>75.0</v>
      </c>
      <c r="G997" s="12">
        <v>75.0</v>
      </c>
      <c r="H997" s="12">
        <v>75.0</v>
      </c>
      <c r="I997" s="12">
        <v>75.0</v>
      </c>
      <c r="J997" s="12">
        <v>75.0</v>
      </c>
      <c r="K997" s="12">
        <v>75.0</v>
      </c>
      <c r="L997" s="12">
        <v>75.0</v>
      </c>
      <c r="M997" s="12">
        <v>75.0</v>
      </c>
      <c r="N997" s="12">
        <v>75.0</v>
      </c>
      <c r="O997" s="12">
        <v>75.0</v>
      </c>
      <c r="P997" s="12">
        <v>75.0</v>
      </c>
      <c r="Q997" s="12">
        <v>75.0</v>
      </c>
      <c r="R997" s="12">
        <v>75.0</v>
      </c>
      <c r="S997" s="12">
        <v>75.0</v>
      </c>
      <c r="T997" s="12">
        <v>75.0</v>
      </c>
      <c r="U997" s="12">
        <v>75.0</v>
      </c>
      <c r="V997" s="12">
        <v>75.0</v>
      </c>
      <c r="W997" s="12">
        <v>75.0</v>
      </c>
      <c r="X997" s="12">
        <v>75.0</v>
      </c>
      <c r="Y997" s="12">
        <v>75.0</v>
      </c>
      <c r="Z997" s="12">
        <v>75.0</v>
      </c>
      <c r="AA997" s="12">
        <v>75.0</v>
      </c>
      <c r="AB997" s="12">
        <v>75.0</v>
      </c>
      <c r="AC997" s="12">
        <v>75.0</v>
      </c>
      <c r="AD997" s="12">
        <v>75.0</v>
      </c>
      <c r="AE997" s="12">
        <v>75.0</v>
      </c>
      <c r="AF997" s="36"/>
      <c r="AG997" s="36"/>
      <c r="AH997" s="36"/>
      <c r="AI997" s="36"/>
      <c r="AJ997" s="36"/>
    </row>
    <row r="998" ht="15.75" customHeight="1">
      <c r="A998" s="12" t="s">
        <v>218</v>
      </c>
      <c r="B998" s="121">
        <v>0.0</v>
      </c>
      <c r="C998" s="121">
        <v>0.0</v>
      </c>
      <c r="D998" s="121">
        <v>0.0</v>
      </c>
      <c r="E998" s="121">
        <v>0.0</v>
      </c>
      <c r="F998" s="121">
        <v>0.0</v>
      </c>
      <c r="G998" s="121">
        <v>0.0</v>
      </c>
      <c r="H998" s="121">
        <v>0.0</v>
      </c>
      <c r="I998" s="121">
        <v>0.0</v>
      </c>
      <c r="J998" s="121">
        <v>0.0</v>
      </c>
      <c r="K998" s="121">
        <v>0.0</v>
      </c>
      <c r="L998" s="121">
        <v>0.0</v>
      </c>
      <c r="M998" s="121">
        <v>0.0</v>
      </c>
      <c r="N998" s="121">
        <v>0.0</v>
      </c>
      <c r="O998" s="121">
        <v>0.0</v>
      </c>
      <c r="P998" s="121">
        <v>0.0</v>
      </c>
      <c r="Q998" s="121">
        <v>0.0</v>
      </c>
      <c r="R998" s="121">
        <v>0.0</v>
      </c>
      <c r="S998" s="121">
        <v>0.0</v>
      </c>
      <c r="T998" s="121">
        <v>0.0</v>
      </c>
      <c r="U998" s="121">
        <v>0.0</v>
      </c>
      <c r="V998" s="121">
        <v>0.0</v>
      </c>
      <c r="W998" s="121">
        <v>0.0</v>
      </c>
      <c r="X998" s="121">
        <v>0.0</v>
      </c>
      <c r="Y998" s="121">
        <v>0.0</v>
      </c>
      <c r="Z998" s="121">
        <v>0.0</v>
      </c>
      <c r="AA998" s="121">
        <v>0.0</v>
      </c>
      <c r="AB998" s="121">
        <v>0.0</v>
      </c>
      <c r="AC998" s="121">
        <v>0.0</v>
      </c>
      <c r="AD998" s="121">
        <v>0.0</v>
      </c>
      <c r="AE998" s="121">
        <v>0.0</v>
      </c>
      <c r="AF998" s="36"/>
      <c r="AG998" s="36"/>
      <c r="AH998" s="36"/>
      <c r="AI998" s="36"/>
      <c r="AJ998" s="36"/>
    </row>
    <row r="999" ht="15.75" customHeight="1">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c r="AA999" s="36"/>
      <c r="AB999" s="36"/>
      <c r="AC999" s="36"/>
      <c r="AD999" s="36"/>
      <c r="AE999" s="36"/>
      <c r="AF999" s="36"/>
      <c r="AG999" s="36"/>
      <c r="AH999" s="36"/>
      <c r="AI999" s="36"/>
      <c r="AJ999" s="36"/>
    </row>
    <row r="1000" ht="15.75" customHeight="1">
      <c r="A1000" s="357" t="s">
        <v>1451</v>
      </c>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c r="AA1000" s="36"/>
      <c r="AB1000" s="36"/>
      <c r="AC1000" s="36"/>
      <c r="AD1000" s="36"/>
      <c r="AE1000" s="36"/>
      <c r="AF1000" s="36"/>
      <c r="AG1000" s="36"/>
      <c r="AH1000" s="36"/>
      <c r="AI1000" s="36"/>
      <c r="AJ1000" s="36"/>
    </row>
    <row r="1001" ht="15.75" customHeight="1">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c r="AA1001" s="36"/>
      <c r="AB1001" s="36"/>
      <c r="AC1001" s="36"/>
      <c r="AD1001" s="36"/>
      <c r="AE1001" s="36"/>
      <c r="AF1001" s="36"/>
      <c r="AG1001" s="36"/>
      <c r="AH1001" s="36"/>
      <c r="AI1001" s="36"/>
      <c r="AJ1001" s="36"/>
    </row>
    <row r="1002" ht="15.75" customHeight="1">
      <c r="A1002" s="36" t="s">
        <v>215</v>
      </c>
      <c r="B1002" s="36">
        <v>1.0</v>
      </c>
      <c r="C1002" s="36">
        <v>2.0</v>
      </c>
      <c r="D1002" s="36">
        <v>3.0</v>
      </c>
      <c r="E1002" s="36">
        <v>4.0</v>
      </c>
      <c r="F1002" s="36">
        <v>5.0</v>
      </c>
      <c r="G1002" s="36">
        <v>6.0</v>
      </c>
      <c r="H1002" s="36">
        <v>7.0</v>
      </c>
      <c r="I1002" s="36">
        <v>8.0</v>
      </c>
      <c r="J1002" s="36">
        <v>9.0</v>
      </c>
      <c r="K1002" s="36">
        <v>10.0</v>
      </c>
      <c r="L1002" s="36">
        <v>11.0</v>
      </c>
      <c r="M1002" s="36">
        <v>12.0</v>
      </c>
      <c r="N1002" s="36">
        <v>13.0</v>
      </c>
      <c r="O1002" s="36">
        <v>14.0</v>
      </c>
      <c r="P1002" s="36">
        <v>15.0</v>
      </c>
      <c r="Q1002" s="36">
        <v>16.0</v>
      </c>
      <c r="R1002" s="36">
        <v>17.0</v>
      </c>
      <c r="S1002" s="36">
        <v>18.0</v>
      </c>
      <c r="T1002" s="36">
        <v>19.0</v>
      </c>
      <c r="U1002" s="36">
        <v>20.0</v>
      </c>
      <c r="V1002" s="36">
        <v>21.0</v>
      </c>
      <c r="W1002" s="36">
        <v>22.0</v>
      </c>
      <c r="X1002" s="36">
        <v>23.0</v>
      </c>
      <c r="Y1002" s="36">
        <v>24.0</v>
      </c>
      <c r="Z1002" s="36">
        <v>25.0</v>
      </c>
      <c r="AA1002" s="36">
        <v>26.0</v>
      </c>
      <c r="AB1002" s="36">
        <v>27.0</v>
      </c>
      <c r="AC1002" s="36">
        <v>28.0</v>
      </c>
      <c r="AD1002" s="36">
        <v>29.0</v>
      </c>
      <c r="AE1002" s="36">
        <v>30.0</v>
      </c>
      <c r="AF1002" s="36"/>
      <c r="AG1002" s="36"/>
      <c r="AH1002" s="36"/>
      <c r="AI1002" s="36"/>
      <c r="AJ1002" s="36"/>
    </row>
    <row r="1003" ht="15.75" customHeight="1">
      <c r="A1003" s="12" t="s">
        <v>217</v>
      </c>
      <c r="B1003" s="12">
        <v>25.0</v>
      </c>
      <c r="C1003" s="12">
        <v>25.0</v>
      </c>
      <c r="D1003" s="12">
        <v>25.0</v>
      </c>
      <c r="E1003" s="12">
        <v>25.0</v>
      </c>
      <c r="F1003" s="12">
        <v>25.0</v>
      </c>
      <c r="G1003" s="12">
        <v>25.0</v>
      </c>
      <c r="H1003" s="12">
        <v>25.0</v>
      </c>
      <c r="I1003" s="12">
        <v>25.0</v>
      </c>
      <c r="J1003" s="12">
        <v>25.0</v>
      </c>
      <c r="K1003" s="12">
        <v>25.0</v>
      </c>
      <c r="L1003" s="12">
        <v>25.0</v>
      </c>
      <c r="M1003" s="12">
        <v>25.0</v>
      </c>
      <c r="N1003" s="12">
        <v>25.0</v>
      </c>
      <c r="O1003" s="12">
        <v>25.0</v>
      </c>
      <c r="P1003" s="12">
        <v>25.0</v>
      </c>
      <c r="Q1003" s="12">
        <v>25.0</v>
      </c>
      <c r="R1003" s="12">
        <v>25.0</v>
      </c>
      <c r="S1003" s="12">
        <v>25.0</v>
      </c>
      <c r="T1003" s="12">
        <v>25.0</v>
      </c>
      <c r="U1003" s="12">
        <v>25.0</v>
      </c>
      <c r="V1003" s="12">
        <v>25.0</v>
      </c>
      <c r="W1003" s="12">
        <v>25.0</v>
      </c>
      <c r="X1003" s="12">
        <v>25.0</v>
      </c>
      <c r="Y1003" s="12">
        <v>25.0</v>
      </c>
      <c r="Z1003" s="12">
        <v>25.0</v>
      </c>
      <c r="AA1003" s="12">
        <v>25.0</v>
      </c>
      <c r="AB1003" s="12">
        <v>25.0</v>
      </c>
      <c r="AC1003" s="12">
        <v>25.0</v>
      </c>
      <c r="AD1003" s="12">
        <v>25.0</v>
      </c>
      <c r="AE1003" s="12">
        <v>25.0</v>
      </c>
      <c r="AF1003" s="36"/>
      <c r="AG1003" s="36"/>
      <c r="AH1003" s="36"/>
      <c r="AI1003" s="36"/>
      <c r="AJ1003" s="36"/>
    </row>
    <row r="1004" ht="15.75" customHeight="1">
      <c r="A1004" s="12" t="s">
        <v>218</v>
      </c>
      <c r="B1004" s="121">
        <v>0.0</v>
      </c>
      <c r="C1004" s="121">
        <v>0.0</v>
      </c>
      <c r="D1004" s="121">
        <v>0.0</v>
      </c>
      <c r="E1004" s="121">
        <v>0.0</v>
      </c>
      <c r="F1004" s="121">
        <v>0.0</v>
      </c>
      <c r="G1004" s="121">
        <v>0.0</v>
      </c>
      <c r="H1004" s="121">
        <v>0.0</v>
      </c>
      <c r="I1004" s="121">
        <v>0.0</v>
      </c>
      <c r="J1004" s="121">
        <v>0.0</v>
      </c>
      <c r="K1004" s="121">
        <v>0.0</v>
      </c>
      <c r="L1004" s="121">
        <v>0.0</v>
      </c>
      <c r="M1004" s="121">
        <v>0.0</v>
      </c>
      <c r="N1004" s="121">
        <v>0.0</v>
      </c>
      <c r="O1004" s="121">
        <v>0.0</v>
      </c>
      <c r="P1004" s="121">
        <v>0.0</v>
      </c>
      <c r="Q1004" s="121">
        <v>0.0</v>
      </c>
      <c r="R1004" s="121">
        <v>0.0</v>
      </c>
      <c r="S1004" s="121">
        <v>0.0</v>
      </c>
      <c r="T1004" s="121">
        <v>0.0</v>
      </c>
      <c r="U1004" s="121">
        <v>0.0</v>
      </c>
      <c r="V1004" s="121">
        <v>0.0</v>
      </c>
      <c r="W1004" s="121">
        <v>0.0</v>
      </c>
      <c r="X1004" s="121">
        <v>0.0</v>
      </c>
      <c r="Y1004" s="121">
        <v>0.0</v>
      </c>
      <c r="Z1004" s="121">
        <v>0.0</v>
      </c>
      <c r="AA1004" s="121">
        <v>0.0</v>
      </c>
      <c r="AB1004" s="121">
        <v>0.0</v>
      </c>
      <c r="AC1004" s="121">
        <v>0.0</v>
      </c>
      <c r="AD1004" s="121">
        <v>0.0</v>
      </c>
      <c r="AE1004" s="121">
        <v>0.0</v>
      </c>
      <c r="AF1004" s="36"/>
      <c r="AG1004" s="36"/>
      <c r="AH1004" s="36"/>
      <c r="AI1004" s="36"/>
      <c r="AJ1004" s="36"/>
    </row>
    <row r="1005" ht="15.75" customHeight="1">
      <c r="A1005" s="36"/>
      <c r="B1005" s="36"/>
      <c r="C1005" s="36"/>
      <c r="D1005" s="36"/>
      <c r="E1005" s="36"/>
      <c r="F1005" s="36"/>
      <c r="G1005" s="36"/>
      <c r="H1005" s="36"/>
      <c r="I1005" s="36"/>
      <c r="J1005" s="36"/>
      <c r="K1005" s="36"/>
      <c r="L1005" s="36"/>
      <c r="M1005" s="36"/>
      <c r="N1005" s="36"/>
      <c r="O1005" s="36"/>
      <c r="P1005" s="36"/>
      <c r="Q1005" s="36"/>
      <c r="R1005" s="36"/>
      <c r="S1005" s="36"/>
      <c r="T1005" s="36"/>
      <c r="U1005" s="36"/>
      <c r="V1005" s="36"/>
      <c r="W1005" s="36"/>
      <c r="X1005" s="36"/>
      <c r="Y1005" s="36"/>
      <c r="Z1005" s="36"/>
      <c r="AA1005" s="36"/>
      <c r="AB1005" s="36"/>
      <c r="AC1005" s="36"/>
      <c r="AD1005" s="36"/>
      <c r="AE1005" s="36"/>
      <c r="AF1005" s="36"/>
      <c r="AG1005" s="36"/>
      <c r="AH1005" s="36"/>
      <c r="AI1005" s="36"/>
      <c r="AJ1005" s="36"/>
    </row>
    <row r="1006" ht="15.75" customHeight="1">
      <c r="A1006" s="357" t="s">
        <v>1455</v>
      </c>
      <c r="B1006" s="36"/>
      <c r="C1006" s="36"/>
      <c r="D1006" s="36"/>
      <c r="E1006" s="36"/>
      <c r="F1006" s="36"/>
      <c r="G1006" s="36"/>
      <c r="H1006" s="36"/>
      <c r="I1006" s="36"/>
      <c r="J1006" s="36"/>
      <c r="K1006" s="36"/>
      <c r="L1006" s="36"/>
      <c r="M1006" s="36"/>
      <c r="N1006" s="36"/>
      <c r="O1006" s="36"/>
      <c r="P1006" s="36"/>
      <c r="Q1006" s="36"/>
      <c r="R1006" s="36"/>
      <c r="S1006" s="36"/>
      <c r="T1006" s="36"/>
      <c r="U1006" s="36"/>
      <c r="V1006" s="36"/>
      <c r="W1006" s="36"/>
      <c r="X1006" s="36"/>
      <c r="Y1006" s="36"/>
      <c r="Z1006" s="36"/>
      <c r="AA1006" s="36"/>
      <c r="AB1006" s="36"/>
      <c r="AC1006" s="36"/>
      <c r="AD1006" s="36"/>
      <c r="AE1006" s="36"/>
      <c r="AF1006" s="36"/>
      <c r="AG1006" s="36"/>
      <c r="AH1006" s="36"/>
      <c r="AI1006" s="36"/>
      <c r="AJ1006" s="36"/>
    </row>
    <row r="1007" ht="15.75" customHeight="1">
      <c r="A1007" s="36"/>
      <c r="B1007" s="36"/>
      <c r="C1007" s="36"/>
      <c r="D1007" s="36"/>
      <c r="E1007" s="36"/>
      <c r="F1007" s="36"/>
      <c r="G1007" s="36"/>
      <c r="H1007" s="36"/>
      <c r="I1007" s="36"/>
      <c r="J1007" s="36"/>
      <c r="K1007" s="36"/>
      <c r="L1007" s="36"/>
      <c r="M1007" s="36"/>
      <c r="N1007" s="36"/>
      <c r="O1007" s="36"/>
      <c r="P1007" s="36"/>
      <c r="Q1007" s="36"/>
      <c r="R1007" s="36"/>
      <c r="S1007" s="36"/>
      <c r="T1007" s="36"/>
      <c r="U1007" s="36"/>
      <c r="V1007" s="36"/>
      <c r="W1007" s="36"/>
      <c r="X1007" s="36"/>
      <c r="Y1007" s="36"/>
      <c r="Z1007" s="36"/>
      <c r="AA1007" s="36"/>
      <c r="AB1007" s="36"/>
      <c r="AC1007" s="36"/>
      <c r="AD1007" s="36"/>
      <c r="AE1007" s="36"/>
      <c r="AF1007" s="36"/>
      <c r="AG1007" s="36"/>
      <c r="AH1007" s="36"/>
      <c r="AI1007" s="36"/>
      <c r="AJ1007" s="36"/>
    </row>
    <row r="1008" ht="15.75" customHeight="1">
      <c r="A1008" s="36" t="s">
        <v>215</v>
      </c>
      <c r="B1008" s="36">
        <v>1.0</v>
      </c>
      <c r="C1008" s="36">
        <v>2.0</v>
      </c>
      <c r="D1008" s="36">
        <v>3.0</v>
      </c>
      <c r="E1008" s="36">
        <v>4.0</v>
      </c>
      <c r="F1008" s="36">
        <v>5.0</v>
      </c>
      <c r="G1008" s="36">
        <v>6.0</v>
      </c>
      <c r="H1008" s="36">
        <v>7.0</v>
      </c>
      <c r="I1008" s="36">
        <v>8.0</v>
      </c>
      <c r="J1008" s="36">
        <v>9.0</v>
      </c>
      <c r="K1008" s="36">
        <v>10.0</v>
      </c>
      <c r="L1008" s="36">
        <v>11.0</v>
      </c>
      <c r="M1008" s="36">
        <v>12.0</v>
      </c>
      <c r="N1008" s="36">
        <v>13.0</v>
      </c>
      <c r="O1008" s="36">
        <v>14.0</v>
      </c>
      <c r="P1008" s="36">
        <v>15.0</v>
      </c>
      <c r="Q1008" s="36">
        <v>16.0</v>
      </c>
      <c r="R1008" s="36">
        <v>17.0</v>
      </c>
      <c r="S1008" s="36">
        <v>18.0</v>
      </c>
      <c r="T1008" s="36">
        <v>19.0</v>
      </c>
      <c r="U1008" s="36">
        <v>20.0</v>
      </c>
      <c r="V1008" s="36">
        <v>21.0</v>
      </c>
      <c r="W1008" s="36">
        <v>22.0</v>
      </c>
      <c r="X1008" s="36">
        <v>23.0</v>
      </c>
      <c r="Y1008" s="36">
        <v>24.0</v>
      </c>
      <c r="Z1008" s="36">
        <v>25.0</v>
      </c>
      <c r="AA1008" s="36">
        <v>26.0</v>
      </c>
      <c r="AB1008" s="36">
        <v>27.0</v>
      </c>
      <c r="AC1008" s="36">
        <v>28.0</v>
      </c>
      <c r="AD1008" s="36">
        <v>29.0</v>
      </c>
      <c r="AE1008" s="36">
        <v>30.0</v>
      </c>
      <c r="AF1008" s="36"/>
      <c r="AG1008" s="36"/>
      <c r="AH1008" s="36"/>
      <c r="AI1008" s="36"/>
      <c r="AJ1008" s="36"/>
    </row>
    <row r="1009" ht="15.75" customHeight="1">
      <c r="A1009" s="12" t="s">
        <v>217</v>
      </c>
      <c r="B1009" s="12">
        <v>50.0</v>
      </c>
      <c r="C1009" s="12">
        <v>50.0</v>
      </c>
      <c r="D1009" s="12">
        <v>50.0</v>
      </c>
      <c r="E1009" s="12">
        <v>50.0</v>
      </c>
      <c r="F1009" s="12">
        <v>50.0</v>
      </c>
      <c r="G1009" s="12">
        <v>50.0</v>
      </c>
      <c r="H1009" s="12">
        <v>50.0</v>
      </c>
      <c r="I1009" s="12">
        <v>50.0</v>
      </c>
      <c r="J1009" s="12">
        <v>50.0</v>
      </c>
      <c r="K1009" s="12">
        <v>50.0</v>
      </c>
      <c r="L1009" s="12">
        <v>50.0</v>
      </c>
      <c r="M1009" s="12">
        <v>50.0</v>
      </c>
      <c r="N1009" s="12">
        <v>50.0</v>
      </c>
      <c r="O1009" s="12">
        <v>50.0</v>
      </c>
      <c r="P1009" s="12">
        <v>50.0</v>
      </c>
      <c r="Q1009" s="12">
        <v>50.0</v>
      </c>
      <c r="R1009" s="12">
        <v>50.0</v>
      </c>
      <c r="S1009" s="12">
        <v>50.0</v>
      </c>
      <c r="T1009" s="12">
        <v>50.0</v>
      </c>
      <c r="U1009" s="12">
        <v>50.0</v>
      </c>
      <c r="V1009" s="12">
        <v>50.0</v>
      </c>
      <c r="W1009" s="12">
        <v>50.0</v>
      </c>
      <c r="X1009" s="12">
        <v>50.0</v>
      </c>
      <c r="Y1009" s="12">
        <v>50.0</v>
      </c>
      <c r="Z1009" s="12">
        <v>50.0</v>
      </c>
      <c r="AA1009" s="12">
        <v>50.0</v>
      </c>
      <c r="AB1009" s="12">
        <v>50.0</v>
      </c>
      <c r="AC1009" s="12">
        <v>50.0</v>
      </c>
      <c r="AD1009" s="12">
        <v>50.0</v>
      </c>
      <c r="AE1009" s="12">
        <v>50.0</v>
      </c>
      <c r="AF1009" s="36"/>
      <c r="AG1009" s="36"/>
      <c r="AH1009" s="36"/>
      <c r="AI1009" s="36"/>
      <c r="AJ1009" s="36"/>
    </row>
    <row r="1010" ht="15.75" customHeight="1">
      <c r="A1010" s="12" t="s">
        <v>218</v>
      </c>
      <c r="B1010" s="121">
        <v>0.0</v>
      </c>
      <c r="C1010" s="121">
        <v>0.0</v>
      </c>
      <c r="D1010" s="121">
        <v>0.0</v>
      </c>
      <c r="E1010" s="121">
        <v>0.0</v>
      </c>
      <c r="F1010" s="121">
        <v>0.0</v>
      </c>
      <c r="G1010" s="121">
        <v>0.0</v>
      </c>
      <c r="H1010" s="121">
        <v>0.0</v>
      </c>
      <c r="I1010" s="121">
        <v>0.0</v>
      </c>
      <c r="J1010" s="121">
        <v>0.0</v>
      </c>
      <c r="K1010" s="121">
        <v>0.0</v>
      </c>
      <c r="L1010" s="121">
        <v>0.0</v>
      </c>
      <c r="M1010" s="121">
        <v>0.0</v>
      </c>
      <c r="N1010" s="121">
        <v>0.0</v>
      </c>
      <c r="O1010" s="121">
        <v>0.0</v>
      </c>
      <c r="P1010" s="121">
        <v>0.0</v>
      </c>
      <c r="Q1010" s="121">
        <v>0.0</v>
      </c>
      <c r="R1010" s="121">
        <v>0.0</v>
      </c>
      <c r="S1010" s="121">
        <v>0.0</v>
      </c>
      <c r="T1010" s="121">
        <v>0.0</v>
      </c>
      <c r="U1010" s="121">
        <v>0.0</v>
      </c>
      <c r="V1010" s="121">
        <v>0.0</v>
      </c>
      <c r="W1010" s="121">
        <v>0.0</v>
      </c>
      <c r="X1010" s="121">
        <v>0.0</v>
      </c>
      <c r="Y1010" s="121">
        <v>0.0</v>
      </c>
      <c r="Z1010" s="121">
        <v>0.0</v>
      </c>
      <c r="AA1010" s="121">
        <v>0.0</v>
      </c>
      <c r="AB1010" s="121">
        <v>0.0</v>
      </c>
      <c r="AC1010" s="121">
        <v>0.0</v>
      </c>
      <c r="AD1010" s="121">
        <v>0.0</v>
      </c>
      <c r="AE1010" s="121">
        <v>0.0</v>
      </c>
      <c r="AF1010" s="36"/>
      <c r="AG1010" s="36"/>
      <c r="AH1010" s="36"/>
      <c r="AI1010" s="36"/>
      <c r="AJ1010" s="36"/>
    </row>
    <row r="1011" ht="15.75" customHeight="1">
      <c r="A1011" s="36"/>
      <c r="B1011" s="36"/>
      <c r="C1011" s="36"/>
      <c r="D1011" s="36"/>
      <c r="E1011" s="36"/>
      <c r="F1011" s="36"/>
      <c r="G1011" s="36"/>
      <c r="H1011" s="36"/>
      <c r="I1011" s="36"/>
      <c r="J1011" s="36"/>
      <c r="K1011" s="36"/>
      <c r="L1011" s="36"/>
      <c r="M1011" s="36"/>
      <c r="N1011" s="36"/>
      <c r="O1011" s="36"/>
      <c r="P1011" s="36"/>
      <c r="Q1011" s="36"/>
      <c r="R1011" s="36"/>
      <c r="S1011" s="36"/>
      <c r="T1011" s="36"/>
      <c r="U1011" s="36"/>
      <c r="V1011" s="36"/>
      <c r="W1011" s="36"/>
      <c r="X1011" s="36"/>
      <c r="Y1011" s="36"/>
      <c r="Z1011" s="36"/>
      <c r="AA1011" s="36"/>
      <c r="AB1011" s="36"/>
      <c r="AC1011" s="36"/>
      <c r="AD1011" s="36"/>
      <c r="AE1011" s="36"/>
      <c r="AF1011" s="36"/>
      <c r="AG1011" s="36"/>
      <c r="AH1011" s="36"/>
      <c r="AI1011" s="36"/>
      <c r="AJ1011" s="36"/>
    </row>
    <row r="1012" ht="15.75" customHeight="1">
      <c r="A1012" s="357" t="s">
        <v>1459</v>
      </c>
      <c r="B1012" s="36"/>
      <c r="C1012" s="36"/>
      <c r="D1012" s="36"/>
      <c r="E1012" s="36"/>
      <c r="F1012" s="36"/>
      <c r="G1012" s="36"/>
      <c r="H1012" s="36"/>
      <c r="I1012" s="36"/>
      <c r="J1012" s="36"/>
      <c r="K1012" s="36"/>
      <c r="L1012" s="36"/>
      <c r="M1012" s="36"/>
      <c r="N1012" s="36"/>
      <c r="O1012" s="36"/>
      <c r="P1012" s="36"/>
      <c r="Q1012" s="36"/>
      <c r="R1012" s="36"/>
      <c r="S1012" s="36"/>
      <c r="T1012" s="36"/>
      <c r="U1012" s="36"/>
      <c r="V1012" s="36"/>
      <c r="W1012" s="36"/>
      <c r="X1012" s="36"/>
      <c r="Y1012" s="36"/>
      <c r="Z1012" s="36"/>
      <c r="AA1012" s="36"/>
      <c r="AB1012" s="36"/>
      <c r="AC1012" s="36"/>
      <c r="AD1012" s="36"/>
      <c r="AE1012" s="36"/>
      <c r="AF1012" s="36"/>
      <c r="AG1012" s="36"/>
      <c r="AH1012" s="36"/>
      <c r="AI1012" s="36"/>
      <c r="AJ1012" s="36"/>
    </row>
    <row r="1013" ht="15.75" customHeight="1">
      <c r="A1013" s="36"/>
      <c r="B1013" s="36"/>
      <c r="C1013" s="36"/>
      <c r="D1013" s="36"/>
      <c r="E1013" s="36"/>
      <c r="F1013" s="36"/>
      <c r="G1013" s="36"/>
      <c r="H1013" s="36"/>
      <c r="I1013" s="36"/>
      <c r="J1013" s="36"/>
      <c r="K1013" s="36"/>
      <c r="L1013" s="36"/>
      <c r="M1013" s="36"/>
      <c r="N1013" s="36"/>
      <c r="O1013" s="36"/>
      <c r="P1013" s="36"/>
      <c r="Q1013" s="36"/>
      <c r="R1013" s="36"/>
      <c r="S1013" s="36"/>
      <c r="T1013" s="36"/>
      <c r="U1013" s="36"/>
      <c r="V1013" s="36"/>
      <c r="W1013" s="36"/>
      <c r="X1013" s="36"/>
      <c r="Y1013" s="36"/>
      <c r="Z1013" s="36"/>
      <c r="AA1013" s="36"/>
      <c r="AB1013" s="36"/>
      <c r="AC1013" s="36"/>
      <c r="AD1013" s="36"/>
      <c r="AE1013" s="36"/>
      <c r="AF1013" s="36"/>
      <c r="AG1013" s="36"/>
      <c r="AH1013" s="36"/>
      <c r="AI1013" s="36"/>
      <c r="AJ1013" s="36"/>
    </row>
    <row r="1014" ht="15.75" customHeight="1">
      <c r="A1014" s="36" t="s">
        <v>215</v>
      </c>
      <c r="B1014" s="36">
        <v>1.0</v>
      </c>
      <c r="C1014" s="36">
        <v>2.0</v>
      </c>
      <c r="D1014" s="36">
        <v>3.0</v>
      </c>
      <c r="E1014" s="36">
        <v>4.0</v>
      </c>
      <c r="F1014" s="36">
        <v>5.0</v>
      </c>
      <c r="G1014" s="36">
        <v>6.0</v>
      </c>
      <c r="H1014" s="36">
        <v>7.0</v>
      </c>
      <c r="I1014" s="36">
        <v>8.0</v>
      </c>
      <c r="J1014" s="36">
        <v>9.0</v>
      </c>
      <c r="K1014" s="36">
        <v>10.0</v>
      </c>
      <c r="L1014" s="36">
        <v>11.0</v>
      </c>
      <c r="M1014" s="36">
        <v>12.0</v>
      </c>
      <c r="N1014" s="36">
        <v>13.0</v>
      </c>
      <c r="O1014" s="36">
        <v>14.0</v>
      </c>
      <c r="P1014" s="36">
        <v>15.0</v>
      </c>
      <c r="Q1014" s="36">
        <v>16.0</v>
      </c>
      <c r="R1014" s="36">
        <v>17.0</v>
      </c>
      <c r="S1014" s="36">
        <v>18.0</v>
      </c>
      <c r="T1014" s="36">
        <v>19.0</v>
      </c>
      <c r="U1014" s="36">
        <v>20.0</v>
      </c>
      <c r="V1014" s="36">
        <v>21.0</v>
      </c>
      <c r="W1014" s="36">
        <v>22.0</v>
      </c>
      <c r="X1014" s="36">
        <v>23.0</v>
      </c>
      <c r="Y1014" s="36">
        <v>24.0</v>
      </c>
      <c r="Z1014" s="36">
        <v>25.0</v>
      </c>
      <c r="AA1014" s="36">
        <v>26.0</v>
      </c>
      <c r="AB1014" s="36">
        <v>27.0</v>
      </c>
      <c r="AC1014" s="36">
        <v>28.0</v>
      </c>
      <c r="AD1014" s="36">
        <v>29.0</v>
      </c>
      <c r="AE1014" s="36">
        <v>30.0</v>
      </c>
      <c r="AF1014" s="36"/>
      <c r="AG1014" s="36"/>
      <c r="AH1014" s="36"/>
      <c r="AI1014" s="36"/>
      <c r="AJ1014" s="36"/>
    </row>
    <row r="1015" ht="15.75" customHeight="1">
      <c r="A1015" s="12" t="s">
        <v>217</v>
      </c>
      <c r="B1015" s="12">
        <f>IF(Mod_Prem&gt;=50000,300,75)</f>
        <v>300</v>
      </c>
      <c r="C1015" s="12">
        <v>75.0</v>
      </c>
      <c r="D1015" s="12">
        <v>75.0</v>
      </c>
      <c r="E1015" s="12">
        <v>75.0</v>
      </c>
      <c r="F1015" s="12">
        <v>75.0</v>
      </c>
      <c r="G1015" s="12">
        <v>75.0</v>
      </c>
      <c r="H1015" s="12">
        <v>75.0</v>
      </c>
      <c r="I1015" s="12">
        <v>75.0</v>
      </c>
      <c r="J1015" s="12">
        <v>75.0</v>
      </c>
      <c r="K1015" s="12">
        <v>75.0</v>
      </c>
      <c r="L1015" s="12">
        <v>75.0</v>
      </c>
      <c r="M1015" s="12">
        <v>75.0</v>
      </c>
      <c r="N1015" s="12">
        <v>75.0</v>
      </c>
      <c r="O1015" s="12">
        <v>75.0</v>
      </c>
      <c r="P1015" s="12">
        <v>75.0</v>
      </c>
      <c r="Q1015" s="12">
        <v>75.0</v>
      </c>
      <c r="R1015" s="12">
        <v>75.0</v>
      </c>
      <c r="S1015" s="12">
        <v>75.0</v>
      </c>
      <c r="T1015" s="12">
        <v>75.0</v>
      </c>
      <c r="U1015" s="12">
        <v>75.0</v>
      </c>
      <c r="V1015" s="12">
        <v>75.0</v>
      </c>
      <c r="W1015" s="12">
        <v>75.0</v>
      </c>
      <c r="X1015" s="12">
        <v>75.0</v>
      </c>
      <c r="Y1015" s="12">
        <v>75.0</v>
      </c>
      <c r="Z1015" s="12">
        <v>75.0</v>
      </c>
      <c r="AA1015" s="12">
        <v>75.0</v>
      </c>
      <c r="AB1015" s="12">
        <v>75.0</v>
      </c>
      <c r="AC1015" s="12">
        <v>75.0</v>
      </c>
      <c r="AD1015" s="12">
        <v>75.0</v>
      </c>
      <c r="AE1015" s="12">
        <v>75.0</v>
      </c>
      <c r="AF1015" s="36"/>
      <c r="AG1015" s="36"/>
      <c r="AH1015" s="36"/>
      <c r="AI1015" s="36"/>
      <c r="AJ1015" s="36"/>
    </row>
    <row r="1016" ht="15.75" customHeight="1">
      <c r="A1016" s="12" t="s">
        <v>218</v>
      </c>
      <c r="B1016" s="121">
        <v>0.0</v>
      </c>
      <c r="C1016" s="121">
        <v>0.0</v>
      </c>
      <c r="D1016" s="121">
        <v>0.0</v>
      </c>
      <c r="E1016" s="121">
        <v>0.0</v>
      </c>
      <c r="F1016" s="121">
        <v>0.0</v>
      </c>
      <c r="G1016" s="121">
        <v>0.0</v>
      </c>
      <c r="H1016" s="121">
        <v>0.0</v>
      </c>
      <c r="I1016" s="121">
        <v>0.0</v>
      </c>
      <c r="J1016" s="121">
        <v>0.0</v>
      </c>
      <c r="K1016" s="121">
        <v>0.0</v>
      </c>
      <c r="L1016" s="121">
        <v>0.0</v>
      </c>
      <c r="M1016" s="121">
        <v>0.0</v>
      </c>
      <c r="N1016" s="121">
        <v>0.0</v>
      </c>
      <c r="O1016" s="121">
        <v>0.0</v>
      </c>
      <c r="P1016" s="121">
        <v>0.0</v>
      </c>
      <c r="Q1016" s="121">
        <v>0.0</v>
      </c>
      <c r="R1016" s="121">
        <v>0.0</v>
      </c>
      <c r="S1016" s="121">
        <v>0.0</v>
      </c>
      <c r="T1016" s="121">
        <v>0.0</v>
      </c>
      <c r="U1016" s="121">
        <v>0.0</v>
      </c>
      <c r="V1016" s="121">
        <v>0.0</v>
      </c>
      <c r="W1016" s="121">
        <v>0.0</v>
      </c>
      <c r="X1016" s="121">
        <v>0.0</v>
      </c>
      <c r="Y1016" s="121">
        <v>0.0</v>
      </c>
      <c r="Z1016" s="121">
        <v>0.0</v>
      </c>
      <c r="AA1016" s="121">
        <v>0.0</v>
      </c>
      <c r="AB1016" s="121">
        <v>0.0</v>
      </c>
      <c r="AC1016" s="121">
        <v>0.0</v>
      </c>
      <c r="AD1016" s="121">
        <v>0.0</v>
      </c>
      <c r="AE1016" s="121">
        <v>0.0</v>
      </c>
      <c r="AF1016" s="36"/>
      <c r="AG1016" s="36"/>
      <c r="AH1016" s="36"/>
      <c r="AI1016" s="36"/>
      <c r="AJ1016" s="36"/>
    </row>
    <row r="1017" ht="15.75" customHeight="1">
      <c r="A1017" s="36"/>
      <c r="B1017" s="36"/>
      <c r="C1017" s="36"/>
      <c r="D1017" s="36"/>
      <c r="E1017" s="36"/>
      <c r="F1017" s="36"/>
      <c r="G1017" s="36"/>
      <c r="H1017" s="36"/>
      <c r="I1017" s="36"/>
      <c r="J1017" s="36"/>
      <c r="K1017" s="36"/>
      <c r="L1017" s="36"/>
      <c r="M1017" s="36"/>
      <c r="N1017" s="36"/>
      <c r="O1017" s="36"/>
      <c r="P1017" s="36"/>
      <c r="Q1017" s="36"/>
      <c r="R1017" s="36"/>
      <c r="S1017" s="36"/>
      <c r="T1017" s="36"/>
      <c r="U1017" s="36"/>
      <c r="V1017" s="36"/>
      <c r="W1017" s="36"/>
      <c r="X1017" s="36"/>
      <c r="Y1017" s="36"/>
      <c r="Z1017" s="36"/>
      <c r="AA1017" s="36"/>
      <c r="AB1017" s="36"/>
      <c r="AC1017" s="36"/>
      <c r="AD1017" s="36"/>
      <c r="AE1017" s="36"/>
      <c r="AF1017" s="36"/>
      <c r="AG1017" s="36"/>
      <c r="AH1017" s="36"/>
      <c r="AI1017" s="36"/>
      <c r="AJ1017" s="36"/>
    </row>
    <row r="1018" ht="15.75" customHeight="1">
      <c r="A1018" s="357" t="s">
        <v>1463</v>
      </c>
      <c r="B1018" s="36"/>
      <c r="C1018" s="36"/>
      <c r="D1018" s="36"/>
      <c r="E1018" s="36"/>
      <c r="F1018" s="36"/>
      <c r="G1018" s="36"/>
      <c r="H1018" s="36"/>
      <c r="I1018" s="36"/>
      <c r="J1018" s="36"/>
      <c r="K1018" s="36"/>
      <c r="L1018" s="36"/>
      <c r="M1018" s="36"/>
      <c r="N1018" s="36"/>
      <c r="O1018" s="36"/>
      <c r="P1018" s="36"/>
      <c r="Q1018" s="36"/>
      <c r="R1018" s="36"/>
      <c r="S1018" s="36"/>
      <c r="T1018" s="36"/>
      <c r="U1018" s="36"/>
      <c r="V1018" s="36"/>
      <c r="W1018" s="36"/>
      <c r="X1018" s="36"/>
      <c r="Y1018" s="36"/>
      <c r="Z1018" s="36"/>
      <c r="AA1018" s="36"/>
      <c r="AB1018" s="36"/>
      <c r="AC1018" s="36"/>
      <c r="AD1018" s="36"/>
      <c r="AE1018" s="36"/>
      <c r="AF1018" s="36"/>
      <c r="AG1018" s="36"/>
      <c r="AH1018" s="36"/>
      <c r="AI1018" s="36"/>
      <c r="AJ1018" s="36"/>
    </row>
    <row r="1019" ht="15.75" customHeight="1">
      <c r="A1019" s="36"/>
      <c r="B1019" s="36"/>
      <c r="C1019" s="36"/>
      <c r="D1019" s="36"/>
      <c r="E1019" s="36"/>
      <c r="F1019" s="36"/>
      <c r="G1019" s="36"/>
      <c r="H1019" s="36"/>
      <c r="I1019" s="36"/>
      <c r="J1019" s="36"/>
      <c r="K1019" s="36"/>
      <c r="L1019" s="36"/>
      <c r="M1019" s="36"/>
      <c r="N1019" s="36"/>
      <c r="O1019" s="36"/>
      <c r="P1019" s="36"/>
      <c r="Q1019" s="36"/>
      <c r="R1019" s="36"/>
      <c r="S1019" s="36"/>
      <c r="T1019" s="36"/>
      <c r="U1019" s="36"/>
      <c r="V1019" s="36"/>
      <c r="W1019" s="36"/>
      <c r="X1019" s="36"/>
      <c r="Y1019" s="36"/>
      <c r="Z1019" s="36"/>
      <c r="AA1019" s="36"/>
      <c r="AB1019" s="36"/>
      <c r="AC1019" s="36"/>
      <c r="AD1019" s="36"/>
      <c r="AE1019" s="36"/>
      <c r="AF1019" s="36"/>
      <c r="AG1019" s="36"/>
      <c r="AH1019" s="36"/>
      <c r="AI1019" s="36"/>
      <c r="AJ1019" s="36"/>
    </row>
    <row r="1020" ht="15.75" customHeight="1">
      <c r="A1020" s="36" t="s">
        <v>215</v>
      </c>
      <c r="B1020" s="36">
        <v>1.0</v>
      </c>
      <c r="C1020" s="36">
        <v>2.0</v>
      </c>
      <c r="D1020" s="36">
        <v>3.0</v>
      </c>
      <c r="E1020" s="36">
        <v>4.0</v>
      </c>
      <c r="F1020" s="36">
        <v>5.0</v>
      </c>
      <c r="G1020" s="36">
        <v>6.0</v>
      </c>
      <c r="H1020" s="36">
        <v>7.0</v>
      </c>
      <c r="I1020" s="36">
        <v>8.0</v>
      </c>
      <c r="J1020" s="36">
        <v>9.0</v>
      </c>
      <c r="K1020" s="36">
        <v>10.0</v>
      </c>
      <c r="L1020" s="36">
        <v>11.0</v>
      </c>
      <c r="M1020" s="36">
        <v>12.0</v>
      </c>
      <c r="N1020" s="36">
        <v>13.0</v>
      </c>
      <c r="O1020" s="36">
        <v>14.0</v>
      </c>
      <c r="P1020" s="36">
        <v>15.0</v>
      </c>
      <c r="Q1020" s="36">
        <v>16.0</v>
      </c>
      <c r="R1020" s="36">
        <v>17.0</v>
      </c>
      <c r="S1020" s="36">
        <v>18.0</v>
      </c>
      <c r="T1020" s="36">
        <v>19.0</v>
      </c>
      <c r="U1020" s="36">
        <v>20.0</v>
      </c>
      <c r="V1020" s="36">
        <v>21.0</v>
      </c>
      <c r="W1020" s="36">
        <v>22.0</v>
      </c>
      <c r="X1020" s="36">
        <v>23.0</v>
      </c>
      <c r="Y1020" s="36">
        <v>24.0</v>
      </c>
      <c r="Z1020" s="36">
        <v>25.0</v>
      </c>
      <c r="AA1020" s="36">
        <v>26.0</v>
      </c>
      <c r="AB1020" s="36">
        <v>27.0</v>
      </c>
      <c r="AC1020" s="36">
        <v>28.0</v>
      </c>
      <c r="AD1020" s="36">
        <v>29.0</v>
      </c>
      <c r="AE1020" s="36">
        <v>30.0</v>
      </c>
      <c r="AF1020" s="36"/>
      <c r="AG1020" s="36"/>
      <c r="AH1020" s="36"/>
      <c r="AI1020" s="36"/>
      <c r="AJ1020" s="36"/>
    </row>
    <row r="1021" ht="15.75" customHeight="1">
      <c r="A1021" s="12" t="s">
        <v>217</v>
      </c>
      <c r="B1021" s="12">
        <v>0.0</v>
      </c>
      <c r="C1021" s="12">
        <f>IF(Mod_Prem&gt;=50000,150,65)</f>
        <v>150</v>
      </c>
      <c r="D1021" s="12">
        <f>IF(Mod_Prem&gt;=50000,150,65)</f>
        <v>150</v>
      </c>
      <c r="E1021" s="12">
        <f>IF(Mod_Prem&gt;=50000,150,65)</f>
        <v>150</v>
      </c>
      <c r="F1021" s="12">
        <f>IF(Mod_Prem&gt;=50000,150,65)</f>
        <v>150</v>
      </c>
      <c r="G1021" s="12">
        <f>IF(Mod_Prem&gt;=50000,150,65)</f>
        <v>150</v>
      </c>
      <c r="H1021" s="12">
        <f>IF(Mod_Prem&gt;=50000,150,65)</f>
        <v>150</v>
      </c>
      <c r="I1021" s="12">
        <f>IF(Mod_Prem&gt;=50000,150,65)</f>
        <v>150</v>
      </c>
      <c r="J1021" s="12">
        <f>IF(Mod_Prem&gt;=50000,150,65)</f>
        <v>150</v>
      </c>
      <c r="K1021" s="12">
        <f>IF(Mod_Prem&gt;=50000,150,65)</f>
        <v>150</v>
      </c>
      <c r="L1021" s="12">
        <f>IF(Mod_Prem&gt;=50000,150,65)</f>
        <v>150</v>
      </c>
      <c r="M1021" s="12">
        <f>IF(Mod_Prem&gt;=50000,150,65)</f>
        <v>150</v>
      </c>
      <c r="N1021" s="12">
        <f>IF(Mod_Prem&gt;=50000,150,65)</f>
        <v>150</v>
      </c>
      <c r="O1021" s="12">
        <f>IF(Mod_Prem&gt;=50000,150,65)</f>
        <v>150</v>
      </c>
      <c r="P1021" s="12">
        <f>IF(Mod_Prem&gt;=50000,150,65)</f>
        <v>150</v>
      </c>
      <c r="Q1021" s="12">
        <f>IF(Mod_Prem&gt;=50000,150,65)</f>
        <v>150</v>
      </c>
      <c r="R1021" s="12">
        <f>IF(Mod_Prem&gt;=50000,150,65)</f>
        <v>150</v>
      </c>
      <c r="S1021" s="12">
        <f>IF(Mod_Prem&gt;=50000,150,65)</f>
        <v>150</v>
      </c>
      <c r="T1021" s="12">
        <f>IF(Mod_Prem&gt;=50000,150,65)</f>
        <v>150</v>
      </c>
      <c r="U1021" s="12">
        <f>IF(Mod_Prem&gt;=50000,150,65)</f>
        <v>150</v>
      </c>
      <c r="V1021" s="12">
        <f>IF(Mod_Prem&gt;=50000,150,65)</f>
        <v>150</v>
      </c>
      <c r="W1021" s="12">
        <f>IF(Mod_Prem&gt;=50000,150,65)</f>
        <v>150</v>
      </c>
      <c r="X1021" s="12">
        <f>IF(Mod_Prem&gt;=50000,150,65)</f>
        <v>150</v>
      </c>
      <c r="Y1021" s="12">
        <f>IF(Mod_Prem&gt;=50000,150,65)</f>
        <v>150</v>
      </c>
      <c r="Z1021" s="12">
        <f>IF(Mod_Prem&gt;=50000,150,65)</f>
        <v>150</v>
      </c>
      <c r="AA1021" s="12">
        <f>IF(Mod_Prem&gt;=50000,150,65)</f>
        <v>150</v>
      </c>
      <c r="AB1021" s="12">
        <f>IF(Mod_Prem&gt;=50000,150,65)</f>
        <v>150</v>
      </c>
      <c r="AC1021" s="12">
        <f>IF(Mod_Prem&gt;=50000,150,65)</f>
        <v>150</v>
      </c>
      <c r="AD1021" s="12">
        <f>IF(Mod_Prem&gt;=50000,150,65)</f>
        <v>150</v>
      </c>
      <c r="AE1021" s="12">
        <f>IF(Mod_Prem&gt;=50000,150,65)</f>
        <v>150</v>
      </c>
      <c r="AF1021" s="36"/>
      <c r="AG1021" s="36"/>
      <c r="AH1021" s="36"/>
      <c r="AI1021" s="36"/>
      <c r="AJ1021" s="36"/>
    </row>
    <row r="1022" ht="15.75" customHeight="1">
      <c r="A1022" s="12" t="s">
        <v>218</v>
      </c>
      <c r="B1022" s="121">
        <v>0.0</v>
      </c>
      <c r="C1022" s="121">
        <v>0.0</v>
      </c>
      <c r="D1022" s="121">
        <v>0.0</v>
      </c>
      <c r="E1022" s="121">
        <v>0.0</v>
      </c>
      <c r="F1022" s="121">
        <v>0.0</v>
      </c>
      <c r="G1022" s="121">
        <v>0.0</v>
      </c>
      <c r="H1022" s="121">
        <v>0.0</v>
      </c>
      <c r="I1022" s="121">
        <v>0.0</v>
      </c>
      <c r="J1022" s="121">
        <v>0.0</v>
      </c>
      <c r="K1022" s="121">
        <v>0.0</v>
      </c>
      <c r="L1022" s="121">
        <v>0.0</v>
      </c>
      <c r="M1022" s="121">
        <v>0.0</v>
      </c>
      <c r="N1022" s="121">
        <v>0.0</v>
      </c>
      <c r="O1022" s="121">
        <v>0.0</v>
      </c>
      <c r="P1022" s="121">
        <v>0.0</v>
      </c>
      <c r="Q1022" s="121">
        <v>0.0</v>
      </c>
      <c r="R1022" s="121">
        <v>0.0</v>
      </c>
      <c r="S1022" s="121">
        <v>0.0</v>
      </c>
      <c r="T1022" s="121">
        <v>0.0</v>
      </c>
      <c r="U1022" s="121">
        <v>0.0</v>
      </c>
      <c r="V1022" s="121">
        <v>0.0</v>
      </c>
      <c r="W1022" s="121">
        <v>0.0</v>
      </c>
      <c r="X1022" s="121">
        <v>0.0</v>
      </c>
      <c r="Y1022" s="121">
        <v>0.0</v>
      </c>
      <c r="Z1022" s="121">
        <v>0.0</v>
      </c>
      <c r="AA1022" s="121">
        <v>0.0</v>
      </c>
      <c r="AB1022" s="121">
        <v>0.0</v>
      </c>
      <c r="AC1022" s="121">
        <v>0.0</v>
      </c>
      <c r="AD1022" s="121">
        <v>0.0</v>
      </c>
      <c r="AE1022" s="121">
        <v>0.0</v>
      </c>
      <c r="AF1022" s="36"/>
      <c r="AG1022" s="36"/>
      <c r="AH1022" s="36"/>
      <c r="AI1022" s="36"/>
      <c r="AJ1022" s="36"/>
    </row>
    <row r="1023" ht="15.75" customHeight="1">
      <c r="A1023" s="36"/>
      <c r="B1023" s="36"/>
      <c r="C1023" s="36"/>
      <c r="D1023" s="36"/>
      <c r="E1023" s="36"/>
      <c r="F1023" s="36"/>
      <c r="G1023" s="36"/>
      <c r="H1023" s="36"/>
      <c r="I1023" s="36"/>
      <c r="J1023" s="36"/>
      <c r="K1023" s="36"/>
      <c r="L1023" s="36"/>
      <c r="M1023" s="36"/>
      <c r="N1023" s="36"/>
      <c r="O1023" s="36"/>
      <c r="P1023" s="36"/>
      <c r="Q1023" s="36"/>
      <c r="R1023" s="36"/>
      <c r="S1023" s="36"/>
      <c r="T1023" s="36"/>
      <c r="U1023" s="36"/>
      <c r="V1023" s="36"/>
      <c r="W1023" s="36"/>
      <c r="X1023" s="36"/>
      <c r="Y1023" s="36"/>
      <c r="Z1023" s="36"/>
      <c r="AA1023" s="36"/>
      <c r="AB1023" s="36"/>
      <c r="AC1023" s="36"/>
      <c r="AD1023" s="36"/>
      <c r="AE1023" s="36"/>
      <c r="AF1023" s="36"/>
      <c r="AG1023" s="36"/>
      <c r="AH1023" s="36"/>
      <c r="AI1023" s="36"/>
      <c r="AJ1023" s="36"/>
    </row>
    <row r="1024" ht="15.75" customHeight="1">
      <c r="A1024" s="357" t="s">
        <v>1473</v>
      </c>
      <c r="B1024" s="36"/>
      <c r="C1024" s="36"/>
      <c r="D1024" s="36"/>
      <c r="E1024" s="36"/>
      <c r="F1024" s="36"/>
      <c r="G1024" s="36"/>
      <c r="H1024" s="36"/>
      <c r="I1024" s="36"/>
      <c r="J1024" s="36"/>
      <c r="K1024" s="36"/>
      <c r="L1024" s="36"/>
      <c r="M1024" s="36"/>
      <c r="N1024" s="36"/>
      <c r="O1024" s="36"/>
      <c r="P1024" s="36"/>
      <c r="Q1024" s="36"/>
      <c r="R1024" s="36"/>
      <c r="S1024" s="36"/>
      <c r="T1024" s="36"/>
      <c r="U1024" s="36"/>
      <c r="V1024" s="36"/>
      <c r="W1024" s="36"/>
      <c r="X1024" s="36"/>
      <c r="Y1024" s="36"/>
      <c r="Z1024" s="36"/>
      <c r="AA1024" s="36"/>
      <c r="AB1024" s="36"/>
      <c r="AC1024" s="36"/>
      <c r="AD1024" s="36"/>
      <c r="AE1024" s="36"/>
      <c r="AF1024" s="36"/>
      <c r="AG1024" s="36"/>
      <c r="AH1024" s="36"/>
      <c r="AI1024" s="36"/>
      <c r="AJ1024" s="36"/>
    </row>
    <row r="1025" ht="15.75" customHeight="1">
      <c r="A1025" s="36"/>
      <c r="B1025" s="36"/>
      <c r="C1025" s="36"/>
      <c r="D1025" s="36"/>
      <c r="E1025" s="36"/>
      <c r="F1025" s="36"/>
      <c r="G1025" s="36"/>
      <c r="H1025" s="36"/>
      <c r="I1025" s="36"/>
      <c r="J1025" s="36"/>
      <c r="K1025" s="36"/>
      <c r="L1025" s="36"/>
      <c r="M1025" s="36"/>
      <c r="N1025" s="36"/>
      <c r="O1025" s="36"/>
      <c r="P1025" s="36"/>
      <c r="Q1025" s="36"/>
      <c r="R1025" s="36"/>
      <c r="S1025" s="36"/>
      <c r="T1025" s="36"/>
      <c r="U1025" s="36"/>
      <c r="V1025" s="36"/>
      <c r="W1025" s="36"/>
      <c r="X1025" s="36"/>
      <c r="Y1025" s="36"/>
      <c r="Z1025" s="36"/>
      <c r="AA1025" s="36"/>
      <c r="AB1025" s="36"/>
      <c r="AC1025" s="36"/>
      <c r="AD1025" s="36"/>
      <c r="AE1025" s="36"/>
      <c r="AF1025" s="36"/>
      <c r="AG1025" s="36"/>
      <c r="AH1025" s="36"/>
      <c r="AI1025" s="36"/>
      <c r="AJ1025" s="36"/>
    </row>
    <row r="1026" ht="15.75" customHeight="1">
      <c r="A1026" s="36" t="s">
        <v>215</v>
      </c>
      <c r="B1026" s="36">
        <v>1.0</v>
      </c>
      <c r="C1026" s="36">
        <v>2.0</v>
      </c>
      <c r="D1026" s="36">
        <v>3.0</v>
      </c>
      <c r="E1026" s="36">
        <v>4.0</v>
      </c>
      <c r="F1026" s="36">
        <v>5.0</v>
      </c>
      <c r="G1026" s="36">
        <v>6.0</v>
      </c>
      <c r="H1026" s="36">
        <v>7.0</v>
      </c>
      <c r="I1026" s="36">
        <v>8.0</v>
      </c>
      <c r="J1026" s="36">
        <v>9.0</v>
      </c>
      <c r="K1026" s="36">
        <v>10.0</v>
      </c>
      <c r="L1026" s="36">
        <v>11.0</v>
      </c>
      <c r="M1026" s="36">
        <v>12.0</v>
      </c>
      <c r="N1026" s="36">
        <v>13.0</v>
      </c>
      <c r="O1026" s="36">
        <v>14.0</v>
      </c>
      <c r="P1026" s="36">
        <v>15.0</v>
      </c>
      <c r="Q1026" s="36">
        <v>16.0</v>
      </c>
      <c r="R1026" s="36">
        <v>17.0</v>
      </c>
      <c r="S1026" s="36">
        <v>18.0</v>
      </c>
      <c r="T1026" s="36">
        <v>19.0</v>
      </c>
      <c r="U1026" s="36">
        <v>20.0</v>
      </c>
      <c r="V1026" s="36">
        <v>21.0</v>
      </c>
      <c r="W1026" s="36">
        <v>22.0</v>
      </c>
      <c r="X1026" s="36">
        <v>23.0</v>
      </c>
      <c r="Y1026" s="36">
        <v>24.0</v>
      </c>
      <c r="Z1026" s="36">
        <v>25.0</v>
      </c>
      <c r="AA1026" s="36">
        <v>26.0</v>
      </c>
      <c r="AB1026" s="36">
        <v>27.0</v>
      </c>
      <c r="AC1026" s="36">
        <v>28.0</v>
      </c>
      <c r="AD1026" s="36">
        <v>29.0</v>
      </c>
      <c r="AE1026" s="36">
        <v>30.0</v>
      </c>
      <c r="AF1026" s="36"/>
      <c r="AG1026" s="36"/>
      <c r="AH1026" s="36"/>
      <c r="AI1026" s="36"/>
      <c r="AJ1026" s="36"/>
    </row>
    <row r="1027" ht="15.75" customHeight="1">
      <c r="A1027" s="12" t="s">
        <v>217</v>
      </c>
      <c r="B1027" s="12">
        <v>0.0</v>
      </c>
      <c r="C1027" s="12">
        <v>0.0</v>
      </c>
      <c r="D1027" s="12">
        <v>0.0</v>
      </c>
      <c r="E1027" s="12">
        <v>0.0</v>
      </c>
      <c r="F1027" s="12">
        <v>0.0</v>
      </c>
      <c r="G1027" s="12">
        <v>0.0</v>
      </c>
      <c r="H1027" s="12">
        <v>0.0</v>
      </c>
      <c r="I1027" s="12">
        <v>0.0</v>
      </c>
      <c r="J1027" s="12">
        <v>0.0</v>
      </c>
      <c r="K1027" s="12">
        <v>0.0</v>
      </c>
      <c r="L1027" s="12">
        <v>0.0</v>
      </c>
      <c r="M1027" s="12">
        <v>0.0</v>
      </c>
      <c r="N1027" s="12">
        <v>0.0</v>
      </c>
      <c r="O1027" s="12">
        <v>0.0</v>
      </c>
      <c r="P1027" s="12">
        <v>0.0</v>
      </c>
      <c r="Q1027" s="12">
        <v>0.0</v>
      </c>
      <c r="R1027" s="12">
        <v>0.0</v>
      </c>
      <c r="S1027" s="12">
        <v>0.0</v>
      </c>
      <c r="T1027" s="12">
        <v>0.0</v>
      </c>
      <c r="U1027" s="12">
        <v>0.0</v>
      </c>
      <c r="V1027" s="12">
        <v>0.0</v>
      </c>
      <c r="W1027" s="12">
        <v>0.0</v>
      </c>
      <c r="X1027" s="12">
        <v>0.0</v>
      </c>
      <c r="Y1027" s="12">
        <v>0.0</v>
      </c>
      <c r="Z1027" s="12">
        <v>0.0</v>
      </c>
      <c r="AA1027" s="12">
        <v>0.0</v>
      </c>
      <c r="AB1027" s="12">
        <v>0.0</v>
      </c>
      <c r="AC1027" s="12">
        <v>0.0</v>
      </c>
      <c r="AD1027" s="12">
        <v>0.0</v>
      </c>
      <c r="AE1027" s="12">
        <v>0.0</v>
      </c>
      <c r="AF1027" s="36"/>
      <c r="AG1027" s="36"/>
      <c r="AH1027" s="36"/>
      <c r="AI1027" s="36"/>
      <c r="AJ1027" s="36"/>
    </row>
    <row r="1028" ht="15.75" customHeight="1">
      <c r="A1028" s="12" t="s">
        <v>218</v>
      </c>
      <c r="B1028" s="390">
        <v>0.09475</v>
      </c>
      <c r="C1028" s="390">
        <v>0.001</v>
      </c>
      <c r="D1028" s="390">
        <v>0.001</v>
      </c>
      <c r="E1028" s="121">
        <v>0.0</v>
      </c>
      <c r="F1028" s="121">
        <v>0.0</v>
      </c>
      <c r="G1028" s="121">
        <v>0.0</v>
      </c>
      <c r="H1028" s="121">
        <v>0.0</v>
      </c>
      <c r="I1028" s="121">
        <v>0.0</v>
      </c>
      <c r="J1028" s="121">
        <v>0.0</v>
      </c>
      <c r="K1028" s="121">
        <v>0.0</v>
      </c>
      <c r="L1028" s="121">
        <v>0.0</v>
      </c>
      <c r="M1028" s="121">
        <v>0.0</v>
      </c>
      <c r="N1028" s="121">
        <v>0.0</v>
      </c>
      <c r="O1028" s="121">
        <v>0.0</v>
      </c>
      <c r="P1028" s="121">
        <v>0.0</v>
      </c>
      <c r="Q1028" s="121">
        <v>0.0</v>
      </c>
      <c r="R1028" s="121">
        <v>0.0</v>
      </c>
      <c r="S1028" s="121">
        <v>0.0</v>
      </c>
      <c r="T1028" s="121">
        <v>0.0</v>
      </c>
      <c r="U1028" s="121">
        <v>0.0</v>
      </c>
      <c r="V1028" s="121">
        <v>0.0</v>
      </c>
      <c r="W1028" s="121">
        <v>0.0</v>
      </c>
      <c r="X1028" s="121">
        <v>0.0</v>
      </c>
      <c r="Y1028" s="121">
        <v>0.0</v>
      </c>
      <c r="Z1028" s="121">
        <v>0.0</v>
      </c>
      <c r="AA1028" s="121">
        <v>0.0</v>
      </c>
      <c r="AB1028" s="121">
        <v>0.0</v>
      </c>
      <c r="AC1028" s="121">
        <v>0.0</v>
      </c>
      <c r="AD1028" s="121">
        <v>0.0</v>
      </c>
      <c r="AE1028" s="121">
        <v>0.0</v>
      </c>
      <c r="AF1028" s="36"/>
      <c r="AG1028" s="36"/>
      <c r="AH1028" s="36"/>
      <c r="AI1028" s="36"/>
      <c r="AJ1028" s="36"/>
    </row>
    <row r="1029" ht="15.75" customHeight="1">
      <c r="A1029" s="36"/>
      <c r="B1029" s="36"/>
      <c r="C1029" s="36"/>
      <c r="D1029" s="36"/>
      <c r="E1029" s="36"/>
      <c r="F1029" s="36"/>
      <c r="G1029" s="36"/>
      <c r="H1029" s="36"/>
      <c r="I1029" s="36"/>
      <c r="J1029" s="36"/>
      <c r="K1029" s="36"/>
      <c r="L1029" s="36"/>
      <c r="M1029" s="36"/>
      <c r="N1029" s="36"/>
      <c r="O1029" s="36"/>
      <c r="P1029" s="36"/>
      <c r="Q1029" s="36"/>
      <c r="R1029" s="36"/>
      <c r="S1029" s="36"/>
      <c r="T1029" s="36"/>
      <c r="U1029" s="36"/>
      <c r="V1029" s="36"/>
      <c r="W1029" s="36"/>
      <c r="X1029" s="36"/>
      <c r="Y1029" s="36"/>
      <c r="Z1029" s="36"/>
      <c r="AA1029" s="36"/>
      <c r="AB1029" s="36"/>
      <c r="AC1029" s="36"/>
      <c r="AD1029" s="36"/>
      <c r="AE1029" s="36"/>
      <c r="AF1029" s="36"/>
      <c r="AG1029" s="36"/>
      <c r="AH1029" s="36"/>
      <c r="AI1029" s="36"/>
      <c r="AJ1029" s="36"/>
    </row>
    <row r="1030" ht="15.75" customHeight="1">
      <c r="A1030" s="357" t="s">
        <v>1477</v>
      </c>
      <c r="B1030" s="36"/>
      <c r="C1030" s="36"/>
      <c r="D1030" s="36"/>
      <c r="E1030" s="36"/>
      <c r="F1030" s="36"/>
      <c r="G1030" s="36"/>
      <c r="H1030" s="36"/>
      <c r="I1030" s="36"/>
      <c r="J1030" s="36"/>
      <c r="K1030" s="36"/>
      <c r="L1030" s="36"/>
      <c r="M1030" s="36"/>
      <c r="N1030" s="36"/>
      <c r="O1030" s="36"/>
      <c r="P1030" s="36"/>
      <c r="Q1030" s="36"/>
      <c r="R1030" s="36"/>
      <c r="S1030" s="36"/>
      <c r="T1030" s="36"/>
      <c r="U1030" s="36"/>
      <c r="V1030" s="36"/>
      <c r="W1030" s="36"/>
      <c r="X1030" s="36"/>
      <c r="Y1030" s="36"/>
      <c r="Z1030" s="36"/>
      <c r="AA1030" s="36"/>
      <c r="AB1030" s="36"/>
      <c r="AC1030" s="36"/>
      <c r="AD1030" s="36"/>
      <c r="AE1030" s="36"/>
      <c r="AF1030" s="36"/>
      <c r="AG1030" s="36"/>
      <c r="AH1030" s="36"/>
      <c r="AI1030" s="36"/>
      <c r="AJ1030" s="36"/>
    </row>
    <row r="1031" ht="15.75" customHeight="1">
      <c r="A1031" s="36"/>
      <c r="B1031" s="36"/>
      <c r="C1031" s="36"/>
      <c r="D1031" s="36"/>
      <c r="E1031" s="36"/>
      <c r="F1031" s="36"/>
      <c r="G1031" s="36"/>
      <c r="H1031" s="36"/>
      <c r="I1031" s="36"/>
      <c r="J1031" s="36"/>
      <c r="K1031" s="36"/>
      <c r="L1031" s="36"/>
      <c r="M1031" s="36"/>
      <c r="N1031" s="36"/>
      <c r="O1031" s="36"/>
      <c r="P1031" s="36"/>
      <c r="Q1031" s="36"/>
      <c r="R1031" s="36"/>
      <c r="S1031" s="36"/>
      <c r="T1031" s="36"/>
      <c r="U1031" s="36"/>
      <c r="V1031" s="36"/>
      <c r="W1031" s="36"/>
      <c r="X1031" s="36"/>
      <c r="Y1031" s="36"/>
      <c r="Z1031" s="36"/>
      <c r="AA1031" s="36"/>
      <c r="AB1031" s="36"/>
      <c r="AC1031" s="36"/>
      <c r="AD1031" s="36"/>
      <c r="AE1031" s="36"/>
      <c r="AF1031" s="36"/>
      <c r="AG1031" s="36"/>
      <c r="AH1031" s="36"/>
      <c r="AI1031" s="36"/>
      <c r="AJ1031" s="36"/>
    </row>
    <row r="1032" ht="15.75" customHeight="1">
      <c r="A1032" s="36" t="s">
        <v>215</v>
      </c>
      <c r="B1032" s="36">
        <v>1.0</v>
      </c>
      <c r="C1032" s="36">
        <v>2.0</v>
      </c>
      <c r="D1032" s="36">
        <v>3.0</v>
      </c>
      <c r="E1032" s="36">
        <v>4.0</v>
      </c>
      <c r="F1032" s="36">
        <v>5.0</v>
      </c>
      <c r="G1032" s="36">
        <v>6.0</v>
      </c>
      <c r="H1032" s="36">
        <v>7.0</v>
      </c>
      <c r="I1032" s="36">
        <v>8.0</v>
      </c>
      <c r="J1032" s="36">
        <v>9.0</v>
      </c>
      <c r="K1032" s="36">
        <v>10.0</v>
      </c>
      <c r="L1032" s="36">
        <v>11.0</v>
      </c>
      <c r="M1032" s="36">
        <v>12.0</v>
      </c>
      <c r="N1032" s="36">
        <v>13.0</v>
      </c>
      <c r="O1032" s="36">
        <v>14.0</v>
      </c>
      <c r="P1032" s="36">
        <v>15.0</v>
      </c>
      <c r="Q1032" s="36">
        <v>16.0</v>
      </c>
      <c r="R1032" s="36">
        <v>17.0</v>
      </c>
      <c r="S1032" s="36">
        <v>18.0</v>
      </c>
      <c r="T1032" s="36">
        <v>19.0</v>
      </c>
      <c r="U1032" s="36">
        <v>20.0</v>
      </c>
      <c r="V1032" s="36">
        <v>21.0</v>
      </c>
      <c r="W1032" s="36">
        <v>22.0</v>
      </c>
      <c r="X1032" s="36">
        <v>23.0</v>
      </c>
      <c r="Y1032" s="36">
        <v>24.0</v>
      </c>
      <c r="Z1032" s="36">
        <v>25.0</v>
      </c>
      <c r="AA1032" s="36">
        <v>26.0</v>
      </c>
      <c r="AB1032" s="36">
        <v>27.0</v>
      </c>
      <c r="AC1032" s="36">
        <v>28.0</v>
      </c>
      <c r="AD1032" s="36">
        <v>29.0</v>
      </c>
      <c r="AE1032" s="36">
        <v>30.0</v>
      </c>
      <c r="AF1032" s="36"/>
      <c r="AG1032" s="36"/>
      <c r="AH1032" s="36"/>
      <c r="AI1032" s="36"/>
      <c r="AJ1032" s="36"/>
    </row>
    <row r="1033" ht="15.75" customHeight="1">
      <c r="A1033" s="12" t="s">
        <v>217</v>
      </c>
      <c r="B1033" s="12">
        <v>0.0</v>
      </c>
      <c r="C1033" s="12">
        <v>0.0</v>
      </c>
      <c r="D1033" s="12">
        <v>0.0</v>
      </c>
      <c r="E1033" s="12">
        <v>0.0</v>
      </c>
      <c r="F1033" s="12">
        <v>0.0</v>
      </c>
      <c r="G1033" s="12">
        <v>0.0</v>
      </c>
      <c r="H1033" s="12">
        <v>0.0</v>
      </c>
      <c r="I1033" s="12">
        <v>0.0</v>
      </c>
      <c r="J1033" s="12">
        <v>0.0</v>
      </c>
      <c r="K1033" s="12">
        <v>0.0</v>
      </c>
      <c r="L1033" s="12">
        <v>0.0</v>
      </c>
      <c r="M1033" s="12">
        <v>0.0</v>
      </c>
      <c r="N1033" s="12">
        <v>0.0</v>
      </c>
      <c r="O1033" s="12">
        <v>0.0</v>
      </c>
      <c r="P1033" s="12">
        <v>0.0</v>
      </c>
      <c r="Q1033" s="12">
        <v>0.0</v>
      </c>
      <c r="R1033" s="12">
        <v>0.0</v>
      </c>
      <c r="S1033" s="12">
        <v>0.0</v>
      </c>
      <c r="T1033" s="12">
        <v>0.0</v>
      </c>
      <c r="U1033" s="12">
        <v>0.0</v>
      </c>
      <c r="V1033" s="12">
        <v>0.0</v>
      </c>
      <c r="W1033" s="12">
        <v>0.0</v>
      </c>
      <c r="X1033" s="12">
        <v>0.0</v>
      </c>
      <c r="Y1033" s="12">
        <v>0.0</v>
      </c>
      <c r="Z1033" s="12">
        <v>0.0</v>
      </c>
      <c r="AA1033" s="12">
        <v>0.0</v>
      </c>
      <c r="AB1033" s="12">
        <v>0.0</v>
      </c>
      <c r="AC1033" s="12">
        <v>0.0</v>
      </c>
      <c r="AD1033" s="12">
        <v>0.0</v>
      </c>
      <c r="AE1033" s="12">
        <v>0.0</v>
      </c>
      <c r="AF1033" s="36"/>
      <c r="AG1033" s="36"/>
      <c r="AH1033" s="36"/>
      <c r="AI1033" s="36"/>
      <c r="AJ1033" s="36"/>
    </row>
    <row r="1034" ht="15.75" customHeight="1">
      <c r="A1034" s="12" t="s">
        <v>218</v>
      </c>
      <c r="B1034" s="390">
        <v>0.075</v>
      </c>
      <c r="C1034" s="390">
        <v>0.00325</v>
      </c>
      <c r="D1034" s="390">
        <v>0.00325</v>
      </c>
      <c r="E1034" s="121">
        <v>0.0</v>
      </c>
      <c r="F1034" s="121">
        <v>0.0</v>
      </c>
      <c r="G1034" s="121">
        <v>0.0</v>
      </c>
      <c r="H1034" s="121">
        <v>0.0</v>
      </c>
      <c r="I1034" s="121">
        <v>0.0</v>
      </c>
      <c r="J1034" s="121">
        <v>0.0</v>
      </c>
      <c r="K1034" s="121">
        <v>0.0</v>
      </c>
      <c r="L1034" s="121">
        <v>0.0</v>
      </c>
      <c r="M1034" s="121">
        <v>0.0</v>
      </c>
      <c r="N1034" s="121">
        <v>0.0</v>
      </c>
      <c r="O1034" s="121">
        <v>0.0</v>
      </c>
      <c r="P1034" s="121">
        <v>0.0</v>
      </c>
      <c r="Q1034" s="121">
        <v>0.0</v>
      </c>
      <c r="R1034" s="121">
        <v>0.0</v>
      </c>
      <c r="S1034" s="121">
        <v>0.0</v>
      </c>
      <c r="T1034" s="121">
        <v>0.0</v>
      </c>
      <c r="U1034" s="121">
        <v>0.0</v>
      </c>
      <c r="V1034" s="121">
        <v>0.0</v>
      </c>
      <c r="W1034" s="121">
        <v>0.0</v>
      </c>
      <c r="X1034" s="121">
        <v>0.0</v>
      </c>
      <c r="Y1034" s="121">
        <v>0.0</v>
      </c>
      <c r="Z1034" s="121">
        <v>0.0</v>
      </c>
      <c r="AA1034" s="121">
        <v>0.0</v>
      </c>
      <c r="AB1034" s="121">
        <v>0.0</v>
      </c>
      <c r="AC1034" s="121">
        <v>0.0</v>
      </c>
      <c r="AD1034" s="121">
        <v>0.0</v>
      </c>
      <c r="AE1034" s="121">
        <v>0.0</v>
      </c>
      <c r="AF1034" s="36"/>
      <c r="AG1034" s="36"/>
      <c r="AH1034" s="36"/>
      <c r="AI1034" s="36"/>
      <c r="AJ1034" s="36"/>
    </row>
    <row r="1035" ht="15.75" customHeight="1">
      <c r="A1035" s="36"/>
      <c r="B1035" s="36"/>
      <c r="C1035" s="36"/>
      <c r="D1035" s="36"/>
      <c r="E1035" s="36"/>
      <c r="F1035" s="36"/>
      <c r="G1035" s="36"/>
      <c r="H1035" s="36"/>
      <c r="I1035" s="36"/>
      <c r="J1035" s="36"/>
      <c r="K1035" s="36"/>
      <c r="L1035" s="36"/>
      <c r="M1035" s="36"/>
      <c r="N1035" s="36"/>
      <c r="O1035" s="36"/>
      <c r="P1035" s="36"/>
      <c r="Q1035" s="36"/>
      <c r="R1035" s="36"/>
      <c r="S1035" s="36"/>
      <c r="T1035" s="36"/>
      <c r="U1035" s="36"/>
      <c r="V1035" s="36"/>
      <c r="W1035" s="36"/>
      <c r="X1035" s="36"/>
      <c r="Y1035" s="36"/>
      <c r="Z1035" s="36"/>
      <c r="AA1035" s="36"/>
      <c r="AB1035" s="36"/>
      <c r="AC1035" s="36"/>
      <c r="AD1035" s="36"/>
      <c r="AE1035" s="36"/>
      <c r="AF1035" s="36"/>
      <c r="AG1035" s="36"/>
      <c r="AH1035" s="36"/>
      <c r="AI1035" s="36"/>
      <c r="AJ1035" s="36"/>
    </row>
    <row r="1036" ht="15.75" customHeight="1">
      <c r="A1036" s="357" t="s">
        <v>1481</v>
      </c>
      <c r="B1036" s="36"/>
      <c r="C1036" s="36"/>
      <c r="D1036" s="36"/>
      <c r="E1036" s="36"/>
      <c r="F1036" s="36"/>
      <c r="G1036" s="36"/>
      <c r="H1036" s="36"/>
      <c r="I1036" s="36"/>
      <c r="J1036" s="36"/>
      <c r="K1036" s="36"/>
      <c r="L1036" s="36"/>
      <c r="M1036" s="36"/>
      <c r="N1036" s="36"/>
      <c r="O1036" s="36"/>
      <c r="P1036" s="36"/>
      <c r="Q1036" s="36"/>
      <c r="R1036" s="36"/>
      <c r="S1036" s="36"/>
      <c r="T1036" s="36"/>
      <c r="U1036" s="36"/>
      <c r="V1036" s="36"/>
      <c r="W1036" s="36"/>
      <c r="X1036" s="36"/>
      <c r="Y1036" s="36"/>
      <c r="Z1036" s="36"/>
      <c r="AA1036" s="36"/>
      <c r="AB1036" s="36"/>
      <c r="AC1036" s="36"/>
      <c r="AD1036" s="36"/>
      <c r="AE1036" s="36"/>
      <c r="AF1036" s="36"/>
      <c r="AG1036" s="36"/>
      <c r="AH1036" s="36"/>
      <c r="AI1036" s="36"/>
      <c r="AJ1036" s="36"/>
    </row>
    <row r="1037" ht="15.75" customHeight="1">
      <c r="A1037" s="36"/>
      <c r="B1037" s="36"/>
      <c r="C1037" s="36"/>
      <c r="D1037" s="36"/>
      <c r="E1037" s="36"/>
      <c r="F1037" s="36"/>
      <c r="G1037" s="36"/>
      <c r="H1037" s="36"/>
      <c r="I1037" s="36"/>
      <c r="J1037" s="36"/>
      <c r="K1037" s="36"/>
      <c r="L1037" s="36"/>
      <c r="M1037" s="36"/>
      <c r="N1037" s="36"/>
      <c r="O1037" s="36"/>
      <c r="P1037" s="36"/>
      <c r="Q1037" s="36"/>
      <c r="R1037" s="36"/>
      <c r="S1037" s="36"/>
      <c r="T1037" s="36"/>
      <c r="U1037" s="36"/>
      <c r="V1037" s="36"/>
      <c r="W1037" s="36"/>
      <c r="X1037" s="36"/>
      <c r="Y1037" s="36"/>
      <c r="Z1037" s="36"/>
      <c r="AA1037" s="36"/>
      <c r="AB1037" s="36"/>
      <c r="AC1037" s="36"/>
      <c r="AD1037" s="36"/>
      <c r="AE1037" s="36"/>
      <c r="AF1037" s="36"/>
      <c r="AG1037" s="36"/>
      <c r="AH1037" s="36"/>
      <c r="AI1037" s="36"/>
      <c r="AJ1037" s="36"/>
    </row>
    <row r="1038" ht="15.75" customHeight="1">
      <c r="A1038" s="36" t="s">
        <v>215</v>
      </c>
      <c r="B1038" s="36">
        <v>1.0</v>
      </c>
      <c r="C1038" s="36">
        <v>2.0</v>
      </c>
      <c r="D1038" s="36">
        <v>3.0</v>
      </c>
      <c r="E1038" s="36">
        <v>4.0</v>
      </c>
      <c r="F1038" s="36">
        <v>5.0</v>
      </c>
      <c r="G1038" s="36">
        <v>6.0</v>
      </c>
      <c r="H1038" s="36">
        <v>7.0</v>
      </c>
      <c r="I1038" s="36">
        <v>8.0</v>
      </c>
      <c r="J1038" s="36">
        <v>9.0</v>
      </c>
      <c r="K1038" s="36">
        <v>10.0</v>
      </c>
      <c r="L1038" s="36">
        <v>11.0</v>
      </c>
      <c r="M1038" s="36">
        <v>12.0</v>
      </c>
      <c r="N1038" s="36">
        <v>13.0</v>
      </c>
      <c r="O1038" s="36">
        <v>14.0</v>
      </c>
      <c r="P1038" s="36">
        <v>15.0</v>
      </c>
      <c r="Q1038" s="36">
        <v>16.0</v>
      </c>
      <c r="R1038" s="36">
        <v>17.0</v>
      </c>
      <c r="S1038" s="36">
        <v>18.0</v>
      </c>
      <c r="T1038" s="36">
        <v>19.0</v>
      </c>
      <c r="U1038" s="36">
        <v>20.0</v>
      </c>
      <c r="V1038" s="36">
        <v>21.0</v>
      </c>
      <c r="W1038" s="36">
        <v>22.0</v>
      </c>
      <c r="X1038" s="36">
        <v>23.0</v>
      </c>
      <c r="Y1038" s="36">
        <v>24.0</v>
      </c>
      <c r="Z1038" s="36">
        <v>25.0</v>
      </c>
      <c r="AA1038" s="36">
        <v>26.0</v>
      </c>
      <c r="AB1038" s="36">
        <v>27.0</v>
      </c>
      <c r="AC1038" s="36">
        <v>28.0</v>
      </c>
      <c r="AD1038" s="36">
        <v>29.0</v>
      </c>
      <c r="AE1038" s="36">
        <v>30.0</v>
      </c>
      <c r="AF1038" s="36"/>
      <c r="AG1038" s="36"/>
      <c r="AH1038" s="36"/>
      <c r="AI1038" s="36"/>
      <c r="AJ1038" s="36"/>
    </row>
    <row r="1039" ht="15.75" customHeight="1">
      <c r="A1039" s="12" t="s">
        <v>217</v>
      </c>
      <c r="B1039" s="12">
        <v>0.0</v>
      </c>
      <c r="C1039" s="12">
        <v>0.0</v>
      </c>
      <c r="D1039" s="12">
        <v>0.0</v>
      </c>
      <c r="E1039" s="12">
        <v>0.0</v>
      </c>
      <c r="F1039" s="12">
        <v>0.0</v>
      </c>
      <c r="G1039" s="12">
        <v>0.0</v>
      </c>
      <c r="H1039" s="12">
        <v>0.0</v>
      </c>
      <c r="I1039" s="12">
        <v>0.0</v>
      </c>
      <c r="J1039" s="12">
        <v>0.0</v>
      </c>
      <c r="K1039" s="12">
        <v>0.0</v>
      </c>
      <c r="L1039" s="12">
        <v>0.0</v>
      </c>
      <c r="M1039" s="12">
        <v>0.0</v>
      </c>
      <c r="N1039" s="12">
        <v>0.0</v>
      </c>
      <c r="O1039" s="12">
        <v>0.0</v>
      </c>
      <c r="P1039" s="12">
        <v>0.0</v>
      </c>
      <c r="Q1039" s="12">
        <v>0.0</v>
      </c>
      <c r="R1039" s="12">
        <v>0.0</v>
      </c>
      <c r="S1039" s="12">
        <v>0.0</v>
      </c>
      <c r="T1039" s="12">
        <v>0.0</v>
      </c>
      <c r="U1039" s="12">
        <v>0.0</v>
      </c>
      <c r="V1039" s="12">
        <v>0.0</v>
      </c>
      <c r="W1039" s="12">
        <v>0.0</v>
      </c>
      <c r="X1039" s="12">
        <v>0.0</v>
      </c>
      <c r="Y1039" s="12">
        <v>0.0</v>
      </c>
      <c r="Z1039" s="12">
        <v>0.0</v>
      </c>
      <c r="AA1039" s="12">
        <v>0.0</v>
      </c>
      <c r="AB1039" s="12">
        <v>0.0</v>
      </c>
      <c r="AC1039" s="12">
        <v>0.0</v>
      </c>
      <c r="AD1039" s="12">
        <v>0.0</v>
      </c>
      <c r="AE1039" s="12">
        <v>0.0</v>
      </c>
      <c r="AF1039" s="36"/>
      <c r="AG1039" s="36"/>
      <c r="AH1039" s="36"/>
      <c r="AI1039" s="36"/>
      <c r="AJ1039" s="36"/>
    </row>
    <row r="1040" ht="15.75" customHeight="1">
      <c r="A1040" s="12" t="s">
        <v>218</v>
      </c>
      <c r="B1040" s="390">
        <v>0.00425</v>
      </c>
      <c r="C1040" s="390">
        <v>0.00425</v>
      </c>
      <c r="D1040" s="390">
        <v>0.0</v>
      </c>
      <c r="E1040" s="121">
        <v>0.0</v>
      </c>
      <c r="F1040" s="121">
        <v>0.0</v>
      </c>
      <c r="G1040" s="121">
        <v>0.0</v>
      </c>
      <c r="H1040" s="121">
        <v>0.0</v>
      </c>
      <c r="I1040" s="121">
        <v>0.0</v>
      </c>
      <c r="J1040" s="121">
        <v>0.0</v>
      </c>
      <c r="K1040" s="121">
        <v>0.0</v>
      </c>
      <c r="L1040" s="121">
        <v>0.0</v>
      </c>
      <c r="M1040" s="121">
        <v>0.0</v>
      </c>
      <c r="N1040" s="121">
        <v>0.0</v>
      </c>
      <c r="O1040" s="121">
        <v>0.0</v>
      </c>
      <c r="P1040" s="121">
        <v>0.0</v>
      </c>
      <c r="Q1040" s="121">
        <v>0.0</v>
      </c>
      <c r="R1040" s="121">
        <v>0.0</v>
      </c>
      <c r="S1040" s="121">
        <v>0.0</v>
      </c>
      <c r="T1040" s="121">
        <v>0.0</v>
      </c>
      <c r="U1040" s="121">
        <v>0.0</v>
      </c>
      <c r="V1040" s="121">
        <v>0.0</v>
      </c>
      <c r="W1040" s="121">
        <v>0.0</v>
      </c>
      <c r="X1040" s="121">
        <v>0.0</v>
      </c>
      <c r="Y1040" s="121">
        <v>0.0</v>
      </c>
      <c r="Z1040" s="121">
        <v>0.0</v>
      </c>
      <c r="AA1040" s="121">
        <v>0.0</v>
      </c>
      <c r="AB1040" s="121">
        <v>0.0</v>
      </c>
      <c r="AC1040" s="121">
        <v>0.0</v>
      </c>
      <c r="AD1040" s="121">
        <v>0.0</v>
      </c>
      <c r="AE1040" s="121">
        <v>0.0</v>
      </c>
      <c r="AF1040" s="36"/>
      <c r="AG1040" s="36"/>
      <c r="AH1040" s="36"/>
      <c r="AI1040" s="36"/>
      <c r="AJ1040" s="36"/>
    </row>
    <row r="1041" ht="15.75" customHeight="1">
      <c r="A1041" s="36"/>
      <c r="B1041" s="36"/>
      <c r="C1041" s="36"/>
      <c r="D1041" s="36"/>
      <c r="E1041" s="36"/>
      <c r="F1041" s="36"/>
      <c r="G1041" s="36"/>
      <c r="H1041" s="36"/>
      <c r="I1041" s="36"/>
      <c r="J1041" s="36"/>
      <c r="K1041" s="36"/>
      <c r="L1041" s="36"/>
      <c r="M1041" s="36"/>
      <c r="N1041" s="36"/>
      <c r="O1041" s="36"/>
      <c r="P1041" s="36"/>
      <c r="Q1041" s="36"/>
      <c r="R1041" s="36"/>
      <c r="S1041" s="36"/>
      <c r="T1041" s="36"/>
      <c r="U1041" s="36"/>
      <c r="V1041" s="36"/>
      <c r="W1041" s="36"/>
      <c r="X1041" s="36"/>
      <c r="Y1041" s="36"/>
      <c r="Z1041" s="36"/>
      <c r="AA1041" s="36"/>
      <c r="AB1041" s="36"/>
      <c r="AC1041" s="36"/>
      <c r="AD1041" s="36"/>
      <c r="AE1041" s="36"/>
      <c r="AF1041" s="36"/>
      <c r="AG1041" s="36"/>
      <c r="AH1041" s="36"/>
      <c r="AI1041" s="36"/>
      <c r="AJ1041" s="36"/>
    </row>
    <row r="1042" ht="15.75" customHeight="1">
      <c r="A1042" s="357" t="s">
        <v>1484</v>
      </c>
      <c r="B1042" s="36"/>
      <c r="C1042" s="36"/>
      <c r="D1042" s="36"/>
      <c r="E1042" s="36"/>
      <c r="F1042" s="36"/>
      <c r="G1042" s="36"/>
      <c r="H1042" s="36"/>
      <c r="I1042" s="36"/>
      <c r="J1042" s="36"/>
      <c r="K1042" s="36"/>
      <c r="L1042" s="36"/>
      <c r="M1042" s="36"/>
      <c r="N1042" s="36"/>
      <c r="O1042" s="36"/>
      <c r="P1042" s="36"/>
      <c r="Q1042" s="36"/>
      <c r="R1042" s="36"/>
      <c r="S1042" s="36"/>
      <c r="T1042" s="36"/>
      <c r="U1042" s="36"/>
      <c r="V1042" s="36"/>
      <c r="W1042" s="36"/>
      <c r="X1042" s="36"/>
      <c r="Y1042" s="36"/>
      <c r="Z1042" s="36"/>
      <c r="AA1042" s="36"/>
      <c r="AB1042" s="36"/>
      <c r="AC1042" s="36"/>
      <c r="AD1042" s="36"/>
      <c r="AE1042" s="36"/>
      <c r="AF1042" s="36"/>
      <c r="AG1042" s="36"/>
      <c r="AH1042" s="36"/>
      <c r="AI1042" s="36"/>
      <c r="AJ1042" s="36"/>
    </row>
    <row r="1043" ht="15.75" customHeight="1">
      <c r="A1043" s="36"/>
      <c r="B1043" s="36"/>
      <c r="C1043" s="36"/>
      <c r="D1043" s="36"/>
      <c r="E1043" s="36"/>
      <c r="F1043" s="36"/>
      <c r="G1043" s="36"/>
      <c r="H1043" s="36"/>
      <c r="I1043" s="36"/>
      <c r="J1043" s="36"/>
      <c r="K1043" s="36"/>
      <c r="L1043" s="36"/>
      <c r="M1043" s="36"/>
      <c r="N1043" s="36"/>
      <c r="O1043" s="36"/>
      <c r="P1043" s="36"/>
      <c r="Q1043" s="36"/>
      <c r="R1043" s="36"/>
      <c r="S1043" s="36"/>
      <c r="T1043" s="36"/>
      <c r="U1043" s="36"/>
      <c r="V1043" s="36"/>
      <c r="W1043" s="36"/>
      <c r="X1043" s="36"/>
      <c r="Y1043" s="36"/>
      <c r="Z1043" s="36"/>
      <c r="AA1043" s="36"/>
      <c r="AB1043" s="36"/>
      <c r="AC1043" s="36"/>
      <c r="AD1043" s="36"/>
      <c r="AE1043" s="36"/>
      <c r="AF1043" s="36"/>
      <c r="AG1043" s="36"/>
      <c r="AH1043" s="36"/>
      <c r="AI1043" s="36"/>
      <c r="AJ1043" s="36"/>
    </row>
    <row r="1044" ht="15.75" customHeight="1">
      <c r="A1044" s="36" t="s">
        <v>215</v>
      </c>
      <c r="B1044" s="36">
        <v>1.0</v>
      </c>
      <c r="C1044" s="36">
        <v>2.0</v>
      </c>
      <c r="D1044" s="36">
        <v>3.0</v>
      </c>
      <c r="E1044" s="36">
        <v>4.0</v>
      </c>
      <c r="F1044" s="36">
        <v>5.0</v>
      </c>
      <c r="G1044" s="36">
        <v>6.0</v>
      </c>
      <c r="H1044" s="36">
        <v>7.0</v>
      </c>
      <c r="I1044" s="36">
        <v>8.0</v>
      </c>
      <c r="J1044" s="36">
        <v>9.0</v>
      </c>
      <c r="K1044" s="36">
        <v>10.0</v>
      </c>
      <c r="L1044" s="36">
        <v>11.0</v>
      </c>
      <c r="M1044" s="36">
        <v>12.0</v>
      </c>
      <c r="N1044" s="36">
        <v>13.0</v>
      </c>
      <c r="O1044" s="36">
        <v>14.0</v>
      </c>
      <c r="P1044" s="36">
        <v>15.0</v>
      </c>
      <c r="Q1044" s="36">
        <v>16.0</v>
      </c>
      <c r="R1044" s="36">
        <v>17.0</v>
      </c>
      <c r="S1044" s="36">
        <v>18.0</v>
      </c>
      <c r="T1044" s="36">
        <v>19.0</v>
      </c>
      <c r="U1044" s="36">
        <v>20.0</v>
      </c>
      <c r="V1044" s="36">
        <v>21.0</v>
      </c>
      <c r="W1044" s="36">
        <v>22.0</v>
      </c>
      <c r="X1044" s="36">
        <v>23.0</v>
      </c>
      <c r="Y1044" s="36">
        <v>24.0</v>
      </c>
      <c r="Z1044" s="36">
        <v>25.0</v>
      </c>
      <c r="AA1044" s="36">
        <v>26.0</v>
      </c>
      <c r="AB1044" s="36">
        <v>27.0</v>
      </c>
      <c r="AC1044" s="36">
        <v>28.0</v>
      </c>
      <c r="AD1044" s="36">
        <v>29.0</v>
      </c>
      <c r="AE1044" s="36">
        <v>30.0</v>
      </c>
      <c r="AF1044" s="36"/>
      <c r="AG1044" s="36"/>
      <c r="AH1044" s="36"/>
      <c r="AI1044" s="36"/>
      <c r="AJ1044" s="36"/>
    </row>
    <row r="1045" ht="15.75" customHeight="1">
      <c r="A1045" s="12" t="s">
        <v>217</v>
      </c>
      <c r="B1045" s="12">
        <f>IF(AND(Mod_Prem&gt;=20000,Mod_Prem&lt;35000),75,IF(AND(Mod_Prem&gt;=35000,Mod_Prem&lt;65000),250,IF(Mod_Prem&gt;=65000,300)))</f>
        <v>300</v>
      </c>
      <c r="C1045" s="12">
        <f>IF(AND(Mod_Prem&gt;=20000,Mod_Prem&lt;35000),75,IF(AND(Mod_Prem&gt;=35000,Mod_Prem&lt;65000),100,IF(Mod_Prem&gt;=65000,150)))</f>
        <v>150</v>
      </c>
      <c r="D1045" s="12">
        <f>IF(AND(Mod_Prem&gt;=20000,Mod_Prem&lt;35000),75,IF(AND(Mod_Prem&gt;=35000,Mod_Prem&lt;65000),100,IF(Mod_Prem&gt;=65000,150)))</f>
        <v>150</v>
      </c>
      <c r="E1045" s="12">
        <f>IF(AND(Mod_Prem&gt;=20000,Mod_Prem&lt;35000),75,IF(AND(Mod_Prem&gt;=35000,Mod_Prem&lt;65000),100,IF(Mod_Prem&gt;=65000,150)))</f>
        <v>150</v>
      </c>
      <c r="F1045" s="12">
        <f>IF(AND(Mod_Prem&gt;=20000,Mod_Prem&lt;35000),75,IF(AND(Mod_Prem&gt;=35000,Mod_Prem&lt;65000),100,IF(Mod_Prem&gt;=65000,150)))</f>
        <v>150</v>
      </c>
      <c r="G1045" s="12">
        <f>IF(AND(Mod_Prem&gt;=20000,Mod_Prem&lt;35000),75,IF(AND(Mod_Prem&gt;=35000,Mod_Prem&lt;65000),100,IF(Mod_Prem&gt;=65000,150)))</f>
        <v>150</v>
      </c>
      <c r="H1045" s="12">
        <f>IF(AND(Mod_Prem&gt;=20000,Mod_Prem&lt;35000),75,IF(AND(Mod_Prem&gt;=35000,Mod_Prem&lt;65000),100,IF(Mod_Prem&gt;=65000,150)))</f>
        <v>150</v>
      </c>
      <c r="I1045" s="12">
        <f>IF(AND(Mod_Prem&gt;=20000,Mod_Prem&lt;35000),75,IF(AND(Mod_Prem&gt;=35000,Mod_Prem&lt;65000),100,IF(Mod_Prem&gt;=65000,150)))</f>
        <v>150</v>
      </c>
      <c r="J1045" s="12">
        <f>IF(AND(Mod_Prem&gt;=20000,Mod_Prem&lt;35000),75,IF(AND(Mod_Prem&gt;=35000,Mod_Prem&lt;65000),100,IF(Mod_Prem&gt;=65000,150)))</f>
        <v>150</v>
      </c>
      <c r="K1045" s="12">
        <f>IF(AND(Mod_Prem&gt;=20000,Mod_Prem&lt;35000),75,IF(AND(Mod_Prem&gt;=35000,Mod_Prem&lt;65000),100,IF(Mod_Prem&gt;=65000,150)))</f>
        <v>150</v>
      </c>
      <c r="L1045" s="12">
        <f>IF(AND(Mod_Prem&gt;=20000,Mod_Prem&lt;35000),75,IF(AND(Mod_Prem&gt;=35000,Mod_Prem&lt;65000),100,IF(Mod_Prem&gt;=65000,150)))</f>
        <v>150</v>
      </c>
      <c r="M1045" s="12">
        <f>IF(AND(Mod_Prem&gt;=20000,Mod_Prem&lt;35000),75,IF(AND(Mod_Prem&gt;=35000,Mod_Prem&lt;65000),100,IF(Mod_Prem&gt;=65000,150)))</f>
        <v>150</v>
      </c>
      <c r="N1045" s="12">
        <f>IF(AND(Mod_Prem&gt;=20000,Mod_Prem&lt;35000),75,IF(AND(Mod_Prem&gt;=35000,Mod_Prem&lt;65000),100,IF(Mod_Prem&gt;=65000,150)))</f>
        <v>150</v>
      </c>
      <c r="O1045" s="12">
        <f>IF(AND(Mod_Prem&gt;=20000,Mod_Prem&lt;35000),75,IF(AND(Mod_Prem&gt;=35000,Mod_Prem&lt;65000),100,IF(Mod_Prem&gt;=65000,150)))</f>
        <v>150</v>
      </c>
      <c r="P1045" s="12">
        <f>IF(AND(Mod_Prem&gt;=20000,Mod_Prem&lt;35000),75,IF(AND(Mod_Prem&gt;=35000,Mod_Prem&lt;65000),100,IF(Mod_Prem&gt;=65000,150)))</f>
        <v>150</v>
      </c>
      <c r="Q1045" s="12">
        <f>IF(AND(Mod_Prem&gt;=20000,Mod_Prem&lt;35000),75,IF(AND(Mod_Prem&gt;=35000,Mod_Prem&lt;65000),100,IF(Mod_Prem&gt;=65000,150)))</f>
        <v>150</v>
      </c>
      <c r="R1045" s="12">
        <f>IF(AND(Mod_Prem&gt;=20000,Mod_Prem&lt;35000),75,IF(AND(Mod_Prem&gt;=35000,Mod_Prem&lt;65000),100,IF(Mod_Prem&gt;=65000,150)))</f>
        <v>150</v>
      </c>
      <c r="S1045" s="12">
        <f>IF(AND(Mod_Prem&gt;=20000,Mod_Prem&lt;35000),75,IF(AND(Mod_Prem&gt;=35000,Mod_Prem&lt;65000),100,IF(Mod_Prem&gt;=65000,150)))</f>
        <v>150</v>
      </c>
      <c r="T1045" s="12">
        <f>IF(AND(Mod_Prem&gt;=20000,Mod_Prem&lt;35000),75,IF(AND(Mod_Prem&gt;=35000,Mod_Prem&lt;65000),100,IF(Mod_Prem&gt;=65000,150)))</f>
        <v>150</v>
      </c>
      <c r="U1045" s="12">
        <f>IF(AND(Mod_Prem&gt;=20000,Mod_Prem&lt;35000),75,IF(AND(Mod_Prem&gt;=35000,Mod_Prem&lt;65000),100,IF(Mod_Prem&gt;=65000,150)))</f>
        <v>150</v>
      </c>
      <c r="V1045" s="12">
        <f>IF(AND(Mod_Prem&gt;=20000,Mod_Prem&lt;35000),75,IF(AND(Mod_Prem&gt;=35000,Mod_Prem&lt;65000),100,IF(Mod_Prem&gt;=65000,150)))</f>
        <v>150</v>
      </c>
      <c r="W1045" s="12">
        <f>IF(AND(Mod_Prem&gt;=20000,Mod_Prem&lt;35000),75,IF(AND(Mod_Prem&gt;=35000,Mod_Prem&lt;65000),100,IF(Mod_Prem&gt;=65000,150)))</f>
        <v>150</v>
      </c>
      <c r="X1045" s="12">
        <f>IF(AND(Mod_Prem&gt;=20000,Mod_Prem&lt;35000),75,IF(AND(Mod_Prem&gt;=35000,Mod_Prem&lt;65000),100,IF(Mod_Prem&gt;=65000,150)))</f>
        <v>150</v>
      </c>
      <c r="Y1045" s="12">
        <f>IF(AND(Mod_Prem&gt;=20000,Mod_Prem&lt;35000),75,IF(AND(Mod_Prem&gt;=35000,Mod_Prem&lt;65000),100,IF(Mod_Prem&gt;=65000,150)))</f>
        <v>150</v>
      </c>
      <c r="Z1045" s="12">
        <f>IF(AND(Mod_Prem&gt;=20000,Mod_Prem&lt;35000),75,IF(AND(Mod_Prem&gt;=35000,Mod_Prem&lt;65000),100,IF(Mod_Prem&gt;=65000,150)))</f>
        <v>150</v>
      </c>
      <c r="AA1045" s="12">
        <f>IF(AND(Mod_Prem&gt;=20000,Mod_Prem&lt;35000),75,IF(AND(Mod_Prem&gt;=35000,Mod_Prem&lt;65000),100,IF(Mod_Prem&gt;=65000,150)))</f>
        <v>150</v>
      </c>
      <c r="AB1045" s="12">
        <f>IF(AND(Mod_Prem&gt;=20000,Mod_Prem&lt;35000),75,IF(AND(Mod_Prem&gt;=35000,Mod_Prem&lt;65000),100,IF(Mod_Prem&gt;=65000,150)))</f>
        <v>150</v>
      </c>
      <c r="AC1045" s="12">
        <f>IF(AND(Mod_Prem&gt;=20000,Mod_Prem&lt;35000),75,IF(AND(Mod_Prem&gt;=35000,Mod_Prem&lt;65000),100,IF(Mod_Prem&gt;=65000,150)))</f>
        <v>150</v>
      </c>
      <c r="AD1045" s="12">
        <f>IF(AND(Mod_Prem&gt;=20000,Mod_Prem&lt;35000),75,IF(AND(Mod_Prem&gt;=35000,Mod_Prem&lt;65000),100,IF(Mod_Prem&gt;=65000,150)))</f>
        <v>150</v>
      </c>
      <c r="AE1045" s="12">
        <f>IF(AND(Mod_Prem&gt;=20000,Mod_Prem&lt;35000),75,IF(AND(Mod_Prem&gt;=35000,Mod_Prem&lt;65000),100,IF(Mod_Prem&gt;=65000,150)))</f>
        <v>150</v>
      </c>
      <c r="AF1045" s="36"/>
      <c r="AG1045" s="36"/>
      <c r="AH1045" s="36"/>
      <c r="AI1045" s="36"/>
      <c r="AJ1045" s="36"/>
    </row>
    <row r="1046" ht="15.75" customHeight="1">
      <c r="A1046" s="12" t="s">
        <v>218</v>
      </c>
      <c r="B1046" s="121">
        <v>0.0</v>
      </c>
      <c r="C1046" s="121">
        <v>0.0</v>
      </c>
      <c r="D1046" s="121">
        <v>0.0</v>
      </c>
      <c r="E1046" s="121">
        <v>0.0</v>
      </c>
      <c r="F1046" s="121">
        <v>0.0</v>
      </c>
      <c r="G1046" s="121">
        <v>0.0</v>
      </c>
      <c r="H1046" s="121">
        <v>0.0</v>
      </c>
      <c r="I1046" s="121">
        <v>0.0</v>
      </c>
      <c r="J1046" s="121">
        <v>0.0</v>
      </c>
      <c r="K1046" s="121">
        <v>0.0</v>
      </c>
      <c r="L1046" s="121">
        <v>0.0</v>
      </c>
      <c r="M1046" s="121">
        <v>0.0</v>
      </c>
      <c r="N1046" s="121">
        <v>0.0</v>
      </c>
      <c r="O1046" s="121">
        <v>0.0</v>
      </c>
      <c r="P1046" s="121">
        <v>0.0</v>
      </c>
      <c r="Q1046" s="121">
        <v>0.0</v>
      </c>
      <c r="R1046" s="121">
        <v>0.0</v>
      </c>
      <c r="S1046" s="121">
        <v>0.0</v>
      </c>
      <c r="T1046" s="121">
        <v>0.0</v>
      </c>
      <c r="U1046" s="121">
        <v>0.0</v>
      </c>
      <c r="V1046" s="121">
        <v>0.0</v>
      </c>
      <c r="W1046" s="121">
        <v>0.0</v>
      </c>
      <c r="X1046" s="121">
        <v>0.0</v>
      </c>
      <c r="Y1046" s="121">
        <v>0.0</v>
      </c>
      <c r="Z1046" s="121">
        <v>0.0</v>
      </c>
      <c r="AA1046" s="121">
        <v>0.0</v>
      </c>
      <c r="AB1046" s="121">
        <v>0.0</v>
      </c>
      <c r="AC1046" s="121">
        <v>0.0</v>
      </c>
      <c r="AD1046" s="121">
        <v>0.0</v>
      </c>
      <c r="AE1046" s="121">
        <v>0.0</v>
      </c>
      <c r="AF1046" s="36"/>
      <c r="AG1046" s="36"/>
      <c r="AH1046" s="36"/>
      <c r="AI1046" s="36"/>
      <c r="AJ1046" s="36"/>
    </row>
    <row r="1047" ht="15.75" customHeight="1">
      <c r="A1047" s="36"/>
      <c r="B1047" s="36"/>
      <c r="C1047" s="36"/>
      <c r="D1047" s="36"/>
      <c r="E1047" s="36"/>
      <c r="F1047" s="36"/>
      <c r="G1047" s="36"/>
      <c r="H1047" s="36"/>
      <c r="I1047" s="36"/>
      <c r="J1047" s="36"/>
      <c r="K1047" s="36"/>
      <c r="L1047" s="36"/>
      <c r="M1047" s="36"/>
      <c r="N1047" s="36"/>
      <c r="O1047" s="36"/>
      <c r="P1047" s="36"/>
      <c r="Q1047" s="36"/>
      <c r="R1047" s="36"/>
      <c r="S1047" s="36"/>
      <c r="T1047" s="36"/>
      <c r="U1047" s="36"/>
      <c r="V1047" s="36"/>
      <c r="W1047" s="36"/>
      <c r="X1047" s="36"/>
      <c r="Y1047" s="36"/>
      <c r="Z1047" s="36"/>
      <c r="AA1047" s="36"/>
      <c r="AB1047" s="36"/>
      <c r="AC1047" s="36"/>
      <c r="AD1047" s="36"/>
      <c r="AE1047" s="36"/>
      <c r="AF1047" s="36"/>
      <c r="AG1047" s="36"/>
      <c r="AH1047" s="36"/>
      <c r="AI1047" s="36"/>
      <c r="AJ1047" s="36"/>
    </row>
    <row r="1048" ht="15.75" customHeight="1">
      <c r="A1048" s="357" t="s">
        <v>1488</v>
      </c>
      <c r="B1048" s="36"/>
      <c r="C1048" s="36"/>
      <c r="D1048" s="36"/>
      <c r="E1048" s="36"/>
      <c r="F1048" s="36"/>
      <c r="G1048" s="36"/>
      <c r="H1048" s="36"/>
      <c r="I1048" s="36"/>
      <c r="J1048" s="36"/>
      <c r="K1048" s="36"/>
      <c r="L1048" s="36"/>
      <c r="M1048" s="36"/>
      <c r="N1048" s="36"/>
      <c r="O1048" s="36"/>
      <c r="P1048" s="36"/>
      <c r="Q1048" s="36"/>
      <c r="R1048" s="36"/>
      <c r="S1048" s="36"/>
      <c r="T1048" s="36"/>
      <c r="U1048" s="36"/>
      <c r="V1048" s="36"/>
      <c r="W1048" s="36"/>
      <c r="X1048" s="36"/>
      <c r="Y1048" s="36"/>
      <c r="Z1048" s="36"/>
      <c r="AA1048" s="36"/>
      <c r="AB1048" s="36"/>
      <c r="AC1048" s="36"/>
      <c r="AD1048" s="36"/>
      <c r="AE1048" s="36"/>
      <c r="AF1048" s="36"/>
      <c r="AG1048" s="36"/>
      <c r="AH1048" s="36"/>
      <c r="AI1048" s="36"/>
      <c r="AJ1048" s="36"/>
    </row>
    <row r="1049" ht="15.75" customHeight="1">
      <c r="A1049" s="36"/>
      <c r="B1049" s="36"/>
      <c r="C1049" s="36"/>
      <c r="D1049" s="36"/>
      <c r="E1049" s="36"/>
      <c r="F1049" s="36"/>
      <c r="G1049" s="36"/>
      <c r="H1049" s="36"/>
      <c r="I1049" s="36"/>
      <c r="J1049" s="36"/>
      <c r="K1049" s="36"/>
      <c r="L1049" s="36"/>
      <c r="M1049" s="36"/>
      <c r="N1049" s="36"/>
      <c r="O1049" s="36"/>
      <c r="P1049" s="36"/>
      <c r="Q1049" s="36"/>
      <c r="R1049" s="36"/>
      <c r="S1049" s="36"/>
      <c r="T1049" s="36"/>
      <c r="U1049" s="36"/>
      <c r="V1049" s="36"/>
      <c r="W1049" s="36"/>
      <c r="X1049" s="36"/>
      <c r="Y1049" s="36"/>
      <c r="Z1049" s="36"/>
      <c r="AA1049" s="36"/>
      <c r="AB1049" s="36"/>
      <c r="AC1049" s="36"/>
      <c r="AD1049" s="36"/>
      <c r="AE1049" s="36"/>
      <c r="AF1049" s="36"/>
      <c r="AG1049" s="36"/>
      <c r="AH1049" s="36"/>
      <c r="AI1049" s="36"/>
      <c r="AJ1049" s="36"/>
    </row>
    <row r="1050" ht="15.75" customHeight="1">
      <c r="A1050" s="36" t="s">
        <v>215</v>
      </c>
      <c r="B1050" s="36">
        <v>1.0</v>
      </c>
      <c r="C1050" s="36">
        <v>2.0</v>
      </c>
      <c r="D1050" s="36">
        <v>3.0</v>
      </c>
      <c r="E1050" s="36">
        <v>4.0</v>
      </c>
      <c r="F1050" s="36">
        <v>5.0</v>
      </c>
      <c r="G1050" s="36">
        <v>6.0</v>
      </c>
      <c r="H1050" s="36">
        <v>7.0</v>
      </c>
      <c r="I1050" s="36">
        <v>8.0</v>
      </c>
      <c r="J1050" s="36">
        <v>9.0</v>
      </c>
      <c r="K1050" s="36">
        <v>10.0</v>
      </c>
      <c r="L1050" s="36">
        <v>11.0</v>
      </c>
      <c r="M1050" s="36">
        <v>12.0</v>
      </c>
      <c r="N1050" s="36">
        <v>13.0</v>
      </c>
      <c r="O1050" s="36">
        <v>14.0</v>
      </c>
      <c r="P1050" s="36">
        <v>15.0</v>
      </c>
      <c r="Q1050" s="36">
        <v>16.0</v>
      </c>
      <c r="R1050" s="36">
        <v>17.0</v>
      </c>
      <c r="S1050" s="36">
        <v>18.0</v>
      </c>
      <c r="T1050" s="36">
        <v>19.0</v>
      </c>
      <c r="U1050" s="36">
        <v>20.0</v>
      </c>
      <c r="V1050" s="36">
        <v>21.0</v>
      </c>
      <c r="W1050" s="36">
        <v>22.0</v>
      </c>
      <c r="X1050" s="36">
        <v>23.0</v>
      </c>
      <c r="Y1050" s="36">
        <v>24.0</v>
      </c>
      <c r="Z1050" s="36">
        <v>25.0</v>
      </c>
      <c r="AA1050" s="36">
        <v>26.0</v>
      </c>
      <c r="AB1050" s="36">
        <v>27.0</v>
      </c>
      <c r="AC1050" s="36">
        <v>28.0</v>
      </c>
      <c r="AD1050" s="36">
        <v>29.0</v>
      </c>
      <c r="AE1050" s="36">
        <v>30.0</v>
      </c>
      <c r="AF1050" s="36"/>
      <c r="AG1050" s="36"/>
      <c r="AH1050" s="36"/>
      <c r="AI1050" s="36"/>
      <c r="AJ1050" s="36"/>
    </row>
    <row r="1051" ht="15.75" customHeight="1">
      <c r="A1051" s="12" t="s">
        <v>217</v>
      </c>
      <c r="B1051" s="12">
        <v>0.0</v>
      </c>
      <c r="C1051" s="12">
        <f>IF(Mod_Prem&gt;=35000,80,65)+80</f>
        <v>160</v>
      </c>
      <c r="D1051" s="12">
        <f>IF(Mod_Prem&gt;=35000,80,65)+80</f>
        <v>160</v>
      </c>
      <c r="E1051" s="12">
        <f>IF(Mod_Prem&gt;=35000,80,65)</f>
        <v>80</v>
      </c>
      <c r="F1051" s="12">
        <f>IF(Mod_Prem&gt;=35000,80,65)</f>
        <v>80</v>
      </c>
      <c r="G1051" s="12">
        <f>IF(Mod_Prem&gt;=35000,80,65)</f>
        <v>80</v>
      </c>
      <c r="H1051" s="12">
        <f>IF(Mod_Prem&gt;=35000,80,65)</f>
        <v>80</v>
      </c>
      <c r="I1051" s="12">
        <f>IF(Mod_Prem&gt;=35000,80,65)</f>
        <v>80</v>
      </c>
      <c r="J1051" s="12">
        <f>IF(Mod_Prem&gt;=35000,80,65)</f>
        <v>80</v>
      </c>
      <c r="K1051" s="12">
        <f>IF(Mod_Prem&gt;=35000,80,65)</f>
        <v>80</v>
      </c>
      <c r="L1051" s="12">
        <f>IF(Mod_Prem&gt;=35000,80,65)</f>
        <v>80</v>
      </c>
      <c r="M1051" s="12">
        <f>IF(Mod_Prem&gt;=35000,80,65)</f>
        <v>80</v>
      </c>
      <c r="N1051" s="12">
        <f>IF(Mod_Prem&gt;=35000,80,65)</f>
        <v>80</v>
      </c>
      <c r="O1051" s="12">
        <f>IF(Mod_Prem&gt;=35000,80,65)</f>
        <v>80</v>
      </c>
      <c r="P1051" s="12">
        <f>IF(Mod_Prem&gt;=35000,80,65)</f>
        <v>80</v>
      </c>
      <c r="Q1051" s="12">
        <f>IF(Mod_Prem&gt;=35000,80,65)</f>
        <v>80</v>
      </c>
      <c r="R1051" s="12">
        <f>IF(Mod_Prem&gt;=35000,80,65)</f>
        <v>80</v>
      </c>
      <c r="S1051" s="12">
        <f>IF(Mod_Prem&gt;=35000,80,65)</f>
        <v>80</v>
      </c>
      <c r="T1051" s="12">
        <f>IF(Mod_Prem&gt;=35000,80,65)</f>
        <v>80</v>
      </c>
      <c r="U1051" s="12">
        <f>IF(Mod_Prem&gt;=35000,80,65)</f>
        <v>80</v>
      </c>
      <c r="V1051" s="12">
        <f>IF(Mod_Prem&gt;=35000,80,65)</f>
        <v>80</v>
      </c>
      <c r="W1051" s="12">
        <f>IF(Mod_Prem&gt;=35000,80,65)</f>
        <v>80</v>
      </c>
      <c r="X1051" s="12">
        <f>IF(Mod_Prem&gt;=35000,80,65)</f>
        <v>80</v>
      </c>
      <c r="Y1051" s="12">
        <f>IF(Mod_Prem&gt;=35000,80,65)</f>
        <v>80</v>
      </c>
      <c r="Z1051" s="12">
        <f>IF(Mod_Prem&gt;=35000,80,65)</f>
        <v>80</v>
      </c>
      <c r="AA1051" s="12">
        <f>IF(Mod_Prem&gt;=35000,80,65)</f>
        <v>80</v>
      </c>
      <c r="AB1051" s="12">
        <f>IF(Mod_Prem&gt;=35000,80,65)</f>
        <v>80</v>
      </c>
      <c r="AC1051" s="12">
        <f>IF(Mod_Prem&gt;=35000,80,65)</f>
        <v>80</v>
      </c>
      <c r="AD1051" s="12">
        <f>IF(Mod_Prem&gt;=35000,80,65)</f>
        <v>80</v>
      </c>
      <c r="AE1051" s="12">
        <f>IF(Mod_Prem&gt;=35000,80,65)</f>
        <v>80</v>
      </c>
      <c r="AF1051" s="36"/>
      <c r="AG1051" s="36"/>
      <c r="AH1051" s="36"/>
      <c r="AI1051" s="36"/>
      <c r="AJ1051" s="36"/>
    </row>
    <row r="1052" ht="15.75" customHeight="1">
      <c r="A1052" s="12" t="s">
        <v>218</v>
      </c>
      <c r="B1052" s="121">
        <v>0.0</v>
      </c>
      <c r="C1052" s="121">
        <v>0.0</v>
      </c>
      <c r="D1052" s="121">
        <v>0.0</v>
      </c>
      <c r="E1052" s="121">
        <v>0.0</v>
      </c>
      <c r="F1052" s="121">
        <v>0.0</v>
      </c>
      <c r="G1052" s="121">
        <v>0.0</v>
      </c>
      <c r="H1052" s="121">
        <v>0.0</v>
      </c>
      <c r="I1052" s="121">
        <v>0.0</v>
      </c>
      <c r="J1052" s="121">
        <v>0.0</v>
      </c>
      <c r="K1052" s="121">
        <v>0.0</v>
      </c>
      <c r="L1052" s="121">
        <v>0.0</v>
      </c>
      <c r="M1052" s="121">
        <v>0.0</v>
      </c>
      <c r="N1052" s="121">
        <v>0.0</v>
      </c>
      <c r="O1052" s="121">
        <v>0.0</v>
      </c>
      <c r="P1052" s="121">
        <v>0.0</v>
      </c>
      <c r="Q1052" s="121">
        <v>0.0</v>
      </c>
      <c r="R1052" s="121">
        <v>0.0</v>
      </c>
      <c r="S1052" s="121">
        <v>0.0</v>
      </c>
      <c r="T1052" s="121">
        <v>0.0</v>
      </c>
      <c r="U1052" s="121">
        <v>0.0</v>
      </c>
      <c r="V1052" s="121">
        <v>0.0</v>
      </c>
      <c r="W1052" s="121">
        <v>0.0</v>
      </c>
      <c r="X1052" s="121">
        <v>0.0</v>
      </c>
      <c r="Y1052" s="121">
        <v>0.0</v>
      </c>
      <c r="Z1052" s="121">
        <v>0.0</v>
      </c>
      <c r="AA1052" s="121">
        <v>0.0</v>
      </c>
      <c r="AB1052" s="121">
        <v>0.0</v>
      </c>
      <c r="AC1052" s="121">
        <v>0.0</v>
      </c>
      <c r="AD1052" s="121">
        <v>0.0</v>
      </c>
      <c r="AE1052" s="121">
        <v>0.0</v>
      </c>
      <c r="AF1052" s="36"/>
      <c r="AG1052" s="36"/>
      <c r="AH1052" s="36"/>
      <c r="AI1052" s="36"/>
      <c r="AJ1052" s="36"/>
    </row>
    <row r="1053" ht="15.75" customHeight="1">
      <c r="A1053" s="36"/>
      <c r="B1053" s="36"/>
      <c r="C1053" s="36"/>
      <c r="D1053" s="36"/>
      <c r="E1053" s="36"/>
      <c r="F1053" s="36"/>
      <c r="G1053" s="36"/>
      <c r="H1053" s="36"/>
      <c r="I1053" s="36"/>
      <c r="J1053" s="36"/>
      <c r="K1053" s="36"/>
      <c r="L1053" s="36"/>
      <c r="M1053" s="36"/>
      <c r="N1053" s="36"/>
      <c r="O1053" s="36"/>
      <c r="P1053" s="36"/>
      <c r="Q1053" s="36"/>
      <c r="R1053" s="36"/>
      <c r="S1053" s="36"/>
      <c r="T1053" s="36"/>
      <c r="U1053" s="36"/>
      <c r="V1053" s="36"/>
      <c r="W1053" s="36"/>
      <c r="X1053" s="36"/>
      <c r="Y1053" s="36"/>
      <c r="Z1053" s="36"/>
      <c r="AA1053" s="36"/>
      <c r="AB1053" s="36"/>
      <c r="AC1053" s="36"/>
      <c r="AD1053" s="36"/>
      <c r="AE1053" s="36"/>
      <c r="AF1053" s="36"/>
      <c r="AG1053" s="36"/>
      <c r="AH1053" s="36"/>
      <c r="AI1053" s="36"/>
      <c r="AJ1053" s="36"/>
    </row>
    <row r="1054" ht="15.75" customHeight="1">
      <c r="A1054" s="357" t="s">
        <v>1492</v>
      </c>
      <c r="B1054" s="36"/>
      <c r="C1054" s="36"/>
      <c r="D1054" s="36"/>
      <c r="E1054" s="36"/>
      <c r="F1054" s="36"/>
      <c r="G1054" s="36"/>
      <c r="H1054" s="36"/>
      <c r="I1054" s="36"/>
      <c r="J1054" s="36"/>
      <c r="K1054" s="36"/>
      <c r="L1054" s="36"/>
      <c r="M1054" s="36"/>
      <c r="N1054" s="36"/>
      <c r="O1054" s="36"/>
      <c r="P1054" s="36"/>
      <c r="Q1054" s="36"/>
      <c r="R1054" s="36"/>
      <c r="S1054" s="36"/>
      <c r="T1054" s="36"/>
      <c r="U1054" s="36"/>
      <c r="V1054" s="36"/>
      <c r="W1054" s="36"/>
      <c r="X1054" s="36"/>
      <c r="Y1054" s="36"/>
      <c r="Z1054" s="36"/>
      <c r="AA1054" s="36"/>
      <c r="AB1054" s="36"/>
      <c r="AC1054" s="36"/>
      <c r="AD1054" s="36"/>
      <c r="AE1054" s="36"/>
      <c r="AF1054" s="36"/>
      <c r="AG1054" s="36"/>
      <c r="AH1054" s="36"/>
      <c r="AI1054" s="36"/>
      <c r="AJ1054" s="36"/>
    </row>
    <row r="1055" ht="15.75" customHeight="1">
      <c r="A1055" s="36"/>
      <c r="B1055" s="36"/>
      <c r="C1055" s="36"/>
      <c r="D1055" s="36"/>
      <c r="E1055" s="36"/>
      <c r="F1055" s="36"/>
      <c r="G1055" s="36"/>
      <c r="H1055" s="36"/>
      <c r="I1055" s="36"/>
      <c r="J1055" s="36"/>
      <c r="K1055" s="36"/>
      <c r="L1055" s="36"/>
      <c r="M1055" s="36"/>
      <c r="N1055" s="36"/>
      <c r="O1055" s="36"/>
      <c r="P1055" s="36"/>
      <c r="Q1055" s="36"/>
      <c r="R1055" s="36"/>
      <c r="S1055" s="36"/>
      <c r="T1055" s="36"/>
      <c r="U1055" s="36"/>
      <c r="V1055" s="36"/>
      <c r="W1055" s="36"/>
      <c r="X1055" s="36"/>
      <c r="Y1055" s="36"/>
      <c r="Z1055" s="36"/>
      <c r="AA1055" s="36"/>
      <c r="AB1055" s="36"/>
      <c r="AC1055" s="36"/>
      <c r="AD1055" s="36"/>
      <c r="AE1055" s="36"/>
      <c r="AF1055" s="36"/>
      <c r="AG1055" s="36"/>
      <c r="AH1055" s="36"/>
      <c r="AI1055" s="36"/>
      <c r="AJ1055" s="36"/>
    </row>
    <row r="1056" ht="15.75" customHeight="1">
      <c r="A1056" s="36" t="s">
        <v>215</v>
      </c>
      <c r="B1056" s="36">
        <v>1.0</v>
      </c>
      <c r="C1056" s="36">
        <v>2.0</v>
      </c>
      <c r="D1056" s="36">
        <v>3.0</v>
      </c>
      <c r="E1056" s="36">
        <v>4.0</v>
      </c>
      <c r="F1056" s="36">
        <v>5.0</v>
      </c>
      <c r="G1056" s="36">
        <v>6.0</v>
      </c>
      <c r="H1056" s="36">
        <v>7.0</v>
      </c>
      <c r="I1056" s="36">
        <v>8.0</v>
      </c>
      <c r="J1056" s="36">
        <v>9.0</v>
      </c>
      <c r="K1056" s="36">
        <v>10.0</v>
      </c>
      <c r="L1056" s="36">
        <v>11.0</v>
      </c>
      <c r="M1056" s="36">
        <v>12.0</v>
      </c>
      <c r="N1056" s="36">
        <v>13.0</v>
      </c>
      <c r="O1056" s="36">
        <v>14.0</v>
      </c>
      <c r="P1056" s="36">
        <v>15.0</v>
      </c>
      <c r="Q1056" s="36">
        <v>16.0</v>
      </c>
      <c r="R1056" s="36">
        <v>17.0</v>
      </c>
      <c r="S1056" s="36">
        <v>18.0</v>
      </c>
      <c r="T1056" s="36">
        <v>19.0</v>
      </c>
      <c r="U1056" s="36">
        <v>20.0</v>
      </c>
      <c r="V1056" s="36">
        <v>21.0</v>
      </c>
      <c r="W1056" s="36">
        <v>22.0</v>
      </c>
      <c r="X1056" s="36">
        <v>23.0</v>
      </c>
      <c r="Y1056" s="36">
        <v>24.0</v>
      </c>
      <c r="Z1056" s="36">
        <v>25.0</v>
      </c>
      <c r="AA1056" s="36">
        <v>26.0</v>
      </c>
      <c r="AB1056" s="36">
        <v>27.0</v>
      </c>
      <c r="AC1056" s="36">
        <v>28.0</v>
      </c>
      <c r="AD1056" s="36">
        <v>29.0</v>
      </c>
      <c r="AE1056" s="36">
        <v>30.0</v>
      </c>
      <c r="AF1056" s="36"/>
      <c r="AG1056" s="36"/>
      <c r="AH1056" s="36"/>
      <c r="AI1056" s="36"/>
      <c r="AJ1056" s="36"/>
    </row>
    <row r="1057" ht="15.75" customHeight="1">
      <c r="A1057" s="12" t="s">
        <v>217</v>
      </c>
      <c r="B1057" s="12">
        <v>0.0</v>
      </c>
      <c r="C1057" s="12">
        <v>0.0</v>
      </c>
      <c r="D1057" s="12">
        <v>0.0</v>
      </c>
      <c r="E1057" s="12">
        <v>0.0</v>
      </c>
      <c r="F1057" s="12">
        <v>0.0</v>
      </c>
      <c r="G1057" s="12">
        <v>0.0</v>
      </c>
      <c r="H1057" s="12">
        <v>0.0</v>
      </c>
      <c r="I1057" s="12">
        <v>0.0</v>
      </c>
      <c r="J1057" s="12">
        <v>0.0</v>
      </c>
      <c r="K1057" s="12">
        <v>0.0</v>
      </c>
      <c r="L1057" s="12">
        <v>0.0</v>
      </c>
      <c r="M1057" s="12">
        <v>0.0</v>
      </c>
      <c r="N1057" s="12">
        <v>0.0</v>
      </c>
      <c r="O1057" s="12">
        <v>0.0</v>
      </c>
      <c r="P1057" s="12">
        <v>0.0</v>
      </c>
      <c r="Q1057" s="12">
        <v>0.0</v>
      </c>
      <c r="R1057" s="12">
        <v>0.0</v>
      </c>
      <c r="S1057" s="12">
        <v>0.0</v>
      </c>
      <c r="T1057" s="12">
        <v>0.0</v>
      </c>
      <c r="U1057" s="12">
        <v>0.0</v>
      </c>
      <c r="V1057" s="12">
        <v>0.0</v>
      </c>
      <c r="W1057" s="12">
        <v>0.0</v>
      </c>
      <c r="X1057" s="12">
        <v>0.0</v>
      </c>
      <c r="Y1057" s="12">
        <v>0.0</v>
      </c>
      <c r="Z1057" s="12">
        <v>0.0</v>
      </c>
      <c r="AA1057" s="12">
        <v>0.0</v>
      </c>
      <c r="AB1057" s="12">
        <v>0.0</v>
      </c>
      <c r="AC1057" s="12">
        <v>0.0</v>
      </c>
      <c r="AD1057" s="12">
        <v>0.0</v>
      </c>
      <c r="AE1057" s="12">
        <v>0.0</v>
      </c>
      <c r="AF1057" s="36"/>
      <c r="AG1057" s="36"/>
      <c r="AH1057" s="36"/>
      <c r="AI1057" s="36"/>
      <c r="AJ1057" s="36"/>
    </row>
    <row r="1058" ht="15.75" customHeight="1">
      <c r="A1058" s="12" t="s">
        <v>218</v>
      </c>
      <c r="B1058" s="390">
        <v>0.01</v>
      </c>
      <c r="C1058" s="390">
        <v>0.01</v>
      </c>
      <c r="D1058" s="399">
        <f>IF(Mod_Prem&lt;35000,0.6%,IF(AND(Mod_Prem&gt;=35000,Mod_Prem&lt;100000),0.5%,IF(Mod_Prem&gt;=65000,0.4%)))</f>
        <v>0.004</v>
      </c>
      <c r="E1058" s="399">
        <f>IF(Mod_Prem&lt;35000,0.6%,IF(AND(Mod_Prem&gt;=35000,Mod_Prem&lt;100000),0.5%,IF(Mod_Prem&gt;=65000,0.4%)))</f>
        <v>0.004</v>
      </c>
      <c r="F1058" s="399">
        <f>IF(Mod_Prem&lt;35000,0.6%,IF(AND(Mod_Prem&gt;=35000,Mod_Prem&lt;100000),0.5%,IF(Mod_Prem&gt;=65000,0.4%)))</f>
        <v>0.004</v>
      </c>
      <c r="G1058" s="399">
        <f>IF(Mod_Prem&lt;35000,0.6%,IF(AND(Mod_Prem&gt;=35000,Mod_Prem&lt;100000),0.5%,IF(Mod_Prem&gt;=65000,0.4%)))</f>
        <v>0.004</v>
      </c>
      <c r="H1058" s="399">
        <f>IF(Mod_Prem&lt;35000,0.6%,IF(AND(Mod_Prem&gt;=35000,Mod_Prem&lt;100000),0.5%,IF(Mod_Prem&gt;=65000,0.4%)))</f>
        <v>0.004</v>
      </c>
      <c r="I1058" s="399">
        <f>IF(Mod_Prem&lt;35000,0.6%,IF(AND(Mod_Prem&gt;=35000,Mod_Prem&lt;100000),0.5%,IF(Mod_Prem&gt;=65000,0.4%)))</f>
        <v>0.004</v>
      </c>
      <c r="J1058" s="399">
        <f>IF(Mod_Prem&lt;35000,0.6%,IF(AND(Mod_Prem&gt;=35000,Mod_Prem&lt;100000),0.5%,IF(Mod_Prem&gt;=65000,0.4%)))</f>
        <v>0.004</v>
      </c>
      <c r="K1058" s="399">
        <f>IF(Mod_Prem&lt;35000,0.6%,IF(AND(Mod_Prem&gt;=35000,Mod_Prem&lt;100000),0.5%,IF(Mod_Prem&gt;=65000,0.4%)))</f>
        <v>0.004</v>
      </c>
      <c r="L1058" s="399">
        <f>IF(Mod_Prem&lt;35000,0.6%,IF(AND(Mod_Prem&gt;=35000,Mod_Prem&lt;100000),0.5%,IF(Mod_Prem&gt;=65000,0.4%)))</f>
        <v>0.004</v>
      </c>
      <c r="M1058" s="399">
        <f>IF(Mod_Prem&lt;35000,0.6%,IF(AND(Mod_Prem&gt;=35000,Mod_Prem&lt;100000),0.5%,IF(Mod_Prem&gt;=65000,0.4%)))</f>
        <v>0.004</v>
      </c>
      <c r="N1058" s="399">
        <f>IF(Mod_Prem&lt;35000,0.6%,IF(AND(Mod_Prem&gt;=35000,Mod_Prem&lt;100000),0.5%,IF(Mod_Prem&gt;=65000,0.4%)))</f>
        <v>0.004</v>
      </c>
      <c r="O1058" s="399">
        <f>IF(Mod_Prem&lt;35000,0.6%,IF(AND(Mod_Prem&gt;=35000,Mod_Prem&lt;100000),0.5%,IF(Mod_Prem&gt;=65000,0.4%)))</f>
        <v>0.004</v>
      </c>
      <c r="P1058" s="399">
        <f>IF(Mod_Prem&lt;35000,0.6%,IF(AND(Mod_Prem&gt;=35000,Mod_Prem&lt;100000),0.5%,IF(Mod_Prem&gt;=65000,0.4%)))</f>
        <v>0.004</v>
      </c>
      <c r="Q1058" s="399">
        <f>IF(Mod_Prem&lt;35000,0.6%,IF(AND(Mod_Prem&gt;=35000,Mod_Prem&lt;100000),0.5%,IF(Mod_Prem&gt;=65000,0.4%)))</f>
        <v>0.004</v>
      </c>
      <c r="R1058" s="399">
        <f>IF(Mod_Prem&lt;35000,0.6%,IF(AND(Mod_Prem&gt;=35000,Mod_Prem&lt;100000),0.5%,IF(Mod_Prem&gt;=65000,0.4%)))</f>
        <v>0.004</v>
      </c>
      <c r="S1058" s="399">
        <f>IF(Mod_Prem&lt;35000,0.6%,IF(AND(Mod_Prem&gt;=35000,Mod_Prem&lt;100000),0.5%,IF(Mod_Prem&gt;=65000,0.4%)))</f>
        <v>0.004</v>
      </c>
      <c r="T1058" s="399">
        <f>IF(Mod_Prem&lt;35000,0.6%,IF(AND(Mod_Prem&gt;=35000,Mod_Prem&lt;100000),0.5%,IF(Mod_Prem&gt;=65000,0.4%)))</f>
        <v>0.004</v>
      </c>
      <c r="U1058" s="399">
        <f>IF(Mod_Prem&lt;35000,0.6%,IF(AND(Mod_Prem&gt;=35000,Mod_Prem&lt;100000),0.5%,IF(Mod_Prem&gt;=65000,0.4%)))</f>
        <v>0.004</v>
      </c>
      <c r="V1058" s="399">
        <f>IF(Mod_Prem&lt;35000,0.6%,IF(AND(Mod_Prem&gt;=35000,Mod_Prem&lt;100000),0.5%,IF(Mod_Prem&gt;=65000,0.4%)))</f>
        <v>0.004</v>
      </c>
      <c r="W1058" s="399">
        <f>IF(Mod_Prem&lt;35000,0.6%,IF(AND(Mod_Prem&gt;=35000,Mod_Prem&lt;100000),0.5%,IF(Mod_Prem&gt;=65000,0.4%)))</f>
        <v>0.004</v>
      </c>
      <c r="X1058" s="399">
        <f>IF(Mod_Prem&lt;35000,0.6%,IF(AND(Mod_Prem&gt;=35000,Mod_Prem&lt;100000),0.5%,IF(Mod_Prem&gt;=65000,0.4%)))</f>
        <v>0.004</v>
      </c>
      <c r="Y1058" s="399">
        <f>IF(Mod_Prem&lt;35000,0.6%,IF(AND(Mod_Prem&gt;=35000,Mod_Prem&lt;100000),0.5%,IF(Mod_Prem&gt;=65000,0.4%)))</f>
        <v>0.004</v>
      </c>
      <c r="Z1058" s="399">
        <f>IF(Mod_Prem&lt;35000,0.6%,IF(AND(Mod_Prem&gt;=35000,Mod_Prem&lt;100000),0.5%,IF(Mod_Prem&gt;=65000,0.4%)))</f>
        <v>0.004</v>
      </c>
      <c r="AA1058" s="399">
        <f>IF(Mod_Prem&lt;35000,0.6%,IF(AND(Mod_Prem&gt;=35000,Mod_Prem&lt;100000),0.5%,IF(Mod_Prem&gt;=65000,0.4%)))</f>
        <v>0.004</v>
      </c>
      <c r="AB1058" s="399">
        <f>IF(Mod_Prem&lt;35000,0.6%,IF(AND(Mod_Prem&gt;=35000,Mod_Prem&lt;100000),0.5%,IF(Mod_Prem&gt;=65000,0.4%)))</f>
        <v>0.004</v>
      </c>
      <c r="AC1058" s="399">
        <f>IF(Mod_Prem&lt;35000,0.6%,IF(AND(Mod_Prem&gt;=35000,Mod_Prem&lt;100000),0.5%,IF(Mod_Prem&gt;=65000,0.4%)))</f>
        <v>0.004</v>
      </c>
      <c r="AD1058" s="399">
        <f>IF(Mod_Prem&lt;35000,0.6%,IF(AND(Mod_Prem&gt;=35000,Mod_Prem&lt;100000),0.5%,IF(Mod_Prem&gt;=65000,0.4%)))</f>
        <v>0.004</v>
      </c>
      <c r="AE1058" s="399">
        <f>IF(Mod_Prem&lt;35000,0.6%,IF(AND(Mod_Prem&gt;=35000,Mod_Prem&lt;100000),0.5%,IF(Mod_Prem&gt;=65000,0.4%)))</f>
        <v>0.004</v>
      </c>
      <c r="AF1058" s="36"/>
      <c r="AG1058" s="36"/>
      <c r="AH1058" s="36"/>
      <c r="AI1058" s="36"/>
      <c r="AJ1058" s="36"/>
    </row>
    <row r="1059" ht="15.75" customHeight="1">
      <c r="A1059" s="12"/>
      <c r="B1059" s="390"/>
      <c r="C1059" s="390"/>
      <c r="D1059" s="390"/>
      <c r="E1059" s="121"/>
      <c r="F1059" s="121"/>
      <c r="G1059" s="121"/>
      <c r="H1059" s="121"/>
      <c r="I1059" s="121"/>
      <c r="J1059" s="121"/>
      <c r="K1059" s="121"/>
      <c r="L1059" s="121"/>
      <c r="M1059" s="121"/>
      <c r="N1059" s="121"/>
      <c r="O1059" s="121"/>
      <c r="P1059" s="121"/>
      <c r="Q1059" s="121"/>
      <c r="R1059" s="121"/>
      <c r="S1059" s="121"/>
      <c r="T1059" s="121"/>
      <c r="U1059" s="121"/>
      <c r="V1059" s="121"/>
      <c r="W1059" s="121"/>
      <c r="X1059" s="121"/>
      <c r="Y1059" s="121"/>
      <c r="Z1059" s="121"/>
      <c r="AA1059" s="121"/>
      <c r="AB1059" s="121"/>
      <c r="AC1059" s="121"/>
      <c r="AD1059" s="121"/>
      <c r="AE1059" s="121"/>
      <c r="AF1059" s="36"/>
      <c r="AG1059" s="36"/>
      <c r="AH1059" s="36"/>
      <c r="AI1059" s="36"/>
      <c r="AJ1059" s="36"/>
    </row>
    <row r="1060" ht="15.75" customHeight="1">
      <c r="A1060" s="357" t="s">
        <v>1496</v>
      </c>
      <c r="B1060" s="390"/>
      <c r="C1060" s="390"/>
      <c r="D1060" s="390"/>
      <c r="E1060" s="121"/>
      <c r="F1060" s="121"/>
      <c r="G1060" s="121"/>
      <c r="H1060" s="121"/>
      <c r="I1060" s="121"/>
      <c r="J1060" s="121"/>
      <c r="K1060" s="121"/>
      <c r="L1060" s="121"/>
      <c r="M1060" s="121"/>
      <c r="N1060" s="121"/>
      <c r="O1060" s="121"/>
      <c r="P1060" s="121"/>
      <c r="Q1060" s="121"/>
      <c r="R1060" s="121"/>
      <c r="S1060" s="121"/>
      <c r="T1060" s="121"/>
      <c r="U1060" s="121"/>
      <c r="V1060" s="121"/>
      <c r="W1060" s="121"/>
      <c r="X1060" s="121"/>
      <c r="Y1060" s="121"/>
      <c r="Z1060" s="121"/>
      <c r="AA1060" s="121"/>
      <c r="AB1060" s="121"/>
      <c r="AC1060" s="121"/>
      <c r="AD1060" s="121"/>
      <c r="AE1060" s="121"/>
      <c r="AF1060" s="36"/>
      <c r="AG1060" s="36"/>
      <c r="AH1060" s="36"/>
      <c r="AI1060" s="36"/>
      <c r="AJ1060" s="36"/>
    </row>
    <row r="1061" ht="15.75" customHeight="1">
      <c r="A1061" s="12"/>
      <c r="B1061" s="390"/>
      <c r="C1061" s="390"/>
      <c r="D1061" s="390"/>
      <c r="E1061" s="121"/>
      <c r="F1061" s="121"/>
      <c r="G1061" s="121"/>
      <c r="H1061" s="121"/>
      <c r="I1061" s="121"/>
      <c r="J1061" s="121"/>
      <c r="K1061" s="121"/>
      <c r="L1061" s="121"/>
      <c r="M1061" s="121"/>
      <c r="N1061" s="121"/>
      <c r="O1061" s="121"/>
      <c r="P1061" s="121"/>
      <c r="Q1061" s="121"/>
      <c r="R1061" s="121"/>
      <c r="S1061" s="121"/>
      <c r="T1061" s="121"/>
      <c r="U1061" s="121"/>
      <c r="V1061" s="121"/>
      <c r="W1061" s="121"/>
      <c r="X1061" s="121"/>
      <c r="Y1061" s="121"/>
      <c r="Z1061" s="121"/>
      <c r="AA1061" s="121"/>
      <c r="AB1061" s="121"/>
      <c r="AC1061" s="121"/>
      <c r="AD1061" s="121"/>
      <c r="AE1061" s="121"/>
      <c r="AF1061" s="36"/>
      <c r="AG1061" s="36"/>
      <c r="AH1061" s="36"/>
      <c r="AI1061" s="36"/>
      <c r="AJ1061" s="36"/>
    </row>
    <row r="1062" ht="15.75" customHeight="1">
      <c r="A1062" s="36" t="s">
        <v>215</v>
      </c>
      <c r="B1062" s="36">
        <v>1.0</v>
      </c>
      <c r="C1062" s="36">
        <v>2.0</v>
      </c>
      <c r="D1062" s="36">
        <v>3.0</v>
      </c>
      <c r="E1062" s="36">
        <v>4.0</v>
      </c>
      <c r="F1062" s="36">
        <v>5.0</v>
      </c>
      <c r="G1062" s="36">
        <v>6.0</v>
      </c>
      <c r="H1062" s="36">
        <v>7.0</v>
      </c>
      <c r="I1062" s="36">
        <v>8.0</v>
      </c>
      <c r="J1062" s="36">
        <v>9.0</v>
      </c>
      <c r="K1062" s="36">
        <v>10.0</v>
      </c>
      <c r="L1062" s="36">
        <v>11.0</v>
      </c>
      <c r="M1062" s="36">
        <v>12.0</v>
      </c>
      <c r="N1062" s="36">
        <v>13.0</v>
      </c>
      <c r="O1062" s="36">
        <v>14.0</v>
      </c>
      <c r="P1062" s="36">
        <v>15.0</v>
      </c>
      <c r="Q1062" s="36">
        <v>16.0</v>
      </c>
      <c r="R1062" s="36">
        <v>17.0</v>
      </c>
      <c r="S1062" s="36">
        <v>18.0</v>
      </c>
      <c r="T1062" s="36">
        <v>19.0</v>
      </c>
      <c r="U1062" s="36">
        <v>20.0</v>
      </c>
      <c r="V1062" s="36">
        <v>21.0</v>
      </c>
      <c r="W1062" s="36">
        <v>22.0</v>
      </c>
      <c r="X1062" s="36">
        <v>23.0</v>
      </c>
      <c r="Y1062" s="36">
        <v>24.0</v>
      </c>
      <c r="Z1062" s="36">
        <v>25.0</v>
      </c>
      <c r="AA1062" s="36">
        <v>26.0</v>
      </c>
      <c r="AB1062" s="36">
        <v>27.0</v>
      </c>
      <c r="AC1062" s="36">
        <v>28.0</v>
      </c>
      <c r="AD1062" s="36">
        <v>29.0</v>
      </c>
      <c r="AE1062" s="36">
        <v>30.0</v>
      </c>
      <c r="AF1062" s="36"/>
      <c r="AG1062" s="36"/>
      <c r="AH1062" s="36"/>
      <c r="AI1062" s="36"/>
      <c r="AJ1062" s="36"/>
    </row>
    <row r="1063" ht="15.75" customHeight="1">
      <c r="A1063" s="12" t="s">
        <v>217</v>
      </c>
      <c r="B1063" s="12">
        <v>0.0</v>
      </c>
      <c r="C1063" s="12">
        <v>0.0</v>
      </c>
      <c r="D1063" s="12">
        <v>0.0</v>
      </c>
      <c r="E1063" s="12">
        <v>0.0</v>
      </c>
      <c r="F1063" s="12">
        <v>0.0</v>
      </c>
      <c r="G1063" s="12">
        <v>0.0</v>
      </c>
      <c r="H1063" s="12">
        <v>0.0</v>
      </c>
      <c r="I1063" s="12">
        <v>0.0</v>
      </c>
      <c r="J1063" s="12">
        <v>0.0</v>
      </c>
      <c r="K1063" s="12">
        <v>0.0</v>
      </c>
      <c r="L1063" s="12">
        <v>0.0</v>
      </c>
      <c r="M1063" s="12">
        <v>0.0</v>
      </c>
      <c r="N1063" s="12">
        <v>0.0</v>
      </c>
      <c r="O1063" s="12">
        <v>0.0</v>
      </c>
      <c r="P1063" s="12">
        <v>0.0</v>
      </c>
      <c r="Q1063" s="12">
        <v>0.0</v>
      </c>
      <c r="R1063" s="12">
        <v>0.0</v>
      </c>
      <c r="S1063" s="12">
        <v>0.0</v>
      </c>
      <c r="T1063" s="12">
        <v>0.0</v>
      </c>
      <c r="U1063" s="12">
        <v>0.0</v>
      </c>
      <c r="V1063" s="12">
        <v>0.0</v>
      </c>
      <c r="W1063" s="12">
        <v>0.0</v>
      </c>
      <c r="X1063" s="12">
        <v>0.0</v>
      </c>
      <c r="Y1063" s="12">
        <v>0.0</v>
      </c>
      <c r="Z1063" s="12">
        <v>0.0</v>
      </c>
      <c r="AA1063" s="12">
        <v>0.0</v>
      </c>
      <c r="AB1063" s="12">
        <v>0.0</v>
      </c>
      <c r="AC1063" s="12">
        <v>0.0</v>
      </c>
      <c r="AD1063" s="12">
        <v>0.0</v>
      </c>
      <c r="AE1063" s="12">
        <v>0.0</v>
      </c>
      <c r="AF1063" s="36"/>
      <c r="AG1063" s="36"/>
      <c r="AH1063" s="36"/>
      <c r="AI1063" s="36"/>
      <c r="AJ1063" s="36"/>
    </row>
    <row r="1064" ht="15.75" customHeight="1">
      <c r="A1064" s="12" t="s">
        <v>218</v>
      </c>
      <c r="B1064" s="390">
        <v>0.0055</v>
      </c>
      <c r="C1064" s="390">
        <v>0.0055</v>
      </c>
      <c r="D1064" s="399">
        <v>0.004</v>
      </c>
      <c r="E1064" s="399">
        <v>0.004</v>
      </c>
      <c r="F1064" s="399">
        <v>0.004</v>
      </c>
      <c r="G1064" s="399">
        <v>0.004</v>
      </c>
      <c r="H1064" s="399">
        <v>0.004</v>
      </c>
      <c r="I1064" s="399">
        <v>0.004</v>
      </c>
      <c r="J1064" s="399">
        <v>0.004</v>
      </c>
      <c r="K1064" s="399">
        <v>0.004</v>
      </c>
      <c r="L1064" s="399">
        <v>0.004</v>
      </c>
      <c r="M1064" s="399">
        <v>0.004</v>
      </c>
      <c r="N1064" s="399">
        <v>0.004</v>
      </c>
      <c r="O1064" s="399">
        <v>0.004</v>
      </c>
      <c r="P1064" s="399">
        <v>0.004</v>
      </c>
      <c r="Q1064" s="399">
        <v>0.004</v>
      </c>
      <c r="R1064" s="399">
        <v>0.004</v>
      </c>
      <c r="S1064" s="399">
        <v>0.004</v>
      </c>
      <c r="T1064" s="399">
        <v>0.004</v>
      </c>
      <c r="U1064" s="399">
        <v>0.004</v>
      </c>
      <c r="V1064" s="399">
        <v>0.004</v>
      </c>
      <c r="W1064" s="399">
        <v>0.004</v>
      </c>
      <c r="X1064" s="399">
        <v>0.004</v>
      </c>
      <c r="Y1064" s="399">
        <v>0.004</v>
      </c>
      <c r="Z1064" s="399">
        <v>0.004</v>
      </c>
      <c r="AA1064" s="399">
        <v>0.004</v>
      </c>
      <c r="AB1064" s="399">
        <v>0.004</v>
      </c>
      <c r="AC1064" s="399">
        <v>0.004</v>
      </c>
      <c r="AD1064" s="399">
        <v>0.004</v>
      </c>
      <c r="AE1064" s="399">
        <v>0.004</v>
      </c>
      <c r="AF1064" s="36"/>
      <c r="AG1064" s="36"/>
      <c r="AH1064" s="36"/>
      <c r="AI1064" s="36"/>
      <c r="AJ1064" s="36"/>
    </row>
    <row r="1065" ht="15.75" customHeight="1">
      <c r="A1065" s="12"/>
      <c r="B1065" s="390"/>
      <c r="C1065" s="390"/>
      <c r="D1065" s="390"/>
      <c r="E1065" s="121"/>
      <c r="F1065" s="121"/>
      <c r="G1065" s="121"/>
      <c r="H1065" s="121"/>
      <c r="I1065" s="121"/>
      <c r="J1065" s="121"/>
      <c r="K1065" s="121"/>
      <c r="L1065" s="121"/>
      <c r="M1065" s="121"/>
      <c r="N1065" s="121"/>
      <c r="O1065" s="121"/>
      <c r="P1065" s="121"/>
      <c r="Q1065" s="121"/>
      <c r="R1065" s="121"/>
      <c r="S1065" s="121"/>
      <c r="T1065" s="121"/>
      <c r="U1065" s="121"/>
      <c r="V1065" s="121"/>
      <c r="W1065" s="121"/>
      <c r="X1065" s="121"/>
      <c r="Y1065" s="121"/>
      <c r="Z1065" s="121"/>
      <c r="AA1065" s="121"/>
      <c r="AB1065" s="121"/>
      <c r="AC1065" s="121"/>
      <c r="AD1065" s="121"/>
      <c r="AE1065" s="121"/>
      <c r="AF1065" s="36"/>
      <c r="AG1065" s="36"/>
      <c r="AH1065" s="36"/>
      <c r="AI1065" s="36"/>
      <c r="AJ1065" s="36"/>
    </row>
    <row r="1066" ht="15.75" customHeight="1">
      <c r="A1066" s="357" t="s">
        <v>1500</v>
      </c>
      <c r="B1066" s="390"/>
      <c r="C1066" s="390"/>
      <c r="D1066" s="390"/>
      <c r="E1066" s="121"/>
      <c r="F1066" s="121"/>
      <c r="G1066" s="121"/>
      <c r="H1066" s="121"/>
      <c r="I1066" s="121"/>
      <c r="J1066" s="121"/>
      <c r="K1066" s="121"/>
      <c r="L1066" s="121"/>
      <c r="M1066" s="121"/>
      <c r="N1066" s="121"/>
      <c r="O1066" s="121"/>
      <c r="P1066" s="121"/>
      <c r="Q1066" s="121"/>
      <c r="R1066" s="121"/>
      <c r="S1066" s="121"/>
      <c r="T1066" s="121"/>
      <c r="U1066" s="121"/>
      <c r="V1066" s="121"/>
      <c r="W1066" s="121"/>
      <c r="X1066" s="121"/>
      <c r="Y1066" s="121"/>
      <c r="Z1066" s="121"/>
      <c r="AA1066" s="121"/>
      <c r="AB1066" s="121"/>
      <c r="AC1066" s="121"/>
      <c r="AD1066" s="121"/>
      <c r="AE1066" s="121"/>
      <c r="AF1066" s="36"/>
      <c r="AG1066" s="36"/>
      <c r="AH1066" s="36"/>
      <c r="AI1066" s="36"/>
      <c r="AJ1066" s="36"/>
    </row>
    <row r="1067" ht="15.75" customHeight="1">
      <c r="A1067" s="12"/>
      <c r="B1067" s="390"/>
      <c r="C1067" s="390"/>
      <c r="D1067" s="390"/>
      <c r="E1067" s="121"/>
      <c r="F1067" s="121"/>
      <c r="G1067" s="121"/>
      <c r="H1067" s="121"/>
      <c r="I1067" s="121"/>
      <c r="J1067" s="121"/>
      <c r="K1067" s="121"/>
      <c r="L1067" s="121"/>
      <c r="M1067" s="121"/>
      <c r="N1067" s="121"/>
      <c r="O1067" s="121"/>
      <c r="P1067" s="121"/>
      <c r="Q1067" s="121"/>
      <c r="R1067" s="121"/>
      <c r="S1067" s="121"/>
      <c r="T1067" s="121"/>
      <c r="U1067" s="121"/>
      <c r="V1067" s="121"/>
      <c r="W1067" s="121"/>
      <c r="X1067" s="121"/>
      <c r="Y1067" s="121"/>
      <c r="Z1067" s="121"/>
      <c r="AA1067" s="121"/>
      <c r="AB1067" s="121"/>
      <c r="AC1067" s="121"/>
      <c r="AD1067" s="121"/>
      <c r="AE1067" s="121"/>
      <c r="AF1067" s="36"/>
      <c r="AG1067" s="36"/>
      <c r="AH1067" s="36"/>
      <c r="AI1067" s="36"/>
      <c r="AJ1067" s="36"/>
    </row>
    <row r="1068" ht="15.75" customHeight="1">
      <c r="A1068" s="36" t="s">
        <v>215</v>
      </c>
      <c r="B1068" s="36">
        <v>1.0</v>
      </c>
      <c r="C1068" s="36">
        <v>2.0</v>
      </c>
      <c r="D1068" s="36">
        <v>3.0</v>
      </c>
      <c r="E1068" s="36">
        <v>4.0</v>
      </c>
      <c r="F1068" s="36">
        <v>5.0</v>
      </c>
      <c r="G1068" s="36">
        <v>6.0</v>
      </c>
      <c r="H1068" s="36">
        <v>7.0</v>
      </c>
      <c r="I1068" s="36">
        <v>8.0</v>
      </c>
      <c r="J1068" s="36">
        <v>9.0</v>
      </c>
      <c r="K1068" s="36">
        <v>10.0</v>
      </c>
      <c r="L1068" s="36">
        <v>11.0</v>
      </c>
      <c r="M1068" s="36">
        <v>12.0</v>
      </c>
      <c r="N1068" s="36">
        <v>13.0</v>
      </c>
      <c r="O1068" s="36">
        <v>14.0</v>
      </c>
      <c r="P1068" s="36">
        <v>15.0</v>
      </c>
      <c r="Q1068" s="36">
        <v>16.0</v>
      </c>
      <c r="R1068" s="36">
        <v>17.0</v>
      </c>
      <c r="S1068" s="36">
        <v>18.0</v>
      </c>
      <c r="T1068" s="36">
        <v>19.0</v>
      </c>
      <c r="U1068" s="36">
        <v>20.0</v>
      </c>
      <c r="V1068" s="36">
        <v>21.0</v>
      </c>
      <c r="W1068" s="36">
        <v>22.0</v>
      </c>
      <c r="X1068" s="36">
        <v>23.0</v>
      </c>
      <c r="Y1068" s="36">
        <v>24.0</v>
      </c>
      <c r="Z1068" s="36">
        <v>25.0</v>
      </c>
      <c r="AA1068" s="36">
        <v>26.0</v>
      </c>
      <c r="AB1068" s="36">
        <v>27.0</v>
      </c>
      <c r="AC1068" s="36">
        <v>28.0</v>
      </c>
      <c r="AD1068" s="36">
        <v>29.0</v>
      </c>
      <c r="AE1068" s="36">
        <v>30.0</v>
      </c>
      <c r="AF1068" s="36"/>
      <c r="AG1068" s="36"/>
      <c r="AH1068" s="36"/>
      <c r="AI1068" s="36"/>
      <c r="AJ1068" s="36"/>
    </row>
    <row r="1069" ht="15.75" customHeight="1">
      <c r="A1069" s="12" t="s">
        <v>217</v>
      </c>
      <c r="B1069" s="12">
        <f>IF(Mod_Prem&lt;48000,140,IF(AND(Mod_Prem&gt;=48000,Mod_Prem&lt;72000),235,IF(Mod_Prem&gt;=72000,250)))</f>
        <v>250</v>
      </c>
      <c r="C1069" s="12">
        <f>IF(Mod_Prem&lt;48000,65,IF(AND(Mod_Prem&gt;=48000,Mod_Prem&lt;72000),85,IF(Mod_Prem&gt;=72000,100)))</f>
        <v>100</v>
      </c>
      <c r="D1069" s="12">
        <f>IF(Mod_Prem&lt;48000,65,IF(AND(Mod_Prem&gt;=48000,Mod_Prem&lt;72000),85,IF(Mod_Prem&gt;=72000,100)))</f>
        <v>100</v>
      </c>
      <c r="E1069" s="12">
        <f>IF(Mod_Prem&lt;48000,65,IF(AND(Mod_Prem&gt;=48000,Mod_Prem&lt;72000),85,IF(Mod_Prem&gt;=72000,100)))</f>
        <v>100</v>
      </c>
      <c r="F1069" s="12">
        <f>IF(Mod_Prem&lt;48000,65,IF(AND(Mod_Prem&gt;=48000,Mod_Prem&lt;72000),85,IF(Mod_Prem&gt;=72000,100)))</f>
        <v>100</v>
      </c>
      <c r="G1069" s="12">
        <f>IF(Mod_Prem&lt;48000,65,IF(AND(Mod_Prem&gt;=48000,Mod_Prem&lt;72000),85,IF(Mod_Prem&gt;=72000,100)))</f>
        <v>100</v>
      </c>
      <c r="H1069" s="12">
        <f>IF(Mod_Prem&lt;48000,65,IF(AND(Mod_Prem&gt;=48000,Mod_Prem&lt;72000),85,IF(Mod_Prem&gt;=72000,100)))</f>
        <v>100</v>
      </c>
      <c r="I1069" s="12">
        <f>IF(Mod_Prem&lt;48000,65,IF(AND(Mod_Prem&gt;=48000,Mod_Prem&lt;72000),85,IF(Mod_Prem&gt;=72000,100)))</f>
        <v>100</v>
      </c>
      <c r="J1069" s="12">
        <f>IF(Mod_Prem&lt;48000,65,IF(AND(Mod_Prem&gt;=48000,Mod_Prem&lt;72000),85,IF(Mod_Prem&gt;=72000,100)))</f>
        <v>100</v>
      </c>
      <c r="K1069" s="12">
        <f>IF(Mod_Prem&lt;48000,65,IF(AND(Mod_Prem&gt;=48000,Mod_Prem&lt;72000),85,IF(Mod_Prem&gt;=72000,100)))</f>
        <v>100</v>
      </c>
      <c r="L1069" s="12">
        <f>IF(Mod_Prem&lt;48000,65,IF(AND(Mod_Prem&gt;=48000,Mod_Prem&lt;72000),85,IF(Mod_Prem&gt;=72000,100)))</f>
        <v>100</v>
      </c>
      <c r="M1069" s="12">
        <f>IF(Mod_Prem&lt;48000,65,IF(AND(Mod_Prem&gt;=48000,Mod_Prem&lt;72000),85,IF(Mod_Prem&gt;=72000,100)))</f>
        <v>100</v>
      </c>
      <c r="N1069" s="12">
        <f>IF(Mod_Prem&lt;48000,65,IF(AND(Mod_Prem&gt;=48000,Mod_Prem&lt;72000),85,IF(Mod_Prem&gt;=72000,100)))</f>
        <v>100</v>
      </c>
      <c r="O1069" s="12">
        <f>IF(Mod_Prem&lt;48000,65,IF(AND(Mod_Prem&gt;=48000,Mod_Prem&lt;72000),85,IF(Mod_Prem&gt;=72000,100)))</f>
        <v>100</v>
      </c>
      <c r="P1069" s="12">
        <f>IF(Mod_Prem&lt;48000,65,IF(AND(Mod_Prem&gt;=48000,Mod_Prem&lt;72000),85,IF(Mod_Prem&gt;=72000,100)))</f>
        <v>100</v>
      </c>
      <c r="Q1069" s="12">
        <f>IF(Mod_Prem&lt;48000,65,IF(AND(Mod_Prem&gt;=48000,Mod_Prem&lt;72000),85,IF(Mod_Prem&gt;=72000,100)))</f>
        <v>100</v>
      </c>
      <c r="R1069" s="12">
        <f>IF(Mod_Prem&lt;48000,65,IF(AND(Mod_Prem&gt;=48000,Mod_Prem&lt;72000),85,IF(Mod_Prem&gt;=72000,100)))</f>
        <v>100</v>
      </c>
      <c r="S1069" s="12">
        <f>IF(Mod_Prem&lt;48000,65,IF(AND(Mod_Prem&gt;=48000,Mod_Prem&lt;72000),85,IF(Mod_Prem&gt;=72000,100)))</f>
        <v>100</v>
      </c>
      <c r="T1069" s="12">
        <f>IF(Mod_Prem&lt;48000,65,IF(AND(Mod_Prem&gt;=48000,Mod_Prem&lt;72000),85,IF(Mod_Prem&gt;=72000,100)))</f>
        <v>100</v>
      </c>
      <c r="U1069" s="12">
        <f>IF(Mod_Prem&lt;48000,65,IF(AND(Mod_Prem&gt;=48000,Mod_Prem&lt;72000),85,IF(Mod_Prem&gt;=72000,100)))</f>
        <v>100</v>
      </c>
      <c r="V1069" s="12">
        <f>IF(Mod_Prem&lt;48000,65,IF(AND(Mod_Prem&gt;=48000,Mod_Prem&lt;72000),85,IF(Mod_Prem&gt;=72000,100)))</f>
        <v>100</v>
      </c>
      <c r="W1069" s="12">
        <f>IF(Mod_Prem&lt;48000,65,IF(AND(Mod_Prem&gt;=48000,Mod_Prem&lt;72000),85,IF(Mod_Prem&gt;=72000,100)))</f>
        <v>100</v>
      </c>
      <c r="X1069" s="12">
        <f>IF(Mod_Prem&lt;48000,65,IF(AND(Mod_Prem&gt;=48000,Mod_Prem&lt;72000),85,IF(Mod_Prem&gt;=72000,100)))</f>
        <v>100</v>
      </c>
      <c r="Y1069" s="12">
        <f>IF(Mod_Prem&lt;48000,65,IF(AND(Mod_Prem&gt;=48000,Mod_Prem&lt;72000),85,IF(Mod_Prem&gt;=72000,100)))</f>
        <v>100</v>
      </c>
      <c r="Z1069" s="12">
        <f>IF(Mod_Prem&lt;48000,65,IF(AND(Mod_Prem&gt;=48000,Mod_Prem&lt;72000),85,IF(Mod_Prem&gt;=72000,100)))</f>
        <v>100</v>
      </c>
      <c r="AA1069" s="12">
        <f>IF(Mod_Prem&lt;48000,65,IF(AND(Mod_Prem&gt;=48000,Mod_Prem&lt;72000),85,IF(Mod_Prem&gt;=72000,100)))</f>
        <v>100</v>
      </c>
      <c r="AB1069" s="12">
        <f>IF(Mod_Prem&lt;48000,65,IF(AND(Mod_Prem&gt;=48000,Mod_Prem&lt;72000),85,IF(Mod_Prem&gt;=72000,100)))</f>
        <v>100</v>
      </c>
      <c r="AC1069" s="12">
        <f>IF(Mod_Prem&lt;48000,65,IF(AND(Mod_Prem&gt;=48000,Mod_Prem&lt;72000),85,IF(Mod_Prem&gt;=72000,100)))</f>
        <v>100</v>
      </c>
      <c r="AD1069" s="12">
        <f>IF(Mod_Prem&lt;48000,65,IF(AND(Mod_Prem&gt;=48000,Mod_Prem&lt;72000),85,IF(Mod_Prem&gt;=72000,100)))</f>
        <v>100</v>
      </c>
      <c r="AE1069" s="12">
        <f>IF(Mod_Prem&lt;48000,65,IF(AND(Mod_Prem&gt;=48000,Mod_Prem&lt;72000),85,IF(Mod_Prem&gt;=72000,100)))</f>
        <v>100</v>
      </c>
      <c r="AF1069" s="36"/>
      <c r="AG1069" s="36"/>
      <c r="AH1069" s="36"/>
      <c r="AI1069" s="36"/>
      <c r="AJ1069" s="36"/>
    </row>
    <row r="1070" ht="15.75" customHeight="1">
      <c r="A1070" s="12" t="s">
        <v>218</v>
      </c>
      <c r="B1070" s="121">
        <v>0.0</v>
      </c>
      <c r="C1070" s="121">
        <v>0.0</v>
      </c>
      <c r="D1070" s="121">
        <v>0.0</v>
      </c>
      <c r="E1070" s="121">
        <v>0.0</v>
      </c>
      <c r="F1070" s="121">
        <v>0.0</v>
      </c>
      <c r="G1070" s="121">
        <v>0.0</v>
      </c>
      <c r="H1070" s="121">
        <v>0.0</v>
      </c>
      <c r="I1070" s="121">
        <v>0.0</v>
      </c>
      <c r="J1070" s="121">
        <v>0.0</v>
      </c>
      <c r="K1070" s="121">
        <v>0.0</v>
      </c>
      <c r="L1070" s="121">
        <v>0.0</v>
      </c>
      <c r="M1070" s="121">
        <v>0.0</v>
      </c>
      <c r="N1070" s="121">
        <v>0.0</v>
      </c>
      <c r="O1070" s="121">
        <v>0.0</v>
      </c>
      <c r="P1070" s="121">
        <v>0.0</v>
      </c>
      <c r="Q1070" s="121">
        <v>0.0</v>
      </c>
      <c r="R1070" s="121">
        <v>0.0</v>
      </c>
      <c r="S1070" s="121">
        <v>0.0</v>
      </c>
      <c r="T1070" s="121">
        <v>0.0</v>
      </c>
      <c r="U1070" s="121">
        <v>0.0</v>
      </c>
      <c r="V1070" s="121">
        <v>0.0</v>
      </c>
      <c r="W1070" s="121">
        <v>0.0</v>
      </c>
      <c r="X1070" s="121">
        <v>0.0</v>
      </c>
      <c r="Y1070" s="121">
        <v>0.0</v>
      </c>
      <c r="Z1070" s="121">
        <v>0.0</v>
      </c>
      <c r="AA1070" s="121">
        <v>0.0</v>
      </c>
      <c r="AB1070" s="121">
        <v>0.0</v>
      </c>
      <c r="AC1070" s="121">
        <v>0.0</v>
      </c>
      <c r="AD1070" s="121">
        <v>0.0</v>
      </c>
      <c r="AE1070" s="121">
        <v>0.0</v>
      </c>
      <c r="AF1070" s="36"/>
      <c r="AG1070" s="36"/>
      <c r="AH1070" s="36"/>
      <c r="AI1070" s="36"/>
      <c r="AJ1070" s="36"/>
    </row>
    <row r="1071" ht="15.75" customHeight="1">
      <c r="A1071" s="12"/>
      <c r="B1071" s="390"/>
      <c r="C1071" s="390"/>
      <c r="D1071" s="390"/>
      <c r="E1071" s="121"/>
      <c r="F1071" s="121"/>
      <c r="G1071" s="121"/>
      <c r="H1071" s="121"/>
      <c r="I1071" s="121"/>
      <c r="J1071" s="121"/>
      <c r="K1071" s="121"/>
      <c r="L1071" s="121"/>
      <c r="M1071" s="121"/>
      <c r="N1071" s="121"/>
      <c r="O1071" s="121"/>
      <c r="P1071" s="121"/>
      <c r="Q1071" s="121"/>
      <c r="R1071" s="121"/>
      <c r="S1071" s="121"/>
      <c r="T1071" s="121"/>
      <c r="U1071" s="121"/>
      <c r="V1071" s="121"/>
      <c r="W1071" s="121"/>
      <c r="X1071" s="121"/>
      <c r="Y1071" s="121"/>
      <c r="Z1071" s="121"/>
      <c r="AA1071" s="121"/>
      <c r="AB1071" s="121"/>
      <c r="AC1071" s="121"/>
      <c r="AD1071" s="121"/>
      <c r="AE1071" s="121"/>
      <c r="AF1071" s="36"/>
      <c r="AG1071" s="36"/>
      <c r="AH1071" s="36"/>
      <c r="AI1071" s="36"/>
      <c r="AJ1071" s="36"/>
    </row>
    <row r="1072" ht="15.75" customHeight="1">
      <c r="A1072" s="357" t="s">
        <v>1504</v>
      </c>
      <c r="B1072" s="390"/>
      <c r="C1072" s="390"/>
      <c r="D1072" s="390"/>
      <c r="E1072" s="121"/>
      <c r="F1072" s="121"/>
      <c r="G1072" s="121"/>
      <c r="H1072" s="121"/>
      <c r="I1072" s="121"/>
      <c r="J1072" s="121"/>
      <c r="K1072" s="121"/>
      <c r="L1072" s="121"/>
      <c r="M1072" s="121"/>
      <c r="N1072" s="121"/>
      <c r="O1072" s="121"/>
      <c r="P1072" s="121"/>
      <c r="Q1072" s="121"/>
      <c r="R1072" s="121"/>
      <c r="S1072" s="121"/>
      <c r="T1072" s="121"/>
      <c r="U1072" s="121"/>
      <c r="V1072" s="121"/>
      <c r="W1072" s="121"/>
      <c r="X1072" s="121"/>
      <c r="Y1072" s="121"/>
      <c r="Z1072" s="121"/>
      <c r="AA1072" s="121"/>
      <c r="AB1072" s="121"/>
      <c r="AC1072" s="121"/>
      <c r="AD1072" s="121"/>
      <c r="AE1072" s="121"/>
      <c r="AF1072" s="36"/>
      <c r="AG1072" s="36"/>
      <c r="AH1072" s="36"/>
      <c r="AI1072" s="36"/>
      <c r="AJ1072" s="36"/>
    </row>
    <row r="1073" ht="15.75" customHeight="1">
      <c r="A1073" s="12"/>
      <c r="B1073" s="390"/>
      <c r="C1073" s="390"/>
      <c r="D1073" s="390"/>
      <c r="E1073" s="121"/>
      <c r="F1073" s="121"/>
      <c r="G1073" s="121"/>
      <c r="H1073" s="121"/>
      <c r="I1073" s="121"/>
      <c r="J1073" s="121"/>
      <c r="K1073" s="121"/>
      <c r="L1073" s="121"/>
      <c r="M1073" s="121"/>
      <c r="N1073" s="121"/>
      <c r="O1073" s="121"/>
      <c r="P1073" s="121"/>
      <c r="Q1073" s="121"/>
      <c r="R1073" s="121"/>
      <c r="S1073" s="121"/>
      <c r="T1073" s="121"/>
      <c r="U1073" s="121"/>
      <c r="V1073" s="121"/>
      <c r="W1073" s="121"/>
      <c r="X1073" s="121"/>
      <c r="Y1073" s="121"/>
      <c r="Z1073" s="121"/>
      <c r="AA1073" s="121"/>
      <c r="AB1073" s="121"/>
      <c r="AC1073" s="121"/>
      <c r="AD1073" s="121"/>
      <c r="AE1073" s="121"/>
      <c r="AF1073" s="36"/>
      <c r="AG1073" s="36"/>
      <c r="AH1073" s="36"/>
      <c r="AI1073" s="36"/>
      <c r="AJ1073" s="36"/>
    </row>
    <row r="1074" ht="15.75" customHeight="1">
      <c r="A1074" s="36" t="s">
        <v>215</v>
      </c>
      <c r="B1074" s="36">
        <v>1.0</v>
      </c>
      <c r="C1074" s="36">
        <v>2.0</v>
      </c>
      <c r="D1074" s="36">
        <v>3.0</v>
      </c>
      <c r="E1074" s="36">
        <v>4.0</v>
      </c>
      <c r="F1074" s="36">
        <v>5.0</v>
      </c>
      <c r="G1074" s="36">
        <v>6.0</v>
      </c>
      <c r="H1074" s="36">
        <v>7.0</v>
      </c>
      <c r="I1074" s="36">
        <v>8.0</v>
      </c>
      <c r="J1074" s="36">
        <v>9.0</v>
      </c>
      <c r="K1074" s="36">
        <v>10.0</v>
      </c>
      <c r="L1074" s="36">
        <v>11.0</v>
      </c>
      <c r="M1074" s="36">
        <v>12.0</v>
      </c>
      <c r="N1074" s="36">
        <v>13.0</v>
      </c>
      <c r="O1074" s="36">
        <v>14.0</v>
      </c>
      <c r="P1074" s="36">
        <v>15.0</v>
      </c>
      <c r="Q1074" s="36">
        <v>16.0</v>
      </c>
      <c r="R1074" s="36">
        <v>17.0</v>
      </c>
      <c r="S1074" s="36">
        <v>18.0</v>
      </c>
      <c r="T1074" s="36">
        <v>19.0</v>
      </c>
      <c r="U1074" s="36">
        <v>20.0</v>
      </c>
      <c r="V1074" s="36">
        <v>21.0</v>
      </c>
      <c r="W1074" s="36">
        <v>22.0</v>
      </c>
      <c r="X1074" s="36">
        <v>23.0</v>
      </c>
      <c r="Y1074" s="36">
        <v>24.0</v>
      </c>
      <c r="Z1074" s="36">
        <v>25.0</v>
      </c>
      <c r="AA1074" s="36">
        <v>26.0</v>
      </c>
      <c r="AB1074" s="36">
        <v>27.0</v>
      </c>
      <c r="AC1074" s="36">
        <v>28.0</v>
      </c>
      <c r="AD1074" s="36">
        <v>29.0</v>
      </c>
      <c r="AE1074" s="36">
        <v>30.0</v>
      </c>
      <c r="AF1074" s="36"/>
      <c r="AG1074" s="36"/>
      <c r="AH1074" s="36"/>
      <c r="AI1074" s="36"/>
      <c r="AJ1074" s="36"/>
    </row>
    <row r="1075" ht="15.75" customHeight="1">
      <c r="A1075" s="12" t="s">
        <v>217</v>
      </c>
      <c r="B1075" s="12">
        <v>75.0</v>
      </c>
      <c r="C1075" s="12">
        <v>75.0</v>
      </c>
      <c r="D1075" s="12">
        <v>75.0</v>
      </c>
      <c r="E1075" s="12">
        <v>75.0</v>
      </c>
      <c r="F1075" s="12">
        <v>75.0</v>
      </c>
      <c r="G1075" s="12">
        <v>75.0</v>
      </c>
      <c r="H1075" s="12">
        <v>75.0</v>
      </c>
      <c r="I1075" s="12">
        <v>75.0</v>
      </c>
      <c r="J1075" s="12">
        <v>75.0</v>
      </c>
      <c r="K1075" s="12">
        <v>75.0</v>
      </c>
      <c r="L1075" s="12">
        <v>75.0</v>
      </c>
      <c r="M1075" s="12">
        <v>75.0</v>
      </c>
      <c r="N1075" s="12">
        <v>75.0</v>
      </c>
      <c r="O1075" s="12">
        <v>75.0</v>
      </c>
      <c r="P1075" s="12">
        <v>75.0</v>
      </c>
      <c r="Q1075" s="12">
        <v>75.0</v>
      </c>
      <c r="R1075" s="12">
        <v>75.0</v>
      </c>
      <c r="S1075" s="12">
        <v>75.0</v>
      </c>
      <c r="T1075" s="12">
        <v>75.0</v>
      </c>
      <c r="U1075" s="12">
        <v>75.0</v>
      </c>
      <c r="V1075" s="12">
        <v>75.0</v>
      </c>
      <c r="W1075" s="12">
        <v>75.0</v>
      </c>
      <c r="X1075" s="12">
        <v>75.0</v>
      </c>
      <c r="Y1075" s="12">
        <v>75.0</v>
      </c>
      <c r="Z1075" s="12">
        <v>75.0</v>
      </c>
      <c r="AA1075" s="12">
        <v>75.0</v>
      </c>
      <c r="AB1075" s="12">
        <v>75.0</v>
      </c>
      <c r="AC1075" s="12">
        <v>75.0</v>
      </c>
      <c r="AD1075" s="12">
        <v>75.0</v>
      </c>
      <c r="AE1075" s="12">
        <v>75.0</v>
      </c>
      <c r="AF1075" s="36"/>
      <c r="AG1075" s="36"/>
      <c r="AH1075" s="36"/>
      <c r="AI1075" s="36"/>
      <c r="AJ1075" s="36"/>
    </row>
    <row r="1076" ht="15.75" customHeight="1">
      <c r="A1076" s="12" t="s">
        <v>218</v>
      </c>
      <c r="B1076" s="390">
        <v>0.00325</v>
      </c>
      <c r="C1076" s="390">
        <v>0.00325</v>
      </c>
      <c r="D1076" s="390">
        <v>0.0</v>
      </c>
      <c r="E1076" s="390">
        <v>0.0</v>
      </c>
      <c r="F1076" s="390">
        <v>0.0</v>
      </c>
      <c r="G1076" s="390">
        <v>0.0</v>
      </c>
      <c r="H1076" s="390">
        <v>0.0</v>
      </c>
      <c r="I1076" s="390">
        <v>0.0</v>
      </c>
      <c r="J1076" s="390">
        <v>0.0</v>
      </c>
      <c r="K1076" s="390">
        <v>0.0</v>
      </c>
      <c r="L1076" s="390">
        <v>0.0</v>
      </c>
      <c r="M1076" s="390">
        <v>0.0</v>
      </c>
      <c r="N1076" s="390">
        <v>0.0</v>
      </c>
      <c r="O1076" s="390">
        <v>0.0</v>
      </c>
      <c r="P1076" s="390">
        <v>0.0</v>
      </c>
      <c r="Q1076" s="390">
        <v>0.0</v>
      </c>
      <c r="R1076" s="390">
        <v>0.0</v>
      </c>
      <c r="S1076" s="390">
        <v>0.0</v>
      </c>
      <c r="T1076" s="390">
        <v>0.0</v>
      </c>
      <c r="U1076" s="390">
        <v>0.0</v>
      </c>
      <c r="V1076" s="390">
        <v>0.0</v>
      </c>
      <c r="W1076" s="390">
        <v>0.0</v>
      </c>
      <c r="X1076" s="390">
        <v>0.0</v>
      </c>
      <c r="Y1076" s="390">
        <v>0.0</v>
      </c>
      <c r="Z1076" s="390">
        <v>0.0</v>
      </c>
      <c r="AA1076" s="390">
        <v>0.0</v>
      </c>
      <c r="AB1076" s="390">
        <v>0.0</v>
      </c>
      <c r="AC1076" s="390">
        <v>0.0</v>
      </c>
      <c r="AD1076" s="390">
        <v>0.0</v>
      </c>
      <c r="AE1076" s="390">
        <v>0.0</v>
      </c>
      <c r="AF1076" s="36"/>
      <c r="AG1076" s="36"/>
      <c r="AH1076" s="36"/>
      <c r="AI1076" s="36"/>
      <c r="AJ1076" s="36"/>
    </row>
    <row r="1077" ht="15.75" customHeight="1">
      <c r="A1077" s="12"/>
      <c r="B1077" s="390"/>
      <c r="C1077" s="390"/>
      <c r="D1077" s="390"/>
      <c r="E1077" s="121"/>
      <c r="F1077" s="121"/>
      <c r="G1077" s="121"/>
      <c r="H1077" s="121"/>
      <c r="I1077" s="121"/>
      <c r="J1077" s="121"/>
      <c r="K1077" s="121"/>
      <c r="L1077" s="121"/>
      <c r="M1077" s="121"/>
      <c r="N1077" s="121"/>
      <c r="O1077" s="121"/>
      <c r="P1077" s="121"/>
      <c r="Q1077" s="121"/>
      <c r="R1077" s="121"/>
      <c r="S1077" s="121"/>
      <c r="T1077" s="121"/>
      <c r="U1077" s="121"/>
      <c r="V1077" s="121"/>
      <c r="W1077" s="121"/>
      <c r="X1077" s="121"/>
      <c r="Y1077" s="121"/>
      <c r="Z1077" s="121"/>
      <c r="AA1077" s="121"/>
      <c r="AB1077" s="121"/>
      <c r="AC1077" s="121"/>
      <c r="AD1077" s="121"/>
      <c r="AE1077" s="121"/>
      <c r="AF1077" s="36"/>
      <c r="AG1077" s="36"/>
      <c r="AH1077" s="36"/>
      <c r="AI1077" s="36"/>
      <c r="AJ1077" s="36"/>
    </row>
    <row r="1078" ht="15.75" customHeight="1">
      <c r="A1078" s="357" t="s">
        <v>1510</v>
      </c>
      <c r="B1078" s="390"/>
      <c r="C1078" s="390"/>
      <c r="D1078" s="390"/>
      <c r="E1078" s="121"/>
      <c r="F1078" s="121"/>
      <c r="G1078" s="121"/>
      <c r="H1078" s="121"/>
      <c r="I1078" s="121"/>
      <c r="J1078" s="121"/>
      <c r="K1078" s="121"/>
      <c r="L1078" s="121"/>
      <c r="M1078" s="121"/>
      <c r="N1078" s="121"/>
      <c r="O1078" s="121"/>
      <c r="P1078" s="121"/>
      <c r="Q1078" s="121"/>
      <c r="R1078" s="121"/>
      <c r="S1078" s="121"/>
      <c r="T1078" s="121"/>
      <c r="U1078" s="121"/>
      <c r="V1078" s="121"/>
      <c r="W1078" s="121"/>
      <c r="X1078" s="121"/>
      <c r="Y1078" s="121"/>
      <c r="Z1078" s="121"/>
      <c r="AA1078" s="121"/>
      <c r="AB1078" s="121"/>
      <c r="AC1078" s="121"/>
      <c r="AD1078" s="121"/>
      <c r="AE1078" s="121"/>
      <c r="AF1078" s="36"/>
      <c r="AG1078" s="36"/>
      <c r="AH1078" s="36"/>
      <c r="AI1078" s="36"/>
      <c r="AJ1078" s="36"/>
    </row>
    <row r="1079" ht="15.75" customHeight="1">
      <c r="A1079" s="12"/>
      <c r="B1079" s="390"/>
      <c r="C1079" s="390"/>
      <c r="D1079" s="390"/>
      <c r="E1079" s="121"/>
      <c r="F1079" s="121"/>
      <c r="G1079" s="121"/>
      <c r="H1079" s="121"/>
      <c r="I1079" s="121"/>
      <c r="J1079" s="121"/>
      <c r="K1079" s="121"/>
      <c r="L1079" s="121"/>
      <c r="M1079" s="121"/>
      <c r="N1079" s="121"/>
      <c r="O1079" s="121"/>
      <c r="P1079" s="121"/>
      <c r="Q1079" s="121"/>
      <c r="R1079" s="121"/>
      <c r="S1079" s="121"/>
      <c r="T1079" s="121"/>
      <c r="U1079" s="121"/>
      <c r="V1079" s="121"/>
      <c r="W1079" s="121"/>
      <c r="X1079" s="121"/>
      <c r="Y1079" s="121"/>
      <c r="Z1079" s="121"/>
      <c r="AA1079" s="121"/>
      <c r="AB1079" s="121"/>
      <c r="AC1079" s="121"/>
      <c r="AD1079" s="121"/>
      <c r="AE1079" s="121"/>
      <c r="AF1079" s="36"/>
      <c r="AG1079" s="36"/>
      <c r="AH1079" s="36"/>
      <c r="AI1079" s="36"/>
      <c r="AJ1079" s="36"/>
    </row>
    <row r="1080" ht="15.75" customHeight="1">
      <c r="A1080" s="36" t="s">
        <v>215</v>
      </c>
      <c r="B1080" s="36">
        <v>1.0</v>
      </c>
      <c r="C1080" s="36">
        <v>2.0</v>
      </c>
      <c r="D1080" s="36">
        <v>3.0</v>
      </c>
      <c r="E1080" s="36">
        <v>4.0</v>
      </c>
      <c r="F1080" s="36">
        <v>5.0</v>
      </c>
      <c r="G1080" s="36">
        <v>6.0</v>
      </c>
      <c r="H1080" s="36">
        <v>7.0</v>
      </c>
      <c r="I1080" s="36">
        <v>8.0</v>
      </c>
      <c r="J1080" s="36">
        <v>9.0</v>
      </c>
      <c r="K1080" s="36">
        <v>10.0</v>
      </c>
      <c r="L1080" s="36">
        <v>11.0</v>
      </c>
      <c r="M1080" s="36">
        <v>12.0</v>
      </c>
      <c r="N1080" s="36">
        <v>13.0</v>
      </c>
      <c r="O1080" s="36">
        <v>14.0</v>
      </c>
      <c r="P1080" s="36">
        <v>15.0</v>
      </c>
      <c r="Q1080" s="36">
        <v>16.0</v>
      </c>
      <c r="R1080" s="36">
        <v>17.0</v>
      </c>
      <c r="S1080" s="36">
        <v>18.0</v>
      </c>
      <c r="T1080" s="36">
        <v>19.0</v>
      </c>
      <c r="U1080" s="36">
        <v>20.0</v>
      </c>
      <c r="V1080" s="36">
        <v>21.0</v>
      </c>
      <c r="W1080" s="36">
        <v>22.0</v>
      </c>
      <c r="X1080" s="36">
        <v>23.0</v>
      </c>
      <c r="Y1080" s="36">
        <v>24.0</v>
      </c>
      <c r="Z1080" s="36">
        <v>25.0</v>
      </c>
      <c r="AA1080" s="36">
        <v>26.0</v>
      </c>
      <c r="AB1080" s="36">
        <v>27.0</v>
      </c>
      <c r="AC1080" s="36">
        <v>28.0</v>
      </c>
      <c r="AD1080" s="36">
        <v>29.0</v>
      </c>
      <c r="AE1080" s="36">
        <v>30.0</v>
      </c>
      <c r="AF1080" s="36"/>
      <c r="AG1080" s="36"/>
      <c r="AH1080" s="36"/>
      <c r="AI1080" s="36"/>
      <c r="AJ1080" s="36"/>
    </row>
    <row r="1081" ht="15.75" customHeight="1">
      <c r="A1081" s="12" t="s">
        <v>217</v>
      </c>
      <c r="B1081" s="12">
        <v>0.0</v>
      </c>
      <c r="C1081" s="12">
        <v>0.0</v>
      </c>
      <c r="D1081" s="12">
        <v>0.0</v>
      </c>
      <c r="E1081" s="12">
        <v>0.0</v>
      </c>
      <c r="F1081" s="12">
        <v>0.0</v>
      </c>
      <c r="G1081" s="12">
        <v>0.0</v>
      </c>
      <c r="H1081" s="12">
        <v>0.0</v>
      </c>
      <c r="I1081" s="12">
        <v>0.0</v>
      </c>
      <c r="J1081" s="12">
        <v>0.0</v>
      </c>
      <c r="K1081" s="12">
        <v>0.0</v>
      </c>
      <c r="L1081" s="12">
        <v>0.0</v>
      </c>
      <c r="M1081" s="12">
        <v>0.0</v>
      </c>
      <c r="N1081" s="12">
        <v>0.0</v>
      </c>
      <c r="O1081" s="12">
        <v>0.0</v>
      </c>
      <c r="P1081" s="12">
        <v>0.0</v>
      </c>
      <c r="Q1081" s="12">
        <v>0.0</v>
      </c>
      <c r="R1081" s="12">
        <v>0.0</v>
      </c>
      <c r="S1081" s="12">
        <v>0.0</v>
      </c>
      <c r="T1081" s="12">
        <v>0.0</v>
      </c>
      <c r="U1081" s="12">
        <v>0.0</v>
      </c>
      <c r="V1081" s="12">
        <v>0.0</v>
      </c>
      <c r="W1081" s="12">
        <v>0.0</v>
      </c>
      <c r="X1081" s="12">
        <v>0.0</v>
      </c>
      <c r="Y1081" s="12">
        <v>0.0</v>
      </c>
      <c r="Z1081" s="12">
        <v>0.0</v>
      </c>
      <c r="AA1081" s="12">
        <v>0.0</v>
      </c>
      <c r="AB1081" s="12">
        <v>0.0</v>
      </c>
      <c r="AC1081" s="12">
        <v>0.0</v>
      </c>
      <c r="AD1081" s="12">
        <v>0.0</v>
      </c>
      <c r="AE1081" s="12">
        <v>0.0</v>
      </c>
      <c r="AF1081" s="36"/>
      <c r="AG1081" s="36"/>
      <c r="AH1081" s="36"/>
      <c r="AI1081" s="36"/>
      <c r="AJ1081" s="36"/>
    </row>
    <row r="1082" ht="15.75" customHeight="1">
      <c r="A1082" s="12" t="s">
        <v>218</v>
      </c>
      <c r="B1082" s="390">
        <f>IF(AND(Mod_Prem&gt;=48000,Mod_Prem&lt;100000),0.5%,IF(AND(Mod_Prem&gt;=100000,Mod_Prem&lt;500000),0.375%,IF(Mod_Prem&gt;=500000,0.25%)))</f>
        <v>0.00375</v>
      </c>
      <c r="C1082" s="390">
        <f>IF(AND(Mod_Prem&gt;=48000,Mod_Prem&lt;100000),0.5%,IF(AND(Mod_Prem&gt;=100000,Mod_Prem&lt;500000),0.375%,IF(Mod_Prem&gt;=500000,0.25%)))</f>
        <v>0.00375</v>
      </c>
      <c r="D1082" s="390">
        <f>IF(AND(Mod_Prem&gt;=48000,Mod_Prem&lt;100000),0.5%,IF(AND(Mod_Prem&gt;=100000,Mod_Prem&lt;500000),0.375%,IF(Mod_Prem&gt;=500000,0.25%)))</f>
        <v>0.00375</v>
      </c>
      <c r="E1082" s="390">
        <f>IF(AND(Mod_Prem&gt;=48000,Mod_Prem&lt;100000),0.06%,IF(AND(Mod_Prem&gt;=100000,Mod_Prem&lt;500000),0.045%,IF(Mod_Prem&gt;=500000,0.03%)))</f>
        <v>0.00045</v>
      </c>
      <c r="F1082" s="390">
        <f>IF(AND(Mod_Prem&gt;=48000,Mod_Prem&lt;100000),0.06%,IF(AND(Mod_Prem&gt;=100000,Mod_Prem&lt;500000),0.045%,IF(Mod_Prem&gt;=500000,0.03%)))</f>
        <v>0.00045</v>
      </c>
      <c r="G1082" s="390">
        <f>IF(AND(Mod_Prem&gt;=48000,Mod_Prem&lt;100000),0.06%,IF(AND(Mod_Prem&gt;=100000,Mod_Prem&lt;500000),0.045%,IF(Mod_Prem&gt;=500000,0.03%)))</f>
        <v>0.00045</v>
      </c>
      <c r="H1082" s="390">
        <f>IF(AND(Mod_Prem&gt;=48000,Mod_Prem&lt;100000),0.06%,IF(AND(Mod_Prem&gt;=100000,Mod_Prem&lt;500000),0.045%,IF(Mod_Prem&gt;=500000,0.03%)))</f>
        <v>0.00045</v>
      </c>
      <c r="I1082" s="390">
        <f>IF(AND(Mod_Prem&gt;=48000,Mod_Prem&lt;100000),0.06%,IF(AND(Mod_Prem&gt;=100000,Mod_Prem&lt;500000),0.045%,IF(Mod_Prem&gt;=500000,0.03%)))</f>
        <v>0.00045</v>
      </c>
      <c r="J1082" s="390">
        <f>IF(AND(Mod_Prem&gt;=48000,Mod_Prem&lt;100000),0.06%,IF(AND(Mod_Prem&gt;=100000,Mod_Prem&lt;500000),0.045%,IF(Mod_Prem&gt;=500000,0.03%)))</f>
        <v>0.00045</v>
      </c>
      <c r="K1082" s="390">
        <f>IF(AND(Mod_Prem&gt;=48000,Mod_Prem&lt;100000),0.06%,IF(AND(Mod_Prem&gt;=100000,Mod_Prem&lt;500000),0.045%,IF(Mod_Prem&gt;=500000,0.03%)))</f>
        <v>0.00045</v>
      </c>
      <c r="L1082" s="121">
        <v>0.0</v>
      </c>
      <c r="M1082" s="121">
        <v>0.0</v>
      </c>
      <c r="N1082" s="121">
        <v>0.0</v>
      </c>
      <c r="O1082" s="121">
        <v>0.0</v>
      </c>
      <c r="P1082" s="121">
        <v>0.0</v>
      </c>
      <c r="Q1082" s="121">
        <v>0.0</v>
      </c>
      <c r="R1082" s="121">
        <v>0.0</v>
      </c>
      <c r="S1082" s="121">
        <v>0.0</v>
      </c>
      <c r="T1082" s="121">
        <v>0.0</v>
      </c>
      <c r="U1082" s="121">
        <v>0.0</v>
      </c>
      <c r="V1082" s="121">
        <v>0.0</v>
      </c>
      <c r="W1082" s="121">
        <v>0.0</v>
      </c>
      <c r="X1082" s="121">
        <v>0.0</v>
      </c>
      <c r="Y1082" s="121">
        <v>0.0</v>
      </c>
      <c r="Z1082" s="121">
        <v>0.0</v>
      </c>
      <c r="AA1082" s="121">
        <v>0.0</v>
      </c>
      <c r="AB1082" s="121">
        <v>0.0</v>
      </c>
      <c r="AC1082" s="121">
        <v>0.0</v>
      </c>
      <c r="AD1082" s="121">
        <v>0.0</v>
      </c>
      <c r="AE1082" s="121">
        <v>0.0</v>
      </c>
      <c r="AF1082" s="36"/>
      <c r="AG1082" s="36"/>
      <c r="AH1082" s="36"/>
      <c r="AI1082" s="36"/>
      <c r="AJ1082" s="36"/>
    </row>
    <row r="1083" ht="15.75" customHeight="1">
      <c r="A1083" s="12"/>
      <c r="B1083" s="390"/>
      <c r="C1083" s="390"/>
      <c r="D1083" s="390"/>
      <c r="E1083" s="121"/>
      <c r="F1083" s="121"/>
      <c r="G1083" s="121"/>
      <c r="H1083" s="121"/>
      <c r="I1083" s="121"/>
      <c r="J1083" s="121"/>
      <c r="K1083" s="121"/>
      <c r="L1083" s="121"/>
      <c r="M1083" s="121"/>
      <c r="N1083" s="121"/>
      <c r="O1083" s="121"/>
      <c r="P1083" s="121"/>
      <c r="Q1083" s="121"/>
      <c r="R1083" s="121"/>
      <c r="S1083" s="121"/>
      <c r="T1083" s="121"/>
      <c r="U1083" s="121"/>
      <c r="V1083" s="121"/>
      <c r="W1083" s="121"/>
      <c r="X1083" s="121"/>
      <c r="Y1083" s="121"/>
      <c r="Z1083" s="121"/>
      <c r="AA1083" s="121"/>
      <c r="AB1083" s="121"/>
      <c r="AC1083" s="121"/>
      <c r="AD1083" s="121"/>
      <c r="AE1083" s="121"/>
      <c r="AF1083" s="36"/>
      <c r="AG1083" s="36"/>
      <c r="AH1083" s="36"/>
      <c r="AI1083" s="36"/>
      <c r="AJ1083" s="36"/>
    </row>
    <row r="1084" ht="15.75" customHeight="1">
      <c r="A1084" s="357" t="s">
        <v>1514</v>
      </c>
      <c r="B1084" s="390"/>
      <c r="C1084" s="390"/>
      <c r="D1084" s="390"/>
      <c r="E1084" s="121"/>
      <c r="F1084" s="121"/>
      <c r="G1084" s="121"/>
      <c r="H1084" s="121"/>
      <c r="I1084" s="121"/>
      <c r="J1084" s="121"/>
      <c r="K1084" s="121"/>
      <c r="L1084" s="121"/>
      <c r="M1084" s="121"/>
      <c r="N1084" s="121"/>
      <c r="O1084" s="121"/>
      <c r="P1084" s="121"/>
      <c r="Q1084" s="121"/>
      <c r="R1084" s="121"/>
      <c r="S1084" s="121"/>
      <c r="T1084" s="121"/>
      <c r="U1084" s="121"/>
      <c r="V1084" s="121"/>
      <c r="W1084" s="121"/>
      <c r="X1084" s="121"/>
      <c r="Y1084" s="121"/>
      <c r="Z1084" s="121"/>
      <c r="AA1084" s="121"/>
      <c r="AB1084" s="121"/>
      <c r="AC1084" s="121"/>
      <c r="AD1084" s="121"/>
      <c r="AE1084" s="121"/>
      <c r="AF1084" s="36"/>
      <c r="AG1084" s="36"/>
      <c r="AH1084" s="36"/>
      <c r="AI1084" s="36"/>
      <c r="AJ1084" s="36"/>
    </row>
    <row r="1085" ht="15.75" customHeight="1">
      <c r="A1085" s="12"/>
      <c r="B1085" s="390"/>
      <c r="C1085" s="390"/>
      <c r="D1085" s="390"/>
      <c r="E1085" s="121"/>
      <c r="F1085" s="121"/>
      <c r="G1085" s="121"/>
      <c r="H1085" s="121"/>
      <c r="I1085" s="121"/>
      <c r="J1085" s="121"/>
      <c r="K1085" s="121"/>
      <c r="L1085" s="121"/>
      <c r="M1085" s="121"/>
      <c r="N1085" s="121"/>
      <c r="O1085" s="121"/>
      <c r="P1085" s="121"/>
      <c r="Q1085" s="121"/>
      <c r="R1085" s="121"/>
      <c r="S1085" s="121"/>
      <c r="T1085" s="121"/>
      <c r="U1085" s="121"/>
      <c r="V1085" s="121"/>
      <c r="W1085" s="121"/>
      <c r="X1085" s="121"/>
      <c r="Y1085" s="121"/>
      <c r="Z1085" s="121"/>
      <c r="AA1085" s="121"/>
      <c r="AB1085" s="121"/>
      <c r="AC1085" s="121"/>
      <c r="AD1085" s="121"/>
      <c r="AE1085" s="121"/>
      <c r="AF1085" s="36"/>
      <c r="AG1085" s="36"/>
      <c r="AH1085" s="36"/>
      <c r="AI1085" s="36"/>
      <c r="AJ1085" s="36"/>
    </row>
    <row r="1086" ht="15.75" customHeight="1">
      <c r="A1086" s="36" t="s">
        <v>215</v>
      </c>
      <c r="B1086" s="36">
        <v>1.0</v>
      </c>
      <c r="C1086" s="36">
        <v>2.0</v>
      </c>
      <c r="D1086" s="36">
        <v>3.0</v>
      </c>
      <c r="E1086" s="36">
        <v>4.0</v>
      </c>
      <c r="F1086" s="36">
        <v>5.0</v>
      </c>
      <c r="G1086" s="36">
        <v>6.0</v>
      </c>
      <c r="H1086" s="36">
        <v>7.0</v>
      </c>
      <c r="I1086" s="36">
        <v>8.0</v>
      </c>
      <c r="J1086" s="36">
        <v>9.0</v>
      </c>
      <c r="K1086" s="36">
        <v>10.0</v>
      </c>
      <c r="L1086" s="36">
        <v>11.0</v>
      </c>
      <c r="M1086" s="36">
        <v>12.0</v>
      </c>
      <c r="N1086" s="36">
        <v>13.0</v>
      </c>
      <c r="O1086" s="36">
        <v>14.0</v>
      </c>
      <c r="P1086" s="36">
        <v>15.0</v>
      </c>
      <c r="Q1086" s="36">
        <v>16.0</v>
      </c>
      <c r="R1086" s="36">
        <v>17.0</v>
      </c>
      <c r="S1086" s="36">
        <v>18.0</v>
      </c>
      <c r="T1086" s="36">
        <v>19.0</v>
      </c>
      <c r="U1086" s="36">
        <v>20.0</v>
      </c>
      <c r="V1086" s="36">
        <v>21.0</v>
      </c>
      <c r="W1086" s="36">
        <v>22.0</v>
      </c>
      <c r="X1086" s="36">
        <v>23.0</v>
      </c>
      <c r="Y1086" s="36">
        <v>24.0</v>
      </c>
      <c r="Z1086" s="36">
        <v>25.0</v>
      </c>
      <c r="AA1086" s="36">
        <v>26.0</v>
      </c>
      <c r="AB1086" s="36">
        <v>27.0</v>
      </c>
      <c r="AC1086" s="36">
        <v>28.0</v>
      </c>
      <c r="AD1086" s="36">
        <v>29.0</v>
      </c>
      <c r="AE1086" s="36">
        <v>30.0</v>
      </c>
      <c r="AF1086" s="36"/>
      <c r="AG1086" s="36"/>
      <c r="AH1086" s="36"/>
      <c r="AI1086" s="36"/>
      <c r="AJ1086" s="36"/>
    </row>
    <row r="1087" ht="15.75" customHeight="1">
      <c r="A1087" s="12" t="s">
        <v>217</v>
      </c>
      <c r="B1087" s="12">
        <v>0.0</v>
      </c>
      <c r="C1087" s="12">
        <v>0.0</v>
      </c>
      <c r="D1087" s="12">
        <v>0.0</v>
      </c>
      <c r="E1087" s="12">
        <v>0.0</v>
      </c>
      <c r="F1087" s="12">
        <v>0.0</v>
      </c>
      <c r="G1087" s="12">
        <v>0.0</v>
      </c>
      <c r="H1087" s="12">
        <v>0.0</v>
      </c>
      <c r="I1087" s="12">
        <v>0.0</v>
      </c>
      <c r="J1087" s="12">
        <v>0.0</v>
      </c>
      <c r="K1087" s="12">
        <v>0.0</v>
      </c>
      <c r="L1087" s="12">
        <v>0.0</v>
      </c>
      <c r="M1087" s="12">
        <v>0.0</v>
      </c>
      <c r="N1087" s="12">
        <v>0.0</v>
      </c>
      <c r="O1087" s="12">
        <v>0.0</v>
      </c>
      <c r="P1087" s="12">
        <v>0.0</v>
      </c>
      <c r="Q1087" s="12">
        <v>0.0</v>
      </c>
      <c r="R1087" s="12">
        <v>0.0</v>
      </c>
      <c r="S1087" s="12">
        <v>0.0</v>
      </c>
      <c r="T1087" s="12">
        <v>0.0</v>
      </c>
      <c r="U1087" s="12">
        <v>0.0</v>
      </c>
      <c r="V1087" s="12">
        <v>0.0</v>
      </c>
      <c r="W1087" s="12">
        <v>0.0</v>
      </c>
      <c r="X1087" s="12">
        <v>0.0</v>
      </c>
      <c r="Y1087" s="12">
        <v>0.0</v>
      </c>
      <c r="Z1087" s="12">
        <v>0.0</v>
      </c>
      <c r="AA1087" s="12">
        <v>0.0</v>
      </c>
      <c r="AB1087" s="12">
        <v>0.0</v>
      </c>
      <c r="AC1087" s="12">
        <v>0.0</v>
      </c>
      <c r="AD1087" s="12">
        <v>0.0</v>
      </c>
      <c r="AE1087" s="12">
        <v>0.0</v>
      </c>
      <c r="AF1087" s="36"/>
      <c r="AG1087" s="36"/>
      <c r="AH1087" s="36"/>
      <c r="AI1087" s="36"/>
      <c r="AJ1087" s="36"/>
    </row>
    <row r="1088" ht="15.75" customHeight="1">
      <c r="A1088" s="12" t="s">
        <v>218</v>
      </c>
      <c r="B1088" s="390">
        <v>0.0125</v>
      </c>
      <c r="C1088" s="390">
        <v>0.0125</v>
      </c>
      <c r="D1088" s="390">
        <v>0.0075</v>
      </c>
      <c r="E1088" s="390">
        <v>3.0E-4</v>
      </c>
      <c r="F1088" s="390">
        <v>3.0E-4</v>
      </c>
      <c r="G1088" s="390">
        <v>3.0E-4</v>
      </c>
      <c r="H1088" s="390">
        <v>3.0E-4</v>
      </c>
      <c r="I1088" s="390">
        <v>3.0E-4</v>
      </c>
      <c r="J1088" s="390">
        <v>3.0E-4</v>
      </c>
      <c r="K1088" s="390">
        <v>3.0E-4</v>
      </c>
      <c r="L1088" s="390">
        <v>3.0E-4</v>
      </c>
      <c r="M1088" s="390">
        <v>3.0E-4</v>
      </c>
      <c r="N1088" s="390">
        <v>3.0E-4</v>
      </c>
      <c r="O1088" s="390">
        <v>3.0E-4</v>
      </c>
      <c r="P1088" s="390">
        <v>3.0E-4</v>
      </c>
      <c r="Q1088" s="390">
        <v>3.0E-4</v>
      </c>
      <c r="R1088" s="390">
        <v>3.0E-4</v>
      </c>
      <c r="S1088" s="390">
        <v>3.0E-4</v>
      </c>
      <c r="T1088" s="390">
        <v>3.0E-4</v>
      </c>
      <c r="U1088" s="390">
        <v>3.0E-4</v>
      </c>
      <c r="V1088" s="390">
        <v>3.0E-4</v>
      </c>
      <c r="W1088" s="390">
        <v>3.0E-4</v>
      </c>
      <c r="X1088" s="390">
        <v>3.0E-4</v>
      </c>
      <c r="Y1088" s="390">
        <v>3.0E-4</v>
      </c>
      <c r="Z1088" s="390">
        <v>3.0E-4</v>
      </c>
      <c r="AA1088" s="390">
        <v>3.0E-4</v>
      </c>
      <c r="AB1088" s="390">
        <v>3.0E-4</v>
      </c>
      <c r="AC1088" s="390">
        <v>3.0E-4</v>
      </c>
      <c r="AD1088" s="390">
        <v>3.0E-4</v>
      </c>
      <c r="AE1088" s="390">
        <v>3.0E-4</v>
      </c>
      <c r="AF1088" s="36"/>
      <c r="AG1088" s="36"/>
      <c r="AH1088" s="36"/>
      <c r="AI1088" s="36"/>
      <c r="AJ1088" s="36"/>
    </row>
    <row r="1089" ht="15.75" customHeight="1">
      <c r="A1089" s="12"/>
      <c r="B1089" s="390"/>
      <c r="C1089" s="390"/>
      <c r="D1089" s="390"/>
      <c r="E1089" s="121"/>
      <c r="F1089" s="121"/>
      <c r="G1089" s="121"/>
      <c r="H1089" s="121"/>
      <c r="I1089" s="121"/>
      <c r="J1089" s="121"/>
      <c r="K1089" s="121"/>
      <c r="L1089" s="121"/>
      <c r="M1089" s="121"/>
      <c r="N1089" s="121"/>
      <c r="O1089" s="121"/>
      <c r="P1089" s="121"/>
      <c r="Q1089" s="121"/>
      <c r="R1089" s="121"/>
      <c r="S1089" s="121"/>
      <c r="T1089" s="121"/>
      <c r="U1089" s="121"/>
      <c r="V1089" s="121"/>
      <c r="W1089" s="121"/>
      <c r="X1089" s="121"/>
      <c r="Y1089" s="121"/>
      <c r="Z1089" s="121"/>
      <c r="AA1089" s="121"/>
      <c r="AB1089" s="121"/>
      <c r="AC1089" s="121"/>
      <c r="AD1089" s="121"/>
      <c r="AE1089" s="121"/>
      <c r="AF1089" s="36"/>
      <c r="AG1089" s="36"/>
      <c r="AH1089" s="36"/>
      <c r="AI1089" s="36"/>
      <c r="AJ1089" s="36"/>
    </row>
    <row r="1090" ht="15.75" customHeight="1">
      <c r="A1090" s="357" t="s">
        <v>1517</v>
      </c>
      <c r="B1090" s="390"/>
      <c r="C1090" s="390"/>
      <c r="D1090" s="390"/>
      <c r="E1090" s="121"/>
      <c r="F1090" s="121"/>
      <c r="G1090" s="121"/>
      <c r="H1090" s="121"/>
      <c r="I1090" s="121"/>
      <c r="J1090" s="121"/>
      <c r="K1090" s="121"/>
      <c r="L1090" s="121"/>
      <c r="M1090" s="121"/>
      <c r="N1090" s="121"/>
      <c r="O1090" s="121"/>
      <c r="P1090" s="121"/>
      <c r="Q1090" s="121"/>
      <c r="R1090" s="121"/>
      <c r="S1090" s="121"/>
      <c r="T1090" s="121"/>
      <c r="U1090" s="121"/>
      <c r="V1090" s="121"/>
      <c r="W1090" s="121"/>
      <c r="X1090" s="121"/>
      <c r="Y1090" s="121"/>
      <c r="Z1090" s="121"/>
      <c r="AA1090" s="121"/>
      <c r="AB1090" s="121"/>
      <c r="AC1090" s="121"/>
      <c r="AD1090" s="121"/>
      <c r="AE1090" s="121"/>
      <c r="AF1090" s="36"/>
      <c r="AG1090" s="36"/>
      <c r="AH1090" s="36"/>
      <c r="AI1090" s="36"/>
      <c r="AJ1090" s="36"/>
    </row>
    <row r="1091" ht="15.75" customHeight="1">
      <c r="A1091" s="12"/>
      <c r="B1091" s="390"/>
      <c r="C1091" s="390"/>
      <c r="D1091" s="390"/>
      <c r="E1091" s="121"/>
      <c r="F1091" s="121"/>
      <c r="G1091" s="121"/>
      <c r="H1091" s="121"/>
      <c r="I1091" s="121"/>
      <c r="J1091" s="121"/>
      <c r="K1091" s="121"/>
      <c r="L1091" s="121"/>
      <c r="M1091" s="121"/>
      <c r="N1091" s="121"/>
      <c r="O1091" s="121"/>
      <c r="P1091" s="121"/>
      <c r="Q1091" s="121"/>
      <c r="R1091" s="121"/>
      <c r="S1091" s="121"/>
      <c r="T1091" s="121"/>
      <c r="U1091" s="121"/>
      <c r="V1091" s="121"/>
      <c r="W1091" s="121"/>
      <c r="X1091" s="121"/>
      <c r="Y1091" s="121"/>
      <c r="Z1091" s="121"/>
      <c r="AA1091" s="121"/>
      <c r="AB1091" s="121"/>
      <c r="AC1091" s="121"/>
      <c r="AD1091" s="121"/>
      <c r="AE1091" s="121"/>
      <c r="AF1091" s="36"/>
      <c r="AG1091" s="36"/>
      <c r="AH1091" s="36"/>
      <c r="AI1091" s="36"/>
      <c r="AJ1091" s="36"/>
    </row>
    <row r="1092" ht="15.75" customHeight="1">
      <c r="A1092" s="36" t="s">
        <v>215</v>
      </c>
      <c r="B1092" s="36">
        <v>1.0</v>
      </c>
      <c r="C1092" s="36">
        <v>2.0</v>
      </c>
      <c r="D1092" s="36">
        <v>3.0</v>
      </c>
      <c r="E1092" s="36">
        <v>4.0</v>
      </c>
      <c r="F1092" s="36">
        <v>5.0</v>
      </c>
      <c r="G1092" s="36">
        <v>6.0</v>
      </c>
      <c r="H1092" s="36">
        <v>7.0</v>
      </c>
      <c r="I1092" s="36">
        <v>8.0</v>
      </c>
      <c r="J1092" s="36">
        <v>9.0</v>
      </c>
      <c r="K1092" s="36">
        <v>10.0</v>
      </c>
      <c r="L1092" s="36">
        <v>11.0</v>
      </c>
      <c r="M1092" s="36">
        <v>12.0</v>
      </c>
      <c r="N1092" s="36">
        <v>13.0</v>
      </c>
      <c r="O1092" s="36">
        <v>14.0</v>
      </c>
      <c r="P1092" s="36">
        <v>15.0</v>
      </c>
      <c r="Q1092" s="36">
        <v>16.0</v>
      </c>
      <c r="R1092" s="36">
        <v>17.0</v>
      </c>
      <c r="S1092" s="36">
        <v>18.0</v>
      </c>
      <c r="T1092" s="36">
        <v>19.0</v>
      </c>
      <c r="U1092" s="36">
        <v>20.0</v>
      </c>
      <c r="V1092" s="36">
        <v>21.0</v>
      </c>
      <c r="W1092" s="36">
        <v>22.0</v>
      </c>
      <c r="X1092" s="36">
        <v>23.0</v>
      </c>
      <c r="Y1092" s="36">
        <v>24.0</v>
      </c>
      <c r="Z1092" s="36">
        <v>25.0</v>
      </c>
      <c r="AA1092" s="36">
        <v>26.0</v>
      </c>
      <c r="AB1092" s="36">
        <v>27.0</v>
      </c>
      <c r="AC1092" s="36">
        <v>28.0</v>
      </c>
      <c r="AD1092" s="36">
        <v>29.0</v>
      </c>
      <c r="AE1092" s="36">
        <v>30.0</v>
      </c>
      <c r="AF1092" s="36"/>
      <c r="AG1092" s="36"/>
      <c r="AH1092" s="36"/>
      <c r="AI1092" s="36"/>
      <c r="AJ1092" s="36"/>
    </row>
    <row r="1093" ht="15.75" customHeight="1">
      <c r="A1093" s="12" t="s">
        <v>217</v>
      </c>
      <c r="B1093" s="12">
        <v>0.0</v>
      </c>
      <c r="C1093" s="12">
        <v>0.0</v>
      </c>
      <c r="D1093" s="12">
        <v>0.0</v>
      </c>
      <c r="E1093" s="12">
        <v>0.0</v>
      </c>
      <c r="F1093" s="12">
        <v>0.0</v>
      </c>
      <c r="G1093" s="12">
        <v>0.0</v>
      </c>
      <c r="H1093" s="12">
        <v>0.0</v>
      </c>
      <c r="I1093" s="12">
        <v>0.0</v>
      </c>
      <c r="J1093" s="12">
        <v>0.0</v>
      </c>
      <c r="K1093" s="12">
        <v>0.0</v>
      </c>
      <c r="L1093" s="12">
        <v>0.0</v>
      </c>
      <c r="M1093" s="12">
        <v>0.0</v>
      </c>
      <c r="N1093" s="12">
        <v>0.0</v>
      </c>
      <c r="O1093" s="12">
        <v>0.0</v>
      </c>
      <c r="P1093" s="12">
        <v>0.0</v>
      </c>
      <c r="Q1093" s="12">
        <v>0.0</v>
      </c>
      <c r="R1093" s="12">
        <v>0.0</v>
      </c>
      <c r="S1093" s="12">
        <v>0.0</v>
      </c>
      <c r="T1093" s="12">
        <v>0.0</v>
      </c>
      <c r="U1093" s="12">
        <v>0.0</v>
      </c>
      <c r="V1093" s="12">
        <v>0.0</v>
      </c>
      <c r="W1093" s="12">
        <v>0.0</v>
      </c>
      <c r="X1093" s="12">
        <v>0.0</v>
      </c>
      <c r="Y1093" s="12">
        <v>0.0</v>
      </c>
      <c r="Z1093" s="12">
        <v>0.0</v>
      </c>
      <c r="AA1093" s="12">
        <v>0.0</v>
      </c>
      <c r="AB1093" s="12">
        <v>0.0</v>
      </c>
      <c r="AC1093" s="12">
        <v>0.0</v>
      </c>
      <c r="AD1093" s="12">
        <v>0.0</v>
      </c>
      <c r="AE1093" s="12">
        <v>0.0</v>
      </c>
      <c r="AF1093" s="36"/>
      <c r="AG1093" s="36"/>
      <c r="AH1093" s="36"/>
      <c r="AI1093" s="36"/>
      <c r="AJ1093" s="36"/>
    </row>
    <row r="1094" ht="15.75" customHeight="1">
      <c r="A1094" s="12" t="s">
        <v>218</v>
      </c>
      <c r="B1094" s="390">
        <v>0.0125</v>
      </c>
      <c r="C1094" s="390">
        <v>0.0125</v>
      </c>
      <c r="D1094" s="390">
        <v>0.0075</v>
      </c>
      <c r="E1094" s="390">
        <v>3.0E-4</v>
      </c>
      <c r="F1094" s="390">
        <v>3.0E-4</v>
      </c>
      <c r="G1094" s="390">
        <v>3.0E-4</v>
      </c>
      <c r="H1094" s="390">
        <v>3.0E-4</v>
      </c>
      <c r="I1094" s="390">
        <v>3.0E-4</v>
      </c>
      <c r="J1094" s="390">
        <v>3.0E-4</v>
      </c>
      <c r="K1094" s="390">
        <v>3.0E-4</v>
      </c>
      <c r="L1094" s="390">
        <v>3.0E-4</v>
      </c>
      <c r="M1094" s="390">
        <v>3.0E-4</v>
      </c>
      <c r="N1094" s="390">
        <v>3.0E-4</v>
      </c>
      <c r="O1094" s="390">
        <v>3.0E-4</v>
      </c>
      <c r="P1094" s="390">
        <v>3.0E-4</v>
      </c>
      <c r="Q1094" s="390">
        <v>3.0E-4</v>
      </c>
      <c r="R1094" s="390">
        <v>3.0E-4</v>
      </c>
      <c r="S1094" s="390">
        <v>3.0E-4</v>
      </c>
      <c r="T1094" s="390">
        <v>3.0E-4</v>
      </c>
      <c r="U1094" s="390">
        <v>3.0E-4</v>
      </c>
      <c r="V1094" s="390">
        <v>3.0E-4</v>
      </c>
      <c r="W1094" s="390">
        <v>3.0E-4</v>
      </c>
      <c r="X1094" s="390">
        <v>3.0E-4</v>
      </c>
      <c r="Y1094" s="390">
        <v>3.0E-4</v>
      </c>
      <c r="Z1094" s="390">
        <v>3.0E-4</v>
      </c>
      <c r="AA1094" s="390">
        <v>3.0E-4</v>
      </c>
      <c r="AB1094" s="390">
        <v>3.0E-4</v>
      </c>
      <c r="AC1094" s="390">
        <v>3.0E-4</v>
      </c>
      <c r="AD1094" s="390">
        <v>3.0E-4</v>
      </c>
      <c r="AE1094" s="390">
        <v>3.0E-4</v>
      </c>
      <c r="AF1094" s="36"/>
      <c r="AG1094" s="36"/>
      <c r="AH1094" s="36"/>
      <c r="AI1094" s="36"/>
      <c r="AJ1094" s="36"/>
    </row>
    <row r="1095" ht="15.75" customHeight="1">
      <c r="A1095" s="12"/>
      <c r="B1095" s="390"/>
      <c r="C1095" s="390"/>
      <c r="D1095" s="390"/>
      <c r="E1095" s="121"/>
      <c r="F1095" s="121"/>
      <c r="G1095" s="121"/>
      <c r="H1095" s="121"/>
      <c r="I1095" s="121"/>
      <c r="J1095" s="121"/>
      <c r="K1095" s="121"/>
      <c r="L1095" s="121"/>
      <c r="M1095" s="121"/>
      <c r="N1095" s="121"/>
      <c r="O1095" s="121"/>
      <c r="P1095" s="121"/>
      <c r="Q1095" s="121"/>
      <c r="R1095" s="121"/>
      <c r="S1095" s="121"/>
      <c r="T1095" s="121"/>
      <c r="U1095" s="121"/>
      <c r="V1095" s="121"/>
      <c r="W1095" s="121"/>
      <c r="X1095" s="121"/>
      <c r="Y1095" s="121"/>
      <c r="Z1095" s="121"/>
      <c r="AA1095" s="121"/>
      <c r="AB1095" s="121"/>
      <c r="AC1095" s="121"/>
      <c r="AD1095" s="121"/>
      <c r="AE1095" s="121"/>
      <c r="AF1095" s="36"/>
      <c r="AG1095" s="36"/>
      <c r="AH1095" s="36"/>
      <c r="AI1095" s="36"/>
      <c r="AJ1095" s="36"/>
    </row>
    <row r="1096" ht="15.75" customHeight="1">
      <c r="A1096" s="357" t="s">
        <v>1520</v>
      </c>
      <c r="B1096" s="390"/>
      <c r="C1096" s="390"/>
      <c r="D1096" s="390"/>
      <c r="E1096" s="121"/>
      <c r="F1096" s="121"/>
      <c r="G1096" s="121"/>
      <c r="H1096" s="121"/>
      <c r="I1096" s="121"/>
      <c r="J1096" s="121"/>
      <c r="K1096" s="121"/>
      <c r="L1096" s="121"/>
      <c r="M1096" s="121"/>
      <c r="N1096" s="121"/>
      <c r="O1096" s="121"/>
      <c r="P1096" s="121"/>
      <c r="Q1096" s="121"/>
      <c r="R1096" s="121"/>
      <c r="S1096" s="121"/>
      <c r="T1096" s="121"/>
      <c r="U1096" s="121"/>
      <c r="V1096" s="121"/>
      <c r="W1096" s="121"/>
      <c r="X1096" s="121"/>
      <c r="Y1096" s="121"/>
      <c r="Z1096" s="121"/>
      <c r="AA1096" s="121"/>
      <c r="AB1096" s="121"/>
      <c r="AC1096" s="121"/>
      <c r="AD1096" s="121"/>
      <c r="AE1096" s="121"/>
      <c r="AF1096" s="36"/>
      <c r="AG1096" s="36"/>
      <c r="AH1096" s="36"/>
      <c r="AI1096" s="36"/>
      <c r="AJ1096" s="36"/>
    </row>
    <row r="1097" ht="15.75" customHeight="1">
      <c r="A1097" s="12"/>
      <c r="B1097" s="390"/>
      <c r="C1097" s="390"/>
      <c r="D1097" s="390"/>
      <c r="E1097" s="121"/>
      <c r="F1097" s="121"/>
      <c r="G1097" s="121"/>
      <c r="H1097" s="121"/>
      <c r="I1097" s="121"/>
      <c r="J1097" s="121"/>
      <c r="K1097" s="121"/>
      <c r="L1097" s="121"/>
      <c r="M1097" s="121"/>
      <c r="N1097" s="121"/>
      <c r="O1097" s="121"/>
      <c r="P1097" s="121"/>
      <c r="Q1097" s="121"/>
      <c r="R1097" s="121"/>
      <c r="S1097" s="121"/>
      <c r="T1097" s="121"/>
      <c r="U1097" s="121"/>
      <c r="V1097" s="121"/>
      <c r="W1097" s="121"/>
      <c r="X1097" s="121"/>
      <c r="Y1097" s="121"/>
      <c r="Z1097" s="121"/>
      <c r="AA1097" s="121"/>
      <c r="AB1097" s="121"/>
      <c r="AC1097" s="121"/>
      <c r="AD1097" s="121"/>
      <c r="AE1097" s="121"/>
      <c r="AF1097" s="36"/>
      <c r="AG1097" s="36"/>
      <c r="AH1097" s="36"/>
      <c r="AI1097" s="36"/>
      <c r="AJ1097" s="36"/>
    </row>
    <row r="1098" ht="15.75" customHeight="1">
      <c r="A1098" s="36" t="s">
        <v>215</v>
      </c>
      <c r="B1098" s="36">
        <v>1.0</v>
      </c>
      <c r="C1098" s="36">
        <v>2.0</v>
      </c>
      <c r="D1098" s="36">
        <v>3.0</v>
      </c>
      <c r="E1098" s="36">
        <v>4.0</v>
      </c>
      <c r="F1098" s="36">
        <v>5.0</v>
      </c>
      <c r="G1098" s="36">
        <v>6.0</v>
      </c>
      <c r="H1098" s="36">
        <v>7.0</v>
      </c>
      <c r="I1098" s="36">
        <v>8.0</v>
      </c>
      <c r="J1098" s="36">
        <v>9.0</v>
      </c>
      <c r="K1098" s="36">
        <v>10.0</v>
      </c>
      <c r="L1098" s="36">
        <v>11.0</v>
      </c>
      <c r="M1098" s="36">
        <v>12.0</v>
      </c>
      <c r="N1098" s="36">
        <v>13.0</v>
      </c>
      <c r="O1098" s="36">
        <v>14.0</v>
      </c>
      <c r="P1098" s="36">
        <v>15.0</v>
      </c>
      <c r="Q1098" s="36">
        <v>16.0</v>
      </c>
      <c r="R1098" s="36">
        <v>17.0</v>
      </c>
      <c r="S1098" s="36">
        <v>18.0</v>
      </c>
      <c r="T1098" s="36">
        <v>19.0</v>
      </c>
      <c r="U1098" s="36">
        <v>20.0</v>
      </c>
      <c r="V1098" s="36">
        <v>21.0</v>
      </c>
      <c r="W1098" s="36">
        <v>22.0</v>
      </c>
      <c r="X1098" s="36">
        <v>23.0</v>
      </c>
      <c r="Y1098" s="36">
        <v>24.0</v>
      </c>
      <c r="Z1098" s="36">
        <v>25.0</v>
      </c>
      <c r="AA1098" s="36">
        <v>26.0</v>
      </c>
      <c r="AB1098" s="36">
        <v>27.0</v>
      </c>
      <c r="AC1098" s="36">
        <v>28.0</v>
      </c>
      <c r="AD1098" s="36">
        <v>29.0</v>
      </c>
      <c r="AE1098" s="36">
        <v>30.0</v>
      </c>
      <c r="AF1098" s="36"/>
      <c r="AG1098" s="36"/>
      <c r="AH1098" s="36"/>
      <c r="AI1098" s="36"/>
      <c r="AJ1098" s="36"/>
    </row>
    <row r="1099" ht="15.75" customHeight="1">
      <c r="A1099" s="12" t="s">
        <v>217</v>
      </c>
      <c r="B1099" s="12">
        <v>0.0</v>
      </c>
      <c r="C1099" s="12">
        <v>0.0</v>
      </c>
      <c r="D1099" s="12">
        <v>0.0</v>
      </c>
      <c r="E1099" s="12">
        <v>0.0</v>
      </c>
      <c r="F1099" s="12">
        <v>0.0</v>
      </c>
      <c r="G1099" s="12">
        <v>0.0</v>
      </c>
      <c r="H1099" s="12">
        <v>0.0</v>
      </c>
      <c r="I1099" s="12">
        <v>0.0</v>
      </c>
      <c r="J1099" s="12">
        <v>0.0</v>
      </c>
      <c r="K1099" s="12">
        <v>0.0</v>
      </c>
      <c r="L1099" s="12">
        <v>0.0</v>
      </c>
      <c r="M1099" s="12">
        <v>0.0</v>
      </c>
      <c r="N1099" s="12">
        <v>0.0</v>
      </c>
      <c r="O1099" s="12">
        <v>0.0</v>
      </c>
      <c r="P1099" s="12">
        <v>0.0</v>
      </c>
      <c r="Q1099" s="12">
        <v>0.0</v>
      </c>
      <c r="R1099" s="12">
        <v>0.0</v>
      </c>
      <c r="S1099" s="12">
        <v>0.0</v>
      </c>
      <c r="T1099" s="12">
        <v>0.0</v>
      </c>
      <c r="U1099" s="12">
        <v>0.0</v>
      </c>
      <c r="V1099" s="12">
        <v>0.0</v>
      </c>
      <c r="W1099" s="12">
        <v>0.0</v>
      </c>
      <c r="X1099" s="12">
        <v>0.0</v>
      </c>
      <c r="Y1099" s="12">
        <v>0.0</v>
      </c>
      <c r="Z1099" s="12">
        <v>0.0</v>
      </c>
      <c r="AA1099" s="12">
        <v>0.0</v>
      </c>
      <c r="AB1099" s="12">
        <v>0.0</v>
      </c>
      <c r="AC1099" s="12">
        <v>0.0</v>
      </c>
      <c r="AD1099" s="12">
        <v>0.0</v>
      </c>
      <c r="AE1099" s="12">
        <v>0.0</v>
      </c>
      <c r="AF1099" s="36"/>
      <c r="AG1099" s="36"/>
      <c r="AH1099" s="36"/>
      <c r="AI1099" s="36"/>
      <c r="AJ1099" s="36"/>
    </row>
    <row r="1100" ht="15.75" customHeight="1">
      <c r="A1100" s="12" t="s">
        <v>218</v>
      </c>
      <c r="B1100" s="390">
        <v>0.0125</v>
      </c>
      <c r="C1100" s="390">
        <v>0.0125</v>
      </c>
      <c r="D1100" s="390">
        <v>0.0075</v>
      </c>
      <c r="E1100" s="390">
        <v>3.0E-4</v>
      </c>
      <c r="F1100" s="390">
        <v>3.0E-4</v>
      </c>
      <c r="G1100" s="390">
        <v>3.0E-4</v>
      </c>
      <c r="H1100" s="390">
        <v>3.0E-4</v>
      </c>
      <c r="I1100" s="390">
        <v>3.0E-4</v>
      </c>
      <c r="J1100" s="390">
        <v>3.0E-4</v>
      </c>
      <c r="K1100" s="390">
        <v>3.0E-4</v>
      </c>
      <c r="L1100" s="390">
        <v>3.0E-4</v>
      </c>
      <c r="M1100" s="390">
        <v>3.0E-4</v>
      </c>
      <c r="N1100" s="390">
        <v>3.0E-4</v>
      </c>
      <c r="O1100" s="390">
        <v>3.0E-4</v>
      </c>
      <c r="P1100" s="390">
        <v>3.0E-4</v>
      </c>
      <c r="Q1100" s="390">
        <v>3.0E-4</v>
      </c>
      <c r="R1100" s="390">
        <v>3.0E-4</v>
      </c>
      <c r="S1100" s="390">
        <v>3.0E-4</v>
      </c>
      <c r="T1100" s="390">
        <v>3.0E-4</v>
      </c>
      <c r="U1100" s="390">
        <v>3.0E-4</v>
      </c>
      <c r="V1100" s="390">
        <v>3.0E-4</v>
      </c>
      <c r="W1100" s="390">
        <v>3.0E-4</v>
      </c>
      <c r="X1100" s="390">
        <v>3.0E-4</v>
      </c>
      <c r="Y1100" s="390">
        <v>3.0E-4</v>
      </c>
      <c r="Z1100" s="390">
        <v>3.0E-4</v>
      </c>
      <c r="AA1100" s="390">
        <v>3.0E-4</v>
      </c>
      <c r="AB1100" s="390">
        <v>3.0E-4</v>
      </c>
      <c r="AC1100" s="390">
        <v>3.0E-4</v>
      </c>
      <c r="AD1100" s="390">
        <v>3.0E-4</v>
      </c>
      <c r="AE1100" s="390">
        <v>3.0E-4</v>
      </c>
      <c r="AF1100" s="36"/>
      <c r="AG1100" s="36"/>
      <c r="AH1100" s="36"/>
      <c r="AI1100" s="36"/>
      <c r="AJ1100" s="36"/>
    </row>
    <row r="1101" ht="15.75" customHeight="1">
      <c r="A1101" s="12"/>
      <c r="B1101" s="390"/>
      <c r="C1101" s="390"/>
      <c r="D1101" s="390"/>
      <c r="E1101" s="121"/>
      <c r="F1101" s="121"/>
      <c r="G1101" s="121"/>
      <c r="H1101" s="121"/>
      <c r="I1101" s="121"/>
      <c r="J1101" s="121"/>
      <c r="K1101" s="121"/>
      <c r="L1101" s="121"/>
      <c r="M1101" s="121"/>
      <c r="N1101" s="121"/>
      <c r="O1101" s="121"/>
      <c r="P1101" s="121"/>
      <c r="Q1101" s="121"/>
      <c r="R1101" s="121"/>
      <c r="S1101" s="121"/>
      <c r="T1101" s="121"/>
      <c r="U1101" s="121"/>
      <c r="V1101" s="121"/>
      <c r="W1101" s="121"/>
      <c r="X1101" s="121"/>
      <c r="Y1101" s="121"/>
      <c r="Z1101" s="121"/>
      <c r="AA1101" s="121"/>
      <c r="AB1101" s="121"/>
      <c r="AC1101" s="121"/>
      <c r="AD1101" s="121"/>
      <c r="AE1101" s="121"/>
      <c r="AF1101" s="36"/>
      <c r="AG1101" s="36"/>
      <c r="AH1101" s="36"/>
      <c r="AI1101" s="36"/>
      <c r="AJ1101" s="36"/>
    </row>
    <row r="1102" ht="15.75" customHeight="1">
      <c r="A1102" s="357" t="s">
        <v>1523</v>
      </c>
      <c r="B1102" s="390"/>
      <c r="C1102" s="390"/>
      <c r="D1102" s="390"/>
      <c r="E1102" s="121"/>
      <c r="F1102" s="121"/>
      <c r="G1102" s="121"/>
      <c r="H1102" s="121"/>
      <c r="I1102" s="121"/>
      <c r="J1102" s="121"/>
      <c r="K1102" s="121"/>
      <c r="L1102" s="121"/>
      <c r="M1102" s="121"/>
      <c r="N1102" s="121"/>
      <c r="O1102" s="121"/>
      <c r="P1102" s="121"/>
      <c r="Q1102" s="121"/>
      <c r="R1102" s="121"/>
      <c r="S1102" s="121"/>
      <c r="T1102" s="121"/>
      <c r="U1102" s="121"/>
      <c r="V1102" s="121"/>
      <c r="W1102" s="121"/>
      <c r="X1102" s="121"/>
      <c r="Y1102" s="121"/>
      <c r="Z1102" s="121"/>
      <c r="AA1102" s="121"/>
      <c r="AB1102" s="121"/>
      <c r="AC1102" s="121"/>
      <c r="AD1102" s="121"/>
      <c r="AE1102" s="121"/>
      <c r="AF1102" s="36"/>
      <c r="AG1102" s="36"/>
      <c r="AH1102" s="36"/>
      <c r="AI1102" s="36"/>
      <c r="AJ1102" s="36"/>
    </row>
    <row r="1103" ht="15.75" customHeight="1">
      <c r="A1103" s="12"/>
      <c r="B1103" s="390"/>
      <c r="C1103" s="390"/>
      <c r="D1103" s="390"/>
      <c r="E1103" s="121"/>
      <c r="F1103" s="121"/>
      <c r="G1103" s="121"/>
      <c r="H1103" s="121"/>
      <c r="I1103" s="121"/>
      <c r="J1103" s="121"/>
      <c r="K1103" s="121"/>
      <c r="L1103" s="121"/>
      <c r="M1103" s="121"/>
      <c r="N1103" s="121"/>
      <c r="O1103" s="121"/>
      <c r="P1103" s="121"/>
      <c r="Q1103" s="121"/>
      <c r="R1103" s="121"/>
      <c r="S1103" s="121"/>
      <c r="T1103" s="121"/>
      <c r="U1103" s="121"/>
      <c r="V1103" s="121"/>
      <c r="W1103" s="121"/>
      <c r="X1103" s="121"/>
      <c r="Y1103" s="121"/>
      <c r="Z1103" s="121"/>
      <c r="AA1103" s="121"/>
      <c r="AB1103" s="121"/>
      <c r="AC1103" s="121"/>
      <c r="AD1103" s="121"/>
      <c r="AE1103" s="121"/>
      <c r="AF1103" s="36"/>
      <c r="AG1103" s="36"/>
      <c r="AH1103" s="36"/>
      <c r="AI1103" s="36"/>
      <c r="AJ1103" s="36"/>
    </row>
    <row r="1104" ht="15.75" customHeight="1">
      <c r="A1104" s="36" t="s">
        <v>215</v>
      </c>
      <c r="B1104" s="36">
        <v>1.0</v>
      </c>
      <c r="C1104" s="36">
        <v>2.0</v>
      </c>
      <c r="D1104" s="36">
        <v>3.0</v>
      </c>
      <c r="E1104" s="36">
        <v>4.0</v>
      </c>
      <c r="F1104" s="36">
        <v>5.0</v>
      </c>
      <c r="G1104" s="36">
        <v>6.0</v>
      </c>
      <c r="H1104" s="36">
        <v>7.0</v>
      </c>
      <c r="I1104" s="36">
        <v>8.0</v>
      </c>
      <c r="J1104" s="36">
        <v>9.0</v>
      </c>
      <c r="K1104" s="36">
        <v>10.0</v>
      </c>
      <c r="L1104" s="36">
        <v>11.0</v>
      </c>
      <c r="M1104" s="36">
        <v>12.0</v>
      </c>
      <c r="N1104" s="36">
        <v>13.0</v>
      </c>
      <c r="O1104" s="36">
        <v>14.0</v>
      </c>
      <c r="P1104" s="36">
        <v>15.0</v>
      </c>
      <c r="Q1104" s="36">
        <v>16.0</v>
      </c>
      <c r="R1104" s="36">
        <v>17.0</v>
      </c>
      <c r="S1104" s="36">
        <v>18.0</v>
      </c>
      <c r="T1104" s="36">
        <v>19.0</v>
      </c>
      <c r="U1104" s="36">
        <v>20.0</v>
      </c>
      <c r="V1104" s="36">
        <v>21.0</v>
      </c>
      <c r="W1104" s="36">
        <v>22.0</v>
      </c>
      <c r="X1104" s="36">
        <v>23.0</v>
      </c>
      <c r="Y1104" s="36">
        <v>24.0</v>
      </c>
      <c r="Z1104" s="36">
        <v>25.0</v>
      </c>
      <c r="AA1104" s="36">
        <v>26.0</v>
      </c>
      <c r="AB1104" s="36">
        <v>27.0</v>
      </c>
      <c r="AC1104" s="36">
        <v>28.0</v>
      </c>
      <c r="AD1104" s="36">
        <v>29.0</v>
      </c>
      <c r="AE1104" s="36">
        <v>30.0</v>
      </c>
      <c r="AF1104" s="36"/>
      <c r="AG1104" s="36"/>
      <c r="AH1104" s="36"/>
      <c r="AI1104" s="36"/>
      <c r="AJ1104" s="36"/>
    </row>
    <row r="1105" ht="15.75" customHeight="1">
      <c r="A1105" s="12" t="s">
        <v>217</v>
      </c>
      <c r="B1105" s="12">
        <v>60.0</v>
      </c>
      <c r="C1105" s="12">
        <v>60.0</v>
      </c>
      <c r="D1105" s="12">
        <v>60.0</v>
      </c>
      <c r="E1105" s="12">
        <v>60.0</v>
      </c>
      <c r="F1105" s="12">
        <v>60.0</v>
      </c>
      <c r="G1105" s="12">
        <v>60.0</v>
      </c>
      <c r="H1105" s="12">
        <v>60.0</v>
      </c>
      <c r="I1105" s="12">
        <v>60.0</v>
      </c>
      <c r="J1105" s="12">
        <v>60.0</v>
      </c>
      <c r="K1105" s="12">
        <v>60.0</v>
      </c>
      <c r="L1105" s="12">
        <v>60.0</v>
      </c>
      <c r="M1105" s="12">
        <v>60.0</v>
      </c>
      <c r="N1105" s="12">
        <v>60.0</v>
      </c>
      <c r="O1105" s="12">
        <v>60.0</v>
      </c>
      <c r="P1105" s="12">
        <v>60.0</v>
      </c>
      <c r="Q1105" s="12">
        <v>60.0</v>
      </c>
      <c r="R1105" s="12">
        <v>60.0</v>
      </c>
      <c r="S1105" s="12">
        <v>60.0</v>
      </c>
      <c r="T1105" s="12">
        <v>60.0</v>
      </c>
      <c r="U1105" s="12">
        <v>60.0</v>
      </c>
      <c r="V1105" s="12">
        <v>60.0</v>
      </c>
      <c r="W1105" s="12">
        <v>60.0</v>
      </c>
      <c r="X1105" s="12">
        <v>60.0</v>
      </c>
      <c r="Y1105" s="12">
        <v>60.0</v>
      </c>
      <c r="Z1105" s="12">
        <v>60.0</v>
      </c>
      <c r="AA1105" s="12">
        <v>60.0</v>
      </c>
      <c r="AB1105" s="12">
        <v>60.0</v>
      </c>
      <c r="AC1105" s="12">
        <v>60.0</v>
      </c>
      <c r="AD1105" s="12">
        <v>60.0</v>
      </c>
      <c r="AE1105" s="12">
        <v>60.0</v>
      </c>
      <c r="AF1105" s="36"/>
      <c r="AG1105" s="36"/>
      <c r="AH1105" s="36"/>
      <c r="AI1105" s="36"/>
      <c r="AJ1105" s="36"/>
    </row>
    <row r="1106" ht="15.75" customHeight="1">
      <c r="A1106" s="12" t="s">
        <v>218</v>
      </c>
      <c r="B1106" s="121">
        <v>0.0</v>
      </c>
      <c r="C1106" s="121">
        <v>0.0</v>
      </c>
      <c r="D1106" s="121">
        <v>0.0</v>
      </c>
      <c r="E1106" s="121">
        <v>0.0</v>
      </c>
      <c r="F1106" s="121">
        <v>0.0</v>
      </c>
      <c r="G1106" s="121">
        <v>0.0</v>
      </c>
      <c r="H1106" s="121">
        <v>0.0</v>
      </c>
      <c r="I1106" s="121">
        <v>0.0</v>
      </c>
      <c r="J1106" s="121">
        <v>0.0</v>
      </c>
      <c r="K1106" s="121">
        <v>0.0</v>
      </c>
      <c r="L1106" s="121">
        <v>0.0</v>
      </c>
      <c r="M1106" s="121">
        <v>0.0</v>
      </c>
      <c r="N1106" s="121">
        <v>0.0</v>
      </c>
      <c r="O1106" s="121">
        <v>0.0</v>
      </c>
      <c r="P1106" s="121">
        <v>0.0</v>
      </c>
      <c r="Q1106" s="121">
        <v>0.0</v>
      </c>
      <c r="R1106" s="121">
        <v>0.0</v>
      </c>
      <c r="S1106" s="121">
        <v>0.0</v>
      </c>
      <c r="T1106" s="121">
        <v>0.0</v>
      </c>
      <c r="U1106" s="121">
        <v>0.0</v>
      </c>
      <c r="V1106" s="121">
        <v>0.0</v>
      </c>
      <c r="W1106" s="121">
        <v>0.0</v>
      </c>
      <c r="X1106" s="121">
        <v>0.0</v>
      </c>
      <c r="Y1106" s="121">
        <v>0.0</v>
      </c>
      <c r="Z1106" s="121">
        <v>0.0</v>
      </c>
      <c r="AA1106" s="121">
        <v>0.0</v>
      </c>
      <c r="AB1106" s="121">
        <v>0.0</v>
      </c>
      <c r="AC1106" s="121">
        <v>0.0</v>
      </c>
      <c r="AD1106" s="121">
        <v>0.0</v>
      </c>
      <c r="AE1106" s="121">
        <v>0.0</v>
      </c>
      <c r="AF1106" s="36"/>
      <c r="AG1106" s="36"/>
      <c r="AH1106" s="36"/>
      <c r="AI1106" s="36"/>
      <c r="AJ1106" s="36"/>
    </row>
    <row r="1107" ht="15.75" customHeight="1">
      <c r="A1107" s="12"/>
      <c r="B1107" s="390"/>
      <c r="C1107" s="390"/>
      <c r="D1107" s="390"/>
      <c r="E1107" s="121"/>
      <c r="F1107" s="121"/>
      <c r="G1107" s="121"/>
      <c r="H1107" s="121"/>
      <c r="I1107" s="121"/>
      <c r="J1107" s="121"/>
      <c r="K1107" s="121"/>
      <c r="L1107" s="121"/>
      <c r="M1107" s="121"/>
      <c r="N1107" s="121"/>
      <c r="O1107" s="121"/>
      <c r="P1107" s="121"/>
      <c r="Q1107" s="121"/>
      <c r="R1107" s="121"/>
      <c r="S1107" s="121"/>
      <c r="T1107" s="121"/>
      <c r="U1107" s="121"/>
      <c r="V1107" s="121"/>
      <c r="W1107" s="121"/>
      <c r="X1107" s="121"/>
      <c r="Y1107" s="121"/>
      <c r="Z1107" s="121"/>
      <c r="AA1107" s="121"/>
      <c r="AB1107" s="121"/>
      <c r="AC1107" s="121"/>
      <c r="AD1107" s="121"/>
      <c r="AE1107" s="121"/>
      <c r="AF1107" s="36"/>
      <c r="AG1107" s="36"/>
      <c r="AH1107" s="36"/>
      <c r="AI1107" s="36"/>
      <c r="AJ1107" s="36"/>
    </row>
    <row r="1108" ht="15.75" customHeight="1">
      <c r="A1108" s="357" t="s">
        <v>1526</v>
      </c>
      <c r="B1108" s="390"/>
      <c r="C1108" s="390"/>
      <c r="D1108" s="390"/>
      <c r="E1108" s="121"/>
      <c r="F1108" s="121"/>
      <c r="G1108" s="121"/>
      <c r="H1108" s="121"/>
      <c r="I1108" s="121"/>
      <c r="J1108" s="121"/>
      <c r="K1108" s="121"/>
      <c r="L1108" s="121"/>
      <c r="M1108" s="121"/>
      <c r="N1108" s="121"/>
      <c r="O1108" s="121"/>
      <c r="P1108" s="121"/>
      <c r="Q1108" s="121"/>
      <c r="R1108" s="121"/>
      <c r="S1108" s="121"/>
      <c r="T1108" s="121"/>
      <c r="U1108" s="121"/>
      <c r="V1108" s="121"/>
      <c r="W1108" s="121"/>
      <c r="X1108" s="121"/>
      <c r="Y1108" s="121"/>
      <c r="Z1108" s="121"/>
      <c r="AA1108" s="121"/>
      <c r="AB1108" s="121"/>
      <c r="AC1108" s="121"/>
      <c r="AD1108" s="121"/>
      <c r="AE1108" s="121"/>
      <c r="AF1108" s="36"/>
      <c r="AG1108" s="36"/>
      <c r="AH1108" s="36"/>
      <c r="AI1108" s="36"/>
      <c r="AJ1108" s="36"/>
    </row>
    <row r="1109" ht="15.75" customHeight="1">
      <c r="A1109" s="12"/>
      <c r="B1109" s="390"/>
      <c r="C1109" s="390"/>
      <c r="D1109" s="390"/>
      <c r="E1109" s="121"/>
      <c r="F1109" s="121"/>
      <c r="G1109" s="121"/>
      <c r="H1109" s="121"/>
      <c r="I1109" s="121"/>
      <c r="J1109" s="121"/>
      <c r="K1109" s="121"/>
      <c r="L1109" s="121"/>
      <c r="M1109" s="121"/>
      <c r="N1109" s="121"/>
      <c r="O1109" s="121"/>
      <c r="P1109" s="121"/>
      <c r="Q1109" s="121"/>
      <c r="R1109" s="121"/>
      <c r="S1109" s="121"/>
      <c r="T1109" s="121"/>
      <c r="U1109" s="121"/>
      <c r="V1109" s="121"/>
      <c r="W1109" s="121"/>
      <c r="X1109" s="121"/>
      <c r="Y1109" s="121"/>
      <c r="Z1109" s="121"/>
      <c r="AA1109" s="121"/>
      <c r="AB1109" s="121"/>
      <c r="AC1109" s="121"/>
      <c r="AD1109" s="121"/>
      <c r="AE1109" s="121"/>
      <c r="AF1109" s="36"/>
      <c r="AG1109" s="36"/>
      <c r="AH1109" s="36"/>
      <c r="AI1109" s="36"/>
      <c r="AJ1109" s="36"/>
    </row>
    <row r="1110" ht="15.75" customHeight="1">
      <c r="A1110" s="36" t="s">
        <v>215</v>
      </c>
      <c r="B1110" s="36">
        <v>1.0</v>
      </c>
      <c r="C1110" s="36">
        <v>2.0</v>
      </c>
      <c r="D1110" s="36">
        <v>3.0</v>
      </c>
      <c r="E1110" s="36">
        <v>4.0</v>
      </c>
      <c r="F1110" s="36">
        <v>5.0</v>
      </c>
      <c r="G1110" s="36">
        <v>6.0</v>
      </c>
      <c r="H1110" s="36">
        <v>7.0</v>
      </c>
      <c r="I1110" s="36">
        <v>8.0</v>
      </c>
      <c r="J1110" s="36">
        <v>9.0</v>
      </c>
      <c r="K1110" s="36">
        <v>10.0</v>
      </c>
      <c r="L1110" s="36">
        <v>11.0</v>
      </c>
      <c r="M1110" s="36">
        <v>12.0</v>
      </c>
      <c r="N1110" s="36">
        <v>13.0</v>
      </c>
      <c r="O1110" s="36">
        <v>14.0</v>
      </c>
      <c r="P1110" s="36">
        <v>15.0</v>
      </c>
      <c r="Q1110" s="36">
        <v>16.0</v>
      </c>
      <c r="R1110" s="36">
        <v>17.0</v>
      </c>
      <c r="S1110" s="36">
        <v>18.0</v>
      </c>
      <c r="T1110" s="36">
        <v>19.0</v>
      </c>
      <c r="U1110" s="36">
        <v>20.0</v>
      </c>
      <c r="V1110" s="36">
        <v>21.0</v>
      </c>
      <c r="W1110" s="36">
        <v>22.0</v>
      </c>
      <c r="X1110" s="36">
        <v>23.0</v>
      </c>
      <c r="Y1110" s="36">
        <v>24.0</v>
      </c>
      <c r="Z1110" s="36">
        <v>25.0</v>
      </c>
      <c r="AA1110" s="36">
        <v>26.0</v>
      </c>
      <c r="AB1110" s="36">
        <v>27.0</v>
      </c>
      <c r="AC1110" s="36">
        <v>28.0</v>
      </c>
      <c r="AD1110" s="36">
        <v>29.0</v>
      </c>
      <c r="AE1110" s="36">
        <v>30.0</v>
      </c>
      <c r="AF1110" s="36"/>
      <c r="AG1110" s="36"/>
      <c r="AH1110" s="36"/>
      <c r="AI1110" s="36"/>
      <c r="AJ1110" s="36"/>
    </row>
    <row r="1111" ht="15.75" customHeight="1">
      <c r="A1111" s="12" t="s">
        <v>217</v>
      </c>
      <c r="B1111" s="12">
        <v>0.0</v>
      </c>
      <c r="C1111" s="12">
        <v>0.0</v>
      </c>
      <c r="D1111" s="12">
        <v>0.0</v>
      </c>
      <c r="E1111" s="12">
        <v>0.0</v>
      </c>
      <c r="F1111" s="12">
        <v>0.0</v>
      </c>
      <c r="G1111" s="12">
        <v>0.0</v>
      </c>
      <c r="H1111" s="12">
        <v>0.0</v>
      </c>
      <c r="I1111" s="12">
        <v>0.0</v>
      </c>
      <c r="J1111" s="12">
        <v>0.0</v>
      </c>
      <c r="K1111" s="12">
        <v>0.0</v>
      </c>
      <c r="L1111" s="12">
        <v>0.0</v>
      </c>
      <c r="M1111" s="12">
        <v>0.0</v>
      </c>
      <c r="N1111" s="12">
        <v>0.0</v>
      </c>
      <c r="O1111" s="12">
        <v>0.0</v>
      </c>
      <c r="P1111" s="12">
        <v>0.0</v>
      </c>
      <c r="Q1111" s="12">
        <v>0.0</v>
      </c>
      <c r="R1111" s="12">
        <v>0.0</v>
      </c>
      <c r="S1111" s="12">
        <v>0.0</v>
      </c>
      <c r="T1111" s="12">
        <v>0.0</v>
      </c>
      <c r="U1111" s="12">
        <v>0.0</v>
      </c>
      <c r="V1111" s="12">
        <v>0.0</v>
      </c>
      <c r="W1111" s="12">
        <v>0.0</v>
      </c>
      <c r="X1111" s="12">
        <v>0.0</v>
      </c>
      <c r="Y1111" s="12">
        <v>0.0</v>
      </c>
      <c r="Z1111" s="12">
        <v>0.0</v>
      </c>
      <c r="AA1111" s="12">
        <v>0.0</v>
      </c>
      <c r="AB1111" s="12">
        <v>0.0</v>
      </c>
      <c r="AC1111" s="12">
        <v>0.0</v>
      </c>
      <c r="AD1111" s="12">
        <v>0.0</v>
      </c>
      <c r="AE1111" s="12">
        <v>0.0</v>
      </c>
      <c r="AF1111" s="36"/>
      <c r="AG1111" s="36"/>
      <c r="AH1111" s="36"/>
      <c r="AI1111" s="36"/>
      <c r="AJ1111" s="36"/>
    </row>
    <row r="1112" ht="15.75" customHeight="1">
      <c r="A1112" s="12" t="s">
        <v>218</v>
      </c>
      <c r="B1112" s="194">
        <v>0.0091</v>
      </c>
      <c r="C1112" s="194">
        <v>0.0091</v>
      </c>
      <c r="D1112" s="194">
        <v>0.0066</v>
      </c>
      <c r="E1112" s="194">
        <v>3.0E-4</v>
      </c>
      <c r="F1112" s="194">
        <v>3.0E-4</v>
      </c>
      <c r="G1112" s="194">
        <v>3.0E-4</v>
      </c>
      <c r="H1112" s="194">
        <v>3.0E-4</v>
      </c>
      <c r="I1112" s="194">
        <v>3.0E-4</v>
      </c>
      <c r="J1112" s="194">
        <v>3.0E-4</v>
      </c>
      <c r="K1112" s="194">
        <v>3.0E-4</v>
      </c>
      <c r="L1112" s="194">
        <v>3.0E-4</v>
      </c>
      <c r="M1112" s="194">
        <v>3.0E-4</v>
      </c>
      <c r="N1112" s="194">
        <v>3.0E-4</v>
      </c>
      <c r="O1112" s="194">
        <v>3.0E-4</v>
      </c>
      <c r="P1112" s="194">
        <v>3.0E-4</v>
      </c>
      <c r="Q1112" s="194">
        <v>3.0E-4</v>
      </c>
      <c r="R1112" s="194">
        <v>3.0E-4</v>
      </c>
      <c r="S1112" s="194">
        <v>3.0E-4</v>
      </c>
      <c r="T1112" s="194">
        <v>3.0E-4</v>
      </c>
      <c r="U1112" s="194">
        <v>3.0E-4</v>
      </c>
      <c r="V1112" s="194">
        <v>3.0E-4</v>
      </c>
      <c r="W1112" s="194">
        <v>3.0E-4</v>
      </c>
      <c r="X1112" s="194">
        <v>3.0E-4</v>
      </c>
      <c r="Y1112" s="194">
        <v>3.0E-4</v>
      </c>
      <c r="Z1112" s="194">
        <v>3.0E-4</v>
      </c>
      <c r="AA1112" s="194">
        <v>3.0E-4</v>
      </c>
      <c r="AB1112" s="194">
        <v>3.0E-4</v>
      </c>
      <c r="AC1112" s="194">
        <v>3.0E-4</v>
      </c>
      <c r="AD1112" s="194">
        <v>3.0E-4</v>
      </c>
      <c r="AE1112" s="194">
        <v>3.0E-4</v>
      </c>
      <c r="AF1112" s="36"/>
      <c r="AG1112" s="36"/>
      <c r="AH1112" s="36"/>
      <c r="AI1112" s="36"/>
      <c r="AJ1112" s="36"/>
    </row>
    <row r="1113" ht="15.75" customHeight="1">
      <c r="A1113" s="12"/>
      <c r="B1113" s="390"/>
      <c r="C1113" s="390"/>
      <c r="D1113" s="390"/>
      <c r="E1113" s="121"/>
      <c r="F1113" s="121"/>
      <c r="G1113" s="121"/>
      <c r="H1113" s="121"/>
      <c r="I1113" s="121"/>
      <c r="J1113" s="121"/>
      <c r="K1113" s="121"/>
      <c r="L1113" s="121"/>
      <c r="M1113" s="121"/>
      <c r="N1113" s="121"/>
      <c r="O1113" s="121"/>
      <c r="P1113" s="121"/>
      <c r="Q1113" s="121"/>
      <c r="R1113" s="121"/>
      <c r="S1113" s="121"/>
      <c r="T1113" s="121"/>
      <c r="U1113" s="121"/>
      <c r="V1113" s="121"/>
      <c r="W1113" s="121"/>
      <c r="X1113" s="121"/>
      <c r="Y1113" s="121"/>
      <c r="Z1113" s="121"/>
      <c r="AA1113" s="121"/>
      <c r="AB1113" s="121"/>
      <c r="AC1113" s="121"/>
      <c r="AD1113" s="121"/>
      <c r="AE1113" s="121"/>
      <c r="AF1113" s="36"/>
      <c r="AG1113" s="36"/>
      <c r="AH1113" s="36"/>
      <c r="AI1113" s="36"/>
      <c r="AJ1113" s="36"/>
    </row>
    <row r="1114" ht="15.75" customHeight="1">
      <c r="A1114" s="357" t="s">
        <v>1529</v>
      </c>
      <c r="B1114" s="390"/>
      <c r="C1114" s="390"/>
      <c r="D1114" s="390"/>
      <c r="E1114" s="121"/>
      <c r="F1114" s="121"/>
      <c r="G1114" s="121"/>
      <c r="H1114" s="121"/>
      <c r="I1114" s="121"/>
      <c r="J1114" s="121"/>
      <c r="K1114" s="121"/>
      <c r="L1114" s="121"/>
      <c r="M1114" s="121"/>
      <c r="N1114" s="121"/>
      <c r="O1114" s="121"/>
      <c r="P1114" s="121"/>
      <c r="Q1114" s="121"/>
      <c r="R1114" s="121"/>
      <c r="S1114" s="121"/>
      <c r="T1114" s="121"/>
      <c r="U1114" s="121"/>
      <c r="V1114" s="121"/>
      <c r="W1114" s="121"/>
      <c r="X1114" s="121"/>
      <c r="Y1114" s="121"/>
      <c r="Z1114" s="121"/>
      <c r="AA1114" s="121"/>
      <c r="AB1114" s="121"/>
      <c r="AC1114" s="121"/>
      <c r="AD1114" s="121"/>
      <c r="AE1114" s="121"/>
      <c r="AF1114" s="36"/>
      <c r="AG1114" s="36"/>
      <c r="AH1114" s="36"/>
      <c r="AI1114" s="36"/>
      <c r="AJ1114" s="36"/>
    </row>
    <row r="1115" ht="15.75" customHeight="1">
      <c r="A1115" s="12"/>
      <c r="B1115" s="390"/>
      <c r="C1115" s="390"/>
      <c r="D1115" s="390"/>
      <c r="E1115" s="121"/>
      <c r="F1115" s="121"/>
      <c r="G1115" s="121"/>
      <c r="H1115" s="121"/>
      <c r="I1115" s="121"/>
      <c r="J1115" s="121"/>
      <c r="K1115" s="121"/>
      <c r="L1115" s="121"/>
      <c r="M1115" s="121"/>
      <c r="N1115" s="121"/>
      <c r="O1115" s="121"/>
      <c r="P1115" s="121"/>
      <c r="Q1115" s="121"/>
      <c r="R1115" s="121"/>
      <c r="S1115" s="121"/>
      <c r="T1115" s="121"/>
      <c r="U1115" s="121"/>
      <c r="V1115" s="121"/>
      <c r="W1115" s="121"/>
      <c r="X1115" s="121"/>
      <c r="Y1115" s="121"/>
      <c r="Z1115" s="121"/>
      <c r="AA1115" s="121"/>
      <c r="AB1115" s="121"/>
      <c r="AC1115" s="121"/>
      <c r="AD1115" s="121"/>
      <c r="AE1115" s="121"/>
      <c r="AF1115" s="36"/>
      <c r="AG1115" s="36"/>
      <c r="AH1115" s="36"/>
      <c r="AI1115" s="36"/>
      <c r="AJ1115" s="36"/>
    </row>
    <row r="1116" ht="15.75" customHeight="1">
      <c r="A1116" s="36" t="s">
        <v>215</v>
      </c>
      <c r="B1116" s="36">
        <v>1.0</v>
      </c>
      <c r="C1116" s="36">
        <v>2.0</v>
      </c>
      <c r="D1116" s="36">
        <v>3.0</v>
      </c>
      <c r="E1116" s="36">
        <v>4.0</v>
      </c>
      <c r="F1116" s="36">
        <v>5.0</v>
      </c>
      <c r="G1116" s="36">
        <v>6.0</v>
      </c>
      <c r="H1116" s="36">
        <v>7.0</v>
      </c>
      <c r="I1116" s="36">
        <v>8.0</v>
      </c>
      <c r="J1116" s="36">
        <v>9.0</v>
      </c>
      <c r="K1116" s="36">
        <v>10.0</v>
      </c>
      <c r="L1116" s="36">
        <v>11.0</v>
      </c>
      <c r="M1116" s="36">
        <v>12.0</v>
      </c>
      <c r="N1116" s="36">
        <v>13.0</v>
      </c>
      <c r="O1116" s="36">
        <v>14.0</v>
      </c>
      <c r="P1116" s="36">
        <v>15.0</v>
      </c>
      <c r="Q1116" s="36">
        <v>16.0</v>
      </c>
      <c r="R1116" s="36">
        <v>17.0</v>
      </c>
      <c r="S1116" s="36">
        <v>18.0</v>
      </c>
      <c r="T1116" s="36">
        <v>19.0</v>
      </c>
      <c r="U1116" s="36">
        <v>20.0</v>
      </c>
      <c r="V1116" s="36">
        <v>21.0</v>
      </c>
      <c r="W1116" s="36">
        <v>22.0</v>
      </c>
      <c r="X1116" s="36">
        <v>23.0</v>
      </c>
      <c r="Y1116" s="36">
        <v>24.0</v>
      </c>
      <c r="Z1116" s="36">
        <v>25.0</v>
      </c>
      <c r="AA1116" s="36">
        <v>26.0</v>
      </c>
      <c r="AB1116" s="36">
        <v>27.0</v>
      </c>
      <c r="AC1116" s="36">
        <v>28.0</v>
      </c>
      <c r="AD1116" s="36">
        <v>29.0</v>
      </c>
      <c r="AE1116" s="36">
        <v>30.0</v>
      </c>
      <c r="AF1116" s="36"/>
      <c r="AG1116" s="36"/>
      <c r="AH1116" s="36"/>
      <c r="AI1116" s="36"/>
      <c r="AJ1116" s="36"/>
    </row>
    <row r="1117" ht="15.75" customHeight="1">
      <c r="A1117" s="12" t="s">
        <v>217</v>
      </c>
      <c r="B1117" s="12">
        <v>20.0</v>
      </c>
      <c r="C1117" s="12">
        <v>20.0</v>
      </c>
      <c r="D1117" s="12">
        <v>20.0</v>
      </c>
      <c r="E1117" s="12">
        <v>20.0</v>
      </c>
      <c r="F1117" s="12">
        <v>20.0</v>
      </c>
      <c r="G1117" s="12">
        <v>20.0</v>
      </c>
      <c r="H1117" s="12">
        <v>20.0</v>
      </c>
      <c r="I1117" s="12">
        <v>20.0</v>
      </c>
      <c r="J1117" s="12">
        <v>20.0</v>
      </c>
      <c r="K1117" s="12">
        <v>20.0</v>
      </c>
      <c r="L1117" s="12">
        <v>20.0</v>
      </c>
      <c r="M1117" s="12">
        <v>20.0</v>
      </c>
      <c r="N1117" s="12">
        <v>20.0</v>
      </c>
      <c r="O1117" s="12">
        <v>20.0</v>
      </c>
      <c r="P1117" s="12">
        <v>20.0</v>
      </c>
      <c r="Q1117" s="12">
        <v>20.0</v>
      </c>
      <c r="R1117" s="12">
        <v>20.0</v>
      </c>
      <c r="S1117" s="12">
        <v>20.0</v>
      </c>
      <c r="T1117" s="12">
        <v>20.0</v>
      </c>
      <c r="U1117" s="12">
        <v>20.0</v>
      </c>
      <c r="V1117" s="12">
        <v>20.0</v>
      </c>
      <c r="W1117" s="12">
        <v>20.0</v>
      </c>
      <c r="X1117" s="12">
        <v>20.0</v>
      </c>
      <c r="Y1117" s="12">
        <v>20.0</v>
      </c>
      <c r="Z1117" s="12">
        <v>20.0</v>
      </c>
      <c r="AA1117" s="12">
        <v>20.0</v>
      </c>
      <c r="AB1117" s="12">
        <v>20.0</v>
      </c>
      <c r="AC1117" s="12">
        <v>20.0</v>
      </c>
      <c r="AD1117" s="12">
        <v>20.0</v>
      </c>
      <c r="AE1117" s="12">
        <v>20.0</v>
      </c>
      <c r="AF1117" s="36"/>
      <c r="AG1117" s="36"/>
      <c r="AH1117" s="36"/>
      <c r="AI1117" s="36"/>
      <c r="AJ1117" s="36"/>
    </row>
    <row r="1118" ht="15.75" customHeight="1">
      <c r="A1118" s="12" t="s">
        <v>218</v>
      </c>
      <c r="B1118" s="400">
        <f>IF(Mod_Prem&lt;=35000,0.3%,0.2%)</f>
        <v>0.002</v>
      </c>
      <c r="C1118" s="400">
        <v>0.0</v>
      </c>
      <c r="D1118" s="400">
        <v>0.0</v>
      </c>
      <c r="E1118" s="400">
        <v>0.0</v>
      </c>
      <c r="F1118" s="400">
        <v>0.0</v>
      </c>
      <c r="G1118" s="400">
        <v>0.0</v>
      </c>
      <c r="H1118" s="400">
        <v>0.0</v>
      </c>
      <c r="I1118" s="400">
        <v>0.0</v>
      </c>
      <c r="J1118" s="400">
        <v>0.0</v>
      </c>
      <c r="K1118" s="400">
        <v>0.0</v>
      </c>
      <c r="L1118" s="400">
        <v>0.0</v>
      </c>
      <c r="M1118" s="400">
        <v>0.0</v>
      </c>
      <c r="N1118" s="400">
        <v>0.0</v>
      </c>
      <c r="O1118" s="400">
        <v>0.0</v>
      </c>
      <c r="P1118" s="400">
        <v>0.0</v>
      </c>
      <c r="Q1118" s="400">
        <v>0.0</v>
      </c>
      <c r="R1118" s="400">
        <v>0.0</v>
      </c>
      <c r="S1118" s="400">
        <v>0.0</v>
      </c>
      <c r="T1118" s="400">
        <v>0.0</v>
      </c>
      <c r="U1118" s="400">
        <v>0.0</v>
      </c>
      <c r="V1118" s="400">
        <v>0.0</v>
      </c>
      <c r="W1118" s="400">
        <v>0.0</v>
      </c>
      <c r="X1118" s="400">
        <v>0.0</v>
      </c>
      <c r="Y1118" s="400">
        <v>0.0</v>
      </c>
      <c r="Z1118" s="400">
        <v>0.0</v>
      </c>
      <c r="AA1118" s="400">
        <v>0.0</v>
      </c>
      <c r="AB1118" s="400">
        <v>0.0</v>
      </c>
      <c r="AC1118" s="400">
        <v>0.0</v>
      </c>
      <c r="AD1118" s="400">
        <v>0.0</v>
      </c>
      <c r="AE1118" s="400">
        <v>0.0</v>
      </c>
      <c r="AF1118" s="36"/>
      <c r="AG1118" s="36"/>
      <c r="AH1118" s="36"/>
      <c r="AI1118" s="36"/>
      <c r="AJ1118" s="36"/>
    </row>
    <row r="1119" ht="15.75" customHeight="1">
      <c r="A1119" s="12"/>
      <c r="B1119" s="390"/>
      <c r="C1119" s="390"/>
      <c r="D1119" s="390"/>
      <c r="E1119" s="121"/>
      <c r="F1119" s="121"/>
      <c r="G1119" s="121"/>
      <c r="H1119" s="121"/>
      <c r="I1119" s="121"/>
      <c r="J1119" s="121"/>
      <c r="K1119" s="121"/>
      <c r="L1119" s="121"/>
      <c r="M1119" s="121"/>
      <c r="N1119" s="121"/>
      <c r="O1119" s="121"/>
      <c r="P1119" s="121"/>
      <c r="Q1119" s="121"/>
      <c r="R1119" s="121"/>
      <c r="S1119" s="121"/>
      <c r="T1119" s="121"/>
      <c r="U1119" s="121"/>
      <c r="V1119" s="121"/>
      <c r="W1119" s="121"/>
      <c r="X1119" s="121"/>
      <c r="Y1119" s="121"/>
      <c r="Z1119" s="121"/>
      <c r="AA1119" s="121"/>
      <c r="AB1119" s="121"/>
      <c r="AC1119" s="121"/>
      <c r="AD1119" s="121"/>
      <c r="AE1119" s="121"/>
      <c r="AF1119" s="36"/>
      <c r="AG1119" s="36"/>
      <c r="AH1119" s="36"/>
      <c r="AI1119" s="36"/>
      <c r="AJ1119" s="36"/>
    </row>
    <row r="1120" ht="15.75" customHeight="1">
      <c r="A1120" s="357" t="s">
        <v>1535</v>
      </c>
      <c r="B1120" s="390"/>
      <c r="C1120" s="390"/>
      <c r="D1120" s="390"/>
      <c r="E1120" s="121"/>
      <c r="F1120" s="121"/>
      <c r="G1120" s="121"/>
      <c r="H1120" s="121"/>
      <c r="I1120" s="121"/>
      <c r="J1120" s="121"/>
      <c r="K1120" s="121"/>
      <c r="L1120" s="121"/>
      <c r="M1120" s="121"/>
      <c r="N1120" s="121"/>
      <c r="O1120" s="121"/>
      <c r="P1120" s="121"/>
      <c r="Q1120" s="121"/>
      <c r="R1120" s="121"/>
      <c r="S1120" s="121"/>
      <c r="T1120" s="121"/>
      <c r="U1120" s="121"/>
      <c r="V1120" s="121"/>
      <c r="W1120" s="121"/>
      <c r="X1120" s="121"/>
      <c r="Y1120" s="121"/>
      <c r="Z1120" s="121"/>
      <c r="AA1120" s="121"/>
      <c r="AB1120" s="121"/>
      <c r="AC1120" s="121"/>
      <c r="AD1120" s="121"/>
      <c r="AE1120" s="121"/>
      <c r="AF1120" s="36"/>
      <c r="AG1120" s="36"/>
      <c r="AH1120" s="36"/>
      <c r="AI1120" s="36"/>
      <c r="AJ1120" s="36"/>
    </row>
    <row r="1121" ht="15.75" customHeight="1">
      <c r="A1121" s="12"/>
      <c r="B1121" s="390"/>
      <c r="C1121" s="390"/>
      <c r="D1121" s="390"/>
      <c r="E1121" s="121"/>
      <c r="F1121" s="121"/>
      <c r="G1121" s="121"/>
      <c r="H1121" s="121"/>
      <c r="I1121" s="121"/>
      <c r="J1121" s="121"/>
      <c r="K1121" s="121"/>
      <c r="L1121" s="121"/>
      <c r="M1121" s="121"/>
      <c r="N1121" s="121"/>
      <c r="O1121" s="121"/>
      <c r="P1121" s="121"/>
      <c r="Q1121" s="121"/>
      <c r="R1121" s="121"/>
      <c r="S1121" s="121"/>
      <c r="T1121" s="121"/>
      <c r="U1121" s="121"/>
      <c r="V1121" s="121"/>
      <c r="W1121" s="121"/>
      <c r="X1121" s="121"/>
      <c r="Y1121" s="121"/>
      <c r="Z1121" s="121"/>
      <c r="AA1121" s="121"/>
      <c r="AB1121" s="121"/>
      <c r="AC1121" s="121"/>
      <c r="AD1121" s="121"/>
      <c r="AE1121" s="121"/>
      <c r="AF1121" s="36"/>
      <c r="AG1121" s="36"/>
      <c r="AH1121" s="36"/>
      <c r="AI1121" s="36"/>
      <c r="AJ1121" s="36"/>
    </row>
    <row r="1122" ht="15.75" customHeight="1">
      <c r="A1122" s="36" t="s">
        <v>215</v>
      </c>
      <c r="B1122" s="36">
        <v>1.0</v>
      </c>
      <c r="C1122" s="36">
        <v>2.0</v>
      </c>
      <c r="D1122" s="36">
        <v>3.0</v>
      </c>
      <c r="E1122" s="36">
        <v>4.0</v>
      </c>
      <c r="F1122" s="36">
        <v>5.0</v>
      </c>
      <c r="G1122" s="36">
        <v>6.0</v>
      </c>
      <c r="H1122" s="36">
        <v>7.0</v>
      </c>
      <c r="I1122" s="36">
        <v>8.0</v>
      </c>
      <c r="J1122" s="36">
        <v>9.0</v>
      </c>
      <c r="K1122" s="36">
        <v>10.0</v>
      </c>
      <c r="L1122" s="36">
        <v>11.0</v>
      </c>
      <c r="M1122" s="36">
        <v>12.0</v>
      </c>
      <c r="N1122" s="36">
        <v>13.0</v>
      </c>
      <c r="O1122" s="36">
        <v>14.0</v>
      </c>
      <c r="P1122" s="36">
        <v>15.0</v>
      </c>
      <c r="Q1122" s="36">
        <v>16.0</v>
      </c>
      <c r="R1122" s="36">
        <v>17.0</v>
      </c>
      <c r="S1122" s="36">
        <v>18.0</v>
      </c>
      <c r="T1122" s="36">
        <v>19.0</v>
      </c>
      <c r="U1122" s="36">
        <v>20.0</v>
      </c>
      <c r="V1122" s="36">
        <v>21.0</v>
      </c>
      <c r="W1122" s="36">
        <v>22.0</v>
      </c>
      <c r="X1122" s="36">
        <v>23.0</v>
      </c>
      <c r="Y1122" s="36">
        <v>24.0</v>
      </c>
      <c r="Z1122" s="36">
        <v>25.0</v>
      </c>
      <c r="AA1122" s="36">
        <v>26.0</v>
      </c>
      <c r="AB1122" s="36">
        <v>27.0</v>
      </c>
      <c r="AC1122" s="36">
        <v>28.0</v>
      </c>
      <c r="AD1122" s="36">
        <v>29.0</v>
      </c>
      <c r="AE1122" s="36">
        <v>30.0</v>
      </c>
      <c r="AF1122" s="36"/>
      <c r="AG1122" s="36"/>
      <c r="AH1122" s="36"/>
      <c r="AI1122" s="36"/>
      <c r="AJ1122" s="36"/>
    </row>
    <row r="1123" ht="15.75" customHeight="1">
      <c r="A1123" s="12" t="s">
        <v>217</v>
      </c>
      <c r="B1123" s="12">
        <v>200.0</v>
      </c>
      <c r="C1123" s="12">
        <v>200.0</v>
      </c>
      <c r="D1123" s="12">
        <v>50.0</v>
      </c>
      <c r="E1123" s="12">
        <v>50.0</v>
      </c>
      <c r="F1123" s="12">
        <v>50.0</v>
      </c>
      <c r="G1123" s="12">
        <v>50.0</v>
      </c>
      <c r="H1123" s="12">
        <v>50.0</v>
      </c>
      <c r="I1123" s="12">
        <v>50.0</v>
      </c>
      <c r="J1123" s="12">
        <v>50.0</v>
      </c>
      <c r="K1123" s="12">
        <v>50.0</v>
      </c>
      <c r="L1123" s="12">
        <v>50.0</v>
      </c>
      <c r="M1123" s="12">
        <v>50.0</v>
      </c>
      <c r="N1123" s="12">
        <v>50.0</v>
      </c>
      <c r="O1123" s="12">
        <v>50.0</v>
      </c>
      <c r="P1123" s="12">
        <v>50.0</v>
      </c>
      <c r="Q1123" s="12">
        <v>50.0</v>
      </c>
      <c r="R1123" s="12">
        <v>50.0</v>
      </c>
      <c r="S1123" s="12">
        <v>50.0</v>
      </c>
      <c r="T1123" s="12">
        <v>50.0</v>
      </c>
      <c r="U1123" s="12">
        <v>50.0</v>
      </c>
      <c r="V1123" s="12">
        <v>50.0</v>
      </c>
      <c r="W1123" s="12">
        <v>50.0</v>
      </c>
      <c r="X1123" s="12">
        <v>50.0</v>
      </c>
      <c r="Y1123" s="12">
        <v>50.0</v>
      </c>
      <c r="Z1123" s="12">
        <v>50.0</v>
      </c>
      <c r="AA1123" s="12">
        <v>50.0</v>
      </c>
      <c r="AB1123" s="12">
        <v>50.0</v>
      </c>
      <c r="AC1123" s="12">
        <v>50.0</v>
      </c>
      <c r="AD1123" s="12">
        <v>50.0</v>
      </c>
      <c r="AE1123" s="12">
        <v>50.0</v>
      </c>
      <c r="AF1123" s="36"/>
      <c r="AG1123" s="36"/>
      <c r="AH1123" s="36"/>
      <c r="AI1123" s="36"/>
      <c r="AJ1123" s="36"/>
    </row>
    <row r="1124" ht="15.75" customHeight="1">
      <c r="A1124" s="12" t="s">
        <v>218</v>
      </c>
      <c r="B1124" s="121">
        <v>0.0</v>
      </c>
      <c r="C1124" s="121">
        <v>0.0</v>
      </c>
      <c r="D1124" s="121">
        <v>0.0</v>
      </c>
      <c r="E1124" s="121">
        <v>0.0</v>
      </c>
      <c r="F1124" s="121">
        <v>0.0</v>
      </c>
      <c r="G1124" s="121">
        <v>0.0</v>
      </c>
      <c r="H1124" s="121">
        <v>0.0</v>
      </c>
      <c r="I1124" s="121">
        <v>0.0</v>
      </c>
      <c r="J1124" s="121">
        <v>0.0</v>
      </c>
      <c r="K1124" s="121">
        <v>0.0</v>
      </c>
      <c r="L1124" s="121">
        <v>0.0</v>
      </c>
      <c r="M1124" s="121">
        <v>0.0</v>
      </c>
      <c r="N1124" s="121">
        <v>0.0</v>
      </c>
      <c r="O1124" s="121">
        <v>0.0</v>
      </c>
      <c r="P1124" s="121">
        <v>0.0</v>
      </c>
      <c r="Q1124" s="121">
        <v>0.0</v>
      </c>
      <c r="R1124" s="121">
        <v>0.0</v>
      </c>
      <c r="S1124" s="121">
        <v>0.0</v>
      </c>
      <c r="T1124" s="121">
        <v>0.0</v>
      </c>
      <c r="U1124" s="121">
        <v>0.0</v>
      </c>
      <c r="V1124" s="121">
        <v>0.0</v>
      </c>
      <c r="W1124" s="121">
        <v>0.0</v>
      </c>
      <c r="X1124" s="121">
        <v>0.0</v>
      </c>
      <c r="Y1124" s="121">
        <v>0.0</v>
      </c>
      <c r="Z1124" s="121">
        <v>0.0</v>
      </c>
      <c r="AA1124" s="121">
        <v>0.0</v>
      </c>
      <c r="AB1124" s="121">
        <v>0.0</v>
      </c>
      <c r="AC1124" s="121">
        <v>0.0</v>
      </c>
      <c r="AD1124" s="121">
        <v>0.0</v>
      </c>
      <c r="AE1124" s="121">
        <v>0.0</v>
      </c>
      <c r="AF1124" s="36"/>
      <c r="AG1124" s="36"/>
      <c r="AH1124" s="36"/>
      <c r="AI1124" s="36"/>
      <c r="AJ1124" s="36"/>
    </row>
    <row r="1125" ht="15.75" customHeight="1">
      <c r="A1125" s="12"/>
      <c r="B1125" s="390"/>
      <c r="C1125" s="390"/>
      <c r="D1125" s="390"/>
      <c r="E1125" s="121"/>
      <c r="F1125" s="121"/>
      <c r="G1125" s="121"/>
      <c r="H1125" s="121"/>
      <c r="I1125" s="121"/>
      <c r="J1125" s="121"/>
      <c r="K1125" s="121"/>
      <c r="L1125" s="121"/>
      <c r="M1125" s="121"/>
      <c r="N1125" s="121"/>
      <c r="O1125" s="121"/>
      <c r="P1125" s="121"/>
      <c r="Q1125" s="121"/>
      <c r="R1125" s="121"/>
      <c r="S1125" s="121"/>
      <c r="T1125" s="121"/>
      <c r="U1125" s="121"/>
      <c r="V1125" s="121"/>
      <c r="W1125" s="121"/>
      <c r="X1125" s="121"/>
      <c r="Y1125" s="121"/>
      <c r="Z1125" s="121"/>
      <c r="AA1125" s="121"/>
      <c r="AB1125" s="121"/>
      <c r="AC1125" s="121"/>
      <c r="AD1125" s="121"/>
      <c r="AE1125" s="121"/>
      <c r="AF1125" s="36"/>
      <c r="AG1125" s="36"/>
      <c r="AH1125" s="36"/>
      <c r="AI1125" s="36"/>
      <c r="AJ1125" s="36"/>
    </row>
    <row r="1126" ht="15.75" customHeight="1">
      <c r="A1126" s="357" t="s">
        <v>1539</v>
      </c>
      <c r="B1126" s="390"/>
      <c r="C1126" s="390"/>
      <c r="D1126" s="390"/>
      <c r="E1126" s="121"/>
      <c r="F1126" s="121"/>
      <c r="G1126" s="121"/>
      <c r="H1126" s="121"/>
      <c r="I1126" s="121"/>
      <c r="J1126" s="121"/>
      <c r="K1126" s="121"/>
      <c r="L1126" s="121"/>
      <c r="M1126" s="121"/>
      <c r="N1126" s="121"/>
      <c r="O1126" s="121"/>
      <c r="P1126" s="121"/>
      <c r="Q1126" s="121"/>
      <c r="R1126" s="121"/>
      <c r="S1126" s="121"/>
      <c r="T1126" s="121"/>
      <c r="U1126" s="121"/>
      <c r="V1126" s="121"/>
      <c r="W1126" s="121"/>
      <c r="X1126" s="121"/>
      <c r="Y1126" s="121"/>
      <c r="Z1126" s="121"/>
      <c r="AA1126" s="121"/>
      <c r="AB1126" s="121"/>
      <c r="AC1126" s="121"/>
      <c r="AD1126" s="121"/>
      <c r="AE1126" s="121"/>
      <c r="AF1126" s="36"/>
      <c r="AG1126" s="36"/>
      <c r="AH1126" s="36"/>
      <c r="AI1126" s="36"/>
      <c r="AJ1126" s="36"/>
    </row>
    <row r="1127" ht="15.75" customHeight="1">
      <c r="A1127" s="12"/>
      <c r="B1127" s="390"/>
      <c r="C1127" s="390"/>
      <c r="D1127" s="390"/>
      <c r="E1127" s="121"/>
      <c r="F1127" s="121"/>
      <c r="G1127" s="121"/>
      <c r="H1127" s="121"/>
      <c r="I1127" s="121"/>
      <c r="J1127" s="121"/>
      <c r="K1127" s="121"/>
      <c r="L1127" s="121"/>
      <c r="M1127" s="121"/>
      <c r="N1127" s="121"/>
      <c r="O1127" s="121"/>
      <c r="P1127" s="121"/>
      <c r="Q1127" s="121"/>
      <c r="R1127" s="121"/>
      <c r="S1127" s="121"/>
      <c r="T1127" s="121"/>
      <c r="U1127" s="121"/>
      <c r="V1127" s="121"/>
      <c r="W1127" s="121"/>
      <c r="X1127" s="121"/>
      <c r="Y1127" s="121"/>
      <c r="Z1127" s="121"/>
      <c r="AA1127" s="121"/>
      <c r="AB1127" s="121"/>
      <c r="AC1127" s="121"/>
      <c r="AD1127" s="121"/>
      <c r="AE1127" s="121"/>
      <c r="AF1127" s="36"/>
      <c r="AG1127" s="36"/>
      <c r="AH1127" s="36"/>
      <c r="AI1127" s="36"/>
      <c r="AJ1127" s="36"/>
    </row>
    <row r="1128" ht="15.75" customHeight="1">
      <c r="A1128" s="36" t="s">
        <v>215</v>
      </c>
      <c r="B1128" s="36">
        <v>1.0</v>
      </c>
      <c r="C1128" s="36">
        <v>2.0</v>
      </c>
      <c r="D1128" s="36">
        <v>3.0</v>
      </c>
      <c r="E1128" s="36">
        <v>4.0</v>
      </c>
      <c r="F1128" s="36">
        <v>5.0</v>
      </c>
      <c r="G1128" s="36">
        <v>6.0</v>
      </c>
      <c r="H1128" s="36">
        <v>7.0</v>
      </c>
      <c r="I1128" s="36">
        <v>8.0</v>
      </c>
      <c r="J1128" s="36">
        <v>9.0</v>
      </c>
      <c r="K1128" s="36">
        <v>10.0</v>
      </c>
      <c r="L1128" s="36">
        <v>11.0</v>
      </c>
      <c r="M1128" s="36">
        <v>12.0</v>
      </c>
      <c r="N1128" s="36">
        <v>13.0</v>
      </c>
      <c r="O1128" s="36">
        <v>14.0</v>
      </c>
      <c r="P1128" s="36">
        <v>15.0</v>
      </c>
      <c r="Q1128" s="36">
        <v>16.0</v>
      </c>
      <c r="R1128" s="36">
        <v>17.0</v>
      </c>
      <c r="S1128" s="36">
        <v>18.0</v>
      </c>
      <c r="T1128" s="36">
        <v>19.0</v>
      </c>
      <c r="U1128" s="36">
        <v>20.0</v>
      </c>
      <c r="V1128" s="36">
        <v>21.0</v>
      </c>
      <c r="W1128" s="36">
        <v>22.0</v>
      </c>
      <c r="X1128" s="36">
        <v>23.0</v>
      </c>
      <c r="Y1128" s="36">
        <v>24.0</v>
      </c>
      <c r="Z1128" s="36">
        <v>25.0</v>
      </c>
      <c r="AA1128" s="36">
        <v>26.0</v>
      </c>
      <c r="AB1128" s="36">
        <v>27.0</v>
      </c>
      <c r="AC1128" s="36">
        <v>28.0</v>
      </c>
      <c r="AD1128" s="36">
        <v>29.0</v>
      </c>
      <c r="AE1128" s="36">
        <v>30.0</v>
      </c>
      <c r="AF1128" s="36"/>
      <c r="AG1128" s="36"/>
      <c r="AH1128" s="36"/>
      <c r="AI1128" s="36"/>
      <c r="AJ1128" s="36"/>
    </row>
    <row r="1129" ht="15.75" customHeight="1">
      <c r="A1129" s="12" t="s">
        <v>217</v>
      </c>
      <c r="B1129" s="12">
        <v>0.0</v>
      </c>
      <c r="C1129" s="12">
        <v>0.0</v>
      </c>
      <c r="D1129" s="12">
        <v>0.0</v>
      </c>
      <c r="E1129" s="12">
        <v>0.0</v>
      </c>
      <c r="F1129" s="12">
        <v>0.0</v>
      </c>
      <c r="G1129" s="12">
        <v>0.0</v>
      </c>
      <c r="H1129" s="12">
        <v>0.0</v>
      </c>
      <c r="I1129" s="12">
        <v>0.0</v>
      </c>
      <c r="J1129" s="12">
        <v>0.0</v>
      </c>
      <c r="K1129" s="12">
        <v>0.0</v>
      </c>
      <c r="L1129" s="12">
        <v>0.0</v>
      </c>
      <c r="M1129" s="12">
        <v>0.0</v>
      </c>
      <c r="N1129" s="12">
        <v>0.0</v>
      </c>
      <c r="O1129" s="12">
        <v>0.0</v>
      </c>
      <c r="P1129" s="12">
        <v>0.0</v>
      </c>
      <c r="Q1129" s="12">
        <v>0.0</v>
      </c>
      <c r="R1129" s="12">
        <v>0.0</v>
      </c>
      <c r="S1129" s="12">
        <v>0.0</v>
      </c>
      <c r="T1129" s="12">
        <v>0.0</v>
      </c>
      <c r="U1129" s="12">
        <v>0.0</v>
      </c>
      <c r="V1129" s="12">
        <v>0.0</v>
      </c>
      <c r="W1129" s="12">
        <v>0.0</v>
      </c>
      <c r="X1129" s="12">
        <v>0.0</v>
      </c>
      <c r="Y1129" s="12">
        <v>0.0</v>
      </c>
      <c r="Z1129" s="12">
        <v>0.0</v>
      </c>
      <c r="AA1129" s="12">
        <v>0.0</v>
      </c>
      <c r="AB1129" s="12">
        <v>0.0</v>
      </c>
      <c r="AC1129" s="12">
        <v>0.0</v>
      </c>
      <c r="AD1129" s="12">
        <v>0.0</v>
      </c>
      <c r="AE1129" s="12">
        <v>0.0</v>
      </c>
      <c r="AF1129" s="36"/>
      <c r="AG1129" s="36"/>
      <c r="AH1129" s="36"/>
      <c r="AI1129" s="36"/>
      <c r="AJ1129" s="36"/>
    </row>
    <row r="1130" ht="15.75" customHeight="1">
      <c r="A1130" s="12" t="s">
        <v>218</v>
      </c>
      <c r="B1130" s="194">
        <f>IF(Mod_Prem&lt;50000,1.3%,IF(AND(Mod_Prem&gt;=50000,Mod_Prem&lt;100000),1.2%,IF(Mod_Prem&gt;=100000,1.1%)))</f>
        <v>0.011</v>
      </c>
      <c r="C1130" s="194">
        <f>IF(Mod_Prem&lt;50000,0.55%,IF(AND(Mod_Prem&gt;=50000,Mod_Prem&lt;100000),0.45%,IF(Mod_Prem&gt;=100000,0.35%)))</f>
        <v>0.0035</v>
      </c>
      <c r="D1130" s="194">
        <f>IF(Mod_Prem&lt;50000,0.55%,IF(AND(Mod_Prem&gt;=50000,Mod_Prem&lt;100000),0.45%,IF(Mod_Prem&gt;=100000,0.35%)))</f>
        <v>0.0035</v>
      </c>
      <c r="E1130" s="194">
        <f>IF(Mod_Prem&lt;50000,0.55%,IF(AND(Mod_Prem&gt;=50000,Mod_Prem&lt;100000),0.45%,IF(Mod_Prem&gt;=100000,0.35%)))</f>
        <v>0.0035</v>
      </c>
      <c r="F1130" s="194">
        <f>IF(Mod_Prem&lt;50000,0.55%,IF(AND(Mod_Prem&gt;=50000,Mod_Prem&lt;100000),0.45%,IF(Mod_Prem&gt;=100000,0.35%)))</f>
        <v>0.0035</v>
      </c>
      <c r="G1130" s="194">
        <f>IF(Mod_Prem&lt;50000,0.55%,IF(AND(Mod_Prem&gt;=50000,Mod_Prem&lt;100000),0.45%,IF(Mod_Prem&gt;=100000,0.35%)))</f>
        <v>0.0035</v>
      </c>
      <c r="H1130" s="194">
        <f>IF(Mod_Prem&lt;50000,0.55%,IF(AND(Mod_Prem&gt;=50000,Mod_Prem&lt;100000),0.45%,IF(Mod_Prem&gt;=100000,0.35%)))</f>
        <v>0.0035</v>
      </c>
      <c r="I1130" s="194">
        <f>IF(Mod_Prem&lt;50000,0.55%,IF(AND(Mod_Prem&gt;=50000,Mod_Prem&lt;100000),0.45%,IF(Mod_Prem&gt;=100000,0.35%)))</f>
        <v>0.0035</v>
      </c>
      <c r="J1130" s="194">
        <f>IF(Mod_Prem&lt;50000,0.55%,IF(AND(Mod_Prem&gt;=50000,Mod_Prem&lt;100000),0.45%,IF(Mod_Prem&gt;=100000,0.35%)))</f>
        <v>0.0035</v>
      </c>
      <c r="K1130" s="194">
        <f>IF(Mod_Prem&lt;50000,0.55%,IF(AND(Mod_Prem&gt;=50000,Mod_Prem&lt;100000),0.45%,IF(Mod_Prem&gt;=100000,0.35%)))</f>
        <v>0.0035</v>
      </c>
      <c r="L1130" s="194">
        <f>IF(Mod_Prem&lt;50000,0.55%,IF(AND(Mod_Prem&gt;=50000,Mod_Prem&lt;100000),0.45%,IF(Mod_Prem&gt;=100000,0.35%)))</f>
        <v>0.0035</v>
      </c>
      <c r="M1130" s="194">
        <f>IF(Mod_Prem&lt;50000,0.55%,IF(AND(Mod_Prem&gt;=50000,Mod_Prem&lt;100000),0.45%,IF(Mod_Prem&gt;=100000,0.35%)))</f>
        <v>0.0035</v>
      </c>
      <c r="N1130" s="194">
        <f>IF(Mod_Prem&lt;50000,0.55%,IF(AND(Mod_Prem&gt;=50000,Mod_Prem&lt;100000),0.45%,IF(Mod_Prem&gt;=100000,0.35%)))</f>
        <v>0.0035</v>
      </c>
      <c r="O1130" s="194">
        <f>IF(Mod_Prem&lt;50000,0.55%,IF(AND(Mod_Prem&gt;=50000,Mod_Prem&lt;100000),0.45%,IF(Mod_Prem&gt;=100000,0.35%)))</f>
        <v>0.0035</v>
      </c>
      <c r="P1130" s="194">
        <f>IF(Mod_Prem&lt;50000,0.55%,IF(AND(Mod_Prem&gt;=50000,Mod_Prem&lt;100000),0.45%,IF(Mod_Prem&gt;=100000,0.35%)))</f>
        <v>0.0035</v>
      </c>
      <c r="Q1130" s="194">
        <f>IF(Mod_Prem&lt;50000,0.55%,IF(AND(Mod_Prem&gt;=50000,Mod_Prem&lt;100000),0.45%,IF(Mod_Prem&gt;=100000,0.35%)))</f>
        <v>0.0035</v>
      </c>
      <c r="R1130" s="194">
        <f>IF(Mod_Prem&lt;50000,0.55%,IF(AND(Mod_Prem&gt;=50000,Mod_Prem&lt;100000),0.45%,IF(Mod_Prem&gt;=100000,0.35%)))</f>
        <v>0.0035</v>
      </c>
      <c r="S1130" s="194">
        <f>IF(Mod_Prem&lt;50000,0.55%,IF(AND(Mod_Prem&gt;=50000,Mod_Prem&lt;100000),0.45%,IF(Mod_Prem&gt;=100000,0.35%)))</f>
        <v>0.0035</v>
      </c>
      <c r="T1130" s="194">
        <f>IF(Mod_Prem&lt;50000,0.55%,IF(AND(Mod_Prem&gt;=50000,Mod_Prem&lt;100000),0.45%,IF(Mod_Prem&gt;=100000,0.35%)))</f>
        <v>0.0035</v>
      </c>
      <c r="U1130" s="194">
        <f>IF(Mod_Prem&lt;50000,0.55%,IF(AND(Mod_Prem&gt;=50000,Mod_Prem&lt;100000),0.45%,IF(Mod_Prem&gt;=100000,0.35%)))</f>
        <v>0.0035</v>
      </c>
      <c r="V1130" s="194">
        <f>IF(Mod_Prem&lt;50000,0.55%,IF(AND(Mod_Prem&gt;=50000,Mod_Prem&lt;100000),0.45%,IF(Mod_Prem&gt;=100000,0.35%)))</f>
        <v>0.0035</v>
      </c>
      <c r="W1130" s="194">
        <f>IF(Mod_Prem&lt;50000,0.55%,IF(AND(Mod_Prem&gt;=50000,Mod_Prem&lt;100000),0.45%,IF(Mod_Prem&gt;=100000,0.35%)))</f>
        <v>0.0035</v>
      </c>
      <c r="X1130" s="194">
        <f>IF(Mod_Prem&lt;50000,0.55%,IF(AND(Mod_Prem&gt;=50000,Mod_Prem&lt;100000),0.45%,IF(Mod_Prem&gt;=100000,0.35%)))</f>
        <v>0.0035</v>
      </c>
      <c r="Y1130" s="194">
        <f>IF(Mod_Prem&lt;50000,0.55%,IF(AND(Mod_Prem&gt;=50000,Mod_Prem&lt;100000),0.45%,IF(Mod_Prem&gt;=100000,0.35%)))</f>
        <v>0.0035</v>
      </c>
      <c r="Z1130" s="194">
        <f>IF(Mod_Prem&lt;50000,0.55%,IF(AND(Mod_Prem&gt;=50000,Mod_Prem&lt;100000),0.45%,IF(Mod_Prem&gt;=100000,0.35%)))</f>
        <v>0.0035</v>
      </c>
      <c r="AA1130" s="194">
        <f>IF(Mod_Prem&lt;50000,0.55%,IF(AND(Mod_Prem&gt;=50000,Mod_Prem&lt;100000),0.45%,IF(Mod_Prem&gt;=100000,0.35%)))</f>
        <v>0.0035</v>
      </c>
      <c r="AB1130" s="194">
        <f>IF(Mod_Prem&lt;50000,0.55%,IF(AND(Mod_Prem&gt;=50000,Mod_Prem&lt;100000),0.45%,IF(Mod_Prem&gt;=100000,0.35%)))</f>
        <v>0.0035</v>
      </c>
      <c r="AC1130" s="194">
        <f>IF(Mod_Prem&lt;50000,0.55%,IF(AND(Mod_Prem&gt;=50000,Mod_Prem&lt;100000),0.45%,IF(Mod_Prem&gt;=100000,0.35%)))</f>
        <v>0.0035</v>
      </c>
      <c r="AD1130" s="194">
        <f>IF(Mod_Prem&lt;50000,0.55%,IF(AND(Mod_Prem&gt;=50000,Mod_Prem&lt;100000),0.45%,IF(Mod_Prem&gt;=100000,0.35%)))</f>
        <v>0.0035</v>
      </c>
      <c r="AE1130" s="194">
        <f>IF(Mod_Prem&lt;50000,0.55%,IF(AND(Mod_Prem&gt;=50000,Mod_Prem&lt;100000),0.45%,IF(Mod_Prem&gt;=100000,0.35%)))</f>
        <v>0.0035</v>
      </c>
      <c r="AF1130" s="36"/>
      <c r="AG1130" s="36"/>
      <c r="AH1130" s="36"/>
      <c r="AI1130" s="36"/>
      <c r="AJ1130" s="36"/>
    </row>
    <row r="1131" ht="15.75" customHeight="1">
      <c r="A1131" s="12"/>
      <c r="B1131" s="390"/>
      <c r="C1131" s="390"/>
      <c r="D1131" s="390"/>
      <c r="E1131" s="121"/>
      <c r="F1131" s="121"/>
      <c r="G1131" s="121"/>
      <c r="H1131" s="121"/>
      <c r="I1131" s="121"/>
      <c r="J1131" s="121"/>
      <c r="K1131" s="121"/>
      <c r="L1131" s="121"/>
      <c r="M1131" s="121"/>
      <c r="N1131" s="121"/>
      <c r="O1131" s="121"/>
      <c r="P1131" s="121"/>
      <c r="Q1131" s="121"/>
      <c r="R1131" s="121"/>
      <c r="S1131" s="121"/>
      <c r="T1131" s="121"/>
      <c r="U1131" s="121"/>
      <c r="V1131" s="121"/>
      <c r="W1131" s="121"/>
      <c r="X1131" s="121"/>
      <c r="Y1131" s="121"/>
      <c r="Z1131" s="121"/>
      <c r="AA1131" s="121"/>
      <c r="AB1131" s="121"/>
      <c r="AC1131" s="121"/>
      <c r="AD1131" s="121"/>
      <c r="AE1131" s="121"/>
      <c r="AF1131" s="36"/>
      <c r="AG1131" s="36"/>
      <c r="AH1131" s="36"/>
      <c r="AI1131" s="36"/>
      <c r="AJ1131" s="36"/>
    </row>
    <row r="1132" ht="15.75" customHeight="1">
      <c r="A1132" s="357" t="s">
        <v>1543</v>
      </c>
      <c r="B1132" s="390"/>
      <c r="C1132" s="390"/>
      <c r="D1132" s="390"/>
      <c r="E1132" s="121"/>
      <c r="F1132" s="121"/>
      <c r="G1132" s="121"/>
      <c r="H1132" s="121"/>
      <c r="I1132" s="121"/>
      <c r="J1132" s="121"/>
      <c r="K1132" s="121"/>
      <c r="L1132" s="121"/>
      <c r="M1132" s="121"/>
      <c r="N1132" s="121"/>
      <c r="O1132" s="121"/>
      <c r="P1132" s="121"/>
      <c r="Q1132" s="121"/>
      <c r="R1132" s="121"/>
      <c r="S1132" s="121"/>
      <c r="T1132" s="121"/>
      <c r="U1132" s="121"/>
      <c r="V1132" s="121"/>
      <c r="W1132" s="121"/>
      <c r="X1132" s="121"/>
      <c r="Y1132" s="121"/>
      <c r="Z1132" s="121"/>
      <c r="AA1132" s="121"/>
      <c r="AB1132" s="121"/>
      <c r="AC1132" s="121"/>
      <c r="AD1132" s="121"/>
      <c r="AE1132" s="121"/>
      <c r="AF1132" s="36"/>
      <c r="AG1132" s="36"/>
      <c r="AH1132" s="36"/>
      <c r="AI1132" s="36"/>
      <c r="AJ1132" s="36"/>
    </row>
    <row r="1133" ht="15.75" customHeight="1">
      <c r="A1133" s="12"/>
      <c r="B1133" s="390"/>
      <c r="C1133" s="390"/>
      <c r="D1133" s="390"/>
      <c r="E1133" s="121"/>
      <c r="F1133" s="121"/>
      <c r="G1133" s="121"/>
      <c r="H1133" s="121"/>
      <c r="I1133" s="121"/>
      <c r="J1133" s="121"/>
      <c r="K1133" s="121"/>
      <c r="L1133" s="121"/>
      <c r="M1133" s="121"/>
      <c r="N1133" s="121"/>
      <c r="O1133" s="121"/>
      <c r="P1133" s="121"/>
      <c r="Q1133" s="121"/>
      <c r="R1133" s="121"/>
      <c r="S1133" s="121"/>
      <c r="T1133" s="121"/>
      <c r="U1133" s="121"/>
      <c r="V1133" s="121"/>
      <c r="W1133" s="121"/>
      <c r="X1133" s="121"/>
      <c r="Y1133" s="121"/>
      <c r="Z1133" s="121"/>
      <c r="AA1133" s="121"/>
      <c r="AB1133" s="121"/>
      <c r="AC1133" s="121"/>
      <c r="AD1133" s="121"/>
      <c r="AE1133" s="121"/>
      <c r="AF1133" s="36"/>
      <c r="AG1133" s="36"/>
      <c r="AH1133" s="36"/>
      <c r="AI1133" s="36"/>
      <c r="AJ1133" s="36"/>
    </row>
    <row r="1134" ht="15.75" customHeight="1">
      <c r="A1134" s="36" t="s">
        <v>215</v>
      </c>
      <c r="B1134" s="36">
        <v>1.0</v>
      </c>
      <c r="C1134" s="36">
        <v>2.0</v>
      </c>
      <c r="D1134" s="36">
        <v>3.0</v>
      </c>
      <c r="E1134" s="36">
        <v>4.0</v>
      </c>
      <c r="F1134" s="36">
        <v>5.0</v>
      </c>
      <c r="G1134" s="36">
        <v>6.0</v>
      </c>
      <c r="H1134" s="36">
        <v>7.0</v>
      </c>
      <c r="I1134" s="36">
        <v>8.0</v>
      </c>
      <c r="J1134" s="36">
        <v>9.0</v>
      </c>
      <c r="K1134" s="36">
        <v>10.0</v>
      </c>
      <c r="L1134" s="36">
        <v>11.0</v>
      </c>
      <c r="M1134" s="36">
        <v>12.0</v>
      </c>
      <c r="N1134" s="36">
        <v>13.0</v>
      </c>
      <c r="O1134" s="36">
        <v>14.0</v>
      </c>
      <c r="P1134" s="36">
        <v>15.0</v>
      </c>
      <c r="Q1134" s="36">
        <v>16.0</v>
      </c>
      <c r="R1134" s="36">
        <v>17.0</v>
      </c>
      <c r="S1134" s="36">
        <v>18.0</v>
      </c>
      <c r="T1134" s="36">
        <v>19.0</v>
      </c>
      <c r="U1134" s="36">
        <v>20.0</v>
      </c>
      <c r="V1134" s="36">
        <v>21.0</v>
      </c>
      <c r="W1134" s="36">
        <v>22.0</v>
      </c>
      <c r="X1134" s="36">
        <v>23.0</v>
      </c>
      <c r="Y1134" s="36">
        <v>24.0</v>
      </c>
      <c r="Z1134" s="36">
        <v>25.0</v>
      </c>
      <c r="AA1134" s="36">
        <v>26.0</v>
      </c>
      <c r="AB1134" s="36">
        <v>27.0</v>
      </c>
      <c r="AC1134" s="36">
        <v>28.0</v>
      </c>
      <c r="AD1134" s="36">
        <v>29.0</v>
      </c>
      <c r="AE1134" s="36">
        <v>30.0</v>
      </c>
      <c r="AF1134" s="36"/>
      <c r="AG1134" s="36"/>
      <c r="AH1134" s="36"/>
      <c r="AI1134" s="36"/>
      <c r="AJ1134" s="36"/>
    </row>
    <row r="1135" ht="15.75" customHeight="1">
      <c r="A1135" s="12" t="s">
        <v>217</v>
      </c>
      <c r="B1135" s="12">
        <f>IF(AND(Mod_Prem&gt;=20000,Mod_Prem&lt;30000),70,IF(AND(Mod_Prem&gt;=30000,Mod_Prem&lt;50000),100,IF(Mod_Prem&gt;=50000,150)))</f>
        <v>150</v>
      </c>
      <c r="C1135" s="12">
        <f>IF(AND(Mod_Prem&gt;=20000,Mod_Prem&lt;30000),70,IF(AND(Mod_Prem&gt;=30000,Mod_Prem&lt;50000),100,IF(Mod_Prem&gt;=50000,150)))</f>
        <v>150</v>
      </c>
      <c r="D1135" s="12">
        <f>IF(AND(Mod_Prem&gt;=20000,Mod_Prem&lt;30000),70,IF(AND(Mod_Prem&gt;=30000,Mod_Prem&lt;50000),100,IF(Mod_Prem&gt;=50000,150)))</f>
        <v>150</v>
      </c>
      <c r="E1135" s="12">
        <f>IF(AND(Mod_Prem&gt;=20000,Mod_Prem&lt;30000),70,IF(AND(Mod_Prem&gt;=30000,Mod_Prem&lt;50000),100,IF(Mod_Prem&gt;=50000,150)))</f>
        <v>150</v>
      </c>
      <c r="F1135" s="12">
        <f>IF(AND(Mod_Prem&gt;=20000,Mod_Prem&lt;30000),70,IF(AND(Mod_Prem&gt;=30000,Mod_Prem&lt;50000),100,IF(Mod_Prem&gt;=50000,150)))</f>
        <v>150</v>
      </c>
      <c r="G1135" s="12">
        <f>IF(AND(Mod_Prem&gt;=20000,Mod_Prem&lt;30000),70,IF(AND(Mod_Prem&gt;=30000,Mod_Prem&lt;50000),100,IF(Mod_Prem&gt;=50000,150)))</f>
        <v>150</v>
      </c>
      <c r="H1135" s="12">
        <f>IF(AND(Mod_Prem&gt;=20000,Mod_Prem&lt;30000),70,IF(AND(Mod_Prem&gt;=30000,Mod_Prem&lt;50000),100,IF(Mod_Prem&gt;=50000,150)))</f>
        <v>150</v>
      </c>
      <c r="I1135" s="12">
        <f>IF(AND(Mod_Prem&gt;=20000,Mod_Prem&lt;30000),70,IF(AND(Mod_Prem&gt;=30000,Mod_Prem&lt;50000),100,IF(Mod_Prem&gt;=50000,150)))</f>
        <v>150</v>
      </c>
      <c r="J1135" s="12">
        <f>IF(AND(Mod_Prem&gt;=20000,Mod_Prem&lt;30000),70,IF(AND(Mod_Prem&gt;=30000,Mod_Prem&lt;50000),100,IF(Mod_Prem&gt;=50000,150)))</f>
        <v>150</v>
      </c>
      <c r="K1135" s="12">
        <f>IF(AND(Mod_Prem&gt;=20000,Mod_Prem&lt;30000),70,IF(AND(Mod_Prem&gt;=30000,Mod_Prem&lt;50000),100,IF(Mod_Prem&gt;=50000,150)))</f>
        <v>150</v>
      </c>
      <c r="L1135" s="12">
        <f>IF(AND(Mod_Prem&gt;=20000,Mod_Prem&lt;30000),70,IF(AND(Mod_Prem&gt;=30000,Mod_Prem&lt;50000),100,IF(Mod_Prem&gt;=50000,150)))</f>
        <v>150</v>
      </c>
      <c r="M1135" s="12">
        <f>IF(AND(Mod_Prem&gt;=20000,Mod_Prem&lt;30000),70,IF(AND(Mod_Prem&gt;=30000,Mod_Prem&lt;50000),100,IF(Mod_Prem&gt;=50000,150)))</f>
        <v>150</v>
      </c>
      <c r="N1135" s="12">
        <f>IF(AND(Mod_Prem&gt;=20000,Mod_Prem&lt;30000),70,IF(AND(Mod_Prem&gt;=30000,Mod_Prem&lt;50000),100,IF(Mod_Prem&gt;=50000,150)))</f>
        <v>150</v>
      </c>
      <c r="O1135" s="12">
        <f>IF(AND(Mod_Prem&gt;=20000,Mod_Prem&lt;30000),70,IF(AND(Mod_Prem&gt;=30000,Mod_Prem&lt;50000),100,IF(Mod_Prem&gt;=50000,150)))</f>
        <v>150</v>
      </c>
      <c r="P1135" s="12">
        <f>IF(AND(Mod_Prem&gt;=20000,Mod_Prem&lt;30000),70,IF(AND(Mod_Prem&gt;=30000,Mod_Prem&lt;50000),100,IF(Mod_Prem&gt;=50000,150)))</f>
        <v>150</v>
      </c>
      <c r="Q1135" s="12">
        <f>IF(AND(Mod_Prem&gt;=20000,Mod_Prem&lt;30000),70,IF(AND(Mod_Prem&gt;=30000,Mod_Prem&lt;50000),100,IF(Mod_Prem&gt;=50000,150)))</f>
        <v>150</v>
      </c>
      <c r="R1135" s="12">
        <f>IF(AND(Mod_Prem&gt;=20000,Mod_Prem&lt;30000),70,IF(AND(Mod_Prem&gt;=30000,Mod_Prem&lt;50000),100,IF(Mod_Prem&gt;=50000,150)))</f>
        <v>150</v>
      </c>
      <c r="S1135" s="12">
        <f>IF(AND(Mod_Prem&gt;=20000,Mod_Prem&lt;30000),70,IF(AND(Mod_Prem&gt;=30000,Mod_Prem&lt;50000),100,IF(Mod_Prem&gt;=50000,150)))</f>
        <v>150</v>
      </c>
      <c r="T1135" s="12">
        <f>IF(AND(Mod_Prem&gt;=20000,Mod_Prem&lt;30000),70,IF(AND(Mod_Prem&gt;=30000,Mod_Prem&lt;50000),100,IF(Mod_Prem&gt;=50000,150)))</f>
        <v>150</v>
      </c>
      <c r="U1135" s="12">
        <f>IF(AND(Mod_Prem&gt;=20000,Mod_Prem&lt;30000),70,IF(AND(Mod_Prem&gt;=30000,Mod_Prem&lt;50000),100,IF(Mod_Prem&gt;=50000,150)))</f>
        <v>150</v>
      </c>
      <c r="V1135" s="12">
        <f>IF(AND(Mod_Prem&gt;=20000,Mod_Prem&lt;30000),70,IF(AND(Mod_Prem&gt;=30000,Mod_Prem&lt;50000),100,IF(Mod_Prem&gt;=50000,150)))</f>
        <v>150</v>
      </c>
      <c r="W1135" s="12">
        <f>IF(AND(Mod_Prem&gt;=20000,Mod_Prem&lt;30000),70,IF(AND(Mod_Prem&gt;=30000,Mod_Prem&lt;50000),100,IF(Mod_Prem&gt;=50000,150)))</f>
        <v>150</v>
      </c>
      <c r="X1135" s="12">
        <f>IF(AND(Mod_Prem&gt;=20000,Mod_Prem&lt;30000),70,IF(AND(Mod_Prem&gt;=30000,Mod_Prem&lt;50000),100,IF(Mod_Prem&gt;=50000,150)))</f>
        <v>150</v>
      </c>
      <c r="Y1135" s="12">
        <f>IF(AND(Mod_Prem&gt;=20000,Mod_Prem&lt;30000),70,IF(AND(Mod_Prem&gt;=30000,Mod_Prem&lt;50000),100,IF(Mod_Prem&gt;=50000,150)))</f>
        <v>150</v>
      </c>
      <c r="Z1135" s="12">
        <f>IF(AND(Mod_Prem&gt;=20000,Mod_Prem&lt;30000),70,IF(AND(Mod_Prem&gt;=30000,Mod_Prem&lt;50000),100,IF(Mod_Prem&gt;=50000,150)))</f>
        <v>150</v>
      </c>
      <c r="AA1135" s="12">
        <f>IF(AND(Mod_Prem&gt;=20000,Mod_Prem&lt;30000),70,IF(AND(Mod_Prem&gt;=30000,Mod_Prem&lt;50000),100,IF(Mod_Prem&gt;=50000,150)))</f>
        <v>150</v>
      </c>
      <c r="AB1135" s="12">
        <f>IF(AND(Mod_Prem&gt;=20000,Mod_Prem&lt;30000),70,IF(AND(Mod_Prem&gt;=30000,Mod_Prem&lt;50000),100,IF(Mod_Prem&gt;=50000,150)))</f>
        <v>150</v>
      </c>
      <c r="AC1135" s="12">
        <f>IF(AND(Mod_Prem&gt;=20000,Mod_Prem&lt;30000),70,IF(AND(Mod_Prem&gt;=30000,Mod_Prem&lt;50000),100,IF(Mod_Prem&gt;=50000,150)))</f>
        <v>150</v>
      </c>
      <c r="AD1135" s="12">
        <f>IF(AND(Mod_Prem&gt;=20000,Mod_Prem&lt;30000),70,IF(AND(Mod_Prem&gt;=30000,Mod_Prem&lt;50000),100,IF(Mod_Prem&gt;=50000,150)))</f>
        <v>150</v>
      </c>
      <c r="AE1135" s="12">
        <f>IF(AND(Mod_Prem&gt;=20000,Mod_Prem&lt;30000),70,IF(AND(Mod_Prem&gt;=30000,Mod_Prem&lt;50000),100,IF(Mod_Prem&gt;=50000,150)))</f>
        <v>150</v>
      </c>
      <c r="AF1135" s="36"/>
      <c r="AG1135" s="36"/>
      <c r="AH1135" s="36"/>
      <c r="AI1135" s="36"/>
      <c r="AJ1135" s="36"/>
    </row>
    <row r="1136" ht="15.75" customHeight="1">
      <c r="A1136" s="12" t="s">
        <v>218</v>
      </c>
      <c r="B1136" s="194">
        <v>0.0</v>
      </c>
      <c r="C1136" s="194">
        <v>0.0</v>
      </c>
      <c r="D1136" s="194">
        <v>0.0</v>
      </c>
      <c r="E1136" s="194">
        <v>0.0</v>
      </c>
      <c r="F1136" s="194">
        <v>0.0</v>
      </c>
      <c r="G1136" s="194">
        <v>0.0</v>
      </c>
      <c r="H1136" s="194">
        <v>0.0</v>
      </c>
      <c r="I1136" s="194">
        <v>0.0</v>
      </c>
      <c r="J1136" s="194">
        <v>0.0</v>
      </c>
      <c r="K1136" s="194">
        <v>0.0</v>
      </c>
      <c r="L1136" s="194">
        <v>0.0</v>
      </c>
      <c r="M1136" s="194">
        <v>0.0</v>
      </c>
      <c r="N1136" s="194">
        <v>0.0</v>
      </c>
      <c r="O1136" s="194">
        <v>0.0</v>
      </c>
      <c r="P1136" s="194">
        <v>0.0</v>
      </c>
      <c r="Q1136" s="194">
        <v>0.0</v>
      </c>
      <c r="R1136" s="194">
        <v>0.0</v>
      </c>
      <c r="S1136" s="194">
        <v>0.0</v>
      </c>
      <c r="T1136" s="194">
        <v>0.0</v>
      </c>
      <c r="U1136" s="194">
        <v>0.0</v>
      </c>
      <c r="V1136" s="194">
        <v>0.0</v>
      </c>
      <c r="W1136" s="194">
        <v>0.0</v>
      </c>
      <c r="X1136" s="194">
        <v>0.0</v>
      </c>
      <c r="Y1136" s="194">
        <v>0.0</v>
      </c>
      <c r="Z1136" s="194">
        <v>0.0</v>
      </c>
      <c r="AA1136" s="194">
        <v>0.0</v>
      </c>
      <c r="AB1136" s="194">
        <v>0.0</v>
      </c>
      <c r="AC1136" s="194">
        <v>0.0</v>
      </c>
      <c r="AD1136" s="194">
        <v>0.0</v>
      </c>
      <c r="AE1136" s="194">
        <v>0.0</v>
      </c>
      <c r="AF1136" s="36"/>
      <c r="AG1136" s="36"/>
      <c r="AH1136" s="36"/>
      <c r="AI1136" s="36"/>
      <c r="AJ1136" s="36"/>
    </row>
    <row r="1137" ht="15.75" customHeight="1">
      <c r="A1137" s="12"/>
      <c r="B1137" s="390"/>
      <c r="C1137" s="390"/>
      <c r="D1137" s="390"/>
      <c r="E1137" s="121"/>
      <c r="F1137" s="121"/>
      <c r="G1137" s="121"/>
      <c r="H1137" s="121"/>
      <c r="I1137" s="121"/>
      <c r="J1137" s="121"/>
      <c r="K1137" s="121"/>
      <c r="L1137" s="121"/>
      <c r="M1137" s="121"/>
      <c r="N1137" s="121"/>
      <c r="O1137" s="121"/>
      <c r="P1137" s="121"/>
      <c r="Q1137" s="121"/>
      <c r="R1137" s="121"/>
      <c r="S1137" s="121"/>
      <c r="T1137" s="121"/>
      <c r="U1137" s="121"/>
      <c r="V1137" s="121"/>
      <c r="W1137" s="121"/>
      <c r="X1137" s="121"/>
      <c r="Y1137" s="121"/>
      <c r="Z1137" s="121"/>
      <c r="AA1137" s="121"/>
      <c r="AB1137" s="121"/>
      <c r="AC1137" s="121"/>
      <c r="AD1137" s="121"/>
      <c r="AE1137" s="121"/>
      <c r="AF1137" s="36"/>
      <c r="AG1137" s="36"/>
      <c r="AH1137" s="36"/>
      <c r="AI1137" s="36"/>
      <c r="AJ1137" s="36"/>
    </row>
    <row r="1138" ht="15.75" customHeight="1">
      <c r="A1138" s="357" t="s">
        <v>1547</v>
      </c>
      <c r="B1138" s="390"/>
      <c r="C1138" s="390"/>
      <c r="D1138" s="390"/>
      <c r="E1138" s="121"/>
      <c r="F1138" s="121"/>
      <c r="G1138" s="121"/>
      <c r="H1138" s="121"/>
      <c r="I1138" s="121"/>
      <c r="J1138" s="121"/>
      <c r="K1138" s="121"/>
      <c r="L1138" s="121"/>
      <c r="M1138" s="121"/>
      <c r="N1138" s="121"/>
      <c r="O1138" s="121"/>
      <c r="P1138" s="121"/>
      <c r="Q1138" s="121"/>
      <c r="R1138" s="121"/>
      <c r="S1138" s="121"/>
      <c r="T1138" s="121"/>
      <c r="U1138" s="121"/>
      <c r="V1138" s="121"/>
      <c r="W1138" s="121"/>
      <c r="X1138" s="121"/>
      <c r="Y1138" s="121"/>
      <c r="Z1138" s="121"/>
      <c r="AA1138" s="121"/>
      <c r="AB1138" s="121"/>
      <c r="AC1138" s="121"/>
      <c r="AD1138" s="121"/>
      <c r="AE1138" s="121"/>
      <c r="AF1138" s="36"/>
      <c r="AG1138" s="36"/>
      <c r="AH1138" s="36"/>
      <c r="AI1138" s="36"/>
      <c r="AJ1138" s="36"/>
    </row>
    <row r="1139" ht="15.75" customHeight="1">
      <c r="A1139" s="12"/>
      <c r="B1139" s="390"/>
      <c r="C1139" s="390"/>
      <c r="D1139" s="390"/>
      <c r="E1139" s="121"/>
      <c r="F1139" s="121"/>
      <c r="G1139" s="121"/>
      <c r="H1139" s="121"/>
      <c r="I1139" s="121"/>
      <c r="J1139" s="121"/>
      <c r="K1139" s="121"/>
      <c r="L1139" s="121"/>
      <c r="M1139" s="121"/>
      <c r="N1139" s="121"/>
      <c r="O1139" s="121"/>
      <c r="P1139" s="121"/>
      <c r="Q1139" s="121"/>
      <c r="R1139" s="121"/>
      <c r="S1139" s="121"/>
      <c r="T1139" s="121"/>
      <c r="U1139" s="121"/>
      <c r="V1139" s="121"/>
      <c r="W1139" s="121"/>
      <c r="X1139" s="121"/>
      <c r="Y1139" s="121"/>
      <c r="Z1139" s="121"/>
      <c r="AA1139" s="121"/>
      <c r="AB1139" s="121"/>
      <c r="AC1139" s="121"/>
      <c r="AD1139" s="121"/>
      <c r="AE1139" s="121"/>
      <c r="AF1139" s="36"/>
      <c r="AG1139" s="36"/>
      <c r="AH1139" s="36"/>
      <c r="AI1139" s="36"/>
      <c r="AJ1139" s="36"/>
    </row>
    <row r="1140" ht="15.75" customHeight="1">
      <c r="A1140" s="36" t="s">
        <v>215</v>
      </c>
      <c r="B1140" s="36">
        <v>1.0</v>
      </c>
      <c r="C1140" s="36">
        <v>2.0</v>
      </c>
      <c r="D1140" s="36">
        <v>3.0</v>
      </c>
      <c r="E1140" s="36">
        <v>4.0</v>
      </c>
      <c r="F1140" s="36">
        <v>5.0</v>
      </c>
      <c r="G1140" s="36">
        <v>6.0</v>
      </c>
      <c r="H1140" s="36">
        <v>7.0</v>
      </c>
      <c r="I1140" s="36">
        <v>8.0</v>
      </c>
      <c r="J1140" s="36">
        <v>9.0</v>
      </c>
      <c r="K1140" s="36">
        <v>10.0</v>
      </c>
      <c r="L1140" s="36">
        <v>11.0</v>
      </c>
      <c r="M1140" s="36">
        <v>12.0</v>
      </c>
      <c r="N1140" s="36">
        <v>13.0</v>
      </c>
      <c r="O1140" s="36">
        <v>14.0</v>
      </c>
      <c r="P1140" s="36">
        <v>15.0</v>
      </c>
      <c r="Q1140" s="36">
        <v>16.0</v>
      </c>
      <c r="R1140" s="36">
        <v>17.0</v>
      </c>
      <c r="S1140" s="36">
        <v>18.0</v>
      </c>
      <c r="T1140" s="36">
        <v>19.0</v>
      </c>
      <c r="U1140" s="36">
        <v>20.0</v>
      </c>
      <c r="V1140" s="36">
        <v>21.0</v>
      </c>
      <c r="W1140" s="36">
        <v>22.0</v>
      </c>
      <c r="X1140" s="36">
        <v>23.0</v>
      </c>
      <c r="Y1140" s="36">
        <v>24.0</v>
      </c>
      <c r="Z1140" s="36">
        <v>25.0</v>
      </c>
      <c r="AA1140" s="36">
        <v>26.0</v>
      </c>
      <c r="AB1140" s="36">
        <v>27.0</v>
      </c>
      <c r="AC1140" s="36">
        <v>28.0</v>
      </c>
      <c r="AD1140" s="36">
        <v>29.0</v>
      </c>
      <c r="AE1140" s="36">
        <v>30.0</v>
      </c>
      <c r="AF1140" s="36"/>
      <c r="AG1140" s="36"/>
      <c r="AH1140" s="36"/>
      <c r="AI1140" s="36"/>
      <c r="AJ1140" s="36"/>
    </row>
    <row r="1141" ht="15.75" customHeight="1">
      <c r="A1141" s="12" t="s">
        <v>217</v>
      </c>
      <c r="B1141" s="12">
        <f>IF(AND(Mod_Prem&gt;=20000,Mod_Prem&lt;30000),75,IF(AND(Mod_Prem&gt;=30000,Mod_Prem&lt;40000),95,IF(AND(Mod_Prem&gt;=40000,Mod_Prem&lt;50000),125,0)))</f>
        <v>0</v>
      </c>
      <c r="C1141" s="12">
        <f>IF(AND(Mod_Prem&gt;=20000,Mod_Prem&lt;30000),75,IF(AND(Mod_Prem&gt;=30000,Mod_Prem&lt;40000),95,IF(AND(Mod_Prem&gt;=40000,Mod_Prem&lt;50000),125,0)))</f>
        <v>0</v>
      </c>
      <c r="D1141" s="12">
        <f>IF(AND(Mod_Prem&gt;=20000,Mod_Prem&lt;30000),75,IF(AND(Mod_Prem&gt;=30000,Mod_Prem&lt;40000),95,IF(AND(Mod_Prem&gt;=40000,Mod_Prem&lt;50000),125,0)))</f>
        <v>0</v>
      </c>
      <c r="E1141" s="12">
        <f>IF(AND(Mod_Prem&gt;=20000,Mod_Prem&lt;30000),75,IF(AND(Mod_Prem&gt;=30000,Mod_Prem&lt;40000),95,IF(AND(Mod_Prem&gt;=40000,Mod_Prem&lt;50000),125,0)))</f>
        <v>0</v>
      </c>
      <c r="F1141" s="12">
        <f>IF(AND(Mod_Prem&gt;=20000,Mod_Prem&lt;30000),75,IF(AND(Mod_Prem&gt;=30000,Mod_Prem&lt;40000),95,IF(AND(Mod_Prem&gt;=40000,Mod_Prem&lt;50000),125,0)))</f>
        <v>0</v>
      </c>
      <c r="G1141" s="12">
        <f>IF(AND(Mod_Prem&gt;=20000,Mod_Prem&lt;30000),75,IF(AND(Mod_Prem&gt;=30000,Mod_Prem&lt;40000),95,IF(AND(Mod_Prem&gt;=40000,Mod_Prem&lt;50000),125,0)))</f>
        <v>0</v>
      </c>
      <c r="H1141" s="12">
        <f>IF(AND(Mod_Prem&gt;=20000,Mod_Prem&lt;30000),75,IF(AND(Mod_Prem&gt;=30000,Mod_Prem&lt;40000),95,IF(AND(Mod_Prem&gt;=40000,Mod_Prem&lt;50000),125,0)))</f>
        <v>0</v>
      </c>
      <c r="I1141" s="12">
        <f>IF(AND(Mod_Prem&gt;=20000,Mod_Prem&lt;30000),75,IF(AND(Mod_Prem&gt;=30000,Mod_Prem&lt;40000),95,IF(AND(Mod_Prem&gt;=40000,Mod_Prem&lt;50000),125,0)))</f>
        <v>0</v>
      </c>
      <c r="J1141" s="12">
        <f>IF(AND(Mod_Prem&gt;=20000,Mod_Prem&lt;30000),75,IF(AND(Mod_Prem&gt;=30000,Mod_Prem&lt;40000),95,IF(AND(Mod_Prem&gt;=40000,Mod_Prem&lt;50000),125,0)))</f>
        <v>0</v>
      </c>
      <c r="K1141" s="12">
        <f>IF(AND(Mod_Prem&gt;=20000,Mod_Prem&lt;30000),75,IF(AND(Mod_Prem&gt;=30000,Mod_Prem&lt;40000),95,IF(AND(Mod_Prem&gt;=40000,Mod_Prem&lt;50000),125,0)))</f>
        <v>0</v>
      </c>
      <c r="L1141" s="12">
        <f>IF(AND(Mod_Prem&gt;=20000,Mod_Prem&lt;30000),75,IF(AND(Mod_Prem&gt;=30000,Mod_Prem&lt;40000),95,IF(AND(Mod_Prem&gt;=40000,Mod_Prem&lt;50000),125,0)))</f>
        <v>0</v>
      </c>
      <c r="M1141" s="12">
        <f>IF(AND(Mod_Prem&gt;=20000,Mod_Prem&lt;30000),75,IF(AND(Mod_Prem&gt;=30000,Mod_Prem&lt;40000),95,IF(AND(Mod_Prem&gt;=40000,Mod_Prem&lt;50000),125,0)))</f>
        <v>0</v>
      </c>
      <c r="N1141" s="12">
        <f>IF(AND(Mod_Prem&gt;=20000,Mod_Prem&lt;30000),75,IF(AND(Mod_Prem&gt;=30000,Mod_Prem&lt;40000),95,IF(AND(Mod_Prem&gt;=40000,Mod_Prem&lt;50000),125,0)))</f>
        <v>0</v>
      </c>
      <c r="O1141" s="12">
        <f>IF(AND(Mod_Prem&gt;=20000,Mod_Prem&lt;30000),75,IF(AND(Mod_Prem&gt;=30000,Mod_Prem&lt;40000),95,IF(AND(Mod_Prem&gt;=40000,Mod_Prem&lt;50000),125,0)))</f>
        <v>0</v>
      </c>
      <c r="P1141" s="12">
        <f>IF(AND(Mod_Prem&gt;=20000,Mod_Prem&lt;30000),75,IF(AND(Mod_Prem&gt;=30000,Mod_Prem&lt;40000),95,IF(AND(Mod_Prem&gt;=40000,Mod_Prem&lt;50000),125,0)))</f>
        <v>0</v>
      </c>
      <c r="Q1141" s="12">
        <f>IF(AND(Mod_Prem&gt;=20000,Mod_Prem&lt;30000),75,IF(AND(Mod_Prem&gt;=30000,Mod_Prem&lt;40000),95,IF(AND(Mod_Prem&gt;=40000,Mod_Prem&lt;50000),125,0)))</f>
        <v>0</v>
      </c>
      <c r="R1141" s="12">
        <f>IF(AND(Mod_Prem&gt;=20000,Mod_Prem&lt;30000),75,IF(AND(Mod_Prem&gt;=30000,Mod_Prem&lt;40000),95,IF(AND(Mod_Prem&gt;=40000,Mod_Prem&lt;50000),125,0)))</f>
        <v>0</v>
      </c>
      <c r="S1141" s="12">
        <f>IF(AND(Mod_Prem&gt;=20000,Mod_Prem&lt;30000),75,IF(AND(Mod_Prem&gt;=30000,Mod_Prem&lt;40000),95,IF(AND(Mod_Prem&gt;=40000,Mod_Prem&lt;50000),125,0)))</f>
        <v>0</v>
      </c>
      <c r="T1141" s="12">
        <f>IF(AND(Mod_Prem&gt;=20000,Mod_Prem&lt;30000),75,IF(AND(Mod_Prem&gt;=30000,Mod_Prem&lt;40000),95,IF(AND(Mod_Prem&gt;=40000,Mod_Prem&lt;50000),125,0)))</f>
        <v>0</v>
      </c>
      <c r="U1141" s="12">
        <f>IF(AND(Mod_Prem&gt;=20000,Mod_Prem&lt;30000),75,IF(AND(Mod_Prem&gt;=30000,Mod_Prem&lt;40000),95,IF(AND(Mod_Prem&gt;=40000,Mod_Prem&lt;50000),125,0)))</f>
        <v>0</v>
      </c>
      <c r="V1141" s="12">
        <f>IF(AND(Mod_Prem&gt;=20000,Mod_Prem&lt;30000),75,IF(AND(Mod_Prem&gt;=30000,Mod_Prem&lt;40000),95,IF(AND(Mod_Prem&gt;=40000,Mod_Prem&lt;50000),125,0)))</f>
        <v>0</v>
      </c>
      <c r="W1141" s="12">
        <f>IF(AND(Mod_Prem&gt;=20000,Mod_Prem&lt;30000),75,IF(AND(Mod_Prem&gt;=30000,Mod_Prem&lt;40000),95,IF(AND(Mod_Prem&gt;=40000,Mod_Prem&lt;50000),125,0)))</f>
        <v>0</v>
      </c>
      <c r="X1141" s="12">
        <f>IF(AND(Mod_Prem&gt;=20000,Mod_Prem&lt;30000),75,IF(AND(Mod_Prem&gt;=30000,Mod_Prem&lt;40000),95,IF(AND(Mod_Prem&gt;=40000,Mod_Prem&lt;50000),125,0)))</f>
        <v>0</v>
      </c>
      <c r="Y1141" s="12">
        <f>IF(AND(Mod_Prem&gt;=20000,Mod_Prem&lt;30000),75,IF(AND(Mod_Prem&gt;=30000,Mod_Prem&lt;40000),95,IF(AND(Mod_Prem&gt;=40000,Mod_Prem&lt;50000),125,0)))</f>
        <v>0</v>
      </c>
      <c r="Z1141" s="12">
        <f>IF(AND(Mod_Prem&gt;=20000,Mod_Prem&lt;30000),75,IF(AND(Mod_Prem&gt;=30000,Mod_Prem&lt;40000),95,IF(AND(Mod_Prem&gt;=40000,Mod_Prem&lt;50000),125,0)))</f>
        <v>0</v>
      </c>
      <c r="AA1141" s="12">
        <f>IF(AND(Mod_Prem&gt;=20000,Mod_Prem&lt;30000),75,IF(AND(Mod_Prem&gt;=30000,Mod_Prem&lt;40000),95,IF(AND(Mod_Prem&gt;=40000,Mod_Prem&lt;50000),125,0)))</f>
        <v>0</v>
      </c>
      <c r="AB1141" s="12">
        <f>IF(AND(Mod_Prem&gt;=20000,Mod_Prem&lt;30000),75,IF(AND(Mod_Prem&gt;=30000,Mod_Prem&lt;40000),95,IF(AND(Mod_Prem&gt;=40000,Mod_Prem&lt;50000),125,0)))</f>
        <v>0</v>
      </c>
      <c r="AC1141" s="12">
        <f>IF(AND(Mod_Prem&gt;=20000,Mod_Prem&lt;30000),75,IF(AND(Mod_Prem&gt;=30000,Mod_Prem&lt;40000),95,IF(AND(Mod_Prem&gt;=40000,Mod_Prem&lt;50000),125,0)))</f>
        <v>0</v>
      </c>
      <c r="AD1141" s="12">
        <f>IF(AND(Mod_Prem&gt;=20000,Mod_Prem&lt;30000),75,IF(AND(Mod_Prem&gt;=30000,Mod_Prem&lt;40000),95,IF(AND(Mod_Prem&gt;=40000,Mod_Prem&lt;50000),125,0)))</f>
        <v>0</v>
      </c>
      <c r="AE1141" s="12">
        <f>IF(AND(Mod_Prem&gt;=20000,Mod_Prem&lt;30000),75,IF(AND(Mod_Prem&gt;=30000,Mod_Prem&lt;40000),95,IF(AND(Mod_Prem&gt;=40000,Mod_Prem&lt;50000),125,0)))</f>
        <v>0</v>
      </c>
      <c r="AF1141" s="36"/>
      <c r="AG1141" s="36"/>
      <c r="AH1141" s="36"/>
      <c r="AI1141" s="36"/>
      <c r="AJ1141" s="36"/>
    </row>
    <row r="1142" ht="15.75" customHeight="1">
      <c r="A1142" s="12" t="s">
        <v>218</v>
      </c>
      <c r="B1142" s="194">
        <v>0.0</v>
      </c>
      <c r="C1142" s="194">
        <v>0.0</v>
      </c>
      <c r="D1142" s="194">
        <v>0.0</v>
      </c>
      <c r="E1142" s="194">
        <v>0.0</v>
      </c>
      <c r="F1142" s="194">
        <v>0.0</v>
      </c>
      <c r="G1142" s="194">
        <v>0.0</v>
      </c>
      <c r="H1142" s="194">
        <v>0.0</v>
      </c>
      <c r="I1142" s="194">
        <v>0.0</v>
      </c>
      <c r="J1142" s="194">
        <v>0.0</v>
      </c>
      <c r="K1142" s="194">
        <v>0.0</v>
      </c>
      <c r="L1142" s="194">
        <v>0.0</v>
      </c>
      <c r="M1142" s="194">
        <v>0.0</v>
      </c>
      <c r="N1142" s="194">
        <v>0.0</v>
      </c>
      <c r="O1142" s="194">
        <v>0.0</v>
      </c>
      <c r="P1142" s="194">
        <v>0.0</v>
      </c>
      <c r="Q1142" s="194">
        <v>0.0</v>
      </c>
      <c r="R1142" s="194">
        <v>0.0</v>
      </c>
      <c r="S1142" s="194">
        <v>0.0</v>
      </c>
      <c r="T1142" s="194">
        <v>0.0</v>
      </c>
      <c r="U1142" s="194">
        <v>0.0</v>
      </c>
      <c r="V1142" s="194">
        <v>0.0</v>
      </c>
      <c r="W1142" s="194">
        <v>0.0</v>
      </c>
      <c r="X1142" s="194">
        <v>0.0</v>
      </c>
      <c r="Y1142" s="194">
        <v>0.0</v>
      </c>
      <c r="Z1142" s="194">
        <v>0.0</v>
      </c>
      <c r="AA1142" s="194">
        <v>0.0</v>
      </c>
      <c r="AB1142" s="194">
        <v>0.0</v>
      </c>
      <c r="AC1142" s="194">
        <v>0.0</v>
      </c>
      <c r="AD1142" s="194">
        <v>0.0</v>
      </c>
      <c r="AE1142" s="194">
        <v>0.0</v>
      </c>
      <c r="AF1142" s="36"/>
      <c r="AG1142" s="36"/>
      <c r="AH1142" s="36"/>
      <c r="AI1142" s="36"/>
      <c r="AJ1142" s="36"/>
    </row>
    <row r="1143" ht="15.75" customHeight="1">
      <c r="A1143" s="12"/>
      <c r="B1143" s="390"/>
      <c r="C1143" s="390"/>
      <c r="D1143" s="390"/>
      <c r="E1143" s="121"/>
      <c r="F1143" s="121"/>
      <c r="G1143" s="121"/>
      <c r="H1143" s="121"/>
      <c r="I1143" s="121"/>
      <c r="J1143" s="121"/>
      <c r="K1143" s="121"/>
      <c r="L1143" s="121"/>
      <c r="M1143" s="121"/>
      <c r="N1143" s="121"/>
      <c r="O1143" s="121"/>
      <c r="P1143" s="121"/>
      <c r="Q1143" s="121"/>
      <c r="R1143" s="121"/>
      <c r="S1143" s="121"/>
      <c r="T1143" s="121"/>
      <c r="U1143" s="121"/>
      <c r="V1143" s="121"/>
      <c r="W1143" s="121"/>
      <c r="X1143" s="121"/>
      <c r="Y1143" s="121"/>
      <c r="Z1143" s="121"/>
      <c r="AA1143" s="121"/>
      <c r="AB1143" s="121"/>
      <c r="AC1143" s="121"/>
      <c r="AD1143" s="121"/>
      <c r="AE1143" s="121"/>
      <c r="AF1143" s="36"/>
      <c r="AG1143" s="36"/>
      <c r="AH1143" s="36"/>
      <c r="AI1143" s="36"/>
      <c r="AJ1143" s="36"/>
    </row>
    <row r="1144" ht="15.75" customHeight="1">
      <c r="A1144" s="357" t="s">
        <v>1551</v>
      </c>
      <c r="B1144" s="390"/>
      <c r="C1144" s="390"/>
      <c r="D1144" s="390"/>
      <c r="E1144" s="121"/>
      <c r="F1144" s="121"/>
      <c r="G1144" s="121"/>
      <c r="H1144" s="121"/>
      <c r="I1144" s="121"/>
      <c r="J1144" s="121"/>
      <c r="K1144" s="121"/>
      <c r="L1144" s="121"/>
      <c r="M1144" s="121"/>
      <c r="N1144" s="121"/>
      <c r="O1144" s="121"/>
      <c r="P1144" s="121"/>
      <c r="Q1144" s="121"/>
      <c r="R1144" s="121"/>
      <c r="S1144" s="121"/>
      <c r="T1144" s="121"/>
      <c r="U1144" s="121"/>
      <c r="V1144" s="121"/>
      <c r="W1144" s="121"/>
      <c r="X1144" s="121"/>
      <c r="Y1144" s="121"/>
      <c r="Z1144" s="121"/>
      <c r="AA1144" s="121"/>
      <c r="AB1144" s="121"/>
      <c r="AC1144" s="121"/>
      <c r="AD1144" s="121"/>
      <c r="AE1144" s="121"/>
      <c r="AF1144" s="36"/>
      <c r="AG1144" s="36"/>
      <c r="AH1144" s="36"/>
      <c r="AI1144" s="36"/>
      <c r="AJ1144" s="36"/>
    </row>
    <row r="1145" ht="15.75" customHeight="1">
      <c r="A1145" s="12"/>
      <c r="B1145" s="390"/>
      <c r="C1145" s="390"/>
      <c r="D1145" s="390"/>
      <c r="E1145" s="121"/>
      <c r="F1145" s="121"/>
      <c r="G1145" s="121"/>
      <c r="H1145" s="121"/>
      <c r="I1145" s="121"/>
      <c r="J1145" s="121"/>
      <c r="K1145" s="121"/>
      <c r="L1145" s="121"/>
      <c r="M1145" s="121"/>
      <c r="N1145" s="121"/>
      <c r="O1145" s="121"/>
      <c r="P1145" s="121"/>
      <c r="Q1145" s="121"/>
      <c r="R1145" s="121"/>
      <c r="S1145" s="121"/>
      <c r="T1145" s="121"/>
      <c r="U1145" s="121"/>
      <c r="V1145" s="121"/>
      <c r="W1145" s="121"/>
      <c r="X1145" s="121"/>
      <c r="Y1145" s="121"/>
      <c r="Z1145" s="121"/>
      <c r="AA1145" s="121"/>
      <c r="AB1145" s="121"/>
      <c r="AC1145" s="121"/>
      <c r="AD1145" s="121"/>
      <c r="AE1145" s="121"/>
      <c r="AF1145" s="36"/>
      <c r="AG1145" s="36"/>
      <c r="AH1145" s="36"/>
      <c r="AI1145" s="36"/>
      <c r="AJ1145" s="36"/>
    </row>
    <row r="1146" ht="15.75" customHeight="1">
      <c r="A1146" s="36" t="s">
        <v>215</v>
      </c>
      <c r="B1146" s="36">
        <v>1.0</v>
      </c>
      <c r="C1146" s="36">
        <v>2.0</v>
      </c>
      <c r="D1146" s="36">
        <v>3.0</v>
      </c>
      <c r="E1146" s="36">
        <v>4.0</v>
      </c>
      <c r="F1146" s="36">
        <v>5.0</v>
      </c>
      <c r="G1146" s="36">
        <v>6.0</v>
      </c>
      <c r="H1146" s="36">
        <v>7.0</v>
      </c>
      <c r="I1146" s="36">
        <v>8.0</v>
      </c>
      <c r="J1146" s="36">
        <v>9.0</v>
      </c>
      <c r="K1146" s="36">
        <v>10.0</v>
      </c>
      <c r="L1146" s="36">
        <v>11.0</v>
      </c>
      <c r="M1146" s="36">
        <v>12.0</v>
      </c>
      <c r="N1146" s="36">
        <v>13.0</v>
      </c>
      <c r="O1146" s="36">
        <v>14.0</v>
      </c>
      <c r="P1146" s="36">
        <v>15.0</v>
      </c>
      <c r="Q1146" s="36">
        <v>16.0</v>
      </c>
      <c r="R1146" s="36">
        <v>17.0</v>
      </c>
      <c r="S1146" s="36">
        <v>18.0</v>
      </c>
      <c r="T1146" s="36">
        <v>19.0</v>
      </c>
      <c r="U1146" s="36">
        <v>20.0</v>
      </c>
      <c r="V1146" s="36">
        <v>21.0</v>
      </c>
      <c r="W1146" s="36">
        <v>22.0</v>
      </c>
      <c r="X1146" s="36">
        <v>23.0</v>
      </c>
      <c r="Y1146" s="36">
        <v>24.0</v>
      </c>
      <c r="Z1146" s="36">
        <v>25.0</v>
      </c>
      <c r="AA1146" s="36">
        <v>26.0</v>
      </c>
      <c r="AB1146" s="36">
        <v>27.0</v>
      </c>
      <c r="AC1146" s="36">
        <v>28.0</v>
      </c>
      <c r="AD1146" s="36">
        <v>29.0</v>
      </c>
      <c r="AE1146" s="36">
        <v>30.0</v>
      </c>
      <c r="AF1146" s="36"/>
      <c r="AG1146" s="36"/>
      <c r="AH1146" s="36"/>
      <c r="AI1146" s="36"/>
      <c r="AJ1146" s="36"/>
    </row>
    <row r="1147" ht="15.75" customHeight="1">
      <c r="A1147" s="12" t="s">
        <v>217</v>
      </c>
      <c r="B1147" s="12">
        <v>30.0</v>
      </c>
      <c r="C1147" s="12">
        <v>25.0</v>
      </c>
      <c r="D1147" s="12">
        <v>25.0</v>
      </c>
      <c r="E1147" s="12">
        <v>25.0</v>
      </c>
      <c r="F1147" s="12">
        <v>25.0</v>
      </c>
      <c r="G1147" s="12">
        <v>25.0</v>
      </c>
      <c r="H1147" s="12">
        <v>25.0</v>
      </c>
      <c r="I1147" s="12">
        <v>25.0</v>
      </c>
      <c r="J1147" s="12">
        <v>25.0</v>
      </c>
      <c r="K1147" s="12">
        <v>25.0</v>
      </c>
      <c r="L1147" s="12">
        <v>25.0</v>
      </c>
      <c r="M1147" s="12">
        <v>25.0</v>
      </c>
      <c r="N1147" s="12">
        <v>25.0</v>
      </c>
      <c r="O1147" s="12">
        <v>25.0</v>
      </c>
      <c r="P1147" s="12">
        <v>25.0</v>
      </c>
      <c r="Q1147" s="12">
        <v>25.0</v>
      </c>
      <c r="R1147" s="12">
        <v>25.0</v>
      </c>
      <c r="S1147" s="12">
        <v>25.0</v>
      </c>
      <c r="T1147" s="12">
        <v>25.0</v>
      </c>
      <c r="U1147" s="12">
        <v>25.0</v>
      </c>
      <c r="V1147" s="12">
        <v>25.0</v>
      </c>
      <c r="W1147" s="12">
        <v>25.0</v>
      </c>
      <c r="X1147" s="12">
        <v>25.0</v>
      </c>
      <c r="Y1147" s="12">
        <v>25.0</v>
      </c>
      <c r="Z1147" s="12">
        <v>25.0</v>
      </c>
      <c r="AA1147" s="12">
        <v>25.0</v>
      </c>
      <c r="AB1147" s="12">
        <v>25.0</v>
      </c>
      <c r="AC1147" s="12">
        <v>25.0</v>
      </c>
      <c r="AD1147" s="12">
        <v>25.0</v>
      </c>
      <c r="AE1147" s="12">
        <v>25.0</v>
      </c>
      <c r="AF1147" s="36"/>
      <c r="AG1147" s="36"/>
      <c r="AH1147" s="36"/>
      <c r="AI1147" s="36"/>
      <c r="AJ1147" s="36"/>
    </row>
    <row r="1148" ht="15.75" customHeight="1">
      <c r="A1148" s="12" t="s">
        <v>218</v>
      </c>
      <c r="B1148" s="194">
        <v>0.0</v>
      </c>
      <c r="C1148" s="194">
        <v>0.0</v>
      </c>
      <c r="D1148" s="194">
        <v>0.0</v>
      </c>
      <c r="E1148" s="194">
        <v>0.0</v>
      </c>
      <c r="F1148" s="194">
        <v>0.0</v>
      </c>
      <c r="G1148" s="194">
        <v>0.0</v>
      </c>
      <c r="H1148" s="194">
        <v>0.0</v>
      </c>
      <c r="I1148" s="194">
        <v>0.0</v>
      </c>
      <c r="J1148" s="194">
        <v>0.0</v>
      </c>
      <c r="K1148" s="194">
        <v>0.0</v>
      </c>
      <c r="L1148" s="194">
        <v>0.0</v>
      </c>
      <c r="M1148" s="194">
        <v>0.0</v>
      </c>
      <c r="N1148" s="194">
        <v>0.0</v>
      </c>
      <c r="O1148" s="194">
        <v>0.0</v>
      </c>
      <c r="P1148" s="194">
        <v>0.0</v>
      </c>
      <c r="Q1148" s="194">
        <v>0.0</v>
      </c>
      <c r="R1148" s="194">
        <v>0.0</v>
      </c>
      <c r="S1148" s="194">
        <v>0.0</v>
      </c>
      <c r="T1148" s="194">
        <v>0.0</v>
      </c>
      <c r="U1148" s="194">
        <v>0.0</v>
      </c>
      <c r="V1148" s="194">
        <v>0.0</v>
      </c>
      <c r="W1148" s="194">
        <v>0.0</v>
      </c>
      <c r="X1148" s="194">
        <v>0.0</v>
      </c>
      <c r="Y1148" s="194">
        <v>0.0</v>
      </c>
      <c r="Z1148" s="194">
        <v>0.0</v>
      </c>
      <c r="AA1148" s="194">
        <v>0.0</v>
      </c>
      <c r="AB1148" s="194">
        <v>0.0</v>
      </c>
      <c r="AC1148" s="194">
        <v>0.0</v>
      </c>
      <c r="AD1148" s="194">
        <v>0.0</v>
      </c>
      <c r="AE1148" s="194">
        <v>0.0</v>
      </c>
      <c r="AF1148" s="36"/>
      <c r="AG1148" s="36"/>
      <c r="AH1148" s="36"/>
      <c r="AI1148" s="36"/>
      <c r="AJ1148" s="36"/>
    </row>
    <row r="1149" ht="15.75" customHeight="1">
      <c r="A1149" s="12"/>
      <c r="B1149" s="390"/>
      <c r="C1149" s="390"/>
      <c r="D1149" s="390"/>
      <c r="E1149" s="121"/>
      <c r="F1149" s="121"/>
      <c r="G1149" s="121"/>
      <c r="H1149" s="121"/>
      <c r="I1149" s="121"/>
      <c r="J1149" s="121"/>
      <c r="K1149" s="121"/>
      <c r="L1149" s="121"/>
      <c r="M1149" s="121"/>
      <c r="N1149" s="121"/>
      <c r="O1149" s="121"/>
      <c r="P1149" s="121"/>
      <c r="Q1149" s="121"/>
      <c r="R1149" s="121"/>
      <c r="S1149" s="121"/>
      <c r="T1149" s="121"/>
      <c r="U1149" s="121"/>
      <c r="V1149" s="121"/>
      <c r="W1149" s="121"/>
      <c r="X1149" s="121"/>
      <c r="Y1149" s="121"/>
      <c r="Z1149" s="121"/>
      <c r="AA1149" s="121"/>
      <c r="AB1149" s="121"/>
      <c r="AC1149" s="121"/>
      <c r="AD1149" s="121"/>
      <c r="AE1149" s="121"/>
      <c r="AF1149" s="36"/>
      <c r="AG1149" s="36"/>
      <c r="AH1149" s="36"/>
      <c r="AI1149" s="36"/>
      <c r="AJ1149" s="36"/>
    </row>
    <row r="1150" ht="15.75" customHeight="1">
      <c r="A1150" s="357" t="s">
        <v>1558</v>
      </c>
      <c r="B1150" s="390"/>
      <c r="C1150" s="390"/>
      <c r="D1150" s="390"/>
      <c r="E1150" s="121"/>
      <c r="F1150" s="121"/>
      <c r="G1150" s="121"/>
      <c r="H1150" s="121"/>
      <c r="I1150" s="121"/>
      <c r="J1150" s="121"/>
      <c r="K1150" s="121"/>
      <c r="L1150" s="121"/>
      <c r="M1150" s="121"/>
      <c r="N1150" s="121"/>
      <c r="O1150" s="121"/>
      <c r="P1150" s="121"/>
      <c r="Q1150" s="121"/>
      <c r="R1150" s="121"/>
      <c r="S1150" s="121"/>
      <c r="T1150" s="121"/>
      <c r="U1150" s="121"/>
      <c r="V1150" s="121"/>
      <c r="W1150" s="121"/>
      <c r="X1150" s="121"/>
      <c r="Y1150" s="121"/>
      <c r="Z1150" s="121"/>
      <c r="AA1150" s="121"/>
      <c r="AB1150" s="121"/>
      <c r="AC1150" s="121"/>
      <c r="AD1150" s="121"/>
      <c r="AE1150" s="121"/>
      <c r="AF1150" s="36"/>
      <c r="AG1150" s="36"/>
      <c r="AH1150" s="36"/>
      <c r="AI1150" s="36"/>
      <c r="AJ1150" s="36"/>
    </row>
    <row r="1151" ht="15.75" customHeight="1">
      <c r="A1151" s="12"/>
      <c r="B1151" s="390"/>
      <c r="C1151" s="390"/>
      <c r="D1151" s="390"/>
      <c r="E1151" s="121"/>
      <c r="F1151" s="121"/>
      <c r="G1151" s="121"/>
      <c r="H1151" s="121"/>
      <c r="I1151" s="121"/>
      <c r="J1151" s="121"/>
      <c r="K1151" s="121"/>
      <c r="L1151" s="121"/>
      <c r="M1151" s="121"/>
      <c r="N1151" s="121"/>
      <c r="O1151" s="121"/>
      <c r="P1151" s="121"/>
      <c r="Q1151" s="121"/>
      <c r="R1151" s="121"/>
      <c r="S1151" s="121"/>
      <c r="T1151" s="121"/>
      <c r="U1151" s="121"/>
      <c r="V1151" s="121"/>
      <c r="W1151" s="121"/>
      <c r="X1151" s="121"/>
      <c r="Y1151" s="121"/>
      <c r="Z1151" s="121"/>
      <c r="AA1151" s="121"/>
      <c r="AB1151" s="121"/>
      <c r="AC1151" s="121"/>
      <c r="AD1151" s="121"/>
      <c r="AE1151" s="121"/>
      <c r="AF1151" s="36"/>
      <c r="AG1151" s="36"/>
      <c r="AH1151" s="36"/>
      <c r="AI1151" s="36"/>
      <c r="AJ1151" s="36"/>
    </row>
    <row r="1152" ht="15.75" customHeight="1">
      <c r="A1152" s="36" t="s">
        <v>215</v>
      </c>
      <c r="B1152" s="36">
        <v>1.0</v>
      </c>
      <c r="C1152" s="36">
        <v>2.0</v>
      </c>
      <c r="D1152" s="36">
        <v>3.0</v>
      </c>
      <c r="E1152" s="36">
        <v>4.0</v>
      </c>
      <c r="F1152" s="36">
        <v>5.0</v>
      </c>
      <c r="G1152" s="36">
        <v>6.0</v>
      </c>
      <c r="H1152" s="36">
        <v>7.0</v>
      </c>
      <c r="I1152" s="36">
        <v>8.0</v>
      </c>
      <c r="J1152" s="36">
        <v>9.0</v>
      </c>
      <c r="K1152" s="36">
        <v>10.0</v>
      </c>
      <c r="L1152" s="36">
        <v>11.0</v>
      </c>
      <c r="M1152" s="36">
        <v>12.0</v>
      </c>
      <c r="N1152" s="36">
        <v>13.0</v>
      </c>
      <c r="O1152" s="36">
        <v>14.0</v>
      </c>
      <c r="P1152" s="36">
        <v>15.0</v>
      </c>
      <c r="Q1152" s="36">
        <v>16.0</v>
      </c>
      <c r="R1152" s="36">
        <v>17.0</v>
      </c>
      <c r="S1152" s="36">
        <v>18.0</v>
      </c>
      <c r="T1152" s="36">
        <v>19.0</v>
      </c>
      <c r="U1152" s="36">
        <v>20.0</v>
      </c>
      <c r="V1152" s="36">
        <v>21.0</v>
      </c>
      <c r="W1152" s="36">
        <v>22.0</v>
      </c>
      <c r="X1152" s="36">
        <v>23.0</v>
      </c>
      <c r="Y1152" s="36">
        <v>24.0</v>
      </c>
      <c r="Z1152" s="36">
        <v>25.0</v>
      </c>
      <c r="AA1152" s="36">
        <v>26.0</v>
      </c>
      <c r="AB1152" s="36">
        <v>27.0</v>
      </c>
      <c r="AC1152" s="36">
        <v>28.0</v>
      </c>
      <c r="AD1152" s="36">
        <v>29.0</v>
      </c>
      <c r="AE1152" s="36">
        <v>30.0</v>
      </c>
      <c r="AF1152" s="36"/>
      <c r="AG1152" s="36"/>
      <c r="AH1152" s="36"/>
      <c r="AI1152" s="36"/>
      <c r="AJ1152" s="36"/>
    </row>
    <row r="1153" ht="15.75" customHeight="1">
      <c r="A1153" s="12" t="s">
        <v>217</v>
      </c>
      <c r="B1153" s="12">
        <v>0.0</v>
      </c>
      <c r="C1153" s="12">
        <v>0.0</v>
      </c>
      <c r="D1153" s="12">
        <v>0.0</v>
      </c>
      <c r="E1153" s="12">
        <v>0.0</v>
      </c>
      <c r="F1153" s="12">
        <v>0.0</v>
      </c>
      <c r="G1153" s="12">
        <v>0.0</v>
      </c>
      <c r="H1153" s="12">
        <v>0.0</v>
      </c>
      <c r="I1153" s="12">
        <v>0.0</v>
      </c>
      <c r="J1153" s="12">
        <v>0.0</v>
      </c>
      <c r="K1153" s="12">
        <v>0.0</v>
      </c>
      <c r="L1153" s="12">
        <v>0.0</v>
      </c>
      <c r="M1153" s="12">
        <v>0.0</v>
      </c>
      <c r="N1153" s="12">
        <v>0.0</v>
      </c>
      <c r="O1153" s="12">
        <v>0.0</v>
      </c>
      <c r="P1153" s="12">
        <v>0.0</v>
      </c>
      <c r="Q1153" s="12">
        <v>0.0</v>
      </c>
      <c r="R1153" s="12">
        <v>0.0</v>
      </c>
      <c r="S1153" s="12">
        <v>0.0</v>
      </c>
      <c r="T1153" s="12">
        <v>0.0</v>
      </c>
      <c r="U1153" s="12">
        <v>0.0</v>
      </c>
      <c r="V1153" s="12">
        <v>0.0</v>
      </c>
      <c r="W1153" s="12">
        <v>0.0</v>
      </c>
      <c r="X1153" s="12">
        <v>0.0</v>
      </c>
      <c r="Y1153" s="12">
        <v>0.0</v>
      </c>
      <c r="Z1153" s="12">
        <v>0.0</v>
      </c>
      <c r="AA1153" s="12">
        <v>0.0</v>
      </c>
      <c r="AB1153" s="12">
        <v>0.0</v>
      </c>
      <c r="AC1153" s="12">
        <v>0.0</v>
      </c>
      <c r="AD1153" s="12">
        <v>0.0</v>
      </c>
      <c r="AE1153" s="12">
        <v>0.0</v>
      </c>
      <c r="AF1153" s="36"/>
      <c r="AG1153" s="36"/>
      <c r="AH1153" s="36"/>
      <c r="AI1153" s="36"/>
      <c r="AJ1153" s="36"/>
    </row>
    <row r="1154" ht="15.75" customHeight="1">
      <c r="A1154" s="12" t="s">
        <v>218</v>
      </c>
      <c r="B1154" s="194">
        <f>IF(AND(Mod_Prem&gt;=48000,Mod_Prem&lt;100000),0.4%,IF(Mod_Prem&gt;=100000,0.3%))</f>
        <v>0.003</v>
      </c>
      <c r="C1154" s="194">
        <f>IF(AND(Mod_Prem&gt;=48000,Mod_Prem&lt;100000),0.4%,IF(Mod_Prem&gt;=100000,0.3%))</f>
        <v>0.003</v>
      </c>
      <c r="D1154" s="194">
        <f>IF(AND(Mod_Prem&gt;=48000,Mod_Prem&lt;100000),0.4%,IF(Mod_Prem&gt;=100000,0.3%))</f>
        <v>0.003</v>
      </c>
      <c r="E1154" s="194">
        <f>IF(AND(Mod_Prem&gt;=48000,Mod_Prem&lt;100000),0.4%,IF(Mod_Prem&gt;=100000,0.3%))</f>
        <v>0.003</v>
      </c>
      <c r="F1154" s="194">
        <f>IF(AND(Mod_Prem&gt;=48000,Mod_Prem&lt;100000),0.4%,IF(Mod_Prem&gt;=100000,0.3%))</f>
        <v>0.003</v>
      </c>
      <c r="G1154" s="194">
        <f>IF(AND(Mod_Prem&gt;=48000,Mod_Prem&lt;100000),0.4%,IF(Mod_Prem&gt;=100000,0.3%))</f>
        <v>0.003</v>
      </c>
      <c r="H1154" s="194">
        <f>IF(AND(Mod_Prem&gt;=48000,Mod_Prem&lt;100000),0.4%,IF(Mod_Prem&gt;=100000,0.3%))</f>
        <v>0.003</v>
      </c>
      <c r="I1154" s="194">
        <f>IF(AND(Mod_Prem&gt;=48000,Mod_Prem&lt;100000),0.4%,IF(Mod_Prem&gt;=100000,0.3%))</f>
        <v>0.003</v>
      </c>
      <c r="J1154" s="194">
        <f>IF(AND(Mod_Prem&gt;=48000,Mod_Prem&lt;100000),0.4%,IF(Mod_Prem&gt;=100000,0.3%))</f>
        <v>0.003</v>
      </c>
      <c r="K1154" s="194">
        <f>IF(AND(Mod_Prem&gt;=48000,Mod_Prem&lt;100000),0.4%,IF(Mod_Prem&gt;=100000,0.3%))</f>
        <v>0.003</v>
      </c>
      <c r="L1154" s="194">
        <f>IF(AND(Mod_Prem&gt;=48000,Mod_Prem&lt;100000),0.4%,IF(Mod_Prem&gt;=100000,0.3%))</f>
        <v>0.003</v>
      </c>
      <c r="M1154" s="194">
        <f>IF(AND(Mod_Prem&gt;=48000,Mod_Prem&lt;100000),0.4%,IF(Mod_Prem&gt;=100000,0.3%))</f>
        <v>0.003</v>
      </c>
      <c r="N1154" s="194">
        <f>IF(AND(Mod_Prem&gt;=48000,Mod_Prem&lt;100000),0.4%,IF(Mod_Prem&gt;=100000,0.3%))</f>
        <v>0.003</v>
      </c>
      <c r="O1154" s="194">
        <f>IF(AND(Mod_Prem&gt;=48000,Mod_Prem&lt;100000),0.4%,IF(Mod_Prem&gt;=100000,0.3%))</f>
        <v>0.003</v>
      </c>
      <c r="P1154" s="194">
        <f>IF(AND(Mod_Prem&gt;=48000,Mod_Prem&lt;100000),0.4%,IF(Mod_Prem&gt;=100000,0.3%))</f>
        <v>0.003</v>
      </c>
      <c r="Q1154" s="194">
        <f>IF(AND(Mod_Prem&gt;=48000,Mod_Prem&lt;100000),0.4%,IF(Mod_Prem&gt;=100000,0.3%))</f>
        <v>0.003</v>
      </c>
      <c r="R1154" s="194">
        <f>IF(AND(Mod_Prem&gt;=48000,Mod_Prem&lt;100000),0.4%,IF(Mod_Prem&gt;=100000,0.3%))</f>
        <v>0.003</v>
      </c>
      <c r="S1154" s="194">
        <f>IF(AND(Mod_Prem&gt;=48000,Mod_Prem&lt;100000),0.4%,IF(Mod_Prem&gt;=100000,0.3%))</f>
        <v>0.003</v>
      </c>
      <c r="T1154" s="194">
        <f>IF(AND(Mod_Prem&gt;=48000,Mod_Prem&lt;100000),0.4%,IF(Mod_Prem&gt;=100000,0.3%))</f>
        <v>0.003</v>
      </c>
      <c r="U1154" s="194">
        <f>IF(AND(Mod_Prem&gt;=48000,Mod_Prem&lt;100000),0.4%,IF(Mod_Prem&gt;=100000,0.3%))</f>
        <v>0.003</v>
      </c>
      <c r="V1154" s="194">
        <f>IF(AND(Mod_Prem&gt;=48000,Mod_Prem&lt;100000),0.4%,IF(Mod_Prem&gt;=100000,0.3%))</f>
        <v>0.003</v>
      </c>
      <c r="W1154" s="194">
        <f>IF(AND(Mod_Prem&gt;=48000,Mod_Prem&lt;100000),0.4%,IF(Mod_Prem&gt;=100000,0.3%))</f>
        <v>0.003</v>
      </c>
      <c r="X1154" s="194">
        <f>IF(AND(Mod_Prem&gt;=48000,Mod_Prem&lt;100000),0.4%,IF(Mod_Prem&gt;=100000,0.3%))</f>
        <v>0.003</v>
      </c>
      <c r="Y1154" s="194">
        <f>IF(AND(Mod_Prem&gt;=48000,Mod_Prem&lt;100000),0.4%,IF(Mod_Prem&gt;=100000,0.3%))</f>
        <v>0.003</v>
      </c>
      <c r="Z1154" s="194">
        <f>IF(AND(Mod_Prem&gt;=48000,Mod_Prem&lt;100000),0.4%,IF(Mod_Prem&gt;=100000,0.3%))</f>
        <v>0.003</v>
      </c>
      <c r="AA1154" s="194">
        <f>IF(AND(Mod_Prem&gt;=48000,Mod_Prem&lt;100000),0.4%,IF(Mod_Prem&gt;=100000,0.3%))</f>
        <v>0.003</v>
      </c>
      <c r="AB1154" s="194">
        <f>IF(AND(Mod_Prem&gt;=48000,Mod_Prem&lt;100000),0.4%,IF(Mod_Prem&gt;=100000,0.3%))</f>
        <v>0.003</v>
      </c>
      <c r="AC1154" s="194">
        <f>IF(AND(Mod_Prem&gt;=48000,Mod_Prem&lt;100000),0.4%,IF(Mod_Prem&gt;=100000,0.3%))</f>
        <v>0.003</v>
      </c>
      <c r="AD1154" s="194">
        <f>IF(AND(Mod_Prem&gt;=48000,Mod_Prem&lt;100000),0.4%,IF(Mod_Prem&gt;=100000,0.3%))</f>
        <v>0.003</v>
      </c>
      <c r="AE1154" s="194">
        <f>IF(AND(Mod_Prem&gt;=48000,Mod_Prem&lt;100000),0.4%,IF(Mod_Prem&gt;=100000,0.3%))</f>
        <v>0.003</v>
      </c>
      <c r="AF1154" s="36"/>
      <c r="AG1154" s="36"/>
      <c r="AH1154" s="36"/>
      <c r="AI1154" s="36"/>
      <c r="AJ1154" s="36"/>
    </row>
    <row r="1155" ht="15.75" customHeight="1">
      <c r="A1155" s="12"/>
      <c r="B1155" s="390"/>
      <c r="C1155" s="390"/>
      <c r="D1155" s="390"/>
      <c r="E1155" s="121"/>
      <c r="F1155" s="121"/>
      <c r="G1155" s="121"/>
      <c r="H1155" s="121"/>
      <c r="I1155" s="121"/>
      <c r="J1155" s="121"/>
      <c r="K1155" s="121"/>
      <c r="L1155" s="121"/>
      <c r="M1155" s="121"/>
      <c r="N1155" s="121"/>
      <c r="O1155" s="121"/>
      <c r="P1155" s="121"/>
      <c r="Q1155" s="121"/>
      <c r="R1155" s="121"/>
      <c r="S1155" s="121"/>
      <c r="T1155" s="121"/>
      <c r="U1155" s="121"/>
      <c r="V1155" s="121"/>
      <c r="W1155" s="121"/>
      <c r="X1155" s="121"/>
      <c r="Y1155" s="121"/>
      <c r="Z1155" s="121"/>
      <c r="AA1155" s="121"/>
      <c r="AB1155" s="121"/>
      <c r="AC1155" s="121"/>
      <c r="AD1155" s="121"/>
      <c r="AE1155" s="121"/>
      <c r="AF1155" s="36"/>
      <c r="AG1155" s="36"/>
      <c r="AH1155" s="36"/>
      <c r="AI1155" s="36"/>
      <c r="AJ1155" s="36"/>
    </row>
    <row r="1156" ht="15.75" customHeight="1">
      <c r="A1156" s="357" t="s">
        <v>1562</v>
      </c>
      <c r="B1156" s="390"/>
      <c r="C1156" s="390"/>
      <c r="D1156" s="390"/>
      <c r="E1156" s="121"/>
      <c r="F1156" s="121"/>
      <c r="G1156" s="121"/>
      <c r="H1156" s="121"/>
      <c r="I1156" s="121"/>
      <c r="J1156" s="121"/>
      <c r="K1156" s="121"/>
      <c r="L1156" s="121"/>
      <c r="M1156" s="121"/>
      <c r="N1156" s="121"/>
      <c r="O1156" s="121"/>
      <c r="P1156" s="121"/>
      <c r="Q1156" s="121"/>
      <c r="R1156" s="121"/>
      <c r="S1156" s="121"/>
      <c r="T1156" s="121"/>
      <c r="U1156" s="121"/>
      <c r="V1156" s="121"/>
      <c r="W1156" s="121"/>
      <c r="X1156" s="121"/>
      <c r="Y1156" s="121"/>
      <c r="Z1156" s="121"/>
      <c r="AA1156" s="121"/>
      <c r="AB1156" s="121"/>
      <c r="AC1156" s="121"/>
      <c r="AD1156" s="121"/>
      <c r="AE1156" s="121"/>
      <c r="AF1156" s="36"/>
      <c r="AG1156" s="36"/>
      <c r="AH1156" s="36"/>
      <c r="AI1156" s="36"/>
      <c r="AJ1156" s="36"/>
    </row>
    <row r="1157" ht="15.75" customHeight="1">
      <c r="A1157" s="12"/>
      <c r="B1157" s="390"/>
      <c r="C1157" s="390"/>
      <c r="D1157" s="390"/>
      <c r="E1157" s="121"/>
      <c r="F1157" s="121"/>
      <c r="G1157" s="121"/>
      <c r="H1157" s="121"/>
      <c r="I1157" s="121"/>
      <c r="J1157" s="121"/>
      <c r="K1157" s="121"/>
      <c r="L1157" s="121"/>
      <c r="M1157" s="121"/>
      <c r="N1157" s="121"/>
      <c r="O1157" s="121"/>
      <c r="P1157" s="121"/>
      <c r="Q1157" s="121"/>
      <c r="R1157" s="121"/>
      <c r="S1157" s="121"/>
      <c r="T1157" s="121"/>
      <c r="U1157" s="121"/>
      <c r="V1157" s="121"/>
      <c r="W1157" s="121"/>
      <c r="X1157" s="121"/>
      <c r="Y1157" s="121"/>
      <c r="Z1157" s="121"/>
      <c r="AA1157" s="121"/>
      <c r="AB1157" s="121"/>
      <c r="AC1157" s="121"/>
      <c r="AD1157" s="121"/>
      <c r="AE1157" s="121"/>
      <c r="AF1157" s="36"/>
      <c r="AG1157" s="36"/>
      <c r="AH1157" s="36"/>
      <c r="AI1157" s="36"/>
      <c r="AJ1157" s="36"/>
    </row>
    <row r="1158" ht="15.75" customHeight="1">
      <c r="A1158" s="36" t="s">
        <v>215</v>
      </c>
      <c r="B1158" s="36">
        <v>1.0</v>
      </c>
      <c r="C1158" s="36">
        <v>2.0</v>
      </c>
      <c r="D1158" s="36">
        <v>3.0</v>
      </c>
      <c r="E1158" s="36">
        <v>4.0</v>
      </c>
      <c r="F1158" s="36">
        <v>5.0</v>
      </c>
      <c r="G1158" s="36">
        <v>6.0</v>
      </c>
      <c r="H1158" s="36">
        <v>7.0</v>
      </c>
      <c r="I1158" s="36">
        <v>8.0</v>
      </c>
      <c r="J1158" s="36">
        <v>9.0</v>
      </c>
      <c r="K1158" s="36">
        <v>10.0</v>
      </c>
      <c r="L1158" s="36">
        <v>11.0</v>
      </c>
      <c r="M1158" s="36">
        <v>12.0</v>
      </c>
      <c r="N1158" s="36">
        <v>13.0</v>
      </c>
      <c r="O1158" s="36">
        <v>14.0</v>
      </c>
      <c r="P1158" s="36">
        <v>15.0</v>
      </c>
      <c r="Q1158" s="36">
        <v>16.0</v>
      </c>
      <c r="R1158" s="36">
        <v>17.0</v>
      </c>
      <c r="S1158" s="36">
        <v>18.0</v>
      </c>
      <c r="T1158" s="36">
        <v>19.0</v>
      </c>
      <c r="U1158" s="36">
        <v>20.0</v>
      </c>
      <c r="V1158" s="36">
        <v>21.0</v>
      </c>
      <c r="W1158" s="36">
        <v>22.0</v>
      </c>
      <c r="X1158" s="36">
        <v>23.0</v>
      </c>
      <c r="Y1158" s="36">
        <v>24.0</v>
      </c>
      <c r="Z1158" s="36">
        <v>25.0</v>
      </c>
      <c r="AA1158" s="36">
        <v>26.0</v>
      </c>
      <c r="AB1158" s="36">
        <v>27.0</v>
      </c>
      <c r="AC1158" s="36">
        <v>28.0</v>
      </c>
      <c r="AD1158" s="36">
        <v>29.0</v>
      </c>
      <c r="AE1158" s="36">
        <v>30.0</v>
      </c>
      <c r="AF1158" s="36"/>
      <c r="AG1158" s="36"/>
      <c r="AH1158" s="36"/>
      <c r="AI1158" s="36"/>
      <c r="AJ1158" s="36"/>
    </row>
    <row r="1159" ht="15.75" customHeight="1">
      <c r="A1159" s="12" t="s">
        <v>217</v>
      </c>
      <c r="B1159" s="12">
        <v>0.0</v>
      </c>
      <c r="C1159" s="12">
        <v>0.0</v>
      </c>
      <c r="D1159" s="12">
        <v>0.0</v>
      </c>
      <c r="E1159" s="12">
        <v>0.0</v>
      </c>
      <c r="F1159" s="12">
        <v>0.0</v>
      </c>
      <c r="G1159" s="12">
        <v>0.0</v>
      </c>
      <c r="H1159" s="12">
        <v>0.0</v>
      </c>
      <c r="I1159" s="12">
        <v>0.0</v>
      </c>
      <c r="J1159" s="12">
        <v>0.0</v>
      </c>
      <c r="K1159" s="12">
        <v>0.0</v>
      </c>
      <c r="L1159" s="12">
        <v>0.0</v>
      </c>
      <c r="M1159" s="12">
        <v>0.0</v>
      </c>
      <c r="N1159" s="12">
        <v>0.0</v>
      </c>
      <c r="O1159" s="12">
        <v>0.0</v>
      </c>
      <c r="P1159" s="12">
        <v>0.0</v>
      </c>
      <c r="Q1159" s="12">
        <v>0.0</v>
      </c>
      <c r="R1159" s="12">
        <v>0.0</v>
      </c>
      <c r="S1159" s="12">
        <v>0.0</v>
      </c>
      <c r="T1159" s="12">
        <v>0.0</v>
      </c>
      <c r="U1159" s="12">
        <v>0.0</v>
      </c>
      <c r="V1159" s="12">
        <v>0.0</v>
      </c>
      <c r="W1159" s="12">
        <v>0.0</v>
      </c>
      <c r="X1159" s="12">
        <v>0.0</v>
      </c>
      <c r="Y1159" s="12">
        <v>0.0</v>
      </c>
      <c r="Z1159" s="12">
        <v>0.0</v>
      </c>
      <c r="AA1159" s="12">
        <v>0.0</v>
      </c>
      <c r="AB1159" s="12">
        <v>0.0</v>
      </c>
      <c r="AC1159" s="12">
        <v>0.0</v>
      </c>
      <c r="AD1159" s="12">
        <v>0.0</v>
      </c>
      <c r="AE1159" s="12">
        <v>0.0</v>
      </c>
      <c r="AF1159" s="36"/>
      <c r="AG1159" s="36"/>
      <c r="AH1159" s="36"/>
      <c r="AI1159" s="36"/>
      <c r="AJ1159" s="36"/>
    </row>
    <row r="1160" ht="15.75" customHeight="1">
      <c r="A1160" s="12" t="s">
        <v>218</v>
      </c>
      <c r="B1160" s="194">
        <v>0.0014</v>
      </c>
      <c r="C1160" s="194">
        <v>0.0014</v>
      </c>
      <c r="D1160" s="194">
        <v>0.0014</v>
      </c>
      <c r="E1160" s="194">
        <v>0.0014</v>
      </c>
      <c r="F1160" s="194">
        <v>0.0014</v>
      </c>
      <c r="G1160" s="194">
        <v>0.0014</v>
      </c>
      <c r="H1160" s="194">
        <v>0.0014</v>
      </c>
      <c r="I1160" s="194">
        <v>0.0014</v>
      </c>
      <c r="J1160" s="194">
        <v>0.0014</v>
      </c>
      <c r="K1160" s="194">
        <v>0.0014</v>
      </c>
      <c r="L1160" s="194">
        <v>0.0014</v>
      </c>
      <c r="M1160" s="194">
        <v>0.0014</v>
      </c>
      <c r="N1160" s="194">
        <v>0.0014</v>
      </c>
      <c r="O1160" s="194">
        <v>0.0014</v>
      </c>
      <c r="P1160" s="194">
        <v>0.0014</v>
      </c>
      <c r="Q1160" s="194">
        <v>0.0014</v>
      </c>
      <c r="R1160" s="194">
        <v>0.0014</v>
      </c>
      <c r="S1160" s="194">
        <v>0.0014</v>
      </c>
      <c r="T1160" s="194">
        <v>0.0014</v>
      </c>
      <c r="U1160" s="194">
        <v>0.0014</v>
      </c>
      <c r="V1160" s="194">
        <v>0.0014</v>
      </c>
      <c r="W1160" s="194">
        <v>0.0014</v>
      </c>
      <c r="X1160" s="194">
        <v>0.0014</v>
      </c>
      <c r="Y1160" s="194">
        <v>0.0014</v>
      </c>
      <c r="Z1160" s="194">
        <v>0.0014</v>
      </c>
      <c r="AA1160" s="194">
        <v>0.0014</v>
      </c>
      <c r="AB1160" s="194">
        <v>0.0014</v>
      </c>
      <c r="AC1160" s="194">
        <v>0.0014</v>
      </c>
      <c r="AD1160" s="194">
        <v>0.0014</v>
      </c>
      <c r="AE1160" s="194">
        <v>0.0014</v>
      </c>
      <c r="AF1160" s="36"/>
      <c r="AG1160" s="36"/>
      <c r="AH1160" s="36"/>
      <c r="AI1160" s="36"/>
      <c r="AJ1160" s="36"/>
    </row>
    <row r="1161" ht="15.75" customHeight="1">
      <c r="A1161" s="12"/>
      <c r="B1161" s="390"/>
      <c r="C1161" s="390"/>
      <c r="D1161" s="390"/>
      <c r="E1161" s="121"/>
      <c r="F1161" s="121"/>
      <c r="G1161" s="121"/>
      <c r="H1161" s="121"/>
      <c r="I1161" s="121"/>
      <c r="J1161" s="121"/>
      <c r="K1161" s="121"/>
      <c r="L1161" s="121"/>
      <c r="M1161" s="121"/>
      <c r="N1161" s="121"/>
      <c r="O1161" s="121"/>
      <c r="P1161" s="121"/>
      <c r="Q1161" s="121"/>
      <c r="R1161" s="121"/>
      <c r="S1161" s="121"/>
      <c r="T1161" s="121"/>
      <c r="U1161" s="121"/>
      <c r="V1161" s="121"/>
      <c r="W1161" s="121"/>
      <c r="X1161" s="121"/>
      <c r="Y1161" s="121"/>
      <c r="Z1161" s="121"/>
      <c r="AA1161" s="121"/>
      <c r="AB1161" s="121"/>
      <c r="AC1161" s="121"/>
      <c r="AD1161" s="121"/>
      <c r="AE1161" s="121"/>
      <c r="AF1161" s="36"/>
      <c r="AG1161" s="36"/>
      <c r="AH1161" s="36"/>
      <c r="AI1161" s="36"/>
      <c r="AJ1161" s="36"/>
    </row>
    <row r="1162" ht="15.75" customHeight="1">
      <c r="A1162" s="357" t="s">
        <v>1566</v>
      </c>
      <c r="B1162" s="390"/>
      <c r="C1162" s="390"/>
      <c r="D1162" s="390"/>
      <c r="E1162" s="121"/>
      <c r="F1162" s="121"/>
      <c r="G1162" s="121"/>
      <c r="H1162" s="121"/>
      <c r="I1162" s="121"/>
      <c r="J1162" s="121"/>
      <c r="K1162" s="121"/>
      <c r="L1162" s="121"/>
      <c r="M1162" s="121"/>
      <c r="N1162" s="121"/>
      <c r="O1162" s="121"/>
      <c r="P1162" s="121"/>
      <c r="Q1162" s="121"/>
      <c r="R1162" s="121"/>
      <c r="S1162" s="121"/>
      <c r="T1162" s="121"/>
      <c r="U1162" s="121"/>
      <c r="V1162" s="121"/>
      <c r="W1162" s="121"/>
      <c r="X1162" s="121"/>
      <c r="Y1162" s="121"/>
      <c r="Z1162" s="121"/>
      <c r="AA1162" s="121"/>
      <c r="AB1162" s="121"/>
      <c r="AC1162" s="121"/>
      <c r="AD1162" s="121"/>
      <c r="AE1162" s="121"/>
      <c r="AF1162" s="36"/>
      <c r="AG1162" s="36"/>
      <c r="AH1162" s="36"/>
      <c r="AI1162" s="36"/>
      <c r="AJ1162" s="36"/>
    </row>
    <row r="1163" ht="15.75" customHeight="1">
      <c r="A1163" s="12"/>
      <c r="B1163" s="390"/>
      <c r="C1163" s="390"/>
      <c r="D1163" s="390"/>
      <c r="E1163" s="121"/>
      <c r="F1163" s="121"/>
      <c r="G1163" s="121"/>
      <c r="H1163" s="121"/>
      <c r="I1163" s="121"/>
      <c r="J1163" s="121"/>
      <c r="K1163" s="121"/>
      <c r="L1163" s="121"/>
      <c r="M1163" s="121"/>
      <c r="N1163" s="121"/>
      <c r="O1163" s="121"/>
      <c r="P1163" s="121"/>
      <c r="Q1163" s="121"/>
      <c r="R1163" s="121"/>
      <c r="S1163" s="121"/>
      <c r="T1163" s="121"/>
      <c r="U1163" s="121"/>
      <c r="V1163" s="121"/>
      <c r="W1163" s="121"/>
      <c r="X1163" s="121"/>
      <c r="Y1163" s="121"/>
      <c r="Z1163" s="121"/>
      <c r="AA1163" s="121"/>
      <c r="AB1163" s="121"/>
      <c r="AC1163" s="121"/>
      <c r="AD1163" s="121"/>
      <c r="AE1163" s="121"/>
      <c r="AF1163" s="36"/>
      <c r="AG1163" s="36"/>
      <c r="AH1163" s="36"/>
      <c r="AI1163" s="36"/>
      <c r="AJ1163" s="36"/>
    </row>
    <row r="1164" ht="15.75" customHeight="1">
      <c r="A1164" s="36" t="s">
        <v>215</v>
      </c>
      <c r="B1164" s="36">
        <v>1.0</v>
      </c>
      <c r="C1164" s="36">
        <v>2.0</v>
      </c>
      <c r="D1164" s="36">
        <v>3.0</v>
      </c>
      <c r="E1164" s="36">
        <v>4.0</v>
      </c>
      <c r="F1164" s="36">
        <v>5.0</v>
      </c>
      <c r="G1164" s="36">
        <v>6.0</v>
      </c>
      <c r="H1164" s="36">
        <v>7.0</v>
      </c>
      <c r="I1164" s="36">
        <v>8.0</v>
      </c>
      <c r="J1164" s="36">
        <v>9.0</v>
      </c>
      <c r="K1164" s="36">
        <v>10.0</v>
      </c>
      <c r="L1164" s="36">
        <v>11.0</v>
      </c>
      <c r="M1164" s="36">
        <v>12.0</v>
      </c>
      <c r="N1164" s="36">
        <v>13.0</v>
      </c>
      <c r="O1164" s="36">
        <v>14.0</v>
      </c>
      <c r="P1164" s="36">
        <v>15.0</v>
      </c>
      <c r="Q1164" s="36">
        <v>16.0</v>
      </c>
      <c r="R1164" s="36">
        <v>17.0</v>
      </c>
      <c r="S1164" s="36">
        <v>18.0</v>
      </c>
      <c r="T1164" s="36">
        <v>19.0</v>
      </c>
      <c r="U1164" s="36">
        <v>20.0</v>
      </c>
      <c r="V1164" s="36">
        <v>21.0</v>
      </c>
      <c r="W1164" s="36">
        <v>22.0</v>
      </c>
      <c r="X1164" s="36">
        <v>23.0</v>
      </c>
      <c r="Y1164" s="36">
        <v>24.0</v>
      </c>
      <c r="Z1164" s="36">
        <v>25.0</v>
      </c>
      <c r="AA1164" s="36">
        <v>26.0</v>
      </c>
      <c r="AB1164" s="36">
        <v>27.0</v>
      </c>
      <c r="AC1164" s="36">
        <v>28.0</v>
      </c>
      <c r="AD1164" s="36">
        <v>29.0</v>
      </c>
      <c r="AE1164" s="36">
        <v>30.0</v>
      </c>
      <c r="AF1164" s="36"/>
      <c r="AG1164" s="36"/>
      <c r="AH1164" s="36"/>
      <c r="AI1164" s="36"/>
      <c r="AJ1164" s="36"/>
    </row>
    <row r="1165" ht="15.75" customHeight="1">
      <c r="A1165" s="12" t="s">
        <v>217</v>
      </c>
      <c r="B1165" s="12">
        <v>0.0</v>
      </c>
      <c r="C1165" s="12">
        <v>0.0</v>
      </c>
      <c r="D1165" s="12">
        <v>0.0</v>
      </c>
      <c r="E1165" s="12">
        <v>0.0</v>
      </c>
      <c r="F1165" s="12">
        <v>0.0</v>
      </c>
      <c r="G1165" s="12">
        <v>0.0</v>
      </c>
      <c r="H1165" s="12">
        <v>0.0</v>
      </c>
      <c r="I1165" s="12">
        <v>0.0</v>
      </c>
      <c r="J1165" s="12">
        <v>0.0</v>
      </c>
      <c r="K1165" s="12">
        <v>0.0</v>
      </c>
      <c r="L1165" s="12">
        <v>0.0</v>
      </c>
      <c r="M1165" s="12">
        <v>0.0</v>
      </c>
      <c r="N1165" s="12">
        <v>0.0</v>
      </c>
      <c r="O1165" s="12">
        <v>0.0</v>
      </c>
      <c r="P1165" s="12">
        <v>0.0</v>
      </c>
      <c r="Q1165" s="12">
        <v>0.0</v>
      </c>
      <c r="R1165" s="12">
        <v>0.0</v>
      </c>
      <c r="S1165" s="12">
        <v>0.0</v>
      </c>
      <c r="T1165" s="12">
        <v>0.0</v>
      </c>
      <c r="U1165" s="12">
        <v>0.0</v>
      </c>
      <c r="V1165" s="12">
        <v>0.0</v>
      </c>
      <c r="W1165" s="12">
        <v>0.0</v>
      </c>
      <c r="X1165" s="12">
        <v>0.0</v>
      </c>
      <c r="Y1165" s="12">
        <v>0.0</v>
      </c>
      <c r="Z1165" s="12">
        <v>0.0</v>
      </c>
      <c r="AA1165" s="12">
        <v>0.0</v>
      </c>
      <c r="AB1165" s="12">
        <v>0.0</v>
      </c>
      <c r="AC1165" s="12">
        <v>0.0</v>
      </c>
      <c r="AD1165" s="12">
        <v>0.0</v>
      </c>
      <c r="AE1165" s="12">
        <v>0.0</v>
      </c>
      <c r="AF1165" s="36"/>
      <c r="AG1165" s="36"/>
      <c r="AH1165" s="36"/>
      <c r="AI1165" s="36"/>
      <c r="AJ1165" s="36"/>
    </row>
    <row r="1166" ht="15.75" customHeight="1">
      <c r="A1166" s="12" t="s">
        <v>218</v>
      </c>
      <c r="B1166" s="194">
        <f>IF(AND(Mod_Prem&gt;=48000,Mod_Prem&lt;120000),0.25%,IF(Mod_Prem&gt;=120000,0.15%))</f>
        <v>0.0025</v>
      </c>
      <c r="C1166" s="194">
        <f>IF(AND(Mod_Prem&gt;=48000,Mod_Prem&lt;120000),0.25%,IF(Mod_Prem&gt;=120000,0.15%))</f>
        <v>0.0025</v>
      </c>
      <c r="D1166" s="194">
        <f>IF(AND(Mod_Prem&gt;=48000,Mod_Prem&lt;120000),0.25%,IF(Mod_Prem&gt;=120000,0.15%))</f>
        <v>0.0025</v>
      </c>
      <c r="E1166" s="194">
        <f>IF(AND(Mod_Prem&gt;=48000,Mod_Prem&lt;120000),0.25%,IF(Mod_Prem&gt;=120000,0.15%))</f>
        <v>0.0025</v>
      </c>
      <c r="F1166" s="194">
        <f>IF(AND(Mod_Prem&gt;=48000,Mod_Prem&lt;120000),0.25%,IF(Mod_Prem&gt;=120000,0.15%))</f>
        <v>0.0025</v>
      </c>
      <c r="G1166" s="194">
        <f>IF(AND(Mod_Prem&gt;=48000,Mod_Prem&lt;120000),0.25%,IF(Mod_Prem&gt;=120000,0.15%))</f>
        <v>0.0025</v>
      </c>
      <c r="H1166" s="194">
        <f>IF(AND(Mod_Prem&gt;=48000,Mod_Prem&lt;120000),0.25%,IF(Mod_Prem&gt;=120000,0.15%))</f>
        <v>0.0025</v>
      </c>
      <c r="I1166" s="194">
        <f>IF(AND(Mod_Prem&gt;=48000,Mod_Prem&lt;120000),0.25%,IF(Mod_Prem&gt;=120000,0.15%))</f>
        <v>0.0025</v>
      </c>
      <c r="J1166" s="194">
        <f>IF(AND(Mod_Prem&gt;=48000,Mod_Prem&lt;120000),0.25%,IF(Mod_Prem&gt;=120000,0.15%))</f>
        <v>0.0025</v>
      </c>
      <c r="K1166" s="194">
        <f>IF(AND(Mod_Prem&gt;=48000,Mod_Prem&lt;120000),0.25%,IF(Mod_Prem&gt;=120000,0.15%))</f>
        <v>0.0025</v>
      </c>
      <c r="L1166" s="194">
        <f>IF(AND(Mod_Prem&gt;=48000,Mod_Prem&lt;120000),0.25%,IF(Mod_Prem&gt;=120000,0.15%))</f>
        <v>0.0025</v>
      </c>
      <c r="M1166" s="194">
        <f>IF(AND(Mod_Prem&gt;=48000,Mod_Prem&lt;120000),0.25%,IF(Mod_Prem&gt;=120000,0.15%))</f>
        <v>0.0025</v>
      </c>
      <c r="N1166" s="194">
        <f>IF(AND(Mod_Prem&gt;=48000,Mod_Prem&lt;120000),0.25%,IF(Mod_Prem&gt;=120000,0.15%))</f>
        <v>0.0025</v>
      </c>
      <c r="O1166" s="194">
        <f>IF(AND(Mod_Prem&gt;=48000,Mod_Prem&lt;120000),0.25%,IF(Mod_Prem&gt;=120000,0.15%))</f>
        <v>0.0025</v>
      </c>
      <c r="P1166" s="194">
        <f>IF(AND(Mod_Prem&gt;=48000,Mod_Prem&lt;120000),0.25%,IF(Mod_Prem&gt;=120000,0.15%))</f>
        <v>0.0025</v>
      </c>
      <c r="Q1166" s="194">
        <f>IF(AND(Mod_Prem&gt;=48000,Mod_Prem&lt;120000),0.25%,IF(Mod_Prem&gt;=120000,0.15%))</f>
        <v>0.0025</v>
      </c>
      <c r="R1166" s="194">
        <f>IF(AND(Mod_Prem&gt;=48000,Mod_Prem&lt;120000),0.25%,IF(Mod_Prem&gt;=120000,0.15%))</f>
        <v>0.0025</v>
      </c>
      <c r="S1166" s="194">
        <f>IF(AND(Mod_Prem&gt;=48000,Mod_Prem&lt;120000),0.25%,IF(Mod_Prem&gt;=120000,0.15%))</f>
        <v>0.0025</v>
      </c>
      <c r="T1166" s="194">
        <f>IF(AND(Mod_Prem&gt;=48000,Mod_Prem&lt;120000),0.25%,IF(Mod_Prem&gt;=120000,0.15%))</f>
        <v>0.0025</v>
      </c>
      <c r="U1166" s="194">
        <f>IF(AND(Mod_Prem&gt;=48000,Mod_Prem&lt;120000),0.25%,IF(Mod_Prem&gt;=120000,0.15%))</f>
        <v>0.0025</v>
      </c>
      <c r="V1166" s="194">
        <f>IF(AND(Mod_Prem&gt;=48000,Mod_Prem&lt;120000),0.25%,IF(Mod_Prem&gt;=120000,0.15%))</f>
        <v>0.0025</v>
      </c>
      <c r="W1166" s="194">
        <f>IF(AND(Mod_Prem&gt;=48000,Mod_Prem&lt;120000),0.25%,IF(Mod_Prem&gt;=120000,0.15%))</f>
        <v>0.0025</v>
      </c>
      <c r="X1166" s="194">
        <f>IF(AND(Mod_Prem&gt;=48000,Mod_Prem&lt;120000),0.25%,IF(Mod_Prem&gt;=120000,0.15%))</f>
        <v>0.0025</v>
      </c>
      <c r="Y1166" s="194">
        <f>IF(AND(Mod_Prem&gt;=48000,Mod_Prem&lt;120000),0.25%,IF(Mod_Prem&gt;=120000,0.15%))</f>
        <v>0.0025</v>
      </c>
      <c r="Z1166" s="194">
        <f>IF(AND(Mod_Prem&gt;=48000,Mod_Prem&lt;120000),0.25%,IF(Mod_Prem&gt;=120000,0.15%))</f>
        <v>0.0025</v>
      </c>
      <c r="AA1166" s="194">
        <f>IF(AND(Mod_Prem&gt;=48000,Mod_Prem&lt;120000),0.25%,IF(Mod_Prem&gt;=120000,0.15%))</f>
        <v>0.0025</v>
      </c>
      <c r="AB1166" s="194">
        <f>IF(AND(Mod_Prem&gt;=48000,Mod_Prem&lt;120000),0.25%,IF(Mod_Prem&gt;=120000,0.15%))</f>
        <v>0.0025</v>
      </c>
      <c r="AC1166" s="194">
        <f>IF(AND(Mod_Prem&gt;=48000,Mod_Prem&lt;120000),0.25%,IF(Mod_Prem&gt;=120000,0.15%))</f>
        <v>0.0025</v>
      </c>
      <c r="AD1166" s="194">
        <f>IF(AND(Mod_Prem&gt;=48000,Mod_Prem&lt;120000),0.25%,IF(Mod_Prem&gt;=120000,0.15%))</f>
        <v>0.0025</v>
      </c>
      <c r="AE1166" s="194">
        <f>IF(AND(Mod_Prem&gt;=48000,Mod_Prem&lt;120000),0.25%,IF(Mod_Prem&gt;=120000,0.15%))</f>
        <v>0.0025</v>
      </c>
      <c r="AF1166" s="36"/>
      <c r="AG1166" s="36"/>
      <c r="AH1166" s="36"/>
      <c r="AI1166" s="36"/>
      <c r="AJ1166" s="36"/>
    </row>
    <row r="1167" ht="15.75" customHeight="1">
      <c r="A1167" s="12"/>
      <c r="B1167" s="390"/>
      <c r="C1167" s="390"/>
      <c r="D1167" s="390"/>
      <c r="E1167" s="121"/>
      <c r="F1167" s="121"/>
      <c r="G1167" s="121"/>
      <c r="H1167" s="121"/>
      <c r="I1167" s="121"/>
      <c r="J1167" s="121"/>
      <c r="K1167" s="121"/>
      <c r="L1167" s="121"/>
      <c r="M1167" s="121"/>
      <c r="N1167" s="121"/>
      <c r="O1167" s="121"/>
      <c r="P1167" s="121"/>
      <c r="Q1167" s="121"/>
      <c r="R1167" s="121"/>
      <c r="S1167" s="121"/>
      <c r="T1167" s="121"/>
      <c r="U1167" s="121"/>
      <c r="V1167" s="121"/>
      <c r="W1167" s="121"/>
      <c r="X1167" s="121"/>
      <c r="Y1167" s="121"/>
      <c r="Z1167" s="121"/>
      <c r="AA1167" s="121"/>
      <c r="AB1167" s="121"/>
      <c r="AC1167" s="121"/>
      <c r="AD1167" s="121"/>
      <c r="AE1167" s="121"/>
      <c r="AF1167" s="36"/>
      <c r="AG1167" s="36"/>
      <c r="AH1167" s="36"/>
      <c r="AI1167" s="36"/>
      <c r="AJ1167" s="36"/>
    </row>
    <row r="1168" ht="15.75" customHeight="1">
      <c r="A1168" s="357" t="s">
        <v>1570</v>
      </c>
      <c r="B1168" s="390"/>
      <c r="C1168" s="390"/>
      <c r="D1168" s="390"/>
      <c r="E1168" s="121"/>
      <c r="F1168" s="121"/>
      <c r="G1168" s="121"/>
      <c r="H1168" s="121"/>
      <c r="I1168" s="121"/>
      <c r="J1168" s="121"/>
      <c r="K1168" s="121"/>
      <c r="L1168" s="121"/>
      <c r="M1168" s="121"/>
      <c r="N1168" s="121"/>
      <c r="O1168" s="121"/>
      <c r="P1168" s="121"/>
      <c r="Q1168" s="121"/>
      <c r="R1168" s="121"/>
      <c r="S1168" s="121"/>
      <c r="T1168" s="121"/>
      <c r="U1168" s="121"/>
      <c r="V1168" s="121"/>
      <c r="W1168" s="121"/>
      <c r="X1168" s="121"/>
      <c r="Y1168" s="121"/>
      <c r="Z1168" s="121"/>
      <c r="AA1168" s="121"/>
      <c r="AB1168" s="121"/>
      <c r="AC1168" s="121"/>
      <c r="AD1168" s="121"/>
      <c r="AE1168" s="121"/>
      <c r="AF1168" s="36"/>
      <c r="AG1168" s="36"/>
      <c r="AH1168" s="36"/>
      <c r="AI1168" s="36"/>
      <c r="AJ1168" s="36"/>
    </row>
    <row r="1169" ht="15.75" customHeight="1">
      <c r="A1169" s="12"/>
      <c r="B1169" s="390"/>
      <c r="C1169" s="390"/>
      <c r="D1169" s="390"/>
      <c r="E1169" s="121"/>
      <c r="F1169" s="121"/>
      <c r="G1169" s="121"/>
      <c r="H1169" s="121"/>
      <c r="I1169" s="121"/>
      <c r="J1169" s="121"/>
      <c r="K1169" s="121"/>
      <c r="L1169" s="121"/>
      <c r="M1169" s="121"/>
      <c r="N1169" s="121"/>
      <c r="O1169" s="121"/>
      <c r="P1169" s="121"/>
      <c r="Q1169" s="121"/>
      <c r="R1169" s="121"/>
      <c r="S1169" s="121"/>
      <c r="T1169" s="121"/>
      <c r="U1169" s="121"/>
      <c r="V1169" s="121"/>
      <c r="W1169" s="121"/>
      <c r="X1169" s="121"/>
      <c r="Y1169" s="121"/>
      <c r="Z1169" s="121"/>
      <c r="AA1169" s="121"/>
      <c r="AB1169" s="121"/>
      <c r="AC1169" s="121"/>
      <c r="AD1169" s="121"/>
      <c r="AE1169" s="121"/>
      <c r="AF1169" s="36"/>
      <c r="AG1169" s="36"/>
      <c r="AH1169" s="36"/>
      <c r="AI1169" s="36"/>
      <c r="AJ1169" s="36"/>
    </row>
    <row r="1170" ht="15.75" customHeight="1">
      <c r="A1170" s="36" t="s">
        <v>215</v>
      </c>
      <c r="B1170" s="36">
        <v>1.0</v>
      </c>
      <c r="C1170" s="36">
        <v>2.0</v>
      </c>
      <c r="D1170" s="36">
        <v>3.0</v>
      </c>
      <c r="E1170" s="36">
        <v>4.0</v>
      </c>
      <c r="F1170" s="36">
        <v>5.0</v>
      </c>
      <c r="G1170" s="36">
        <v>6.0</v>
      </c>
      <c r="H1170" s="36">
        <v>7.0</v>
      </c>
      <c r="I1170" s="36">
        <v>8.0</v>
      </c>
      <c r="J1170" s="36">
        <v>9.0</v>
      </c>
      <c r="K1170" s="36">
        <v>10.0</v>
      </c>
      <c r="L1170" s="36">
        <v>11.0</v>
      </c>
      <c r="M1170" s="36">
        <v>12.0</v>
      </c>
      <c r="N1170" s="36">
        <v>13.0</v>
      </c>
      <c r="O1170" s="36">
        <v>14.0</v>
      </c>
      <c r="P1170" s="36">
        <v>15.0</v>
      </c>
      <c r="Q1170" s="36">
        <v>16.0</v>
      </c>
      <c r="R1170" s="36">
        <v>17.0</v>
      </c>
      <c r="S1170" s="36">
        <v>18.0</v>
      </c>
      <c r="T1170" s="36">
        <v>19.0</v>
      </c>
      <c r="U1170" s="36">
        <v>20.0</v>
      </c>
      <c r="V1170" s="36">
        <v>21.0</v>
      </c>
      <c r="W1170" s="36">
        <v>22.0</v>
      </c>
      <c r="X1170" s="36">
        <v>23.0</v>
      </c>
      <c r="Y1170" s="36">
        <v>24.0</v>
      </c>
      <c r="Z1170" s="36">
        <v>25.0</v>
      </c>
      <c r="AA1170" s="36">
        <v>26.0</v>
      </c>
      <c r="AB1170" s="36">
        <v>27.0</v>
      </c>
      <c r="AC1170" s="36">
        <v>28.0</v>
      </c>
      <c r="AD1170" s="36">
        <v>29.0</v>
      </c>
      <c r="AE1170" s="36">
        <v>30.0</v>
      </c>
      <c r="AF1170" s="36"/>
      <c r="AG1170" s="36"/>
      <c r="AH1170" s="36"/>
      <c r="AI1170" s="36"/>
      <c r="AJ1170" s="36"/>
    </row>
    <row r="1171" ht="15.75" customHeight="1">
      <c r="A1171" s="12" t="s">
        <v>217</v>
      </c>
      <c r="B1171" s="12">
        <v>0.0</v>
      </c>
      <c r="C1171" s="12">
        <v>0.0</v>
      </c>
      <c r="D1171" s="12">
        <v>0.0</v>
      </c>
      <c r="E1171" s="12">
        <v>0.0</v>
      </c>
      <c r="F1171" s="12">
        <v>0.0</v>
      </c>
      <c r="G1171" s="12">
        <v>0.0</v>
      </c>
      <c r="H1171" s="12">
        <v>0.0</v>
      </c>
      <c r="I1171" s="12">
        <v>0.0</v>
      </c>
      <c r="J1171" s="12">
        <v>0.0</v>
      </c>
      <c r="K1171" s="12">
        <v>0.0</v>
      </c>
      <c r="L1171" s="12">
        <v>0.0</v>
      </c>
      <c r="M1171" s="12">
        <v>0.0</v>
      </c>
      <c r="N1171" s="12">
        <v>0.0</v>
      </c>
      <c r="O1171" s="12">
        <v>0.0</v>
      </c>
      <c r="P1171" s="12">
        <v>0.0</v>
      </c>
      <c r="Q1171" s="12">
        <v>0.0</v>
      </c>
      <c r="R1171" s="12">
        <v>0.0</v>
      </c>
      <c r="S1171" s="12">
        <v>0.0</v>
      </c>
      <c r="T1171" s="12">
        <v>0.0</v>
      </c>
      <c r="U1171" s="12">
        <v>0.0</v>
      </c>
      <c r="V1171" s="12">
        <v>0.0</v>
      </c>
      <c r="W1171" s="12">
        <v>0.0</v>
      </c>
      <c r="X1171" s="12">
        <v>0.0</v>
      </c>
      <c r="Y1171" s="12">
        <v>0.0</v>
      </c>
      <c r="Z1171" s="12">
        <v>0.0</v>
      </c>
      <c r="AA1171" s="12">
        <v>0.0</v>
      </c>
      <c r="AB1171" s="12">
        <v>0.0</v>
      </c>
      <c r="AC1171" s="12">
        <v>0.0</v>
      </c>
      <c r="AD1171" s="12">
        <v>0.0</v>
      </c>
      <c r="AE1171" s="12">
        <v>0.0</v>
      </c>
      <c r="AF1171" s="36"/>
      <c r="AG1171" s="36"/>
      <c r="AH1171" s="36"/>
      <c r="AI1171" s="36"/>
      <c r="AJ1171" s="36"/>
    </row>
    <row r="1172" ht="15.75" customHeight="1">
      <c r="A1172" s="12" t="s">
        <v>218</v>
      </c>
      <c r="B1172" s="194">
        <f>IF(AND(Mod_Prem&gt;=48000,Mod_Prem&lt;120000),0.25%,IF(Mod_Prem&gt;=120000,0.15%))</f>
        <v>0.0025</v>
      </c>
      <c r="C1172" s="194">
        <f>IF(AND(Mod_Prem&gt;=48000,Mod_Prem&lt;120000),0.25%,IF(Mod_Prem&gt;=120000,0.15%))</f>
        <v>0.0025</v>
      </c>
      <c r="D1172" s="194">
        <f>IF(AND(Mod_Prem&gt;=48000,Mod_Prem&lt;120000),0.25%,IF(Mod_Prem&gt;=120000,0.15%))</f>
        <v>0.0025</v>
      </c>
      <c r="E1172" s="194">
        <f>IF(AND(Mod_Prem&gt;=48000,Mod_Prem&lt;120000),0.25%,IF(Mod_Prem&gt;=120000,0.15%))</f>
        <v>0.0025</v>
      </c>
      <c r="F1172" s="194">
        <f>IF(AND(Mod_Prem&gt;=48000,Mod_Prem&lt;120000),0.25%,IF(Mod_Prem&gt;=120000,0.15%))</f>
        <v>0.0025</v>
      </c>
      <c r="G1172" s="194">
        <f>IF(AND(Mod_Prem&gt;=48000,Mod_Prem&lt;120000),0.25%,IF(Mod_Prem&gt;=120000,0.15%))</f>
        <v>0.0025</v>
      </c>
      <c r="H1172" s="194">
        <f>IF(AND(Mod_Prem&gt;=48000,Mod_Prem&lt;120000),0.25%,IF(Mod_Prem&gt;=120000,0.15%))</f>
        <v>0.0025</v>
      </c>
      <c r="I1172" s="194">
        <f>IF(AND(Mod_Prem&gt;=48000,Mod_Prem&lt;120000),0.25%,IF(Mod_Prem&gt;=120000,0.15%))</f>
        <v>0.0025</v>
      </c>
      <c r="J1172" s="194">
        <f>IF(AND(Mod_Prem&gt;=48000,Mod_Prem&lt;120000),0.25%,IF(Mod_Prem&gt;=120000,0.15%))</f>
        <v>0.0025</v>
      </c>
      <c r="K1172" s="194">
        <f>IF(AND(Mod_Prem&gt;=48000,Mod_Prem&lt;120000),0.25%,IF(Mod_Prem&gt;=120000,0.15%))</f>
        <v>0.0025</v>
      </c>
      <c r="L1172" s="194">
        <f>IF(AND(Mod_Prem&gt;=48000,Mod_Prem&lt;120000),0.25%,IF(Mod_Prem&gt;=120000,0.15%))</f>
        <v>0.0025</v>
      </c>
      <c r="M1172" s="194">
        <f>IF(AND(Mod_Prem&gt;=48000,Mod_Prem&lt;120000),0.25%,IF(Mod_Prem&gt;=120000,0.15%))</f>
        <v>0.0025</v>
      </c>
      <c r="N1172" s="194">
        <f>IF(AND(Mod_Prem&gt;=48000,Mod_Prem&lt;120000),0.25%,IF(Mod_Prem&gt;=120000,0.15%))</f>
        <v>0.0025</v>
      </c>
      <c r="O1172" s="194">
        <f>IF(AND(Mod_Prem&gt;=48000,Mod_Prem&lt;120000),0.25%,IF(Mod_Prem&gt;=120000,0.15%))</f>
        <v>0.0025</v>
      </c>
      <c r="P1172" s="194">
        <f>IF(AND(Mod_Prem&gt;=48000,Mod_Prem&lt;120000),0.25%,IF(Mod_Prem&gt;=120000,0.15%))</f>
        <v>0.0025</v>
      </c>
      <c r="Q1172" s="194">
        <f>IF(AND(Mod_Prem&gt;=48000,Mod_Prem&lt;120000),0.25%,IF(Mod_Prem&gt;=120000,0.15%))</f>
        <v>0.0025</v>
      </c>
      <c r="R1172" s="194">
        <f>IF(AND(Mod_Prem&gt;=48000,Mod_Prem&lt;120000),0.25%,IF(Mod_Prem&gt;=120000,0.15%))</f>
        <v>0.0025</v>
      </c>
      <c r="S1172" s="194">
        <f>IF(AND(Mod_Prem&gt;=48000,Mod_Prem&lt;120000),0.25%,IF(Mod_Prem&gt;=120000,0.15%))</f>
        <v>0.0025</v>
      </c>
      <c r="T1172" s="194">
        <f>IF(AND(Mod_Prem&gt;=48000,Mod_Prem&lt;120000),0.25%,IF(Mod_Prem&gt;=120000,0.15%))</f>
        <v>0.0025</v>
      </c>
      <c r="U1172" s="194">
        <f>IF(AND(Mod_Prem&gt;=48000,Mod_Prem&lt;120000),0.25%,IF(Mod_Prem&gt;=120000,0.15%))</f>
        <v>0.0025</v>
      </c>
      <c r="V1172" s="194">
        <f>IF(AND(Mod_Prem&gt;=48000,Mod_Prem&lt;120000),0.25%,IF(Mod_Prem&gt;=120000,0.15%))</f>
        <v>0.0025</v>
      </c>
      <c r="W1172" s="194">
        <f>IF(AND(Mod_Prem&gt;=48000,Mod_Prem&lt;120000),0.25%,IF(Mod_Prem&gt;=120000,0.15%))</f>
        <v>0.0025</v>
      </c>
      <c r="X1172" s="194">
        <f>IF(AND(Mod_Prem&gt;=48000,Mod_Prem&lt;120000),0.25%,IF(Mod_Prem&gt;=120000,0.15%))</f>
        <v>0.0025</v>
      </c>
      <c r="Y1172" s="194">
        <f>IF(AND(Mod_Prem&gt;=48000,Mod_Prem&lt;120000),0.25%,IF(Mod_Prem&gt;=120000,0.15%))</f>
        <v>0.0025</v>
      </c>
      <c r="Z1172" s="194">
        <f>IF(AND(Mod_Prem&gt;=48000,Mod_Prem&lt;120000),0.25%,IF(Mod_Prem&gt;=120000,0.15%))</f>
        <v>0.0025</v>
      </c>
      <c r="AA1172" s="194">
        <f>IF(AND(Mod_Prem&gt;=48000,Mod_Prem&lt;120000),0.25%,IF(Mod_Prem&gt;=120000,0.15%))</f>
        <v>0.0025</v>
      </c>
      <c r="AB1172" s="194">
        <f>IF(AND(Mod_Prem&gt;=48000,Mod_Prem&lt;120000),0.25%,IF(Mod_Prem&gt;=120000,0.15%))</f>
        <v>0.0025</v>
      </c>
      <c r="AC1172" s="194">
        <f>IF(AND(Mod_Prem&gt;=48000,Mod_Prem&lt;120000),0.25%,IF(Mod_Prem&gt;=120000,0.15%))</f>
        <v>0.0025</v>
      </c>
      <c r="AD1172" s="194">
        <f>IF(AND(Mod_Prem&gt;=48000,Mod_Prem&lt;120000),0.25%,IF(Mod_Prem&gt;=120000,0.15%))</f>
        <v>0.0025</v>
      </c>
      <c r="AE1172" s="194">
        <f>IF(AND(Mod_Prem&gt;=48000,Mod_Prem&lt;120000),0.25%,IF(Mod_Prem&gt;=120000,0.15%))</f>
        <v>0.0025</v>
      </c>
      <c r="AF1172" s="36"/>
      <c r="AG1172" s="36"/>
      <c r="AH1172" s="36"/>
      <c r="AI1172" s="36"/>
      <c r="AJ1172" s="36"/>
    </row>
    <row r="1173" ht="15.75" customHeight="1">
      <c r="A1173" s="12"/>
      <c r="B1173" s="390"/>
      <c r="C1173" s="390"/>
      <c r="D1173" s="390"/>
      <c r="E1173" s="121"/>
      <c r="F1173" s="121"/>
      <c r="G1173" s="121"/>
      <c r="H1173" s="121"/>
      <c r="I1173" s="121"/>
      <c r="J1173" s="121"/>
      <c r="K1173" s="121"/>
      <c r="L1173" s="121"/>
      <c r="M1173" s="121"/>
      <c r="N1173" s="121"/>
      <c r="O1173" s="121"/>
      <c r="P1173" s="121"/>
      <c r="Q1173" s="121"/>
      <c r="R1173" s="121"/>
      <c r="S1173" s="121"/>
      <c r="T1173" s="121"/>
      <c r="U1173" s="121"/>
      <c r="V1173" s="121"/>
      <c r="W1173" s="121"/>
      <c r="X1173" s="121"/>
      <c r="Y1173" s="121"/>
      <c r="Z1173" s="121"/>
      <c r="AA1173" s="121"/>
      <c r="AB1173" s="121"/>
      <c r="AC1173" s="121"/>
      <c r="AD1173" s="121"/>
      <c r="AE1173" s="121"/>
      <c r="AF1173" s="36"/>
      <c r="AG1173" s="36"/>
      <c r="AH1173" s="36"/>
      <c r="AI1173" s="36"/>
      <c r="AJ1173" s="36"/>
    </row>
    <row r="1174" ht="15.75" customHeight="1">
      <c r="A1174" s="357" t="s">
        <v>1574</v>
      </c>
      <c r="B1174" s="390"/>
      <c r="C1174" s="390"/>
      <c r="D1174" s="390"/>
      <c r="E1174" s="121"/>
      <c r="F1174" s="121"/>
      <c r="G1174" s="121"/>
      <c r="H1174" s="121"/>
      <c r="I1174" s="121"/>
      <c r="J1174" s="121"/>
      <c r="K1174" s="121"/>
      <c r="L1174" s="121"/>
      <c r="M1174" s="121"/>
      <c r="N1174" s="121"/>
      <c r="O1174" s="121"/>
      <c r="P1174" s="121"/>
      <c r="Q1174" s="121"/>
      <c r="R1174" s="121"/>
      <c r="S1174" s="121"/>
      <c r="T1174" s="121"/>
      <c r="U1174" s="121"/>
      <c r="V1174" s="121"/>
      <c r="W1174" s="121"/>
      <c r="X1174" s="121"/>
      <c r="Y1174" s="121"/>
      <c r="Z1174" s="121"/>
      <c r="AA1174" s="121"/>
      <c r="AB1174" s="121"/>
      <c r="AC1174" s="121"/>
      <c r="AD1174" s="121"/>
      <c r="AE1174" s="121"/>
      <c r="AF1174" s="36"/>
      <c r="AG1174" s="36"/>
      <c r="AH1174" s="36"/>
      <c r="AI1174" s="36"/>
      <c r="AJ1174" s="36"/>
    </row>
    <row r="1175" ht="15.75" customHeight="1">
      <c r="A1175" s="12"/>
      <c r="B1175" s="390"/>
      <c r="C1175" s="390"/>
      <c r="D1175" s="390"/>
      <c r="E1175" s="121"/>
      <c r="F1175" s="121"/>
      <c r="G1175" s="121"/>
      <c r="H1175" s="121"/>
      <c r="I1175" s="121"/>
      <c r="J1175" s="121"/>
      <c r="K1175" s="121"/>
      <c r="L1175" s="121"/>
      <c r="M1175" s="121"/>
      <c r="N1175" s="121"/>
      <c r="O1175" s="121"/>
      <c r="P1175" s="121"/>
      <c r="Q1175" s="121"/>
      <c r="R1175" s="121"/>
      <c r="S1175" s="121"/>
      <c r="T1175" s="121"/>
      <c r="U1175" s="121"/>
      <c r="V1175" s="121"/>
      <c r="W1175" s="121"/>
      <c r="X1175" s="121"/>
      <c r="Y1175" s="121"/>
      <c r="Z1175" s="121"/>
      <c r="AA1175" s="121"/>
      <c r="AB1175" s="121"/>
      <c r="AC1175" s="121"/>
      <c r="AD1175" s="121"/>
      <c r="AE1175" s="121"/>
      <c r="AF1175" s="36"/>
      <c r="AG1175" s="36"/>
      <c r="AH1175" s="36"/>
      <c r="AI1175" s="36"/>
      <c r="AJ1175" s="36"/>
    </row>
    <row r="1176" ht="15.75" customHeight="1">
      <c r="A1176" s="36" t="s">
        <v>215</v>
      </c>
      <c r="B1176" s="36">
        <v>1.0</v>
      </c>
      <c r="C1176" s="36">
        <v>2.0</v>
      </c>
      <c r="D1176" s="36">
        <v>3.0</v>
      </c>
      <c r="E1176" s="36">
        <v>4.0</v>
      </c>
      <c r="F1176" s="36">
        <v>5.0</v>
      </c>
      <c r="G1176" s="36">
        <v>6.0</v>
      </c>
      <c r="H1176" s="36">
        <v>7.0</v>
      </c>
      <c r="I1176" s="36">
        <v>8.0</v>
      </c>
      <c r="J1176" s="36">
        <v>9.0</v>
      </c>
      <c r="K1176" s="36">
        <v>10.0</v>
      </c>
      <c r="L1176" s="36">
        <v>11.0</v>
      </c>
      <c r="M1176" s="36">
        <v>12.0</v>
      </c>
      <c r="N1176" s="36">
        <v>13.0</v>
      </c>
      <c r="O1176" s="36">
        <v>14.0</v>
      </c>
      <c r="P1176" s="36">
        <v>15.0</v>
      </c>
      <c r="Q1176" s="36">
        <v>16.0</v>
      </c>
      <c r="R1176" s="36">
        <v>17.0</v>
      </c>
      <c r="S1176" s="36">
        <v>18.0</v>
      </c>
      <c r="T1176" s="36">
        <v>19.0</v>
      </c>
      <c r="U1176" s="36">
        <v>20.0</v>
      </c>
      <c r="V1176" s="36">
        <v>21.0</v>
      </c>
      <c r="W1176" s="36">
        <v>22.0</v>
      </c>
      <c r="X1176" s="36">
        <v>23.0</v>
      </c>
      <c r="Y1176" s="36">
        <v>24.0</v>
      </c>
      <c r="Z1176" s="36">
        <v>25.0</v>
      </c>
      <c r="AA1176" s="36">
        <v>26.0</v>
      </c>
      <c r="AB1176" s="36">
        <v>27.0</v>
      </c>
      <c r="AC1176" s="36">
        <v>28.0</v>
      </c>
      <c r="AD1176" s="36">
        <v>29.0</v>
      </c>
      <c r="AE1176" s="36">
        <v>30.0</v>
      </c>
      <c r="AF1176" s="36"/>
      <c r="AG1176" s="36"/>
      <c r="AH1176" s="36"/>
      <c r="AI1176" s="36"/>
      <c r="AJ1176" s="36"/>
    </row>
    <row r="1177" ht="15.75" customHeight="1">
      <c r="A1177" s="12" t="s">
        <v>217</v>
      </c>
      <c r="B1177" s="401">
        <f>IF(AND(Mod_Prem&gt;=20000,Mod_Prem&lt;30000),70,IF(AND(Mod_Prem&gt;=30000,Mod_Prem&lt;50000),100,IF(Mod_Prem&gt;=50000,150)))</f>
        <v>150</v>
      </c>
      <c r="C1177" s="401">
        <f>IF(AND(Mod_Prem&gt;=20000,Mod_Prem&lt;30000),70,IF(AND(Mod_Prem&gt;=30000,Mod_Prem&lt;50000),100,IF(Mod_Prem&gt;=50000,150)))</f>
        <v>150</v>
      </c>
      <c r="D1177" s="401">
        <f>IF(AND(Mod_Prem&gt;=20000,Mod_Prem&lt;30000),70,IF(AND(Mod_Prem&gt;=30000,Mod_Prem&lt;50000),100,IF(Mod_Prem&gt;=50000,150)))</f>
        <v>150</v>
      </c>
      <c r="E1177" s="401">
        <f>IF(AND(Mod_Prem&gt;=20000,Mod_Prem&lt;30000),70,IF(AND(Mod_Prem&gt;=30000,Mod_Prem&lt;50000),100,IF(Mod_Prem&gt;=50000,150)))</f>
        <v>150</v>
      </c>
      <c r="F1177" s="401">
        <f>IF(AND(Mod_Prem&gt;=20000,Mod_Prem&lt;30000),70,IF(AND(Mod_Prem&gt;=30000,Mod_Prem&lt;50000),100,IF(Mod_Prem&gt;=50000,150)))</f>
        <v>150</v>
      </c>
      <c r="G1177" s="401">
        <f>IF(AND(Mod_Prem&gt;=20000,Mod_Prem&lt;30000),70,IF(AND(Mod_Prem&gt;=30000,Mod_Prem&lt;50000),100,IF(Mod_Prem&gt;=50000,150)))</f>
        <v>150</v>
      </c>
      <c r="H1177" s="401">
        <f>IF(AND(Mod_Prem&gt;=20000,Mod_Prem&lt;30000),70,IF(AND(Mod_Prem&gt;=30000,Mod_Prem&lt;50000),100,IF(Mod_Prem&gt;=50000,150)))</f>
        <v>150</v>
      </c>
      <c r="I1177" s="401">
        <f>IF(AND(Mod_Prem&gt;=20000,Mod_Prem&lt;30000),70,IF(AND(Mod_Prem&gt;=30000,Mod_Prem&lt;50000),100,IF(Mod_Prem&gt;=50000,150)))</f>
        <v>150</v>
      </c>
      <c r="J1177" s="401">
        <f>IF(AND(Mod_Prem&gt;=20000,Mod_Prem&lt;30000),70,IF(AND(Mod_Prem&gt;=30000,Mod_Prem&lt;50000),100,IF(Mod_Prem&gt;=50000,150)))</f>
        <v>150</v>
      </c>
      <c r="K1177" s="401">
        <f>IF(AND(Mod_Prem&gt;=20000,Mod_Prem&lt;30000),70,IF(AND(Mod_Prem&gt;=30000,Mod_Prem&lt;50000),100,IF(Mod_Prem&gt;=50000,150)))</f>
        <v>150</v>
      </c>
      <c r="L1177" s="401">
        <f>IF(AND(Mod_Prem&gt;=20000,Mod_Prem&lt;30000),70,IF(AND(Mod_Prem&gt;=30000,Mod_Prem&lt;50000),100,IF(Mod_Prem&gt;=50000,150)))</f>
        <v>150</v>
      </c>
      <c r="M1177" s="401">
        <f>IF(AND(Mod_Prem&gt;=20000,Mod_Prem&lt;30000),70,IF(AND(Mod_Prem&gt;=30000,Mod_Prem&lt;50000),100,IF(Mod_Prem&gt;=50000,150)))</f>
        <v>150</v>
      </c>
      <c r="N1177" s="401">
        <f>IF(AND(Mod_Prem&gt;=20000,Mod_Prem&lt;30000),70,IF(AND(Mod_Prem&gt;=30000,Mod_Prem&lt;50000),100,IF(Mod_Prem&gt;=50000,150)))</f>
        <v>150</v>
      </c>
      <c r="O1177" s="401">
        <f>IF(AND(Mod_Prem&gt;=20000,Mod_Prem&lt;30000),70,IF(AND(Mod_Prem&gt;=30000,Mod_Prem&lt;50000),100,IF(Mod_Prem&gt;=50000,150)))</f>
        <v>150</v>
      </c>
      <c r="P1177" s="401">
        <f>IF(AND(Mod_Prem&gt;=20000,Mod_Prem&lt;30000),70,IF(AND(Mod_Prem&gt;=30000,Mod_Prem&lt;50000),100,IF(Mod_Prem&gt;=50000,150)))</f>
        <v>150</v>
      </c>
      <c r="Q1177" s="401">
        <f>IF(AND(Mod_Prem&gt;=20000,Mod_Prem&lt;30000),70,IF(AND(Mod_Prem&gt;=30000,Mod_Prem&lt;50000),100,IF(Mod_Prem&gt;=50000,150)))</f>
        <v>150</v>
      </c>
      <c r="R1177" s="401">
        <f>IF(AND(Mod_Prem&gt;=20000,Mod_Prem&lt;30000),70,IF(AND(Mod_Prem&gt;=30000,Mod_Prem&lt;50000),100,IF(Mod_Prem&gt;=50000,150)))</f>
        <v>150</v>
      </c>
      <c r="S1177" s="401">
        <f>IF(AND(Mod_Prem&gt;=20000,Mod_Prem&lt;30000),70,IF(AND(Mod_Prem&gt;=30000,Mod_Prem&lt;50000),100,IF(Mod_Prem&gt;=50000,150)))</f>
        <v>150</v>
      </c>
      <c r="T1177" s="401">
        <f>IF(AND(Mod_Prem&gt;=20000,Mod_Prem&lt;30000),70,IF(AND(Mod_Prem&gt;=30000,Mod_Prem&lt;50000),100,IF(Mod_Prem&gt;=50000,150)))</f>
        <v>150</v>
      </c>
      <c r="U1177" s="401">
        <f>IF(AND(Mod_Prem&gt;=20000,Mod_Prem&lt;30000),70,IF(AND(Mod_Prem&gt;=30000,Mod_Prem&lt;50000),100,IF(Mod_Prem&gt;=50000,150)))</f>
        <v>150</v>
      </c>
      <c r="V1177" s="401">
        <f>IF(AND(Mod_Prem&gt;=20000,Mod_Prem&lt;30000),70,IF(AND(Mod_Prem&gt;=30000,Mod_Prem&lt;50000),100,IF(Mod_Prem&gt;=50000,150)))</f>
        <v>150</v>
      </c>
      <c r="W1177" s="401">
        <f>IF(AND(Mod_Prem&gt;=20000,Mod_Prem&lt;30000),70,IF(AND(Mod_Prem&gt;=30000,Mod_Prem&lt;50000),100,IF(Mod_Prem&gt;=50000,150)))</f>
        <v>150</v>
      </c>
      <c r="X1177" s="401">
        <f>IF(AND(Mod_Prem&gt;=20000,Mod_Prem&lt;30000),70,IF(AND(Mod_Prem&gt;=30000,Mod_Prem&lt;50000),100,IF(Mod_Prem&gt;=50000,150)))</f>
        <v>150</v>
      </c>
      <c r="Y1177" s="401">
        <f>IF(AND(Mod_Prem&gt;=20000,Mod_Prem&lt;30000),70,IF(AND(Mod_Prem&gt;=30000,Mod_Prem&lt;50000),100,IF(Mod_Prem&gt;=50000,150)))</f>
        <v>150</v>
      </c>
      <c r="Z1177" s="401">
        <f>IF(AND(Mod_Prem&gt;=20000,Mod_Prem&lt;30000),70,IF(AND(Mod_Prem&gt;=30000,Mod_Prem&lt;50000),100,IF(Mod_Prem&gt;=50000,150)))</f>
        <v>150</v>
      </c>
      <c r="AA1177" s="401">
        <f>IF(AND(Mod_Prem&gt;=20000,Mod_Prem&lt;30000),70,IF(AND(Mod_Prem&gt;=30000,Mod_Prem&lt;50000),100,IF(Mod_Prem&gt;=50000,150)))</f>
        <v>150</v>
      </c>
      <c r="AB1177" s="401">
        <f>IF(AND(Mod_Prem&gt;=20000,Mod_Prem&lt;30000),70,IF(AND(Mod_Prem&gt;=30000,Mod_Prem&lt;50000),100,IF(Mod_Prem&gt;=50000,150)))</f>
        <v>150</v>
      </c>
      <c r="AC1177" s="401">
        <f>IF(AND(Mod_Prem&gt;=20000,Mod_Prem&lt;30000),70,IF(AND(Mod_Prem&gt;=30000,Mod_Prem&lt;50000),100,IF(Mod_Prem&gt;=50000,150)))</f>
        <v>150</v>
      </c>
      <c r="AD1177" s="401">
        <f>IF(AND(Mod_Prem&gt;=20000,Mod_Prem&lt;30000),70,IF(AND(Mod_Prem&gt;=30000,Mod_Prem&lt;50000),100,IF(Mod_Prem&gt;=50000,150)))</f>
        <v>150</v>
      </c>
      <c r="AE1177" s="401">
        <f>IF(AND(Mod_Prem&gt;=20000,Mod_Prem&lt;30000),70,IF(AND(Mod_Prem&gt;=30000,Mod_Prem&lt;50000),100,IF(Mod_Prem&gt;=50000,150)))</f>
        <v>150</v>
      </c>
      <c r="AF1177" s="36"/>
      <c r="AG1177" s="36"/>
      <c r="AH1177" s="36"/>
      <c r="AI1177" s="36"/>
      <c r="AJ1177" s="36"/>
    </row>
    <row r="1178" ht="15.75" customHeight="1">
      <c r="A1178" s="12" t="s">
        <v>218</v>
      </c>
      <c r="B1178" s="194">
        <v>0.0</v>
      </c>
      <c r="C1178" s="194">
        <v>0.0</v>
      </c>
      <c r="D1178" s="194">
        <v>0.0</v>
      </c>
      <c r="E1178" s="194">
        <v>0.0</v>
      </c>
      <c r="F1178" s="194">
        <v>0.0</v>
      </c>
      <c r="G1178" s="194">
        <v>0.0</v>
      </c>
      <c r="H1178" s="194">
        <v>0.0</v>
      </c>
      <c r="I1178" s="194">
        <v>0.0</v>
      </c>
      <c r="J1178" s="194">
        <v>0.0</v>
      </c>
      <c r="K1178" s="194">
        <v>0.0</v>
      </c>
      <c r="L1178" s="194">
        <v>0.0</v>
      </c>
      <c r="M1178" s="194">
        <v>0.0</v>
      </c>
      <c r="N1178" s="194">
        <v>0.0</v>
      </c>
      <c r="O1178" s="194">
        <v>0.0</v>
      </c>
      <c r="P1178" s="194">
        <v>0.0</v>
      </c>
      <c r="Q1178" s="194">
        <v>0.0</v>
      </c>
      <c r="R1178" s="194">
        <v>0.0</v>
      </c>
      <c r="S1178" s="194">
        <v>0.0</v>
      </c>
      <c r="T1178" s="194">
        <v>0.0</v>
      </c>
      <c r="U1178" s="194">
        <v>0.0</v>
      </c>
      <c r="V1178" s="194">
        <v>0.0</v>
      </c>
      <c r="W1178" s="194">
        <v>0.0</v>
      </c>
      <c r="X1178" s="194">
        <v>0.0</v>
      </c>
      <c r="Y1178" s="194">
        <v>0.0</v>
      </c>
      <c r="Z1178" s="194">
        <v>0.0</v>
      </c>
      <c r="AA1178" s="194">
        <v>0.0</v>
      </c>
      <c r="AB1178" s="194">
        <v>0.0</v>
      </c>
      <c r="AC1178" s="194">
        <v>0.0</v>
      </c>
      <c r="AD1178" s="194">
        <v>0.0</v>
      </c>
      <c r="AE1178" s="194">
        <v>0.0</v>
      </c>
      <c r="AF1178" s="36"/>
      <c r="AG1178" s="36"/>
      <c r="AH1178" s="36"/>
      <c r="AI1178" s="36"/>
      <c r="AJ1178" s="36"/>
    </row>
    <row r="1179" ht="15.75" customHeight="1">
      <c r="A1179" s="12"/>
      <c r="B1179" s="390"/>
      <c r="C1179" s="390"/>
      <c r="D1179" s="390"/>
      <c r="E1179" s="121"/>
      <c r="F1179" s="121"/>
      <c r="G1179" s="121"/>
      <c r="H1179" s="121"/>
      <c r="I1179" s="121"/>
      <c r="J1179" s="121"/>
      <c r="K1179" s="121"/>
      <c r="L1179" s="121"/>
      <c r="M1179" s="121"/>
      <c r="N1179" s="121"/>
      <c r="O1179" s="121"/>
      <c r="P1179" s="121"/>
      <c r="Q1179" s="121"/>
      <c r="R1179" s="121"/>
      <c r="S1179" s="121"/>
      <c r="T1179" s="121"/>
      <c r="U1179" s="121"/>
      <c r="V1179" s="121"/>
      <c r="W1179" s="121"/>
      <c r="X1179" s="121"/>
      <c r="Y1179" s="121"/>
      <c r="Z1179" s="121"/>
      <c r="AA1179" s="121"/>
      <c r="AB1179" s="121"/>
      <c r="AC1179" s="121"/>
      <c r="AD1179" s="121"/>
      <c r="AE1179" s="121"/>
      <c r="AF1179" s="36"/>
      <c r="AG1179" s="36"/>
      <c r="AH1179" s="36"/>
      <c r="AI1179" s="36"/>
      <c r="AJ1179" s="36"/>
    </row>
    <row r="1180" ht="15.75" customHeight="1">
      <c r="A1180" s="357" t="s">
        <v>1578</v>
      </c>
      <c r="B1180" s="390"/>
      <c r="C1180" s="390"/>
      <c r="D1180" s="390"/>
      <c r="E1180" s="121"/>
      <c r="F1180" s="121"/>
      <c r="G1180" s="121"/>
      <c r="H1180" s="121"/>
      <c r="I1180" s="121"/>
      <c r="J1180" s="121"/>
      <c r="K1180" s="121"/>
      <c r="L1180" s="121"/>
      <c r="M1180" s="121"/>
      <c r="N1180" s="121"/>
      <c r="O1180" s="121"/>
      <c r="P1180" s="121"/>
      <c r="Q1180" s="121"/>
      <c r="R1180" s="121"/>
      <c r="S1180" s="121"/>
      <c r="T1180" s="121"/>
      <c r="U1180" s="121"/>
      <c r="V1180" s="121"/>
      <c r="W1180" s="121"/>
      <c r="X1180" s="121"/>
      <c r="Y1180" s="121"/>
      <c r="Z1180" s="121"/>
      <c r="AA1180" s="121"/>
      <c r="AB1180" s="121"/>
      <c r="AC1180" s="121"/>
      <c r="AD1180" s="121"/>
      <c r="AE1180" s="121"/>
      <c r="AF1180" s="36"/>
      <c r="AG1180" s="36"/>
      <c r="AH1180" s="36"/>
      <c r="AI1180" s="36"/>
      <c r="AJ1180" s="36"/>
    </row>
    <row r="1181" ht="15.75" customHeight="1">
      <c r="A1181" s="12"/>
      <c r="B1181" s="390"/>
      <c r="C1181" s="390"/>
      <c r="D1181" s="390"/>
      <c r="E1181" s="121"/>
      <c r="F1181" s="121"/>
      <c r="G1181" s="121"/>
      <c r="H1181" s="121"/>
      <c r="I1181" s="121"/>
      <c r="J1181" s="121"/>
      <c r="K1181" s="121"/>
      <c r="L1181" s="121"/>
      <c r="M1181" s="121"/>
      <c r="N1181" s="121"/>
      <c r="O1181" s="121"/>
      <c r="P1181" s="121"/>
      <c r="Q1181" s="121"/>
      <c r="R1181" s="121"/>
      <c r="S1181" s="121"/>
      <c r="T1181" s="121"/>
      <c r="U1181" s="121"/>
      <c r="V1181" s="121"/>
      <c r="W1181" s="121"/>
      <c r="X1181" s="121"/>
      <c r="Y1181" s="121"/>
      <c r="Z1181" s="121"/>
      <c r="AA1181" s="121"/>
      <c r="AB1181" s="121"/>
      <c r="AC1181" s="121"/>
      <c r="AD1181" s="121"/>
      <c r="AE1181" s="121"/>
      <c r="AF1181" s="36"/>
      <c r="AG1181" s="36"/>
      <c r="AH1181" s="36"/>
      <c r="AI1181" s="36"/>
      <c r="AJ1181" s="36"/>
    </row>
    <row r="1182" ht="15.75" customHeight="1">
      <c r="A1182" s="36" t="s">
        <v>215</v>
      </c>
      <c r="B1182" s="36">
        <v>1.0</v>
      </c>
      <c r="C1182" s="36">
        <v>2.0</v>
      </c>
      <c r="D1182" s="36">
        <v>3.0</v>
      </c>
      <c r="E1182" s="36">
        <v>4.0</v>
      </c>
      <c r="F1182" s="36">
        <v>5.0</v>
      </c>
      <c r="G1182" s="36">
        <v>6.0</v>
      </c>
      <c r="H1182" s="36">
        <v>7.0</v>
      </c>
      <c r="I1182" s="36">
        <v>8.0</v>
      </c>
      <c r="J1182" s="36">
        <v>9.0</v>
      </c>
      <c r="K1182" s="36">
        <v>10.0</v>
      </c>
      <c r="L1182" s="36">
        <v>11.0</v>
      </c>
      <c r="M1182" s="36">
        <v>12.0</v>
      </c>
      <c r="N1182" s="36">
        <v>13.0</v>
      </c>
      <c r="O1182" s="36">
        <v>14.0</v>
      </c>
      <c r="P1182" s="36">
        <v>15.0</v>
      </c>
      <c r="Q1182" s="36">
        <v>16.0</v>
      </c>
      <c r="R1182" s="36">
        <v>17.0</v>
      </c>
      <c r="S1182" s="36">
        <v>18.0</v>
      </c>
      <c r="T1182" s="36">
        <v>19.0</v>
      </c>
      <c r="U1182" s="36">
        <v>20.0</v>
      </c>
      <c r="V1182" s="36">
        <v>21.0</v>
      </c>
      <c r="W1182" s="36">
        <v>22.0</v>
      </c>
      <c r="X1182" s="36">
        <v>23.0</v>
      </c>
      <c r="Y1182" s="36">
        <v>24.0</v>
      </c>
      <c r="Z1182" s="36">
        <v>25.0</v>
      </c>
      <c r="AA1182" s="36">
        <v>26.0</v>
      </c>
      <c r="AB1182" s="36">
        <v>27.0</v>
      </c>
      <c r="AC1182" s="36">
        <v>28.0</v>
      </c>
      <c r="AD1182" s="36">
        <v>29.0</v>
      </c>
      <c r="AE1182" s="36">
        <v>30.0</v>
      </c>
      <c r="AF1182" s="36"/>
      <c r="AG1182" s="36"/>
      <c r="AH1182" s="36"/>
      <c r="AI1182" s="36"/>
      <c r="AJ1182" s="36"/>
    </row>
    <row r="1183" ht="15.75" customHeight="1">
      <c r="A1183" s="12" t="s">
        <v>217</v>
      </c>
      <c r="B1183" s="401">
        <f>IF(AND(Mod_Prem&gt;=24000,Mod_Prem&lt;30000),75,IF(AND(Mod_Prem&gt;=30000,Mod_Prem&lt;40000),95,IF(Mod_Prem&gt;=40000,115)))</f>
        <v>115</v>
      </c>
      <c r="C1183" s="401">
        <f>IF(AND(Mod_Prem&gt;=24000,Mod_Prem&lt;30000),75,IF(AND(Mod_Prem&gt;=30000,Mod_Prem&lt;40000),95,IF(Mod_Prem&gt;=40000,115)))</f>
        <v>115</v>
      </c>
      <c r="D1183" s="401">
        <f>IF(AND(Mod_Prem&gt;=24000,Mod_Prem&lt;30000),75,IF(AND(Mod_Prem&gt;=30000,Mod_Prem&lt;40000),95,IF(Mod_Prem&gt;=40000,115)))</f>
        <v>115</v>
      </c>
      <c r="E1183" s="401">
        <f>IF(AND(Mod_Prem&gt;=24000,Mod_Prem&lt;30000),75,IF(AND(Mod_Prem&gt;=30000,Mod_Prem&lt;40000),95,IF(Mod_Prem&gt;=40000,115)))</f>
        <v>115</v>
      </c>
      <c r="F1183" s="401">
        <f>IF(AND(Mod_Prem&gt;=24000,Mod_Prem&lt;30000),75,IF(AND(Mod_Prem&gt;=30000,Mod_Prem&lt;40000),95,IF(Mod_Prem&gt;=40000,115)))</f>
        <v>115</v>
      </c>
      <c r="G1183" s="401">
        <f>IF(AND(Mod_Prem&gt;=24000,Mod_Prem&lt;30000),75,IF(AND(Mod_Prem&gt;=30000,Mod_Prem&lt;40000),95,IF(Mod_Prem&gt;=40000,115)))</f>
        <v>115</v>
      </c>
      <c r="H1183" s="401">
        <f>IF(AND(Mod_Prem&gt;=24000,Mod_Prem&lt;30000),75,IF(AND(Mod_Prem&gt;=30000,Mod_Prem&lt;40000),95,IF(Mod_Prem&gt;=40000,115)))</f>
        <v>115</v>
      </c>
      <c r="I1183" s="401">
        <f>IF(AND(Mod_Prem&gt;=24000,Mod_Prem&lt;30000),75,IF(AND(Mod_Prem&gt;=30000,Mod_Prem&lt;40000),95,IF(Mod_Prem&gt;=40000,115)))</f>
        <v>115</v>
      </c>
      <c r="J1183" s="401">
        <f>IF(AND(Mod_Prem&gt;=24000,Mod_Prem&lt;30000),75,IF(AND(Mod_Prem&gt;=30000,Mod_Prem&lt;40000),95,IF(Mod_Prem&gt;=40000,115)))</f>
        <v>115</v>
      </c>
      <c r="K1183" s="401">
        <f>IF(AND(Mod_Prem&gt;=24000,Mod_Prem&lt;30000),75,IF(AND(Mod_Prem&gt;=30000,Mod_Prem&lt;40000),95,IF(Mod_Prem&gt;=40000,115)))</f>
        <v>115</v>
      </c>
      <c r="L1183" s="401">
        <f>IF(AND(Mod_Prem&gt;=24000,Mod_Prem&lt;30000),75,IF(AND(Mod_Prem&gt;=30000,Mod_Prem&lt;40000),95,IF(Mod_Prem&gt;=40000,115)))</f>
        <v>115</v>
      </c>
      <c r="M1183" s="401">
        <f>IF(AND(Mod_Prem&gt;=24000,Mod_Prem&lt;30000),75,IF(AND(Mod_Prem&gt;=30000,Mod_Prem&lt;40000),95,IF(Mod_Prem&gt;=40000,115)))</f>
        <v>115</v>
      </c>
      <c r="N1183" s="401">
        <f>IF(AND(Mod_Prem&gt;=24000,Mod_Prem&lt;30000),75,IF(AND(Mod_Prem&gt;=30000,Mod_Prem&lt;40000),95,IF(Mod_Prem&gt;=40000,115)))</f>
        <v>115</v>
      </c>
      <c r="O1183" s="401">
        <f>IF(AND(Mod_Prem&gt;=24000,Mod_Prem&lt;30000),75,IF(AND(Mod_Prem&gt;=30000,Mod_Prem&lt;40000),95,IF(Mod_Prem&gt;=40000,115)))</f>
        <v>115</v>
      </c>
      <c r="P1183" s="401">
        <f>IF(AND(Mod_Prem&gt;=24000,Mod_Prem&lt;30000),75,IF(AND(Mod_Prem&gt;=30000,Mod_Prem&lt;40000),95,IF(Mod_Prem&gt;=40000,115)))</f>
        <v>115</v>
      </c>
      <c r="Q1183" s="401">
        <f>IF(AND(Mod_Prem&gt;=24000,Mod_Prem&lt;30000),75,IF(AND(Mod_Prem&gt;=30000,Mod_Prem&lt;40000),95,IF(Mod_Prem&gt;=40000,115)))</f>
        <v>115</v>
      </c>
      <c r="R1183" s="401">
        <f>IF(AND(Mod_Prem&gt;=24000,Mod_Prem&lt;30000),75,IF(AND(Mod_Prem&gt;=30000,Mod_Prem&lt;40000),95,IF(Mod_Prem&gt;=40000,115)))</f>
        <v>115</v>
      </c>
      <c r="S1183" s="401">
        <f>IF(AND(Mod_Prem&gt;=24000,Mod_Prem&lt;30000),75,IF(AND(Mod_Prem&gt;=30000,Mod_Prem&lt;40000),95,IF(Mod_Prem&gt;=40000,115)))</f>
        <v>115</v>
      </c>
      <c r="T1183" s="401">
        <f>IF(AND(Mod_Prem&gt;=24000,Mod_Prem&lt;30000),75,IF(AND(Mod_Prem&gt;=30000,Mod_Prem&lt;40000),95,IF(Mod_Prem&gt;=40000,115)))</f>
        <v>115</v>
      </c>
      <c r="U1183" s="401">
        <f>IF(AND(Mod_Prem&gt;=24000,Mod_Prem&lt;30000),75,IF(AND(Mod_Prem&gt;=30000,Mod_Prem&lt;40000),95,IF(Mod_Prem&gt;=40000,115)))</f>
        <v>115</v>
      </c>
      <c r="V1183" s="401">
        <f>IF(AND(Mod_Prem&gt;=24000,Mod_Prem&lt;30000),75,IF(AND(Mod_Prem&gt;=30000,Mod_Prem&lt;40000),95,IF(Mod_Prem&gt;=40000,115)))</f>
        <v>115</v>
      </c>
      <c r="W1183" s="401">
        <f>IF(AND(Mod_Prem&gt;=24000,Mod_Prem&lt;30000),75,IF(AND(Mod_Prem&gt;=30000,Mod_Prem&lt;40000),95,IF(Mod_Prem&gt;=40000,115)))</f>
        <v>115</v>
      </c>
      <c r="X1183" s="401">
        <f>IF(AND(Mod_Prem&gt;=24000,Mod_Prem&lt;30000),75,IF(AND(Mod_Prem&gt;=30000,Mod_Prem&lt;40000),95,IF(Mod_Prem&gt;=40000,115)))</f>
        <v>115</v>
      </c>
      <c r="Y1183" s="401">
        <f>IF(AND(Mod_Prem&gt;=24000,Mod_Prem&lt;30000),75,IF(AND(Mod_Prem&gt;=30000,Mod_Prem&lt;40000),95,IF(Mod_Prem&gt;=40000,115)))</f>
        <v>115</v>
      </c>
      <c r="Z1183" s="401">
        <f>IF(AND(Mod_Prem&gt;=24000,Mod_Prem&lt;30000),75,IF(AND(Mod_Prem&gt;=30000,Mod_Prem&lt;40000),95,IF(Mod_Prem&gt;=40000,115)))</f>
        <v>115</v>
      </c>
      <c r="AA1183" s="401">
        <f>IF(AND(Mod_Prem&gt;=24000,Mod_Prem&lt;30000),75,IF(AND(Mod_Prem&gt;=30000,Mod_Prem&lt;40000),95,IF(Mod_Prem&gt;=40000,115)))</f>
        <v>115</v>
      </c>
      <c r="AB1183" s="401">
        <f>IF(AND(Mod_Prem&gt;=24000,Mod_Prem&lt;30000),75,IF(AND(Mod_Prem&gt;=30000,Mod_Prem&lt;40000),95,IF(Mod_Prem&gt;=40000,115)))</f>
        <v>115</v>
      </c>
      <c r="AC1183" s="401">
        <f>IF(AND(Mod_Prem&gt;=24000,Mod_Prem&lt;30000),75,IF(AND(Mod_Prem&gt;=30000,Mod_Prem&lt;40000),95,IF(Mod_Prem&gt;=40000,115)))</f>
        <v>115</v>
      </c>
      <c r="AD1183" s="401">
        <f>IF(AND(Mod_Prem&gt;=24000,Mod_Prem&lt;30000),75,IF(AND(Mod_Prem&gt;=30000,Mod_Prem&lt;40000),95,IF(Mod_Prem&gt;=40000,115)))</f>
        <v>115</v>
      </c>
      <c r="AE1183" s="401">
        <f>IF(AND(Mod_Prem&gt;=24000,Mod_Prem&lt;30000),75,IF(AND(Mod_Prem&gt;=30000,Mod_Prem&lt;40000),95,IF(Mod_Prem&gt;=40000,115)))</f>
        <v>115</v>
      </c>
      <c r="AF1183" s="36"/>
      <c r="AG1183" s="36"/>
      <c r="AH1183" s="36"/>
      <c r="AI1183" s="36"/>
      <c r="AJ1183" s="36"/>
    </row>
    <row r="1184" ht="15.75" customHeight="1">
      <c r="A1184" s="12" t="s">
        <v>218</v>
      </c>
      <c r="B1184" s="194">
        <v>0.0</v>
      </c>
      <c r="C1184" s="194">
        <v>0.0</v>
      </c>
      <c r="D1184" s="194">
        <v>0.0</v>
      </c>
      <c r="E1184" s="194">
        <v>0.0</v>
      </c>
      <c r="F1184" s="194">
        <v>0.0</v>
      </c>
      <c r="G1184" s="194">
        <v>0.0</v>
      </c>
      <c r="H1184" s="194">
        <v>0.0</v>
      </c>
      <c r="I1184" s="194">
        <v>0.0</v>
      </c>
      <c r="J1184" s="194">
        <v>0.0</v>
      </c>
      <c r="K1184" s="194">
        <v>0.0</v>
      </c>
      <c r="L1184" s="194">
        <v>0.0</v>
      </c>
      <c r="M1184" s="194">
        <v>0.0</v>
      </c>
      <c r="N1184" s="194">
        <v>0.0</v>
      </c>
      <c r="O1184" s="194">
        <v>0.0</v>
      </c>
      <c r="P1184" s="194">
        <v>0.0</v>
      </c>
      <c r="Q1184" s="194">
        <v>0.0</v>
      </c>
      <c r="R1184" s="194">
        <v>0.0</v>
      </c>
      <c r="S1184" s="194">
        <v>0.0</v>
      </c>
      <c r="T1184" s="194">
        <v>0.0</v>
      </c>
      <c r="U1184" s="194">
        <v>0.0</v>
      </c>
      <c r="V1184" s="194">
        <v>0.0</v>
      </c>
      <c r="W1184" s="194">
        <v>0.0</v>
      </c>
      <c r="X1184" s="194">
        <v>0.0</v>
      </c>
      <c r="Y1184" s="194">
        <v>0.0</v>
      </c>
      <c r="Z1184" s="194">
        <v>0.0</v>
      </c>
      <c r="AA1184" s="194">
        <v>0.0</v>
      </c>
      <c r="AB1184" s="194">
        <v>0.0</v>
      </c>
      <c r="AC1184" s="194">
        <v>0.0</v>
      </c>
      <c r="AD1184" s="194">
        <v>0.0</v>
      </c>
      <c r="AE1184" s="194">
        <v>0.0</v>
      </c>
      <c r="AF1184" s="36"/>
      <c r="AG1184" s="36"/>
      <c r="AH1184" s="36"/>
      <c r="AI1184" s="36"/>
      <c r="AJ1184" s="36"/>
    </row>
    <row r="1185" ht="15.75" customHeight="1">
      <c r="A1185" s="12"/>
      <c r="B1185" s="390"/>
      <c r="C1185" s="390"/>
      <c r="D1185" s="390"/>
      <c r="E1185" s="121"/>
      <c r="F1185" s="121"/>
      <c r="G1185" s="121"/>
      <c r="H1185" s="121"/>
      <c r="I1185" s="121"/>
      <c r="J1185" s="121"/>
      <c r="K1185" s="121"/>
      <c r="L1185" s="121"/>
      <c r="M1185" s="121"/>
      <c r="N1185" s="121"/>
      <c r="O1185" s="121"/>
      <c r="P1185" s="121"/>
      <c r="Q1185" s="121"/>
      <c r="R1185" s="121"/>
      <c r="S1185" s="121"/>
      <c r="T1185" s="121"/>
      <c r="U1185" s="121"/>
      <c r="V1185" s="121"/>
      <c r="W1185" s="121"/>
      <c r="X1185" s="121"/>
      <c r="Y1185" s="121"/>
      <c r="Z1185" s="121"/>
      <c r="AA1185" s="121"/>
      <c r="AB1185" s="121"/>
      <c r="AC1185" s="121"/>
      <c r="AD1185" s="121"/>
      <c r="AE1185" s="121"/>
      <c r="AF1185" s="36"/>
      <c r="AG1185" s="36"/>
      <c r="AH1185" s="36"/>
      <c r="AI1185" s="36"/>
      <c r="AJ1185" s="36"/>
    </row>
    <row r="1186" ht="15.75" customHeight="1">
      <c r="A1186" s="357" t="s">
        <v>1582</v>
      </c>
      <c r="B1186" s="390"/>
      <c r="C1186" s="390"/>
      <c r="D1186" s="390"/>
      <c r="E1186" s="121"/>
      <c r="F1186" s="121"/>
      <c r="G1186" s="121"/>
      <c r="H1186" s="121"/>
      <c r="I1186" s="121"/>
      <c r="J1186" s="121"/>
      <c r="K1186" s="121"/>
      <c r="L1186" s="121"/>
      <c r="M1186" s="121"/>
      <c r="N1186" s="121"/>
      <c r="O1186" s="121"/>
      <c r="P1186" s="121"/>
      <c r="Q1186" s="121"/>
      <c r="R1186" s="121"/>
      <c r="S1186" s="121"/>
      <c r="T1186" s="121"/>
      <c r="U1186" s="121"/>
      <c r="V1186" s="121"/>
      <c r="W1186" s="121"/>
      <c r="X1186" s="121"/>
      <c r="Y1186" s="121"/>
      <c r="Z1186" s="121"/>
      <c r="AA1186" s="121"/>
      <c r="AB1186" s="121"/>
      <c r="AC1186" s="121"/>
      <c r="AD1186" s="121"/>
      <c r="AE1186" s="121"/>
      <c r="AF1186" s="36"/>
      <c r="AG1186" s="36"/>
      <c r="AH1186" s="36"/>
      <c r="AI1186" s="36"/>
      <c r="AJ1186" s="36"/>
    </row>
    <row r="1187" ht="15.75" customHeight="1">
      <c r="A1187" s="12"/>
      <c r="B1187" s="390"/>
      <c r="C1187" s="390"/>
      <c r="D1187" s="390"/>
      <c r="E1187" s="121"/>
      <c r="F1187" s="121"/>
      <c r="G1187" s="121"/>
      <c r="H1187" s="121"/>
      <c r="I1187" s="121"/>
      <c r="J1187" s="121"/>
      <c r="K1187" s="121"/>
      <c r="L1187" s="121"/>
      <c r="M1187" s="121"/>
      <c r="N1187" s="121"/>
      <c r="O1187" s="121"/>
      <c r="P1187" s="121"/>
      <c r="Q1187" s="121"/>
      <c r="R1187" s="121"/>
      <c r="S1187" s="121"/>
      <c r="T1187" s="121"/>
      <c r="U1187" s="121"/>
      <c r="V1187" s="121"/>
      <c r="W1187" s="121"/>
      <c r="X1187" s="121"/>
      <c r="Y1187" s="121"/>
      <c r="Z1187" s="121"/>
      <c r="AA1187" s="121"/>
      <c r="AB1187" s="121"/>
      <c r="AC1187" s="121"/>
      <c r="AD1187" s="121"/>
      <c r="AE1187" s="121"/>
      <c r="AF1187" s="36"/>
      <c r="AG1187" s="36"/>
      <c r="AH1187" s="36"/>
      <c r="AI1187" s="36"/>
      <c r="AJ1187" s="36"/>
    </row>
    <row r="1188" ht="15.75" customHeight="1">
      <c r="A1188" s="36" t="s">
        <v>215</v>
      </c>
      <c r="B1188" s="36">
        <v>1.0</v>
      </c>
      <c r="C1188" s="36">
        <v>2.0</v>
      </c>
      <c r="D1188" s="36">
        <v>3.0</v>
      </c>
      <c r="E1188" s="36">
        <v>4.0</v>
      </c>
      <c r="F1188" s="36">
        <v>5.0</v>
      </c>
      <c r="G1188" s="36">
        <v>6.0</v>
      </c>
      <c r="H1188" s="36">
        <v>7.0</v>
      </c>
      <c r="I1188" s="36">
        <v>8.0</v>
      </c>
      <c r="J1188" s="36">
        <v>9.0</v>
      </c>
      <c r="K1188" s="36">
        <v>10.0</v>
      </c>
      <c r="L1188" s="36">
        <v>11.0</v>
      </c>
      <c r="M1188" s="36">
        <v>12.0</v>
      </c>
      <c r="N1188" s="36">
        <v>13.0</v>
      </c>
      <c r="O1188" s="36">
        <v>14.0</v>
      </c>
      <c r="P1188" s="36">
        <v>15.0</v>
      </c>
      <c r="Q1188" s="36">
        <v>16.0</v>
      </c>
      <c r="R1188" s="36">
        <v>17.0</v>
      </c>
      <c r="S1188" s="36">
        <v>18.0</v>
      </c>
      <c r="T1188" s="36">
        <v>19.0</v>
      </c>
      <c r="U1188" s="36">
        <v>20.0</v>
      </c>
      <c r="V1188" s="36">
        <v>21.0</v>
      </c>
      <c r="W1188" s="36">
        <v>22.0</v>
      </c>
      <c r="X1188" s="36">
        <v>23.0</v>
      </c>
      <c r="Y1188" s="36">
        <v>24.0</v>
      </c>
      <c r="Z1188" s="36">
        <v>25.0</v>
      </c>
      <c r="AA1188" s="36">
        <v>26.0</v>
      </c>
      <c r="AB1188" s="36">
        <v>27.0</v>
      </c>
      <c r="AC1188" s="36">
        <v>28.0</v>
      </c>
      <c r="AD1188" s="36">
        <v>29.0</v>
      </c>
      <c r="AE1188" s="36">
        <v>30.0</v>
      </c>
      <c r="AF1188" s="36"/>
      <c r="AG1188" s="36"/>
      <c r="AH1188" s="36"/>
      <c r="AI1188" s="36"/>
      <c r="AJ1188" s="36"/>
    </row>
    <row r="1189" ht="15.75" customHeight="1">
      <c r="A1189" s="12" t="s">
        <v>217</v>
      </c>
      <c r="B1189" s="401">
        <v>0.0</v>
      </c>
      <c r="C1189" s="401">
        <v>0.0</v>
      </c>
      <c r="D1189" s="401">
        <v>0.0</v>
      </c>
      <c r="E1189" s="401">
        <v>0.0</v>
      </c>
      <c r="F1189" s="401">
        <v>0.0</v>
      </c>
      <c r="G1189" s="401">
        <v>0.0</v>
      </c>
      <c r="H1189" s="401">
        <v>0.0</v>
      </c>
      <c r="I1189" s="401">
        <v>0.0</v>
      </c>
      <c r="J1189" s="401">
        <v>0.0</v>
      </c>
      <c r="K1189" s="401">
        <v>0.0</v>
      </c>
      <c r="L1189" s="401">
        <v>0.0</v>
      </c>
      <c r="M1189" s="401">
        <v>0.0</v>
      </c>
      <c r="N1189" s="401">
        <v>0.0</v>
      </c>
      <c r="O1189" s="401">
        <v>0.0</v>
      </c>
      <c r="P1189" s="401">
        <v>0.0</v>
      </c>
      <c r="Q1189" s="401">
        <v>0.0</v>
      </c>
      <c r="R1189" s="401">
        <v>0.0</v>
      </c>
      <c r="S1189" s="401">
        <v>0.0</v>
      </c>
      <c r="T1189" s="401">
        <v>0.0</v>
      </c>
      <c r="U1189" s="401">
        <v>0.0</v>
      </c>
      <c r="V1189" s="401">
        <v>0.0</v>
      </c>
      <c r="W1189" s="401">
        <v>0.0</v>
      </c>
      <c r="X1189" s="401">
        <v>0.0</v>
      </c>
      <c r="Y1189" s="401">
        <v>0.0</v>
      </c>
      <c r="Z1189" s="401">
        <v>0.0</v>
      </c>
      <c r="AA1189" s="401">
        <v>0.0</v>
      </c>
      <c r="AB1189" s="401">
        <v>0.0</v>
      </c>
      <c r="AC1189" s="401">
        <v>0.0</v>
      </c>
      <c r="AD1189" s="401">
        <v>0.0</v>
      </c>
      <c r="AE1189" s="401">
        <v>0.0</v>
      </c>
      <c r="AF1189" s="36"/>
      <c r="AG1189" s="36"/>
      <c r="AH1189" s="36"/>
      <c r="AI1189" s="36"/>
      <c r="AJ1189" s="36"/>
    </row>
    <row r="1190" ht="15.75" customHeight="1">
      <c r="A1190" s="12" t="s">
        <v>218</v>
      </c>
      <c r="B1190" s="194">
        <f>IF(Mod_Prem&lt;75000,0.3%,0.2%)</f>
        <v>0.002</v>
      </c>
      <c r="C1190" s="194">
        <f>IF(Mod_Prem&lt;75000,0.3%,0.2%)</f>
        <v>0.002</v>
      </c>
      <c r="D1190" s="194">
        <f>IF(Mod_Prem&lt;75000,0.3%,0.2%)</f>
        <v>0.002</v>
      </c>
      <c r="E1190" s="194">
        <f>IF(Mod_Prem&lt;75000,0.3%,0.2%)</f>
        <v>0.002</v>
      </c>
      <c r="F1190" s="194">
        <f>IF(Mod_Prem&lt;75000,0.3%,0.2%)</f>
        <v>0.002</v>
      </c>
      <c r="G1190" s="194">
        <f>IF(Mod_Prem&lt;75000,0.3%,0.2%)</f>
        <v>0.002</v>
      </c>
      <c r="H1190" s="194">
        <f>IF(Mod_Prem&lt;75000,0.3%,0.2%)</f>
        <v>0.002</v>
      </c>
      <c r="I1190" s="194">
        <f>IF(Mod_Prem&lt;75000,0.3%,0.2%)</f>
        <v>0.002</v>
      </c>
      <c r="J1190" s="194">
        <f>IF(Mod_Prem&lt;75000,0.3%,0.2%)</f>
        <v>0.002</v>
      </c>
      <c r="K1190" s="194">
        <f>IF(Mod_Prem&lt;75000,0.3%,0.2%)</f>
        <v>0.002</v>
      </c>
      <c r="L1190" s="194">
        <f>IF(Mod_Prem&lt;75000,0.3%,0.2%)</f>
        <v>0.002</v>
      </c>
      <c r="M1190" s="194">
        <f>IF(Mod_Prem&lt;75000,0.3%,0.2%)</f>
        <v>0.002</v>
      </c>
      <c r="N1190" s="194">
        <f>IF(Mod_Prem&lt;75000,0.3%,0.2%)</f>
        <v>0.002</v>
      </c>
      <c r="O1190" s="194">
        <f>IF(Mod_Prem&lt;75000,0.3%,0.2%)</f>
        <v>0.002</v>
      </c>
      <c r="P1190" s="194">
        <f>IF(Mod_Prem&lt;75000,0.3%,0.2%)</f>
        <v>0.002</v>
      </c>
      <c r="Q1190" s="194">
        <f>IF(Mod_Prem&lt;75000,0.3%,0.2%)</f>
        <v>0.002</v>
      </c>
      <c r="R1190" s="194">
        <f>IF(Mod_Prem&lt;75000,0.3%,0.2%)</f>
        <v>0.002</v>
      </c>
      <c r="S1190" s="194">
        <f>IF(Mod_Prem&lt;75000,0.3%,0.2%)</f>
        <v>0.002</v>
      </c>
      <c r="T1190" s="194">
        <f>IF(Mod_Prem&lt;75000,0.3%,0.2%)</f>
        <v>0.002</v>
      </c>
      <c r="U1190" s="194">
        <f>IF(Mod_Prem&lt;75000,0.3%,0.2%)</f>
        <v>0.002</v>
      </c>
      <c r="V1190" s="194">
        <f>IF(Mod_Prem&lt;75000,0.3%,0.2%)</f>
        <v>0.002</v>
      </c>
      <c r="W1190" s="194">
        <f>IF(Mod_Prem&lt;75000,0.3%,0.2%)</f>
        <v>0.002</v>
      </c>
      <c r="X1190" s="194">
        <f>IF(Mod_Prem&lt;75000,0.3%,0.2%)</f>
        <v>0.002</v>
      </c>
      <c r="Y1190" s="194">
        <f>IF(Mod_Prem&lt;75000,0.3%,0.2%)</f>
        <v>0.002</v>
      </c>
      <c r="Z1190" s="194">
        <f>IF(Mod_Prem&lt;75000,0.3%,0.2%)</f>
        <v>0.002</v>
      </c>
      <c r="AA1190" s="194">
        <f>IF(Mod_Prem&lt;75000,0.3%,0.2%)</f>
        <v>0.002</v>
      </c>
      <c r="AB1190" s="194">
        <f>IF(Mod_Prem&lt;75000,0.3%,0.2%)</f>
        <v>0.002</v>
      </c>
      <c r="AC1190" s="194">
        <f>IF(Mod_Prem&lt;75000,0.3%,0.2%)</f>
        <v>0.002</v>
      </c>
      <c r="AD1190" s="194">
        <f>IF(Mod_Prem&lt;75000,0.3%,0.2%)</f>
        <v>0.002</v>
      </c>
      <c r="AE1190" s="194">
        <f>IF(Mod_Prem&lt;75000,0.3%,0.2%)</f>
        <v>0.002</v>
      </c>
      <c r="AF1190" s="36"/>
      <c r="AG1190" s="36"/>
      <c r="AH1190" s="36"/>
      <c r="AI1190" s="36"/>
      <c r="AJ1190" s="36"/>
    </row>
    <row r="1191" ht="15.75" customHeight="1">
      <c r="A1191" s="12"/>
      <c r="B1191" s="390"/>
      <c r="C1191" s="390"/>
      <c r="D1191" s="390"/>
      <c r="E1191" s="121"/>
      <c r="F1191" s="121"/>
      <c r="G1191" s="121"/>
      <c r="H1191" s="121"/>
      <c r="I1191" s="121"/>
      <c r="J1191" s="121"/>
      <c r="K1191" s="121"/>
      <c r="L1191" s="121"/>
      <c r="M1191" s="121"/>
      <c r="N1191" s="121"/>
      <c r="O1191" s="121"/>
      <c r="P1191" s="121"/>
      <c r="Q1191" s="121"/>
      <c r="R1191" s="121"/>
      <c r="S1191" s="121"/>
      <c r="T1191" s="121"/>
      <c r="U1191" s="121"/>
      <c r="V1191" s="121"/>
      <c r="W1191" s="121"/>
      <c r="X1191" s="121"/>
      <c r="Y1191" s="121"/>
      <c r="Z1191" s="121"/>
      <c r="AA1191" s="121"/>
      <c r="AB1191" s="121"/>
      <c r="AC1191" s="121"/>
      <c r="AD1191" s="121"/>
      <c r="AE1191" s="121"/>
      <c r="AF1191" s="36"/>
      <c r="AG1191" s="36"/>
      <c r="AH1191" s="36"/>
      <c r="AI1191" s="36"/>
      <c r="AJ1191" s="36"/>
    </row>
    <row r="1192" ht="15.75" customHeight="1">
      <c r="A1192" s="357" t="s">
        <v>1586</v>
      </c>
      <c r="B1192" s="390"/>
      <c r="C1192" s="390"/>
      <c r="D1192" s="390"/>
      <c r="E1192" s="121"/>
      <c r="F1192" s="121"/>
      <c r="G1192" s="121"/>
      <c r="H1192" s="121"/>
      <c r="I1192" s="121"/>
      <c r="J1192" s="121"/>
      <c r="K1192" s="121"/>
      <c r="L1192" s="121"/>
      <c r="M1192" s="121"/>
      <c r="N1192" s="121"/>
      <c r="O1192" s="121"/>
      <c r="P1192" s="121"/>
      <c r="Q1192" s="121"/>
      <c r="R1192" s="121"/>
      <c r="S1192" s="121"/>
      <c r="T1192" s="121"/>
      <c r="U1192" s="121"/>
      <c r="V1192" s="121"/>
      <c r="W1192" s="121"/>
      <c r="X1192" s="121"/>
      <c r="Y1192" s="121"/>
      <c r="Z1192" s="121"/>
      <c r="AA1192" s="121"/>
      <c r="AB1192" s="121"/>
      <c r="AC1192" s="121"/>
      <c r="AD1192" s="121"/>
      <c r="AE1192" s="121"/>
      <c r="AF1192" s="36"/>
      <c r="AG1192" s="36"/>
      <c r="AH1192" s="36"/>
      <c r="AI1192" s="36"/>
      <c r="AJ1192" s="36"/>
    </row>
    <row r="1193" ht="15.75" customHeight="1">
      <c r="A1193" s="12"/>
      <c r="B1193" s="390"/>
      <c r="C1193" s="390"/>
      <c r="D1193" s="390"/>
      <c r="E1193" s="121"/>
      <c r="F1193" s="121"/>
      <c r="G1193" s="121"/>
      <c r="H1193" s="121"/>
      <c r="I1193" s="121"/>
      <c r="J1193" s="121"/>
      <c r="K1193" s="121"/>
      <c r="L1193" s="121"/>
      <c r="M1193" s="121"/>
      <c r="N1193" s="121"/>
      <c r="O1193" s="121"/>
      <c r="P1193" s="121"/>
      <c r="Q1193" s="121"/>
      <c r="R1193" s="121"/>
      <c r="S1193" s="121"/>
      <c r="T1193" s="121"/>
      <c r="U1193" s="121"/>
      <c r="V1193" s="121"/>
      <c r="W1193" s="121"/>
      <c r="X1193" s="121"/>
      <c r="Y1193" s="121"/>
      <c r="Z1193" s="121"/>
      <c r="AA1193" s="121"/>
      <c r="AB1193" s="121"/>
      <c r="AC1193" s="121"/>
      <c r="AD1193" s="121"/>
      <c r="AE1193" s="121"/>
      <c r="AF1193" s="36"/>
      <c r="AG1193" s="36"/>
      <c r="AH1193" s="36"/>
      <c r="AI1193" s="36"/>
      <c r="AJ1193" s="36"/>
    </row>
    <row r="1194" ht="15.75" customHeight="1">
      <c r="A1194" s="36" t="s">
        <v>215</v>
      </c>
      <c r="B1194" s="36">
        <v>1.0</v>
      </c>
      <c r="C1194" s="36">
        <v>2.0</v>
      </c>
      <c r="D1194" s="36">
        <v>3.0</v>
      </c>
      <c r="E1194" s="36">
        <v>4.0</v>
      </c>
      <c r="F1194" s="36">
        <v>5.0</v>
      </c>
      <c r="G1194" s="36">
        <v>6.0</v>
      </c>
      <c r="H1194" s="36">
        <v>7.0</v>
      </c>
      <c r="I1194" s="36">
        <v>8.0</v>
      </c>
      <c r="J1194" s="36">
        <v>9.0</v>
      </c>
      <c r="K1194" s="36">
        <v>10.0</v>
      </c>
      <c r="L1194" s="36">
        <v>11.0</v>
      </c>
      <c r="M1194" s="36">
        <v>12.0</v>
      </c>
      <c r="N1194" s="36">
        <v>13.0</v>
      </c>
      <c r="O1194" s="36">
        <v>14.0</v>
      </c>
      <c r="P1194" s="36">
        <v>15.0</v>
      </c>
      <c r="Q1194" s="36">
        <v>16.0</v>
      </c>
      <c r="R1194" s="36">
        <v>17.0</v>
      </c>
      <c r="S1194" s="36">
        <v>18.0</v>
      </c>
      <c r="T1194" s="36">
        <v>19.0</v>
      </c>
      <c r="U1194" s="36">
        <v>20.0</v>
      </c>
      <c r="V1194" s="36">
        <v>21.0</v>
      </c>
      <c r="W1194" s="36">
        <v>22.0</v>
      </c>
      <c r="X1194" s="36">
        <v>23.0</v>
      </c>
      <c r="Y1194" s="36">
        <v>24.0</v>
      </c>
      <c r="Z1194" s="36">
        <v>25.0</v>
      </c>
      <c r="AA1194" s="36">
        <v>26.0</v>
      </c>
      <c r="AB1194" s="36">
        <v>27.0</v>
      </c>
      <c r="AC1194" s="36">
        <v>28.0</v>
      </c>
      <c r="AD1194" s="36">
        <v>29.0</v>
      </c>
      <c r="AE1194" s="36">
        <v>30.0</v>
      </c>
      <c r="AF1194" s="36"/>
      <c r="AG1194" s="36"/>
      <c r="AH1194" s="36"/>
      <c r="AI1194" s="36"/>
      <c r="AJ1194" s="36"/>
    </row>
    <row r="1195" ht="15.75" customHeight="1">
      <c r="A1195" s="12" t="s">
        <v>217</v>
      </c>
      <c r="B1195" s="401">
        <v>0.0</v>
      </c>
      <c r="C1195" s="401">
        <v>0.0</v>
      </c>
      <c r="D1195" s="401">
        <v>0.0</v>
      </c>
      <c r="E1195" s="401">
        <v>0.0</v>
      </c>
      <c r="F1195" s="401">
        <v>0.0</v>
      </c>
      <c r="G1195" s="401">
        <v>0.0</v>
      </c>
      <c r="H1195" s="401">
        <v>0.0</v>
      </c>
      <c r="I1195" s="401">
        <v>0.0</v>
      </c>
      <c r="J1195" s="401">
        <v>0.0</v>
      </c>
      <c r="K1195" s="401">
        <v>0.0</v>
      </c>
      <c r="L1195" s="401">
        <v>0.0</v>
      </c>
      <c r="M1195" s="401">
        <v>0.0</v>
      </c>
      <c r="N1195" s="401">
        <v>0.0</v>
      </c>
      <c r="O1195" s="401">
        <v>0.0</v>
      </c>
      <c r="P1195" s="401">
        <v>0.0</v>
      </c>
      <c r="Q1195" s="401">
        <v>0.0</v>
      </c>
      <c r="R1195" s="401">
        <v>0.0</v>
      </c>
      <c r="S1195" s="401">
        <v>0.0</v>
      </c>
      <c r="T1195" s="401">
        <v>0.0</v>
      </c>
      <c r="U1195" s="401">
        <v>0.0</v>
      </c>
      <c r="V1195" s="401">
        <v>0.0</v>
      </c>
      <c r="W1195" s="401">
        <v>0.0</v>
      </c>
      <c r="X1195" s="401">
        <v>0.0</v>
      </c>
      <c r="Y1195" s="401">
        <v>0.0</v>
      </c>
      <c r="Z1195" s="401">
        <v>0.0</v>
      </c>
      <c r="AA1195" s="401">
        <v>0.0</v>
      </c>
      <c r="AB1195" s="401">
        <v>0.0</v>
      </c>
      <c r="AC1195" s="401">
        <v>0.0</v>
      </c>
      <c r="AD1195" s="401">
        <v>0.0</v>
      </c>
      <c r="AE1195" s="401">
        <v>0.0</v>
      </c>
      <c r="AF1195" s="36"/>
      <c r="AG1195" s="36"/>
      <c r="AH1195" s="36"/>
      <c r="AI1195" s="36"/>
      <c r="AJ1195" s="36"/>
    </row>
    <row r="1196" ht="15.75" customHeight="1">
      <c r="A1196" s="12" t="s">
        <v>218</v>
      </c>
      <c r="B1196" s="194">
        <f>IF(Mod_Prem&lt;75000,0.3%,0.2%)</f>
        <v>0.002</v>
      </c>
      <c r="C1196" s="194">
        <f>IF(Mod_Prem&lt;75000,0.3%,0.2%)</f>
        <v>0.002</v>
      </c>
      <c r="D1196" s="194">
        <f>IF(Mod_Prem&lt;75000,0.3%,0.2%)</f>
        <v>0.002</v>
      </c>
      <c r="E1196" s="194">
        <f>IF(Mod_Prem&lt;75000,0.3%,0.2%)</f>
        <v>0.002</v>
      </c>
      <c r="F1196" s="194">
        <f>IF(Mod_Prem&lt;75000,0.3%,0.2%)</f>
        <v>0.002</v>
      </c>
      <c r="G1196" s="194">
        <f>IF(Mod_Prem&lt;75000,0.3%,0.2%)</f>
        <v>0.002</v>
      </c>
      <c r="H1196" s="194">
        <f>IF(Mod_Prem&lt;75000,0.3%,0.2%)</f>
        <v>0.002</v>
      </c>
      <c r="I1196" s="194">
        <f>IF(Mod_Prem&lt;75000,0.3%,0.2%)</f>
        <v>0.002</v>
      </c>
      <c r="J1196" s="194">
        <f>IF(Mod_Prem&lt;75000,0.3%,0.2%)</f>
        <v>0.002</v>
      </c>
      <c r="K1196" s="194">
        <f>IF(Mod_Prem&lt;75000,0.3%,0.2%)</f>
        <v>0.002</v>
      </c>
      <c r="L1196" s="194">
        <f>IF(Mod_Prem&lt;75000,0.3%,0.2%)</f>
        <v>0.002</v>
      </c>
      <c r="M1196" s="194">
        <f>IF(Mod_Prem&lt;75000,0.3%,0.2%)</f>
        <v>0.002</v>
      </c>
      <c r="N1196" s="194">
        <f>IF(Mod_Prem&lt;75000,0.3%,0.2%)</f>
        <v>0.002</v>
      </c>
      <c r="O1196" s="194">
        <f>IF(Mod_Prem&lt;75000,0.3%,0.2%)</f>
        <v>0.002</v>
      </c>
      <c r="P1196" s="194">
        <f>IF(Mod_Prem&lt;75000,0.3%,0.2%)</f>
        <v>0.002</v>
      </c>
      <c r="Q1196" s="194">
        <f>IF(Mod_Prem&lt;75000,0.3%,0.2%)</f>
        <v>0.002</v>
      </c>
      <c r="R1196" s="194">
        <f>IF(Mod_Prem&lt;75000,0.3%,0.2%)</f>
        <v>0.002</v>
      </c>
      <c r="S1196" s="194">
        <f>IF(Mod_Prem&lt;75000,0.3%,0.2%)</f>
        <v>0.002</v>
      </c>
      <c r="T1196" s="194">
        <f>IF(Mod_Prem&lt;75000,0.3%,0.2%)</f>
        <v>0.002</v>
      </c>
      <c r="U1196" s="194">
        <f>IF(Mod_Prem&lt;75000,0.3%,0.2%)</f>
        <v>0.002</v>
      </c>
      <c r="V1196" s="194">
        <f>IF(Mod_Prem&lt;75000,0.3%,0.2%)</f>
        <v>0.002</v>
      </c>
      <c r="W1196" s="194">
        <f>IF(Mod_Prem&lt;75000,0.3%,0.2%)</f>
        <v>0.002</v>
      </c>
      <c r="X1196" s="194">
        <f>IF(Mod_Prem&lt;75000,0.3%,0.2%)</f>
        <v>0.002</v>
      </c>
      <c r="Y1196" s="194">
        <f>IF(Mod_Prem&lt;75000,0.3%,0.2%)</f>
        <v>0.002</v>
      </c>
      <c r="Z1196" s="194">
        <f>IF(Mod_Prem&lt;75000,0.3%,0.2%)</f>
        <v>0.002</v>
      </c>
      <c r="AA1196" s="194">
        <f>IF(Mod_Prem&lt;75000,0.3%,0.2%)</f>
        <v>0.002</v>
      </c>
      <c r="AB1196" s="194">
        <f>IF(Mod_Prem&lt;75000,0.3%,0.2%)</f>
        <v>0.002</v>
      </c>
      <c r="AC1196" s="194">
        <f>IF(Mod_Prem&lt;75000,0.3%,0.2%)</f>
        <v>0.002</v>
      </c>
      <c r="AD1196" s="194">
        <f>IF(Mod_Prem&lt;75000,0.3%,0.2%)</f>
        <v>0.002</v>
      </c>
      <c r="AE1196" s="194">
        <f>IF(Mod_Prem&lt;75000,0.3%,0.2%)</f>
        <v>0.002</v>
      </c>
      <c r="AF1196" s="36"/>
      <c r="AG1196" s="36"/>
      <c r="AH1196" s="36"/>
      <c r="AI1196" s="36"/>
      <c r="AJ1196" s="36"/>
    </row>
    <row r="1197" ht="15.75" customHeight="1">
      <c r="A1197" s="12"/>
      <c r="B1197" s="390"/>
      <c r="C1197" s="390"/>
      <c r="D1197" s="390"/>
      <c r="E1197" s="121"/>
      <c r="F1197" s="121"/>
      <c r="G1197" s="121"/>
      <c r="H1197" s="121"/>
      <c r="I1197" s="121"/>
      <c r="J1197" s="121"/>
      <c r="K1197" s="121"/>
      <c r="L1197" s="121"/>
      <c r="M1197" s="121"/>
      <c r="N1197" s="121"/>
      <c r="O1197" s="121"/>
      <c r="P1197" s="121"/>
      <c r="Q1197" s="121"/>
      <c r="R1197" s="121"/>
      <c r="S1197" s="121"/>
      <c r="T1197" s="121"/>
      <c r="U1197" s="121"/>
      <c r="V1197" s="121"/>
      <c r="W1197" s="121"/>
      <c r="X1197" s="121"/>
      <c r="Y1197" s="121"/>
      <c r="Z1197" s="121"/>
      <c r="AA1197" s="121"/>
      <c r="AB1197" s="121"/>
      <c r="AC1197" s="121"/>
      <c r="AD1197" s="121"/>
      <c r="AE1197" s="121"/>
      <c r="AF1197" s="36"/>
      <c r="AG1197" s="36"/>
      <c r="AH1197" s="36"/>
      <c r="AI1197" s="36"/>
      <c r="AJ1197" s="36"/>
    </row>
    <row r="1198" ht="15.75" customHeight="1">
      <c r="A1198" s="357" t="s">
        <v>1590</v>
      </c>
      <c r="B1198" s="390"/>
      <c r="C1198" s="390"/>
      <c r="D1198" s="390"/>
      <c r="E1198" s="121"/>
      <c r="F1198" s="121"/>
      <c r="G1198" s="121"/>
      <c r="H1198" s="121"/>
      <c r="I1198" s="121"/>
      <c r="J1198" s="121"/>
      <c r="K1198" s="121"/>
      <c r="L1198" s="121"/>
      <c r="M1198" s="121"/>
      <c r="N1198" s="121"/>
      <c r="O1198" s="121"/>
      <c r="P1198" s="121"/>
      <c r="Q1198" s="121"/>
      <c r="R1198" s="121"/>
      <c r="S1198" s="121"/>
      <c r="T1198" s="121"/>
      <c r="U1198" s="121"/>
      <c r="V1198" s="121"/>
      <c r="W1198" s="121"/>
      <c r="X1198" s="121"/>
      <c r="Y1198" s="121"/>
      <c r="Z1198" s="121"/>
      <c r="AA1198" s="121"/>
      <c r="AB1198" s="121"/>
      <c r="AC1198" s="121"/>
      <c r="AD1198" s="121"/>
      <c r="AE1198" s="121"/>
      <c r="AF1198" s="36"/>
      <c r="AG1198" s="36"/>
      <c r="AH1198" s="36"/>
      <c r="AI1198" s="36"/>
      <c r="AJ1198" s="36"/>
    </row>
    <row r="1199" ht="15.75" customHeight="1">
      <c r="A1199" s="12"/>
      <c r="B1199" s="390"/>
      <c r="C1199" s="390"/>
      <c r="D1199" s="390"/>
      <c r="E1199" s="121"/>
      <c r="F1199" s="121"/>
      <c r="G1199" s="121"/>
      <c r="H1199" s="121"/>
      <c r="I1199" s="121"/>
      <c r="J1199" s="121"/>
      <c r="K1199" s="121"/>
      <c r="L1199" s="121"/>
      <c r="M1199" s="121"/>
      <c r="N1199" s="121"/>
      <c r="O1199" s="121"/>
      <c r="P1199" s="121"/>
      <c r="Q1199" s="121"/>
      <c r="R1199" s="121"/>
      <c r="S1199" s="121"/>
      <c r="T1199" s="121"/>
      <c r="U1199" s="121"/>
      <c r="V1199" s="121"/>
      <c r="W1199" s="121"/>
      <c r="X1199" s="121"/>
      <c r="Y1199" s="121"/>
      <c r="Z1199" s="121"/>
      <c r="AA1199" s="121"/>
      <c r="AB1199" s="121"/>
      <c r="AC1199" s="121"/>
      <c r="AD1199" s="121"/>
      <c r="AE1199" s="121"/>
      <c r="AF1199" s="36"/>
      <c r="AG1199" s="36"/>
      <c r="AH1199" s="36"/>
      <c r="AI1199" s="36"/>
      <c r="AJ1199" s="36"/>
    </row>
    <row r="1200" ht="15.75" customHeight="1">
      <c r="A1200" s="36" t="s">
        <v>215</v>
      </c>
      <c r="B1200" s="36">
        <v>1.0</v>
      </c>
      <c r="C1200" s="36">
        <v>2.0</v>
      </c>
      <c r="D1200" s="36">
        <v>3.0</v>
      </c>
      <c r="E1200" s="36">
        <v>4.0</v>
      </c>
      <c r="F1200" s="36">
        <v>5.0</v>
      </c>
      <c r="G1200" s="36">
        <v>6.0</v>
      </c>
      <c r="H1200" s="36">
        <v>7.0</v>
      </c>
      <c r="I1200" s="36">
        <v>8.0</v>
      </c>
      <c r="J1200" s="36">
        <v>9.0</v>
      </c>
      <c r="K1200" s="36">
        <v>10.0</v>
      </c>
      <c r="L1200" s="36">
        <v>11.0</v>
      </c>
      <c r="M1200" s="36">
        <v>12.0</v>
      </c>
      <c r="N1200" s="36">
        <v>13.0</v>
      </c>
      <c r="O1200" s="36">
        <v>14.0</v>
      </c>
      <c r="P1200" s="36">
        <v>15.0</v>
      </c>
      <c r="Q1200" s="36">
        <v>16.0</v>
      </c>
      <c r="R1200" s="36">
        <v>17.0</v>
      </c>
      <c r="S1200" s="36">
        <v>18.0</v>
      </c>
      <c r="T1200" s="36">
        <v>19.0</v>
      </c>
      <c r="U1200" s="36">
        <v>20.0</v>
      </c>
      <c r="V1200" s="36">
        <v>21.0</v>
      </c>
      <c r="W1200" s="36">
        <v>22.0</v>
      </c>
      <c r="X1200" s="36">
        <v>23.0</v>
      </c>
      <c r="Y1200" s="36">
        <v>24.0</v>
      </c>
      <c r="Z1200" s="36">
        <v>25.0</v>
      </c>
      <c r="AA1200" s="36">
        <v>26.0</v>
      </c>
      <c r="AB1200" s="36">
        <v>27.0</v>
      </c>
      <c r="AC1200" s="36">
        <v>28.0</v>
      </c>
      <c r="AD1200" s="36">
        <v>29.0</v>
      </c>
      <c r="AE1200" s="36">
        <v>30.0</v>
      </c>
      <c r="AF1200" s="36"/>
      <c r="AG1200" s="36"/>
      <c r="AH1200" s="36"/>
      <c r="AI1200" s="36"/>
      <c r="AJ1200" s="36"/>
    </row>
    <row r="1201" ht="15.75" customHeight="1">
      <c r="A1201" s="12" t="s">
        <v>217</v>
      </c>
      <c r="B1201" s="401">
        <v>0.0</v>
      </c>
      <c r="C1201" s="401">
        <v>0.0</v>
      </c>
      <c r="D1201" s="401">
        <v>0.0</v>
      </c>
      <c r="E1201" s="401">
        <v>0.0</v>
      </c>
      <c r="F1201" s="401">
        <v>0.0</v>
      </c>
      <c r="G1201" s="401">
        <v>0.0</v>
      </c>
      <c r="H1201" s="401">
        <v>0.0</v>
      </c>
      <c r="I1201" s="401">
        <v>0.0</v>
      </c>
      <c r="J1201" s="401">
        <v>0.0</v>
      </c>
      <c r="K1201" s="401">
        <v>0.0</v>
      </c>
      <c r="L1201" s="401">
        <v>0.0</v>
      </c>
      <c r="M1201" s="401">
        <v>0.0</v>
      </c>
      <c r="N1201" s="401">
        <v>0.0</v>
      </c>
      <c r="O1201" s="401">
        <v>0.0</v>
      </c>
      <c r="P1201" s="401">
        <v>0.0</v>
      </c>
      <c r="Q1201" s="401">
        <v>0.0</v>
      </c>
      <c r="R1201" s="401">
        <v>0.0</v>
      </c>
      <c r="S1201" s="401">
        <v>0.0</v>
      </c>
      <c r="T1201" s="401">
        <v>0.0</v>
      </c>
      <c r="U1201" s="401">
        <v>0.0</v>
      </c>
      <c r="V1201" s="401">
        <v>0.0</v>
      </c>
      <c r="W1201" s="401">
        <v>0.0</v>
      </c>
      <c r="X1201" s="401">
        <v>0.0</v>
      </c>
      <c r="Y1201" s="401">
        <v>0.0</v>
      </c>
      <c r="Z1201" s="401">
        <v>0.0</v>
      </c>
      <c r="AA1201" s="401">
        <v>0.0</v>
      </c>
      <c r="AB1201" s="401">
        <v>0.0</v>
      </c>
      <c r="AC1201" s="401">
        <v>0.0</v>
      </c>
      <c r="AD1201" s="401">
        <v>0.0</v>
      </c>
      <c r="AE1201" s="401">
        <v>0.0</v>
      </c>
      <c r="AF1201" s="36"/>
      <c r="AG1201" s="36"/>
      <c r="AH1201" s="36"/>
      <c r="AI1201" s="36"/>
      <c r="AJ1201" s="36"/>
    </row>
    <row r="1202" ht="15.75" customHeight="1">
      <c r="A1202" s="12" t="s">
        <v>218</v>
      </c>
      <c r="B1202" s="402">
        <f t="shared" ref="B1202:AE1202" si="99">0.75%/12</f>
        <v>0.000625</v>
      </c>
      <c r="C1202" s="402">
        <f t="shared" si="99"/>
        <v>0.000625</v>
      </c>
      <c r="D1202" s="402">
        <f t="shared" si="99"/>
        <v>0.000625</v>
      </c>
      <c r="E1202" s="402">
        <f t="shared" si="99"/>
        <v>0.000625</v>
      </c>
      <c r="F1202" s="402">
        <f t="shared" si="99"/>
        <v>0.000625</v>
      </c>
      <c r="G1202" s="402">
        <f t="shared" si="99"/>
        <v>0.000625</v>
      </c>
      <c r="H1202" s="402">
        <f t="shared" si="99"/>
        <v>0.000625</v>
      </c>
      <c r="I1202" s="402">
        <f t="shared" si="99"/>
        <v>0.000625</v>
      </c>
      <c r="J1202" s="402">
        <f t="shared" si="99"/>
        <v>0.000625</v>
      </c>
      <c r="K1202" s="402">
        <f t="shared" si="99"/>
        <v>0.000625</v>
      </c>
      <c r="L1202" s="402">
        <f t="shared" si="99"/>
        <v>0.000625</v>
      </c>
      <c r="M1202" s="402">
        <f t="shared" si="99"/>
        <v>0.000625</v>
      </c>
      <c r="N1202" s="402">
        <f t="shared" si="99"/>
        <v>0.000625</v>
      </c>
      <c r="O1202" s="402">
        <f t="shared" si="99"/>
        <v>0.000625</v>
      </c>
      <c r="P1202" s="402">
        <f t="shared" si="99"/>
        <v>0.000625</v>
      </c>
      <c r="Q1202" s="402">
        <f t="shared" si="99"/>
        <v>0.000625</v>
      </c>
      <c r="R1202" s="402">
        <f t="shared" si="99"/>
        <v>0.000625</v>
      </c>
      <c r="S1202" s="402">
        <f t="shared" si="99"/>
        <v>0.000625</v>
      </c>
      <c r="T1202" s="402">
        <f t="shared" si="99"/>
        <v>0.000625</v>
      </c>
      <c r="U1202" s="402">
        <f t="shared" si="99"/>
        <v>0.000625</v>
      </c>
      <c r="V1202" s="402">
        <f t="shared" si="99"/>
        <v>0.000625</v>
      </c>
      <c r="W1202" s="402">
        <f t="shared" si="99"/>
        <v>0.000625</v>
      </c>
      <c r="X1202" s="402">
        <f t="shared" si="99"/>
        <v>0.000625</v>
      </c>
      <c r="Y1202" s="402">
        <f t="shared" si="99"/>
        <v>0.000625</v>
      </c>
      <c r="Z1202" s="402">
        <f t="shared" si="99"/>
        <v>0.000625</v>
      </c>
      <c r="AA1202" s="402">
        <f t="shared" si="99"/>
        <v>0.000625</v>
      </c>
      <c r="AB1202" s="402">
        <f t="shared" si="99"/>
        <v>0.000625</v>
      </c>
      <c r="AC1202" s="402">
        <f t="shared" si="99"/>
        <v>0.000625</v>
      </c>
      <c r="AD1202" s="402">
        <f t="shared" si="99"/>
        <v>0.000625</v>
      </c>
      <c r="AE1202" s="402">
        <f t="shared" si="99"/>
        <v>0.000625</v>
      </c>
      <c r="AF1202" s="36"/>
      <c r="AG1202" s="36"/>
      <c r="AH1202" s="36"/>
      <c r="AI1202" s="36"/>
      <c r="AJ1202" s="36"/>
    </row>
    <row r="1203" ht="15.75" customHeight="1">
      <c r="A1203" s="12"/>
      <c r="B1203" s="390"/>
      <c r="C1203" s="390"/>
      <c r="D1203" s="390"/>
      <c r="E1203" s="121"/>
      <c r="F1203" s="121"/>
      <c r="G1203" s="121"/>
      <c r="H1203" s="121"/>
      <c r="I1203" s="121"/>
      <c r="J1203" s="121"/>
      <c r="K1203" s="121"/>
      <c r="L1203" s="121"/>
      <c r="M1203" s="121"/>
      <c r="N1203" s="121"/>
      <c r="O1203" s="121"/>
      <c r="P1203" s="121"/>
      <c r="Q1203" s="121"/>
      <c r="R1203" s="121"/>
      <c r="S1203" s="121"/>
      <c r="T1203" s="121"/>
      <c r="U1203" s="121"/>
      <c r="V1203" s="121"/>
      <c r="W1203" s="121"/>
      <c r="X1203" s="121"/>
      <c r="Y1203" s="121"/>
      <c r="Z1203" s="121"/>
      <c r="AA1203" s="121"/>
      <c r="AB1203" s="121"/>
      <c r="AC1203" s="121"/>
      <c r="AD1203" s="121"/>
      <c r="AE1203" s="121"/>
      <c r="AF1203" s="36"/>
      <c r="AG1203" s="36"/>
      <c r="AH1203" s="36"/>
      <c r="AI1203" s="36"/>
      <c r="AJ1203" s="36"/>
    </row>
    <row r="1204" ht="15.75" customHeight="1">
      <c r="A1204" s="357" t="s">
        <v>1596</v>
      </c>
      <c r="B1204" s="390"/>
      <c r="C1204" s="390"/>
      <c r="D1204" s="390"/>
      <c r="E1204" s="121"/>
      <c r="F1204" s="121"/>
      <c r="G1204" s="121"/>
      <c r="H1204" s="121"/>
      <c r="I1204" s="121"/>
      <c r="J1204" s="121"/>
      <c r="K1204" s="121"/>
      <c r="L1204" s="121"/>
      <c r="M1204" s="121"/>
      <c r="N1204" s="121"/>
      <c r="O1204" s="121"/>
      <c r="P1204" s="121"/>
      <c r="Q1204" s="121"/>
      <c r="R1204" s="121"/>
      <c r="S1204" s="121"/>
      <c r="T1204" s="121"/>
      <c r="U1204" s="121"/>
      <c r="V1204" s="121"/>
      <c r="W1204" s="121"/>
      <c r="X1204" s="121"/>
      <c r="Y1204" s="121"/>
      <c r="Z1204" s="121"/>
      <c r="AA1204" s="121"/>
      <c r="AB1204" s="121"/>
      <c r="AC1204" s="121"/>
      <c r="AD1204" s="121"/>
      <c r="AE1204" s="121"/>
      <c r="AF1204" s="36"/>
      <c r="AG1204" s="36"/>
      <c r="AH1204" s="36"/>
      <c r="AI1204" s="36"/>
      <c r="AJ1204" s="36"/>
    </row>
    <row r="1205" ht="15.75" customHeight="1">
      <c r="A1205" s="12"/>
      <c r="B1205" s="390"/>
      <c r="C1205" s="390"/>
      <c r="D1205" s="390"/>
      <c r="E1205" s="121"/>
      <c r="F1205" s="121"/>
      <c r="G1205" s="121"/>
      <c r="H1205" s="121"/>
      <c r="I1205" s="121"/>
      <c r="J1205" s="121"/>
      <c r="K1205" s="121"/>
      <c r="L1205" s="121"/>
      <c r="M1205" s="121"/>
      <c r="N1205" s="121"/>
      <c r="O1205" s="121"/>
      <c r="P1205" s="121"/>
      <c r="Q1205" s="121"/>
      <c r="R1205" s="121"/>
      <c r="S1205" s="121"/>
      <c r="T1205" s="121"/>
      <c r="U1205" s="121"/>
      <c r="V1205" s="121"/>
      <c r="W1205" s="121"/>
      <c r="X1205" s="121"/>
      <c r="Y1205" s="121"/>
      <c r="Z1205" s="121"/>
      <c r="AA1205" s="121"/>
      <c r="AB1205" s="121"/>
      <c r="AC1205" s="121"/>
      <c r="AD1205" s="121"/>
      <c r="AE1205" s="121"/>
      <c r="AF1205" s="36"/>
      <c r="AG1205" s="36"/>
      <c r="AH1205" s="36"/>
      <c r="AI1205" s="36"/>
      <c r="AJ1205" s="36"/>
    </row>
    <row r="1206" ht="15.75" customHeight="1">
      <c r="A1206" s="36" t="s">
        <v>215</v>
      </c>
      <c r="B1206" s="36">
        <v>1.0</v>
      </c>
      <c r="C1206" s="36">
        <v>2.0</v>
      </c>
      <c r="D1206" s="36">
        <v>3.0</v>
      </c>
      <c r="E1206" s="36">
        <v>4.0</v>
      </c>
      <c r="F1206" s="36">
        <v>5.0</v>
      </c>
      <c r="G1206" s="36">
        <v>6.0</v>
      </c>
      <c r="H1206" s="36">
        <v>7.0</v>
      </c>
      <c r="I1206" s="36">
        <v>8.0</v>
      </c>
      <c r="J1206" s="36">
        <v>9.0</v>
      </c>
      <c r="K1206" s="36">
        <v>10.0</v>
      </c>
      <c r="L1206" s="36">
        <v>11.0</v>
      </c>
      <c r="M1206" s="36">
        <v>12.0</v>
      </c>
      <c r="N1206" s="36">
        <v>13.0</v>
      </c>
      <c r="O1206" s="36">
        <v>14.0</v>
      </c>
      <c r="P1206" s="36">
        <v>15.0</v>
      </c>
      <c r="Q1206" s="36">
        <v>16.0</v>
      </c>
      <c r="R1206" s="36">
        <v>17.0</v>
      </c>
      <c r="S1206" s="36">
        <v>18.0</v>
      </c>
      <c r="T1206" s="36">
        <v>19.0</v>
      </c>
      <c r="U1206" s="36">
        <v>20.0</v>
      </c>
      <c r="V1206" s="36">
        <v>21.0</v>
      </c>
      <c r="W1206" s="36">
        <v>22.0</v>
      </c>
      <c r="X1206" s="36">
        <v>23.0</v>
      </c>
      <c r="Y1206" s="36">
        <v>24.0</v>
      </c>
      <c r="Z1206" s="36">
        <v>25.0</v>
      </c>
      <c r="AA1206" s="36">
        <v>26.0</v>
      </c>
      <c r="AB1206" s="36">
        <v>27.0</v>
      </c>
      <c r="AC1206" s="36">
        <v>28.0</v>
      </c>
      <c r="AD1206" s="36">
        <v>29.0</v>
      </c>
      <c r="AE1206" s="36">
        <v>30.0</v>
      </c>
      <c r="AF1206" s="36"/>
      <c r="AG1206" s="36"/>
      <c r="AH1206" s="36"/>
      <c r="AI1206" s="36"/>
      <c r="AJ1206" s="36"/>
    </row>
    <row r="1207" ht="15.75" customHeight="1">
      <c r="A1207" s="12" t="s">
        <v>217</v>
      </c>
      <c r="B1207" s="401">
        <v>0.0</v>
      </c>
      <c r="C1207" s="401">
        <v>0.0</v>
      </c>
      <c r="D1207" s="401">
        <v>0.0</v>
      </c>
      <c r="E1207" s="401">
        <v>0.0</v>
      </c>
      <c r="F1207" s="401">
        <v>0.0</v>
      </c>
      <c r="G1207" s="401">
        <v>0.0</v>
      </c>
      <c r="H1207" s="401">
        <v>0.0</v>
      </c>
      <c r="I1207" s="401">
        <v>0.0</v>
      </c>
      <c r="J1207" s="401">
        <v>0.0</v>
      </c>
      <c r="K1207" s="401">
        <v>0.0</v>
      </c>
      <c r="L1207" s="401">
        <v>0.0</v>
      </c>
      <c r="M1207" s="401">
        <v>0.0</v>
      </c>
      <c r="N1207" s="401">
        <v>0.0</v>
      </c>
      <c r="O1207" s="401">
        <v>0.0</v>
      </c>
      <c r="P1207" s="401">
        <v>0.0</v>
      </c>
      <c r="Q1207" s="401">
        <v>0.0</v>
      </c>
      <c r="R1207" s="401">
        <v>0.0</v>
      </c>
      <c r="S1207" s="401">
        <v>0.0</v>
      </c>
      <c r="T1207" s="401">
        <v>0.0</v>
      </c>
      <c r="U1207" s="401">
        <v>0.0</v>
      </c>
      <c r="V1207" s="401">
        <v>0.0</v>
      </c>
      <c r="W1207" s="401">
        <v>0.0</v>
      </c>
      <c r="X1207" s="401">
        <v>0.0</v>
      </c>
      <c r="Y1207" s="401">
        <v>0.0</v>
      </c>
      <c r="Z1207" s="401">
        <v>0.0</v>
      </c>
      <c r="AA1207" s="401">
        <v>0.0</v>
      </c>
      <c r="AB1207" s="401">
        <v>0.0</v>
      </c>
      <c r="AC1207" s="401">
        <v>0.0</v>
      </c>
      <c r="AD1207" s="401">
        <v>0.0</v>
      </c>
      <c r="AE1207" s="401">
        <v>0.0</v>
      </c>
      <c r="AF1207" s="36"/>
      <c r="AG1207" s="36"/>
      <c r="AH1207" s="36"/>
      <c r="AI1207" s="36"/>
      <c r="AJ1207" s="36"/>
    </row>
    <row r="1208" ht="15.75" customHeight="1">
      <c r="A1208" s="12" t="s">
        <v>218</v>
      </c>
      <c r="B1208" s="402">
        <f t="shared" ref="B1208:AE1208" si="100">0.75%/12</f>
        <v>0.000625</v>
      </c>
      <c r="C1208" s="402">
        <f t="shared" si="100"/>
        <v>0.000625</v>
      </c>
      <c r="D1208" s="402">
        <f t="shared" si="100"/>
        <v>0.000625</v>
      </c>
      <c r="E1208" s="402">
        <f t="shared" si="100"/>
        <v>0.000625</v>
      </c>
      <c r="F1208" s="402">
        <f t="shared" si="100"/>
        <v>0.000625</v>
      </c>
      <c r="G1208" s="402">
        <f t="shared" si="100"/>
        <v>0.000625</v>
      </c>
      <c r="H1208" s="402">
        <f t="shared" si="100"/>
        <v>0.000625</v>
      </c>
      <c r="I1208" s="402">
        <f t="shared" si="100"/>
        <v>0.000625</v>
      </c>
      <c r="J1208" s="402">
        <f t="shared" si="100"/>
        <v>0.000625</v>
      </c>
      <c r="K1208" s="402">
        <f t="shared" si="100"/>
        <v>0.000625</v>
      </c>
      <c r="L1208" s="402">
        <f t="shared" si="100"/>
        <v>0.000625</v>
      </c>
      <c r="M1208" s="402">
        <f t="shared" si="100"/>
        <v>0.000625</v>
      </c>
      <c r="N1208" s="402">
        <f t="shared" si="100"/>
        <v>0.000625</v>
      </c>
      <c r="O1208" s="402">
        <f t="shared" si="100"/>
        <v>0.000625</v>
      </c>
      <c r="P1208" s="402">
        <f t="shared" si="100"/>
        <v>0.000625</v>
      </c>
      <c r="Q1208" s="402">
        <f t="shared" si="100"/>
        <v>0.000625</v>
      </c>
      <c r="R1208" s="402">
        <f t="shared" si="100"/>
        <v>0.000625</v>
      </c>
      <c r="S1208" s="402">
        <f t="shared" si="100"/>
        <v>0.000625</v>
      </c>
      <c r="T1208" s="402">
        <f t="shared" si="100"/>
        <v>0.000625</v>
      </c>
      <c r="U1208" s="402">
        <f t="shared" si="100"/>
        <v>0.000625</v>
      </c>
      <c r="V1208" s="402">
        <f t="shared" si="100"/>
        <v>0.000625</v>
      </c>
      <c r="W1208" s="402">
        <f t="shared" si="100"/>
        <v>0.000625</v>
      </c>
      <c r="X1208" s="402">
        <f t="shared" si="100"/>
        <v>0.000625</v>
      </c>
      <c r="Y1208" s="402">
        <f t="shared" si="100"/>
        <v>0.000625</v>
      </c>
      <c r="Z1208" s="402">
        <f t="shared" si="100"/>
        <v>0.000625</v>
      </c>
      <c r="AA1208" s="402">
        <f t="shared" si="100"/>
        <v>0.000625</v>
      </c>
      <c r="AB1208" s="402">
        <f t="shared" si="100"/>
        <v>0.000625</v>
      </c>
      <c r="AC1208" s="402">
        <f t="shared" si="100"/>
        <v>0.000625</v>
      </c>
      <c r="AD1208" s="402">
        <f t="shared" si="100"/>
        <v>0.000625</v>
      </c>
      <c r="AE1208" s="402">
        <f t="shared" si="100"/>
        <v>0.000625</v>
      </c>
      <c r="AF1208" s="36"/>
      <c r="AG1208" s="36"/>
      <c r="AH1208" s="36"/>
      <c r="AI1208" s="36"/>
      <c r="AJ1208" s="36"/>
    </row>
    <row r="1209" ht="15.75" customHeight="1">
      <c r="A1209" s="12"/>
      <c r="B1209" s="390"/>
      <c r="C1209" s="390"/>
      <c r="D1209" s="390"/>
      <c r="E1209" s="121"/>
      <c r="F1209" s="121"/>
      <c r="G1209" s="121"/>
      <c r="H1209" s="121"/>
      <c r="I1209" s="121"/>
      <c r="J1209" s="121"/>
      <c r="K1209" s="121"/>
      <c r="L1209" s="121"/>
      <c r="M1209" s="121"/>
      <c r="N1209" s="121"/>
      <c r="O1209" s="121"/>
      <c r="P1209" s="121"/>
      <c r="Q1209" s="121"/>
      <c r="R1209" s="121"/>
      <c r="S1209" s="121"/>
      <c r="T1209" s="121"/>
      <c r="U1209" s="121"/>
      <c r="V1209" s="121"/>
      <c r="W1209" s="121"/>
      <c r="X1209" s="121"/>
      <c r="Y1209" s="121"/>
      <c r="Z1209" s="121"/>
      <c r="AA1209" s="121"/>
      <c r="AB1209" s="121"/>
      <c r="AC1209" s="121"/>
      <c r="AD1209" s="121"/>
      <c r="AE1209" s="121"/>
      <c r="AF1209" s="36"/>
      <c r="AG1209" s="36"/>
      <c r="AH1209" s="36"/>
      <c r="AI1209" s="36"/>
      <c r="AJ1209" s="36"/>
    </row>
    <row r="1210" ht="15.75" customHeight="1">
      <c r="A1210" s="357" t="s">
        <v>1603</v>
      </c>
      <c r="B1210" s="390"/>
      <c r="C1210" s="390"/>
      <c r="D1210" s="390"/>
      <c r="E1210" s="121"/>
      <c r="F1210" s="121"/>
      <c r="G1210" s="121"/>
      <c r="H1210" s="121"/>
      <c r="I1210" s="121"/>
      <c r="J1210" s="121"/>
      <c r="K1210" s="121"/>
      <c r="L1210" s="121"/>
      <c r="M1210" s="121"/>
      <c r="N1210" s="121"/>
      <c r="O1210" s="121"/>
      <c r="P1210" s="121"/>
      <c r="Q1210" s="121"/>
      <c r="R1210" s="121"/>
      <c r="S1210" s="121"/>
      <c r="T1210" s="121"/>
      <c r="U1210" s="121"/>
      <c r="V1210" s="121"/>
      <c r="W1210" s="121"/>
      <c r="X1210" s="121"/>
      <c r="Y1210" s="121"/>
      <c r="Z1210" s="121"/>
      <c r="AA1210" s="121"/>
      <c r="AB1210" s="121"/>
      <c r="AC1210" s="121"/>
      <c r="AD1210" s="121"/>
      <c r="AE1210" s="121"/>
      <c r="AF1210" s="36"/>
      <c r="AG1210" s="36"/>
      <c r="AH1210" s="36"/>
      <c r="AI1210" s="36"/>
      <c r="AJ1210" s="36"/>
    </row>
    <row r="1211" ht="15.75" customHeight="1">
      <c r="A1211" s="12"/>
      <c r="B1211" s="390"/>
      <c r="C1211" s="390"/>
      <c r="D1211" s="390"/>
      <c r="E1211" s="121"/>
      <c r="F1211" s="121"/>
      <c r="G1211" s="121"/>
      <c r="H1211" s="121"/>
      <c r="I1211" s="121"/>
      <c r="J1211" s="121"/>
      <c r="K1211" s="121"/>
      <c r="L1211" s="121"/>
      <c r="M1211" s="121"/>
      <c r="N1211" s="121"/>
      <c r="O1211" s="121"/>
      <c r="P1211" s="121"/>
      <c r="Q1211" s="121"/>
      <c r="R1211" s="121"/>
      <c r="S1211" s="121"/>
      <c r="T1211" s="121"/>
      <c r="U1211" s="121"/>
      <c r="V1211" s="121"/>
      <c r="W1211" s="121"/>
      <c r="X1211" s="121"/>
      <c r="Y1211" s="121"/>
      <c r="Z1211" s="121"/>
      <c r="AA1211" s="121"/>
      <c r="AB1211" s="121"/>
      <c r="AC1211" s="121"/>
      <c r="AD1211" s="121"/>
      <c r="AE1211" s="121"/>
      <c r="AF1211" s="36"/>
      <c r="AG1211" s="36"/>
      <c r="AH1211" s="36"/>
      <c r="AI1211" s="36"/>
      <c r="AJ1211" s="36"/>
    </row>
    <row r="1212" ht="15.75" customHeight="1">
      <c r="A1212" s="36" t="s">
        <v>215</v>
      </c>
      <c r="B1212" s="36">
        <v>1.0</v>
      </c>
      <c r="C1212" s="36">
        <v>2.0</v>
      </c>
      <c r="D1212" s="36">
        <v>3.0</v>
      </c>
      <c r="E1212" s="36">
        <v>4.0</v>
      </c>
      <c r="F1212" s="36">
        <v>5.0</v>
      </c>
      <c r="G1212" s="36">
        <v>6.0</v>
      </c>
      <c r="H1212" s="36">
        <v>7.0</v>
      </c>
      <c r="I1212" s="36">
        <v>8.0</v>
      </c>
      <c r="J1212" s="36">
        <v>9.0</v>
      </c>
      <c r="K1212" s="36">
        <v>10.0</v>
      </c>
      <c r="L1212" s="36">
        <v>11.0</v>
      </c>
      <c r="M1212" s="36">
        <v>12.0</v>
      </c>
      <c r="N1212" s="36">
        <v>13.0</v>
      </c>
      <c r="O1212" s="36">
        <v>14.0</v>
      </c>
      <c r="P1212" s="36">
        <v>15.0</v>
      </c>
      <c r="Q1212" s="36">
        <v>16.0</v>
      </c>
      <c r="R1212" s="36">
        <v>17.0</v>
      </c>
      <c r="S1212" s="36">
        <v>18.0</v>
      </c>
      <c r="T1212" s="36">
        <v>19.0</v>
      </c>
      <c r="U1212" s="36">
        <v>20.0</v>
      </c>
      <c r="V1212" s="36">
        <v>21.0</v>
      </c>
      <c r="W1212" s="36">
        <v>22.0</v>
      </c>
      <c r="X1212" s="36">
        <v>23.0</v>
      </c>
      <c r="Y1212" s="36">
        <v>24.0</v>
      </c>
      <c r="Z1212" s="36">
        <v>25.0</v>
      </c>
      <c r="AA1212" s="36">
        <v>26.0</v>
      </c>
      <c r="AB1212" s="36">
        <v>27.0</v>
      </c>
      <c r="AC1212" s="36">
        <v>28.0</v>
      </c>
      <c r="AD1212" s="36">
        <v>29.0</v>
      </c>
      <c r="AE1212" s="36">
        <v>30.0</v>
      </c>
      <c r="AF1212" s="36"/>
      <c r="AG1212" s="36"/>
      <c r="AH1212" s="36"/>
      <c r="AI1212" s="36"/>
      <c r="AJ1212" s="36"/>
    </row>
    <row r="1213" ht="15.75" customHeight="1">
      <c r="A1213" s="12" t="s">
        <v>217</v>
      </c>
      <c r="B1213" s="401">
        <v>0.0</v>
      </c>
      <c r="C1213" s="401">
        <v>0.0</v>
      </c>
      <c r="D1213" s="401">
        <v>0.0</v>
      </c>
      <c r="E1213" s="401">
        <v>0.0</v>
      </c>
      <c r="F1213" s="401">
        <v>0.0</v>
      </c>
      <c r="G1213" s="401">
        <v>0.0</v>
      </c>
      <c r="H1213" s="401">
        <v>0.0</v>
      </c>
      <c r="I1213" s="401">
        <v>0.0</v>
      </c>
      <c r="J1213" s="401">
        <v>0.0</v>
      </c>
      <c r="K1213" s="401">
        <v>0.0</v>
      </c>
      <c r="L1213" s="401">
        <v>0.0</v>
      </c>
      <c r="M1213" s="401">
        <v>0.0</v>
      </c>
      <c r="N1213" s="401">
        <v>0.0</v>
      </c>
      <c r="O1213" s="401">
        <v>0.0</v>
      </c>
      <c r="P1213" s="401">
        <v>0.0</v>
      </c>
      <c r="Q1213" s="401">
        <v>0.0</v>
      </c>
      <c r="R1213" s="401">
        <v>0.0</v>
      </c>
      <c r="S1213" s="401">
        <v>0.0</v>
      </c>
      <c r="T1213" s="401">
        <v>0.0</v>
      </c>
      <c r="U1213" s="401">
        <v>0.0</v>
      </c>
      <c r="V1213" s="401">
        <v>0.0</v>
      </c>
      <c r="W1213" s="401">
        <v>0.0</v>
      </c>
      <c r="X1213" s="401">
        <v>0.0</v>
      </c>
      <c r="Y1213" s="401">
        <v>0.0</v>
      </c>
      <c r="Z1213" s="401">
        <v>0.0</v>
      </c>
      <c r="AA1213" s="401">
        <v>0.0</v>
      </c>
      <c r="AB1213" s="401">
        <v>0.0</v>
      </c>
      <c r="AC1213" s="401">
        <v>0.0</v>
      </c>
      <c r="AD1213" s="401">
        <v>0.0</v>
      </c>
      <c r="AE1213" s="401">
        <v>0.0</v>
      </c>
      <c r="AF1213" s="36"/>
      <c r="AG1213" s="36"/>
      <c r="AH1213" s="36"/>
      <c r="AI1213" s="36"/>
      <c r="AJ1213" s="36"/>
    </row>
    <row r="1214" ht="15.75" customHeight="1">
      <c r="A1214" s="12" t="s">
        <v>218</v>
      </c>
      <c r="B1214" s="402">
        <f t="shared" ref="B1214:AE1214" si="101">0.75%/12</f>
        <v>0.000625</v>
      </c>
      <c r="C1214" s="402">
        <f t="shared" si="101"/>
        <v>0.000625</v>
      </c>
      <c r="D1214" s="402">
        <f t="shared" si="101"/>
        <v>0.000625</v>
      </c>
      <c r="E1214" s="402">
        <f t="shared" si="101"/>
        <v>0.000625</v>
      </c>
      <c r="F1214" s="402">
        <f t="shared" si="101"/>
        <v>0.000625</v>
      </c>
      <c r="G1214" s="402">
        <f t="shared" si="101"/>
        <v>0.000625</v>
      </c>
      <c r="H1214" s="402">
        <f t="shared" si="101"/>
        <v>0.000625</v>
      </c>
      <c r="I1214" s="402">
        <f t="shared" si="101"/>
        <v>0.000625</v>
      </c>
      <c r="J1214" s="402">
        <f t="shared" si="101"/>
        <v>0.000625</v>
      </c>
      <c r="K1214" s="402">
        <f t="shared" si="101"/>
        <v>0.000625</v>
      </c>
      <c r="L1214" s="402">
        <f t="shared" si="101"/>
        <v>0.000625</v>
      </c>
      <c r="M1214" s="402">
        <f t="shared" si="101"/>
        <v>0.000625</v>
      </c>
      <c r="N1214" s="402">
        <f t="shared" si="101"/>
        <v>0.000625</v>
      </c>
      <c r="O1214" s="402">
        <f t="shared" si="101"/>
        <v>0.000625</v>
      </c>
      <c r="P1214" s="402">
        <f t="shared" si="101"/>
        <v>0.000625</v>
      </c>
      <c r="Q1214" s="402">
        <f t="shared" si="101"/>
        <v>0.000625</v>
      </c>
      <c r="R1214" s="402">
        <f t="shared" si="101"/>
        <v>0.000625</v>
      </c>
      <c r="S1214" s="402">
        <f t="shared" si="101"/>
        <v>0.000625</v>
      </c>
      <c r="T1214" s="402">
        <f t="shared" si="101"/>
        <v>0.000625</v>
      </c>
      <c r="U1214" s="402">
        <f t="shared" si="101"/>
        <v>0.000625</v>
      </c>
      <c r="V1214" s="402">
        <f t="shared" si="101"/>
        <v>0.000625</v>
      </c>
      <c r="W1214" s="402">
        <f t="shared" si="101"/>
        <v>0.000625</v>
      </c>
      <c r="X1214" s="402">
        <f t="shared" si="101"/>
        <v>0.000625</v>
      </c>
      <c r="Y1214" s="402">
        <f t="shared" si="101"/>
        <v>0.000625</v>
      </c>
      <c r="Z1214" s="402">
        <f t="shared" si="101"/>
        <v>0.000625</v>
      </c>
      <c r="AA1214" s="402">
        <f t="shared" si="101"/>
        <v>0.000625</v>
      </c>
      <c r="AB1214" s="402">
        <f t="shared" si="101"/>
        <v>0.000625</v>
      </c>
      <c r="AC1214" s="402">
        <f t="shared" si="101"/>
        <v>0.000625</v>
      </c>
      <c r="AD1214" s="402">
        <f t="shared" si="101"/>
        <v>0.000625</v>
      </c>
      <c r="AE1214" s="402">
        <f t="shared" si="101"/>
        <v>0.000625</v>
      </c>
      <c r="AF1214" s="36"/>
      <c r="AG1214" s="36"/>
      <c r="AH1214" s="36"/>
      <c r="AI1214" s="36"/>
      <c r="AJ1214" s="36"/>
    </row>
    <row r="1215" ht="15.75" customHeight="1">
      <c r="A1215" s="12"/>
      <c r="B1215" s="390"/>
      <c r="C1215" s="390"/>
      <c r="D1215" s="390"/>
      <c r="E1215" s="121"/>
      <c r="F1215" s="121"/>
      <c r="G1215" s="121"/>
      <c r="H1215" s="121"/>
      <c r="I1215" s="121"/>
      <c r="J1215" s="121"/>
      <c r="K1215" s="121"/>
      <c r="L1215" s="121"/>
      <c r="M1215" s="121"/>
      <c r="N1215" s="121"/>
      <c r="O1215" s="121"/>
      <c r="P1215" s="121"/>
      <c r="Q1215" s="121"/>
      <c r="R1215" s="121"/>
      <c r="S1215" s="121"/>
      <c r="T1215" s="121"/>
      <c r="U1215" s="121"/>
      <c r="V1215" s="121"/>
      <c r="W1215" s="121"/>
      <c r="X1215" s="121"/>
      <c r="Y1215" s="121"/>
      <c r="Z1215" s="121"/>
      <c r="AA1215" s="121"/>
      <c r="AB1215" s="121"/>
      <c r="AC1215" s="121"/>
      <c r="AD1215" s="121"/>
      <c r="AE1215" s="121"/>
      <c r="AF1215" s="36"/>
      <c r="AG1215" s="36"/>
      <c r="AH1215" s="36"/>
      <c r="AI1215" s="36"/>
      <c r="AJ1215" s="36"/>
    </row>
    <row r="1216" ht="15.75" customHeight="1">
      <c r="A1216" s="357" t="s">
        <v>1609</v>
      </c>
      <c r="B1216" s="390"/>
      <c r="C1216" s="390"/>
      <c r="D1216" s="390"/>
      <c r="E1216" s="121"/>
      <c r="F1216" s="121"/>
      <c r="G1216" s="121"/>
      <c r="H1216" s="121"/>
      <c r="I1216" s="121"/>
      <c r="J1216" s="121"/>
      <c r="K1216" s="121"/>
      <c r="L1216" s="121"/>
      <c r="M1216" s="121"/>
      <c r="N1216" s="121"/>
      <c r="O1216" s="121"/>
      <c r="P1216" s="121"/>
      <c r="Q1216" s="121"/>
      <c r="R1216" s="121"/>
      <c r="S1216" s="121"/>
      <c r="T1216" s="121"/>
      <c r="U1216" s="121"/>
      <c r="V1216" s="121"/>
      <c r="W1216" s="121"/>
      <c r="X1216" s="121"/>
      <c r="Y1216" s="121"/>
      <c r="Z1216" s="121"/>
      <c r="AA1216" s="121"/>
      <c r="AB1216" s="121"/>
      <c r="AC1216" s="121"/>
      <c r="AD1216" s="121"/>
      <c r="AE1216" s="121"/>
      <c r="AF1216" s="36"/>
      <c r="AG1216" s="36"/>
      <c r="AH1216" s="36"/>
      <c r="AI1216" s="36"/>
      <c r="AJ1216" s="36"/>
    </row>
    <row r="1217" ht="15.75" customHeight="1">
      <c r="A1217" s="12"/>
      <c r="B1217" s="390"/>
      <c r="C1217" s="390"/>
      <c r="D1217" s="390"/>
      <c r="E1217" s="121"/>
      <c r="F1217" s="121"/>
      <c r="G1217" s="121"/>
      <c r="H1217" s="121"/>
      <c r="I1217" s="121"/>
      <c r="J1217" s="121"/>
      <c r="K1217" s="121"/>
      <c r="L1217" s="121"/>
      <c r="M1217" s="121"/>
      <c r="N1217" s="121"/>
      <c r="O1217" s="121"/>
      <c r="P1217" s="121"/>
      <c r="Q1217" s="121"/>
      <c r="R1217" s="121"/>
      <c r="S1217" s="121"/>
      <c r="T1217" s="121"/>
      <c r="U1217" s="121"/>
      <c r="V1217" s="121"/>
      <c r="W1217" s="121"/>
      <c r="X1217" s="121"/>
      <c r="Y1217" s="121"/>
      <c r="Z1217" s="121"/>
      <c r="AA1217" s="121"/>
      <c r="AB1217" s="121"/>
      <c r="AC1217" s="121"/>
      <c r="AD1217" s="121"/>
      <c r="AE1217" s="121"/>
      <c r="AF1217" s="36"/>
      <c r="AG1217" s="36"/>
      <c r="AH1217" s="36"/>
      <c r="AI1217" s="36"/>
      <c r="AJ1217" s="36"/>
    </row>
    <row r="1218" ht="15.75" customHeight="1">
      <c r="A1218" s="36" t="s">
        <v>215</v>
      </c>
      <c r="B1218" s="36">
        <v>1.0</v>
      </c>
      <c r="C1218" s="36">
        <v>2.0</v>
      </c>
      <c r="D1218" s="36">
        <v>3.0</v>
      </c>
      <c r="E1218" s="36">
        <v>4.0</v>
      </c>
      <c r="F1218" s="36">
        <v>5.0</v>
      </c>
      <c r="G1218" s="36">
        <v>6.0</v>
      </c>
      <c r="H1218" s="36">
        <v>7.0</v>
      </c>
      <c r="I1218" s="36">
        <v>8.0</v>
      </c>
      <c r="J1218" s="36">
        <v>9.0</v>
      </c>
      <c r="K1218" s="36">
        <v>10.0</v>
      </c>
      <c r="L1218" s="36">
        <v>11.0</v>
      </c>
      <c r="M1218" s="36">
        <v>12.0</v>
      </c>
      <c r="N1218" s="36">
        <v>13.0</v>
      </c>
      <c r="O1218" s="36">
        <v>14.0</v>
      </c>
      <c r="P1218" s="36">
        <v>15.0</v>
      </c>
      <c r="Q1218" s="36">
        <v>16.0</v>
      </c>
      <c r="R1218" s="36">
        <v>17.0</v>
      </c>
      <c r="S1218" s="36">
        <v>18.0</v>
      </c>
      <c r="T1218" s="36">
        <v>19.0</v>
      </c>
      <c r="U1218" s="36">
        <v>20.0</v>
      </c>
      <c r="V1218" s="36">
        <v>21.0</v>
      </c>
      <c r="W1218" s="36">
        <v>22.0</v>
      </c>
      <c r="X1218" s="36">
        <v>23.0</v>
      </c>
      <c r="Y1218" s="36">
        <v>24.0</v>
      </c>
      <c r="Z1218" s="36">
        <v>25.0</v>
      </c>
      <c r="AA1218" s="36">
        <v>26.0</v>
      </c>
      <c r="AB1218" s="36">
        <v>27.0</v>
      </c>
      <c r="AC1218" s="36">
        <v>28.0</v>
      </c>
      <c r="AD1218" s="36">
        <v>29.0</v>
      </c>
      <c r="AE1218" s="36">
        <v>30.0</v>
      </c>
      <c r="AF1218" s="36"/>
      <c r="AG1218" s="36"/>
      <c r="AH1218" s="36"/>
      <c r="AI1218" s="36"/>
      <c r="AJ1218" s="36"/>
    </row>
    <row r="1219" ht="15.75" customHeight="1">
      <c r="A1219" s="12" t="s">
        <v>217</v>
      </c>
      <c r="B1219" s="401">
        <v>0.0</v>
      </c>
      <c r="C1219" s="401">
        <v>0.0</v>
      </c>
      <c r="D1219" s="401">
        <v>0.0</v>
      </c>
      <c r="E1219" s="401">
        <v>0.0</v>
      </c>
      <c r="F1219" s="401">
        <v>0.0</v>
      </c>
      <c r="G1219" s="401">
        <v>0.0</v>
      </c>
      <c r="H1219" s="401">
        <v>0.0</v>
      </c>
      <c r="I1219" s="401">
        <v>0.0</v>
      </c>
      <c r="J1219" s="401">
        <v>0.0</v>
      </c>
      <c r="K1219" s="401">
        <v>0.0</v>
      </c>
      <c r="L1219" s="401">
        <v>0.0</v>
      </c>
      <c r="M1219" s="401">
        <v>0.0</v>
      </c>
      <c r="N1219" s="401">
        <v>0.0</v>
      </c>
      <c r="O1219" s="401">
        <v>0.0</v>
      </c>
      <c r="P1219" s="401">
        <v>0.0</v>
      </c>
      <c r="Q1219" s="401">
        <v>0.0</v>
      </c>
      <c r="R1219" s="401">
        <v>0.0</v>
      </c>
      <c r="S1219" s="401">
        <v>0.0</v>
      </c>
      <c r="T1219" s="401">
        <v>0.0</v>
      </c>
      <c r="U1219" s="401">
        <v>0.0</v>
      </c>
      <c r="V1219" s="401">
        <v>0.0</v>
      </c>
      <c r="W1219" s="401">
        <v>0.0</v>
      </c>
      <c r="X1219" s="401">
        <v>0.0</v>
      </c>
      <c r="Y1219" s="401">
        <v>0.0</v>
      </c>
      <c r="Z1219" s="401">
        <v>0.0</v>
      </c>
      <c r="AA1219" s="401">
        <v>0.0</v>
      </c>
      <c r="AB1219" s="401">
        <v>0.0</v>
      </c>
      <c r="AC1219" s="401">
        <v>0.0</v>
      </c>
      <c r="AD1219" s="401">
        <v>0.0</v>
      </c>
      <c r="AE1219" s="401">
        <v>0.0</v>
      </c>
      <c r="AF1219" s="36"/>
      <c r="AG1219" s="36"/>
      <c r="AH1219" s="36"/>
      <c r="AI1219" s="36"/>
      <c r="AJ1219" s="36"/>
    </row>
    <row r="1220" ht="15.75" customHeight="1">
      <c r="A1220" s="12" t="s">
        <v>218</v>
      </c>
      <c r="B1220" s="402">
        <f t="shared" ref="B1220:AE1220" si="102">0.75%/12</f>
        <v>0.000625</v>
      </c>
      <c r="C1220" s="402">
        <f t="shared" si="102"/>
        <v>0.000625</v>
      </c>
      <c r="D1220" s="402">
        <f t="shared" si="102"/>
        <v>0.000625</v>
      </c>
      <c r="E1220" s="402">
        <f t="shared" si="102"/>
        <v>0.000625</v>
      </c>
      <c r="F1220" s="402">
        <f t="shared" si="102"/>
        <v>0.000625</v>
      </c>
      <c r="G1220" s="402">
        <f t="shared" si="102"/>
        <v>0.000625</v>
      </c>
      <c r="H1220" s="402">
        <f t="shared" si="102"/>
        <v>0.000625</v>
      </c>
      <c r="I1220" s="402">
        <f t="shared" si="102"/>
        <v>0.000625</v>
      </c>
      <c r="J1220" s="402">
        <f t="shared" si="102"/>
        <v>0.000625</v>
      </c>
      <c r="K1220" s="402">
        <f t="shared" si="102"/>
        <v>0.000625</v>
      </c>
      <c r="L1220" s="402">
        <f t="shared" si="102"/>
        <v>0.000625</v>
      </c>
      <c r="M1220" s="402">
        <f t="shared" si="102"/>
        <v>0.000625</v>
      </c>
      <c r="N1220" s="402">
        <f t="shared" si="102"/>
        <v>0.000625</v>
      </c>
      <c r="O1220" s="402">
        <f t="shared" si="102"/>
        <v>0.000625</v>
      </c>
      <c r="P1220" s="402">
        <f t="shared" si="102"/>
        <v>0.000625</v>
      </c>
      <c r="Q1220" s="402">
        <f t="shared" si="102"/>
        <v>0.000625</v>
      </c>
      <c r="R1220" s="402">
        <f t="shared" si="102"/>
        <v>0.000625</v>
      </c>
      <c r="S1220" s="402">
        <f t="shared" si="102"/>
        <v>0.000625</v>
      </c>
      <c r="T1220" s="402">
        <f t="shared" si="102"/>
        <v>0.000625</v>
      </c>
      <c r="U1220" s="402">
        <f t="shared" si="102"/>
        <v>0.000625</v>
      </c>
      <c r="V1220" s="402">
        <f t="shared" si="102"/>
        <v>0.000625</v>
      </c>
      <c r="W1220" s="402">
        <f t="shared" si="102"/>
        <v>0.000625</v>
      </c>
      <c r="X1220" s="402">
        <f t="shared" si="102"/>
        <v>0.000625</v>
      </c>
      <c r="Y1220" s="402">
        <f t="shared" si="102"/>
        <v>0.000625</v>
      </c>
      <c r="Z1220" s="402">
        <f t="shared" si="102"/>
        <v>0.000625</v>
      </c>
      <c r="AA1220" s="402">
        <f t="shared" si="102"/>
        <v>0.000625</v>
      </c>
      <c r="AB1220" s="402">
        <f t="shared" si="102"/>
        <v>0.000625</v>
      </c>
      <c r="AC1220" s="402">
        <f t="shared" si="102"/>
        <v>0.000625</v>
      </c>
      <c r="AD1220" s="402">
        <f t="shared" si="102"/>
        <v>0.000625</v>
      </c>
      <c r="AE1220" s="402">
        <f t="shared" si="102"/>
        <v>0.000625</v>
      </c>
      <c r="AF1220" s="36"/>
      <c r="AG1220" s="36"/>
      <c r="AH1220" s="36"/>
      <c r="AI1220" s="36"/>
      <c r="AJ1220" s="36"/>
    </row>
    <row r="1221" ht="15.75" customHeight="1">
      <c r="A1221" s="12"/>
      <c r="B1221" s="390"/>
      <c r="C1221" s="390"/>
      <c r="D1221" s="390"/>
      <c r="E1221" s="121"/>
      <c r="F1221" s="121"/>
      <c r="G1221" s="121"/>
      <c r="H1221" s="121"/>
      <c r="I1221" s="121"/>
      <c r="J1221" s="121"/>
      <c r="K1221" s="121"/>
      <c r="L1221" s="121"/>
      <c r="M1221" s="121"/>
      <c r="N1221" s="121"/>
      <c r="O1221" s="121"/>
      <c r="P1221" s="121"/>
      <c r="Q1221" s="121"/>
      <c r="R1221" s="121"/>
      <c r="S1221" s="121"/>
      <c r="T1221" s="121"/>
      <c r="U1221" s="121"/>
      <c r="V1221" s="121"/>
      <c r="W1221" s="121"/>
      <c r="X1221" s="121"/>
      <c r="Y1221" s="121"/>
      <c r="Z1221" s="121"/>
      <c r="AA1221" s="121"/>
      <c r="AB1221" s="121"/>
      <c r="AC1221" s="121"/>
      <c r="AD1221" s="121"/>
      <c r="AE1221" s="121"/>
      <c r="AF1221" s="36"/>
      <c r="AG1221" s="36"/>
      <c r="AH1221" s="36"/>
      <c r="AI1221" s="36"/>
      <c r="AJ1221" s="36"/>
    </row>
    <row r="1222" ht="15.75" customHeight="1">
      <c r="A1222" s="357" t="s">
        <v>1615</v>
      </c>
      <c r="B1222" s="390"/>
      <c r="C1222" s="390"/>
      <c r="D1222" s="390"/>
      <c r="E1222" s="121"/>
      <c r="F1222" s="121"/>
      <c r="G1222" s="121"/>
      <c r="H1222" s="121"/>
      <c r="I1222" s="121"/>
      <c r="J1222" s="121"/>
      <c r="K1222" s="121"/>
      <c r="L1222" s="121"/>
      <c r="M1222" s="121"/>
      <c r="N1222" s="121"/>
      <c r="O1222" s="121"/>
      <c r="P1222" s="121"/>
      <c r="Q1222" s="121"/>
      <c r="R1222" s="121"/>
      <c r="S1222" s="121"/>
      <c r="T1222" s="121"/>
      <c r="U1222" s="121"/>
      <c r="V1222" s="121"/>
      <c r="W1222" s="121"/>
      <c r="X1222" s="121"/>
      <c r="Y1222" s="121"/>
      <c r="Z1222" s="121"/>
      <c r="AA1222" s="121"/>
      <c r="AB1222" s="121"/>
      <c r="AC1222" s="121"/>
      <c r="AD1222" s="121"/>
      <c r="AE1222" s="121"/>
      <c r="AF1222" s="36"/>
      <c r="AG1222" s="36"/>
      <c r="AH1222" s="36"/>
      <c r="AI1222" s="36"/>
      <c r="AJ1222" s="36"/>
    </row>
    <row r="1223" ht="15.75" customHeight="1">
      <c r="A1223" s="12"/>
      <c r="B1223" s="390"/>
      <c r="C1223" s="390"/>
      <c r="D1223" s="390"/>
      <c r="E1223" s="121"/>
      <c r="F1223" s="121"/>
      <c r="G1223" s="121"/>
      <c r="H1223" s="121"/>
      <c r="I1223" s="121"/>
      <c r="J1223" s="121"/>
      <c r="K1223" s="121"/>
      <c r="L1223" s="121"/>
      <c r="M1223" s="121"/>
      <c r="N1223" s="121"/>
      <c r="O1223" s="121"/>
      <c r="P1223" s="121"/>
      <c r="Q1223" s="121"/>
      <c r="R1223" s="121"/>
      <c r="S1223" s="121"/>
      <c r="T1223" s="121"/>
      <c r="U1223" s="121"/>
      <c r="V1223" s="121"/>
      <c r="W1223" s="121"/>
      <c r="X1223" s="121"/>
      <c r="Y1223" s="121"/>
      <c r="Z1223" s="121"/>
      <c r="AA1223" s="121"/>
      <c r="AB1223" s="121"/>
      <c r="AC1223" s="121"/>
      <c r="AD1223" s="121"/>
      <c r="AE1223" s="121"/>
      <c r="AF1223" s="36"/>
      <c r="AG1223" s="36"/>
      <c r="AH1223" s="36"/>
      <c r="AI1223" s="36"/>
      <c r="AJ1223" s="36"/>
    </row>
    <row r="1224" ht="15.75" customHeight="1">
      <c r="A1224" s="36" t="s">
        <v>215</v>
      </c>
      <c r="B1224" s="36">
        <v>1.0</v>
      </c>
      <c r="C1224" s="36">
        <v>2.0</v>
      </c>
      <c r="D1224" s="36">
        <v>3.0</v>
      </c>
      <c r="E1224" s="36">
        <v>4.0</v>
      </c>
      <c r="F1224" s="36">
        <v>5.0</v>
      </c>
      <c r="G1224" s="36">
        <v>6.0</v>
      </c>
      <c r="H1224" s="36">
        <v>7.0</v>
      </c>
      <c r="I1224" s="36">
        <v>8.0</v>
      </c>
      <c r="J1224" s="36">
        <v>9.0</v>
      </c>
      <c r="K1224" s="36">
        <v>10.0</v>
      </c>
      <c r="L1224" s="36">
        <v>11.0</v>
      </c>
      <c r="M1224" s="36">
        <v>12.0</v>
      </c>
      <c r="N1224" s="36">
        <v>13.0</v>
      </c>
      <c r="O1224" s="36">
        <v>14.0</v>
      </c>
      <c r="P1224" s="36">
        <v>15.0</v>
      </c>
      <c r="Q1224" s="36">
        <v>16.0</v>
      </c>
      <c r="R1224" s="36">
        <v>17.0</v>
      </c>
      <c r="S1224" s="36">
        <v>18.0</v>
      </c>
      <c r="T1224" s="36">
        <v>19.0</v>
      </c>
      <c r="U1224" s="36">
        <v>20.0</v>
      </c>
      <c r="V1224" s="36">
        <v>21.0</v>
      </c>
      <c r="W1224" s="36">
        <v>22.0</v>
      </c>
      <c r="X1224" s="36">
        <v>23.0</v>
      </c>
      <c r="Y1224" s="36">
        <v>24.0</v>
      </c>
      <c r="Z1224" s="36">
        <v>25.0</v>
      </c>
      <c r="AA1224" s="36">
        <v>26.0</v>
      </c>
      <c r="AB1224" s="36">
        <v>27.0</v>
      </c>
      <c r="AC1224" s="36">
        <v>28.0</v>
      </c>
      <c r="AD1224" s="36">
        <v>29.0</v>
      </c>
      <c r="AE1224" s="36">
        <v>30.0</v>
      </c>
      <c r="AF1224" s="36"/>
      <c r="AG1224" s="36"/>
      <c r="AH1224" s="36"/>
      <c r="AI1224" s="36"/>
      <c r="AJ1224" s="36"/>
    </row>
    <row r="1225" ht="15.75" customHeight="1">
      <c r="A1225" s="12" t="s">
        <v>217</v>
      </c>
      <c r="B1225" s="401">
        <v>0.0</v>
      </c>
      <c r="C1225" s="401">
        <v>0.0</v>
      </c>
      <c r="D1225" s="401">
        <v>0.0</v>
      </c>
      <c r="E1225" s="401">
        <v>0.0</v>
      </c>
      <c r="F1225" s="401">
        <v>0.0</v>
      </c>
      <c r="G1225" s="401">
        <v>0.0</v>
      </c>
      <c r="H1225" s="401">
        <v>0.0</v>
      </c>
      <c r="I1225" s="401">
        <v>0.0</v>
      </c>
      <c r="J1225" s="401">
        <v>0.0</v>
      </c>
      <c r="K1225" s="401">
        <v>0.0</v>
      </c>
      <c r="L1225" s="401">
        <v>0.0</v>
      </c>
      <c r="M1225" s="401">
        <v>0.0</v>
      </c>
      <c r="N1225" s="401">
        <v>0.0</v>
      </c>
      <c r="O1225" s="401">
        <v>0.0</v>
      </c>
      <c r="P1225" s="401">
        <v>0.0</v>
      </c>
      <c r="Q1225" s="401">
        <v>0.0</v>
      </c>
      <c r="R1225" s="401">
        <v>0.0</v>
      </c>
      <c r="S1225" s="401">
        <v>0.0</v>
      </c>
      <c r="T1225" s="401">
        <v>0.0</v>
      </c>
      <c r="U1225" s="401">
        <v>0.0</v>
      </c>
      <c r="V1225" s="401">
        <v>0.0</v>
      </c>
      <c r="W1225" s="401">
        <v>0.0</v>
      </c>
      <c r="X1225" s="401">
        <v>0.0</v>
      </c>
      <c r="Y1225" s="401">
        <v>0.0</v>
      </c>
      <c r="Z1225" s="401">
        <v>0.0</v>
      </c>
      <c r="AA1225" s="401">
        <v>0.0</v>
      </c>
      <c r="AB1225" s="401">
        <v>0.0</v>
      </c>
      <c r="AC1225" s="401">
        <v>0.0</v>
      </c>
      <c r="AD1225" s="401">
        <v>0.0</v>
      </c>
      <c r="AE1225" s="401">
        <v>0.0</v>
      </c>
      <c r="AF1225" s="36"/>
      <c r="AG1225" s="36"/>
      <c r="AH1225" s="36"/>
      <c r="AI1225" s="36"/>
      <c r="AJ1225" s="36"/>
    </row>
    <row r="1226" ht="15.75" customHeight="1">
      <c r="A1226" s="12" t="s">
        <v>218</v>
      </c>
      <c r="B1226" s="402">
        <f t="shared" ref="B1226:AE1226" si="103">1%/12</f>
        <v>0.0008333333333</v>
      </c>
      <c r="C1226" s="402">
        <f t="shared" si="103"/>
        <v>0.0008333333333</v>
      </c>
      <c r="D1226" s="402">
        <f t="shared" si="103"/>
        <v>0.0008333333333</v>
      </c>
      <c r="E1226" s="402">
        <f t="shared" si="103"/>
        <v>0.0008333333333</v>
      </c>
      <c r="F1226" s="402">
        <f t="shared" si="103"/>
        <v>0.0008333333333</v>
      </c>
      <c r="G1226" s="402">
        <f t="shared" si="103"/>
        <v>0.0008333333333</v>
      </c>
      <c r="H1226" s="402">
        <f t="shared" si="103"/>
        <v>0.0008333333333</v>
      </c>
      <c r="I1226" s="402">
        <f t="shared" si="103"/>
        <v>0.0008333333333</v>
      </c>
      <c r="J1226" s="402">
        <f t="shared" si="103"/>
        <v>0.0008333333333</v>
      </c>
      <c r="K1226" s="402">
        <f t="shared" si="103"/>
        <v>0.0008333333333</v>
      </c>
      <c r="L1226" s="402">
        <f t="shared" si="103"/>
        <v>0.0008333333333</v>
      </c>
      <c r="M1226" s="402">
        <f t="shared" si="103"/>
        <v>0.0008333333333</v>
      </c>
      <c r="N1226" s="402">
        <f t="shared" si="103"/>
        <v>0.0008333333333</v>
      </c>
      <c r="O1226" s="402">
        <f t="shared" si="103"/>
        <v>0.0008333333333</v>
      </c>
      <c r="P1226" s="402">
        <f t="shared" si="103"/>
        <v>0.0008333333333</v>
      </c>
      <c r="Q1226" s="402">
        <f t="shared" si="103"/>
        <v>0.0008333333333</v>
      </c>
      <c r="R1226" s="402">
        <f t="shared" si="103"/>
        <v>0.0008333333333</v>
      </c>
      <c r="S1226" s="402">
        <f t="shared" si="103"/>
        <v>0.0008333333333</v>
      </c>
      <c r="T1226" s="402">
        <f t="shared" si="103"/>
        <v>0.0008333333333</v>
      </c>
      <c r="U1226" s="402">
        <f t="shared" si="103"/>
        <v>0.0008333333333</v>
      </c>
      <c r="V1226" s="402">
        <f t="shared" si="103"/>
        <v>0.0008333333333</v>
      </c>
      <c r="W1226" s="402">
        <f t="shared" si="103"/>
        <v>0.0008333333333</v>
      </c>
      <c r="X1226" s="402">
        <f t="shared" si="103"/>
        <v>0.0008333333333</v>
      </c>
      <c r="Y1226" s="402">
        <f t="shared" si="103"/>
        <v>0.0008333333333</v>
      </c>
      <c r="Z1226" s="402">
        <f t="shared" si="103"/>
        <v>0.0008333333333</v>
      </c>
      <c r="AA1226" s="402">
        <f t="shared" si="103"/>
        <v>0.0008333333333</v>
      </c>
      <c r="AB1226" s="402">
        <f t="shared" si="103"/>
        <v>0.0008333333333</v>
      </c>
      <c r="AC1226" s="402">
        <f t="shared" si="103"/>
        <v>0.0008333333333</v>
      </c>
      <c r="AD1226" s="402">
        <f t="shared" si="103"/>
        <v>0.0008333333333</v>
      </c>
      <c r="AE1226" s="402">
        <f t="shared" si="103"/>
        <v>0.0008333333333</v>
      </c>
      <c r="AF1226" s="36"/>
      <c r="AG1226" s="36"/>
      <c r="AH1226" s="36"/>
      <c r="AI1226" s="36"/>
      <c r="AJ1226" s="36"/>
    </row>
    <row r="1227" ht="15.75" customHeight="1">
      <c r="A1227" s="12"/>
      <c r="B1227" s="390"/>
      <c r="C1227" s="390"/>
      <c r="D1227" s="390"/>
      <c r="E1227" s="121"/>
      <c r="F1227" s="121"/>
      <c r="G1227" s="121"/>
      <c r="H1227" s="121"/>
      <c r="I1227" s="121"/>
      <c r="J1227" s="121"/>
      <c r="K1227" s="121"/>
      <c r="L1227" s="121"/>
      <c r="M1227" s="121"/>
      <c r="N1227" s="121"/>
      <c r="O1227" s="121"/>
      <c r="P1227" s="121"/>
      <c r="Q1227" s="121"/>
      <c r="R1227" s="121"/>
      <c r="S1227" s="121"/>
      <c r="T1227" s="121"/>
      <c r="U1227" s="121"/>
      <c r="V1227" s="121"/>
      <c r="W1227" s="121"/>
      <c r="X1227" s="121"/>
      <c r="Y1227" s="121"/>
      <c r="Z1227" s="121"/>
      <c r="AA1227" s="121"/>
      <c r="AB1227" s="121"/>
      <c r="AC1227" s="121"/>
      <c r="AD1227" s="121"/>
      <c r="AE1227" s="121"/>
      <c r="AF1227" s="36"/>
      <c r="AG1227" s="36"/>
      <c r="AH1227" s="36"/>
      <c r="AI1227" s="36"/>
      <c r="AJ1227" s="36"/>
    </row>
    <row r="1228" ht="15.75" customHeight="1">
      <c r="A1228" s="357" t="s">
        <v>1619</v>
      </c>
      <c r="B1228" s="390"/>
      <c r="C1228" s="390"/>
      <c r="D1228" s="390"/>
      <c r="E1228" s="121"/>
      <c r="F1228" s="121"/>
      <c r="G1228" s="121"/>
      <c r="H1228" s="121"/>
      <c r="I1228" s="121"/>
      <c r="J1228" s="121"/>
      <c r="K1228" s="121"/>
      <c r="L1228" s="121"/>
      <c r="M1228" s="121"/>
      <c r="N1228" s="121"/>
      <c r="O1228" s="121"/>
      <c r="P1228" s="121"/>
      <c r="Q1228" s="121"/>
      <c r="R1228" s="121"/>
      <c r="S1228" s="121"/>
      <c r="T1228" s="121"/>
      <c r="U1228" s="121"/>
      <c r="V1228" s="121"/>
      <c r="W1228" s="121"/>
      <c r="X1228" s="121"/>
      <c r="Y1228" s="121"/>
      <c r="Z1228" s="121"/>
      <c r="AA1228" s="121"/>
      <c r="AB1228" s="121"/>
      <c r="AC1228" s="121"/>
      <c r="AD1228" s="121"/>
      <c r="AE1228" s="121"/>
      <c r="AF1228" s="36"/>
      <c r="AG1228" s="36"/>
      <c r="AH1228" s="36"/>
      <c r="AI1228" s="36"/>
      <c r="AJ1228" s="36"/>
    </row>
    <row r="1229" ht="15.75" customHeight="1">
      <c r="A1229" s="12"/>
      <c r="B1229" s="390"/>
      <c r="C1229" s="390"/>
      <c r="D1229" s="390"/>
      <c r="E1229" s="121"/>
      <c r="F1229" s="121"/>
      <c r="G1229" s="121"/>
      <c r="H1229" s="121"/>
      <c r="I1229" s="121"/>
      <c r="J1229" s="121"/>
      <c r="K1229" s="121"/>
      <c r="L1229" s="121"/>
      <c r="M1229" s="121"/>
      <c r="N1229" s="121"/>
      <c r="O1229" s="121"/>
      <c r="P1229" s="121"/>
      <c r="Q1229" s="121"/>
      <c r="R1229" s="121"/>
      <c r="S1229" s="121"/>
      <c r="T1229" s="121"/>
      <c r="U1229" s="121"/>
      <c r="V1229" s="121"/>
      <c r="W1229" s="121"/>
      <c r="X1229" s="121"/>
      <c r="Y1229" s="121"/>
      <c r="Z1229" s="121"/>
      <c r="AA1229" s="121"/>
      <c r="AB1229" s="121"/>
      <c r="AC1229" s="121"/>
      <c r="AD1229" s="121"/>
      <c r="AE1229" s="121"/>
      <c r="AF1229" s="36"/>
      <c r="AG1229" s="36"/>
      <c r="AH1229" s="36"/>
      <c r="AI1229" s="36"/>
      <c r="AJ1229" s="36"/>
    </row>
    <row r="1230" ht="15.75" customHeight="1">
      <c r="A1230" s="36" t="s">
        <v>215</v>
      </c>
      <c r="B1230" s="36">
        <v>1.0</v>
      </c>
      <c r="C1230" s="36">
        <v>2.0</v>
      </c>
      <c r="D1230" s="36">
        <v>3.0</v>
      </c>
      <c r="E1230" s="36">
        <v>4.0</v>
      </c>
      <c r="F1230" s="36">
        <v>5.0</v>
      </c>
      <c r="G1230" s="36">
        <v>6.0</v>
      </c>
      <c r="H1230" s="36">
        <v>7.0</v>
      </c>
      <c r="I1230" s="36">
        <v>8.0</v>
      </c>
      <c r="J1230" s="36">
        <v>9.0</v>
      </c>
      <c r="K1230" s="36">
        <v>10.0</v>
      </c>
      <c r="L1230" s="36">
        <v>11.0</v>
      </c>
      <c r="M1230" s="36">
        <v>12.0</v>
      </c>
      <c r="N1230" s="36">
        <v>13.0</v>
      </c>
      <c r="O1230" s="36">
        <v>14.0</v>
      </c>
      <c r="P1230" s="36">
        <v>15.0</v>
      </c>
      <c r="Q1230" s="36">
        <v>16.0</v>
      </c>
      <c r="R1230" s="36">
        <v>17.0</v>
      </c>
      <c r="S1230" s="36">
        <v>18.0</v>
      </c>
      <c r="T1230" s="36">
        <v>19.0</v>
      </c>
      <c r="U1230" s="36">
        <v>20.0</v>
      </c>
      <c r="V1230" s="36">
        <v>21.0</v>
      </c>
      <c r="W1230" s="36">
        <v>22.0</v>
      </c>
      <c r="X1230" s="36">
        <v>23.0</v>
      </c>
      <c r="Y1230" s="36">
        <v>24.0</v>
      </c>
      <c r="Z1230" s="36">
        <v>25.0</v>
      </c>
      <c r="AA1230" s="36">
        <v>26.0</v>
      </c>
      <c r="AB1230" s="36">
        <v>27.0</v>
      </c>
      <c r="AC1230" s="36">
        <v>28.0</v>
      </c>
      <c r="AD1230" s="36">
        <v>29.0</v>
      </c>
      <c r="AE1230" s="36">
        <v>30.0</v>
      </c>
      <c r="AF1230" s="36"/>
      <c r="AG1230" s="36"/>
      <c r="AH1230" s="36"/>
      <c r="AI1230" s="36"/>
      <c r="AJ1230" s="36"/>
    </row>
    <row r="1231" ht="15.75" customHeight="1">
      <c r="A1231" s="12" t="s">
        <v>217</v>
      </c>
      <c r="B1231" s="401">
        <v>0.0</v>
      </c>
      <c r="C1231" s="401">
        <v>0.0</v>
      </c>
      <c r="D1231" s="401">
        <v>0.0</v>
      </c>
      <c r="E1231" s="401">
        <v>0.0</v>
      </c>
      <c r="F1231" s="401">
        <v>0.0</v>
      </c>
      <c r="G1231" s="401">
        <v>0.0</v>
      </c>
      <c r="H1231" s="401">
        <v>0.0</v>
      </c>
      <c r="I1231" s="401">
        <v>0.0</v>
      </c>
      <c r="J1231" s="401">
        <v>0.0</v>
      </c>
      <c r="K1231" s="401">
        <v>0.0</v>
      </c>
      <c r="L1231" s="401">
        <v>0.0</v>
      </c>
      <c r="M1231" s="401">
        <v>0.0</v>
      </c>
      <c r="N1231" s="401">
        <v>0.0</v>
      </c>
      <c r="O1231" s="401">
        <v>0.0</v>
      </c>
      <c r="P1231" s="401">
        <v>0.0</v>
      </c>
      <c r="Q1231" s="401">
        <v>0.0</v>
      </c>
      <c r="R1231" s="401">
        <v>0.0</v>
      </c>
      <c r="S1231" s="401">
        <v>0.0</v>
      </c>
      <c r="T1231" s="401">
        <v>0.0</v>
      </c>
      <c r="U1231" s="401">
        <v>0.0</v>
      </c>
      <c r="V1231" s="401">
        <v>0.0</v>
      </c>
      <c r="W1231" s="401">
        <v>0.0</v>
      </c>
      <c r="X1231" s="401">
        <v>0.0</v>
      </c>
      <c r="Y1231" s="401">
        <v>0.0</v>
      </c>
      <c r="Z1231" s="401">
        <v>0.0</v>
      </c>
      <c r="AA1231" s="401">
        <v>0.0</v>
      </c>
      <c r="AB1231" s="401">
        <v>0.0</v>
      </c>
      <c r="AC1231" s="401">
        <v>0.0</v>
      </c>
      <c r="AD1231" s="401">
        <v>0.0</v>
      </c>
      <c r="AE1231" s="401">
        <v>0.0</v>
      </c>
      <c r="AF1231" s="36"/>
      <c r="AG1231" s="36"/>
      <c r="AH1231" s="36"/>
      <c r="AI1231" s="36"/>
      <c r="AJ1231" s="36"/>
    </row>
    <row r="1232" ht="15.75" customHeight="1">
      <c r="A1232" s="12" t="s">
        <v>218</v>
      </c>
      <c r="B1232" s="194">
        <v>0.0015</v>
      </c>
      <c r="C1232" s="194">
        <v>0.0015</v>
      </c>
      <c r="D1232" s="194">
        <v>0.0015</v>
      </c>
      <c r="E1232" s="194">
        <v>0.0015</v>
      </c>
      <c r="F1232" s="194">
        <v>0.0015</v>
      </c>
      <c r="G1232" s="194">
        <v>0.0015</v>
      </c>
      <c r="H1232" s="194">
        <v>0.0015</v>
      </c>
      <c r="I1232" s="194">
        <v>0.0015</v>
      </c>
      <c r="J1232" s="194">
        <v>0.0015</v>
      </c>
      <c r="K1232" s="194">
        <v>0.0015</v>
      </c>
      <c r="L1232" s="194">
        <v>0.0015</v>
      </c>
      <c r="M1232" s="194">
        <v>0.0015</v>
      </c>
      <c r="N1232" s="194">
        <v>0.0015</v>
      </c>
      <c r="O1232" s="194">
        <v>0.0015</v>
      </c>
      <c r="P1232" s="194">
        <v>0.0015</v>
      </c>
      <c r="Q1232" s="194">
        <v>0.0015</v>
      </c>
      <c r="R1232" s="194">
        <v>0.0015</v>
      </c>
      <c r="S1232" s="194">
        <v>0.0015</v>
      </c>
      <c r="T1232" s="194">
        <v>0.0015</v>
      </c>
      <c r="U1232" s="194">
        <v>0.0015</v>
      </c>
      <c r="V1232" s="194">
        <v>0.0015</v>
      </c>
      <c r="W1232" s="194">
        <v>0.0015</v>
      </c>
      <c r="X1232" s="194">
        <v>0.0015</v>
      </c>
      <c r="Y1232" s="194">
        <v>0.0015</v>
      </c>
      <c r="Z1232" s="194">
        <v>0.0015</v>
      </c>
      <c r="AA1232" s="194">
        <v>0.0015</v>
      </c>
      <c r="AB1232" s="194">
        <v>0.0015</v>
      </c>
      <c r="AC1232" s="194">
        <v>0.0015</v>
      </c>
      <c r="AD1232" s="194">
        <v>0.0015</v>
      </c>
      <c r="AE1232" s="194">
        <v>0.0015</v>
      </c>
      <c r="AF1232" s="36"/>
      <c r="AG1232" s="36"/>
      <c r="AH1232" s="36"/>
      <c r="AI1232" s="36"/>
      <c r="AJ1232" s="36"/>
    </row>
    <row r="1233" ht="15.75" customHeight="1">
      <c r="A1233" s="12"/>
      <c r="B1233" s="390"/>
      <c r="C1233" s="390"/>
      <c r="D1233" s="390"/>
      <c r="E1233" s="121"/>
      <c r="F1233" s="121"/>
      <c r="G1233" s="121"/>
      <c r="H1233" s="121"/>
      <c r="I1233" s="121"/>
      <c r="J1233" s="121"/>
      <c r="K1233" s="121"/>
      <c r="L1233" s="121"/>
      <c r="M1233" s="121"/>
      <c r="N1233" s="121"/>
      <c r="O1233" s="121"/>
      <c r="P1233" s="121"/>
      <c r="Q1233" s="121"/>
      <c r="R1233" s="121"/>
      <c r="S1233" s="121"/>
      <c r="T1233" s="121"/>
      <c r="U1233" s="121"/>
      <c r="V1233" s="121"/>
      <c r="W1233" s="121"/>
      <c r="X1233" s="121"/>
      <c r="Y1233" s="121"/>
      <c r="Z1233" s="121"/>
      <c r="AA1233" s="121"/>
      <c r="AB1233" s="121"/>
      <c r="AC1233" s="121"/>
      <c r="AD1233" s="121"/>
      <c r="AE1233" s="121"/>
      <c r="AF1233" s="36"/>
      <c r="AG1233" s="36"/>
      <c r="AH1233" s="36"/>
      <c r="AI1233" s="36"/>
      <c r="AJ1233" s="36"/>
    </row>
    <row r="1234" ht="15.75" customHeight="1">
      <c r="A1234" s="357" t="s">
        <v>1626</v>
      </c>
      <c r="B1234" s="390"/>
      <c r="C1234" s="390"/>
      <c r="D1234" s="390"/>
      <c r="E1234" s="121"/>
      <c r="F1234" s="121"/>
      <c r="G1234" s="121"/>
      <c r="H1234" s="121"/>
      <c r="I1234" s="121"/>
      <c r="J1234" s="121"/>
      <c r="K1234" s="121"/>
      <c r="L1234" s="121"/>
      <c r="M1234" s="121"/>
      <c r="N1234" s="121"/>
      <c r="O1234" s="121"/>
      <c r="P1234" s="121"/>
      <c r="Q1234" s="121"/>
      <c r="R1234" s="121"/>
      <c r="S1234" s="121"/>
      <c r="T1234" s="121"/>
      <c r="U1234" s="121"/>
      <c r="V1234" s="121"/>
      <c r="W1234" s="121"/>
      <c r="X1234" s="121"/>
      <c r="Y1234" s="121"/>
      <c r="Z1234" s="121"/>
      <c r="AA1234" s="121"/>
      <c r="AB1234" s="121"/>
      <c r="AC1234" s="121"/>
      <c r="AD1234" s="121"/>
      <c r="AE1234" s="121"/>
      <c r="AF1234" s="36"/>
      <c r="AG1234" s="36"/>
      <c r="AH1234" s="36"/>
      <c r="AI1234" s="36"/>
      <c r="AJ1234" s="36"/>
    </row>
    <row r="1235" ht="15.75" customHeight="1">
      <c r="A1235" s="12"/>
      <c r="B1235" s="390"/>
      <c r="C1235" s="390"/>
      <c r="D1235" s="390"/>
      <c r="E1235" s="121"/>
      <c r="F1235" s="121"/>
      <c r="G1235" s="121"/>
      <c r="H1235" s="121"/>
      <c r="I1235" s="121"/>
      <c r="J1235" s="121"/>
      <c r="K1235" s="121"/>
      <c r="L1235" s="121"/>
      <c r="M1235" s="121"/>
      <c r="N1235" s="121"/>
      <c r="O1235" s="121"/>
      <c r="P1235" s="121"/>
      <c r="Q1235" s="121"/>
      <c r="R1235" s="121"/>
      <c r="S1235" s="121"/>
      <c r="T1235" s="121"/>
      <c r="U1235" s="121"/>
      <c r="V1235" s="121"/>
      <c r="W1235" s="121"/>
      <c r="X1235" s="121"/>
      <c r="Y1235" s="121"/>
      <c r="Z1235" s="121"/>
      <c r="AA1235" s="121"/>
      <c r="AB1235" s="121"/>
      <c r="AC1235" s="121"/>
      <c r="AD1235" s="121"/>
      <c r="AE1235" s="121"/>
      <c r="AF1235" s="36"/>
      <c r="AG1235" s="36"/>
      <c r="AH1235" s="36"/>
      <c r="AI1235" s="36"/>
      <c r="AJ1235" s="36"/>
    </row>
    <row r="1236" ht="15.75" customHeight="1">
      <c r="A1236" s="36" t="s">
        <v>215</v>
      </c>
      <c r="B1236" s="36">
        <v>1.0</v>
      </c>
      <c r="C1236" s="36">
        <v>2.0</v>
      </c>
      <c r="D1236" s="36">
        <v>3.0</v>
      </c>
      <c r="E1236" s="36">
        <v>4.0</v>
      </c>
      <c r="F1236" s="36">
        <v>5.0</v>
      </c>
      <c r="G1236" s="36">
        <v>6.0</v>
      </c>
      <c r="H1236" s="36">
        <v>7.0</v>
      </c>
      <c r="I1236" s="36">
        <v>8.0</v>
      </c>
      <c r="J1236" s="36">
        <v>9.0</v>
      </c>
      <c r="K1236" s="36">
        <v>10.0</v>
      </c>
      <c r="L1236" s="36">
        <v>11.0</v>
      </c>
      <c r="M1236" s="36">
        <v>12.0</v>
      </c>
      <c r="N1236" s="36">
        <v>13.0</v>
      </c>
      <c r="O1236" s="36">
        <v>14.0</v>
      </c>
      <c r="P1236" s="36">
        <v>15.0</v>
      </c>
      <c r="Q1236" s="36">
        <v>16.0</v>
      </c>
      <c r="R1236" s="36">
        <v>17.0</v>
      </c>
      <c r="S1236" s="36">
        <v>18.0</v>
      </c>
      <c r="T1236" s="36">
        <v>19.0</v>
      </c>
      <c r="U1236" s="36">
        <v>20.0</v>
      </c>
      <c r="V1236" s="36">
        <v>21.0</v>
      </c>
      <c r="W1236" s="36">
        <v>22.0</v>
      </c>
      <c r="X1236" s="36">
        <v>23.0</v>
      </c>
      <c r="Y1236" s="36">
        <v>24.0</v>
      </c>
      <c r="Z1236" s="36">
        <v>25.0</v>
      </c>
      <c r="AA1236" s="36">
        <v>26.0</v>
      </c>
      <c r="AB1236" s="36">
        <v>27.0</v>
      </c>
      <c r="AC1236" s="36">
        <v>28.0</v>
      </c>
      <c r="AD1236" s="36">
        <v>29.0</v>
      </c>
      <c r="AE1236" s="36">
        <v>30.0</v>
      </c>
      <c r="AF1236" s="36"/>
      <c r="AG1236" s="36"/>
      <c r="AH1236" s="36"/>
      <c r="AI1236" s="36"/>
      <c r="AJ1236" s="36"/>
    </row>
    <row r="1237" ht="15.75" customHeight="1">
      <c r="A1237" s="12" t="s">
        <v>217</v>
      </c>
      <c r="B1237" s="401">
        <v>0.0</v>
      </c>
      <c r="C1237" s="401">
        <v>0.0</v>
      </c>
      <c r="D1237" s="401">
        <v>0.0</v>
      </c>
      <c r="E1237" s="401">
        <v>0.0</v>
      </c>
      <c r="F1237" s="401">
        <v>0.0</v>
      </c>
      <c r="G1237" s="401">
        <v>0.0</v>
      </c>
      <c r="H1237" s="401">
        <v>0.0</v>
      </c>
      <c r="I1237" s="401">
        <v>0.0</v>
      </c>
      <c r="J1237" s="401">
        <v>0.0</v>
      </c>
      <c r="K1237" s="401">
        <v>0.0</v>
      </c>
      <c r="L1237" s="401">
        <v>0.0</v>
      </c>
      <c r="M1237" s="401">
        <v>0.0</v>
      </c>
      <c r="N1237" s="401">
        <v>0.0</v>
      </c>
      <c r="O1237" s="401">
        <v>0.0</v>
      </c>
      <c r="P1237" s="401">
        <v>0.0</v>
      </c>
      <c r="Q1237" s="401">
        <v>0.0</v>
      </c>
      <c r="R1237" s="401">
        <v>0.0</v>
      </c>
      <c r="S1237" s="401">
        <v>0.0</v>
      </c>
      <c r="T1237" s="401">
        <v>0.0</v>
      </c>
      <c r="U1237" s="401">
        <v>0.0</v>
      </c>
      <c r="V1237" s="401">
        <v>0.0</v>
      </c>
      <c r="W1237" s="401">
        <v>0.0</v>
      </c>
      <c r="X1237" s="401">
        <v>0.0</v>
      </c>
      <c r="Y1237" s="401">
        <v>0.0</v>
      </c>
      <c r="Z1237" s="401">
        <v>0.0</v>
      </c>
      <c r="AA1237" s="401">
        <v>0.0</v>
      </c>
      <c r="AB1237" s="401">
        <v>0.0</v>
      </c>
      <c r="AC1237" s="401">
        <v>0.0</v>
      </c>
      <c r="AD1237" s="401">
        <v>0.0</v>
      </c>
      <c r="AE1237" s="401">
        <v>0.0</v>
      </c>
      <c r="AF1237" s="36"/>
      <c r="AG1237" s="36"/>
      <c r="AH1237" s="36"/>
      <c r="AI1237" s="36"/>
      <c r="AJ1237" s="36"/>
    </row>
    <row r="1238" ht="15.75" customHeight="1">
      <c r="A1238" s="12" t="s">
        <v>218</v>
      </c>
      <c r="B1238" s="194">
        <v>0.0</v>
      </c>
      <c r="C1238" s="194">
        <v>0.0</v>
      </c>
      <c r="D1238" s="194">
        <v>0.0</v>
      </c>
      <c r="E1238" s="402">
        <f t="shared" ref="E1238:AE1238" si="104">0.38%/12</f>
        <v>0.0003166666667</v>
      </c>
      <c r="F1238" s="402">
        <f t="shared" si="104"/>
        <v>0.0003166666667</v>
      </c>
      <c r="G1238" s="402">
        <f t="shared" si="104"/>
        <v>0.0003166666667</v>
      </c>
      <c r="H1238" s="402">
        <f t="shared" si="104"/>
        <v>0.0003166666667</v>
      </c>
      <c r="I1238" s="402">
        <f t="shared" si="104"/>
        <v>0.0003166666667</v>
      </c>
      <c r="J1238" s="402">
        <f t="shared" si="104"/>
        <v>0.0003166666667</v>
      </c>
      <c r="K1238" s="402">
        <f t="shared" si="104"/>
        <v>0.0003166666667</v>
      </c>
      <c r="L1238" s="402">
        <f t="shared" si="104"/>
        <v>0.0003166666667</v>
      </c>
      <c r="M1238" s="402">
        <f t="shared" si="104"/>
        <v>0.0003166666667</v>
      </c>
      <c r="N1238" s="402">
        <f t="shared" si="104"/>
        <v>0.0003166666667</v>
      </c>
      <c r="O1238" s="402">
        <f t="shared" si="104"/>
        <v>0.0003166666667</v>
      </c>
      <c r="P1238" s="402">
        <f t="shared" si="104"/>
        <v>0.0003166666667</v>
      </c>
      <c r="Q1238" s="402">
        <f t="shared" si="104"/>
        <v>0.0003166666667</v>
      </c>
      <c r="R1238" s="402">
        <f t="shared" si="104"/>
        <v>0.0003166666667</v>
      </c>
      <c r="S1238" s="402">
        <f t="shared" si="104"/>
        <v>0.0003166666667</v>
      </c>
      <c r="T1238" s="402">
        <f t="shared" si="104"/>
        <v>0.0003166666667</v>
      </c>
      <c r="U1238" s="402">
        <f t="shared" si="104"/>
        <v>0.0003166666667</v>
      </c>
      <c r="V1238" s="402">
        <f t="shared" si="104"/>
        <v>0.0003166666667</v>
      </c>
      <c r="W1238" s="402">
        <f t="shared" si="104"/>
        <v>0.0003166666667</v>
      </c>
      <c r="X1238" s="402">
        <f t="shared" si="104"/>
        <v>0.0003166666667</v>
      </c>
      <c r="Y1238" s="402">
        <f t="shared" si="104"/>
        <v>0.0003166666667</v>
      </c>
      <c r="Z1238" s="402">
        <f t="shared" si="104"/>
        <v>0.0003166666667</v>
      </c>
      <c r="AA1238" s="402">
        <f t="shared" si="104"/>
        <v>0.0003166666667</v>
      </c>
      <c r="AB1238" s="402">
        <f t="shared" si="104"/>
        <v>0.0003166666667</v>
      </c>
      <c r="AC1238" s="402">
        <f t="shared" si="104"/>
        <v>0.0003166666667</v>
      </c>
      <c r="AD1238" s="402">
        <f t="shared" si="104"/>
        <v>0.0003166666667</v>
      </c>
      <c r="AE1238" s="402">
        <f t="shared" si="104"/>
        <v>0.0003166666667</v>
      </c>
      <c r="AF1238" s="36"/>
      <c r="AG1238" s="36"/>
      <c r="AH1238" s="36"/>
      <c r="AI1238" s="36"/>
      <c r="AJ1238" s="36"/>
    </row>
    <row r="1239" ht="15.75" customHeight="1">
      <c r="A1239" s="12"/>
      <c r="B1239" s="390"/>
      <c r="C1239" s="390"/>
      <c r="D1239" s="390"/>
      <c r="E1239" s="121"/>
      <c r="F1239" s="121"/>
      <c r="G1239" s="121"/>
      <c r="H1239" s="121"/>
      <c r="I1239" s="121"/>
      <c r="J1239" s="121"/>
      <c r="K1239" s="121"/>
      <c r="L1239" s="121"/>
      <c r="M1239" s="121"/>
      <c r="N1239" s="121"/>
      <c r="O1239" s="121"/>
      <c r="P1239" s="121"/>
      <c r="Q1239" s="121"/>
      <c r="R1239" s="121"/>
      <c r="S1239" s="121"/>
      <c r="T1239" s="121"/>
      <c r="U1239" s="121"/>
      <c r="V1239" s="121"/>
      <c r="W1239" s="121"/>
      <c r="X1239" s="121"/>
      <c r="Y1239" s="121"/>
      <c r="Z1239" s="121"/>
      <c r="AA1239" s="121"/>
      <c r="AB1239" s="121"/>
      <c r="AC1239" s="121"/>
      <c r="AD1239" s="121"/>
      <c r="AE1239" s="121"/>
      <c r="AF1239" s="36"/>
      <c r="AG1239" s="36"/>
      <c r="AH1239" s="36"/>
      <c r="AI1239" s="36"/>
      <c r="AJ1239" s="36"/>
    </row>
    <row r="1240" ht="15.75" customHeight="1">
      <c r="A1240" s="298" t="s">
        <v>1634</v>
      </c>
      <c r="B1240" s="390"/>
      <c r="C1240" s="390"/>
      <c r="D1240" s="390"/>
      <c r="E1240" s="121"/>
      <c r="F1240" s="121"/>
      <c r="G1240" s="121"/>
      <c r="H1240" s="121"/>
      <c r="I1240" s="121"/>
      <c r="J1240" s="121"/>
      <c r="K1240" s="121"/>
      <c r="L1240" s="121"/>
      <c r="M1240" s="121"/>
      <c r="N1240" s="121"/>
      <c r="O1240" s="121"/>
      <c r="P1240" s="121"/>
      <c r="Q1240" s="121"/>
      <c r="R1240" s="121"/>
      <c r="S1240" s="121"/>
      <c r="T1240" s="121"/>
      <c r="U1240" s="121"/>
      <c r="V1240" s="121"/>
      <c r="W1240" s="121"/>
      <c r="X1240" s="121"/>
      <c r="Y1240" s="121"/>
      <c r="Z1240" s="121"/>
      <c r="AA1240" s="121"/>
      <c r="AB1240" s="121"/>
      <c r="AC1240" s="121"/>
      <c r="AD1240" s="121"/>
      <c r="AE1240" s="121"/>
      <c r="AF1240" s="36"/>
      <c r="AG1240" s="36"/>
      <c r="AH1240" s="36"/>
      <c r="AI1240" s="36"/>
      <c r="AJ1240" s="36"/>
    </row>
    <row r="1241" ht="15.75" customHeight="1">
      <c r="A1241" s="12"/>
      <c r="B1241" s="390"/>
      <c r="C1241" s="390"/>
      <c r="D1241" s="390"/>
      <c r="E1241" s="121"/>
      <c r="F1241" s="121"/>
      <c r="G1241" s="121"/>
      <c r="H1241" s="121"/>
      <c r="I1241" s="121"/>
      <c r="J1241" s="121"/>
      <c r="K1241" s="121"/>
      <c r="L1241" s="121"/>
      <c r="M1241" s="121"/>
      <c r="N1241" s="121"/>
      <c r="O1241" s="121"/>
      <c r="P1241" s="121"/>
      <c r="Q1241" s="121"/>
      <c r="R1241" s="121"/>
      <c r="S1241" s="121"/>
      <c r="T1241" s="121"/>
      <c r="U1241" s="121"/>
      <c r="V1241" s="121"/>
      <c r="W1241" s="121"/>
      <c r="X1241" s="121"/>
      <c r="Y1241" s="121"/>
      <c r="Z1241" s="121"/>
      <c r="AA1241" s="121"/>
      <c r="AB1241" s="121"/>
      <c r="AC1241" s="121"/>
      <c r="AD1241" s="121"/>
      <c r="AE1241" s="121"/>
      <c r="AF1241" s="36"/>
      <c r="AG1241" s="36"/>
      <c r="AH1241" s="36"/>
      <c r="AI1241" s="36"/>
      <c r="AJ1241" s="36"/>
    </row>
    <row r="1242" ht="15.75" customHeight="1">
      <c r="A1242" s="36" t="s">
        <v>215</v>
      </c>
      <c r="B1242" s="36">
        <v>1.0</v>
      </c>
      <c r="C1242" s="36">
        <v>2.0</v>
      </c>
      <c r="D1242" s="36">
        <v>3.0</v>
      </c>
      <c r="E1242" s="36">
        <v>4.0</v>
      </c>
      <c r="F1242" s="36">
        <v>5.0</v>
      </c>
      <c r="G1242" s="36">
        <v>6.0</v>
      </c>
      <c r="H1242" s="36">
        <v>7.0</v>
      </c>
      <c r="I1242" s="36">
        <v>8.0</v>
      </c>
      <c r="J1242" s="36">
        <v>9.0</v>
      </c>
      <c r="K1242" s="36">
        <v>10.0</v>
      </c>
      <c r="L1242" s="36">
        <v>11.0</v>
      </c>
      <c r="M1242" s="36">
        <v>12.0</v>
      </c>
      <c r="N1242" s="36">
        <v>13.0</v>
      </c>
      <c r="O1242" s="36">
        <v>14.0</v>
      </c>
      <c r="P1242" s="36">
        <v>15.0</v>
      </c>
      <c r="Q1242" s="36">
        <v>16.0</v>
      </c>
      <c r="R1242" s="36">
        <v>17.0</v>
      </c>
      <c r="S1242" s="36">
        <v>18.0</v>
      </c>
      <c r="T1242" s="36">
        <v>19.0</v>
      </c>
      <c r="U1242" s="36">
        <v>20.0</v>
      </c>
      <c r="V1242" s="36">
        <v>21.0</v>
      </c>
      <c r="W1242" s="36">
        <v>22.0</v>
      </c>
      <c r="X1242" s="36">
        <v>23.0</v>
      </c>
      <c r="Y1242" s="36">
        <v>24.0</v>
      </c>
      <c r="Z1242" s="36">
        <v>25.0</v>
      </c>
      <c r="AA1242" s="36">
        <v>26.0</v>
      </c>
      <c r="AB1242" s="36">
        <v>27.0</v>
      </c>
      <c r="AC1242" s="36">
        <v>28.0</v>
      </c>
      <c r="AD1242" s="36">
        <v>29.0</v>
      </c>
      <c r="AE1242" s="36">
        <v>30.0</v>
      </c>
      <c r="AF1242" s="36"/>
      <c r="AG1242" s="36"/>
      <c r="AH1242" s="36"/>
      <c r="AI1242" s="36"/>
      <c r="AJ1242" s="36"/>
    </row>
    <row r="1243" ht="15.75" customHeight="1">
      <c r="A1243" s="12" t="s">
        <v>217</v>
      </c>
      <c r="B1243" s="401">
        <v>200.0</v>
      </c>
      <c r="C1243" s="401">
        <v>75.0</v>
      </c>
      <c r="D1243" s="401">
        <v>75.0</v>
      </c>
      <c r="E1243" s="401">
        <v>75.0</v>
      </c>
      <c r="F1243" s="401">
        <v>75.0</v>
      </c>
      <c r="G1243" s="401">
        <v>75.0</v>
      </c>
      <c r="H1243" s="401">
        <v>75.0</v>
      </c>
      <c r="I1243" s="401">
        <v>75.0</v>
      </c>
      <c r="J1243" s="401">
        <v>75.0</v>
      </c>
      <c r="K1243" s="401">
        <v>75.0</v>
      </c>
      <c r="L1243" s="401">
        <v>75.0</v>
      </c>
      <c r="M1243" s="401">
        <v>75.0</v>
      </c>
      <c r="N1243" s="401">
        <v>75.0</v>
      </c>
      <c r="O1243" s="401">
        <v>75.0</v>
      </c>
      <c r="P1243" s="401">
        <v>75.0</v>
      </c>
      <c r="Q1243" s="401">
        <v>75.0</v>
      </c>
      <c r="R1243" s="401">
        <v>75.0</v>
      </c>
      <c r="S1243" s="401">
        <v>75.0</v>
      </c>
      <c r="T1243" s="401">
        <v>75.0</v>
      </c>
      <c r="U1243" s="401">
        <v>75.0</v>
      </c>
      <c r="V1243" s="401">
        <v>75.0</v>
      </c>
      <c r="W1243" s="401">
        <v>75.0</v>
      </c>
      <c r="X1243" s="401">
        <v>75.0</v>
      </c>
      <c r="Y1243" s="401">
        <v>75.0</v>
      </c>
      <c r="Z1243" s="401">
        <v>75.0</v>
      </c>
      <c r="AA1243" s="401">
        <v>75.0</v>
      </c>
      <c r="AB1243" s="401">
        <v>75.0</v>
      </c>
      <c r="AC1243" s="401">
        <v>75.0</v>
      </c>
      <c r="AD1243" s="401">
        <v>75.0</v>
      </c>
      <c r="AE1243" s="401">
        <v>75.0</v>
      </c>
      <c r="AF1243" s="36"/>
      <c r="AG1243" s="36"/>
      <c r="AH1243" s="36"/>
      <c r="AI1243" s="36"/>
      <c r="AJ1243" s="36"/>
    </row>
    <row r="1244" ht="15.75" customHeight="1">
      <c r="A1244" s="12" t="s">
        <v>218</v>
      </c>
      <c r="B1244" s="194">
        <v>0.0</v>
      </c>
      <c r="C1244" s="194">
        <v>0.0</v>
      </c>
      <c r="D1244" s="194">
        <v>0.0</v>
      </c>
      <c r="E1244" s="194">
        <v>0.0</v>
      </c>
      <c r="F1244" s="194">
        <v>0.0</v>
      </c>
      <c r="G1244" s="194">
        <v>0.0</v>
      </c>
      <c r="H1244" s="194">
        <v>0.0</v>
      </c>
      <c r="I1244" s="194">
        <v>0.0</v>
      </c>
      <c r="J1244" s="194">
        <v>0.0</v>
      </c>
      <c r="K1244" s="194">
        <v>0.0</v>
      </c>
      <c r="L1244" s="194">
        <v>0.0</v>
      </c>
      <c r="M1244" s="194">
        <v>0.0</v>
      </c>
      <c r="N1244" s="194">
        <v>0.0</v>
      </c>
      <c r="O1244" s="194">
        <v>0.0</v>
      </c>
      <c r="P1244" s="194">
        <v>0.0</v>
      </c>
      <c r="Q1244" s="194">
        <v>0.0</v>
      </c>
      <c r="R1244" s="194">
        <v>0.0</v>
      </c>
      <c r="S1244" s="194">
        <v>0.0</v>
      </c>
      <c r="T1244" s="194">
        <v>0.0</v>
      </c>
      <c r="U1244" s="194">
        <v>0.0</v>
      </c>
      <c r="V1244" s="194">
        <v>0.0</v>
      </c>
      <c r="W1244" s="194">
        <v>0.0</v>
      </c>
      <c r="X1244" s="194">
        <v>0.0</v>
      </c>
      <c r="Y1244" s="194">
        <v>0.0</v>
      </c>
      <c r="Z1244" s="194">
        <v>0.0</v>
      </c>
      <c r="AA1244" s="194">
        <v>0.0</v>
      </c>
      <c r="AB1244" s="194">
        <v>0.0</v>
      </c>
      <c r="AC1244" s="194">
        <v>0.0</v>
      </c>
      <c r="AD1244" s="194">
        <v>0.0</v>
      </c>
      <c r="AE1244" s="194">
        <v>0.0</v>
      </c>
      <c r="AF1244" s="36"/>
      <c r="AG1244" s="36"/>
      <c r="AH1244" s="36"/>
      <c r="AI1244" s="36"/>
      <c r="AJ1244" s="36"/>
    </row>
    <row r="1245" ht="15.75" customHeight="1">
      <c r="A1245" s="12"/>
      <c r="B1245" s="390"/>
      <c r="C1245" s="390"/>
      <c r="D1245" s="390"/>
      <c r="E1245" s="121"/>
      <c r="F1245" s="121"/>
      <c r="G1245" s="121"/>
      <c r="H1245" s="121"/>
      <c r="I1245" s="121"/>
      <c r="J1245" s="121"/>
      <c r="K1245" s="121"/>
      <c r="L1245" s="121"/>
      <c r="M1245" s="121"/>
      <c r="N1245" s="121"/>
      <c r="O1245" s="121"/>
      <c r="P1245" s="121"/>
      <c r="Q1245" s="121"/>
      <c r="R1245" s="121"/>
      <c r="S1245" s="121"/>
      <c r="T1245" s="121"/>
      <c r="U1245" s="121"/>
      <c r="V1245" s="121"/>
      <c r="W1245" s="121"/>
      <c r="X1245" s="121"/>
      <c r="Y1245" s="121"/>
      <c r="Z1245" s="121"/>
      <c r="AA1245" s="121"/>
      <c r="AB1245" s="121"/>
      <c r="AC1245" s="121"/>
      <c r="AD1245" s="121"/>
      <c r="AE1245" s="121"/>
      <c r="AF1245" s="36"/>
      <c r="AG1245" s="36"/>
      <c r="AH1245" s="36"/>
      <c r="AI1245" s="36"/>
      <c r="AJ1245" s="36"/>
    </row>
    <row r="1246" ht="15.75" customHeight="1">
      <c r="A1246" s="242" t="s">
        <v>1640</v>
      </c>
      <c r="B1246" s="390"/>
      <c r="C1246" s="390"/>
      <c r="D1246" s="390"/>
      <c r="E1246" s="121"/>
      <c r="F1246" s="121"/>
      <c r="G1246" s="121"/>
      <c r="H1246" s="121"/>
      <c r="I1246" s="121"/>
      <c r="J1246" s="121"/>
      <c r="K1246" s="121"/>
      <c r="L1246" s="121"/>
      <c r="M1246" s="121"/>
      <c r="N1246" s="121"/>
      <c r="O1246" s="121"/>
      <c r="P1246" s="121"/>
      <c r="Q1246" s="121"/>
      <c r="R1246" s="121"/>
      <c r="S1246" s="121"/>
      <c r="T1246" s="121"/>
      <c r="U1246" s="121"/>
      <c r="V1246" s="121"/>
      <c r="W1246" s="121"/>
      <c r="X1246" s="121"/>
      <c r="Y1246" s="121"/>
      <c r="Z1246" s="121"/>
      <c r="AA1246" s="121"/>
      <c r="AB1246" s="121"/>
      <c r="AC1246" s="121"/>
      <c r="AD1246" s="121"/>
      <c r="AE1246" s="121"/>
      <c r="AF1246" s="36"/>
      <c r="AG1246" s="36"/>
      <c r="AH1246" s="36"/>
      <c r="AI1246" s="36"/>
      <c r="AJ1246" s="36"/>
    </row>
    <row r="1247" ht="15.75" customHeight="1">
      <c r="A1247" s="12"/>
      <c r="B1247" s="390"/>
      <c r="C1247" s="390"/>
      <c r="D1247" s="390"/>
      <c r="E1247" s="121"/>
      <c r="F1247" s="121"/>
      <c r="G1247" s="121"/>
      <c r="H1247" s="121"/>
      <c r="I1247" s="121"/>
      <c r="J1247" s="121"/>
      <c r="K1247" s="121"/>
      <c r="L1247" s="121"/>
      <c r="M1247" s="121"/>
      <c r="N1247" s="121"/>
      <c r="O1247" s="121"/>
      <c r="P1247" s="121"/>
      <c r="Q1247" s="121"/>
      <c r="R1247" s="121"/>
      <c r="S1247" s="121"/>
      <c r="T1247" s="121"/>
      <c r="U1247" s="121"/>
      <c r="V1247" s="121"/>
      <c r="W1247" s="121"/>
      <c r="X1247" s="121"/>
      <c r="Y1247" s="121"/>
      <c r="Z1247" s="121"/>
      <c r="AA1247" s="121"/>
      <c r="AB1247" s="121"/>
      <c r="AC1247" s="121"/>
      <c r="AD1247" s="121"/>
      <c r="AE1247" s="121"/>
      <c r="AF1247" s="36"/>
      <c r="AG1247" s="36"/>
      <c r="AH1247" s="36"/>
      <c r="AI1247" s="36"/>
      <c r="AJ1247" s="36"/>
    </row>
    <row r="1248" ht="15.75" customHeight="1">
      <c r="A1248" s="36" t="s">
        <v>215</v>
      </c>
      <c r="B1248" s="36">
        <v>1.0</v>
      </c>
      <c r="C1248" s="36">
        <v>2.0</v>
      </c>
      <c r="D1248" s="36">
        <v>3.0</v>
      </c>
      <c r="E1248" s="36">
        <v>4.0</v>
      </c>
      <c r="F1248" s="36">
        <v>5.0</v>
      </c>
      <c r="G1248" s="36">
        <v>6.0</v>
      </c>
      <c r="H1248" s="36">
        <v>7.0</v>
      </c>
      <c r="I1248" s="36">
        <v>8.0</v>
      </c>
      <c r="J1248" s="36">
        <v>9.0</v>
      </c>
      <c r="K1248" s="36">
        <v>10.0</v>
      </c>
      <c r="L1248" s="36">
        <v>11.0</v>
      </c>
      <c r="M1248" s="36">
        <v>12.0</v>
      </c>
      <c r="N1248" s="36">
        <v>13.0</v>
      </c>
      <c r="O1248" s="36">
        <v>14.0</v>
      </c>
      <c r="P1248" s="36">
        <v>15.0</v>
      </c>
      <c r="Q1248" s="36">
        <v>16.0</v>
      </c>
      <c r="R1248" s="36">
        <v>17.0</v>
      </c>
      <c r="S1248" s="36">
        <v>18.0</v>
      </c>
      <c r="T1248" s="36">
        <v>19.0</v>
      </c>
      <c r="U1248" s="36">
        <v>20.0</v>
      </c>
      <c r="V1248" s="36">
        <v>21.0</v>
      </c>
      <c r="W1248" s="36">
        <v>22.0</v>
      </c>
      <c r="X1248" s="36">
        <v>23.0</v>
      </c>
      <c r="Y1248" s="36">
        <v>24.0</v>
      </c>
      <c r="Z1248" s="36">
        <v>25.0</v>
      </c>
      <c r="AA1248" s="36">
        <v>26.0</v>
      </c>
      <c r="AB1248" s="36">
        <v>27.0</v>
      </c>
      <c r="AC1248" s="36">
        <v>28.0</v>
      </c>
      <c r="AD1248" s="36">
        <v>29.0</v>
      </c>
      <c r="AE1248" s="36">
        <v>30.0</v>
      </c>
      <c r="AF1248" s="36"/>
      <c r="AG1248" s="36"/>
      <c r="AH1248" s="36"/>
      <c r="AI1248" s="36"/>
      <c r="AJ1248" s="36"/>
    </row>
    <row r="1249" ht="15.75" customHeight="1">
      <c r="A1249" s="12" t="s">
        <v>217</v>
      </c>
      <c r="B1249" s="401">
        <v>200.0</v>
      </c>
      <c r="C1249" s="401">
        <v>75.0</v>
      </c>
      <c r="D1249" s="401">
        <v>75.0</v>
      </c>
      <c r="E1249" s="401">
        <v>75.0</v>
      </c>
      <c r="F1249" s="401">
        <v>75.0</v>
      </c>
      <c r="G1249" s="401">
        <v>75.0</v>
      </c>
      <c r="H1249" s="401">
        <v>75.0</v>
      </c>
      <c r="I1249" s="401">
        <v>75.0</v>
      </c>
      <c r="J1249" s="401">
        <v>75.0</v>
      </c>
      <c r="K1249" s="401">
        <v>75.0</v>
      </c>
      <c r="L1249" s="401">
        <v>75.0</v>
      </c>
      <c r="M1249" s="401">
        <v>75.0</v>
      </c>
      <c r="N1249" s="401">
        <v>75.0</v>
      </c>
      <c r="O1249" s="401">
        <v>75.0</v>
      </c>
      <c r="P1249" s="401">
        <v>75.0</v>
      </c>
      <c r="Q1249" s="401">
        <v>75.0</v>
      </c>
      <c r="R1249" s="401">
        <v>75.0</v>
      </c>
      <c r="S1249" s="401">
        <v>75.0</v>
      </c>
      <c r="T1249" s="401">
        <v>75.0</v>
      </c>
      <c r="U1249" s="401">
        <v>75.0</v>
      </c>
      <c r="V1249" s="401">
        <v>75.0</v>
      </c>
      <c r="W1249" s="401">
        <v>75.0</v>
      </c>
      <c r="X1249" s="401">
        <v>75.0</v>
      </c>
      <c r="Y1249" s="401">
        <v>75.0</v>
      </c>
      <c r="Z1249" s="401">
        <v>75.0</v>
      </c>
      <c r="AA1249" s="401">
        <v>75.0</v>
      </c>
      <c r="AB1249" s="401">
        <v>75.0</v>
      </c>
      <c r="AC1249" s="401">
        <v>75.0</v>
      </c>
      <c r="AD1249" s="401">
        <v>75.0</v>
      </c>
      <c r="AE1249" s="401">
        <v>75.0</v>
      </c>
      <c r="AF1249" s="36"/>
      <c r="AG1249" s="36"/>
      <c r="AH1249" s="36"/>
      <c r="AI1249" s="36"/>
      <c r="AJ1249" s="36"/>
    </row>
    <row r="1250" ht="15.75" customHeight="1">
      <c r="A1250" s="12" t="s">
        <v>218</v>
      </c>
      <c r="B1250" s="194">
        <v>0.0</v>
      </c>
      <c r="C1250" s="194">
        <v>0.0</v>
      </c>
      <c r="D1250" s="194">
        <v>0.0</v>
      </c>
      <c r="E1250" s="194">
        <v>0.0</v>
      </c>
      <c r="F1250" s="194">
        <v>0.0</v>
      </c>
      <c r="G1250" s="194">
        <v>0.0</v>
      </c>
      <c r="H1250" s="194">
        <v>0.0</v>
      </c>
      <c r="I1250" s="194">
        <v>0.0</v>
      </c>
      <c r="J1250" s="194">
        <v>0.0</v>
      </c>
      <c r="K1250" s="194">
        <v>0.0</v>
      </c>
      <c r="L1250" s="194">
        <v>0.0</v>
      </c>
      <c r="M1250" s="194">
        <v>0.0</v>
      </c>
      <c r="N1250" s="194">
        <v>0.0</v>
      </c>
      <c r="O1250" s="194">
        <v>0.0</v>
      </c>
      <c r="P1250" s="194">
        <v>0.0</v>
      </c>
      <c r="Q1250" s="194">
        <v>0.0</v>
      </c>
      <c r="R1250" s="194">
        <v>0.0</v>
      </c>
      <c r="S1250" s="194">
        <v>0.0</v>
      </c>
      <c r="T1250" s="194">
        <v>0.0</v>
      </c>
      <c r="U1250" s="194">
        <v>0.0</v>
      </c>
      <c r="V1250" s="194">
        <v>0.0</v>
      </c>
      <c r="W1250" s="194">
        <v>0.0</v>
      </c>
      <c r="X1250" s="194">
        <v>0.0</v>
      </c>
      <c r="Y1250" s="194">
        <v>0.0</v>
      </c>
      <c r="Z1250" s="194">
        <v>0.0</v>
      </c>
      <c r="AA1250" s="194">
        <v>0.0</v>
      </c>
      <c r="AB1250" s="194">
        <v>0.0</v>
      </c>
      <c r="AC1250" s="194">
        <v>0.0</v>
      </c>
      <c r="AD1250" s="194">
        <v>0.0</v>
      </c>
      <c r="AE1250" s="194">
        <v>0.0</v>
      </c>
      <c r="AF1250" s="36"/>
      <c r="AG1250" s="36"/>
      <c r="AH1250" s="36"/>
      <c r="AI1250" s="36"/>
      <c r="AJ1250" s="36"/>
    </row>
    <row r="1251" ht="15.75" customHeight="1">
      <c r="A1251" s="12"/>
      <c r="B1251" s="390"/>
      <c r="C1251" s="390"/>
      <c r="D1251" s="390"/>
      <c r="E1251" s="121"/>
      <c r="F1251" s="121"/>
      <c r="G1251" s="121"/>
      <c r="H1251" s="121"/>
      <c r="I1251" s="121"/>
      <c r="J1251" s="121"/>
      <c r="K1251" s="121"/>
      <c r="L1251" s="121"/>
      <c r="M1251" s="121"/>
      <c r="N1251" s="121"/>
      <c r="O1251" s="121"/>
      <c r="P1251" s="121"/>
      <c r="Q1251" s="121"/>
      <c r="R1251" s="121"/>
      <c r="S1251" s="121"/>
      <c r="T1251" s="121"/>
      <c r="U1251" s="121"/>
      <c r="V1251" s="121"/>
      <c r="W1251" s="121"/>
      <c r="X1251" s="121"/>
      <c r="Y1251" s="121"/>
      <c r="Z1251" s="121"/>
      <c r="AA1251" s="121"/>
      <c r="AB1251" s="121"/>
      <c r="AC1251" s="121"/>
      <c r="AD1251" s="121"/>
      <c r="AE1251" s="121"/>
      <c r="AF1251" s="36"/>
      <c r="AG1251" s="36"/>
      <c r="AH1251" s="36"/>
      <c r="AI1251" s="36"/>
      <c r="AJ1251" s="36"/>
    </row>
    <row r="1252" ht="15.75" customHeight="1">
      <c r="A1252" s="242" t="s">
        <v>1644</v>
      </c>
      <c r="B1252" s="390"/>
      <c r="C1252" s="390"/>
      <c r="D1252" s="390"/>
      <c r="E1252" s="121"/>
      <c r="F1252" s="121"/>
      <c r="G1252" s="121"/>
      <c r="H1252" s="121"/>
      <c r="I1252" s="121"/>
      <c r="J1252" s="121"/>
      <c r="K1252" s="121"/>
      <c r="L1252" s="121"/>
      <c r="M1252" s="121"/>
      <c r="N1252" s="121"/>
      <c r="O1252" s="121"/>
      <c r="P1252" s="121"/>
      <c r="Q1252" s="121"/>
      <c r="R1252" s="121"/>
      <c r="S1252" s="121"/>
      <c r="T1252" s="121"/>
      <c r="U1252" s="121"/>
      <c r="V1252" s="121"/>
      <c r="W1252" s="121"/>
      <c r="X1252" s="121"/>
      <c r="Y1252" s="121"/>
      <c r="Z1252" s="121"/>
      <c r="AA1252" s="121"/>
      <c r="AB1252" s="121"/>
      <c r="AC1252" s="121"/>
      <c r="AD1252" s="121"/>
      <c r="AE1252" s="121"/>
      <c r="AF1252" s="36"/>
      <c r="AG1252" s="36"/>
      <c r="AH1252" s="36"/>
      <c r="AI1252" s="36"/>
      <c r="AJ1252" s="36"/>
    </row>
    <row r="1253" ht="15.75" customHeight="1">
      <c r="A1253" s="12"/>
      <c r="B1253" s="390"/>
      <c r="C1253" s="390"/>
      <c r="D1253" s="390"/>
      <c r="E1253" s="121"/>
      <c r="F1253" s="121"/>
      <c r="G1253" s="121"/>
      <c r="H1253" s="121"/>
      <c r="I1253" s="121"/>
      <c r="J1253" s="121"/>
      <c r="K1253" s="121"/>
      <c r="L1253" s="121"/>
      <c r="M1253" s="121"/>
      <c r="N1253" s="121"/>
      <c r="O1253" s="121"/>
      <c r="P1253" s="121"/>
      <c r="Q1253" s="121"/>
      <c r="R1253" s="121"/>
      <c r="S1253" s="121"/>
      <c r="T1253" s="121"/>
      <c r="U1253" s="121"/>
      <c r="V1253" s="121"/>
      <c r="W1253" s="121"/>
      <c r="X1253" s="121"/>
      <c r="Y1253" s="121"/>
      <c r="Z1253" s="121"/>
      <c r="AA1253" s="121"/>
      <c r="AB1253" s="121"/>
      <c r="AC1253" s="121"/>
      <c r="AD1253" s="121"/>
      <c r="AE1253" s="121"/>
      <c r="AF1253" s="36"/>
      <c r="AG1253" s="36"/>
      <c r="AH1253" s="36"/>
      <c r="AI1253" s="36"/>
      <c r="AJ1253" s="36"/>
    </row>
    <row r="1254" ht="15.75" customHeight="1">
      <c r="A1254" s="36" t="s">
        <v>215</v>
      </c>
      <c r="B1254" s="36">
        <v>1.0</v>
      </c>
      <c r="C1254" s="36">
        <v>2.0</v>
      </c>
      <c r="D1254" s="36">
        <v>3.0</v>
      </c>
      <c r="E1254" s="36">
        <v>4.0</v>
      </c>
      <c r="F1254" s="36">
        <v>5.0</v>
      </c>
      <c r="G1254" s="36">
        <v>6.0</v>
      </c>
      <c r="H1254" s="36">
        <v>7.0</v>
      </c>
      <c r="I1254" s="36">
        <v>8.0</v>
      </c>
      <c r="J1254" s="36">
        <v>9.0</v>
      </c>
      <c r="K1254" s="36">
        <v>10.0</v>
      </c>
      <c r="L1254" s="36">
        <v>11.0</v>
      </c>
      <c r="M1254" s="36">
        <v>12.0</v>
      </c>
      <c r="N1254" s="36">
        <v>13.0</v>
      </c>
      <c r="O1254" s="36">
        <v>14.0</v>
      </c>
      <c r="P1254" s="36">
        <v>15.0</v>
      </c>
      <c r="Q1254" s="36">
        <v>16.0</v>
      </c>
      <c r="R1254" s="36">
        <v>17.0</v>
      </c>
      <c r="S1254" s="36">
        <v>18.0</v>
      </c>
      <c r="T1254" s="36">
        <v>19.0</v>
      </c>
      <c r="U1254" s="36">
        <v>20.0</v>
      </c>
      <c r="V1254" s="36">
        <v>21.0</v>
      </c>
      <c r="W1254" s="36">
        <v>22.0</v>
      </c>
      <c r="X1254" s="36">
        <v>23.0</v>
      </c>
      <c r="Y1254" s="36">
        <v>24.0</v>
      </c>
      <c r="Z1254" s="36">
        <v>25.0</v>
      </c>
      <c r="AA1254" s="36">
        <v>26.0</v>
      </c>
      <c r="AB1254" s="36">
        <v>27.0</v>
      </c>
      <c r="AC1254" s="36">
        <v>28.0</v>
      </c>
      <c r="AD1254" s="36">
        <v>29.0</v>
      </c>
      <c r="AE1254" s="36">
        <v>30.0</v>
      </c>
      <c r="AF1254" s="36"/>
      <c r="AG1254" s="36"/>
      <c r="AH1254" s="36"/>
      <c r="AI1254" s="36"/>
      <c r="AJ1254" s="36"/>
    </row>
    <row r="1255" ht="15.75" customHeight="1">
      <c r="A1255" s="12" t="s">
        <v>217</v>
      </c>
      <c r="B1255" s="401">
        <v>200.0</v>
      </c>
      <c r="C1255" s="401">
        <v>75.0</v>
      </c>
      <c r="D1255" s="401">
        <v>75.0</v>
      </c>
      <c r="E1255" s="401">
        <v>75.0</v>
      </c>
      <c r="F1255" s="401">
        <v>75.0</v>
      </c>
      <c r="G1255" s="401">
        <v>75.0</v>
      </c>
      <c r="H1255" s="401">
        <v>75.0</v>
      </c>
      <c r="I1255" s="401">
        <v>75.0</v>
      </c>
      <c r="J1255" s="401">
        <v>75.0</v>
      </c>
      <c r="K1255" s="401">
        <v>75.0</v>
      </c>
      <c r="L1255" s="401">
        <v>75.0</v>
      </c>
      <c r="M1255" s="401">
        <v>75.0</v>
      </c>
      <c r="N1255" s="401">
        <v>75.0</v>
      </c>
      <c r="O1255" s="401">
        <v>75.0</v>
      </c>
      <c r="P1255" s="401">
        <v>75.0</v>
      </c>
      <c r="Q1255" s="401">
        <v>75.0</v>
      </c>
      <c r="R1255" s="401">
        <v>75.0</v>
      </c>
      <c r="S1255" s="401">
        <v>75.0</v>
      </c>
      <c r="T1255" s="401">
        <v>75.0</v>
      </c>
      <c r="U1255" s="401">
        <v>75.0</v>
      </c>
      <c r="V1255" s="401">
        <v>75.0</v>
      </c>
      <c r="W1255" s="401">
        <v>75.0</v>
      </c>
      <c r="X1255" s="401">
        <v>75.0</v>
      </c>
      <c r="Y1255" s="401">
        <v>75.0</v>
      </c>
      <c r="Z1255" s="401">
        <v>75.0</v>
      </c>
      <c r="AA1255" s="401">
        <v>75.0</v>
      </c>
      <c r="AB1255" s="401">
        <v>75.0</v>
      </c>
      <c r="AC1255" s="401">
        <v>75.0</v>
      </c>
      <c r="AD1255" s="401">
        <v>75.0</v>
      </c>
      <c r="AE1255" s="401">
        <v>75.0</v>
      </c>
      <c r="AF1255" s="36"/>
      <c r="AG1255" s="36"/>
      <c r="AH1255" s="36"/>
      <c r="AI1255" s="36"/>
      <c r="AJ1255" s="36"/>
    </row>
    <row r="1256" ht="15.75" customHeight="1">
      <c r="A1256" s="12" t="s">
        <v>218</v>
      </c>
      <c r="B1256" s="194">
        <v>0.0</v>
      </c>
      <c r="C1256" s="194">
        <v>0.0</v>
      </c>
      <c r="D1256" s="194">
        <v>0.0</v>
      </c>
      <c r="E1256" s="194">
        <v>0.0</v>
      </c>
      <c r="F1256" s="194">
        <v>0.0</v>
      </c>
      <c r="G1256" s="194">
        <v>0.0</v>
      </c>
      <c r="H1256" s="194">
        <v>0.0</v>
      </c>
      <c r="I1256" s="194">
        <v>0.0</v>
      </c>
      <c r="J1256" s="194">
        <v>0.0</v>
      </c>
      <c r="K1256" s="194">
        <v>0.0</v>
      </c>
      <c r="L1256" s="194">
        <v>0.0</v>
      </c>
      <c r="M1256" s="194">
        <v>0.0</v>
      </c>
      <c r="N1256" s="194">
        <v>0.0</v>
      </c>
      <c r="O1256" s="194">
        <v>0.0</v>
      </c>
      <c r="P1256" s="194">
        <v>0.0</v>
      </c>
      <c r="Q1256" s="194">
        <v>0.0</v>
      </c>
      <c r="R1256" s="194">
        <v>0.0</v>
      </c>
      <c r="S1256" s="194">
        <v>0.0</v>
      </c>
      <c r="T1256" s="194">
        <v>0.0</v>
      </c>
      <c r="U1256" s="194">
        <v>0.0</v>
      </c>
      <c r="V1256" s="194">
        <v>0.0</v>
      </c>
      <c r="W1256" s="194">
        <v>0.0</v>
      </c>
      <c r="X1256" s="194">
        <v>0.0</v>
      </c>
      <c r="Y1256" s="194">
        <v>0.0</v>
      </c>
      <c r="Z1256" s="194">
        <v>0.0</v>
      </c>
      <c r="AA1256" s="194">
        <v>0.0</v>
      </c>
      <c r="AB1256" s="194">
        <v>0.0</v>
      </c>
      <c r="AC1256" s="194">
        <v>0.0</v>
      </c>
      <c r="AD1256" s="194">
        <v>0.0</v>
      </c>
      <c r="AE1256" s="194">
        <v>0.0</v>
      </c>
      <c r="AF1256" s="36"/>
      <c r="AG1256" s="36"/>
      <c r="AH1256" s="36"/>
      <c r="AI1256" s="36"/>
      <c r="AJ1256" s="36"/>
    </row>
    <row r="1257" ht="15.75" customHeight="1">
      <c r="A1257" s="12"/>
      <c r="B1257" s="390"/>
      <c r="C1257" s="390"/>
      <c r="D1257" s="390"/>
      <c r="E1257" s="121"/>
      <c r="F1257" s="121"/>
      <c r="G1257" s="121"/>
      <c r="H1257" s="121"/>
      <c r="I1257" s="121"/>
      <c r="J1257" s="121"/>
      <c r="K1257" s="121"/>
      <c r="L1257" s="121"/>
      <c r="M1257" s="121"/>
      <c r="N1257" s="121"/>
      <c r="O1257" s="121"/>
      <c r="P1257" s="121"/>
      <c r="Q1257" s="121"/>
      <c r="R1257" s="121"/>
      <c r="S1257" s="121"/>
      <c r="T1257" s="121"/>
      <c r="U1257" s="121"/>
      <c r="V1257" s="121"/>
      <c r="W1257" s="121"/>
      <c r="X1257" s="121"/>
      <c r="Y1257" s="121"/>
      <c r="Z1257" s="121"/>
      <c r="AA1257" s="121"/>
      <c r="AB1257" s="121"/>
      <c r="AC1257" s="121"/>
      <c r="AD1257" s="121"/>
      <c r="AE1257" s="121"/>
      <c r="AF1257" s="36"/>
      <c r="AG1257" s="36"/>
      <c r="AH1257" s="36"/>
      <c r="AI1257" s="36"/>
      <c r="AJ1257" s="36"/>
    </row>
    <row r="1258" ht="15.75" customHeight="1">
      <c r="A1258" s="242" t="s">
        <v>1648</v>
      </c>
      <c r="B1258" s="390"/>
      <c r="C1258" s="390"/>
      <c r="D1258" s="390"/>
      <c r="E1258" s="121"/>
      <c r="F1258" s="121"/>
      <c r="G1258" s="121"/>
      <c r="H1258" s="121"/>
      <c r="I1258" s="121"/>
      <c r="J1258" s="121"/>
      <c r="K1258" s="121"/>
      <c r="L1258" s="121"/>
      <c r="M1258" s="121"/>
      <c r="N1258" s="121"/>
      <c r="O1258" s="121"/>
      <c r="P1258" s="121"/>
      <c r="Q1258" s="121"/>
      <c r="R1258" s="121"/>
      <c r="S1258" s="121"/>
      <c r="T1258" s="121"/>
      <c r="U1258" s="121"/>
      <c r="V1258" s="121"/>
      <c r="W1258" s="121"/>
      <c r="X1258" s="121"/>
      <c r="Y1258" s="121"/>
      <c r="Z1258" s="121"/>
      <c r="AA1258" s="121"/>
      <c r="AB1258" s="121"/>
      <c r="AC1258" s="121"/>
      <c r="AD1258" s="121"/>
      <c r="AE1258" s="121"/>
      <c r="AF1258" s="36"/>
      <c r="AG1258" s="36"/>
      <c r="AH1258" s="36"/>
      <c r="AI1258" s="36"/>
      <c r="AJ1258" s="36"/>
    </row>
    <row r="1259" ht="15.75" customHeight="1">
      <c r="A1259" s="12"/>
      <c r="B1259" s="390"/>
      <c r="C1259" s="390"/>
      <c r="D1259" s="390"/>
      <c r="E1259" s="121"/>
      <c r="F1259" s="121"/>
      <c r="G1259" s="121"/>
      <c r="H1259" s="121"/>
      <c r="I1259" s="121"/>
      <c r="J1259" s="121"/>
      <c r="K1259" s="121"/>
      <c r="L1259" s="121"/>
      <c r="M1259" s="121"/>
      <c r="N1259" s="121"/>
      <c r="O1259" s="121"/>
      <c r="P1259" s="121"/>
      <c r="Q1259" s="121"/>
      <c r="R1259" s="121"/>
      <c r="S1259" s="121"/>
      <c r="T1259" s="121"/>
      <c r="U1259" s="121"/>
      <c r="V1259" s="121"/>
      <c r="W1259" s="121"/>
      <c r="X1259" s="121"/>
      <c r="Y1259" s="121"/>
      <c r="Z1259" s="121"/>
      <c r="AA1259" s="121"/>
      <c r="AB1259" s="121"/>
      <c r="AC1259" s="121"/>
      <c r="AD1259" s="121"/>
      <c r="AE1259" s="121"/>
      <c r="AF1259" s="36"/>
      <c r="AG1259" s="36"/>
      <c r="AH1259" s="36"/>
      <c r="AI1259" s="36"/>
      <c r="AJ1259" s="36"/>
    </row>
    <row r="1260" ht="15.75" customHeight="1">
      <c r="A1260" s="36" t="s">
        <v>215</v>
      </c>
      <c r="B1260" s="36">
        <v>1.0</v>
      </c>
      <c r="C1260" s="36">
        <v>2.0</v>
      </c>
      <c r="D1260" s="36">
        <v>3.0</v>
      </c>
      <c r="E1260" s="36">
        <v>4.0</v>
      </c>
      <c r="F1260" s="36">
        <v>5.0</v>
      </c>
      <c r="G1260" s="36">
        <v>6.0</v>
      </c>
      <c r="H1260" s="36">
        <v>7.0</v>
      </c>
      <c r="I1260" s="36">
        <v>8.0</v>
      </c>
      <c r="J1260" s="36">
        <v>9.0</v>
      </c>
      <c r="K1260" s="36">
        <v>10.0</v>
      </c>
      <c r="L1260" s="36">
        <v>11.0</v>
      </c>
      <c r="M1260" s="36">
        <v>12.0</v>
      </c>
      <c r="N1260" s="36">
        <v>13.0</v>
      </c>
      <c r="O1260" s="36">
        <v>14.0</v>
      </c>
      <c r="P1260" s="36">
        <v>15.0</v>
      </c>
      <c r="Q1260" s="36">
        <v>16.0</v>
      </c>
      <c r="R1260" s="36">
        <v>17.0</v>
      </c>
      <c r="S1260" s="36">
        <v>18.0</v>
      </c>
      <c r="T1260" s="36">
        <v>19.0</v>
      </c>
      <c r="U1260" s="36">
        <v>20.0</v>
      </c>
      <c r="V1260" s="36">
        <v>21.0</v>
      </c>
      <c r="W1260" s="36">
        <v>22.0</v>
      </c>
      <c r="X1260" s="36">
        <v>23.0</v>
      </c>
      <c r="Y1260" s="36">
        <v>24.0</v>
      </c>
      <c r="Z1260" s="36">
        <v>25.0</v>
      </c>
      <c r="AA1260" s="36">
        <v>26.0</v>
      </c>
      <c r="AB1260" s="36">
        <v>27.0</v>
      </c>
      <c r="AC1260" s="36">
        <v>28.0</v>
      </c>
      <c r="AD1260" s="36">
        <v>29.0</v>
      </c>
      <c r="AE1260" s="36">
        <v>30.0</v>
      </c>
      <c r="AF1260" s="36"/>
      <c r="AG1260" s="36"/>
      <c r="AH1260" s="36"/>
      <c r="AI1260" s="36"/>
      <c r="AJ1260" s="36"/>
    </row>
    <row r="1261" ht="15.75" customHeight="1">
      <c r="A1261" s="12" t="s">
        <v>217</v>
      </c>
      <c r="B1261" s="401">
        <v>25.0</v>
      </c>
      <c r="C1261" s="401">
        <v>25.0</v>
      </c>
      <c r="D1261" s="401">
        <v>25.0</v>
      </c>
      <c r="E1261" s="401">
        <v>25.0</v>
      </c>
      <c r="F1261" s="401">
        <v>25.0</v>
      </c>
      <c r="G1261" s="401">
        <v>25.0</v>
      </c>
      <c r="H1261" s="401">
        <v>25.0</v>
      </c>
      <c r="I1261" s="401">
        <v>25.0</v>
      </c>
      <c r="J1261" s="401">
        <v>25.0</v>
      </c>
      <c r="K1261" s="401">
        <v>25.0</v>
      </c>
      <c r="L1261" s="401">
        <v>25.0</v>
      </c>
      <c r="M1261" s="401">
        <v>25.0</v>
      </c>
      <c r="N1261" s="401">
        <v>25.0</v>
      </c>
      <c r="O1261" s="401">
        <v>25.0</v>
      </c>
      <c r="P1261" s="401">
        <v>25.0</v>
      </c>
      <c r="Q1261" s="401">
        <v>25.0</v>
      </c>
      <c r="R1261" s="401">
        <v>25.0</v>
      </c>
      <c r="S1261" s="401">
        <v>25.0</v>
      </c>
      <c r="T1261" s="401">
        <v>25.0</v>
      </c>
      <c r="U1261" s="401">
        <v>25.0</v>
      </c>
      <c r="V1261" s="401">
        <v>25.0</v>
      </c>
      <c r="W1261" s="401">
        <v>25.0</v>
      </c>
      <c r="X1261" s="401">
        <v>25.0</v>
      </c>
      <c r="Y1261" s="401">
        <v>25.0</v>
      </c>
      <c r="Z1261" s="401">
        <v>25.0</v>
      </c>
      <c r="AA1261" s="401">
        <v>25.0</v>
      </c>
      <c r="AB1261" s="401">
        <v>25.0</v>
      </c>
      <c r="AC1261" s="401">
        <v>25.0</v>
      </c>
      <c r="AD1261" s="401">
        <v>25.0</v>
      </c>
      <c r="AE1261" s="401">
        <v>25.0</v>
      </c>
      <c r="AF1261" s="36"/>
      <c r="AG1261" s="36"/>
      <c r="AH1261" s="36"/>
      <c r="AI1261" s="36"/>
      <c r="AJ1261" s="36"/>
    </row>
    <row r="1262" ht="15.75" customHeight="1">
      <c r="A1262" s="12" t="s">
        <v>218</v>
      </c>
      <c r="B1262" s="194">
        <v>0.0</v>
      </c>
      <c r="C1262" s="194">
        <v>0.0</v>
      </c>
      <c r="D1262" s="194">
        <v>0.0</v>
      </c>
      <c r="E1262" s="194">
        <v>0.0</v>
      </c>
      <c r="F1262" s="194">
        <v>0.0</v>
      </c>
      <c r="G1262" s="194">
        <v>0.0</v>
      </c>
      <c r="H1262" s="194">
        <v>0.0</v>
      </c>
      <c r="I1262" s="194">
        <v>0.0</v>
      </c>
      <c r="J1262" s="194">
        <v>0.0</v>
      </c>
      <c r="K1262" s="194">
        <v>0.0</v>
      </c>
      <c r="L1262" s="194">
        <v>0.0</v>
      </c>
      <c r="M1262" s="194">
        <v>0.0</v>
      </c>
      <c r="N1262" s="194">
        <v>0.0</v>
      </c>
      <c r="O1262" s="194">
        <v>0.0</v>
      </c>
      <c r="P1262" s="194">
        <v>0.0</v>
      </c>
      <c r="Q1262" s="194">
        <v>0.0</v>
      </c>
      <c r="R1262" s="194">
        <v>0.0</v>
      </c>
      <c r="S1262" s="194">
        <v>0.0</v>
      </c>
      <c r="T1262" s="194">
        <v>0.0</v>
      </c>
      <c r="U1262" s="194">
        <v>0.0</v>
      </c>
      <c r="V1262" s="194">
        <v>0.0</v>
      </c>
      <c r="W1262" s="194">
        <v>0.0</v>
      </c>
      <c r="X1262" s="194">
        <v>0.0</v>
      </c>
      <c r="Y1262" s="194">
        <v>0.0</v>
      </c>
      <c r="Z1262" s="194">
        <v>0.0</v>
      </c>
      <c r="AA1262" s="194">
        <v>0.0</v>
      </c>
      <c r="AB1262" s="194">
        <v>0.0</v>
      </c>
      <c r="AC1262" s="194">
        <v>0.0</v>
      </c>
      <c r="AD1262" s="194">
        <v>0.0</v>
      </c>
      <c r="AE1262" s="194">
        <v>0.0</v>
      </c>
      <c r="AF1262" s="36"/>
      <c r="AG1262" s="36"/>
      <c r="AH1262" s="36"/>
      <c r="AI1262" s="36"/>
      <c r="AJ1262" s="36"/>
    </row>
    <row r="1263" ht="15.75" customHeight="1">
      <c r="A1263" s="12"/>
      <c r="B1263" s="390"/>
      <c r="C1263" s="390"/>
      <c r="D1263" s="390"/>
      <c r="E1263" s="121"/>
      <c r="F1263" s="121"/>
      <c r="G1263" s="121"/>
      <c r="H1263" s="121"/>
      <c r="I1263" s="121"/>
      <c r="J1263" s="121"/>
      <c r="K1263" s="121"/>
      <c r="L1263" s="121"/>
      <c r="M1263" s="121"/>
      <c r="N1263" s="121"/>
      <c r="O1263" s="121"/>
      <c r="P1263" s="121"/>
      <c r="Q1263" s="121"/>
      <c r="R1263" s="121"/>
      <c r="S1263" s="121"/>
      <c r="T1263" s="121"/>
      <c r="U1263" s="121"/>
      <c r="V1263" s="121"/>
      <c r="W1263" s="121"/>
      <c r="X1263" s="121"/>
      <c r="Y1263" s="121"/>
      <c r="Z1263" s="121"/>
      <c r="AA1263" s="121"/>
      <c r="AB1263" s="121"/>
      <c r="AC1263" s="121"/>
      <c r="AD1263" s="121"/>
      <c r="AE1263" s="121"/>
      <c r="AF1263" s="36"/>
      <c r="AG1263" s="36"/>
      <c r="AH1263" s="36"/>
      <c r="AI1263" s="36"/>
      <c r="AJ1263" s="36"/>
    </row>
    <row r="1264" ht="15.75" customHeight="1">
      <c r="A1264" s="242" t="s">
        <v>1666</v>
      </c>
      <c r="B1264" s="390"/>
      <c r="C1264" s="390"/>
      <c r="D1264" s="390"/>
      <c r="E1264" s="121"/>
      <c r="F1264" s="121"/>
      <c r="G1264" s="121"/>
      <c r="H1264" s="121"/>
      <c r="I1264" s="121"/>
      <c r="J1264" s="121"/>
      <c r="K1264" s="121"/>
      <c r="L1264" s="121"/>
      <c r="M1264" s="121"/>
      <c r="N1264" s="121"/>
      <c r="O1264" s="121"/>
      <c r="P1264" s="121"/>
      <c r="Q1264" s="121"/>
      <c r="R1264" s="121"/>
      <c r="S1264" s="121"/>
      <c r="T1264" s="121"/>
      <c r="U1264" s="121"/>
      <c r="V1264" s="121"/>
      <c r="W1264" s="121"/>
      <c r="X1264" s="121"/>
      <c r="Y1264" s="121"/>
      <c r="Z1264" s="121"/>
      <c r="AA1264" s="121"/>
      <c r="AB1264" s="121"/>
      <c r="AC1264" s="121"/>
      <c r="AD1264" s="121"/>
      <c r="AE1264" s="121"/>
      <c r="AF1264" s="36"/>
      <c r="AG1264" s="36"/>
      <c r="AH1264" s="36"/>
      <c r="AI1264" s="36"/>
      <c r="AJ1264" s="36"/>
    </row>
    <row r="1265" ht="15.75" customHeight="1">
      <c r="A1265" s="12"/>
      <c r="B1265" s="390"/>
      <c r="C1265" s="390"/>
      <c r="D1265" s="390"/>
      <c r="E1265" s="121"/>
      <c r="F1265" s="121"/>
      <c r="G1265" s="121"/>
      <c r="H1265" s="121"/>
      <c r="I1265" s="121"/>
      <c r="J1265" s="121"/>
      <c r="K1265" s="121"/>
      <c r="L1265" s="121"/>
      <c r="M1265" s="121"/>
      <c r="N1265" s="121"/>
      <c r="O1265" s="121"/>
      <c r="P1265" s="121"/>
      <c r="Q1265" s="121"/>
      <c r="R1265" s="121"/>
      <c r="S1265" s="121"/>
      <c r="T1265" s="121"/>
      <c r="U1265" s="121"/>
      <c r="V1265" s="121"/>
      <c r="W1265" s="121"/>
      <c r="X1265" s="121"/>
      <c r="Y1265" s="121"/>
      <c r="Z1265" s="121"/>
      <c r="AA1265" s="121"/>
      <c r="AB1265" s="121"/>
      <c r="AC1265" s="121"/>
      <c r="AD1265" s="121"/>
      <c r="AE1265" s="121"/>
      <c r="AF1265" s="36"/>
      <c r="AG1265" s="36"/>
      <c r="AH1265" s="36"/>
      <c r="AI1265" s="36"/>
      <c r="AJ1265" s="36"/>
    </row>
    <row r="1266" ht="15.75" customHeight="1">
      <c r="A1266" s="36" t="s">
        <v>215</v>
      </c>
      <c r="B1266" s="36">
        <v>1.0</v>
      </c>
      <c r="C1266" s="36">
        <v>2.0</v>
      </c>
      <c r="D1266" s="36">
        <v>3.0</v>
      </c>
      <c r="E1266" s="36">
        <v>4.0</v>
      </c>
      <c r="F1266" s="36">
        <v>5.0</v>
      </c>
      <c r="G1266" s="36">
        <v>6.0</v>
      </c>
      <c r="H1266" s="36">
        <v>7.0</v>
      </c>
      <c r="I1266" s="36">
        <v>8.0</v>
      </c>
      <c r="J1266" s="36">
        <v>9.0</v>
      </c>
      <c r="K1266" s="36">
        <v>10.0</v>
      </c>
      <c r="L1266" s="36">
        <v>11.0</v>
      </c>
      <c r="M1266" s="36">
        <v>12.0</v>
      </c>
      <c r="N1266" s="36">
        <v>13.0</v>
      </c>
      <c r="O1266" s="36">
        <v>14.0</v>
      </c>
      <c r="P1266" s="36">
        <v>15.0</v>
      </c>
      <c r="Q1266" s="36">
        <v>16.0</v>
      </c>
      <c r="R1266" s="36">
        <v>17.0</v>
      </c>
      <c r="S1266" s="36">
        <v>18.0</v>
      </c>
      <c r="T1266" s="36">
        <v>19.0</v>
      </c>
      <c r="U1266" s="36">
        <v>20.0</v>
      </c>
      <c r="V1266" s="36">
        <v>21.0</v>
      </c>
      <c r="W1266" s="36">
        <v>22.0</v>
      </c>
      <c r="X1266" s="36">
        <v>23.0</v>
      </c>
      <c r="Y1266" s="36">
        <v>24.0</v>
      </c>
      <c r="Z1266" s="36">
        <v>25.0</v>
      </c>
      <c r="AA1266" s="36">
        <v>26.0</v>
      </c>
      <c r="AB1266" s="36">
        <v>27.0</v>
      </c>
      <c r="AC1266" s="36">
        <v>28.0</v>
      </c>
      <c r="AD1266" s="36">
        <v>29.0</v>
      </c>
      <c r="AE1266" s="36">
        <v>30.0</v>
      </c>
      <c r="AF1266" s="36"/>
      <c r="AG1266" s="36"/>
      <c r="AH1266" s="36"/>
      <c r="AI1266" s="36"/>
      <c r="AJ1266" s="36"/>
    </row>
    <row r="1267" ht="15.75" customHeight="1">
      <c r="A1267" s="12" t="s">
        <v>217</v>
      </c>
      <c r="B1267" s="401">
        <v>100.0</v>
      </c>
      <c r="C1267" s="401">
        <v>60.0</v>
      </c>
      <c r="D1267" s="401">
        <v>60.0</v>
      </c>
      <c r="E1267" s="401">
        <v>60.0</v>
      </c>
      <c r="F1267" s="401">
        <v>60.0</v>
      </c>
      <c r="G1267" s="401">
        <v>60.0</v>
      </c>
      <c r="H1267" s="401">
        <v>60.0</v>
      </c>
      <c r="I1267" s="401">
        <v>60.0</v>
      </c>
      <c r="J1267" s="401">
        <v>60.0</v>
      </c>
      <c r="K1267" s="401">
        <v>60.0</v>
      </c>
      <c r="L1267" s="401">
        <v>60.0</v>
      </c>
      <c r="M1267" s="401">
        <v>60.0</v>
      </c>
      <c r="N1267" s="401">
        <v>60.0</v>
      </c>
      <c r="O1267" s="401">
        <v>60.0</v>
      </c>
      <c r="P1267" s="401">
        <v>60.0</v>
      </c>
      <c r="Q1267" s="401">
        <v>60.0</v>
      </c>
      <c r="R1267" s="401">
        <v>60.0</v>
      </c>
      <c r="S1267" s="401">
        <v>60.0</v>
      </c>
      <c r="T1267" s="401">
        <v>60.0</v>
      </c>
      <c r="U1267" s="401">
        <v>60.0</v>
      </c>
      <c r="V1267" s="401">
        <v>60.0</v>
      </c>
      <c r="W1267" s="401">
        <v>60.0</v>
      </c>
      <c r="X1267" s="401">
        <v>60.0</v>
      </c>
      <c r="Y1267" s="401">
        <v>60.0</v>
      </c>
      <c r="Z1267" s="401">
        <v>60.0</v>
      </c>
      <c r="AA1267" s="401">
        <v>60.0</v>
      </c>
      <c r="AB1267" s="401">
        <v>60.0</v>
      </c>
      <c r="AC1267" s="401">
        <v>60.0</v>
      </c>
      <c r="AD1267" s="401">
        <v>60.0</v>
      </c>
      <c r="AE1267" s="401">
        <v>60.0</v>
      </c>
      <c r="AF1267" s="36"/>
      <c r="AG1267" s="36"/>
      <c r="AH1267" s="36"/>
      <c r="AI1267" s="36"/>
      <c r="AJ1267" s="36"/>
    </row>
    <row r="1268" ht="15.75" customHeight="1">
      <c r="A1268" s="12" t="s">
        <v>218</v>
      </c>
      <c r="B1268" s="194">
        <v>0.0</v>
      </c>
      <c r="C1268" s="194">
        <v>0.0</v>
      </c>
      <c r="D1268" s="194">
        <v>0.0</v>
      </c>
      <c r="E1268" s="194">
        <v>0.0</v>
      </c>
      <c r="F1268" s="194">
        <v>0.0</v>
      </c>
      <c r="G1268" s="194">
        <v>0.0</v>
      </c>
      <c r="H1268" s="194">
        <v>0.0</v>
      </c>
      <c r="I1268" s="194">
        <v>0.0</v>
      </c>
      <c r="J1268" s="194">
        <v>0.0</v>
      </c>
      <c r="K1268" s="194">
        <v>0.0</v>
      </c>
      <c r="L1268" s="194">
        <v>0.0</v>
      </c>
      <c r="M1268" s="194">
        <v>0.0</v>
      </c>
      <c r="N1268" s="194">
        <v>0.0</v>
      </c>
      <c r="O1268" s="194">
        <v>0.0</v>
      </c>
      <c r="P1268" s="194">
        <v>0.0</v>
      </c>
      <c r="Q1268" s="194">
        <v>0.0</v>
      </c>
      <c r="R1268" s="194">
        <v>0.0</v>
      </c>
      <c r="S1268" s="194">
        <v>0.0</v>
      </c>
      <c r="T1268" s="194">
        <v>0.0</v>
      </c>
      <c r="U1268" s="194">
        <v>0.0</v>
      </c>
      <c r="V1268" s="194">
        <v>0.0</v>
      </c>
      <c r="W1268" s="194">
        <v>0.0</v>
      </c>
      <c r="X1268" s="194">
        <v>0.0</v>
      </c>
      <c r="Y1268" s="194">
        <v>0.0</v>
      </c>
      <c r="Z1268" s="194">
        <v>0.0</v>
      </c>
      <c r="AA1268" s="194">
        <v>0.0</v>
      </c>
      <c r="AB1268" s="194">
        <v>0.0</v>
      </c>
      <c r="AC1268" s="194">
        <v>0.0</v>
      </c>
      <c r="AD1268" s="194">
        <v>0.0</v>
      </c>
      <c r="AE1268" s="194">
        <v>0.0</v>
      </c>
      <c r="AF1268" s="36"/>
      <c r="AG1268" s="36"/>
      <c r="AH1268" s="36"/>
      <c r="AI1268" s="36"/>
      <c r="AJ1268" s="36"/>
    </row>
    <row r="1269" ht="15.75" customHeight="1">
      <c r="A1269" s="12"/>
      <c r="B1269" s="390"/>
      <c r="C1269" s="390"/>
      <c r="D1269" s="390"/>
      <c r="E1269" s="121"/>
      <c r="F1269" s="121"/>
      <c r="G1269" s="121"/>
      <c r="H1269" s="121"/>
      <c r="I1269" s="121"/>
      <c r="J1269" s="121"/>
      <c r="K1269" s="121"/>
      <c r="L1269" s="121"/>
      <c r="M1269" s="121"/>
      <c r="N1269" s="121"/>
      <c r="O1269" s="121"/>
      <c r="P1269" s="121"/>
      <c r="Q1269" s="121"/>
      <c r="R1269" s="121"/>
      <c r="S1269" s="121"/>
      <c r="T1269" s="121"/>
      <c r="U1269" s="121"/>
      <c r="V1269" s="121"/>
      <c r="W1269" s="121"/>
      <c r="X1269" s="121"/>
      <c r="Y1269" s="121"/>
      <c r="Z1269" s="121"/>
      <c r="AA1269" s="121"/>
      <c r="AB1269" s="121"/>
      <c r="AC1269" s="121"/>
      <c r="AD1269" s="121"/>
      <c r="AE1269" s="121"/>
      <c r="AF1269" s="36"/>
      <c r="AG1269" s="36"/>
      <c r="AH1269" s="36"/>
      <c r="AI1269" s="36"/>
      <c r="AJ1269" s="36"/>
    </row>
    <row r="1270" ht="15.75" customHeight="1">
      <c r="A1270" s="298" t="s">
        <v>1674</v>
      </c>
      <c r="B1270" s="390"/>
      <c r="C1270" s="390"/>
      <c r="D1270" s="390"/>
      <c r="E1270" s="121"/>
      <c r="F1270" s="121"/>
      <c r="G1270" s="121"/>
      <c r="H1270" s="121"/>
      <c r="I1270" s="121"/>
      <c r="J1270" s="121"/>
      <c r="K1270" s="121"/>
      <c r="L1270" s="121"/>
      <c r="M1270" s="121"/>
      <c r="N1270" s="121"/>
      <c r="O1270" s="121"/>
      <c r="P1270" s="121"/>
      <c r="Q1270" s="121"/>
      <c r="R1270" s="121"/>
      <c r="S1270" s="121"/>
      <c r="T1270" s="121"/>
      <c r="U1270" s="121"/>
      <c r="V1270" s="121"/>
      <c r="W1270" s="121"/>
      <c r="X1270" s="121"/>
      <c r="Y1270" s="121"/>
      <c r="Z1270" s="121"/>
      <c r="AA1270" s="121"/>
      <c r="AB1270" s="121"/>
      <c r="AC1270" s="121"/>
      <c r="AD1270" s="121"/>
      <c r="AE1270" s="121"/>
      <c r="AF1270" s="36"/>
      <c r="AG1270" s="36"/>
      <c r="AH1270" s="36"/>
      <c r="AI1270" s="36"/>
      <c r="AJ1270" s="36"/>
    </row>
    <row r="1271" ht="15.75" customHeight="1">
      <c r="A1271" s="12"/>
      <c r="B1271" s="390"/>
      <c r="C1271" s="390"/>
      <c r="D1271" s="390"/>
      <c r="E1271" s="121"/>
      <c r="F1271" s="121"/>
      <c r="G1271" s="121"/>
      <c r="H1271" s="121"/>
      <c r="I1271" s="121"/>
      <c r="J1271" s="121"/>
      <c r="K1271" s="121"/>
      <c r="L1271" s="121"/>
      <c r="M1271" s="121"/>
      <c r="N1271" s="121"/>
      <c r="O1271" s="121"/>
      <c r="P1271" s="121"/>
      <c r="Q1271" s="121"/>
      <c r="R1271" s="121"/>
      <c r="S1271" s="121"/>
      <c r="T1271" s="121"/>
      <c r="U1271" s="121"/>
      <c r="V1271" s="121"/>
      <c r="W1271" s="121"/>
      <c r="X1271" s="121"/>
      <c r="Y1271" s="121"/>
      <c r="Z1271" s="121"/>
      <c r="AA1271" s="121"/>
      <c r="AB1271" s="121"/>
      <c r="AC1271" s="121"/>
      <c r="AD1271" s="121"/>
      <c r="AE1271" s="121"/>
      <c r="AF1271" s="36"/>
      <c r="AG1271" s="36"/>
      <c r="AH1271" s="36"/>
      <c r="AI1271" s="36"/>
      <c r="AJ1271" s="36"/>
    </row>
    <row r="1272" ht="15.75" customHeight="1">
      <c r="A1272" s="36" t="s">
        <v>215</v>
      </c>
      <c r="B1272" s="36">
        <v>1.0</v>
      </c>
      <c r="C1272" s="36">
        <v>2.0</v>
      </c>
      <c r="D1272" s="36">
        <v>3.0</v>
      </c>
      <c r="E1272" s="36">
        <v>4.0</v>
      </c>
      <c r="F1272" s="36">
        <v>5.0</v>
      </c>
      <c r="G1272" s="36">
        <v>6.0</v>
      </c>
      <c r="H1272" s="36">
        <v>7.0</v>
      </c>
      <c r="I1272" s="36">
        <v>8.0</v>
      </c>
      <c r="J1272" s="36">
        <v>9.0</v>
      </c>
      <c r="K1272" s="36">
        <v>10.0</v>
      </c>
      <c r="L1272" s="36">
        <v>11.0</v>
      </c>
      <c r="M1272" s="36">
        <v>12.0</v>
      </c>
      <c r="N1272" s="36">
        <v>13.0</v>
      </c>
      <c r="O1272" s="36">
        <v>14.0</v>
      </c>
      <c r="P1272" s="36">
        <v>15.0</v>
      </c>
      <c r="Q1272" s="36">
        <v>16.0</v>
      </c>
      <c r="R1272" s="36">
        <v>17.0</v>
      </c>
      <c r="S1272" s="36">
        <v>18.0</v>
      </c>
      <c r="T1272" s="36">
        <v>19.0</v>
      </c>
      <c r="U1272" s="36">
        <v>20.0</v>
      </c>
      <c r="V1272" s="36">
        <v>21.0</v>
      </c>
      <c r="W1272" s="36">
        <v>22.0</v>
      </c>
      <c r="X1272" s="36">
        <v>23.0</v>
      </c>
      <c r="Y1272" s="36">
        <v>24.0</v>
      </c>
      <c r="Z1272" s="36">
        <v>25.0</v>
      </c>
      <c r="AA1272" s="36">
        <v>26.0</v>
      </c>
      <c r="AB1272" s="36">
        <v>27.0</v>
      </c>
      <c r="AC1272" s="36">
        <v>28.0</v>
      </c>
      <c r="AD1272" s="36">
        <v>29.0</v>
      </c>
      <c r="AE1272" s="36">
        <v>30.0</v>
      </c>
      <c r="AF1272" s="36"/>
      <c r="AG1272" s="36"/>
      <c r="AH1272" s="36"/>
      <c r="AI1272" s="36"/>
      <c r="AJ1272" s="36"/>
    </row>
    <row r="1273" ht="15.75" customHeight="1">
      <c r="A1273" s="12" t="s">
        <v>217</v>
      </c>
      <c r="B1273" s="401">
        <v>0.0</v>
      </c>
      <c r="C1273" s="401">
        <v>0.0</v>
      </c>
      <c r="D1273" s="401">
        <v>0.0</v>
      </c>
      <c r="E1273" s="401">
        <v>0.0</v>
      </c>
      <c r="F1273" s="401">
        <v>0.0</v>
      </c>
      <c r="G1273" s="401">
        <v>0.0</v>
      </c>
      <c r="H1273" s="401">
        <v>0.0</v>
      </c>
      <c r="I1273" s="401">
        <v>0.0</v>
      </c>
      <c r="J1273" s="401">
        <v>0.0</v>
      </c>
      <c r="K1273" s="401">
        <v>0.0</v>
      </c>
      <c r="L1273" s="401">
        <v>0.0</v>
      </c>
      <c r="M1273" s="401">
        <v>0.0</v>
      </c>
      <c r="N1273" s="401">
        <v>0.0</v>
      </c>
      <c r="O1273" s="401">
        <v>0.0</v>
      </c>
      <c r="P1273" s="401">
        <v>0.0</v>
      </c>
      <c r="Q1273" s="401">
        <v>0.0</v>
      </c>
      <c r="R1273" s="401">
        <v>0.0</v>
      </c>
      <c r="S1273" s="401">
        <v>0.0</v>
      </c>
      <c r="T1273" s="401">
        <v>0.0</v>
      </c>
      <c r="U1273" s="401">
        <v>0.0</v>
      </c>
      <c r="V1273" s="401">
        <v>0.0</v>
      </c>
      <c r="W1273" s="401">
        <v>0.0</v>
      </c>
      <c r="X1273" s="401">
        <v>0.0</v>
      </c>
      <c r="Y1273" s="401">
        <v>0.0</v>
      </c>
      <c r="Z1273" s="401">
        <v>0.0</v>
      </c>
      <c r="AA1273" s="401">
        <v>0.0</v>
      </c>
      <c r="AB1273" s="401">
        <v>0.0</v>
      </c>
      <c r="AC1273" s="401">
        <v>0.0</v>
      </c>
      <c r="AD1273" s="401">
        <v>0.0</v>
      </c>
      <c r="AE1273" s="401">
        <v>0.0</v>
      </c>
      <c r="AF1273" s="36"/>
      <c r="AG1273" s="36"/>
      <c r="AH1273" s="36"/>
      <c r="AI1273" s="36"/>
      <c r="AJ1273" s="36"/>
    </row>
    <row r="1274" ht="15.75" customHeight="1">
      <c r="A1274" s="12" t="s">
        <v>218</v>
      </c>
      <c r="B1274" s="194">
        <f>IF(SA=10*Mod_Prem,1.35%/12,2.7%/12)</f>
        <v>0.001125</v>
      </c>
      <c r="C1274" s="194">
        <f>IF(SA=10*Mod_Prem,1.35%/12,2.7%/12)</f>
        <v>0.001125</v>
      </c>
      <c r="D1274" s="194">
        <f>IF(SA=10*Mod_Prem,0.6%/12,0.3%/12)</f>
        <v>0.0005</v>
      </c>
      <c r="E1274" s="194">
        <f>IF(SA=10*Mod_Prem,0.6%/12,0.3%/12)</f>
        <v>0.0005</v>
      </c>
      <c r="F1274" s="194">
        <f>IF(SA=10*Mod_Prem,0.6%/12,0.3%/12)</f>
        <v>0.0005</v>
      </c>
      <c r="G1274" s="194">
        <f>IF(SA=10*Mod_Prem,0.6%/12,0.3%/12)</f>
        <v>0.0005</v>
      </c>
      <c r="H1274" s="194">
        <f>IF(SA=10*Mod_Prem,0.6%/12,0.3%/12)</f>
        <v>0.0005</v>
      </c>
      <c r="I1274" s="194">
        <f>IF(SA=10*Mod_Prem,0.6%/12,0.3%/12)</f>
        <v>0.0005</v>
      </c>
      <c r="J1274" s="194">
        <f>IF(SA=10*Mod_Prem,0.6%/12,0.3%/12)</f>
        <v>0.0005</v>
      </c>
      <c r="K1274" s="194">
        <f>IF(SA=10*Mod_Prem,0.6%/12,0.3%/12)</f>
        <v>0.0005</v>
      </c>
      <c r="L1274" s="194">
        <f>IF(SA=10*Mod_Prem,0.6%/12,0.3%/12)</f>
        <v>0.0005</v>
      </c>
      <c r="M1274" s="194">
        <f>IF(SA=10*Mod_Prem,0.6%/12,0.3%/12)</f>
        <v>0.0005</v>
      </c>
      <c r="N1274" s="194">
        <f>IF(SA=10*Mod_Prem,0.6%/12,0.3%/12)</f>
        <v>0.0005</v>
      </c>
      <c r="O1274" s="194">
        <f>IF(SA=10*Mod_Prem,0.6%/12,0.3%/12)</f>
        <v>0.0005</v>
      </c>
      <c r="P1274" s="194">
        <f>IF(SA=10*Mod_Prem,0.6%/12,0.3%/12)</f>
        <v>0.0005</v>
      </c>
      <c r="Q1274" s="194">
        <f>IF(SA=10*Mod_Prem,0.6%/12,0.3%/12)</f>
        <v>0.0005</v>
      </c>
      <c r="R1274" s="194">
        <f>IF(SA=10*Mod_Prem,0.6%/12,0.3%/12)</f>
        <v>0.0005</v>
      </c>
      <c r="S1274" s="194">
        <f>IF(SA=10*Mod_Prem,0.6%/12,0.3%/12)</f>
        <v>0.0005</v>
      </c>
      <c r="T1274" s="194">
        <f>IF(SA=10*Mod_Prem,0.6%/12,0.3%/12)</f>
        <v>0.0005</v>
      </c>
      <c r="U1274" s="194">
        <f>IF(SA=10*Mod_Prem,0.6%/12,0.3%/12)</f>
        <v>0.0005</v>
      </c>
      <c r="V1274" s="194">
        <f>IF(SA=10*Mod_Prem,0.6%/12,0.3%/12)</f>
        <v>0.0005</v>
      </c>
      <c r="W1274" s="194">
        <f>IF(SA=10*Mod_Prem,0.6%/12,0.3%/12)</f>
        <v>0.0005</v>
      </c>
      <c r="X1274" s="194">
        <f>IF(SA=10*Mod_Prem,0.6%/12,0.3%/12)</f>
        <v>0.0005</v>
      </c>
      <c r="Y1274" s="194">
        <f>IF(SA=10*Mod_Prem,0.6%/12,0.3%/12)</f>
        <v>0.0005</v>
      </c>
      <c r="Z1274" s="194">
        <f>IF(SA=10*Mod_Prem,0.6%/12,0.3%/12)</f>
        <v>0.0005</v>
      </c>
      <c r="AA1274" s="194">
        <f>IF(SA=10*Mod_Prem,0.6%/12,0.3%/12)</f>
        <v>0.0005</v>
      </c>
      <c r="AB1274" s="194">
        <f>IF(SA=10*Mod_Prem,0.6%/12,0.3%/12)</f>
        <v>0.0005</v>
      </c>
      <c r="AC1274" s="194">
        <f>IF(SA=10*Mod_Prem,0.6%/12,0.3%/12)</f>
        <v>0.0005</v>
      </c>
      <c r="AD1274" s="194">
        <f>IF(SA=10*Mod_Prem,0.6%/12,0.3%/12)</f>
        <v>0.0005</v>
      </c>
      <c r="AE1274" s="194">
        <f>IF(SA=10*Mod_Prem,0.6%/12,0.3%/12)</f>
        <v>0.0005</v>
      </c>
      <c r="AF1274" s="36"/>
      <c r="AG1274" s="36"/>
      <c r="AH1274" s="36"/>
      <c r="AI1274" s="36"/>
      <c r="AJ1274" s="36"/>
    </row>
    <row r="1275" ht="15.75" customHeight="1">
      <c r="A1275" s="12"/>
      <c r="B1275" s="390"/>
      <c r="C1275" s="390"/>
      <c r="D1275" s="390"/>
      <c r="E1275" s="121"/>
      <c r="F1275" s="121"/>
      <c r="G1275" s="121"/>
      <c r="H1275" s="121"/>
      <c r="I1275" s="121"/>
      <c r="J1275" s="121"/>
      <c r="K1275" s="121"/>
      <c r="L1275" s="121"/>
      <c r="M1275" s="121"/>
      <c r="N1275" s="121"/>
      <c r="O1275" s="121"/>
      <c r="P1275" s="121"/>
      <c r="Q1275" s="121"/>
      <c r="R1275" s="121"/>
      <c r="S1275" s="121"/>
      <c r="T1275" s="121"/>
      <c r="U1275" s="121"/>
      <c r="V1275" s="121"/>
      <c r="W1275" s="121"/>
      <c r="X1275" s="121"/>
      <c r="Y1275" s="121"/>
      <c r="Z1275" s="121"/>
      <c r="AA1275" s="121"/>
      <c r="AB1275" s="121"/>
      <c r="AC1275" s="121"/>
      <c r="AD1275" s="121"/>
      <c r="AE1275" s="121"/>
      <c r="AF1275" s="36"/>
      <c r="AG1275" s="36"/>
      <c r="AH1275" s="36"/>
      <c r="AI1275" s="36"/>
      <c r="AJ1275" s="36"/>
    </row>
    <row r="1276" ht="15.75" customHeight="1">
      <c r="A1276" s="298" t="s">
        <v>1690</v>
      </c>
      <c r="B1276" s="390"/>
      <c r="C1276" s="390"/>
      <c r="D1276" s="390"/>
      <c r="E1276" s="121"/>
      <c r="F1276" s="121"/>
      <c r="G1276" s="121"/>
      <c r="H1276" s="121"/>
      <c r="I1276" s="121"/>
      <c r="J1276" s="121"/>
      <c r="K1276" s="121"/>
      <c r="L1276" s="121"/>
      <c r="M1276" s="121"/>
      <c r="N1276" s="121"/>
      <c r="O1276" s="121"/>
      <c r="P1276" s="121"/>
      <c r="Q1276" s="121"/>
      <c r="R1276" s="121"/>
      <c r="S1276" s="121"/>
      <c r="T1276" s="121"/>
      <c r="U1276" s="121"/>
      <c r="V1276" s="121"/>
      <c r="W1276" s="121"/>
      <c r="X1276" s="121"/>
      <c r="Y1276" s="121"/>
      <c r="Z1276" s="121"/>
      <c r="AA1276" s="121"/>
      <c r="AB1276" s="121"/>
      <c r="AC1276" s="121"/>
      <c r="AD1276" s="121"/>
      <c r="AE1276" s="121"/>
      <c r="AF1276" s="36"/>
      <c r="AG1276" s="36"/>
      <c r="AH1276" s="36"/>
      <c r="AI1276" s="36"/>
      <c r="AJ1276" s="36"/>
    </row>
    <row r="1277" ht="15.75" customHeight="1">
      <c r="A1277" s="12"/>
      <c r="B1277" s="390"/>
      <c r="C1277" s="390"/>
      <c r="D1277" s="390"/>
      <c r="E1277" s="121"/>
      <c r="F1277" s="121"/>
      <c r="G1277" s="121"/>
      <c r="H1277" s="121"/>
      <c r="I1277" s="121"/>
      <c r="J1277" s="121"/>
      <c r="K1277" s="121"/>
      <c r="L1277" s="121"/>
      <c r="M1277" s="121"/>
      <c r="N1277" s="121"/>
      <c r="O1277" s="121"/>
      <c r="P1277" s="121"/>
      <c r="Q1277" s="121"/>
      <c r="R1277" s="121"/>
      <c r="S1277" s="121"/>
      <c r="T1277" s="121"/>
      <c r="U1277" s="121"/>
      <c r="V1277" s="121"/>
      <c r="W1277" s="121"/>
      <c r="X1277" s="121"/>
      <c r="Y1277" s="121"/>
      <c r="Z1277" s="121"/>
      <c r="AA1277" s="121"/>
      <c r="AB1277" s="121"/>
      <c r="AC1277" s="121"/>
      <c r="AD1277" s="121"/>
      <c r="AE1277" s="121"/>
      <c r="AF1277" s="36"/>
      <c r="AG1277" s="36"/>
      <c r="AH1277" s="36"/>
      <c r="AI1277" s="36"/>
      <c r="AJ1277" s="36"/>
    </row>
    <row r="1278" ht="15.75" customHeight="1">
      <c r="A1278" s="36" t="s">
        <v>215</v>
      </c>
      <c r="B1278" s="36">
        <v>1.0</v>
      </c>
      <c r="C1278" s="36">
        <v>2.0</v>
      </c>
      <c r="D1278" s="36">
        <v>3.0</v>
      </c>
      <c r="E1278" s="36">
        <v>4.0</v>
      </c>
      <c r="F1278" s="36">
        <v>5.0</v>
      </c>
      <c r="G1278" s="36">
        <v>6.0</v>
      </c>
      <c r="H1278" s="36">
        <v>7.0</v>
      </c>
      <c r="I1278" s="36">
        <v>8.0</v>
      </c>
      <c r="J1278" s="36">
        <v>9.0</v>
      </c>
      <c r="K1278" s="36">
        <v>10.0</v>
      </c>
      <c r="L1278" s="36">
        <v>11.0</v>
      </c>
      <c r="M1278" s="36">
        <v>12.0</v>
      </c>
      <c r="N1278" s="36">
        <v>13.0</v>
      </c>
      <c r="O1278" s="36">
        <v>14.0</v>
      </c>
      <c r="P1278" s="36">
        <v>15.0</v>
      </c>
      <c r="Q1278" s="36">
        <v>16.0</v>
      </c>
      <c r="R1278" s="36">
        <v>17.0</v>
      </c>
      <c r="S1278" s="36">
        <v>18.0</v>
      </c>
      <c r="T1278" s="36">
        <v>19.0</v>
      </c>
      <c r="U1278" s="36">
        <v>20.0</v>
      </c>
      <c r="V1278" s="36">
        <v>21.0</v>
      </c>
      <c r="W1278" s="36">
        <v>22.0</v>
      </c>
      <c r="X1278" s="36">
        <v>23.0</v>
      </c>
      <c r="Y1278" s="36">
        <v>24.0</v>
      </c>
      <c r="Z1278" s="36">
        <v>25.0</v>
      </c>
      <c r="AA1278" s="36">
        <v>26.0</v>
      </c>
      <c r="AB1278" s="36">
        <v>27.0</v>
      </c>
      <c r="AC1278" s="36">
        <v>28.0</v>
      </c>
      <c r="AD1278" s="36">
        <v>29.0</v>
      </c>
      <c r="AE1278" s="36">
        <v>30.0</v>
      </c>
      <c r="AF1278" s="36"/>
      <c r="AG1278" s="36"/>
      <c r="AH1278" s="36"/>
      <c r="AI1278" s="36"/>
      <c r="AJ1278" s="36"/>
    </row>
    <row r="1279" ht="15.75" customHeight="1">
      <c r="A1279" s="12" t="s">
        <v>217</v>
      </c>
      <c r="B1279" s="401">
        <v>0.0</v>
      </c>
      <c r="C1279" s="401">
        <v>0.0</v>
      </c>
      <c r="D1279" s="401">
        <v>0.0</v>
      </c>
      <c r="E1279" s="401">
        <v>0.0</v>
      </c>
      <c r="F1279" s="401">
        <v>0.0</v>
      </c>
      <c r="G1279" s="401">
        <v>0.0</v>
      </c>
      <c r="H1279" s="401">
        <v>0.0</v>
      </c>
      <c r="I1279" s="401">
        <v>0.0</v>
      </c>
      <c r="J1279" s="401">
        <v>0.0</v>
      </c>
      <c r="K1279" s="401">
        <v>0.0</v>
      </c>
      <c r="L1279" s="401">
        <v>0.0</v>
      </c>
      <c r="M1279" s="401">
        <v>0.0</v>
      </c>
      <c r="N1279" s="401">
        <v>0.0</v>
      </c>
      <c r="O1279" s="401">
        <v>0.0</v>
      </c>
      <c r="P1279" s="401">
        <v>0.0</v>
      </c>
      <c r="Q1279" s="401">
        <v>0.0</v>
      </c>
      <c r="R1279" s="401">
        <v>0.0</v>
      </c>
      <c r="S1279" s="401">
        <v>0.0</v>
      </c>
      <c r="T1279" s="401">
        <v>0.0</v>
      </c>
      <c r="U1279" s="401">
        <v>0.0</v>
      </c>
      <c r="V1279" s="401">
        <v>0.0</v>
      </c>
      <c r="W1279" s="401">
        <v>0.0</v>
      </c>
      <c r="X1279" s="401">
        <v>0.0</v>
      </c>
      <c r="Y1279" s="401">
        <v>0.0</v>
      </c>
      <c r="Z1279" s="401">
        <v>0.0</v>
      </c>
      <c r="AA1279" s="401">
        <v>0.0</v>
      </c>
      <c r="AB1279" s="401">
        <v>0.0</v>
      </c>
      <c r="AC1279" s="401">
        <v>0.0</v>
      </c>
      <c r="AD1279" s="401">
        <v>0.0</v>
      </c>
      <c r="AE1279" s="401">
        <v>0.0</v>
      </c>
      <c r="AF1279" s="36"/>
      <c r="AG1279" s="36"/>
      <c r="AH1279" s="36"/>
      <c r="AI1279" s="36"/>
      <c r="AJ1279" s="36"/>
    </row>
    <row r="1280" ht="15.75" customHeight="1">
      <c r="A1280" s="12" t="s">
        <v>218</v>
      </c>
      <c r="B1280" s="194">
        <f>IF(Mod_Prem&lt;50000,5%/12,IF(AND(Mod_Prem&gt;=50000,Mod_Prem&lt;200000),4.5%,4%))</f>
        <v>0.045</v>
      </c>
      <c r="C1280" s="194">
        <f>IF(Mod_Prem&lt;50000,3%/12,IF(AND(Mod_Prem&gt;=50000,Mod_Prem&lt;200000),2%,1.5%))</f>
        <v>0.02</v>
      </c>
      <c r="D1280" s="194">
        <f>IF(Mod_Prem&lt;50000,3%/12,IF(AND(Mod_Prem&gt;=50000,Mod_Prem&lt;200000),2%,1.5%))</f>
        <v>0.02</v>
      </c>
      <c r="E1280" s="194">
        <f>IF(Mod_Prem&lt;50000,0.86%/12,IF(AND(Mod_Prem&gt;=50000,Mod_Prem&lt;200000),0.3%,0.03%))</f>
        <v>0.003</v>
      </c>
      <c r="F1280" s="194">
        <f>IF(Mod_Prem&lt;50000,0.86%/12,IF(AND(Mod_Prem&gt;=50000,Mod_Prem&lt;200000),0.3%,0.03%))</f>
        <v>0.003</v>
      </c>
      <c r="G1280" s="194">
        <f>IF(Mod_Prem&lt;50000,0.86%/12,IF(AND(Mod_Prem&gt;=50000,Mod_Prem&lt;200000),0.3%,0.03%))</f>
        <v>0.003</v>
      </c>
      <c r="H1280" s="194">
        <f>IF(Mod_Prem&lt;50000,0.86%/12,IF(AND(Mod_Prem&gt;=50000,Mod_Prem&lt;200000),0.3%,0.03%))</f>
        <v>0.003</v>
      </c>
      <c r="I1280" s="194">
        <f>IF(Mod_Prem&lt;50000,0.86%/12,IF(AND(Mod_Prem&gt;=50000,Mod_Prem&lt;200000),0.3%,0.03%))</f>
        <v>0.003</v>
      </c>
      <c r="J1280" s="194">
        <f>IF(Mod_Prem&lt;50000,0.86%/12,IF(AND(Mod_Prem&gt;=50000,Mod_Prem&lt;200000),0.3%,0.03%))</f>
        <v>0.003</v>
      </c>
      <c r="K1280" s="194">
        <f>IF(Mod_Prem&lt;50000,0.86%/12,IF(AND(Mod_Prem&gt;=50000,Mod_Prem&lt;200000),0.3%,0.03%))</f>
        <v>0.003</v>
      </c>
      <c r="L1280" s="194">
        <f>IF(Mod_Prem&lt;50000,0.86%/12,IF(AND(Mod_Prem&gt;=50000,Mod_Prem&lt;200000),0.3%,0.03%))</f>
        <v>0.003</v>
      </c>
      <c r="M1280" s="194">
        <f>IF(Mod_Prem&lt;50000,0.86%/12,IF(AND(Mod_Prem&gt;=50000,Mod_Prem&lt;200000),0.3%,0.03%))</f>
        <v>0.003</v>
      </c>
      <c r="N1280" s="194">
        <f>IF(Mod_Prem&lt;50000,0.86%/12,IF(AND(Mod_Prem&gt;=50000,Mod_Prem&lt;200000),0.3%,0.03%))</f>
        <v>0.003</v>
      </c>
      <c r="O1280" s="194">
        <f>IF(Mod_Prem&lt;50000,0.86%/12,IF(AND(Mod_Prem&gt;=50000,Mod_Prem&lt;200000),0.3%,0.03%))</f>
        <v>0.003</v>
      </c>
      <c r="P1280" s="194">
        <f>IF(Mod_Prem&lt;50000,0.86%/12,IF(AND(Mod_Prem&gt;=50000,Mod_Prem&lt;200000),0.3%,0.03%))</f>
        <v>0.003</v>
      </c>
      <c r="Q1280" s="194">
        <f>IF(Mod_Prem&lt;50000,0.86%/12,IF(AND(Mod_Prem&gt;=50000,Mod_Prem&lt;200000),0.3%,0.03%))</f>
        <v>0.003</v>
      </c>
      <c r="R1280" s="194">
        <f>IF(Mod_Prem&lt;50000,0.86%/12,IF(AND(Mod_Prem&gt;=50000,Mod_Prem&lt;200000),0.3%,0.03%))</f>
        <v>0.003</v>
      </c>
      <c r="S1280" s="194">
        <f>IF(Mod_Prem&lt;50000,0.86%/12,IF(AND(Mod_Prem&gt;=50000,Mod_Prem&lt;200000),0.3%,0.03%))</f>
        <v>0.003</v>
      </c>
      <c r="T1280" s="194">
        <f>IF(Mod_Prem&lt;50000,0.86%/12,IF(AND(Mod_Prem&gt;=50000,Mod_Prem&lt;200000),0.3%,0.03%))</f>
        <v>0.003</v>
      </c>
      <c r="U1280" s="194">
        <f>IF(Mod_Prem&lt;50000,0.86%/12,IF(AND(Mod_Prem&gt;=50000,Mod_Prem&lt;200000),0.3%,0.03%))</f>
        <v>0.003</v>
      </c>
      <c r="V1280" s="194">
        <f>IF(Mod_Prem&lt;50000,0.86%/12,IF(AND(Mod_Prem&gt;=50000,Mod_Prem&lt;200000),0.3%,0.03%))</f>
        <v>0.003</v>
      </c>
      <c r="W1280" s="194">
        <f>IF(Mod_Prem&lt;50000,0.86%/12,IF(AND(Mod_Prem&gt;=50000,Mod_Prem&lt;200000),0.3%,0.03%))</f>
        <v>0.003</v>
      </c>
      <c r="X1280" s="194">
        <f>IF(Mod_Prem&lt;50000,0.86%/12,IF(AND(Mod_Prem&gt;=50000,Mod_Prem&lt;200000),0.3%,0.03%))</f>
        <v>0.003</v>
      </c>
      <c r="Y1280" s="194">
        <f>IF(Mod_Prem&lt;50000,0.86%/12,IF(AND(Mod_Prem&gt;=50000,Mod_Prem&lt;200000),0.3%,0.03%))</f>
        <v>0.003</v>
      </c>
      <c r="Z1280" s="194">
        <f>IF(Mod_Prem&lt;50000,0.86%/12,IF(AND(Mod_Prem&gt;=50000,Mod_Prem&lt;200000),0.3%,0.03%))</f>
        <v>0.003</v>
      </c>
      <c r="AA1280" s="194">
        <f>IF(Mod_Prem&lt;50000,0.86%/12,IF(AND(Mod_Prem&gt;=50000,Mod_Prem&lt;200000),0.3%,0.03%))</f>
        <v>0.003</v>
      </c>
      <c r="AB1280" s="194">
        <f>IF(Mod_Prem&lt;50000,0.86%/12,IF(AND(Mod_Prem&gt;=50000,Mod_Prem&lt;200000),0.3%,0.03%))</f>
        <v>0.003</v>
      </c>
      <c r="AC1280" s="194">
        <f>IF(Mod_Prem&lt;50000,0.86%/12,IF(AND(Mod_Prem&gt;=50000,Mod_Prem&lt;200000),0.3%,0.03%))</f>
        <v>0.003</v>
      </c>
      <c r="AD1280" s="194">
        <f>IF(Mod_Prem&lt;50000,0.86%/12,IF(AND(Mod_Prem&gt;=50000,Mod_Prem&lt;200000),0.3%,0.03%))</f>
        <v>0.003</v>
      </c>
      <c r="AE1280" s="194">
        <f>IF(Mod_Prem&lt;50000,0.86%/12,IF(AND(Mod_Prem&gt;=50000,Mod_Prem&lt;200000),0.3%,0.03%))</f>
        <v>0.003</v>
      </c>
      <c r="AF1280" s="36"/>
      <c r="AG1280" s="36"/>
      <c r="AH1280" s="36"/>
      <c r="AI1280" s="36"/>
      <c r="AJ1280" s="36"/>
    </row>
    <row r="1281" ht="15.75" customHeight="1">
      <c r="A1281" s="12"/>
      <c r="B1281" s="390"/>
      <c r="C1281" s="390"/>
      <c r="D1281" s="390"/>
      <c r="E1281" s="121"/>
      <c r="F1281" s="121"/>
      <c r="G1281" s="121"/>
      <c r="H1281" s="121"/>
      <c r="I1281" s="121"/>
      <c r="J1281" s="121"/>
      <c r="K1281" s="121"/>
      <c r="L1281" s="121"/>
      <c r="M1281" s="121"/>
      <c r="N1281" s="121"/>
      <c r="O1281" s="121"/>
      <c r="P1281" s="121"/>
      <c r="Q1281" s="121"/>
      <c r="R1281" s="121"/>
      <c r="S1281" s="121"/>
      <c r="T1281" s="121"/>
      <c r="U1281" s="121"/>
      <c r="V1281" s="121"/>
      <c r="W1281" s="121"/>
      <c r="X1281" s="121"/>
      <c r="Y1281" s="121"/>
      <c r="Z1281" s="121"/>
      <c r="AA1281" s="121"/>
      <c r="AB1281" s="121"/>
      <c r="AC1281" s="121"/>
      <c r="AD1281" s="121"/>
      <c r="AE1281" s="121"/>
      <c r="AF1281" s="36"/>
      <c r="AG1281" s="36"/>
      <c r="AH1281" s="36"/>
      <c r="AI1281" s="36"/>
      <c r="AJ1281" s="36"/>
    </row>
    <row r="1282" ht="15.75" customHeight="1">
      <c r="A1282" s="242" t="s">
        <v>1696</v>
      </c>
      <c r="B1282" s="390"/>
      <c r="C1282" s="390"/>
      <c r="D1282" s="390"/>
      <c r="E1282" s="121"/>
      <c r="F1282" s="121"/>
      <c r="G1282" s="121"/>
      <c r="H1282" s="121"/>
      <c r="I1282" s="121"/>
      <c r="J1282" s="121"/>
      <c r="K1282" s="121"/>
      <c r="L1282" s="121"/>
      <c r="M1282" s="121"/>
      <c r="N1282" s="121"/>
      <c r="O1282" s="121"/>
      <c r="P1282" s="121"/>
      <c r="Q1282" s="121"/>
      <c r="R1282" s="121"/>
      <c r="S1282" s="121"/>
      <c r="T1282" s="121"/>
      <c r="U1282" s="121"/>
      <c r="V1282" s="121"/>
      <c r="W1282" s="121"/>
      <c r="X1282" s="121"/>
      <c r="Y1282" s="121"/>
      <c r="Z1282" s="121"/>
      <c r="AA1282" s="121"/>
      <c r="AB1282" s="121"/>
      <c r="AC1282" s="121"/>
      <c r="AD1282" s="121"/>
      <c r="AE1282" s="121"/>
      <c r="AF1282" s="36"/>
      <c r="AG1282" s="36"/>
      <c r="AH1282" s="36"/>
      <c r="AI1282" s="36"/>
      <c r="AJ1282" s="36"/>
    </row>
    <row r="1283" ht="15.75" customHeight="1">
      <c r="A1283" s="12"/>
      <c r="B1283" s="390"/>
      <c r="C1283" s="390"/>
      <c r="D1283" s="390"/>
      <c r="E1283" s="121"/>
      <c r="F1283" s="121"/>
      <c r="G1283" s="121"/>
      <c r="H1283" s="121"/>
      <c r="I1283" s="121"/>
      <c r="J1283" s="121"/>
      <c r="K1283" s="121"/>
      <c r="L1283" s="121"/>
      <c r="M1283" s="121"/>
      <c r="N1283" s="121"/>
      <c r="O1283" s="121"/>
      <c r="P1283" s="121"/>
      <c r="Q1283" s="121"/>
      <c r="R1283" s="121"/>
      <c r="S1283" s="121"/>
      <c r="T1283" s="121"/>
      <c r="U1283" s="121"/>
      <c r="V1283" s="121"/>
      <c r="W1283" s="121"/>
      <c r="X1283" s="121"/>
      <c r="Y1283" s="121"/>
      <c r="Z1283" s="121"/>
      <c r="AA1283" s="121"/>
      <c r="AB1283" s="121"/>
      <c r="AC1283" s="121"/>
      <c r="AD1283" s="121"/>
      <c r="AE1283" s="121"/>
      <c r="AF1283" s="36"/>
      <c r="AG1283" s="36"/>
      <c r="AH1283" s="36"/>
      <c r="AI1283" s="36"/>
      <c r="AJ1283" s="36"/>
    </row>
    <row r="1284" ht="15.75" customHeight="1">
      <c r="A1284" s="36" t="s">
        <v>215</v>
      </c>
      <c r="B1284" s="36">
        <v>1.0</v>
      </c>
      <c r="C1284" s="36">
        <v>2.0</v>
      </c>
      <c r="D1284" s="36">
        <v>3.0</v>
      </c>
      <c r="E1284" s="36">
        <v>4.0</v>
      </c>
      <c r="F1284" s="36">
        <v>5.0</v>
      </c>
      <c r="G1284" s="36">
        <v>6.0</v>
      </c>
      <c r="H1284" s="36">
        <v>7.0</v>
      </c>
      <c r="I1284" s="36">
        <v>8.0</v>
      </c>
      <c r="J1284" s="36">
        <v>9.0</v>
      </c>
      <c r="K1284" s="36">
        <v>10.0</v>
      </c>
      <c r="L1284" s="36">
        <v>11.0</v>
      </c>
      <c r="M1284" s="36">
        <v>12.0</v>
      </c>
      <c r="N1284" s="36">
        <v>13.0</v>
      </c>
      <c r="O1284" s="36">
        <v>14.0</v>
      </c>
      <c r="P1284" s="36">
        <v>15.0</v>
      </c>
      <c r="Q1284" s="36">
        <v>16.0</v>
      </c>
      <c r="R1284" s="36">
        <v>17.0</v>
      </c>
      <c r="S1284" s="36">
        <v>18.0</v>
      </c>
      <c r="T1284" s="36">
        <v>19.0</v>
      </c>
      <c r="U1284" s="36">
        <v>20.0</v>
      </c>
      <c r="V1284" s="36">
        <v>21.0</v>
      </c>
      <c r="W1284" s="36">
        <v>22.0</v>
      </c>
      <c r="X1284" s="36">
        <v>23.0</v>
      </c>
      <c r="Y1284" s="36">
        <v>24.0</v>
      </c>
      <c r="Z1284" s="36">
        <v>25.0</v>
      </c>
      <c r="AA1284" s="36">
        <v>26.0</v>
      </c>
      <c r="AB1284" s="36">
        <v>27.0</v>
      </c>
      <c r="AC1284" s="36">
        <v>28.0</v>
      </c>
      <c r="AD1284" s="36">
        <v>29.0</v>
      </c>
      <c r="AE1284" s="36">
        <v>30.0</v>
      </c>
      <c r="AF1284" s="36"/>
      <c r="AG1284" s="36"/>
      <c r="AH1284" s="36"/>
      <c r="AI1284" s="36"/>
      <c r="AJ1284" s="36"/>
    </row>
    <row r="1285" ht="15.75" customHeight="1">
      <c r="A1285" s="12" t="s">
        <v>217</v>
      </c>
      <c r="B1285" s="401">
        <v>0.0</v>
      </c>
      <c r="C1285" s="401">
        <v>0.0</v>
      </c>
      <c r="D1285" s="401">
        <v>0.0</v>
      </c>
      <c r="E1285" s="401">
        <v>0.0</v>
      </c>
      <c r="F1285" s="401">
        <v>0.0</v>
      </c>
      <c r="G1285" s="401">
        <v>0.0</v>
      </c>
      <c r="H1285" s="401">
        <v>0.0</v>
      </c>
      <c r="I1285" s="401">
        <v>0.0</v>
      </c>
      <c r="J1285" s="401">
        <v>0.0</v>
      </c>
      <c r="K1285" s="401">
        <v>0.0</v>
      </c>
      <c r="L1285" s="401">
        <v>0.0</v>
      </c>
      <c r="M1285" s="401">
        <v>0.0</v>
      </c>
      <c r="N1285" s="401">
        <v>0.0</v>
      </c>
      <c r="O1285" s="401">
        <v>0.0</v>
      </c>
      <c r="P1285" s="401">
        <v>0.0</v>
      </c>
      <c r="Q1285" s="401">
        <v>0.0</v>
      </c>
      <c r="R1285" s="401">
        <v>0.0</v>
      </c>
      <c r="S1285" s="401">
        <v>0.0</v>
      </c>
      <c r="T1285" s="401">
        <v>0.0</v>
      </c>
      <c r="U1285" s="401">
        <v>0.0</v>
      </c>
      <c r="V1285" s="401">
        <v>0.0</v>
      </c>
      <c r="W1285" s="401">
        <v>0.0</v>
      </c>
      <c r="X1285" s="401">
        <v>0.0</v>
      </c>
      <c r="Y1285" s="401">
        <v>0.0</v>
      </c>
      <c r="Z1285" s="401">
        <v>0.0</v>
      </c>
      <c r="AA1285" s="401">
        <v>0.0</v>
      </c>
      <c r="AB1285" s="401">
        <v>0.0</v>
      </c>
      <c r="AC1285" s="401">
        <v>0.0</v>
      </c>
      <c r="AD1285" s="401">
        <v>0.0</v>
      </c>
      <c r="AE1285" s="401">
        <v>0.0</v>
      </c>
      <c r="AF1285" s="36"/>
      <c r="AG1285" s="36"/>
      <c r="AH1285" s="36"/>
      <c r="AI1285" s="36"/>
      <c r="AJ1285" s="36"/>
    </row>
    <row r="1286" ht="15.75" customHeight="1">
      <c r="A1286" s="12" t="s">
        <v>218</v>
      </c>
      <c r="B1286" s="194">
        <f>IF(Mod_Prem&lt;25000,0.3%,IF(PT&lt;10,0.25%,0.125%))</f>
        <v>0.00125</v>
      </c>
      <c r="C1286" s="194">
        <f>IF(Mod_Prem&lt;25000,0.3%,IF(PT&lt;10,0.25%,0.125%))</f>
        <v>0.00125</v>
      </c>
      <c r="D1286" s="194">
        <f>IF(Mod_Prem&lt;25000,0.3%,IF(PT&lt;10,0.25%,0.125%))</f>
        <v>0.00125</v>
      </c>
      <c r="E1286" s="194">
        <f>IF(Mod_Prem&lt;25000,0.3%,0.125%)</f>
        <v>0.00125</v>
      </c>
      <c r="F1286" s="194">
        <f>IF(Mod_Prem&lt;25000,0.3%,0.125%)</f>
        <v>0.00125</v>
      </c>
      <c r="G1286" s="194">
        <f>IF(Mod_Prem&lt;25000,0.3%,0.125%)</f>
        <v>0.00125</v>
      </c>
      <c r="H1286" s="194">
        <f>IF(Mod_Prem&lt;25000,0.3%,0.125%)</f>
        <v>0.00125</v>
      </c>
      <c r="I1286" s="194">
        <f>IF(Mod_Prem&lt;25000,0.3%,0.125%)</f>
        <v>0.00125</v>
      </c>
      <c r="J1286" s="194">
        <f>IF(Mod_Prem&lt;25000,0.3%,0.125%)</f>
        <v>0.00125</v>
      </c>
      <c r="K1286" s="194">
        <f>IF(Mod_Prem&lt;25000,0.3%,0.125%)</f>
        <v>0.00125</v>
      </c>
      <c r="L1286" s="194">
        <f>IF(Mod_Prem&lt;25000,0.3%,0.125%)</f>
        <v>0.00125</v>
      </c>
      <c r="M1286" s="194">
        <f>IF(Mod_Prem&lt;25000,0.3%,0.125%)</f>
        <v>0.00125</v>
      </c>
      <c r="N1286" s="194">
        <f>IF(Mod_Prem&lt;25000,0.3%,0.125%)</f>
        <v>0.00125</v>
      </c>
      <c r="O1286" s="194">
        <f>IF(Mod_Prem&lt;25000,0.3%,0.125%)</f>
        <v>0.00125</v>
      </c>
      <c r="P1286" s="194">
        <f>IF(Mod_Prem&lt;25000,0.3%,0.125%)</f>
        <v>0.00125</v>
      </c>
      <c r="Q1286" s="194">
        <f>IF(Mod_Prem&lt;25000,0.3%,0.125%)</f>
        <v>0.00125</v>
      </c>
      <c r="R1286" s="194">
        <f>IF(Mod_Prem&lt;25000,0.3%,0.125%)</f>
        <v>0.00125</v>
      </c>
      <c r="S1286" s="194">
        <f>IF(Mod_Prem&lt;25000,0.3%,0.125%)</f>
        <v>0.00125</v>
      </c>
      <c r="T1286" s="194">
        <f>IF(Mod_Prem&lt;25000,0.3%,0.125%)</f>
        <v>0.00125</v>
      </c>
      <c r="U1286" s="194">
        <f>IF(Mod_Prem&lt;25000,0.3%,0.125%)</f>
        <v>0.00125</v>
      </c>
      <c r="V1286" s="194">
        <f>IF(Mod_Prem&lt;25000,0.3%,0.125%)</f>
        <v>0.00125</v>
      </c>
      <c r="W1286" s="194">
        <f>IF(Mod_Prem&lt;25000,0.3%,0.125%)</f>
        <v>0.00125</v>
      </c>
      <c r="X1286" s="194">
        <f>IF(Mod_Prem&lt;25000,0.3%,0.125%)</f>
        <v>0.00125</v>
      </c>
      <c r="Y1286" s="194">
        <f>IF(Mod_Prem&lt;25000,0.3%,0.125%)</f>
        <v>0.00125</v>
      </c>
      <c r="Z1286" s="194">
        <f>IF(Mod_Prem&lt;25000,0.3%,0.125%)</f>
        <v>0.00125</v>
      </c>
      <c r="AA1286" s="194">
        <f>IF(Mod_Prem&lt;25000,0.3%,0.125%)</f>
        <v>0.00125</v>
      </c>
      <c r="AB1286" s="194">
        <f>IF(Mod_Prem&lt;25000,0.3%,0.125%)</f>
        <v>0.00125</v>
      </c>
      <c r="AC1286" s="194">
        <f>IF(Mod_Prem&lt;25000,0.3%,0.125%)</f>
        <v>0.00125</v>
      </c>
      <c r="AD1286" s="194">
        <f>IF(Mod_Prem&lt;25000,0.3%,0.125%)</f>
        <v>0.00125</v>
      </c>
      <c r="AE1286" s="194">
        <f>IF(Mod_Prem&lt;25000,0.3%,0.125%)</f>
        <v>0.00125</v>
      </c>
      <c r="AF1286" s="36"/>
      <c r="AG1286" s="36"/>
      <c r="AH1286" s="36"/>
      <c r="AI1286" s="36"/>
      <c r="AJ1286" s="36"/>
    </row>
    <row r="1287" ht="15.75" customHeight="1">
      <c r="A1287" s="12"/>
      <c r="B1287" s="390"/>
      <c r="C1287" s="390"/>
      <c r="D1287" s="390"/>
      <c r="E1287" s="121"/>
      <c r="F1287" s="121"/>
      <c r="G1287" s="121"/>
      <c r="H1287" s="121"/>
      <c r="I1287" s="121"/>
      <c r="J1287" s="121"/>
      <c r="K1287" s="121"/>
      <c r="L1287" s="121"/>
      <c r="M1287" s="121"/>
      <c r="N1287" s="121"/>
      <c r="O1287" s="121"/>
      <c r="P1287" s="121"/>
      <c r="Q1287" s="121"/>
      <c r="R1287" s="121"/>
      <c r="S1287" s="121"/>
      <c r="T1287" s="121"/>
      <c r="U1287" s="121"/>
      <c r="V1287" s="121"/>
      <c r="W1287" s="121"/>
      <c r="X1287" s="121"/>
      <c r="Y1287" s="121"/>
      <c r="Z1287" s="121"/>
      <c r="AA1287" s="121"/>
      <c r="AB1287" s="121"/>
      <c r="AC1287" s="121"/>
      <c r="AD1287" s="121"/>
      <c r="AE1287" s="121"/>
      <c r="AF1287" s="36"/>
      <c r="AG1287" s="36"/>
      <c r="AH1287" s="36"/>
      <c r="AI1287" s="36"/>
      <c r="AJ1287" s="36"/>
    </row>
    <row r="1288" ht="15.75" customHeight="1">
      <c r="A1288" s="242" t="s">
        <v>1711</v>
      </c>
      <c r="B1288" s="390"/>
      <c r="C1288" s="390"/>
      <c r="D1288" s="390"/>
      <c r="E1288" s="121"/>
      <c r="F1288" s="121"/>
      <c r="G1288" s="121"/>
      <c r="H1288" s="121"/>
      <c r="I1288" s="121"/>
      <c r="J1288" s="121"/>
      <c r="K1288" s="121"/>
      <c r="L1288" s="121"/>
      <c r="M1288" s="121"/>
      <c r="N1288" s="121"/>
      <c r="O1288" s="121"/>
      <c r="P1288" s="121"/>
      <c r="Q1288" s="121"/>
      <c r="R1288" s="121"/>
      <c r="S1288" s="121"/>
      <c r="T1288" s="121"/>
      <c r="U1288" s="121"/>
      <c r="V1288" s="121"/>
      <c r="W1288" s="121"/>
      <c r="X1288" s="121"/>
      <c r="Y1288" s="121"/>
      <c r="Z1288" s="121"/>
      <c r="AA1288" s="121"/>
      <c r="AB1288" s="121"/>
      <c r="AC1288" s="121"/>
      <c r="AD1288" s="121"/>
      <c r="AE1288" s="121"/>
      <c r="AF1288" s="36"/>
      <c r="AG1288" s="36"/>
      <c r="AH1288" s="36"/>
      <c r="AI1288" s="36"/>
      <c r="AJ1288" s="36"/>
    </row>
    <row r="1289" ht="15.75" customHeight="1">
      <c r="A1289" s="12"/>
      <c r="B1289" s="390"/>
      <c r="C1289" s="390"/>
      <c r="D1289" s="390"/>
      <c r="E1289" s="121"/>
      <c r="F1289" s="121"/>
      <c r="G1289" s="121"/>
      <c r="H1289" s="121"/>
      <c r="I1289" s="121"/>
      <c r="J1289" s="121"/>
      <c r="K1289" s="121"/>
      <c r="L1289" s="121"/>
      <c r="M1289" s="121"/>
      <c r="N1289" s="121"/>
      <c r="O1289" s="121"/>
      <c r="P1289" s="121"/>
      <c r="Q1289" s="121"/>
      <c r="R1289" s="121"/>
      <c r="S1289" s="121"/>
      <c r="T1289" s="121"/>
      <c r="U1289" s="121"/>
      <c r="V1289" s="121"/>
      <c r="W1289" s="121"/>
      <c r="X1289" s="121"/>
      <c r="Y1289" s="121"/>
      <c r="Z1289" s="121"/>
      <c r="AA1289" s="121"/>
      <c r="AB1289" s="121"/>
      <c r="AC1289" s="121"/>
      <c r="AD1289" s="121"/>
      <c r="AE1289" s="121"/>
      <c r="AF1289" s="36"/>
      <c r="AG1289" s="36"/>
      <c r="AH1289" s="36"/>
      <c r="AI1289" s="36"/>
      <c r="AJ1289" s="36"/>
    </row>
    <row r="1290" ht="15.75" customHeight="1">
      <c r="A1290" s="36" t="s">
        <v>215</v>
      </c>
      <c r="B1290" s="36">
        <v>1.0</v>
      </c>
      <c r="C1290" s="36">
        <v>2.0</v>
      </c>
      <c r="D1290" s="36">
        <v>3.0</v>
      </c>
      <c r="E1290" s="36">
        <v>4.0</v>
      </c>
      <c r="F1290" s="36">
        <v>5.0</v>
      </c>
      <c r="G1290" s="36">
        <v>6.0</v>
      </c>
      <c r="H1290" s="36">
        <v>7.0</v>
      </c>
      <c r="I1290" s="36">
        <v>8.0</v>
      </c>
      <c r="J1290" s="36">
        <v>9.0</v>
      </c>
      <c r="K1290" s="36">
        <v>10.0</v>
      </c>
      <c r="L1290" s="36">
        <v>11.0</v>
      </c>
      <c r="M1290" s="36">
        <v>12.0</v>
      </c>
      <c r="N1290" s="36">
        <v>13.0</v>
      </c>
      <c r="O1290" s="36">
        <v>14.0</v>
      </c>
      <c r="P1290" s="36">
        <v>15.0</v>
      </c>
      <c r="Q1290" s="36">
        <v>16.0</v>
      </c>
      <c r="R1290" s="36">
        <v>17.0</v>
      </c>
      <c r="S1290" s="36">
        <v>18.0</v>
      </c>
      <c r="T1290" s="36">
        <v>19.0</v>
      </c>
      <c r="U1290" s="36">
        <v>20.0</v>
      </c>
      <c r="V1290" s="36">
        <v>21.0</v>
      </c>
      <c r="W1290" s="36">
        <v>22.0</v>
      </c>
      <c r="X1290" s="36">
        <v>23.0</v>
      </c>
      <c r="Y1290" s="36">
        <v>24.0</v>
      </c>
      <c r="Z1290" s="36">
        <v>25.0</v>
      </c>
      <c r="AA1290" s="36">
        <v>26.0</v>
      </c>
      <c r="AB1290" s="36">
        <v>27.0</v>
      </c>
      <c r="AC1290" s="36">
        <v>28.0</v>
      </c>
      <c r="AD1290" s="36">
        <v>29.0</v>
      </c>
      <c r="AE1290" s="36">
        <v>30.0</v>
      </c>
      <c r="AF1290" s="36"/>
      <c r="AG1290" s="36"/>
      <c r="AH1290" s="36"/>
      <c r="AI1290" s="36"/>
      <c r="AJ1290" s="36"/>
    </row>
    <row r="1291" ht="15.75" customHeight="1">
      <c r="A1291" s="12" t="s">
        <v>217</v>
      </c>
      <c r="B1291" s="401">
        <v>35.0</v>
      </c>
      <c r="C1291" s="401">
        <v>35.0</v>
      </c>
      <c r="D1291" s="401">
        <v>35.0</v>
      </c>
      <c r="E1291" s="401">
        <v>35.0</v>
      </c>
      <c r="F1291" s="401">
        <v>35.0</v>
      </c>
      <c r="G1291" s="401">
        <v>35.0</v>
      </c>
      <c r="H1291" s="401">
        <v>35.0</v>
      </c>
      <c r="I1291" s="401">
        <v>35.0</v>
      </c>
      <c r="J1291" s="401">
        <v>35.0</v>
      </c>
      <c r="K1291" s="401">
        <v>35.0</v>
      </c>
      <c r="L1291" s="401">
        <v>35.0</v>
      </c>
      <c r="M1291" s="401">
        <v>35.0</v>
      </c>
      <c r="N1291" s="401">
        <v>35.0</v>
      </c>
      <c r="O1291" s="401">
        <v>35.0</v>
      </c>
      <c r="P1291" s="401">
        <v>35.0</v>
      </c>
      <c r="Q1291" s="401">
        <v>35.0</v>
      </c>
      <c r="R1291" s="401">
        <v>35.0</v>
      </c>
      <c r="S1291" s="401">
        <v>35.0</v>
      </c>
      <c r="T1291" s="401">
        <v>35.0</v>
      </c>
      <c r="U1291" s="401">
        <v>35.0</v>
      </c>
      <c r="V1291" s="401">
        <v>35.0</v>
      </c>
      <c r="W1291" s="401">
        <v>35.0</v>
      </c>
      <c r="X1291" s="401">
        <v>35.0</v>
      </c>
      <c r="Y1291" s="401">
        <v>35.0</v>
      </c>
      <c r="Z1291" s="401">
        <v>35.0</v>
      </c>
      <c r="AA1291" s="401">
        <v>35.0</v>
      </c>
      <c r="AB1291" s="401">
        <v>35.0</v>
      </c>
      <c r="AC1291" s="401">
        <v>35.0</v>
      </c>
      <c r="AD1291" s="401">
        <v>35.0</v>
      </c>
      <c r="AE1291" s="401">
        <v>35.0</v>
      </c>
      <c r="AF1291" s="36"/>
      <c r="AG1291" s="36"/>
      <c r="AH1291" s="36"/>
      <c r="AI1291" s="36"/>
      <c r="AJ1291" s="36"/>
    </row>
    <row r="1292" ht="15.75" customHeight="1">
      <c r="A1292" s="12" t="s">
        <v>218</v>
      </c>
      <c r="B1292" s="121">
        <v>0.0</v>
      </c>
      <c r="C1292" s="121">
        <v>0.0</v>
      </c>
      <c r="D1292" s="121">
        <v>0.0</v>
      </c>
      <c r="E1292" s="121">
        <v>0.0</v>
      </c>
      <c r="F1292" s="121">
        <v>0.0</v>
      </c>
      <c r="G1292" s="121">
        <v>0.0</v>
      </c>
      <c r="H1292" s="121">
        <v>0.0</v>
      </c>
      <c r="I1292" s="121">
        <v>0.0</v>
      </c>
      <c r="J1292" s="121">
        <v>0.0</v>
      </c>
      <c r="K1292" s="121">
        <v>0.0</v>
      </c>
      <c r="L1292" s="121">
        <v>0.0</v>
      </c>
      <c r="M1292" s="121">
        <v>0.0</v>
      </c>
      <c r="N1292" s="121">
        <v>0.0</v>
      </c>
      <c r="O1292" s="121">
        <v>0.0</v>
      </c>
      <c r="P1292" s="121">
        <v>0.0</v>
      </c>
      <c r="Q1292" s="121">
        <v>0.0</v>
      </c>
      <c r="R1292" s="121">
        <v>0.0</v>
      </c>
      <c r="S1292" s="121">
        <v>0.0</v>
      </c>
      <c r="T1292" s="121">
        <v>0.0</v>
      </c>
      <c r="U1292" s="121">
        <v>0.0</v>
      </c>
      <c r="V1292" s="121">
        <v>0.0</v>
      </c>
      <c r="W1292" s="121">
        <v>0.0</v>
      </c>
      <c r="X1292" s="121">
        <v>0.0</v>
      </c>
      <c r="Y1292" s="121">
        <v>0.0</v>
      </c>
      <c r="Z1292" s="121">
        <v>0.0</v>
      </c>
      <c r="AA1292" s="121">
        <v>0.0</v>
      </c>
      <c r="AB1292" s="121">
        <v>0.0</v>
      </c>
      <c r="AC1292" s="121">
        <v>0.0</v>
      </c>
      <c r="AD1292" s="121">
        <v>0.0</v>
      </c>
      <c r="AE1292" s="121">
        <v>0.0</v>
      </c>
      <c r="AF1292" s="36"/>
      <c r="AG1292" s="36"/>
      <c r="AH1292" s="36"/>
      <c r="AI1292" s="36"/>
      <c r="AJ1292" s="36"/>
    </row>
    <row r="1293" ht="15.75" customHeight="1">
      <c r="A1293" s="12"/>
      <c r="B1293" s="390"/>
      <c r="C1293" s="390"/>
      <c r="D1293" s="390"/>
      <c r="E1293" s="121"/>
      <c r="F1293" s="121"/>
      <c r="G1293" s="121"/>
      <c r="H1293" s="121"/>
      <c r="I1293" s="121"/>
      <c r="J1293" s="121"/>
      <c r="K1293" s="121"/>
      <c r="L1293" s="121"/>
      <c r="M1293" s="121"/>
      <c r="N1293" s="121"/>
      <c r="O1293" s="121"/>
      <c r="P1293" s="121"/>
      <c r="Q1293" s="121"/>
      <c r="R1293" s="121"/>
      <c r="S1293" s="121"/>
      <c r="T1293" s="121"/>
      <c r="U1293" s="121"/>
      <c r="V1293" s="121"/>
      <c r="W1293" s="121"/>
      <c r="X1293" s="121"/>
      <c r="Y1293" s="121"/>
      <c r="Z1293" s="121"/>
      <c r="AA1293" s="121"/>
      <c r="AB1293" s="121"/>
      <c r="AC1293" s="121"/>
      <c r="AD1293" s="121"/>
      <c r="AE1293" s="121"/>
      <c r="AF1293" s="36"/>
      <c r="AG1293" s="36"/>
      <c r="AH1293" s="36"/>
      <c r="AI1293" s="36"/>
      <c r="AJ1293" s="36"/>
    </row>
    <row r="1294" ht="15.75" customHeight="1">
      <c r="A1294" s="242" t="s">
        <v>1719</v>
      </c>
      <c r="B1294" s="390"/>
      <c r="C1294" s="390"/>
      <c r="D1294" s="390"/>
      <c r="E1294" s="121"/>
      <c r="F1294" s="121"/>
      <c r="G1294" s="121"/>
      <c r="H1294" s="121"/>
      <c r="I1294" s="121"/>
      <c r="J1294" s="121"/>
      <c r="K1294" s="121"/>
      <c r="L1294" s="121"/>
      <c r="M1294" s="121"/>
      <c r="N1294" s="121"/>
      <c r="O1294" s="121"/>
      <c r="P1294" s="121"/>
      <c r="Q1294" s="121"/>
      <c r="R1294" s="121"/>
      <c r="S1294" s="121"/>
      <c r="T1294" s="121"/>
      <c r="U1294" s="121"/>
      <c r="V1294" s="121"/>
      <c r="W1294" s="121"/>
      <c r="X1294" s="121"/>
      <c r="Y1294" s="121"/>
      <c r="Z1294" s="121"/>
      <c r="AA1294" s="121"/>
      <c r="AB1294" s="121"/>
      <c r="AC1294" s="121"/>
      <c r="AD1294" s="121"/>
      <c r="AE1294" s="121"/>
      <c r="AF1294" s="36"/>
      <c r="AG1294" s="36"/>
      <c r="AH1294" s="36"/>
      <c r="AI1294" s="36"/>
      <c r="AJ1294" s="36"/>
    </row>
    <row r="1295" ht="15.75" customHeight="1">
      <c r="A1295" s="12"/>
      <c r="B1295" s="390"/>
      <c r="C1295" s="390"/>
      <c r="D1295" s="390"/>
      <c r="E1295" s="121"/>
      <c r="F1295" s="121"/>
      <c r="G1295" s="121"/>
      <c r="H1295" s="121"/>
      <c r="I1295" s="121"/>
      <c r="J1295" s="121"/>
      <c r="K1295" s="121"/>
      <c r="L1295" s="121"/>
      <c r="M1295" s="121"/>
      <c r="N1295" s="121"/>
      <c r="O1295" s="121"/>
      <c r="P1295" s="121"/>
      <c r="Q1295" s="121"/>
      <c r="R1295" s="121"/>
      <c r="S1295" s="121"/>
      <c r="T1295" s="121"/>
      <c r="U1295" s="121"/>
      <c r="V1295" s="121"/>
      <c r="W1295" s="121"/>
      <c r="X1295" s="121"/>
      <c r="Y1295" s="121"/>
      <c r="Z1295" s="121"/>
      <c r="AA1295" s="121"/>
      <c r="AB1295" s="121"/>
      <c r="AC1295" s="121"/>
      <c r="AD1295" s="121"/>
      <c r="AE1295" s="121"/>
      <c r="AF1295" s="36"/>
      <c r="AG1295" s="36"/>
      <c r="AH1295" s="36"/>
      <c r="AI1295" s="36"/>
      <c r="AJ1295" s="36"/>
    </row>
    <row r="1296" ht="15.75" customHeight="1">
      <c r="A1296" s="36" t="s">
        <v>215</v>
      </c>
      <c r="B1296" s="36">
        <v>1.0</v>
      </c>
      <c r="C1296" s="36">
        <v>2.0</v>
      </c>
      <c r="D1296" s="36">
        <v>3.0</v>
      </c>
      <c r="E1296" s="36">
        <v>4.0</v>
      </c>
      <c r="F1296" s="36">
        <v>5.0</v>
      </c>
      <c r="G1296" s="36">
        <v>6.0</v>
      </c>
      <c r="H1296" s="36">
        <v>7.0</v>
      </c>
      <c r="I1296" s="36">
        <v>8.0</v>
      </c>
      <c r="J1296" s="36">
        <v>9.0</v>
      </c>
      <c r="K1296" s="36">
        <v>10.0</v>
      </c>
      <c r="L1296" s="36">
        <v>11.0</v>
      </c>
      <c r="M1296" s="36">
        <v>12.0</v>
      </c>
      <c r="N1296" s="36">
        <v>13.0</v>
      </c>
      <c r="O1296" s="36">
        <v>14.0</v>
      </c>
      <c r="P1296" s="36">
        <v>15.0</v>
      </c>
      <c r="Q1296" s="36">
        <v>16.0</v>
      </c>
      <c r="R1296" s="36">
        <v>17.0</v>
      </c>
      <c r="S1296" s="36">
        <v>18.0</v>
      </c>
      <c r="T1296" s="36">
        <v>19.0</v>
      </c>
      <c r="U1296" s="36">
        <v>20.0</v>
      </c>
      <c r="V1296" s="36">
        <v>21.0</v>
      </c>
      <c r="W1296" s="36">
        <v>22.0</v>
      </c>
      <c r="X1296" s="36">
        <v>23.0</v>
      </c>
      <c r="Y1296" s="36">
        <v>24.0</v>
      </c>
      <c r="Z1296" s="36">
        <v>25.0</v>
      </c>
      <c r="AA1296" s="36">
        <v>26.0</v>
      </c>
      <c r="AB1296" s="36">
        <v>27.0</v>
      </c>
      <c r="AC1296" s="36">
        <v>28.0</v>
      </c>
      <c r="AD1296" s="36">
        <v>29.0</v>
      </c>
      <c r="AE1296" s="36">
        <v>30.0</v>
      </c>
      <c r="AF1296" s="36"/>
      <c r="AG1296" s="36"/>
      <c r="AH1296" s="36"/>
      <c r="AI1296" s="36"/>
      <c r="AJ1296" s="36"/>
    </row>
    <row r="1297" ht="15.75" customHeight="1">
      <c r="A1297" s="12" t="s">
        <v>217</v>
      </c>
      <c r="B1297" s="401">
        <v>0.0</v>
      </c>
      <c r="C1297" s="401">
        <v>0.0</v>
      </c>
      <c r="D1297" s="401">
        <v>0.0</v>
      </c>
      <c r="E1297" s="401">
        <v>0.0</v>
      </c>
      <c r="F1297" s="401">
        <v>0.0</v>
      </c>
      <c r="G1297" s="401">
        <v>0.0</v>
      </c>
      <c r="H1297" s="401">
        <v>0.0</v>
      </c>
      <c r="I1297" s="401">
        <v>0.0</v>
      </c>
      <c r="J1297" s="401">
        <v>0.0</v>
      </c>
      <c r="K1297" s="401">
        <v>0.0</v>
      </c>
      <c r="L1297" s="401">
        <v>0.0</v>
      </c>
      <c r="M1297" s="401">
        <v>0.0</v>
      </c>
      <c r="N1297" s="401">
        <v>0.0</v>
      </c>
      <c r="O1297" s="401">
        <v>0.0</v>
      </c>
      <c r="P1297" s="401">
        <v>0.0</v>
      </c>
      <c r="Q1297" s="401">
        <v>0.0</v>
      </c>
      <c r="R1297" s="401">
        <v>0.0</v>
      </c>
      <c r="S1297" s="401">
        <v>0.0</v>
      </c>
      <c r="T1297" s="401">
        <v>0.0</v>
      </c>
      <c r="U1297" s="401">
        <v>0.0</v>
      </c>
      <c r="V1297" s="401">
        <v>0.0</v>
      </c>
      <c r="W1297" s="401">
        <v>0.0</v>
      </c>
      <c r="X1297" s="401">
        <v>0.0</v>
      </c>
      <c r="Y1297" s="401">
        <v>0.0</v>
      </c>
      <c r="Z1297" s="401">
        <v>0.0</v>
      </c>
      <c r="AA1297" s="401">
        <v>0.0</v>
      </c>
      <c r="AB1297" s="401">
        <v>0.0</v>
      </c>
      <c r="AC1297" s="401">
        <v>0.0</v>
      </c>
      <c r="AD1297" s="401">
        <v>0.0</v>
      </c>
      <c r="AE1297" s="401">
        <v>0.0</v>
      </c>
      <c r="AF1297" s="36"/>
      <c r="AG1297" s="36"/>
      <c r="AH1297" s="36"/>
      <c r="AI1297" s="36"/>
      <c r="AJ1297" s="36"/>
    </row>
    <row r="1298" ht="15.75" customHeight="1">
      <c r="A1298" s="12" t="s">
        <v>218</v>
      </c>
      <c r="B1298" s="194">
        <v>0.001</v>
      </c>
      <c r="C1298" s="194">
        <v>0.001</v>
      </c>
      <c r="D1298" s="194">
        <v>0.001</v>
      </c>
      <c r="E1298" s="194">
        <v>0.001</v>
      </c>
      <c r="F1298" s="194">
        <v>0.001</v>
      </c>
      <c r="G1298" s="194">
        <v>0.0</v>
      </c>
      <c r="H1298" s="194">
        <v>0.0</v>
      </c>
      <c r="I1298" s="194">
        <v>0.0</v>
      </c>
      <c r="J1298" s="194">
        <v>0.0</v>
      </c>
      <c r="K1298" s="194">
        <v>0.0</v>
      </c>
      <c r="L1298" s="194">
        <v>0.0</v>
      </c>
      <c r="M1298" s="194">
        <v>0.0</v>
      </c>
      <c r="N1298" s="194">
        <v>0.0</v>
      </c>
      <c r="O1298" s="194">
        <v>0.0</v>
      </c>
      <c r="P1298" s="194">
        <v>0.0</v>
      </c>
      <c r="Q1298" s="194">
        <v>0.0</v>
      </c>
      <c r="R1298" s="194">
        <v>0.0</v>
      </c>
      <c r="S1298" s="194">
        <v>0.0</v>
      </c>
      <c r="T1298" s="194">
        <v>0.0</v>
      </c>
      <c r="U1298" s="194">
        <v>0.0</v>
      </c>
      <c r="V1298" s="194">
        <v>0.0</v>
      </c>
      <c r="W1298" s="194">
        <v>0.0</v>
      </c>
      <c r="X1298" s="194">
        <v>0.0</v>
      </c>
      <c r="Y1298" s="194">
        <v>0.0</v>
      </c>
      <c r="Z1298" s="194">
        <v>0.0</v>
      </c>
      <c r="AA1298" s="194">
        <v>0.0</v>
      </c>
      <c r="AB1298" s="194">
        <v>0.0</v>
      </c>
      <c r="AC1298" s="194">
        <v>0.0</v>
      </c>
      <c r="AD1298" s="194">
        <v>0.0</v>
      </c>
      <c r="AE1298" s="194">
        <v>0.0</v>
      </c>
      <c r="AF1298" s="36"/>
      <c r="AG1298" s="36"/>
      <c r="AH1298" s="36"/>
      <c r="AI1298" s="36"/>
      <c r="AJ1298" s="36"/>
    </row>
    <row r="1299" ht="15.75" customHeight="1">
      <c r="A1299" s="12"/>
      <c r="B1299" s="390"/>
      <c r="C1299" s="390"/>
      <c r="D1299" s="390"/>
      <c r="E1299" s="121"/>
      <c r="F1299" s="121"/>
      <c r="G1299" s="121"/>
      <c r="H1299" s="121"/>
      <c r="I1299" s="121"/>
      <c r="J1299" s="121"/>
      <c r="K1299" s="121"/>
      <c r="L1299" s="121"/>
      <c r="M1299" s="121"/>
      <c r="N1299" s="121"/>
      <c r="O1299" s="121"/>
      <c r="P1299" s="121"/>
      <c r="Q1299" s="121"/>
      <c r="R1299" s="121"/>
      <c r="S1299" s="121"/>
      <c r="T1299" s="121"/>
      <c r="U1299" s="121"/>
      <c r="V1299" s="121"/>
      <c r="W1299" s="121"/>
      <c r="X1299" s="121"/>
      <c r="Y1299" s="121"/>
      <c r="Z1299" s="121"/>
      <c r="AA1299" s="121"/>
      <c r="AB1299" s="121"/>
      <c r="AC1299" s="121"/>
      <c r="AD1299" s="121"/>
      <c r="AE1299" s="121"/>
      <c r="AF1299" s="36"/>
      <c r="AG1299" s="36"/>
      <c r="AH1299" s="36"/>
      <c r="AI1299" s="36"/>
      <c r="AJ1299" s="36"/>
    </row>
    <row r="1300" ht="15.75" customHeight="1">
      <c r="A1300" s="242" t="s">
        <v>1730</v>
      </c>
      <c r="B1300" s="390"/>
      <c r="C1300" s="390"/>
      <c r="D1300" s="390"/>
      <c r="E1300" s="121"/>
      <c r="F1300" s="121"/>
      <c r="G1300" s="121"/>
      <c r="H1300" s="121"/>
      <c r="I1300" s="121"/>
      <c r="J1300" s="121"/>
      <c r="K1300" s="121"/>
      <c r="L1300" s="121"/>
      <c r="M1300" s="121"/>
      <c r="N1300" s="121"/>
      <c r="O1300" s="121"/>
      <c r="P1300" s="121"/>
      <c r="Q1300" s="121"/>
      <c r="R1300" s="121"/>
      <c r="S1300" s="121"/>
      <c r="T1300" s="121"/>
      <c r="U1300" s="121"/>
      <c r="V1300" s="121"/>
      <c r="W1300" s="121"/>
      <c r="X1300" s="121"/>
      <c r="Y1300" s="121"/>
      <c r="Z1300" s="121"/>
      <c r="AA1300" s="121"/>
      <c r="AB1300" s="121"/>
      <c r="AC1300" s="121"/>
      <c r="AD1300" s="121"/>
      <c r="AE1300" s="121"/>
      <c r="AF1300" s="36"/>
      <c r="AG1300" s="36"/>
      <c r="AH1300" s="36"/>
      <c r="AI1300" s="36"/>
      <c r="AJ1300" s="36"/>
    </row>
    <row r="1301" ht="15.75" customHeight="1">
      <c r="A1301" s="12"/>
      <c r="B1301" s="390"/>
      <c r="C1301" s="390"/>
      <c r="D1301" s="390"/>
      <c r="E1301" s="121"/>
      <c r="F1301" s="121"/>
      <c r="G1301" s="121"/>
      <c r="H1301" s="121"/>
      <c r="I1301" s="121"/>
      <c r="J1301" s="121"/>
      <c r="K1301" s="121"/>
      <c r="L1301" s="121"/>
      <c r="M1301" s="121"/>
      <c r="N1301" s="121"/>
      <c r="O1301" s="121"/>
      <c r="P1301" s="121"/>
      <c r="Q1301" s="121"/>
      <c r="R1301" s="121"/>
      <c r="S1301" s="121"/>
      <c r="T1301" s="121"/>
      <c r="U1301" s="121"/>
      <c r="V1301" s="121"/>
      <c r="W1301" s="121"/>
      <c r="X1301" s="121"/>
      <c r="Y1301" s="121"/>
      <c r="Z1301" s="121"/>
      <c r="AA1301" s="121"/>
      <c r="AB1301" s="121"/>
      <c r="AC1301" s="121"/>
      <c r="AD1301" s="121"/>
      <c r="AE1301" s="121"/>
      <c r="AF1301" s="36"/>
      <c r="AG1301" s="36"/>
      <c r="AH1301" s="36"/>
      <c r="AI1301" s="36"/>
      <c r="AJ1301" s="36"/>
    </row>
    <row r="1302" ht="15.75" customHeight="1">
      <c r="A1302" s="36" t="s">
        <v>215</v>
      </c>
      <c r="B1302" s="36">
        <v>1.0</v>
      </c>
      <c r="C1302" s="36">
        <v>2.0</v>
      </c>
      <c r="D1302" s="36">
        <v>3.0</v>
      </c>
      <c r="E1302" s="36">
        <v>4.0</v>
      </c>
      <c r="F1302" s="36">
        <v>5.0</v>
      </c>
      <c r="G1302" s="36">
        <v>6.0</v>
      </c>
      <c r="H1302" s="36">
        <v>7.0</v>
      </c>
      <c r="I1302" s="36">
        <v>8.0</v>
      </c>
      <c r="J1302" s="36">
        <v>9.0</v>
      </c>
      <c r="K1302" s="36">
        <v>10.0</v>
      </c>
      <c r="L1302" s="36">
        <v>11.0</v>
      </c>
      <c r="M1302" s="36">
        <v>12.0</v>
      </c>
      <c r="N1302" s="36">
        <v>13.0</v>
      </c>
      <c r="O1302" s="36">
        <v>14.0</v>
      </c>
      <c r="P1302" s="36">
        <v>15.0</v>
      </c>
      <c r="Q1302" s="36">
        <v>16.0</v>
      </c>
      <c r="R1302" s="36">
        <v>17.0</v>
      </c>
      <c r="S1302" s="36">
        <v>18.0</v>
      </c>
      <c r="T1302" s="36">
        <v>19.0</v>
      </c>
      <c r="U1302" s="36">
        <v>20.0</v>
      </c>
      <c r="V1302" s="36">
        <v>21.0</v>
      </c>
      <c r="W1302" s="36">
        <v>22.0</v>
      </c>
      <c r="X1302" s="36">
        <v>23.0</v>
      </c>
      <c r="Y1302" s="36">
        <v>24.0</v>
      </c>
      <c r="Z1302" s="36">
        <v>25.0</v>
      </c>
      <c r="AA1302" s="36">
        <v>26.0</v>
      </c>
      <c r="AB1302" s="36">
        <v>27.0</v>
      </c>
      <c r="AC1302" s="36">
        <v>28.0</v>
      </c>
      <c r="AD1302" s="36">
        <v>29.0</v>
      </c>
      <c r="AE1302" s="36">
        <v>30.0</v>
      </c>
      <c r="AF1302" s="36"/>
      <c r="AG1302" s="36"/>
      <c r="AH1302" s="36"/>
      <c r="AI1302" s="36"/>
      <c r="AJ1302" s="36"/>
    </row>
    <row r="1303" ht="15.75" customHeight="1">
      <c r="A1303" s="12" t="s">
        <v>217</v>
      </c>
      <c r="B1303" s="401">
        <v>10.0</v>
      </c>
      <c r="C1303" s="401">
        <v>10.0</v>
      </c>
      <c r="D1303" s="401">
        <v>10.0</v>
      </c>
      <c r="E1303" s="401">
        <v>10.0</v>
      </c>
      <c r="F1303" s="401">
        <v>10.0</v>
      </c>
      <c r="G1303" s="401">
        <v>35.0</v>
      </c>
      <c r="H1303" s="401">
        <v>35.0</v>
      </c>
      <c r="I1303" s="401">
        <v>35.0</v>
      </c>
      <c r="J1303" s="401">
        <v>35.0</v>
      </c>
      <c r="K1303" s="401">
        <v>35.0</v>
      </c>
      <c r="L1303" s="401">
        <v>35.0</v>
      </c>
      <c r="M1303" s="401">
        <v>35.0</v>
      </c>
      <c r="N1303" s="401">
        <v>35.0</v>
      </c>
      <c r="O1303" s="401">
        <v>35.0</v>
      </c>
      <c r="P1303" s="401">
        <v>35.0</v>
      </c>
      <c r="Q1303" s="401">
        <v>35.0</v>
      </c>
      <c r="R1303" s="401">
        <v>35.0</v>
      </c>
      <c r="S1303" s="401">
        <v>35.0</v>
      </c>
      <c r="T1303" s="401">
        <v>35.0</v>
      </c>
      <c r="U1303" s="401">
        <v>35.0</v>
      </c>
      <c r="V1303" s="401">
        <v>35.0</v>
      </c>
      <c r="W1303" s="401">
        <v>35.0</v>
      </c>
      <c r="X1303" s="401">
        <v>35.0</v>
      </c>
      <c r="Y1303" s="401">
        <v>35.0</v>
      </c>
      <c r="Z1303" s="401">
        <v>35.0</v>
      </c>
      <c r="AA1303" s="401">
        <v>35.0</v>
      </c>
      <c r="AB1303" s="401">
        <v>35.0</v>
      </c>
      <c r="AC1303" s="401">
        <v>35.0</v>
      </c>
      <c r="AD1303" s="401">
        <v>35.0</v>
      </c>
      <c r="AE1303" s="401">
        <v>35.0</v>
      </c>
      <c r="AF1303" s="36"/>
      <c r="AG1303" s="36"/>
      <c r="AH1303" s="36"/>
      <c r="AI1303" s="36"/>
      <c r="AJ1303" s="36"/>
    </row>
    <row r="1304" ht="15.75" customHeight="1">
      <c r="A1304" s="12" t="s">
        <v>218</v>
      </c>
      <c r="B1304" s="121">
        <v>0.0</v>
      </c>
      <c r="C1304" s="121">
        <v>0.0</v>
      </c>
      <c r="D1304" s="121">
        <v>0.0</v>
      </c>
      <c r="E1304" s="121">
        <v>0.0</v>
      </c>
      <c r="F1304" s="121">
        <v>0.0</v>
      </c>
      <c r="G1304" s="121">
        <v>0.0</v>
      </c>
      <c r="H1304" s="121">
        <v>0.0</v>
      </c>
      <c r="I1304" s="121">
        <v>0.0</v>
      </c>
      <c r="J1304" s="121">
        <v>0.0</v>
      </c>
      <c r="K1304" s="121">
        <v>0.0</v>
      </c>
      <c r="L1304" s="121">
        <v>0.0</v>
      </c>
      <c r="M1304" s="121">
        <v>0.0</v>
      </c>
      <c r="N1304" s="121">
        <v>0.0</v>
      </c>
      <c r="O1304" s="121">
        <v>0.0</v>
      </c>
      <c r="P1304" s="121">
        <v>0.0</v>
      </c>
      <c r="Q1304" s="121">
        <v>0.0</v>
      </c>
      <c r="R1304" s="121">
        <v>0.0</v>
      </c>
      <c r="S1304" s="121">
        <v>0.0</v>
      </c>
      <c r="T1304" s="121">
        <v>0.0</v>
      </c>
      <c r="U1304" s="121">
        <v>0.0</v>
      </c>
      <c r="V1304" s="121">
        <v>0.0</v>
      </c>
      <c r="W1304" s="121">
        <v>0.0</v>
      </c>
      <c r="X1304" s="121">
        <v>0.0</v>
      </c>
      <c r="Y1304" s="121">
        <v>0.0</v>
      </c>
      <c r="Z1304" s="121">
        <v>0.0</v>
      </c>
      <c r="AA1304" s="121">
        <v>0.0</v>
      </c>
      <c r="AB1304" s="121">
        <v>0.0</v>
      </c>
      <c r="AC1304" s="121">
        <v>0.0</v>
      </c>
      <c r="AD1304" s="121">
        <v>0.0</v>
      </c>
      <c r="AE1304" s="121">
        <v>0.0</v>
      </c>
      <c r="AF1304" s="36"/>
      <c r="AG1304" s="36"/>
      <c r="AH1304" s="36"/>
      <c r="AI1304" s="36"/>
      <c r="AJ1304" s="36"/>
    </row>
    <row r="1305" ht="15.75" customHeight="1">
      <c r="A1305" s="12"/>
      <c r="B1305" s="390"/>
      <c r="C1305" s="390"/>
      <c r="D1305" s="390"/>
      <c r="E1305" s="121"/>
      <c r="F1305" s="121"/>
      <c r="G1305" s="121"/>
      <c r="H1305" s="121"/>
      <c r="I1305" s="121"/>
      <c r="J1305" s="121"/>
      <c r="K1305" s="121"/>
      <c r="L1305" s="121"/>
      <c r="M1305" s="121"/>
      <c r="N1305" s="121"/>
      <c r="O1305" s="121"/>
      <c r="P1305" s="121"/>
      <c r="Q1305" s="121"/>
      <c r="R1305" s="121"/>
      <c r="S1305" s="121"/>
      <c r="T1305" s="121"/>
      <c r="U1305" s="121"/>
      <c r="V1305" s="121"/>
      <c r="W1305" s="121"/>
      <c r="X1305" s="121"/>
      <c r="Y1305" s="121"/>
      <c r="Z1305" s="121"/>
      <c r="AA1305" s="121"/>
      <c r="AB1305" s="121"/>
      <c r="AC1305" s="121"/>
      <c r="AD1305" s="121"/>
      <c r="AE1305" s="121"/>
      <c r="AF1305" s="36"/>
      <c r="AG1305" s="36"/>
      <c r="AH1305" s="36"/>
      <c r="AI1305" s="36"/>
      <c r="AJ1305" s="36"/>
    </row>
    <row r="1306" ht="15.75" customHeight="1">
      <c r="A1306" s="242" t="s">
        <v>1736</v>
      </c>
      <c r="B1306" s="390"/>
      <c r="C1306" s="390"/>
      <c r="D1306" s="390"/>
      <c r="E1306" s="121"/>
      <c r="F1306" s="121"/>
      <c r="G1306" s="121"/>
      <c r="H1306" s="121"/>
      <c r="I1306" s="121"/>
      <c r="J1306" s="121"/>
      <c r="K1306" s="121"/>
      <c r="L1306" s="121"/>
      <c r="M1306" s="121"/>
      <c r="N1306" s="121"/>
      <c r="O1306" s="121"/>
      <c r="P1306" s="121"/>
      <c r="Q1306" s="121"/>
      <c r="R1306" s="121"/>
      <c r="S1306" s="121"/>
      <c r="T1306" s="121"/>
      <c r="U1306" s="121"/>
      <c r="V1306" s="121"/>
      <c r="W1306" s="121"/>
      <c r="X1306" s="121"/>
      <c r="Y1306" s="121"/>
      <c r="Z1306" s="121"/>
      <c r="AA1306" s="121"/>
      <c r="AB1306" s="121"/>
      <c r="AC1306" s="121"/>
      <c r="AD1306" s="121"/>
      <c r="AE1306" s="121"/>
      <c r="AF1306" s="36"/>
      <c r="AG1306" s="36"/>
      <c r="AH1306" s="36"/>
      <c r="AI1306" s="36"/>
      <c r="AJ1306" s="36"/>
    </row>
    <row r="1307" ht="15.75" customHeight="1">
      <c r="A1307" s="12"/>
      <c r="B1307" s="390"/>
      <c r="C1307" s="390"/>
      <c r="D1307" s="390"/>
      <c r="E1307" s="121"/>
      <c r="F1307" s="121"/>
      <c r="G1307" s="121"/>
      <c r="H1307" s="121"/>
      <c r="I1307" s="121"/>
      <c r="J1307" s="121"/>
      <c r="K1307" s="121"/>
      <c r="L1307" s="121"/>
      <c r="M1307" s="121"/>
      <c r="N1307" s="121"/>
      <c r="O1307" s="121"/>
      <c r="P1307" s="121"/>
      <c r="Q1307" s="121"/>
      <c r="R1307" s="121"/>
      <c r="S1307" s="121"/>
      <c r="T1307" s="121"/>
      <c r="U1307" s="121"/>
      <c r="V1307" s="121"/>
      <c r="W1307" s="121"/>
      <c r="X1307" s="121"/>
      <c r="Y1307" s="121"/>
      <c r="Z1307" s="121"/>
      <c r="AA1307" s="121"/>
      <c r="AB1307" s="121"/>
      <c r="AC1307" s="121"/>
      <c r="AD1307" s="121"/>
      <c r="AE1307" s="121"/>
      <c r="AF1307" s="36"/>
      <c r="AG1307" s="36"/>
      <c r="AH1307" s="36"/>
      <c r="AI1307" s="36"/>
      <c r="AJ1307" s="36"/>
    </row>
    <row r="1308" ht="15.75" customHeight="1">
      <c r="A1308" s="36" t="s">
        <v>215</v>
      </c>
      <c r="B1308" s="36">
        <v>1.0</v>
      </c>
      <c r="C1308" s="36">
        <v>2.0</v>
      </c>
      <c r="D1308" s="36">
        <v>3.0</v>
      </c>
      <c r="E1308" s="36">
        <v>4.0</v>
      </c>
      <c r="F1308" s="36">
        <v>5.0</v>
      </c>
      <c r="G1308" s="36">
        <v>6.0</v>
      </c>
      <c r="H1308" s="36">
        <v>7.0</v>
      </c>
      <c r="I1308" s="36">
        <v>8.0</v>
      </c>
      <c r="J1308" s="36">
        <v>9.0</v>
      </c>
      <c r="K1308" s="36">
        <v>10.0</v>
      </c>
      <c r="L1308" s="36">
        <v>11.0</v>
      </c>
      <c r="M1308" s="36">
        <v>12.0</v>
      </c>
      <c r="N1308" s="36">
        <v>13.0</v>
      </c>
      <c r="O1308" s="36">
        <v>14.0</v>
      </c>
      <c r="P1308" s="36">
        <v>15.0</v>
      </c>
      <c r="Q1308" s="36">
        <v>16.0</v>
      </c>
      <c r="R1308" s="36">
        <v>17.0</v>
      </c>
      <c r="S1308" s="36">
        <v>18.0</v>
      </c>
      <c r="T1308" s="36">
        <v>19.0</v>
      </c>
      <c r="U1308" s="36">
        <v>20.0</v>
      </c>
      <c r="V1308" s="36">
        <v>21.0</v>
      </c>
      <c r="W1308" s="36">
        <v>22.0</v>
      </c>
      <c r="X1308" s="36">
        <v>23.0</v>
      </c>
      <c r="Y1308" s="36">
        <v>24.0</v>
      </c>
      <c r="Z1308" s="36">
        <v>25.0</v>
      </c>
      <c r="AA1308" s="36">
        <v>26.0</v>
      </c>
      <c r="AB1308" s="36">
        <v>27.0</v>
      </c>
      <c r="AC1308" s="36">
        <v>28.0</v>
      </c>
      <c r="AD1308" s="36">
        <v>29.0</v>
      </c>
      <c r="AE1308" s="36">
        <v>30.0</v>
      </c>
      <c r="AF1308" s="36"/>
      <c r="AG1308" s="36"/>
      <c r="AH1308" s="36"/>
      <c r="AI1308" s="36"/>
      <c r="AJ1308" s="36"/>
    </row>
    <row r="1309" ht="15.75" customHeight="1">
      <c r="A1309" s="12" t="s">
        <v>217</v>
      </c>
      <c r="B1309" s="401">
        <v>100.0</v>
      </c>
      <c r="C1309" s="401">
        <v>100.0</v>
      </c>
      <c r="D1309" s="401">
        <v>100.0</v>
      </c>
      <c r="E1309" s="401">
        <v>100.0</v>
      </c>
      <c r="F1309" s="401">
        <v>100.0</v>
      </c>
      <c r="G1309" s="401">
        <v>100.0</v>
      </c>
      <c r="H1309" s="401">
        <v>100.0</v>
      </c>
      <c r="I1309" s="401">
        <v>100.0</v>
      </c>
      <c r="J1309" s="401">
        <v>100.0</v>
      </c>
      <c r="K1309" s="401">
        <v>100.0</v>
      </c>
      <c r="L1309" s="401">
        <v>100.0</v>
      </c>
      <c r="M1309" s="401">
        <v>100.0</v>
      </c>
      <c r="N1309" s="401">
        <v>100.0</v>
      </c>
      <c r="O1309" s="401">
        <v>100.0</v>
      </c>
      <c r="P1309" s="401">
        <v>100.0</v>
      </c>
      <c r="Q1309" s="401">
        <v>100.0</v>
      </c>
      <c r="R1309" s="401">
        <v>100.0</v>
      </c>
      <c r="S1309" s="401">
        <v>100.0</v>
      </c>
      <c r="T1309" s="401">
        <v>100.0</v>
      </c>
      <c r="U1309" s="401">
        <v>100.0</v>
      </c>
      <c r="V1309" s="401">
        <v>100.0</v>
      </c>
      <c r="W1309" s="401">
        <v>100.0</v>
      </c>
      <c r="X1309" s="401">
        <v>100.0</v>
      </c>
      <c r="Y1309" s="401">
        <v>100.0</v>
      </c>
      <c r="Z1309" s="401">
        <v>100.0</v>
      </c>
      <c r="AA1309" s="401">
        <v>100.0</v>
      </c>
      <c r="AB1309" s="401">
        <v>100.0</v>
      </c>
      <c r="AC1309" s="401">
        <v>100.0</v>
      </c>
      <c r="AD1309" s="401">
        <v>100.0</v>
      </c>
      <c r="AE1309" s="401">
        <v>100.0</v>
      </c>
      <c r="AF1309" s="36"/>
      <c r="AG1309" s="36"/>
      <c r="AH1309" s="36"/>
      <c r="AI1309" s="36"/>
      <c r="AJ1309" s="36"/>
    </row>
    <row r="1310" ht="15.75" customHeight="1">
      <c r="A1310" s="12" t="s">
        <v>218</v>
      </c>
      <c r="B1310" s="121">
        <v>0.0</v>
      </c>
      <c r="C1310" s="121">
        <v>0.0</v>
      </c>
      <c r="D1310" s="121">
        <v>0.0</v>
      </c>
      <c r="E1310" s="121">
        <v>0.0</v>
      </c>
      <c r="F1310" s="121">
        <v>0.0</v>
      </c>
      <c r="G1310" s="121">
        <v>0.0</v>
      </c>
      <c r="H1310" s="121">
        <v>0.0</v>
      </c>
      <c r="I1310" s="121">
        <v>0.0</v>
      </c>
      <c r="J1310" s="121">
        <v>0.0</v>
      </c>
      <c r="K1310" s="121">
        <v>0.0</v>
      </c>
      <c r="L1310" s="121">
        <v>0.0</v>
      </c>
      <c r="M1310" s="121">
        <v>0.0</v>
      </c>
      <c r="N1310" s="121">
        <v>0.0</v>
      </c>
      <c r="O1310" s="121">
        <v>0.0</v>
      </c>
      <c r="P1310" s="121">
        <v>0.0</v>
      </c>
      <c r="Q1310" s="121">
        <v>0.0</v>
      </c>
      <c r="R1310" s="121">
        <v>0.0</v>
      </c>
      <c r="S1310" s="121">
        <v>0.0</v>
      </c>
      <c r="T1310" s="121">
        <v>0.0</v>
      </c>
      <c r="U1310" s="121">
        <v>0.0</v>
      </c>
      <c r="V1310" s="121">
        <v>0.0</v>
      </c>
      <c r="W1310" s="121">
        <v>0.0</v>
      </c>
      <c r="X1310" s="121">
        <v>0.0</v>
      </c>
      <c r="Y1310" s="121">
        <v>0.0</v>
      </c>
      <c r="Z1310" s="121">
        <v>0.0</v>
      </c>
      <c r="AA1310" s="121">
        <v>0.0</v>
      </c>
      <c r="AB1310" s="121">
        <v>0.0</v>
      </c>
      <c r="AC1310" s="121">
        <v>0.0</v>
      </c>
      <c r="AD1310" s="121">
        <v>0.0</v>
      </c>
      <c r="AE1310" s="121">
        <v>0.0</v>
      </c>
      <c r="AF1310" s="36"/>
      <c r="AG1310" s="36"/>
      <c r="AH1310" s="36"/>
      <c r="AI1310" s="36"/>
      <c r="AJ1310" s="36"/>
    </row>
    <row r="1311" ht="15.75" customHeight="1">
      <c r="A1311" s="12"/>
      <c r="B1311" s="390"/>
      <c r="C1311" s="390"/>
      <c r="D1311" s="390"/>
      <c r="E1311" s="121"/>
      <c r="F1311" s="121"/>
      <c r="G1311" s="121"/>
      <c r="H1311" s="121"/>
      <c r="I1311" s="121"/>
      <c r="J1311" s="121"/>
      <c r="K1311" s="121"/>
      <c r="L1311" s="121"/>
      <c r="M1311" s="121"/>
      <c r="N1311" s="121"/>
      <c r="O1311" s="121"/>
      <c r="P1311" s="121"/>
      <c r="Q1311" s="121"/>
      <c r="R1311" s="121"/>
      <c r="S1311" s="121"/>
      <c r="T1311" s="121"/>
      <c r="U1311" s="121"/>
      <c r="V1311" s="121"/>
      <c r="W1311" s="121"/>
      <c r="X1311" s="121"/>
      <c r="Y1311" s="121"/>
      <c r="Z1311" s="121"/>
      <c r="AA1311" s="121"/>
      <c r="AB1311" s="121"/>
      <c r="AC1311" s="121"/>
      <c r="AD1311" s="121"/>
      <c r="AE1311" s="121"/>
      <c r="AF1311" s="36"/>
      <c r="AG1311" s="36"/>
      <c r="AH1311" s="36"/>
      <c r="AI1311" s="36"/>
      <c r="AJ1311" s="36"/>
    </row>
    <row r="1312" ht="15.75" customHeight="1">
      <c r="A1312" s="112" t="s">
        <v>1742</v>
      </c>
      <c r="B1312" s="390"/>
      <c r="C1312" s="390"/>
      <c r="D1312" s="390"/>
      <c r="E1312" s="121"/>
      <c r="F1312" s="121"/>
      <c r="G1312" s="121"/>
      <c r="H1312" s="121"/>
      <c r="I1312" s="121"/>
      <c r="J1312" s="121"/>
      <c r="K1312" s="121"/>
      <c r="L1312" s="121"/>
      <c r="M1312" s="121"/>
      <c r="N1312" s="121"/>
      <c r="O1312" s="121"/>
      <c r="P1312" s="121"/>
      <c r="Q1312" s="121"/>
      <c r="R1312" s="121"/>
      <c r="S1312" s="121"/>
      <c r="T1312" s="121"/>
      <c r="U1312" s="121"/>
      <c r="V1312" s="121"/>
      <c r="W1312" s="121"/>
      <c r="X1312" s="121"/>
      <c r="Y1312" s="121"/>
      <c r="Z1312" s="121"/>
      <c r="AA1312" s="121"/>
      <c r="AB1312" s="121"/>
      <c r="AC1312" s="121"/>
      <c r="AD1312" s="121"/>
      <c r="AE1312" s="121"/>
      <c r="AF1312" s="36"/>
      <c r="AG1312" s="36"/>
      <c r="AH1312" s="36"/>
      <c r="AI1312" s="36"/>
      <c r="AJ1312" s="36"/>
    </row>
    <row r="1313" ht="15.75" customHeight="1">
      <c r="A1313" s="12"/>
      <c r="B1313" s="390"/>
      <c r="C1313" s="390"/>
      <c r="D1313" s="390"/>
      <c r="E1313" s="121"/>
      <c r="F1313" s="121"/>
      <c r="G1313" s="121"/>
      <c r="H1313" s="121"/>
      <c r="I1313" s="121"/>
      <c r="J1313" s="121"/>
      <c r="K1313" s="121"/>
      <c r="L1313" s="121"/>
      <c r="M1313" s="121"/>
      <c r="N1313" s="121"/>
      <c r="O1313" s="121"/>
      <c r="P1313" s="121"/>
      <c r="Q1313" s="121"/>
      <c r="R1313" s="121"/>
      <c r="S1313" s="121"/>
      <c r="T1313" s="121"/>
      <c r="U1313" s="121"/>
      <c r="V1313" s="121"/>
      <c r="W1313" s="121"/>
      <c r="X1313" s="121"/>
      <c r="Y1313" s="121"/>
      <c r="Z1313" s="121"/>
      <c r="AA1313" s="121"/>
      <c r="AB1313" s="121"/>
      <c r="AC1313" s="121"/>
      <c r="AD1313" s="121"/>
      <c r="AE1313" s="121"/>
      <c r="AF1313" s="36"/>
      <c r="AG1313" s="36"/>
      <c r="AH1313" s="36"/>
      <c r="AI1313" s="36"/>
      <c r="AJ1313" s="36"/>
    </row>
    <row r="1314" ht="15.75" customHeight="1">
      <c r="A1314" s="36" t="s">
        <v>215</v>
      </c>
      <c r="B1314" s="36">
        <v>1.0</v>
      </c>
      <c r="C1314" s="36">
        <v>2.0</v>
      </c>
      <c r="D1314" s="36">
        <v>3.0</v>
      </c>
      <c r="E1314" s="36">
        <v>4.0</v>
      </c>
      <c r="F1314" s="36">
        <v>5.0</v>
      </c>
      <c r="G1314" s="36">
        <v>6.0</v>
      </c>
      <c r="H1314" s="36">
        <v>7.0</v>
      </c>
      <c r="I1314" s="36">
        <v>8.0</v>
      </c>
      <c r="J1314" s="36">
        <v>9.0</v>
      </c>
      <c r="K1314" s="36">
        <v>10.0</v>
      </c>
      <c r="L1314" s="36">
        <v>11.0</v>
      </c>
      <c r="M1314" s="36">
        <v>12.0</v>
      </c>
      <c r="N1314" s="36">
        <v>13.0</v>
      </c>
      <c r="O1314" s="36">
        <v>14.0</v>
      </c>
      <c r="P1314" s="36">
        <v>15.0</v>
      </c>
      <c r="Q1314" s="36">
        <v>16.0</v>
      </c>
      <c r="R1314" s="36">
        <v>17.0</v>
      </c>
      <c r="S1314" s="36">
        <v>18.0</v>
      </c>
      <c r="T1314" s="36">
        <v>19.0</v>
      </c>
      <c r="U1314" s="36">
        <v>20.0</v>
      </c>
      <c r="V1314" s="36">
        <v>21.0</v>
      </c>
      <c r="W1314" s="36">
        <v>22.0</v>
      </c>
      <c r="X1314" s="36">
        <v>23.0</v>
      </c>
      <c r="Y1314" s="36">
        <v>24.0</v>
      </c>
      <c r="Z1314" s="36">
        <v>25.0</v>
      </c>
      <c r="AA1314" s="36">
        <v>26.0</v>
      </c>
      <c r="AB1314" s="36">
        <v>27.0</v>
      </c>
      <c r="AC1314" s="36">
        <v>28.0</v>
      </c>
      <c r="AD1314" s="36">
        <v>29.0</v>
      </c>
      <c r="AE1314" s="36">
        <v>30.0</v>
      </c>
      <c r="AF1314" s="36"/>
      <c r="AG1314" s="36"/>
      <c r="AH1314" s="36"/>
      <c r="AI1314" s="36"/>
      <c r="AJ1314" s="36"/>
    </row>
    <row r="1315" ht="15.75" customHeight="1">
      <c r="A1315" s="12" t="s">
        <v>217</v>
      </c>
      <c r="B1315" s="401">
        <v>0.0</v>
      </c>
      <c r="C1315" s="401">
        <v>0.0</v>
      </c>
      <c r="D1315" s="401">
        <v>0.0</v>
      </c>
      <c r="E1315" s="401">
        <v>0.0</v>
      </c>
      <c r="F1315" s="401">
        <v>0.0</v>
      </c>
      <c r="G1315" s="401">
        <v>0.0</v>
      </c>
      <c r="H1315" s="401">
        <v>0.0</v>
      </c>
      <c r="I1315" s="401">
        <v>0.0</v>
      </c>
      <c r="J1315" s="401">
        <v>0.0</v>
      </c>
      <c r="K1315" s="401">
        <v>0.0</v>
      </c>
      <c r="L1315" s="401">
        <v>0.0</v>
      </c>
      <c r="M1315" s="401">
        <v>0.0</v>
      </c>
      <c r="N1315" s="401">
        <v>0.0</v>
      </c>
      <c r="O1315" s="401">
        <v>0.0</v>
      </c>
      <c r="P1315" s="401">
        <v>0.0</v>
      </c>
      <c r="Q1315" s="401">
        <v>0.0</v>
      </c>
      <c r="R1315" s="401">
        <v>0.0</v>
      </c>
      <c r="S1315" s="401">
        <v>0.0</v>
      </c>
      <c r="T1315" s="401">
        <v>0.0</v>
      </c>
      <c r="U1315" s="401">
        <v>0.0</v>
      </c>
      <c r="V1315" s="401">
        <v>0.0</v>
      </c>
      <c r="W1315" s="401">
        <v>0.0</v>
      </c>
      <c r="X1315" s="401">
        <v>0.0</v>
      </c>
      <c r="Y1315" s="401">
        <v>0.0</v>
      </c>
      <c r="Z1315" s="401">
        <v>0.0</v>
      </c>
      <c r="AA1315" s="401">
        <v>0.0</v>
      </c>
      <c r="AB1315" s="401">
        <v>0.0</v>
      </c>
      <c r="AC1315" s="401">
        <v>0.0</v>
      </c>
      <c r="AD1315" s="401">
        <v>0.0</v>
      </c>
      <c r="AE1315" s="401">
        <v>0.0</v>
      </c>
      <c r="AF1315" s="36"/>
      <c r="AG1315" s="36"/>
      <c r="AH1315" s="36"/>
      <c r="AI1315" s="36"/>
      <c r="AJ1315" s="36"/>
    </row>
    <row r="1316" ht="15.75" customHeight="1">
      <c r="A1316" s="12" t="s">
        <v>218</v>
      </c>
      <c r="B1316" s="194">
        <f>2.2%/12</f>
        <v>0.001833333333</v>
      </c>
      <c r="C1316" s="194">
        <f t="shared" ref="C1316:AE1316" si="105">B1316*1.03</f>
        <v>0.001888333333</v>
      </c>
      <c r="D1316" s="194">
        <f t="shared" si="105"/>
        <v>0.001944983333</v>
      </c>
      <c r="E1316" s="194">
        <f t="shared" si="105"/>
        <v>0.002003332833</v>
      </c>
      <c r="F1316" s="194">
        <f t="shared" si="105"/>
        <v>0.002063432818</v>
      </c>
      <c r="G1316" s="194">
        <f t="shared" si="105"/>
        <v>0.002125335803</v>
      </c>
      <c r="H1316" s="194">
        <f t="shared" si="105"/>
        <v>0.002189095877</v>
      </c>
      <c r="I1316" s="194">
        <f t="shared" si="105"/>
        <v>0.002254768753</v>
      </c>
      <c r="J1316" s="194">
        <f t="shared" si="105"/>
        <v>0.002322411816</v>
      </c>
      <c r="K1316" s="194">
        <f t="shared" si="105"/>
        <v>0.00239208417</v>
      </c>
      <c r="L1316" s="194">
        <f t="shared" si="105"/>
        <v>0.002463846695</v>
      </c>
      <c r="M1316" s="194">
        <f t="shared" si="105"/>
        <v>0.002537762096</v>
      </c>
      <c r="N1316" s="194">
        <f t="shared" si="105"/>
        <v>0.002613894959</v>
      </c>
      <c r="O1316" s="194">
        <f t="shared" si="105"/>
        <v>0.002692311808</v>
      </c>
      <c r="P1316" s="194">
        <f t="shared" si="105"/>
        <v>0.002773081162</v>
      </c>
      <c r="Q1316" s="194">
        <f t="shared" si="105"/>
        <v>0.002856273597</v>
      </c>
      <c r="R1316" s="194">
        <f t="shared" si="105"/>
        <v>0.002941961805</v>
      </c>
      <c r="S1316" s="194">
        <f t="shared" si="105"/>
        <v>0.003030220659</v>
      </c>
      <c r="T1316" s="194">
        <f t="shared" si="105"/>
        <v>0.003121127279</v>
      </c>
      <c r="U1316" s="194">
        <f t="shared" si="105"/>
        <v>0.003214761097</v>
      </c>
      <c r="V1316" s="194">
        <f t="shared" si="105"/>
        <v>0.00331120393</v>
      </c>
      <c r="W1316" s="194">
        <f t="shared" si="105"/>
        <v>0.003410540048</v>
      </c>
      <c r="X1316" s="194">
        <f t="shared" si="105"/>
        <v>0.00351285625</v>
      </c>
      <c r="Y1316" s="194">
        <f t="shared" si="105"/>
        <v>0.003618241937</v>
      </c>
      <c r="Z1316" s="194">
        <f t="shared" si="105"/>
        <v>0.003726789195</v>
      </c>
      <c r="AA1316" s="194">
        <f t="shared" si="105"/>
        <v>0.003838592871</v>
      </c>
      <c r="AB1316" s="194">
        <f t="shared" si="105"/>
        <v>0.003953750657</v>
      </c>
      <c r="AC1316" s="194">
        <f t="shared" si="105"/>
        <v>0.004072363177</v>
      </c>
      <c r="AD1316" s="194">
        <f t="shared" si="105"/>
        <v>0.004194534072</v>
      </c>
      <c r="AE1316" s="194">
        <f t="shared" si="105"/>
        <v>0.004320370094</v>
      </c>
      <c r="AF1316" s="36"/>
      <c r="AG1316" s="36"/>
      <c r="AH1316" s="36"/>
      <c r="AI1316" s="36"/>
      <c r="AJ1316" s="36"/>
    </row>
    <row r="1317" ht="15.75" customHeight="1">
      <c r="A1317" s="12"/>
      <c r="B1317" s="390"/>
      <c r="C1317" s="390"/>
      <c r="D1317" s="390"/>
      <c r="E1317" s="121"/>
      <c r="F1317" s="121"/>
      <c r="G1317" s="121"/>
      <c r="H1317" s="121"/>
      <c r="I1317" s="121"/>
      <c r="J1317" s="121"/>
      <c r="K1317" s="121"/>
      <c r="L1317" s="121"/>
      <c r="M1317" s="121"/>
      <c r="N1317" s="121"/>
      <c r="O1317" s="121"/>
      <c r="P1317" s="121"/>
      <c r="Q1317" s="121"/>
      <c r="R1317" s="121"/>
      <c r="S1317" s="121"/>
      <c r="T1317" s="121"/>
      <c r="U1317" s="121"/>
      <c r="V1317" s="121"/>
      <c r="W1317" s="121"/>
      <c r="X1317" s="121"/>
      <c r="Y1317" s="121"/>
      <c r="Z1317" s="121"/>
      <c r="AA1317" s="121"/>
      <c r="AB1317" s="121"/>
      <c r="AC1317" s="121"/>
      <c r="AD1317" s="121"/>
      <c r="AE1317" s="121"/>
      <c r="AF1317" s="36"/>
      <c r="AG1317" s="36"/>
      <c r="AH1317" s="36"/>
      <c r="AI1317" s="36"/>
      <c r="AJ1317" s="36"/>
    </row>
    <row r="1318" ht="15.75" customHeight="1">
      <c r="A1318" s="112" t="s">
        <v>1747</v>
      </c>
      <c r="B1318" s="390"/>
      <c r="C1318" s="390"/>
      <c r="D1318" s="390"/>
      <c r="E1318" s="121"/>
      <c r="F1318" s="121"/>
      <c r="G1318" s="121"/>
      <c r="H1318" s="121"/>
      <c r="I1318" s="121"/>
      <c r="J1318" s="121"/>
      <c r="K1318" s="121"/>
      <c r="L1318" s="121"/>
      <c r="M1318" s="121"/>
      <c r="N1318" s="121"/>
      <c r="O1318" s="121"/>
      <c r="P1318" s="121"/>
      <c r="Q1318" s="121"/>
      <c r="R1318" s="121"/>
      <c r="S1318" s="121"/>
      <c r="T1318" s="121"/>
      <c r="U1318" s="121"/>
      <c r="V1318" s="121"/>
      <c r="W1318" s="121"/>
      <c r="X1318" s="121"/>
      <c r="Y1318" s="121"/>
      <c r="Z1318" s="121"/>
      <c r="AA1318" s="121"/>
      <c r="AB1318" s="121"/>
      <c r="AC1318" s="121"/>
      <c r="AD1318" s="121"/>
      <c r="AE1318" s="121"/>
      <c r="AF1318" s="36"/>
      <c r="AG1318" s="36"/>
      <c r="AH1318" s="36"/>
      <c r="AI1318" s="36"/>
      <c r="AJ1318" s="36"/>
    </row>
    <row r="1319" ht="15.75" customHeight="1">
      <c r="A1319" s="12"/>
      <c r="B1319" s="390"/>
      <c r="C1319" s="390"/>
      <c r="D1319" s="390"/>
      <c r="E1319" s="121"/>
      <c r="F1319" s="121"/>
      <c r="G1319" s="121"/>
      <c r="H1319" s="121"/>
      <c r="I1319" s="121"/>
      <c r="J1319" s="121"/>
      <c r="K1319" s="121"/>
      <c r="L1319" s="121"/>
      <c r="M1319" s="121"/>
      <c r="N1319" s="121"/>
      <c r="O1319" s="121"/>
      <c r="P1319" s="121"/>
      <c r="Q1319" s="121"/>
      <c r="R1319" s="121"/>
      <c r="S1319" s="121"/>
      <c r="T1319" s="121"/>
      <c r="U1319" s="121"/>
      <c r="V1319" s="121"/>
      <c r="W1319" s="121"/>
      <c r="X1319" s="121"/>
      <c r="Y1319" s="121"/>
      <c r="Z1319" s="121"/>
      <c r="AA1319" s="121"/>
      <c r="AB1319" s="121"/>
      <c r="AC1319" s="121"/>
      <c r="AD1319" s="121"/>
      <c r="AE1319" s="121"/>
      <c r="AF1319" s="36"/>
      <c r="AG1319" s="36"/>
      <c r="AH1319" s="36"/>
      <c r="AI1319" s="36"/>
      <c r="AJ1319" s="36"/>
    </row>
    <row r="1320" ht="15.75" customHeight="1">
      <c r="A1320" s="36" t="s">
        <v>215</v>
      </c>
      <c r="B1320" s="36">
        <v>1.0</v>
      </c>
      <c r="C1320" s="36">
        <v>2.0</v>
      </c>
      <c r="D1320" s="36">
        <v>3.0</v>
      </c>
      <c r="E1320" s="36">
        <v>4.0</v>
      </c>
      <c r="F1320" s="36">
        <v>5.0</v>
      </c>
      <c r="G1320" s="36">
        <v>6.0</v>
      </c>
      <c r="H1320" s="36">
        <v>7.0</v>
      </c>
      <c r="I1320" s="36">
        <v>8.0</v>
      </c>
      <c r="J1320" s="36">
        <v>9.0</v>
      </c>
      <c r="K1320" s="36">
        <v>10.0</v>
      </c>
      <c r="L1320" s="36">
        <v>11.0</v>
      </c>
      <c r="M1320" s="36">
        <v>12.0</v>
      </c>
      <c r="N1320" s="36">
        <v>13.0</v>
      </c>
      <c r="O1320" s="36">
        <v>14.0</v>
      </c>
      <c r="P1320" s="36">
        <v>15.0</v>
      </c>
      <c r="Q1320" s="36">
        <v>16.0</v>
      </c>
      <c r="R1320" s="36">
        <v>17.0</v>
      </c>
      <c r="S1320" s="36">
        <v>18.0</v>
      </c>
      <c r="T1320" s="36">
        <v>19.0</v>
      </c>
      <c r="U1320" s="36">
        <v>20.0</v>
      </c>
      <c r="V1320" s="36">
        <v>21.0</v>
      </c>
      <c r="W1320" s="36">
        <v>22.0</v>
      </c>
      <c r="X1320" s="36">
        <v>23.0</v>
      </c>
      <c r="Y1320" s="36">
        <v>24.0</v>
      </c>
      <c r="Z1320" s="36">
        <v>25.0</v>
      </c>
      <c r="AA1320" s="36">
        <v>26.0</v>
      </c>
      <c r="AB1320" s="36">
        <v>27.0</v>
      </c>
      <c r="AC1320" s="36">
        <v>28.0</v>
      </c>
      <c r="AD1320" s="36">
        <v>29.0</v>
      </c>
      <c r="AE1320" s="36">
        <v>30.0</v>
      </c>
      <c r="AF1320" s="36"/>
      <c r="AG1320" s="36"/>
      <c r="AH1320" s="36"/>
      <c r="AI1320" s="36"/>
      <c r="AJ1320" s="36"/>
    </row>
    <row r="1321" ht="15.75" customHeight="1">
      <c r="A1321" s="12" t="s">
        <v>217</v>
      </c>
      <c r="B1321" s="401">
        <v>75.0</v>
      </c>
      <c r="C1321" s="401">
        <f t="shared" ref="C1321:AE1321" si="106">B1321+1.05</f>
        <v>76.05</v>
      </c>
      <c r="D1321" s="401">
        <f t="shared" si="106"/>
        <v>77.1</v>
      </c>
      <c r="E1321" s="401">
        <f t="shared" si="106"/>
        <v>78.15</v>
      </c>
      <c r="F1321" s="401">
        <f t="shared" si="106"/>
        <v>79.2</v>
      </c>
      <c r="G1321" s="401">
        <f t="shared" si="106"/>
        <v>80.25</v>
      </c>
      <c r="H1321" s="401">
        <f t="shared" si="106"/>
        <v>81.3</v>
      </c>
      <c r="I1321" s="401">
        <f t="shared" si="106"/>
        <v>82.35</v>
      </c>
      <c r="J1321" s="401">
        <f t="shared" si="106"/>
        <v>83.4</v>
      </c>
      <c r="K1321" s="401">
        <f t="shared" si="106"/>
        <v>84.45</v>
      </c>
      <c r="L1321" s="401">
        <f t="shared" si="106"/>
        <v>85.5</v>
      </c>
      <c r="M1321" s="401">
        <f t="shared" si="106"/>
        <v>86.55</v>
      </c>
      <c r="N1321" s="401">
        <f t="shared" si="106"/>
        <v>87.6</v>
      </c>
      <c r="O1321" s="401">
        <f t="shared" si="106"/>
        <v>88.65</v>
      </c>
      <c r="P1321" s="401">
        <f t="shared" si="106"/>
        <v>89.7</v>
      </c>
      <c r="Q1321" s="401">
        <f t="shared" si="106"/>
        <v>90.75</v>
      </c>
      <c r="R1321" s="401">
        <f t="shared" si="106"/>
        <v>91.8</v>
      </c>
      <c r="S1321" s="401">
        <f t="shared" si="106"/>
        <v>92.85</v>
      </c>
      <c r="T1321" s="401">
        <f t="shared" si="106"/>
        <v>93.9</v>
      </c>
      <c r="U1321" s="401">
        <f t="shared" si="106"/>
        <v>94.95</v>
      </c>
      <c r="V1321" s="401">
        <f t="shared" si="106"/>
        <v>96</v>
      </c>
      <c r="W1321" s="401">
        <f t="shared" si="106"/>
        <v>97.05</v>
      </c>
      <c r="X1321" s="401">
        <f t="shared" si="106"/>
        <v>98.1</v>
      </c>
      <c r="Y1321" s="401">
        <f t="shared" si="106"/>
        <v>99.15</v>
      </c>
      <c r="Z1321" s="401">
        <f t="shared" si="106"/>
        <v>100.2</v>
      </c>
      <c r="AA1321" s="401">
        <f t="shared" si="106"/>
        <v>101.25</v>
      </c>
      <c r="AB1321" s="401">
        <f t="shared" si="106"/>
        <v>102.3</v>
      </c>
      <c r="AC1321" s="401">
        <f t="shared" si="106"/>
        <v>103.35</v>
      </c>
      <c r="AD1321" s="401">
        <f t="shared" si="106"/>
        <v>104.4</v>
      </c>
      <c r="AE1321" s="401">
        <f t="shared" si="106"/>
        <v>105.45</v>
      </c>
      <c r="AF1321" s="36"/>
      <c r="AG1321" s="36"/>
      <c r="AH1321" s="36"/>
      <c r="AI1321" s="36"/>
      <c r="AJ1321" s="36"/>
    </row>
    <row r="1322" ht="15.75" customHeight="1">
      <c r="A1322" s="12" t="s">
        <v>218</v>
      </c>
      <c r="B1322" s="121">
        <v>0.0</v>
      </c>
      <c r="C1322" s="121">
        <v>0.0</v>
      </c>
      <c r="D1322" s="121">
        <v>0.0</v>
      </c>
      <c r="E1322" s="121">
        <v>0.0</v>
      </c>
      <c r="F1322" s="121">
        <v>0.0</v>
      </c>
      <c r="G1322" s="121">
        <v>0.0</v>
      </c>
      <c r="H1322" s="121">
        <v>0.0</v>
      </c>
      <c r="I1322" s="121">
        <v>0.0</v>
      </c>
      <c r="J1322" s="121">
        <v>0.0</v>
      </c>
      <c r="K1322" s="121">
        <v>0.0</v>
      </c>
      <c r="L1322" s="121">
        <v>0.0</v>
      </c>
      <c r="M1322" s="121">
        <v>0.0</v>
      </c>
      <c r="N1322" s="121">
        <v>0.0</v>
      </c>
      <c r="O1322" s="121">
        <v>0.0</v>
      </c>
      <c r="P1322" s="121">
        <v>0.0</v>
      </c>
      <c r="Q1322" s="121">
        <v>0.0</v>
      </c>
      <c r="R1322" s="121">
        <v>0.0</v>
      </c>
      <c r="S1322" s="121">
        <v>0.0</v>
      </c>
      <c r="T1322" s="121">
        <v>0.0</v>
      </c>
      <c r="U1322" s="121">
        <v>0.0</v>
      </c>
      <c r="V1322" s="121">
        <v>0.0</v>
      </c>
      <c r="W1322" s="121">
        <v>0.0</v>
      </c>
      <c r="X1322" s="121">
        <v>0.0</v>
      </c>
      <c r="Y1322" s="121">
        <v>0.0</v>
      </c>
      <c r="Z1322" s="121">
        <v>0.0</v>
      </c>
      <c r="AA1322" s="121">
        <v>0.0</v>
      </c>
      <c r="AB1322" s="121">
        <v>0.0</v>
      </c>
      <c r="AC1322" s="121">
        <v>0.0</v>
      </c>
      <c r="AD1322" s="121">
        <v>0.0</v>
      </c>
      <c r="AE1322" s="121">
        <v>0.0</v>
      </c>
      <c r="AF1322" s="36"/>
      <c r="AG1322" s="36"/>
      <c r="AH1322" s="36"/>
      <c r="AI1322" s="36"/>
      <c r="AJ1322" s="36"/>
    </row>
    <row r="1323" ht="15.75" customHeight="1">
      <c r="A1323" s="12"/>
      <c r="B1323" s="390"/>
      <c r="C1323" s="390"/>
      <c r="D1323" s="390"/>
      <c r="E1323" s="121"/>
      <c r="F1323" s="121"/>
      <c r="G1323" s="121"/>
      <c r="H1323" s="121"/>
      <c r="I1323" s="121"/>
      <c r="J1323" s="121"/>
      <c r="K1323" s="121"/>
      <c r="L1323" s="121"/>
      <c r="M1323" s="121"/>
      <c r="N1323" s="121"/>
      <c r="O1323" s="121"/>
      <c r="P1323" s="121"/>
      <c r="Q1323" s="121"/>
      <c r="R1323" s="121"/>
      <c r="S1323" s="121"/>
      <c r="T1323" s="121"/>
      <c r="U1323" s="121"/>
      <c r="V1323" s="121"/>
      <c r="W1323" s="121"/>
      <c r="X1323" s="121"/>
      <c r="Y1323" s="121"/>
      <c r="Z1323" s="121"/>
      <c r="AA1323" s="121"/>
      <c r="AB1323" s="121"/>
      <c r="AC1323" s="121"/>
      <c r="AD1323" s="121"/>
      <c r="AE1323" s="121"/>
      <c r="AF1323" s="36"/>
      <c r="AG1323" s="36"/>
      <c r="AH1323" s="36"/>
      <c r="AI1323" s="36"/>
      <c r="AJ1323" s="36"/>
    </row>
    <row r="1324" ht="15.75" customHeight="1">
      <c r="A1324" s="112" t="s">
        <v>1751</v>
      </c>
      <c r="B1324" s="390"/>
      <c r="C1324" s="390"/>
      <c r="D1324" s="390"/>
      <c r="E1324" s="121"/>
      <c r="F1324" s="121"/>
      <c r="G1324" s="121"/>
      <c r="H1324" s="121"/>
      <c r="I1324" s="121"/>
      <c r="J1324" s="121"/>
      <c r="K1324" s="121"/>
      <c r="L1324" s="121"/>
      <c r="M1324" s="121"/>
      <c r="N1324" s="121"/>
      <c r="O1324" s="121"/>
      <c r="P1324" s="121"/>
      <c r="Q1324" s="121"/>
      <c r="R1324" s="121"/>
      <c r="S1324" s="121"/>
      <c r="T1324" s="121"/>
      <c r="U1324" s="121"/>
      <c r="V1324" s="121"/>
      <c r="W1324" s="121"/>
      <c r="X1324" s="121"/>
      <c r="Y1324" s="121"/>
      <c r="Z1324" s="121"/>
      <c r="AA1324" s="121"/>
      <c r="AB1324" s="121"/>
      <c r="AC1324" s="121"/>
      <c r="AD1324" s="121"/>
      <c r="AE1324" s="121"/>
      <c r="AF1324" s="36"/>
      <c r="AG1324" s="36"/>
      <c r="AH1324" s="36"/>
      <c r="AI1324" s="36"/>
      <c r="AJ1324" s="36"/>
    </row>
    <row r="1325" ht="15.75" customHeight="1">
      <c r="A1325" s="12"/>
      <c r="B1325" s="390"/>
      <c r="C1325" s="390"/>
      <c r="D1325" s="390"/>
      <c r="E1325" s="121"/>
      <c r="F1325" s="121"/>
      <c r="G1325" s="121"/>
      <c r="H1325" s="121"/>
      <c r="I1325" s="121"/>
      <c r="J1325" s="121"/>
      <c r="K1325" s="121"/>
      <c r="L1325" s="121"/>
      <c r="M1325" s="121"/>
      <c r="N1325" s="121"/>
      <c r="O1325" s="121"/>
      <c r="P1325" s="121"/>
      <c r="Q1325" s="121"/>
      <c r="R1325" s="121"/>
      <c r="S1325" s="121"/>
      <c r="T1325" s="121"/>
      <c r="U1325" s="121"/>
      <c r="V1325" s="121"/>
      <c r="W1325" s="121"/>
      <c r="X1325" s="121"/>
      <c r="Y1325" s="121"/>
      <c r="Z1325" s="121"/>
      <c r="AA1325" s="121"/>
      <c r="AB1325" s="121"/>
      <c r="AC1325" s="121"/>
      <c r="AD1325" s="121"/>
      <c r="AE1325" s="121"/>
      <c r="AF1325" s="36"/>
      <c r="AG1325" s="36"/>
      <c r="AH1325" s="36"/>
      <c r="AI1325" s="36"/>
      <c r="AJ1325" s="36"/>
    </row>
    <row r="1326" ht="15.75" customHeight="1">
      <c r="A1326" s="36" t="s">
        <v>215</v>
      </c>
      <c r="B1326" s="36">
        <v>1.0</v>
      </c>
      <c r="C1326" s="36">
        <v>2.0</v>
      </c>
      <c r="D1326" s="36">
        <v>3.0</v>
      </c>
      <c r="E1326" s="36">
        <v>4.0</v>
      </c>
      <c r="F1326" s="36">
        <v>5.0</v>
      </c>
      <c r="G1326" s="36">
        <v>6.0</v>
      </c>
      <c r="H1326" s="36">
        <v>7.0</v>
      </c>
      <c r="I1326" s="36">
        <v>8.0</v>
      </c>
      <c r="J1326" s="36">
        <v>9.0</v>
      </c>
      <c r="K1326" s="36">
        <v>10.0</v>
      </c>
      <c r="L1326" s="36">
        <v>11.0</v>
      </c>
      <c r="M1326" s="36">
        <v>12.0</v>
      </c>
      <c r="N1326" s="36">
        <v>13.0</v>
      </c>
      <c r="O1326" s="36">
        <v>14.0</v>
      </c>
      <c r="P1326" s="36">
        <v>15.0</v>
      </c>
      <c r="Q1326" s="36">
        <v>16.0</v>
      </c>
      <c r="R1326" s="36">
        <v>17.0</v>
      </c>
      <c r="S1326" s="36">
        <v>18.0</v>
      </c>
      <c r="T1326" s="36">
        <v>19.0</v>
      </c>
      <c r="U1326" s="36">
        <v>20.0</v>
      </c>
      <c r="V1326" s="36">
        <v>21.0</v>
      </c>
      <c r="W1326" s="36">
        <v>22.0</v>
      </c>
      <c r="X1326" s="36">
        <v>23.0</v>
      </c>
      <c r="Y1326" s="36">
        <v>24.0</v>
      </c>
      <c r="Z1326" s="36">
        <v>25.0</v>
      </c>
      <c r="AA1326" s="36">
        <v>26.0</v>
      </c>
      <c r="AB1326" s="36">
        <v>27.0</v>
      </c>
      <c r="AC1326" s="36">
        <v>28.0</v>
      </c>
      <c r="AD1326" s="36">
        <v>29.0</v>
      </c>
      <c r="AE1326" s="36">
        <v>30.0</v>
      </c>
      <c r="AF1326" s="36"/>
      <c r="AG1326" s="36"/>
      <c r="AH1326" s="36"/>
      <c r="AI1326" s="36"/>
      <c r="AJ1326" s="36"/>
    </row>
    <row r="1327" ht="15.75" customHeight="1">
      <c r="A1327" s="12" t="s">
        <v>217</v>
      </c>
      <c r="B1327" s="401">
        <v>35.0</v>
      </c>
      <c r="C1327" s="401">
        <v>35.0</v>
      </c>
      <c r="D1327" s="401">
        <v>35.0</v>
      </c>
      <c r="E1327" s="401">
        <v>35.0</v>
      </c>
      <c r="F1327" s="401">
        <v>35.0</v>
      </c>
      <c r="G1327" s="401">
        <v>35.0</v>
      </c>
      <c r="H1327" s="401">
        <v>35.0</v>
      </c>
      <c r="I1327" s="401">
        <v>35.0</v>
      </c>
      <c r="J1327" s="401">
        <v>35.0</v>
      </c>
      <c r="K1327" s="401">
        <v>35.0</v>
      </c>
      <c r="L1327" s="401">
        <v>35.0</v>
      </c>
      <c r="M1327" s="401">
        <v>35.0</v>
      </c>
      <c r="N1327" s="401">
        <v>35.0</v>
      </c>
      <c r="O1327" s="401">
        <v>35.0</v>
      </c>
      <c r="P1327" s="401">
        <v>35.0</v>
      </c>
      <c r="Q1327" s="401">
        <v>35.0</v>
      </c>
      <c r="R1327" s="401">
        <v>35.0</v>
      </c>
      <c r="S1327" s="401">
        <v>35.0</v>
      </c>
      <c r="T1327" s="401">
        <v>35.0</v>
      </c>
      <c r="U1327" s="401">
        <v>35.0</v>
      </c>
      <c r="V1327" s="401">
        <v>35.0</v>
      </c>
      <c r="W1327" s="401">
        <v>35.0</v>
      </c>
      <c r="X1327" s="401">
        <v>35.0</v>
      </c>
      <c r="Y1327" s="401">
        <v>35.0</v>
      </c>
      <c r="Z1327" s="401">
        <v>35.0</v>
      </c>
      <c r="AA1327" s="401">
        <v>35.0</v>
      </c>
      <c r="AB1327" s="401">
        <v>35.0</v>
      </c>
      <c r="AC1327" s="401">
        <v>35.0</v>
      </c>
      <c r="AD1327" s="401">
        <v>35.0</v>
      </c>
      <c r="AE1327" s="401">
        <v>35.0</v>
      </c>
      <c r="AF1327" s="36"/>
      <c r="AG1327" s="36"/>
      <c r="AH1327" s="36"/>
      <c r="AI1327" s="36"/>
      <c r="AJ1327" s="36"/>
    </row>
    <row r="1328" ht="15.75" customHeight="1">
      <c r="A1328" s="12" t="s">
        <v>218</v>
      </c>
      <c r="B1328" s="121">
        <v>0.0</v>
      </c>
      <c r="C1328" s="121">
        <v>0.0</v>
      </c>
      <c r="D1328" s="121">
        <v>0.0</v>
      </c>
      <c r="E1328" s="121">
        <v>0.0</v>
      </c>
      <c r="F1328" s="121">
        <v>0.0</v>
      </c>
      <c r="G1328" s="121">
        <v>0.0</v>
      </c>
      <c r="H1328" s="121">
        <v>0.0</v>
      </c>
      <c r="I1328" s="121">
        <v>0.0</v>
      </c>
      <c r="J1328" s="121">
        <v>0.0</v>
      </c>
      <c r="K1328" s="121">
        <v>0.0</v>
      </c>
      <c r="L1328" s="121">
        <v>0.0</v>
      </c>
      <c r="M1328" s="121">
        <v>0.0</v>
      </c>
      <c r="N1328" s="121">
        <v>0.0</v>
      </c>
      <c r="O1328" s="121">
        <v>0.0</v>
      </c>
      <c r="P1328" s="121">
        <v>0.0</v>
      </c>
      <c r="Q1328" s="121">
        <v>0.0</v>
      </c>
      <c r="R1328" s="121">
        <v>0.0</v>
      </c>
      <c r="S1328" s="121">
        <v>0.0</v>
      </c>
      <c r="T1328" s="121">
        <v>0.0</v>
      </c>
      <c r="U1328" s="121">
        <v>0.0</v>
      </c>
      <c r="V1328" s="121">
        <v>0.0</v>
      </c>
      <c r="W1328" s="121">
        <v>0.0</v>
      </c>
      <c r="X1328" s="121">
        <v>0.0</v>
      </c>
      <c r="Y1328" s="121">
        <v>0.0</v>
      </c>
      <c r="Z1328" s="121">
        <v>0.0</v>
      </c>
      <c r="AA1328" s="121">
        <v>0.0</v>
      </c>
      <c r="AB1328" s="121">
        <v>0.0</v>
      </c>
      <c r="AC1328" s="121">
        <v>0.0</v>
      </c>
      <c r="AD1328" s="121">
        <v>0.0</v>
      </c>
      <c r="AE1328" s="121">
        <v>0.0</v>
      </c>
      <c r="AF1328" s="36"/>
      <c r="AG1328" s="36"/>
      <c r="AH1328" s="36"/>
      <c r="AI1328" s="36"/>
      <c r="AJ1328" s="36"/>
    </row>
    <row r="1329" ht="15.75" customHeight="1">
      <c r="A1329" s="12"/>
      <c r="B1329" s="390"/>
      <c r="C1329" s="390"/>
      <c r="D1329" s="390"/>
      <c r="E1329" s="121"/>
      <c r="F1329" s="121"/>
      <c r="G1329" s="121"/>
      <c r="H1329" s="121"/>
      <c r="I1329" s="121"/>
      <c r="J1329" s="121"/>
      <c r="K1329" s="121"/>
      <c r="L1329" s="121"/>
      <c r="M1329" s="121"/>
      <c r="N1329" s="121"/>
      <c r="O1329" s="121"/>
      <c r="P1329" s="121"/>
      <c r="Q1329" s="121"/>
      <c r="R1329" s="121"/>
      <c r="S1329" s="121"/>
      <c r="T1329" s="121"/>
      <c r="U1329" s="121"/>
      <c r="V1329" s="121"/>
      <c r="W1329" s="121"/>
      <c r="X1329" s="121"/>
      <c r="Y1329" s="121"/>
      <c r="Z1329" s="121"/>
      <c r="AA1329" s="121"/>
      <c r="AB1329" s="121"/>
      <c r="AC1329" s="121"/>
      <c r="AD1329" s="121"/>
      <c r="AE1329" s="121"/>
      <c r="AF1329" s="36"/>
      <c r="AG1329" s="36"/>
      <c r="AH1329" s="36"/>
      <c r="AI1329" s="36"/>
      <c r="AJ1329" s="36"/>
    </row>
    <row r="1330" ht="15.75" customHeight="1">
      <c r="A1330" s="12" t="s">
        <v>1948</v>
      </c>
      <c r="B1330" s="390"/>
      <c r="C1330" s="390"/>
      <c r="D1330" s="390"/>
      <c r="E1330" s="121"/>
      <c r="F1330" s="121"/>
      <c r="G1330" s="121"/>
      <c r="H1330" s="121"/>
      <c r="I1330" s="121"/>
      <c r="J1330" s="121"/>
      <c r="K1330" s="121"/>
      <c r="L1330" s="121"/>
      <c r="M1330" s="121"/>
      <c r="N1330" s="121"/>
      <c r="O1330" s="121"/>
      <c r="P1330" s="121"/>
      <c r="Q1330" s="121"/>
      <c r="R1330" s="121"/>
      <c r="S1330" s="121"/>
      <c r="T1330" s="121"/>
      <c r="U1330" s="121"/>
      <c r="V1330" s="121"/>
      <c r="W1330" s="121"/>
      <c r="X1330" s="121"/>
      <c r="Y1330" s="121"/>
      <c r="Z1330" s="121"/>
      <c r="AA1330" s="121"/>
      <c r="AB1330" s="121"/>
      <c r="AC1330" s="121"/>
      <c r="AD1330" s="121"/>
      <c r="AE1330" s="121"/>
      <c r="AF1330" s="36"/>
      <c r="AG1330" s="36"/>
      <c r="AH1330" s="36"/>
      <c r="AI1330" s="36"/>
      <c r="AJ1330" s="36"/>
    </row>
    <row r="1331" ht="15.75" customHeight="1">
      <c r="A1331" s="12"/>
      <c r="B1331" s="390"/>
      <c r="C1331" s="390"/>
      <c r="D1331" s="390"/>
      <c r="E1331" s="121"/>
      <c r="F1331" s="121"/>
      <c r="G1331" s="121"/>
      <c r="H1331" s="121"/>
      <c r="I1331" s="121"/>
      <c r="J1331" s="121"/>
      <c r="K1331" s="121"/>
      <c r="L1331" s="121"/>
      <c r="M1331" s="121"/>
      <c r="N1331" s="121"/>
      <c r="O1331" s="121"/>
      <c r="P1331" s="121"/>
      <c r="Q1331" s="121"/>
      <c r="R1331" s="121"/>
      <c r="S1331" s="121"/>
      <c r="T1331" s="121"/>
      <c r="U1331" s="121"/>
      <c r="V1331" s="121"/>
      <c r="W1331" s="121"/>
      <c r="X1331" s="121"/>
      <c r="Y1331" s="121"/>
      <c r="Z1331" s="121"/>
      <c r="AA1331" s="121"/>
      <c r="AB1331" s="121"/>
      <c r="AC1331" s="121"/>
      <c r="AD1331" s="121"/>
      <c r="AE1331" s="121"/>
      <c r="AF1331" s="36"/>
      <c r="AG1331" s="36"/>
      <c r="AH1331" s="36"/>
      <c r="AI1331" s="36"/>
      <c r="AJ1331" s="36"/>
    </row>
    <row r="1332" ht="15.75" customHeight="1">
      <c r="A1332" s="36" t="s">
        <v>215</v>
      </c>
      <c r="B1332" s="36">
        <v>1.0</v>
      </c>
      <c r="C1332" s="36">
        <v>2.0</v>
      </c>
      <c r="D1332" s="36">
        <v>3.0</v>
      </c>
      <c r="E1332" s="36">
        <v>4.0</v>
      </c>
      <c r="F1332" s="36">
        <v>5.0</v>
      </c>
      <c r="G1332" s="36">
        <v>6.0</v>
      </c>
      <c r="H1332" s="36">
        <v>7.0</v>
      </c>
      <c r="I1332" s="36">
        <v>8.0</v>
      </c>
      <c r="J1332" s="36">
        <v>9.0</v>
      </c>
      <c r="K1332" s="36">
        <v>10.0</v>
      </c>
      <c r="L1332" s="36">
        <v>11.0</v>
      </c>
      <c r="M1332" s="36">
        <v>12.0</v>
      </c>
      <c r="N1332" s="36">
        <v>13.0</v>
      </c>
      <c r="O1332" s="36">
        <v>14.0</v>
      </c>
      <c r="P1332" s="36">
        <v>15.0</v>
      </c>
      <c r="Q1332" s="36">
        <v>16.0</v>
      </c>
      <c r="R1332" s="36">
        <v>17.0</v>
      </c>
      <c r="S1332" s="36">
        <v>18.0</v>
      </c>
      <c r="T1332" s="36">
        <v>19.0</v>
      </c>
      <c r="U1332" s="36">
        <v>20.0</v>
      </c>
      <c r="V1332" s="36">
        <v>21.0</v>
      </c>
      <c r="W1332" s="36">
        <v>22.0</v>
      </c>
      <c r="X1332" s="36">
        <v>23.0</v>
      </c>
      <c r="Y1332" s="36">
        <v>24.0</v>
      </c>
      <c r="Z1332" s="36">
        <v>25.0</v>
      </c>
      <c r="AA1332" s="36">
        <v>26.0</v>
      </c>
      <c r="AB1332" s="36">
        <v>27.0</v>
      </c>
      <c r="AC1332" s="36">
        <v>28.0</v>
      </c>
      <c r="AD1332" s="36">
        <v>29.0</v>
      </c>
      <c r="AE1332" s="36">
        <v>30.0</v>
      </c>
      <c r="AF1332" s="36"/>
      <c r="AG1332" s="36"/>
      <c r="AH1332" s="36"/>
      <c r="AI1332" s="36"/>
      <c r="AJ1332" s="36"/>
    </row>
    <row r="1333" ht="15.75" customHeight="1">
      <c r="A1333" s="12" t="s">
        <v>217</v>
      </c>
      <c r="B1333" s="401">
        <v>55.0</v>
      </c>
      <c r="C1333" s="401">
        <v>55.0</v>
      </c>
      <c r="D1333" s="401">
        <v>55.0</v>
      </c>
      <c r="E1333" s="401">
        <v>55.0</v>
      </c>
      <c r="F1333" s="401">
        <v>55.0</v>
      </c>
      <c r="G1333" s="401">
        <v>55.0</v>
      </c>
      <c r="H1333" s="401">
        <v>55.0</v>
      </c>
      <c r="I1333" s="401">
        <v>55.0</v>
      </c>
      <c r="J1333" s="401">
        <v>55.0</v>
      </c>
      <c r="K1333" s="401">
        <v>55.0</v>
      </c>
      <c r="L1333" s="401">
        <v>55.0</v>
      </c>
      <c r="M1333" s="401">
        <v>55.0</v>
      </c>
      <c r="N1333" s="401">
        <v>55.0</v>
      </c>
      <c r="O1333" s="401">
        <v>55.0</v>
      </c>
      <c r="P1333" s="401">
        <v>55.0</v>
      </c>
      <c r="Q1333" s="401">
        <v>55.0</v>
      </c>
      <c r="R1333" s="401">
        <v>55.0</v>
      </c>
      <c r="S1333" s="401">
        <v>55.0</v>
      </c>
      <c r="T1333" s="401">
        <v>55.0</v>
      </c>
      <c r="U1333" s="401">
        <v>55.0</v>
      </c>
      <c r="V1333" s="401">
        <v>55.0</v>
      </c>
      <c r="W1333" s="401">
        <v>55.0</v>
      </c>
      <c r="X1333" s="401">
        <v>55.0</v>
      </c>
      <c r="Y1333" s="401">
        <v>55.0</v>
      </c>
      <c r="Z1333" s="401">
        <v>55.0</v>
      </c>
      <c r="AA1333" s="401">
        <v>55.0</v>
      </c>
      <c r="AB1333" s="401">
        <v>55.0</v>
      </c>
      <c r="AC1333" s="401">
        <v>55.0</v>
      </c>
      <c r="AD1333" s="401">
        <v>55.0</v>
      </c>
      <c r="AE1333" s="401">
        <v>55.0</v>
      </c>
      <c r="AF1333" s="36"/>
      <c r="AG1333" s="36"/>
      <c r="AH1333" s="36"/>
      <c r="AI1333" s="36"/>
      <c r="AJ1333" s="36"/>
    </row>
    <row r="1334" ht="15.75" customHeight="1">
      <c r="A1334" s="12" t="s">
        <v>218</v>
      </c>
      <c r="B1334" s="121">
        <v>0.0</v>
      </c>
      <c r="C1334" s="121">
        <v>0.0</v>
      </c>
      <c r="D1334" s="121">
        <v>0.0</v>
      </c>
      <c r="E1334" s="121">
        <v>0.0</v>
      </c>
      <c r="F1334" s="121">
        <v>0.0</v>
      </c>
      <c r="G1334" s="121">
        <v>0.0</v>
      </c>
      <c r="H1334" s="121">
        <v>0.0</v>
      </c>
      <c r="I1334" s="121">
        <v>0.0</v>
      </c>
      <c r="J1334" s="121">
        <v>0.0</v>
      </c>
      <c r="K1334" s="121">
        <v>0.0</v>
      </c>
      <c r="L1334" s="121">
        <v>0.0</v>
      </c>
      <c r="M1334" s="121">
        <v>0.0</v>
      </c>
      <c r="N1334" s="121">
        <v>0.0</v>
      </c>
      <c r="O1334" s="121">
        <v>0.0</v>
      </c>
      <c r="P1334" s="121">
        <v>0.0</v>
      </c>
      <c r="Q1334" s="121">
        <v>0.0</v>
      </c>
      <c r="R1334" s="121">
        <v>0.0</v>
      </c>
      <c r="S1334" s="121">
        <v>0.0</v>
      </c>
      <c r="T1334" s="121">
        <v>0.0</v>
      </c>
      <c r="U1334" s="121">
        <v>0.0</v>
      </c>
      <c r="V1334" s="121">
        <v>0.0</v>
      </c>
      <c r="W1334" s="121">
        <v>0.0</v>
      </c>
      <c r="X1334" s="121">
        <v>0.0</v>
      </c>
      <c r="Y1334" s="121">
        <v>0.0</v>
      </c>
      <c r="Z1334" s="121">
        <v>0.0</v>
      </c>
      <c r="AA1334" s="121">
        <v>0.0</v>
      </c>
      <c r="AB1334" s="121">
        <v>0.0</v>
      </c>
      <c r="AC1334" s="121">
        <v>0.0</v>
      </c>
      <c r="AD1334" s="121">
        <v>0.0</v>
      </c>
      <c r="AE1334" s="121">
        <v>0.0</v>
      </c>
      <c r="AF1334" s="36"/>
      <c r="AG1334" s="36"/>
      <c r="AH1334" s="36"/>
      <c r="AI1334" s="36"/>
      <c r="AJ1334" s="36"/>
    </row>
    <row r="1335" ht="15.75" customHeight="1">
      <c r="A1335" s="12"/>
      <c r="B1335" s="390"/>
      <c r="C1335" s="390"/>
      <c r="D1335" s="390"/>
      <c r="E1335" s="121"/>
      <c r="F1335" s="121"/>
      <c r="G1335" s="121"/>
      <c r="H1335" s="121"/>
      <c r="I1335" s="121"/>
      <c r="J1335" s="121"/>
      <c r="K1335" s="121"/>
      <c r="L1335" s="121"/>
      <c r="M1335" s="121"/>
      <c r="N1335" s="121"/>
      <c r="O1335" s="121"/>
      <c r="P1335" s="121"/>
      <c r="Q1335" s="121"/>
      <c r="R1335" s="121"/>
      <c r="S1335" s="121"/>
      <c r="T1335" s="121"/>
      <c r="U1335" s="121"/>
      <c r="V1335" s="121"/>
      <c r="W1335" s="121"/>
      <c r="X1335" s="121"/>
      <c r="Y1335" s="121"/>
      <c r="Z1335" s="121"/>
      <c r="AA1335" s="121"/>
      <c r="AB1335" s="121"/>
      <c r="AC1335" s="121"/>
      <c r="AD1335" s="121"/>
      <c r="AE1335" s="121"/>
      <c r="AF1335" s="36"/>
      <c r="AG1335" s="36"/>
      <c r="AH1335" s="36"/>
      <c r="AI1335" s="36"/>
      <c r="AJ1335" s="36"/>
    </row>
    <row r="1336" ht="15.75" customHeight="1">
      <c r="A1336" s="12" t="s">
        <v>1960</v>
      </c>
      <c r="B1336" s="390"/>
      <c r="C1336" s="390"/>
      <c r="D1336" s="390"/>
      <c r="E1336" s="121"/>
      <c r="F1336" s="121"/>
      <c r="G1336" s="121"/>
      <c r="H1336" s="121"/>
      <c r="I1336" s="121"/>
      <c r="J1336" s="121"/>
      <c r="K1336" s="121"/>
      <c r="L1336" s="121"/>
      <c r="M1336" s="121"/>
      <c r="N1336" s="121"/>
      <c r="O1336" s="121"/>
      <c r="P1336" s="121"/>
      <c r="Q1336" s="121"/>
      <c r="R1336" s="121"/>
      <c r="S1336" s="121"/>
      <c r="T1336" s="121"/>
      <c r="U1336" s="121"/>
      <c r="V1336" s="121"/>
      <c r="W1336" s="121"/>
      <c r="X1336" s="121"/>
      <c r="Y1336" s="121"/>
      <c r="Z1336" s="121"/>
      <c r="AA1336" s="121"/>
      <c r="AB1336" s="121"/>
      <c r="AC1336" s="121"/>
      <c r="AD1336" s="121"/>
      <c r="AE1336" s="121"/>
      <c r="AF1336" s="36"/>
      <c r="AG1336" s="36"/>
      <c r="AH1336" s="36"/>
      <c r="AI1336" s="36"/>
      <c r="AJ1336" s="36"/>
    </row>
    <row r="1337" ht="15.75" customHeight="1">
      <c r="A1337" s="12"/>
      <c r="B1337" s="390"/>
      <c r="C1337" s="390"/>
      <c r="D1337" s="390"/>
      <c r="E1337" s="121"/>
      <c r="F1337" s="121"/>
      <c r="G1337" s="121"/>
      <c r="H1337" s="121"/>
      <c r="I1337" s="121"/>
      <c r="J1337" s="121"/>
      <c r="K1337" s="121"/>
      <c r="L1337" s="121"/>
      <c r="M1337" s="121"/>
      <c r="N1337" s="121"/>
      <c r="O1337" s="121"/>
      <c r="P1337" s="121"/>
      <c r="Q1337" s="121"/>
      <c r="R1337" s="121"/>
      <c r="S1337" s="121"/>
      <c r="T1337" s="121"/>
      <c r="U1337" s="121"/>
      <c r="V1337" s="121"/>
      <c r="W1337" s="121"/>
      <c r="X1337" s="121"/>
      <c r="Y1337" s="121"/>
      <c r="Z1337" s="121"/>
      <c r="AA1337" s="121"/>
      <c r="AB1337" s="121"/>
      <c r="AC1337" s="121"/>
      <c r="AD1337" s="121"/>
      <c r="AE1337" s="121"/>
      <c r="AF1337" s="36"/>
      <c r="AG1337" s="36"/>
      <c r="AH1337" s="36"/>
      <c r="AI1337" s="36"/>
      <c r="AJ1337" s="36"/>
    </row>
    <row r="1338" ht="15.75" customHeight="1">
      <c r="A1338" s="36" t="s">
        <v>215</v>
      </c>
      <c r="B1338" s="36">
        <v>1.0</v>
      </c>
      <c r="C1338" s="36">
        <v>2.0</v>
      </c>
      <c r="D1338" s="36">
        <v>3.0</v>
      </c>
      <c r="E1338" s="36">
        <v>4.0</v>
      </c>
      <c r="F1338" s="36">
        <v>5.0</v>
      </c>
      <c r="G1338" s="36">
        <v>6.0</v>
      </c>
      <c r="H1338" s="36">
        <v>7.0</v>
      </c>
      <c r="I1338" s="36">
        <v>8.0</v>
      </c>
      <c r="J1338" s="36">
        <v>9.0</v>
      </c>
      <c r="K1338" s="36">
        <v>10.0</v>
      </c>
      <c r="L1338" s="36">
        <v>11.0</v>
      </c>
      <c r="M1338" s="36">
        <v>12.0</v>
      </c>
      <c r="N1338" s="36">
        <v>13.0</v>
      </c>
      <c r="O1338" s="36">
        <v>14.0</v>
      </c>
      <c r="P1338" s="36">
        <v>15.0</v>
      </c>
      <c r="Q1338" s="36">
        <v>16.0</v>
      </c>
      <c r="R1338" s="36">
        <v>17.0</v>
      </c>
      <c r="S1338" s="36">
        <v>18.0</v>
      </c>
      <c r="T1338" s="36">
        <v>19.0</v>
      </c>
      <c r="U1338" s="36">
        <v>20.0</v>
      </c>
      <c r="V1338" s="36">
        <v>21.0</v>
      </c>
      <c r="W1338" s="36">
        <v>22.0</v>
      </c>
      <c r="X1338" s="36">
        <v>23.0</v>
      </c>
      <c r="Y1338" s="36">
        <v>24.0</v>
      </c>
      <c r="Z1338" s="36">
        <v>25.0</v>
      </c>
      <c r="AA1338" s="36">
        <v>26.0</v>
      </c>
      <c r="AB1338" s="36">
        <v>27.0</v>
      </c>
      <c r="AC1338" s="36">
        <v>28.0</v>
      </c>
      <c r="AD1338" s="36">
        <v>29.0</v>
      </c>
      <c r="AE1338" s="36">
        <v>30.0</v>
      </c>
      <c r="AF1338" s="36"/>
      <c r="AG1338" s="36"/>
      <c r="AH1338" s="36"/>
      <c r="AI1338" s="36"/>
      <c r="AJ1338" s="36"/>
    </row>
    <row r="1339" ht="15.75" customHeight="1">
      <c r="A1339" s="12" t="s">
        <v>217</v>
      </c>
      <c r="B1339" s="401">
        <v>60.0</v>
      </c>
      <c r="C1339" s="401">
        <v>60.0</v>
      </c>
      <c r="D1339" s="401">
        <v>60.0</v>
      </c>
      <c r="E1339" s="401">
        <v>60.0</v>
      </c>
      <c r="F1339" s="401">
        <v>60.0</v>
      </c>
      <c r="G1339" s="401">
        <v>60.0</v>
      </c>
      <c r="H1339" s="401">
        <v>60.0</v>
      </c>
      <c r="I1339" s="401">
        <v>60.0</v>
      </c>
      <c r="J1339" s="401">
        <v>60.0</v>
      </c>
      <c r="K1339" s="401">
        <v>60.0</v>
      </c>
      <c r="L1339" s="401">
        <v>60.0</v>
      </c>
      <c r="M1339" s="401">
        <v>60.0</v>
      </c>
      <c r="N1339" s="401">
        <v>60.0</v>
      </c>
      <c r="O1339" s="401">
        <v>60.0</v>
      </c>
      <c r="P1339" s="401">
        <v>60.0</v>
      </c>
      <c r="Q1339" s="401">
        <v>60.0</v>
      </c>
      <c r="R1339" s="401">
        <v>60.0</v>
      </c>
      <c r="S1339" s="401">
        <v>60.0</v>
      </c>
      <c r="T1339" s="401">
        <v>60.0</v>
      </c>
      <c r="U1339" s="401">
        <v>60.0</v>
      </c>
      <c r="V1339" s="401">
        <v>60.0</v>
      </c>
      <c r="W1339" s="401">
        <v>60.0</v>
      </c>
      <c r="X1339" s="401">
        <v>60.0</v>
      </c>
      <c r="Y1339" s="401">
        <v>60.0</v>
      </c>
      <c r="Z1339" s="401">
        <v>60.0</v>
      </c>
      <c r="AA1339" s="401">
        <v>60.0</v>
      </c>
      <c r="AB1339" s="401">
        <v>60.0</v>
      </c>
      <c r="AC1339" s="401">
        <v>60.0</v>
      </c>
      <c r="AD1339" s="401">
        <v>60.0</v>
      </c>
      <c r="AE1339" s="401">
        <v>60.0</v>
      </c>
      <c r="AF1339" s="36"/>
      <c r="AG1339" s="36"/>
      <c r="AH1339" s="36"/>
      <c r="AI1339" s="36"/>
      <c r="AJ1339" s="36"/>
    </row>
    <row r="1340" ht="15.75" customHeight="1">
      <c r="A1340" s="12" t="s">
        <v>218</v>
      </c>
      <c r="B1340" s="121">
        <v>0.0</v>
      </c>
      <c r="C1340" s="121">
        <v>0.0</v>
      </c>
      <c r="D1340" s="121">
        <v>0.0</v>
      </c>
      <c r="E1340" s="121">
        <v>0.0</v>
      </c>
      <c r="F1340" s="121">
        <v>0.0</v>
      </c>
      <c r="G1340" s="121">
        <v>0.0</v>
      </c>
      <c r="H1340" s="121">
        <v>0.0</v>
      </c>
      <c r="I1340" s="121">
        <v>0.0</v>
      </c>
      <c r="J1340" s="121">
        <v>0.0</v>
      </c>
      <c r="K1340" s="121">
        <v>0.0</v>
      </c>
      <c r="L1340" s="121">
        <v>0.0</v>
      </c>
      <c r="M1340" s="121">
        <v>0.0</v>
      </c>
      <c r="N1340" s="121">
        <v>0.0</v>
      </c>
      <c r="O1340" s="121">
        <v>0.0</v>
      </c>
      <c r="P1340" s="121">
        <v>0.0</v>
      </c>
      <c r="Q1340" s="121">
        <v>0.0</v>
      </c>
      <c r="R1340" s="121">
        <v>0.0</v>
      </c>
      <c r="S1340" s="121">
        <v>0.0</v>
      </c>
      <c r="T1340" s="121">
        <v>0.0</v>
      </c>
      <c r="U1340" s="121">
        <v>0.0</v>
      </c>
      <c r="V1340" s="121">
        <v>0.0</v>
      </c>
      <c r="W1340" s="121">
        <v>0.0</v>
      </c>
      <c r="X1340" s="121">
        <v>0.0</v>
      </c>
      <c r="Y1340" s="121">
        <v>0.0</v>
      </c>
      <c r="Z1340" s="121">
        <v>0.0</v>
      </c>
      <c r="AA1340" s="121">
        <v>0.0</v>
      </c>
      <c r="AB1340" s="121">
        <v>0.0</v>
      </c>
      <c r="AC1340" s="121">
        <v>0.0</v>
      </c>
      <c r="AD1340" s="121">
        <v>0.0</v>
      </c>
      <c r="AE1340" s="121">
        <v>0.0</v>
      </c>
      <c r="AF1340" s="36"/>
      <c r="AG1340" s="36"/>
      <c r="AH1340" s="36"/>
      <c r="AI1340" s="36"/>
      <c r="AJ1340" s="36"/>
    </row>
    <row r="1341" ht="15.75" customHeight="1">
      <c r="A1341" s="12"/>
      <c r="B1341" s="390"/>
      <c r="C1341" s="390"/>
      <c r="D1341" s="390"/>
      <c r="E1341" s="121"/>
      <c r="F1341" s="121"/>
      <c r="G1341" s="121"/>
      <c r="H1341" s="121"/>
      <c r="I1341" s="121"/>
      <c r="J1341" s="121"/>
      <c r="K1341" s="121"/>
      <c r="L1341" s="121"/>
      <c r="M1341" s="121"/>
      <c r="N1341" s="121"/>
      <c r="O1341" s="121"/>
      <c r="P1341" s="121"/>
      <c r="Q1341" s="121"/>
      <c r="R1341" s="121"/>
      <c r="S1341" s="121"/>
      <c r="T1341" s="121"/>
      <c r="U1341" s="121"/>
      <c r="V1341" s="121"/>
      <c r="W1341" s="121"/>
      <c r="X1341" s="121"/>
      <c r="Y1341" s="121"/>
      <c r="Z1341" s="121"/>
      <c r="AA1341" s="121"/>
      <c r="AB1341" s="121"/>
      <c r="AC1341" s="121"/>
      <c r="AD1341" s="121"/>
      <c r="AE1341" s="121"/>
      <c r="AF1341" s="36"/>
      <c r="AG1341" s="36"/>
      <c r="AH1341" s="36"/>
      <c r="AI1341" s="36"/>
      <c r="AJ1341" s="36"/>
    </row>
    <row r="1342" ht="30.75" customHeight="1">
      <c r="A1342" s="242" t="s">
        <v>1768</v>
      </c>
      <c r="B1342" s="390"/>
      <c r="C1342" s="390"/>
      <c r="D1342" s="390"/>
      <c r="E1342" s="121"/>
      <c r="F1342" s="121"/>
      <c r="G1342" s="121"/>
      <c r="H1342" s="121"/>
      <c r="I1342" s="121"/>
      <c r="J1342" s="121"/>
      <c r="K1342" s="121"/>
      <c r="L1342" s="121"/>
      <c r="M1342" s="121"/>
      <c r="N1342" s="121"/>
      <c r="O1342" s="121"/>
      <c r="P1342" s="121"/>
      <c r="Q1342" s="121"/>
      <c r="R1342" s="121"/>
      <c r="S1342" s="121"/>
      <c r="T1342" s="121"/>
      <c r="U1342" s="121"/>
      <c r="V1342" s="121"/>
      <c r="W1342" s="121"/>
      <c r="X1342" s="121"/>
      <c r="Y1342" s="121"/>
      <c r="Z1342" s="121"/>
      <c r="AA1342" s="121"/>
      <c r="AB1342" s="121"/>
      <c r="AC1342" s="121"/>
      <c r="AD1342" s="121"/>
      <c r="AE1342" s="121"/>
      <c r="AF1342" s="36"/>
      <c r="AG1342" s="36"/>
      <c r="AH1342" s="36"/>
      <c r="AI1342" s="36"/>
      <c r="AJ1342" s="36"/>
    </row>
    <row r="1343" ht="15.75" customHeight="1">
      <c r="A1343" s="12"/>
      <c r="B1343" s="390"/>
      <c r="C1343" s="390"/>
      <c r="D1343" s="390"/>
      <c r="E1343" s="121"/>
      <c r="F1343" s="121"/>
      <c r="G1343" s="121"/>
      <c r="H1343" s="121"/>
      <c r="I1343" s="121"/>
      <c r="J1343" s="121"/>
      <c r="K1343" s="121"/>
      <c r="L1343" s="121"/>
      <c r="M1343" s="121"/>
      <c r="N1343" s="121"/>
      <c r="O1343" s="121"/>
      <c r="P1343" s="121"/>
      <c r="Q1343" s="121"/>
      <c r="R1343" s="121"/>
      <c r="S1343" s="121"/>
      <c r="T1343" s="121"/>
      <c r="U1343" s="121"/>
      <c r="V1343" s="121"/>
      <c r="W1343" s="121"/>
      <c r="X1343" s="121"/>
      <c r="Y1343" s="121"/>
      <c r="Z1343" s="121"/>
      <c r="AA1343" s="121"/>
      <c r="AB1343" s="121"/>
      <c r="AC1343" s="121"/>
      <c r="AD1343" s="121"/>
      <c r="AE1343" s="121"/>
      <c r="AF1343" s="36"/>
      <c r="AG1343" s="36"/>
      <c r="AH1343" s="36"/>
      <c r="AI1343" s="36"/>
      <c r="AJ1343" s="36"/>
    </row>
    <row r="1344" ht="15.75" customHeight="1">
      <c r="A1344" s="36" t="s">
        <v>215</v>
      </c>
      <c r="B1344" s="36">
        <v>1.0</v>
      </c>
      <c r="C1344" s="36">
        <v>2.0</v>
      </c>
      <c r="D1344" s="36">
        <v>3.0</v>
      </c>
      <c r="E1344" s="36">
        <v>4.0</v>
      </c>
      <c r="F1344" s="36">
        <v>5.0</v>
      </c>
      <c r="G1344" s="36">
        <v>6.0</v>
      </c>
      <c r="H1344" s="36">
        <v>7.0</v>
      </c>
      <c r="I1344" s="36">
        <v>8.0</v>
      </c>
      <c r="J1344" s="36">
        <v>9.0</v>
      </c>
      <c r="K1344" s="36">
        <v>10.0</v>
      </c>
      <c r="L1344" s="36">
        <v>11.0</v>
      </c>
      <c r="M1344" s="36">
        <v>12.0</v>
      </c>
      <c r="N1344" s="36">
        <v>13.0</v>
      </c>
      <c r="O1344" s="36">
        <v>14.0</v>
      </c>
      <c r="P1344" s="36">
        <v>15.0</v>
      </c>
      <c r="Q1344" s="36">
        <v>16.0</v>
      </c>
      <c r="R1344" s="36">
        <v>17.0</v>
      </c>
      <c r="S1344" s="36">
        <v>18.0</v>
      </c>
      <c r="T1344" s="36">
        <v>19.0</v>
      </c>
      <c r="U1344" s="36">
        <v>20.0</v>
      </c>
      <c r="V1344" s="36">
        <v>21.0</v>
      </c>
      <c r="W1344" s="36">
        <v>22.0</v>
      </c>
      <c r="X1344" s="36">
        <v>23.0</v>
      </c>
      <c r="Y1344" s="36">
        <v>24.0</v>
      </c>
      <c r="Z1344" s="36">
        <v>25.0</v>
      </c>
      <c r="AA1344" s="36">
        <v>26.0</v>
      </c>
      <c r="AB1344" s="36">
        <v>27.0</v>
      </c>
      <c r="AC1344" s="36">
        <v>28.0</v>
      </c>
      <c r="AD1344" s="36">
        <v>29.0</v>
      </c>
      <c r="AE1344" s="36">
        <v>30.0</v>
      </c>
      <c r="AF1344" s="36"/>
      <c r="AG1344" s="36"/>
      <c r="AH1344" s="36"/>
      <c r="AI1344" s="36"/>
      <c r="AJ1344" s="36"/>
    </row>
    <row r="1345" ht="15.75" customHeight="1">
      <c r="A1345" s="12" t="s">
        <v>217</v>
      </c>
      <c r="B1345" s="401">
        <v>60.0</v>
      </c>
      <c r="C1345" s="401">
        <v>60.0</v>
      </c>
      <c r="D1345" s="401">
        <v>60.0</v>
      </c>
      <c r="E1345" s="401">
        <v>60.0</v>
      </c>
      <c r="F1345" s="401">
        <v>60.0</v>
      </c>
      <c r="G1345" s="401">
        <v>60.0</v>
      </c>
      <c r="H1345" s="401">
        <v>60.0</v>
      </c>
      <c r="I1345" s="401">
        <v>60.0</v>
      </c>
      <c r="J1345" s="401">
        <v>60.0</v>
      </c>
      <c r="K1345" s="401">
        <v>60.0</v>
      </c>
      <c r="L1345" s="401">
        <v>60.0</v>
      </c>
      <c r="M1345" s="401">
        <v>60.0</v>
      </c>
      <c r="N1345" s="401">
        <v>60.0</v>
      </c>
      <c r="O1345" s="401">
        <v>60.0</v>
      </c>
      <c r="P1345" s="401">
        <v>60.0</v>
      </c>
      <c r="Q1345" s="401">
        <v>60.0</v>
      </c>
      <c r="R1345" s="401">
        <v>60.0</v>
      </c>
      <c r="S1345" s="401">
        <v>60.0</v>
      </c>
      <c r="T1345" s="401">
        <v>60.0</v>
      </c>
      <c r="U1345" s="401">
        <v>60.0</v>
      </c>
      <c r="V1345" s="401">
        <v>60.0</v>
      </c>
      <c r="W1345" s="401">
        <v>60.0</v>
      </c>
      <c r="X1345" s="401">
        <v>60.0</v>
      </c>
      <c r="Y1345" s="401">
        <v>60.0</v>
      </c>
      <c r="Z1345" s="401">
        <v>60.0</v>
      </c>
      <c r="AA1345" s="401">
        <v>60.0</v>
      </c>
      <c r="AB1345" s="401">
        <v>60.0</v>
      </c>
      <c r="AC1345" s="401">
        <v>60.0</v>
      </c>
      <c r="AD1345" s="401">
        <v>60.0</v>
      </c>
      <c r="AE1345" s="401">
        <v>60.0</v>
      </c>
      <c r="AF1345" s="36"/>
      <c r="AG1345" s="36"/>
      <c r="AH1345" s="36"/>
      <c r="AI1345" s="36"/>
      <c r="AJ1345" s="36"/>
    </row>
    <row r="1346" ht="15.75" customHeight="1">
      <c r="A1346" s="12" t="s">
        <v>218</v>
      </c>
      <c r="B1346" s="121">
        <v>0.0</v>
      </c>
      <c r="C1346" s="121">
        <v>0.0</v>
      </c>
      <c r="D1346" s="121">
        <v>0.0</v>
      </c>
      <c r="E1346" s="121">
        <v>0.0</v>
      </c>
      <c r="F1346" s="121">
        <v>0.0</v>
      </c>
      <c r="G1346" s="121">
        <v>0.0</v>
      </c>
      <c r="H1346" s="121">
        <v>0.0</v>
      </c>
      <c r="I1346" s="121">
        <v>0.0</v>
      </c>
      <c r="J1346" s="121">
        <v>0.0</v>
      </c>
      <c r="K1346" s="121">
        <v>0.0</v>
      </c>
      <c r="L1346" s="121">
        <v>0.0</v>
      </c>
      <c r="M1346" s="121">
        <v>0.0</v>
      </c>
      <c r="N1346" s="121">
        <v>0.0</v>
      </c>
      <c r="O1346" s="121">
        <v>0.0</v>
      </c>
      <c r="P1346" s="121">
        <v>0.0</v>
      </c>
      <c r="Q1346" s="121">
        <v>0.0</v>
      </c>
      <c r="R1346" s="121">
        <v>0.0</v>
      </c>
      <c r="S1346" s="121">
        <v>0.0</v>
      </c>
      <c r="T1346" s="121">
        <v>0.0</v>
      </c>
      <c r="U1346" s="121">
        <v>0.0</v>
      </c>
      <c r="V1346" s="121">
        <v>0.0</v>
      </c>
      <c r="W1346" s="121">
        <v>0.0</v>
      </c>
      <c r="X1346" s="121">
        <v>0.0</v>
      </c>
      <c r="Y1346" s="121">
        <v>0.0</v>
      </c>
      <c r="Z1346" s="121">
        <v>0.0</v>
      </c>
      <c r="AA1346" s="121">
        <v>0.0</v>
      </c>
      <c r="AB1346" s="121">
        <v>0.0</v>
      </c>
      <c r="AC1346" s="121">
        <v>0.0</v>
      </c>
      <c r="AD1346" s="121">
        <v>0.0</v>
      </c>
      <c r="AE1346" s="121">
        <v>0.0</v>
      </c>
      <c r="AF1346" s="36"/>
      <c r="AG1346" s="36"/>
      <c r="AH1346" s="36"/>
      <c r="AI1346" s="36"/>
      <c r="AJ1346" s="36"/>
    </row>
    <row r="1347" ht="15.75" customHeight="1">
      <c r="A1347" s="12"/>
      <c r="B1347" s="390"/>
      <c r="C1347" s="390"/>
      <c r="D1347" s="390"/>
      <c r="E1347" s="121"/>
      <c r="F1347" s="121"/>
      <c r="G1347" s="121"/>
      <c r="H1347" s="121"/>
      <c r="I1347" s="121"/>
      <c r="J1347" s="121"/>
      <c r="K1347" s="121"/>
      <c r="L1347" s="121"/>
      <c r="M1347" s="121"/>
      <c r="N1347" s="121"/>
      <c r="O1347" s="121"/>
      <c r="P1347" s="121"/>
      <c r="Q1347" s="121"/>
      <c r="R1347" s="121"/>
      <c r="S1347" s="121"/>
      <c r="T1347" s="121"/>
      <c r="U1347" s="121"/>
      <c r="V1347" s="121"/>
      <c r="W1347" s="121"/>
      <c r="X1347" s="121"/>
      <c r="Y1347" s="121"/>
      <c r="Z1347" s="121"/>
      <c r="AA1347" s="121"/>
      <c r="AB1347" s="121"/>
      <c r="AC1347" s="121"/>
      <c r="AD1347" s="121"/>
      <c r="AE1347" s="121"/>
      <c r="AF1347" s="36"/>
      <c r="AG1347" s="36"/>
      <c r="AH1347" s="36"/>
      <c r="AI1347" s="36"/>
      <c r="AJ1347" s="36"/>
    </row>
    <row r="1348" ht="15.75" customHeight="1">
      <c r="A1348" s="242" t="s">
        <v>1772</v>
      </c>
      <c r="B1348" s="390"/>
      <c r="C1348" s="390"/>
      <c r="D1348" s="390"/>
      <c r="E1348" s="121"/>
      <c r="F1348" s="121"/>
      <c r="G1348" s="121"/>
      <c r="H1348" s="121"/>
      <c r="I1348" s="121"/>
      <c r="J1348" s="121"/>
      <c r="K1348" s="121"/>
      <c r="L1348" s="121"/>
      <c r="M1348" s="121"/>
      <c r="N1348" s="121"/>
      <c r="O1348" s="121"/>
      <c r="P1348" s="121"/>
      <c r="Q1348" s="121"/>
      <c r="R1348" s="121"/>
      <c r="S1348" s="121"/>
      <c r="T1348" s="121"/>
      <c r="U1348" s="121"/>
      <c r="V1348" s="121"/>
      <c r="W1348" s="121"/>
      <c r="X1348" s="121"/>
      <c r="Y1348" s="121"/>
      <c r="Z1348" s="121"/>
      <c r="AA1348" s="121"/>
      <c r="AB1348" s="121"/>
      <c r="AC1348" s="121"/>
      <c r="AD1348" s="121"/>
      <c r="AE1348" s="121"/>
      <c r="AF1348" s="36"/>
      <c r="AG1348" s="36"/>
      <c r="AH1348" s="36"/>
      <c r="AI1348" s="36"/>
      <c r="AJ1348" s="36"/>
    </row>
    <row r="1349" ht="15.75" customHeight="1">
      <c r="A1349" s="12"/>
      <c r="B1349" s="390"/>
      <c r="C1349" s="390"/>
      <c r="D1349" s="390"/>
      <c r="E1349" s="121"/>
      <c r="F1349" s="121"/>
      <c r="G1349" s="121"/>
      <c r="H1349" s="121"/>
      <c r="I1349" s="121"/>
      <c r="J1349" s="121"/>
      <c r="K1349" s="121"/>
      <c r="L1349" s="121"/>
      <c r="M1349" s="121"/>
      <c r="N1349" s="121"/>
      <c r="O1349" s="121"/>
      <c r="P1349" s="121"/>
      <c r="Q1349" s="121"/>
      <c r="R1349" s="121"/>
      <c r="S1349" s="121"/>
      <c r="T1349" s="121"/>
      <c r="U1349" s="121"/>
      <c r="V1349" s="121"/>
      <c r="W1349" s="121"/>
      <c r="X1349" s="121"/>
      <c r="Y1349" s="121"/>
      <c r="Z1349" s="121"/>
      <c r="AA1349" s="121"/>
      <c r="AB1349" s="121"/>
      <c r="AC1349" s="121"/>
      <c r="AD1349" s="121"/>
      <c r="AE1349" s="121"/>
      <c r="AF1349" s="36"/>
      <c r="AG1349" s="36"/>
      <c r="AH1349" s="36"/>
      <c r="AI1349" s="36"/>
      <c r="AJ1349" s="36"/>
    </row>
    <row r="1350" ht="15.75" customHeight="1">
      <c r="A1350" s="36" t="s">
        <v>215</v>
      </c>
      <c r="B1350" s="36">
        <v>1.0</v>
      </c>
      <c r="C1350" s="36">
        <v>2.0</v>
      </c>
      <c r="D1350" s="36">
        <v>3.0</v>
      </c>
      <c r="E1350" s="36">
        <v>4.0</v>
      </c>
      <c r="F1350" s="36">
        <v>5.0</v>
      </c>
      <c r="G1350" s="36">
        <v>6.0</v>
      </c>
      <c r="H1350" s="36">
        <v>7.0</v>
      </c>
      <c r="I1350" s="36">
        <v>8.0</v>
      </c>
      <c r="J1350" s="36">
        <v>9.0</v>
      </c>
      <c r="K1350" s="36">
        <v>10.0</v>
      </c>
      <c r="L1350" s="36">
        <v>11.0</v>
      </c>
      <c r="M1350" s="36">
        <v>12.0</v>
      </c>
      <c r="N1350" s="36">
        <v>13.0</v>
      </c>
      <c r="O1350" s="36">
        <v>14.0</v>
      </c>
      <c r="P1350" s="36">
        <v>15.0</v>
      </c>
      <c r="Q1350" s="36">
        <v>16.0</v>
      </c>
      <c r="R1350" s="36">
        <v>17.0</v>
      </c>
      <c r="S1350" s="36">
        <v>18.0</v>
      </c>
      <c r="T1350" s="36">
        <v>19.0</v>
      </c>
      <c r="U1350" s="36">
        <v>20.0</v>
      </c>
      <c r="V1350" s="36">
        <v>21.0</v>
      </c>
      <c r="W1350" s="36">
        <v>22.0</v>
      </c>
      <c r="X1350" s="36">
        <v>23.0</v>
      </c>
      <c r="Y1350" s="36">
        <v>24.0</v>
      </c>
      <c r="Z1350" s="36">
        <v>25.0</v>
      </c>
      <c r="AA1350" s="36">
        <v>26.0</v>
      </c>
      <c r="AB1350" s="36">
        <v>27.0</v>
      </c>
      <c r="AC1350" s="36">
        <v>28.0</v>
      </c>
      <c r="AD1350" s="36">
        <v>29.0</v>
      </c>
      <c r="AE1350" s="36">
        <v>30.0</v>
      </c>
      <c r="AF1350" s="36"/>
      <c r="AG1350" s="36"/>
      <c r="AH1350" s="36"/>
      <c r="AI1350" s="36"/>
      <c r="AJ1350" s="36"/>
    </row>
    <row r="1351" ht="15.75" customHeight="1">
      <c r="A1351" s="12" t="s">
        <v>217</v>
      </c>
      <c r="B1351" s="401">
        <v>65.0</v>
      </c>
      <c r="C1351" s="401">
        <v>65.0</v>
      </c>
      <c r="D1351" s="401">
        <v>65.0</v>
      </c>
      <c r="E1351" s="401">
        <v>65.0</v>
      </c>
      <c r="F1351" s="401">
        <v>65.0</v>
      </c>
      <c r="G1351" s="401">
        <v>65.0</v>
      </c>
      <c r="H1351" s="401">
        <v>65.0</v>
      </c>
      <c r="I1351" s="401">
        <v>65.0</v>
      </c>
      <c r="J1351" s="401">
        <v>65.0</v>
      </c>
      <c r="K1351" s="401">
        <v>65.0</v>
      </c>
      <c r="L1351" s="401">
        <v>65.0</v>
      </c>
      <c r="M1351" s="401">
        <v>65.0</v>
      </c>
      <c r="N1351" s="401">
        <v>65.0</v>
      </c>
      <c r="O1351" s="401">
        <v>65.0</v>
      </c>
      <c r="P1351" s="401">
        <v>65.0</v>
      </c>
      <c r="Q1351" s="401">
        <v>65.0</v>
      </c>
      <c r="R1351" s="401">
        <v>65.0</v>
      </c>
      <c r="S1351" s="401">
        <v>65.0</v>
      </c>
      <c r="T1351" s="401">
        <v>65.0</v>
      </c>
      <c r="U1351" s="401">
        <v>65.0</v>
      </c>
      <c r="V1351" s="401">
        <v>65.0</v>
      </c>
      <c r="W1351" s="401">
        <v>65.0</v>
      </c>
      <c r="X1351" s="401">
        <v>65.0</v>
      </c>
      <c r="Y1351" s="401">
        <v>65.0</v>
      </c>
      <c r="Z1351" s="401">
        <v>65.0</v>
      </c>
      <c r="AA1351" s="401">
        <v>65.0</v>
      </c>
      <c r="AB1351" s="401">
        <v>65.0</v>
      </c>
      <c r="AC1351" s="401">
        <v>65.0</v>
      </c>
      <c r="AD1351" s="401">
        <v>65.0</v>
      </c>
      <c r="AE1351" s="401">
        <v>65.0</v>
      </c>
      <c r="AF1351" s="36"/>
      <c r="AG1351" s="36"/>
      <c r="AH1351" s="36"/>
      <c r="AI1351" s="36"/>
      <c r="AJ1351" s="36"/>
    </row>
    <row r="1352" ht="15.75" customHeight="1">
      <c r="A1352" s="12" t="s">
        <v>218</v>
      </c>
      <c r="B1352" s="121">
        <v>0.0</v>
      </c>
      <c r="C1352" s="121">
        <v>0.0</v>
      </c>
      <c r="D1352" s="121">
        <v>0.0</v>
      </c>
      <c r="E1352" s="121">
        <v>0.0</v>
      </c>
      <c r="F1352" s="121">
        <v>0.0</v>
      </c>
      <c r="G1352" s="121">
        <v>0.0</v>
      </c>
      <c r="H1352" s="121">
        <v>0.0</v>
      </c>
      <c r="I1352" s="121">
        <v>0.0</v>
      </c>
      <c r="J1352" s="121">
        <v>0.0</v>
      </c>
      <c r="K1352" s="121">
        <v>0.0</v>
      </c>
      <c r="L1352" s="121">
        <v>0.0</v>
      </c>
      <c r="M1352" s="121">
        <v>0.0</v>
      </c>
      <c r="N1352" s="121">
        <v>0.0</v>
      </c>
      <c r="O1352" s="121">
        <v>0.0</v>
      </c>
      <c r="P1352" s="121">
        <v>0.0</v>
      </c>
      <c r="Q1352" s="121">
        <v>0.0</v>
      </c>
      <c r="R1352" s="121">
        <v>0.0</v>
      </c>
      <c r="S1352" s="121">
        <v>0.0</v>
      </c>
      <c r="T1352" s="121">
        <v>0.0</v>
      </c>
      <c r="U1352" s="121">
        <v>0.0</v>
      </c>
      <c r="V1352" s="121">
        <v>0.0</v>
      </c>
      <c r="W1352" s="121">
        <v>0.0</v>
      </c>
      <c r="X1352" s="121">
        <v>0.0</v>
      </c>
      <c r="Y1352" s="121">
        <v>0.0</v>
      </c>
      <c r="Z1352" s="121">
        <v>0.0</v>
      </c>
      <c r="AA1352" s="121">
        <v>0.0</v>
      </c>
      <c r="AB1352" s="121">
        <v>0.0</v>
      </c>
      <c r="AC1352" s="121">
        <v>0.0</v>
      </c>
      <c r="AD1352" s="121">
        <v>0.0</v>
      </c>
      <c r="AE1352" s="121">
        <v>0.0</v>
      </c>
      <c r="AF1352" s="36"/>
      <c r="AG1352" s="36"/>
      <c r="AH1352" s="36"/>
      <c r="AI1352" s="36"/>
      <c r="AJ1352" s="36"/>
    </row>
    <row r="1353" ht="15.75" customHeight="1">
      <c r="A1353" s="12"/>
      <c r="B1353" s="390"/>
      <c r="C1353" s="390"/>
      <c r="D1353" s="390"/>
      <c r="E1353" s="121"/>
      <c r="F1353" s="121"/>
      <c r="G1353" s="121"/>
      <c r="H1353" s="121"/>
      <c r="I1353" s="121"/>
      <c r="J1353" s="121"/>
      <c r="K1353" s="121"/>
      <c r="L1353" s="121"/>
      <c r="M1353" s="121"/>
      <c r="N1353" s="121"/>
      <c r="O1353" s="121"/>
      <c r="P1353" s="121"/>
      <c r="Q1353" s="121"/>
      <c r="R1353" s="121"/>
      <c r="S1353" s="121"/>
      <c r="T1353" s="121"/>
      <c r="U1353" s="121"/>
      <c r="V1353" s="121"/>
      <c r="W1353" s="121"/>
      <c r="X1353" s="121"/>
      <c r="Y1353" s="121"/>
      <c r="Z1353" s="121"/>
      <c r="AA1353" s="121"/>
      <c r="AB1353" s="121"/>
      <c r="AC1353" s="121"/>
      <c r="AD1353" s="121"/>
      <c r="AE1353" s="121"/>
      <c r="AF1353" s="36"/>
      <c r="AG1353" s="36"/>
      <c r="AH1353" s="36"/>
      <c r="AI1353" s="36"/>
      <c r="AJ1353" s="36"/>
    </row>
    <row r="1354" ht="15.75" customHeight="1">
      <c r="A1354" s="242" t="s">
        <v>1776</v>
      </c>
      <c r="B1354" s="390"/>
      <c r="C1354" s="390"/>
      <c r="D1354" s="390"/>
      <c r="E1354" s="121"/>
      <c r="F1354" s="121"/>
      <c r="G1354" s="121"/>
      <c r="H1354" s="121"/>
      <c r="I1354" s="121"/>
      <c r="J1354" s="121"/>
      <c r="K1354" s="121"/>
      <c r="L1354" s="121"/>
      <c r="M1354" s="121"/>
      <c r="N1354" s="121"/>
      <c r="O1354" s="121"/>
      <c r="P1354" s="121"/>
      <c r="Q1354" s="121"/>
      <c r="R1354" s="121"/>
      <c r="S1354" s="121"/>
      <c r="T1354" s="121"/>
      <c r="U1354" s="121"/>
      <c r="V1354" s="121"/>
      <c r="W1354" s="121"/>
      <c r="X1354" s="121"/>
      <c r="Y1354" s="121"/>
      <c r="Z1354" s="121"/>
      <c r="AA1354" s="121"/>
      <c r="AB1354" s="121"/>
      <c r="AC1354" s="121"/>
      <c r="AD1354" s="121"/>
      <c r="AE1354" s="121"/>
      <c r="AF1354" s="36"/>
      <c r="AG1354" s="36"/>
      <c r="AH1354" s="36"/>
      <c r="AI1354" s="36"/>
      <c r="AJ1354" s="36"/>
    </row>
    <row r="1355" ht="15.75" customHeight="1">
      <c r="A1355" s="12"/>
      <c r="B1355" s="390"/>
      <c r="C1355" s="390"/>
      <c r="D1355" s="390"/>
      <c r="E1355" s="121"/>
      <c r="F1355" s="121"/>
      <c r="G1355" s="121"/>
      <c r="H1355" s="121"/>
      <c r="I1355" s="121"/>
      <c r="J1355" s="121"/>
      <c r="K1355" s="121"/>
      <c r="L1355" s="121"/>
      <c r="M1355" s="121"/>
      <c r="N1355" s="121"/>
      <c r="O1355" s="121"/>
      <c r="P1355" s="121"/>
      <c r="Q1355" s="121"/>
      <c r="R1355" s="121"/>
      <c r="S1355" s="121"/>
      <c r="T1355" s="121"/>
      <c r="U1355" s="121"/>
      <c r="V1355" s="121"/>
      <c r="W1355" s="121"/>
      <c r="X1355" s="121"/>
      <c r="Y1355" s="121"/>
      <c r="Z1355" s="121"/>
      <c r="AA1355" s="121"/>
      <c r="AB1355" s="121"/>
      <c r="AC1355" s="121"/>
      <c r="AD1355" s="121"/>
      <c r="AE1355" s="121"/>
      <c r="AF1355" s="36"/>
      <c r="AG1355" s="36"/>
      <c r="AH1355" s="36"/>
      <c r="AI1355" s="36"/>
      <c r="AJ1355" s="36"/>
    </row>
    <row r="1356" ht="15.75" customHeight="1">
      <c r="A1356" s="36" t="s">
        <v>215</v>
      </c>
      <c r="B1356" s="36">
        <v>1.0</v>
      </c>
      <c r="C1356" s="36">
        <v>2.0</v>
      </c>
      <c r="D1356" s="36">
        <v>3.0</v>
      </c>
      <c r="E1356" s="36">
        <v>4.0</v>
      </c>
      <c r="F1356" s="36">
        <v>5.0</v>
      </c>
      <c r="G1356" s="36">
        <v>6.0</v>
      </c>
      <c r="H1356" s="36">
        <v>7.0</v>
      </c>
      <c r="I1356" s="36">
        <v>8.0</v>
      </c>
      <c r="J1356" s="36">
        <v>9.0</v>
      </c>
      <c r="K1356" s="36">
        <v>10.0</v>
      </c>
      <c r="L1356" s="36">
        <v>11.0</v>
      </c>
      <c r="M1356" s="36">
        <v>12.0</v>
      </c>
      <c r="N1356" s="36">
        <v>13.0</v>
      </c>
      <c r="O1356" s="36">
        <v>14.0</v>
      </c>
      <c r="P1356" s="36">
        <v>15.0</v>
      </c>
      <c r="Q1356" s="36">
        <v>16.0</v>
      </c>
      <c r="R1356" s="36">
        <v>17.0</v>
      </c>
      <c r="S1356" s="36">
        <v>18.0</v>
      </c>
      <c r="T1356" s="36">
        <v>19.0</v>
      </c>
      <c r="U1356" s="36">
        <v>20.0</v>
      </c>
      <c r="V1356" s="36">
        <v>21.0</v>
      </c>
      <c r="W1356" s="36">
        <v>22.0</v>
      </c>
      <c r="X1356" s="36">
        <v>23.0</v>
      </c>
      <c r="Y1356" s="36">
        <v>24.0</v>
      </c>
      <c r="Z1356" s="36">
        <v>25.0</v>
      </c>
      <c r="AA1356" s="36">
        <v>26.0</v>
      </c>
      <c r="AB1356" s="36">
        <v>27.0</v>
      </c>
      <c r="AC1356" s="36">
        <v>28.0</v>
      </c>
      <c r="AD1356" s="36">
        <v>29.0</v>
      </c>
      <c r="AE1356" s="36">
        <v>30.0</v>
      </c>
      <c r="AF1356" s="36"/>
      <c r="AG1356" s="36"/>
      <c r="AH1356" s="36"/>
      <c r="AI1356" s="36"/>
      <c r="AJ1356" s="36"/>
    </row>
    <row r="1357" ht="15.75" customHeight="1">
      <c r="A1357" s="12" t="s">
        <v>217</v>
      </c>
      <c r="B1357" s="401">
        <v>65.0</v>
      </c>
      <c r="C1357" s="401">
        <v>65.0</v>
      </c>
      <c r="D1357" s="401">
        <v>65.0</v>
      </c>
      <c r="E1357" s="401">
        <v>65.0</v>
      </c>
      <c r="F1357" s="401">
        <v>65.0</v>
      </c>
      <c r="G1357" s="401">
        <v>65.0</v>
      </c>
      <c r="H1357" s="401">
        <v>65.0</v>
      </c>
      <c r="I1357" s="401">
        <v>65.0</v>
      </c>
      <c r="J1357" s="401">
        <v>65.0</v>
      </c>
      <c r="K1357" s="401">
        <v>65.0</v>
      </c>
      <c r="L1357" s="401">
        <v>65.0</v>
      </c>
      <c r="M1357" s="401">
        <v>65.0</v>
      </c>
      <c r="N1357" s="401">
        <v>65.0</v>
      </c>
      <c r="O1357" s="401">
        <v>65.0</v>
      </c>
      <c r="P1357" s="401">
        <v>65.0</v>
      </c>
      <c r="Q1357" s="401">
        <v>65.0</v>
      </c>
      <c r="R1357" s="401">
        <v>65.0</v>
      </c>
      <c r="S1357" s="401">
        <v>65.0</v>
      </c>
      <c r="T1357" s="401">
        <v>65.0</v>
      </c>
      <c r="U1357" s="401">
        <v>65.0</v>
      </c>
      <c r="V1357" s="401">
        <v>65.0</v>
      </c>
      <c r="W1357" s="401">
        <v>65.0</v>
      </c>
      <c r="X1357" s="401">
        <v>65.0</v>
      </c>
      <c r="Y1357" s="401">
        <v>65.0</v>
      </c>
      <c r="Z1357" s="401">
        <v>65.0</v>
      </c>
      <c r="AA1357" s="401">
        <v>65.0</v>
      </c>
      <c r="AB1357" s="401">
        <v>65.0</v>
      </c>
      <c r="AC1357" s="401">
        <v>65.0</v>
      </c>
      <c r="AD1357" s="401">
        <v>65.0</v>
      </c>
      <c r="AE1357" s="401">
        <v>65.0</v>
      </c>
      <c r="AF1357" s="36"/>
      <c r="AG1357" s="36"/>
      <c r="AH1357" s="36"/>
      <c r="AI1357" s="36"/>
      <c r="AJ1357" s="36"/>
    </row>
    <row r="1358" ht="15.75" customHeight="1">
      <c r="A1358" s="12" t="s">
        <v>218</v>
      </c>
      <c r="B1358" s="121">
        <v>0.0</v>
      </c>
      <c r="C1358" s="121">
        <v>0.0</v>
      </c>
      <c r="D1358" s="121">
        <v>0.0</v>
      </c>
      <c r="E1358" s="121">
        <v>0.0</v>
      </c>
      <c r="F1358" s="121">
        <v>0.0</v>
      </c>
      <c r="G1358" s="121">
        <v>0.0</v>
      </c>
      <c r="H1358" s="121">
        <v>0.0</v>
      </c>
      <c r="I1358" s="121">
        <v>0.0</v>
      </c>
      <c r="J1358" s="121">
        <v>0.0</v>
      </c>
      <c r="K1358" s="121">
        <v>0.0</v>
      </c>
      <c r="L1358" s="121">
        <v>0.0</v>
      </c>
      <c r="M1358" s="121">
        <v>0.0</v>
      </c>
      <c r="N1358" s="121">
        <v>0.0</v>
      </c>
      <c r="O1358" s="121">
        <v>0.0</v>
      </c>
      <c r="P1358" s="121">
        <v>0.0</v>
      </c>
      <c r="Q1358" s="121">
        <v>0.0</v>
      </c>
      <c r="R1358" s="121">
        <v>0.0</v>
      </c>
      <c r="S1358" s="121">
        <v>0.0</v>
      </c>
      <c r="T1358" s="121">
        <v>0.0</v>
      </c>
      <c r="U1358" s="121">
        <v>0.0</v>
      </c>
      <c r="V1358" s="121">
        <v>0.0</v>
      </c>
      <c r="W1358" s="121">
        <v>0.0</v>
      </c>
      <c r="X1358" s="121">
        <v>0.0</v>
      </c>
      <c r="Y1358" s="121">
        <v>0.0</v>
      </c>
      <c r="Z1358" s="121">
        <v>0.0</v>
      </c>
      <c r="AA1358" s="121">
        <v>0.0</v>
      </c>
      <c r="AB1358" s="121">
        <v>0.0</v>
      </c>
      <c r="AC1358" s="121">
        <v>0.0</v>
      </c>
      <c r="AD1358" s="121">
        <v>0.0</v>
      </c>
      <c r="AE1358" s="121">
        <v>0.0</v>
      </c>
      <c r="AF1358" s="36"/>
      <c r="AG1358" s="36"/>
      <c r="AH1358" s="36"/>
      <c r="AI1358" s="36"/>
      <c r="AJ1358" s="36"/>
    </row>
    <row r="1359" ht="15.75" customHeight="1">
      <c r="A1359" s="12"/>
      <c r="B1359" s="390"/>
      <c r="C1359" s="390"/>
      <c r="D1359" s="390"/>
      <c r="E1359" s="121"/>
      <c r="F1359" s="121"/>
      <c r="G1359" s="121"/>
      <c r="H1359" s="121"/>
      <c r="I1359" s="121"/>
      <c r="J1359" s="121"/>
      <c r="K1359" s="121"/>
      <c r="L1359" s="121"/>
      <c r="M1359" s="121"/>
      <c r="N1359" s="121"/>
      <c r="O1359" s="121"/>
      <c r="P1359" s="121"/>
      <c r="Q1359" s="121"/>
      <c r="R1359" s="121"/>
      <c r="S1359" s="121"/>
      <c r="T1359" s="121"/>
      <c r="U1359" s="121"/>
      <c r="V1359" s="121"/>
      <c r="W1359" s="121"/>
      <c r="X1359" s="121"/>
      <c r="Y1359" s="121"/>
      <c r="Z1359" s="121"/>
      <c r="AA1359" s="121"/>
      <c r="AB1359" s="121"/>
      <c r="AC1359" s="121"/>
      <c r="AD1359" s="121"/>
      <c r="AE1359" s="121"/>
      <c r="AF1359" s="36"/>
      <c r="AG1359" s="36"/>
      <c r="AH1359" s="36"/>
      <c r="AI1359" s="36"/>
      <c r="AJ1359" s="36"/>
    </row>
    <row r="1360" ht="15.75" customHeight="1">
      <c r="A1360" s="242" t="s">
        <v>1780</v>
      </c>
      <c r="B1360" s="390"/>
      <c r="C1360" s="390"/>
      <c r="D1360" s="390"/>
      <c r="E1360" s="121"/>
      <c r="F1360" s="121"/>
      <c r="G1360" s="121"/>
      <c r="H1360" s="121"/>
      <c r="I1360" s="121"/>
      <c r="J1360" s="121"/>
      <c r="K1360" s="121"/>
      <c r="L1360" s="121"/>
      <c r="M1360" s="121"/>
      <c r="N1360" s="121"/>
      <c r="O1360" s="121"/>
      <c r="P1360" s="121"/>
      <c r="Q1360" s="121"/>
      <c r="R1360" s="121"/>
      <c r="S1360" s="121"/>
      <c r="T1360" s="121"/>
      <c r="U1360" s="121"/>
      <c r="V1360" s="121"/>
      <c r="W1360" s="121"/>
      <c r="X1360" s="121"/>
      <c r="Y1360" s="121"/>
      <c r="Z1360" s="121"/>
      <c r="AA1360" s="121"/>
      <c r="AB1360" s="121"/>
      <c r="AC1360" s="121"/>
      <c r="AD1360" s="121"/>
      <c r="AE1360" s="121"/>
      <c r="AF1360" s="36"/>
      <c r="AG1360" s="36"/>
      <c r="AH1360" s="36"/>
      <c r="AI1360" s="36"/>
      <c r="AJ1360" s="36"/>
    </row>
    <row r="1361" ht="15.75" customHeight="1">
      <c r="A1361" s="12"/>
      <c r="B1361" s="390"/>
      <c r="C1361" s="390"/>
      <c r="D1361" s="390"/>
      <c r="E1361" s="121"/>
      <c r="F1361" s="121"/>
      <c r="G1361" s="121"/>
      <c r="H1361" s="121"/>
      <c r="I1361" s="121"/>
      <c r="J1361" s="121"/>
      <c r="K1361" s="121"/>
      <c r="L1361" s="121"/>
      <c r="M1361" s="121"/>
      <c r="N1361" s="121"/>
      <c r="O1361" s="121"/>
      <c r="P1361" s="121"/>
      <c r="Q1361" s="121"/>
      <c r="R1361" s="121"/>
      <c r="S1361" s="121"/>
      <c r="T1361" s="121"/>
      <c r="U1361" s="121"/>
      <c r="V1361" s="121"/>
      <c r="W1361" s="121"/>
      <c r="X1361" s="121"/>
      <c r="Y1361" s="121"/>
      <c r="Z1361" s="121"/>
      <c r="AA1361" s="121"/>
      <c r="AB1361" s="121"/>
      <c r="AC1361" s="121"/>
      <c r="AD1361" s="121"/>
      <c r="AE1361" s="121"/>
      <c r="AF1361" s="36"/>
      <c r="AG1361" s="36"/>
      <c r="AH1361" s="36"/>
      <c r="AI1361" s="36"/>
      <c r="AJ1361" s="36"/>
    </row>
    <row r="1362" ht="15.75" customHeight="1">
      <c r="A1362" s="36" t="s">
        <v>215</v>
      </c>
      <c r="B1362" s="36">
        <v>1.0</v>
      </c>
      <c r="C1362" s="36">
        <v>2.0</v>
      </c>
      <c r="D1362" s="36">
        <v>3.0</v>
      </c>
      <c r="E1362" s="36">
        <v>4.0</v>
      </c>
      <c r="F1362" s="36">
        <v>5.0</v>
      </c>
      <c r="G1362" s="36">
        <v>6.0</v>
      </c>
      <c r="H1362" s="36">
        <v>7.0</v>
      </c>
      <c r="I1362" s="36">
        <v>8.0</v>
      </c>
      <c r="J1362" s="36">
        <v>9.0</v>
      </c>
      <c r="K1362" s="36">
        <v>10.0</v>
      </c>
      <c r="L1362" s="36">
        <v>11.0</v>
      </c>
      <c r="M1362" s="36">
        <v>12.0</v>
      </c>
      <c r="N1362" s="36">
        <v>13.0</v>
      </c>
      <c r="O1362" s="36">
        <v>14.0</v>
      </c>
      <c r="P1362" s="36">
        <v>15.0</v>
      </c>
      <c r="Q1362" s="36">
        <v>16.0</v>
      </c>
      <c r="R1362" s="36">
        <v>17.0</v>
      </c>
      <c r="S1362" s="36">
        <v>18.0</v>
      </c>
      <c r="T1362" s="36">
        <v>19.0</v>
      </c>
      <c r="U1362" s="36">
        <v>20.0</v>
      </c>
      <c r="V1362" s="36">
        <v>21.0</v>
      </c>
      <c r="W1362" s="36">
        <v>22.0</v>
      </c>
      <c r="X1362" s="36">
        <v>23.0</v>
      </c>
      <c r="Y1362" s="36">
        <v>24.0</v>
      </c>
      <c r="Z1362" s="36">
        <v>25.0</v>
      </c>
      <c r="AA1362" s="36">
        <v>26.0</v>
      </c>
      <c r="AB1362" s="36">
        <v>27.0</v>
      </c>
      <c r="AC1362" s="36">
        <v>28.0</v>
      </c>
      <c r="AD1362" s="36">
        <v>29.0</v>
      </c>
      <c r="AE1362" s="36">
        <v>30.0</v>
      </c>
      <c r="AF1362" s="36"/>
      <c r="AG1362" s="36"/>
      <c r="AH1362" s="36"/>
      <c r="AI1362" s="36"/>
      <c r="AJ1362" s="36"/>
    </row>
    <row r="1363" ht="15.75" customHeight="1">
      <c r="A1363" s="12" t="s">
        <v>217</v>
      </c>
      <c r="B1363" s="401">
        <v>30.0</v>
      </c>
      <c r="C1363" s="401">
        <v>30.0</v>
      </c>
      <c r="D1363" s="401">
        <v>30.0</v>
      </c>
      <c r="E1363" s="401">
        <v>30.0</v>
      </c>
      <c r="F1363" s="401">
        <v>30.0</v>
      </c>
      <c r="G1363" s="401">
        <v>30.0</v>
      </c>
      <c r="H1363" s="401">
        <v>30.0</v>
      </c>
      <c r="I1363" s="401">
        <v>30.0</v>
      </c>
      <c r="J1363" s="401">
        <v>30.0</v>
      </c>
      <c r="K1363" s="401">
        <v>30.0</v>
      </c>
      <c r="L1363" s="401">
        <v>30.0</v>
      </c>
      <c r="M1363" s="401">
        <v>30.0</v>
      </c>
      <c r="N1363" s="401">
        <v>30.0</v>
      </c>
      <c r="O1363" s="401">
        <v>30.0</v>
      </c>
      <c r="P1363" s="401">
        <v>30.0</v>
      </c>
      <c r="Q1363" s="401">
        <v>30.0</v>
      </c>
      <c r="R1363" s="401">
        <v>30.0</v>
      </c>
      <c r="S1363" s="401">
        <v>30.0</v>
      </c>
      <c r="T1363" s="401">
        <v>30.0</v>
      </c>
      <c r="U1363" s="401">
        <v>30.0</v>
      </c>
      <c r="V1363" s="401">
        <v>30.0</v>
      </c>
      <c r="W1363" s="401">
        <v>30.0</v>
      </c>
      <c r="X1363" s="401">
        <v>30.0</v>
      </c>
      <c r="Y1363" s="401">
        <v>30.0</v>
      </c>
      <c r="Z1363" s="401">
        <v>30.0</v>
      </c>
      <c r="AA1363" s="401">
        <v>30.0</v>
      </c>
      <c r="AB1363" s="401">
        <v>30.0</v>
      </c>
      <c r="AC1363" s="401">
        <v>30.0</v>
      </c>
      <c r="AD1363" s="401">
        <v>30.0</v>
      </c>
      <c r="AE1363" s="401">
        <v>30.0</v>
      </c>
      <c r="AF1363" s="36"/>
      <c r="AG1363" s="36"/>
      <c r="AH1363" s="36"/>
      <c r="AI1363" s="36"/>
      <c r="AJ1363" s="36"/>
    </row>
    <row r="1364" ht="15.75" customHeight="1">
      <c r="A1364" s="12" t="s">
        <v>218</v>
      </c>
      <c r="B1364" s="121">
        <v>0.0</v>
      </c>
      <c r="C1364" s="121">
        <v>0.0</v>
      </c>
      <c r="D1364" s="121">
        <v>0.0</v>
      </c>
      <c r="E1364" s="121">
        <v>0.0</v>
      </c>
      <c r="F1364" s="121">
        <v>0.0</v>
      </c>
      <c r="G1364" s="121">
        <v>0.0</v>
      </c>
      <c r="H1364" s="121">
        <v>0.0</v>
      </c>
      <c r="I1364" s="121">
        <v>0.0</v>
      </c>
      <c r="J1364" s="121">
        <v>0.0</v>
      </c>
      <c r="K1364" s="121">
        <v>0.0</v>
      </c>
      <c r="L1364" s="121">
        <v>0.0</v>
      </c>
      <c r="M1364" s="121">
        <v>0.0</v>
      </c>
      <c r="N1364" s="121">
        <v>0.0</v>
      </c>
      <c r="O1364" s="121">
        <v>0.0</v>
      </c>
      <c r="P1364" s="121">
        <v>0.0</v>
      </c>
      <c r="Q1364" s="121">
        <v>0.0</v>
      </c>
      <c r="R1364" s="121">
        <v>0.0</v>
      </c>
      <c r="S1364" s="121">
        <v>0.0</v>
      </c>
      <c r="T1364" s="121">
        <v>0.0</v>
      </c>
      <c r="U1364" s="121">
        <v>0.0</v>
      </c>
      <c r="V1364" s="121">
        <v>0.0</v>
      </c>
      <c r="W1364" s="121">
        <v>0.0</v>
      </c>
      <c r="X1364" s="121">
        <v>0.0</v>
      </c>
      <c r="Y1364" s="121">
        <v>0.0</v>
      </c>
      <c r="Z1364" s="121">
        <v>0.0</v>
      </c>
      <c r="AA1364" s="121">
        <v>0.0</v>
      </c>
      <c r="AB1364" s="121">
        <v>0.0</v>
      </c>
      <c r="AC1364" s="121">
        <v>0.0</v>
      </c>
      <c r="AD1364" s="121">
        <v>0.0</v>
      </c>
      <c r="AE1364" s="121">
        <v>0.0</v>
      </c>
      <c r="AF1364" s="36"/>
      <c r="AG1364" s="36"/>
      <c r="AH1364" s="36"/>
      <c r="AI1364" s="36"/>
      <c r="AJ1364" s="36"/>
    </row>
    <row r="1365" ht="15.75" customHeight="1">
      <c r="A1365" s="12"/>
      <c r="B1365" s="390"/>
      <c r="C1365" s="390"/>
      <c r="D1365" s="390"/>
      <c r="E1365" s="121"/>
      <c r="F1365" s="121"/>
      <c r="G1365" s="121"/>
      <c r="H1365" s="121"/>
      <c r="I1365" s="121"/>
      <c r="J1365" s="121"/>
      <c r="K1365" s="121"/>
      <c r="L1365" s="121"/>
      <c r="M1365" s="121"/>
      <c r="N1365" s="121"/>
      <c r="O1365" s="121"/>
      <c r="P1365" s="121"/>
      <c r="Q1365" s="121"/>
      <c r="R1365" s="121"/>
      <c r="S1365" s="121"/>
      <c r="T1365" s="121"/>
      <c r="U1365" s="121"/>
      <c r="V1365" s="121"/>
      <c r="W1365" s="121"/>
      <c r="X1365" s="121"/>
      <c r="Y1365" s="121"/>
      <c r="Z1365" s="121"/>
      <c r="AA1365" s="121"/>
      <c r="AB1365" s="121"/>
      <c r="AC1365" s="121"/>
      <c r="AD1365" s="121"/>
      <c r="AE1365" s="121"/>
      <c r="AF1365" s="36"/>
      <c r="AG1365" s="36"/>
      <c r="AH1365" s="36"/>
      <c r="AI1365" s="36"/>
      <c r="AJ1365" s="36"/>
    </row>
    <row r="1366" ht="15.75" customHeight="1">
      <c r="A1366" s="242" t="s">
        <v>1784</v>
      </c>
      <c r="B1366" s="390"/>
      <c r="C1366" s="390"/>
      <c r="D1366" s="390"/>
      <c r="E1366" s="121"/>
      <c r="F1366" s="121"/>
      <c r="G1366" s="121"/>
      <c r="H1366" s="121"/>
      <c r="I1366" s="121"/>
      <c r="J1366" s="121"/>
      <c r="K1366" s="121"/>
      <c r="L1366" s="121"/>
      <c r="M1366" s="121"/>
      <c r="N1366" s="121"/>
      <c r="O1366" s="121"/>
      <c r="P1366" s="121"/>
      <c r="Q1366" s="121"/>
      <c r="R1366" s="121"/>
      <c r="S1366" s="121"/>
      <c r="T1366" s="121"/>
      <c r="U1366" s="121"/>
      <c r="V1366" s="121"/>
      <c r="W1366" s="121"/>
      <c r="X1366" s="121"/>
      <c r="Y1366" s="121"/>
      <c r="Z1366" s="121"/>
      <c r="AA1366" s="121"/>
      <c r="AB1366" s="121"/>
      <c r="AC1366" s="121"/>
      <c r="AD1366" s="121"/>
      <c r="AE1366" s="121"/>
      <c r="AF1366" s="36"/>
      <c r="AG1366" s="36"/>
      <c r="AH1366" s="36"/>
      <c r="AI1366" s="36"/>
      <c r="AJ1366" s="36"/>
    </row>
    <row r="1367" ht="15.75" customHeight="1">
      <c r="A1367" s="12"/>
      <c r="B1367" s="390"/>
      <c r="C1367" s="390"/>
      <c r="D1367" s="390"/>
      <c r="E1367" s="121"/>
      <c r="F1367" s="121"/>
      <c r="G1367" s="121"/>
      <c r="H1367" s="121"/>
      <c r="I1367" s="121"/>
      <c r="J1367" s="121"/>
      <c r="K1367" s="121"/>
      <c r="L1367" s="121"/>
      <c r="M1367" s="121"/>
      <c r="N1367" s="121"/>
      <c r="O1367" s="121"/>
      <c r="P1367" s="121"/>
      <c r="Q1367" s="121"/>
      <c r="R1367" s="121"/>
      <c r="S1367" s="121"/>
      <c r="T1367" s="121"/>
      <c r="U1367" s="121"/>
      <c r="V1367" s="121"/>
      <c r="W1367" s="121"/>
      <c r="X1367" s="121"/>
      <c r="Y1367" s="121"/>
      <c r="Z1367" s="121"/>
      <c r="AA1367" s="121"/>
      <c r="AB1367" s="121"/>
      <c r="AC1367" s="121"/>
      <c r="AD1367" s="121"/>
      <c r="AE1367" s="121"/>
      <c r="AF1367" s="36"/>
      <c r="AG1367" s="36"/>
      <c r="AH1367" s="36"/>
      <c r="AI1367" s="36"/>
      <c r="AJ1367" s="36"/>
    </row>
    <row r="1368" ht="15.75" customHeight="1">
      <c r="A1368" s="36" t="s">
        <v>215</v>
      </c>
      <c r="B1368" s="36">
        <v>1.0</v>
      </c>
      <c r="C1368" s="36">
        <v>2.0</v>
      </c>
      <c r="D1368" s="36">
        <v>3.0</v>
      </c>
      <c r="E1368" s="36">
        <v>4.0</v>
      </c>
      <c r="F1368" s="36">
        <v>5.0</v>
      </c>
      <c r="G1368" s="36">
        <v>6.0</v>
      </c>
      <c r="H1368" s="36">
        <v>7.0</v>
      </c>
      <c r="I1368" s="36">
        <v>8.0</v>
      </c>
      <c r="J1368" s="36">
        <v>9.0</v>
      </c>
      <c r="K1368" s="36">
        <v>10.0</v>
      </c>
      <c r="L1368" s="36">
        <v>11.0</v>
      </c>
      <c r="M1368" s="36">
        <v>12.0</v>
      </c>
      <c r="N1368" s="36">
        <v>13.0</v>
      </c>
      <c r="O1368" s="36">
        <v>14.0</v>
      </c>
      <c r="P1368" s="36">
        <v>15.0</v>
      </c>
      <c r="Q1368" s="36">
        <v>16.0</v>
      </c>
      <c r="R1368" s="36">
        <v>17.0</v>
      </c>
      <c r="S1368" s="36">
        <v>18.0</v>
      </c>
      <c r="T1368" s="36">
        <v>19.0</v>
      </c>
      <c r="U1368" s="36">
        <v>20.0</v>
      </c>
      <c r="V1368" s="36">
        <v>21.0</v>
      </c>
      <c r="W1368" s="36">
        <v>22.0</v>
      </c>
      <c r="X1368" s="36">
        <v>23.0</v>
      </c>
      <c r="Y1368" s="36">
        <v>24.0</v>
      </c>
      <c r="Z1368" s="36">
        <v>25.0</v>
      </c>
      <c r="AA1368" s="36">
        <v>26.0</v>
      </c>
      <c r="AB1368" s="36">
        <v>27.0</v>
      </c>
      <c r="AC1368" s="36">
        <v>28.0</v>
      </c>
      <c r="AD1368" s="36">
        <v>29.0</v>
      </c>
      <c r="AE1368" s="36">
        <v>30.0</v>
      </c>
      <c r="AF1368" s="36"/>
      <c r="AG1368" s="36"/>
      <c r="AH1368" s="36"/>
      <c r="AI1368" s="36"/>
      <c r="AJ1368" s="36"/>
    </row>
    <row r="1369" ht="15.75" customHeight="1">
      <c r="A1369" s="12" t="s">
        <v>217</v>
      </c>
      <c r="B1369" s="401">
        <v>0.0</v>
      </c>
      <c r="C1369" s="401">
        <f>IF(Mode=1, 80,65)</f>
        <v>65</v>
      </c>
      <c r="D1369" s="401">
        <f>IF(Mode=1, 80,65)</f>
        <v>65</v>
      </c>
      <c r="E1369" s="401">
        <f>IF(Mode=1, 80,65)</f>
        <v>65</v>
      </c>
      <c r="F1369" s="401">
        <f>IF(Mode=1, 80,65)</f>
        <v>65</v>
      </c>
      <c r="G1369" s="401">
        <f>IF(Mode=1, 80,65)</f>
        <v>65</v>
      </c>
      <c r="H1369" s="401">
        <f>IF(Mode=1, 80,65)</f>
        <v>65</v>
      </c>
      <c r="I1369" s="401">
        <f>IF(Mode=1, 80,65)</f>
        <v>65</v>
      </c>
      <c r="J1369" s="401">
        <f>IF(Mode=1, 80,65)</f>
        <v>65</v>
      </c>
      <c r="K1369" s="401">
        <f>IF(Mode=1, 80,65)</f>
        <v>65</v>
      </c>
      <c r="L1369" s="401">
        <f>IF(Mode=1, 80,65)</f>
        <v>65</v>
      </c>
      <c r="M1369" s="401">
        <f>IF(Mode=1, 80,65)</f>
        <v>65</v>
      </c>
      <c r="N1369" s="401">
        <f>IF(Mode=1, 80,65)</f>
        <v>65</v>
      </c>
      <c r="O1369" s="401">
        <f>IF(Mode=1, 80,65)</f>
        <v>65</v>
      </c>
      <c r="P1369" s="401">
        <f>IF(Mode=1, 80,65)</f>
        <v>65</v>
      </c>
      <c r="Q1369" s="401">
        <f>IF(Mode=1, 80,65)</f>
        <v>65</v>
      </c>
      <c r="R1369" s="401">
        <f>IF(Mode=1, 80,65)</f>
        <v>65</v>
      </c>
      <c r="S1369" s="401">
        <f>IF(Mode=1, 80,65)</f>
        <v>65</v>
      </c>
      <c r="T1369" s="401">
        <f>IF(Mode=1, 80,65)</f>
        <v>65</v>
      </c>
      <c r="U1369" s="401">
        <f>IF(Mode=1, 80,65)</f>
        <v>65</v>
      </c>
      <c r="V1369" s="401">
        <f>IF(Mode=1, 80,65)</f>
        <v>65</v>
      </c>
      <c r="W1369" s="401">
        <f>IF(Mode=1, 80,65)</f>
        <v>65</v>
      </c>
      <c r="X1369" s="401">
        <f>IF(Mode=1, 80,65)</f>
        <v>65</v>
      </c>
      <c r="Y1369" s="401">
        <f>IF(Mode=1, 80,65)</f>
        <v>65</v>
      </c>
      <c r="Z1369" s="401">
        <f>IF(Mode=1, 80,65)</f>
        <v>65</v>
      </c>
      <c r="AA1369" s="401">
        <f>IF(Mode=1, 80,65)</f>
        <v>65</v>
      </c>
      <c r="AB1369" s="401">
        <f>IF(Mode=1, 80,65)</f>
        <v>65</v>
      </c>
      <c r="AC1369" s="401">
        <f>IF(Mode=1, 80,65)</f>
        <v>65</v>
      </c>
      <c r="AD1369" s="401">
        <f>IF(Mode=1, 80,65)</f>
        <v>65</v>
      </c>
      <c r="AE1369" s="401">
        <f>IF(Mode=1, 80,65)</f>
        <v>65</v>
      </c>
      <c r="AF1369" s="36"/>
      <c r="AG1369" s="36"/>
      <c r="AH1369" s="36"/>
      <c r="AI1369" s="36"/>
      <c r="AJ1369" s="36"/>
    </row>
    <row r="1370" ht="15.75" customHeight="1">
      <c r="A1370" s="12" t="s">
        <v>218</v>
      </c>
      <c r="B1370" s="121">
        <v>0.0</v>
      </c>
      <c r="C1370" s="121">
        <v>0.0</v>
      </c>
      <c r="D1370" s="121">
        <v>0.0</v>
      </c>
      <c r="E1370" s="121">
        <v>0.0</v>
      </c>
      <c r="F1370" s="121">
        <v>0.0</v>
      </c>
      <c r="G1370" s="121">
        <v>0.0</v>
      </c>
      <c r="H1370" s="121">
        <v>0.0</v>
      </c>
      <c r="I1370" s="121">
        <v>0.0</v>
      </c>
      <c r="J1370" s="121">
        <v>0.0</v>
      </c>
      <c r="K1370" s="121">
        <v>0.0</v>
      </c>
      <c r="L1370" s="121">
        <v>0.0</v>
      </c>
      <c r="M1370" s="121">
        <v>0.0</v>
      </c>
      <c r="N1370" s="121">
        <v>0.0</v>
      </c>
      <c r="O1370" s="121">
        <v>0.0</v>
      </c>
      <c r="P1370" s="121">
        <v>0.0</v>
      </c>
      <c r="Q1370" s="121">
        <v>0.0</v>
      </c>
      <c r="R1370" s="121">
        <v>0.0</v>
      </c>
      <c r="S1370" s="121">
        <v>0.0</v>
      </c>
      <c r="T1370" s="121">
        <v>0.0</v>
      </c>
      <c r="U1370" s="121">
        <v>0.0</v>
      </c>
      <c r="V1370" s="121">
        <v>0.0</v>
      </c>
      <c r="W1370" s="121">
        <v>0.0</v>
      </c>
      <c r="X1370" s="121">
        <v>0.0</v>
      </c>
      <c r="Y1370" s="121">
        <v>0.0</v>
      </c>
      <c r="Z1370" s="121">
        <v>0.0</v>
      </c>
      <c r="AA1370" s="121">
        <v>0.0</v>
      </c>
      <c r="AB1370" s="121">
        <v>0.0</v>
      </c>
      <c r="AC1370" s="121">
        <v>0.0</v>
      </c>
      <c r="AD1370" s="121">
        <v>0.0</v>
      </c>
      <c r="AE1370" s="121">
        <v>0.0</v>
      </c>
      <c r="AF1370" s="36"/>
      <c r="AG1370" s="36"/>
      <c r="AH1370" s="36"/>
      <c r="AI1370" s="36"/>
      <c r="AJ1370" s="36"/>
    </row>
    <row r="1371" ht="15.75" customHeight="1">
      <c r="A1371" s="12"/>
      <c r="B1371" s="390"/>
      <c r="C1371" s="390"/>
      <c r="D1371" s="390"/>
      <c r="E1371" s="121"/>
      <c r="F1371" s="121"/>
      <c r="G1371" s="121"/>
      <c r="H1371" s="121"/>
      <c r="I1371" s="121"/>
      <c r="J1371" s="121"/>
      <c r="K1371" s="121"/>
      <c r="L1371" s="121"/>
      <c r="M1371" s="121"/>
      <c r="N1371" s="121"/>
      <c r="O1371" s="121"/>
      <c r="P1371" s="121"/>
      <c r="Q1371" s="121"/>
      <c r="R1371" s="121"/>
      <c r="S1371" s="121"/>
      <c r="T1371" s="121"/>
      <c r="U1371" s="121"/>
      <c r="V1371" s="121"/>
      <c r="W1371" s="121"/>
      <c r="X1371" s="121"/>
      <c r="Y1371" s="121"/>
      <c r="Z1371" s="121"/>
      <c r="AA1371" s="121"/>
      <c r="AB1371" s="121"/>
      <c r="AC1371" s="121"/>
      <c r="AD1371" s="121"/>
      <c r="AE1371" s="121"/>
      <c r="AF1371" s="36"/>
      <c r="AG1371" s="36"/>
      <c r="AH1371" s="36"/>
      <c r="AI1371" s="36"/>
      <c r="AJ1371" s="36"/>
    </row>
    <row r="1372" ht="15.75" customHeight="1">
      <c r="A1372" s="242" t="s">
        <v>1788</v>
      </c>
      <c r="B1372" s="390"/>
      <c r="C1372" s="390"/>
      <c r="D1372" s="390"/>
      <c r="E1372" s="121"/>
      <c r="F1372" s="121"/>
      <c r="G1372" s="121"/>
      <c r="H1372" s="121"/>
      <c r="I1372" s="121"/>
      <c r="J1372" s="121"/>
      <c r="K1372" s="121"/>
      <c r="L1372" s="121"/>
      <c r="M1372" s="121"/>
      <c r="N1372" s="121"/>
      <c r="O1372" s="121"/>
      <c r="P1372" s="121"/>
      <c r="Q1372" s="121"/>
      <c r="R1372" s="121"/>
      <c r="S1372" s="121"/>
      <c r="T1372" s="121"/>
      <c r="U1372" s="121"/>
      <c r="V1372" s="121"/>
      <c r="W1372" s="121"/>
      <c r="X1372" s="121"/>
      <c r="Y1372" s="121"/>
      <c r="Z1372" s="121"/>
      <c r="AA1372" s="121"/>
      <c r="AB1372" s="121"/>
      <c r="AC1372" s="121"/>
      <c r="AD1372" s="121"/>
      <c r="AE1372" s="121"/>
      <c r="AF1372" s="36"/>
      <c r="AG1372" s="36"/>
      <c r="AH1372" s="36"/>
      <c r="AI1372" s="36"/>
      <c r="AJ1372" s="36"/>
    </row>
    <row r="1373" ht="15.75" customHeight="1">
      <c r="A1373" s="12"/>
      <c r="B1373" s="390"/>
      <c r="C1373" s="390"/>
      <c r="D1373" s="390"/>
      <c r="E1373" s="121"/>
      <c r="F1373" s="121"/>
      <c r="G1373" s="121"/>
      <c r="H1373" s="121"/>
      <c r="I1373" s="121"/>
      <c r="J1373" s="121"/>
      <c r="K1373" s="121"/>
      <c r="L1373" s="121"/>
      <c r="M1373" s="121"/>
      <c r="N1373" s="121"/>
      <c r="O1373" s="121"/>
      <c r="P1373" s="121"/>
      <c r="Q1373" s="121"/>
      <c r="R1373" s="121"/>
      <c r="S1373" s="121"/>
      <c r="T1373" s="121"/>
      <c r="U1373" s="121"/>
      <c r="V1373" s="121"/>
      <c r="W1373" s="121"/>
      <c r="X1373" s="121"/>
      <c r="Y1373" s="121"/>
      <c r="Z1373" s="121"/>
      <c r="AA1373" s="121"/>
      <c r="AB1373" s="121"/>
      <c r="AC1373" s="121"/>
      <c r="AD1373" s="121"/>
      <c r="AE1373" s="121"/>
      <c r="AF1373" s="36"/>
      <c r="AG1373" s="36"/>
      <c r="AH1373" s="36"/>
      <c r="AI1373" s="36"/>
      <c r="AJ1373" s="36"/>
    </row>
    <row r="1374" ht="15.75" customHeight="1">
      <c r="A1374" s="36" t="s">
        <v>215</v>
      </c>
      <c r="B1374" s="36">
        <v>1.0</v>
      </c>
      <c r="C1374" s="36">
        <v>2.0</v>
      </c>
      <c r="D1374" s="36">
        <v>3.0</v>
      </c>
      <c r="E1374" s="36">
        <v>4.0</v>
      </c>
      <c r="F1374" s="36">
        <v>5.0</v>
      </c>
      <c r="G1374" s="36">
        <v>6.0</v>
      </c>
      <c r="H1374" s="36">
        <v>7.0</v>
      </c>
      <c r="I1374" s="36">
        <v>8.0</v>
      </c>
      <c r="J1374" s="36">
        <v>9.0</v>
      </c>
      <c r="K1374" s="36">
        <v>10.0</v>
      </c>
      <c r="L1374" s="36">
        <v>11.0</v>
      </c>
      <c r="M1374" s="36">
        <v>12.0</v>
      </c>
      <c r="N1374" s="36">
        <v>13.0</v>
      </c>
      <c r="O1374" s="36">
        <v>14.0</v>
      </c>
      <c r="P1374" s="36">
        <v>15.0</v>
      </c>
      <c r="Q1374" s="36">
        <v>16.0</v>
      </c>
      <c r="R1374" s="36">
        <v>17.0</v>
      </c>
      <c r="S1374" s="36">
        <v>18.0</v>
      </c>
      <c r="T1374" s="36">
        <v>19.0</v>
      </c>
      <c r="U1374" s="36">
        <v>20.0</v>
      </c>
      <c r="V1374" s="36">
        <v>21.0</v>
      </c>
      <c r="W1374" s="36">
        <v>22.0</v>
      </c>
      <c r="X1374" s="36">
        <v>23.0</v>
      </c>
      <c r="Y1374" s="36">
        <v>24.0</v>
      </c>
      <c r="Z1374" s="36">
        <v>25.0</v>
      </c>
      <c r="AA1374" s="36">
        <v>26.0</v>
      </c>
      <c r="AB1374" s="36">
        <v>27.0</v>
      </c>
      <c r="AC1374" s="36">
        <v>28.0</v>
      </c>
      <c r="AD1374" s="36">
        <v>29.0</v>
      </c>
      <c r="AE1374" s="36">
        <v>30.0</v>
      </c>
      <c r="AF1374" s="36"/>
      <c r="AG1374" s="36"/>
      <c r="AH1374" s="36"/>
      <c r="AI1374" s="36"/>
      <c r="AJ1374" s="36"/>
    </row>
    <row r="1375" ht="15.75" customHeight="1">
      <c r="A1375" s="12" t="s">
        <v>217</v>
      </c>
      <c r="B1375" s="401">
        <f>IF(Mode=1, 80,65)</f>
        <v>65</v>
      </c>
      <c r="C1375" s="401">
        <f>IF(Mode=1, 80,65)</f>
        <v>65</v>
      </c>
      <c r="D1375" s="401">
        <f>IF(Mode=1, 80,65)</f>
        <v>65</v>
      </c>
      <c r="E1375" s="401">
        <f>IF(Mode=1, 80,65)</f>
        <v>65</v>
      </c>
      <c r="F1375" s="401">
        <f>IF(Mode=1, 80,65)</f>
        <v>65</v>
      </c>
      <c r="G1375" s="401">
        <f>IF(Mode=1, 80,65)</f>
        <v>65</v>
      </c>
      <c r="H1375" s="401">
        <f>IF(Mode=1, 80,65)</f>
        <v>65</v>
      </c>
      <c r="I1375" s="401">
        <f>IF(Mode=1, 80,65)</f>
        <v>65</v>
      </c>
      <c r="J1375" s="401">
        <f>IF(Mode=1, 80,65)</f>
        <v>65</v>
      </c>
      <c r="K1375" s="401">
        <f>IF(Mode=1, 80,65)</f>
        <v>65</v>
      </c>
      <c r="L1375" s="401">
        <f>IF(Mode=1, 80,65)</f>
        <v>65</v>
      </c>
      <c r="M1375" s="401">
        <f>IF(Mode=1, 80,65)</f>
        <v>65</v>
      </c>
      <c r="N1375" s="401">
        <f>IF(Mode=1, 80,65)</f>
        <v>65</v>
      </c>
      <c r="O1375" s="401">
        <f>IF(Mode=1, 80,65)</f>
        <v>65</v>
      </c>
      <c r="P1375" s="401">
        <f>IF(Mode=1, 80,65)</f>
        <v>65</v>
      </c>
      <c r="Q1375" s="401">
        <f>IF(Mode=1, 80,65)</f>
        <v>65</v>
      </c>
      <c r="R1375" s="401">
        <f>IF(Mode=1, 80,65)</f>
        <v>65</v>
      </c>
      <c r="S1375" s="401">
        <f>IF(Mode=1, 80,65)</f>
        <v>65</v>
      </c>
      <c r="T1375" s="401">
        <f>IF(Mode=1, 80,65)</f>
        <v>65</v>
      </c>
      <c r="U1375" s="401">
        <f>IF(Mode=1, 80,65)</f>
        <v>65</v>
      </c>
      <c r="V1375" s="401">
        <f>IF(Mode=1, 80,65)</f>
        <v>65</v>
      </c>
      <c r="W1375" s="401">
        <f>IF(Mode=1, 80,65)</f>
        <v>65</v>
      </c>
      <c r="X1375" s="401">
        <f>IF(Mode=1, 80,65)</f>
        <v>65</v>
      </c>
      <c r="Y1375" s="401">
        <f>IF(Mode=1, 80,65)</f>
        <v>65</v>
      </c>
      <c r="Z1375" s="401">
        <f>IF(Mode=1, 80,65)</f>
        <v>65</v>
      </c>
      <c r="AA1375" s="401">
        <f>IF(Mode=1, 80,65)</f>
        <v>65</v>
      </c>
      <c r="AB1375" s="401">
        <f>IF(Mode=1, 80,65)</f>
        <v>65</v>
      </c>
      <c r="AC1375" s="401">
        <f>IF(Mode=1, 80,65)</f>
        <v>65</v>
      </c>
      <c r="AD1375" s="401">
        <f>IF(Mode=1, 80,65)</f>
        <v>65</v>
      </c>
      <c r="AE1375" s="401">
        <f>IF(Mode=1, 80,65)</f>
        <v>65</v>
      </c>
      <c r="AF1375" s="36"/>
      <c r="AG1375" s="36"/>
      <c r="AH1375" s="36"/>
      <c r="AI1375" s="36"/>
      <c r="AJ1375" s="36"/>
    </row>
    <row r="1376" ht="15.75" customHeight="1">
      <c r="A1376" s="12" t="s">
        <v>218</v>
      </c>
      <c r="B1376" s="121">
        <v>0.0</v>
      </c>
      <c r="C1376" s="121">
        <v>0.0</v>
      </c>
      <c r="D1376" s="121">
        <v>0.0</v>
      </c>
      <c r="E1376" s="121">
        <v>0.0</v>
      </c>
      <c r="F1376" s="121">
        <v>0.0</v>
      </c>
      <c r="G1376" s="121">
        <v>0.0</v>
      </c>
      <c r="H1376" s="121">
        <v>0.0</v>
      </c>
      <c r="I1376" s="121">
        <v>0.0</v>
      </c>
      <c r="J1376" s="121">
        <v>0.0</v>
      </c>
      <c r="K1376" s="121">
        <v>0.0</v>
      </c>
      <c r="L1376" s="121">
        <v>0.0</v>
      </c>
      <c r="M1376" s="121">
        <v>0.0</v>
      </c>
      <c r="N1376" s="121">
        <v>0.0</v>
      </c>
      <c r="O1376" s="121">
        <v>0.0</v>
      </c>
      <c r="P1376" s="121">
        <v>0.0</v>
      </c>
      <c r="Q1376" s="121">
        <v>0.0</v>
      </c>
      <c r="R1376" s="121">
        <v>0.0</v>
      </c>
      <c r="S1376" s="121">
        <v>0.0</v>
      </c>
      <c r="T1376" s="121">
        <v>0.0</v>
      </c>
      <c r="U1376" s="121">
        <v>0.0</v>
      </c>
      <c r="V1376" s="121">
        <v>0.0</v>
      </c>
      <c r="W1376" s="121">
        <v>0.0</v>
      </c>
      <c r="X1376" s="121">
        <v>0.0</v>
      </c>
      <c r="Y1376" s="121">
        <v>0.0</v>
      </c>
      <c r="Z1376" s="121">
        <v>0.0</v>
      </c>
      <c r="AA1376" s="121">
        <v>0.0</v>
      </c>
      <c r="AB1376" s="121">
        <v>0.0</v>
      </c>
      <c r="AC1376" s="121">
        <v>0.0</v>
      </c>
      <c r="AD1376" s="121">
        <v>0.0</v>
      </c>
      <c r="AE1376" s="121">
        <v>0.0</v>
      </c>
      <c r="AF1376" s="36"/>
      <c r="AG1376" s="36"/>
      <c r="AH1376" s="36"/>
      <c r="AI1376" s="36"/>
      <c r="AJ1376" s="36"/>
    </row>
    <row r="1377" ht="15.75" customHeight="1">
      <c r="A1377" s="12"/>
      <c r="B1377" s="390"/>
      <c r="C1377" s="390"/>
      <c r="D1377" s="390"/>
      <c r="E1377" s="121"/>
      <c r="F1377" s="121"/>
      <c r="G1377" s="121"/>
      <c r="H1377" s="121"/>
      <c r="I1377" s="121"/>
      <c r="J1377" s="121"/>
      <c r="K1377" s="121"/>
      <c r="L1377" s="121"/>
      <c r="M1377" s="121"/>
      <c r="N1377" s="121"/>
      <c r="O1377" s="121"/>
      <c r="P1377" s="121"/>
      <c r="Q1377" s="121"/>
      <c r="R1377" s="121"/>
      <c r="S1377" s="121"/>
      <c r="T1377" s="121"/>
      <c r="U1377" s="121"/>
      <c r="V1377" s="121"/>
      <c r="W1377" s="121"/>
      <c r="X1377" s="121"/>
      <c r="Y1377" s="121"/>
      <c r="Z1377" s="121"/>
      <c r="AA1377" s="121"/>
      <c r="AB1377" s="121"/>
      <c r="AC1377" s="121"/>
      <c r="AD1377" s="121"/>
      <c r="AE1377" s="121"/>
      <c r="AF1377" s="36"/>
      <c r="AG1377" s="36"/>
      <c r="AH1377" s="36"/>
      <c r="AI1377" s="36"/>
      <c r="AJ1377" s="36"/>
    </row>
    <row r="1378" ht="15.75" customHeight="1">
      <c r="A1378" s="242" t="s">
        <v>1792</v>
      </c>
      <c r="B1378" s="390"/>
      <c r="C1378" s="390"/>
      <c r="D1378" s="390"/>
      <c r="E1378" s="121"/>
      <c r="F1378" s="121"/>
      <c r="G1378" s="121"/>
      <c r="H1378" s="121"/>
      <c r="I1378" s="121"/>
      <c r="J1378" s="121"/>
      <c r="K1378" s="121"/>
      <c r="L1378" s="121"/>
      <c r="M1378" s="121"/>
      <c r="N1378" s="121"/>
      <c r="O1378" s="121"/>
      <c r="P1378" s="121"/>
      <c r="Q1378" s="121"/>
      <c r="R1378" s="121"/>
      <c r="S1378" s="121"/>
      <c r="T1378" s="121"/>
      <c r="U1378" s="121"/>
      <c r="V1378" s="121"/>
      <c r="W1378" s="121"/>
      <c r="X1378" s="121"/>
      <c r="Y1378" s="121"/>
      <c r="Z1378" s="121"/>
      <c r="AA1378" s="121"/>
      <c r="AB1378" s="121"/>
      <c r="AC1378" s="121"/>
      <c r="AD1378" s="121"/>
      <c r="AE1378" s="121"/>
      <c r="AF1378" s="36"/>
      <c r="AG1378" s="36"/>
      <c r="AH1378" s="36"/>
      <c r="AI1378" s="36"/>
      <c r="AJ1378" s="36"/>
    </row>
    <row r="1379" ht="15.75" customHeight="1">
      <c r="A1379" s="36" t="s">
        <v>215</v>
      </c>
      <c r="B1379" s="36">
        <v>1.0</v>
      </c>
      <c r="C1379" s="36">
        <v>2.0</v>
      </c>
      <c r="D1379" s="36">
        <v>3.0</v>
      </c>
      <c r="E1379" s="36">
        <v>4.0</v>
      </c>
      <c r="F1379" s="36">
        <v>5.0</v>
      </c>
      <c r="G1379" s="36">
        <v>6.0</v>
      </c>
      <c r="H1379" s="36">
        <v>7.0</v>
      </c>
      <c r="I1379" s="36">
        <v>8.0</v>
      </c>
      <c r="J1379" s="36">
        <v>9.0</v>
      </c>
      <c r="K1379" s="36">
        <v>10.0</v>
      </c>
      <c r="L1379" s="36">
        <v>11.0</v>
      </c>
      <c r="M1379" s="36">
        <v>12.0</v>
      </c>
      <c r="N1379" s="36">
        <v>13.0</v>
      </c>
      <c r="O1379" s="36">
        <v>14.0</v>
      </c>
      <c r="P1379" s="36">
        <v>15.0</v>
      </c>
      <c r="Q1379" s="36">
        <v>16.0</v>
      </c>
      <c r="R1379" s="36">
        <v>17.0</v>
      </c>
      <c r="S1379" s="36">
        <v>18.0</v>
      </c>
      <c r="T1379" s="36">
        <v>19.0</v>
      </c>
      <c r="U1379" s="36">
        <v>20.0</v>
      </c>
      <c r="V1379" s="36">
        <v>21.0</v>
      </c>
      <c r="W1379" s="36">
        <v>22.0</v>
      </c>
      <c r="X1379" s="36">
        <v>23.0</v>
      </c>
      <c r="Y1379" s="36">
        <v>24.0</v>
      </c>
      <c r="Z1379" s="36">
        <v>25.0</v>
      </c>
      <c r="AA1379" s="36">
        <v>26.0</v>
      </c>
      <c r="AB1379" s="36">
        <v>27.0</v>
      </c>
      <c r="AC1379" s="36">
        <v>28.0</v>
      </c>
      <c r="AD1379" s="36">
        <v>29.0</v>
      </c>
      <c r="AE1379" s="36">
        <v>30.0</v>
      </c>
      <c r="AF1379" s="36"/>
      <c r="AG1379" s="36"/>
      <c r="AH1379" s="36"/>
      <c r="AI1379" s="36"/>
      <c r="AJ1379" s="36"/>
    </row>
    <row r="1380" ht="15.75" customHeight="1">
      <c r="A1380" s="12" t="s">
        <v>217</v>
      </c>
      <c r="B1380" s="401">
        <f>IF(Mode=12, 1000/12,1080/12)</f>
        <v>83.33333333</v>
      </c>
      <c r="C1380" s="401">
        <f>IF(Mode=12, 1000/12,1080/12)</f>
        <v>83.33333333</v>
      </c>
      <c r="D1380" s="401">
        <f>IF(Mode=12, 1000/12,1080/12)</f>
        <v>83.33333333</v>
      </c>
      <c r="E1380" s="401">
        <f>IF(Mode=12, 1000/12,1080/12)</f>
        <v>83.33333333</v>
      </c>
      <c r="F1380" s="401">
        <f>IF(Mode=12, 1000/12,1080/12)</f>
        <v>83.33333333</v>
      </c>
      <c r="G1380" s="401">
        <f>IF(Mode=12, 1000/12,1080/12)</f>
        <v>83.33333333</v>
      </c>
      <c r="H1380" s="401">
        <f>IF(Mode=12, 1000/12,1080/12)</f>
        <v>83.33333333</v>
      </c>
      <c r="I1380" s="401">
        <f>IF(Mode=12, 1000/12,1080/12)</f>
        <v>83.33333333</v>
      </c>
      <c r="J1380" s="401">
        <f>IF(Mode=12, 1000/12,1080/12)</f>
        <v>83.33333333</v>
      </c>
      <c r="K1380" s="401">
        <f>IF(Mode=12, 1000/12,1080/12)</f>
        <v>83.33333333</v>
      </c>
      <c r="L1380" s="401">
        <f>IF(Mode=12, 1000/12,1080/12)</f>
        <v>83.33333333</v>
      </c>
      <c r="M1380" s="401">
        <f>IF(Mode=12, 1000/12,1080/12)</f>
        <v>83.33333333</v>
      </c>
      <c r="N1380" s="401">
        <f>IF(Mode=12, 1000/12,1080/12)</f>
        <v>83.33333333</v>
      </c>
      <c r="O1380" s="401">
        <f>IF(Mode=12, 1000/12,1080/12)</f>
        <v>83.33333333</v>
      </c>
      <c r="P1380" s="401">
        <f>IF(Mode=12, 1000/12,1080/12)</f>
        <v>83.33333333</v>
      </c>
      <c r="Q1380" s="401">
        <f>IF(Mode=12, 1000/12,1080/12)</f>
        <v>83.33333333</v>
      </c>
      <c r="R1380" s="401">
        <f>IF(Mode=12, 1000/12,1080/12)</f>
        <v>83.33333333</v>
      </c>
      <c r="S1380" s="401">
        <f>IF(Mode=12, 1000/12,1080/12)</f>
        <v>83.33333333</v>
      </c>
      <c r="T1380" s="401">
        <f>IF(Mode=12, 1000/12,1080/12)</f>
        <v>83.33333333</v>
      </c>
      <c r="U1380" s="401">
        <f>IF(Mode=12, 1000/12,1080/12)</f>
        <v>83.33333333</v>
      </c>
      <c r="V1380" s="401">
        <f>IF(Mode=12, 1000/12,1080/12)</f>
        <v>83.33333333</v>
      </c>
      <c r="W1380" s="401">
        <f>IF(Mode=12, 1000/12,1080/12)</f>
        <v>83.33333333</v>
      </c>
      <c r="X1380" s="401">
        <f>IF(Mode=12, 1000/12,1080/12)</f>
        <v>83.33333333</v>
      </c>
      <c r="Y1380" s="401">
        <f>IF(Mode=12, 1000/12,1080/12)</f>
        <v>83.33333333</v>
      </c>
      <c r="Z1380" s="401">
        <f>IF(Mode=12, 1000/12,1080/12)</f>
        <v>83.33333333</v>
      </c>
      <c r="AA1380" s="401">
        <f>IF(Mode=12, 1000/12,1080/12)</f>
        <v>83.33333333</v>
      </c>
      <c r="AB1380" s="401">
        <f>IF(Mode=12, 1000/12,1080/12)</f>
        <v>83.33333333</v>
      </c>
      <c r="AC1380" s="401">
        <f>IF(Mode=12, 1000/12,1080/12)</f>
        <v>83.33333333</v>
      </c>
      <c r="AD1380" s="401">
        <f>IF(Mode=12, 1000/12,1080/12)</f>
        <v>83.33333333</v>
      </c>
      <c r="AE1380" s="401">
        <f>IF(Mode=12, 1000/12,1080/12)</f>
        <v>83.33333333</v>
      </c>
      <c r="AF1380" s="36"/>
      <c r="AG1380" s="36"/>
      <c r="AH1380" s="36"/>
      <c r="AI1380" s="36"/>
      <c r="AJ1380" s="36"/>
    </row>
    <row r="1381" ht="15.75" customHeight="1">
      <c r="A1381" s="12" t="s">
        <v>218</v>
      </c>
      <c r="B1381" s="121">
        <v>0.0</v>
      </c>
      <c r="C1381" s="121">
        <v>0.0</v>
      </c>
      <c r="D1381" s="121">
        <v>0.0</v>
      </c>
      <c r="E1381" s="121">
        <v>0.0</v>
      </c>
      <c r="F1381" s="121">
        <v>0.0</v>
      </c>
      <c r="G1381" s="121">
        <v>0.0</v>
      </c>
      <c r="H1381" s="121">
        <v>0.0</v>
      </c>
      <c r="I1381" s="121">
        <v>0.0</v>
      </c>
      <c r="J1381" s="121">
        <v>0.0</v>
      </c>
      <c r="K1381" s="121">
        <v>0.0</v>
      </c>
      <c r="L1381" s="121">
        <v>0.0</v>
      </c>
      <c r="M1381" s="121">
        <v>0.0</v>
      </c>
      <c r="N1381" s="121">
        <v>0.0</v>
      </c>
      <c r="O1381" s="121">
        <v>0.0</v>
      </c>
      <c r="P1381" s="121">
        <v>0.0</v>
      </c>
      <c r="Q1381" s="121">
        <v>0.0</v>
      </c>
      <c r="R1381" s="121">
        <v>0.0</v>
      </c>
      <c r="S1381" s="121">
        <v>0.0</v>
      </c>
      <c r="T1381" s="121">
        <v>0.0</v>
      </c>
      <c r="U1381" s="121">
        <v>0.0</v>
      </c>
      <c r="V1381" s="121">
        <v>0.0</v>
      </c>
      <c r="W1381" s="121">
        <v>0.0</v>
      </c>
      <c r="X1381" s="121">
        <v>0.0</v>
      </c>
      <c r="Y1381" s="121">
        <v>0.0</v>
      </c>
      <c r="Z1381" s="121">
        <v>0.0</v>
      </c>
      <c r="AA1381" s="121">
        <v>0.0</v>
      </c>
      <c r="AB1381" s="121">
        <v>0.0</v>
      </c>
      <c r="AC1381" s="121">
        <v>0.0</v>
      </c>
      <c r="AD1381" s="121">
        <v>0.0</v>
      </c>
      <c r="AE1381" s="121">
        <v>0.0</v>
      </c>
      <c r="AF1381" s="36"/>
      <c r="AG1381" s="36"/>
      <c r="AH1381" s="36"/>
      <c r="AI1381" s="36"/>
      <c r="AJ1381" s="36"/>
    </row>
    <row r="1382" ht="15.75" customHeight="1">
      <c r="A1382" s="12"/>
      <c r="B1382" s="390"/>
      <c r="C1382" s="390"/>
      <c r="D1382" s="390"/>
      <c r="E1382" s="121"/>
      <c r="F1382" s="121"/>
      <c r="G1382" s="121"/>
      <c r="H1382" s="121"/>
      <c r="I1382" s="121"/>
      <c r="J1382" s="121"/>
      <c r="K1382" s="121"/>
      <c r="L1382" s="121"/>
      <c r="M1382" s="121"/>
      <c r="N1382" s="121"/>
      <c r="O1382" s="121"/>
      <c r="P1382" s="121"/>
      <c r="Q1382" s="121"/>
      <c r="R1382" s="121"/>
      <c r="S1382" s="121"/>
      <c r="T1382" s="121"/>
      <c r="U1382" s="121"/>
      <c r="V1382" s="121"/>
      <c r="W1382" s="121"/>
      <c r="X1382" s="121"/>
      <c r="Y1382" s="121"/>
      <c r="Z1382" s="121"/>
      <c r="AA1382" s="121"/>
      <c r="AB1382" s="121"/>
      <c r="AC1382" s="121"/>
      <c r="AD1382" s="121"/>
      <c r="AE1382" s="121"/>
      <c r="AF1382" s="36"/>
      <c r="AG1382" s="36"/>
      <c r="AH1382" s="36"/>
      <c r="AI1382" s="36"/>
      <c r="AJ1382" s="36"/>
    </row>
    <row r="1383" ht="15.75" customHeight="1">
      <c r="A1383" s="242" t="s">
        <v>1796</v>
      </c>
      <c r="B1383" s="390"/>
      <c r="C1383" s="390"/>
      <c r="D1383" s="390"/>
      <c r="E1383" s="121"/>
      <c r="F1383" s="121"/>
      <c r="G1383" s="121"/>
      <c r="H1383" s="121"/>
      <c r="I1383" s="121"/>
      <c r="J1383" s="121"/>
      <c r="K1383" s="121"/>
      <c r="L1383" s="121"/>
      <c r="M1383" s="121"/>
      <c r="N1383" s="121"/>
      <c r="O1383" s="121"/>
      <c r="P1383" s="121"/>
      <c r="Q1383" s="121"/>
      <c r="R1383" s="121"/>
      <c r="S1383" s="121"/>
      <c r="T1383" s="121"/>
      <c r="U1383" s="121"/>
      <c r="V1383" s="121"/>
      <c r="W1383" s="121"/>
      <c r="X1383" s="121"/>
      <c r="Y1383" s="121"/>
      <c r="Z1383" s="121"/>
      <c r="AA1383" s="121"/>
      <c r="AB1383" s="121"/>
      <c r="AC1383" s="121"/>
      <c r="AD1383" s="121"/>
      <c r="AE1383" s="121"/>
      <c r="AF1383" s="36"/>
      <c r="AG1383" s="36"/>
      <c r="AH1383" s="36"/>
      <c r="AI1383" s="36"/>
      <c r="AJ1383" s="36"/>
    </row>
    <row r="1384" ht="15.75" customHeight="1">
      <c r="A1384" s="12"/>
      <c r="B1384" s="390"/>
      <c r="C1384" s="390"/>
      <c r="D1384" s="390"/>
      <c r="E1384" s="121"/>
      <c r="F1384" s="121"/>
      <c r="G1384" s="121"/>
      <c r="H1384" s="121"/>
      <c r="I1384" s="121"/>
      <c r="J1384" s="121"/>
      <c r="K1384" s="121"/>
      <c r="L1384" s="121"/>
      <c r="M1384" s="121"/>
      <c r="N1384" s="121"/>
      <c r="O1384" s="121"/>
      <c r="P1384" s="121"/>
      <c r="Q1384" s="121"/>
      <c r="R1384" s="121"/>
      <c r="S1384" s="121"/>
      <c r="T1384" s="121"/>
      <c r="U1384" s="121"/>
      <c r="V1384" s="121"/>
      <c r="W1384" s="121"/>
      <c r="X1384" s="121"/>
      <c r="Y1384" s="121"/>
      <c r="Z1384" s="121"/>
      <c r="AA1384" s="121"/>
      <c r="AB1384" s="121"/>
      <c r="AC1384" s="121"/>
      <c r="AD1384" s="121"/>
      <c r="AE1384" s="121"/>
      <c r="AF1384" s="36"/>
      <c r="AG1384" s="36"/>
      <c r="AH1384" s="36"/>
      <c r="AI1384" s="36"/>
      <c r="AJ1384" s="36"/>
    </row>
    <row r="1385" ht="15.75" customHeight="1">
      <c r="A1385" s="36" t="s">
        <v>215</v>
      </c>
      <c r="B1385" s="36">
        <v>1.0</v>
      </c>
      <c r="C1385" s="36">
        <v>2.0</v>
      </c>
      <c r="D1385" s="36">
        <v>3.0</v>
      </c>
      <c r="E1385" s="36">
        <v>4.0</v>
      </c>
      <c r="F1385" s="36">
        <v>5.0</v>
      </c>
      <c r="G1385" s="36">
        <v>6.0</v>
      </c>
      <c r="H1385" s="36">
        <v>7.0</v>
      </c>
      <c r="I1385" s="36">
        <v>8.0</v>
      </c>
      <c r="J1385" s="36">
        <v>9.0</v>
      </c>
      <c r="K1385" s="36">
        <v>10.0</v>
      </c>
      <c r="L1385" s="36">
        <v>11.0</v>
      </c>
      <c r="M1385" s="36">
        <v>12.0</v>
      </c>
      <c r="N1385" s="36">
        <v>13.0</v>
      </c>
      <c r="O1385" s="36">
        <v>14.0</v>
      </c>
      <c r="P1385" s="36">
        <v>15.0</v>
      </c>
      <c r="Q1385" s="36">
        <v>16.0</v>
      </c>
      <c r="R1385" s="36">
        <v>17.0</v>
      </c>
      <c r="S1385" s="36">
        <v>18.0</v>
      </c>
      <c r="T1385" s="36">
        <v>19.0</v>
      </c>
      <c r="U1385" s="36">
        <v>20.0</v>
      </c>
      <c r="V1385" s="36">
        <v>21.0</v>
      </c>
      <c r="W1385" s="36">
        <v>22.0</v>
      </c>
      <c r="X1385" s="36">
        <v>23.0</v>
      </c>
      <c r="Y1385" s="36">
        <v>24.0</v>
      </c>
      <c r="Z1385" s="36">
        <v>25.0</v>
      </c>
      <c r="AA1385" s="36">
        <v>26.0</v>
      </c>
      <c r="AB1385" s="36">
        <v>27.0</v>
      </c>
      <c r="AC1385" s="36">
        <v>28.0</v>
      </c>
      <c r="AD1385" s="36">
        <v>29.0</v>
      </c>
      <c r="AE1385" s="36">
        <v>30.0</v>
      </c>
      <c r="AF1385" s="36"/>
      <c r="AG1385" s="36"/>
      <c r="AH1385" s="36"/>
      <c r="AI1385" s="36"/>
      <c r="AJ1385" s="36"/>
    </row>
    <row r="1386" ht="15.75" customHeight="1">
      <c r="A1386" s="12" t="s">
        <v>217</v>
      </c>
      <c r="B1386" s="401">
        <f>IF(Mode=12, 1000/12,1080/12)</f>
        <v>83.33333333</v>
      </c>
      <c r="C1386" s="401">
        <f>IF(Mode=12, 1000/12,1080/12)</f>
        <v>83.33333333</v>
      </c>
      <c r="D1386" s="401">
        <f>IF(Mode=12, 1000/12,1080/12)</f>
        <v>83.33333333</v>
      </c>
      <c r="E1386" s="401">
        <f>IF(Mode=12, 1000/12,1080/12)</f>
        <v>83.33333333</v>
      </c>
      <c r="F1386" s="401">
        <f>IF(Mode=12, 1000/12,1080/12)</f>
        <v>83.33333333</v>
      </c>
      <c r="G1386" s="401">
        <f>IF(Mode=12, 1000/12,1080/12)</f>
        <v>83.33333333</v>
      </c>
      <c r="H1386" s="401">
        <f>IF(Mode=12, 1000/12,1080/12)</f>
        <v>83.33333333</v>
      </c>
      <c r="I1386" s="401">
        <f>IF(Mode=12, 1000/12,1080/12)</f>
        <v>83.33333333</v>
      </c>
      <c r="J1386" s="401">
        <f>IF(Mode=12, 1000/12,1080/12)</f>
        <v>83.33333333</v>
      </c>
      <c r="K1386" s="401">
        <f>IF(Mode=12, 1000/12,1080/12)</f>
        <v>83.33333333</v>
      </c>
      <c r="L1386" s="401">
        <f>IF(Mode=12, 1000/12,1080/12)</f>
        <v>83.33333333</v>
      </c>
      <c r="M1386" s="401">
        <f>IF(Mode=12, 1000/12,1080/12)</f>
        <v>83.33333333</v>
      </c>
      <c r="N1386" s="401">
        <f>IF(Mode=12, 1000/12,1080/12)</f>
        <v>83.33333333</v>
      </c>
      <c r="O1386" s="401">
        <f>IF(Mode=12, 1000/12,1080/12)</f>
        <v>83.33333333</v>
      </c>
      <c r="P1386" s="401">
        <f>IF(Mode=12, 1000/12,1080/12)</f>
        <v>83.33333333</v>
      </c>
      <c r="Q1386" s="401">
        <f>IF(Mode=12, 1000/12,1080/12)</f>
        <v>83.33333333</v>
      </c>
      <c r="R1386" s="401">
        <f>IF(Mode=12, 1000/12,1080/12)</f>
        <v>83.33333333</v>
      </c>
      <c r="S1386" s="401">
        <f>IF(Mode=12, 1000/12,1080/12)</f>
        <v>83.33333333</v>
      </c>
      <c r="T1386" s="401">
        <f>IF(Mode=12, 1000/12,1080/12)</f>
        <v>83.33333333</v>
      </c>
      <c r="U1386" s="401">
        <f>IF(Mode=12, 1000/12,1080/12)</f>
        <v>83.33333333</v>
      </c>
      <c r="V1386" s="401">
        <f>IF(Mode=12, 1000/12,1080/12)</f>
        <v>83.33333333</v>
      </c>
      <c r="W1386" s="401">
        <f>IF(Mode=12, 1000/12,1080/12)</f>
        <v>83.33333333</v>
      </c>
      <c r="X1386" s="401">
        <f>IF(Mode=12, 1000/12,1080/12)</f>
        <v>83.33333333</v>
      </c>
      <c r="Y1386" s="401">
        <f>IF(Mode=12, 1000/12,1080/12)</f>
        <v>83.33333333</v>
      </c>
      <c r="Z1386" s="401">
        <f>IF(Mode=12, 1000/12,1080/12)</f>
        <v>83.33333333</v>
      </c>
      <c r="AA1386" s="401">
        <f>IF(Mode=12, 1000/12,1080/12)</f>
        <v>83.33333333</v>
      </c>
      <c r="AB1386" s="401">
        <f>IF(Mode=12, 1000/12,1080/12)</f>
        <v>83.33333333</v>
      </c>
      <c r="AC1386" s="401">
        <f>IF(Mode=12, 1000/12,1080/12)</f>
        <v>83.33333333</v>
      </c>
      <c r="AD1386" s="401">
        <f>IF(Mode=12, 1000/12,1080/12)</f>
        <v>83.33333333</v>
      </c>
      <c r="AE1386" s="401">
        <f>IF(Mode=12, 1000/12,1080/12)</f>
        <v>83.33333333</v>
      </c>
      <c r="AF1386" s="36"/>
      <c r="AG1386" s="36"/>
      <c r="AH1386" s="36"/>
      <c r="AI1386" s="36"/>
      <c r="AJ1386" s="36"/>
    </row>
    <row r="1387" ht="15.75" customHeight="1">
      <c r="A1387" s="12" t="s">
        <v>218</v>
      </c>
      <c r="B1387" s="121">
        <v>0.0</v>
      </c>
      <c r="C1387" s="121">
        <v>0.0</v>
      </c>
      <c r="D1387" s="121">
        <v>0.0</v>
      </c>
      <c r="E1387" s="121">
        <v>0.0</v>
      </c>
      <c r="F1387" s="121">
        <v>0.0</v>
      </c>
      <c r="G1387" s="121">
        <v>0.0</v>
      </c>
      <c r="H1387" s="121">
        <v>0.0</v>
      </c>
      <c r="I1387" s="121">
        <v>0.0</v>
      </c>
      <c r="J1387" s="121">
        <v>0.0</v>
      </c>
      <c r="K1387" s="121">
        <v>0.0</v>
      </c>
      <c r="L1387" s="121">
        <v>0.0</v>
      </c>
      <c r="M1387" s="121">
        <v>0.0</v>
      </c>
      <c r="N1387" s="121">
        <v>0.0</v>
      </c>
      <c r="O1387" s="121">
        <v>0.0</v>
      </c>
      <c r="P1387" s="121">
        <v>0.0</v>
      </c>
      <c r="Q1387" s="121">
        <v>0.0</v>
      </c>
      <c r="R1387" s="121">
        <v>0.0</v>
      </c>
      <c r="S1387" s="121">
        <v>0.0</v>
      </c>
      <c r="T1387" s="121">
        <v>0.0</v>
      </c>
      <c r="U1387" s="121">
        <v>0.0</v>
      </c>
      <c r="V1387" s="121">
        <v>0.0</v>
      </c>
      <c r="W1387" s="121">
        <v>0.0</v>
      </c>
      <c r="X1387" s="121">
        <v>0.0</v>
      </c>
      <c r="Y1387" s="121">
        <v>0.0</v>
      </c>
      <c r="Z1387" s="121">
        <v>0.0</v>
      </c>
      <c r="AA1387" s="121">
        <v>0.0</v>
      </c>
      <c r="AB1387" s="121">
        <v>0.0</v>
      </c>
      <c r="AC1387" s="121">
        <v>0.0</v>
      </c>
      <c r="AD1387" s="121">
        <v>0.0</v>
      </c>
      <c r="AE1387" s="121">
        <v>0.0</v>
      </c>
      <c r="AF1387" s="36"/>
      <c r="AG1387" s="36"/>
      <c r="AH1387" s="36"/>
      <c r="AI1387" s="36"/>
      <c r="AJ1387" s="36"/>
    </row>
    <row r="1388" ht="15.75" customHeight="1">
      <c r="A1388" s="12"/>
      <c r="B1388" s="390"/>
      <c r="C1388" s="390"/>
      <c r="D1388" s="390"/>
      <c r="E1388" s="121"/>
      <c r="F1388" s="121"/>
      <c r="G1388" s="121"/>
      <c r="H1388" s="121"/>
      <c r="I1388" s="121"/>
      <c r="J1388" s="121"/>
      <c r="K1388" s="121"/>
      <c r="L1388" s="121"/>
      <c r="M1388" s="121"/>
      <c r="N1388" s="121"/>
      <c r="O1388" s="121"/>
      <c r="P1388" s="121"/>
      <c r="Q1388" s="121"/>
      <c r="R1388" s="121"/>
      <c r="S1388" s="121"/>
      <c r="T1388" s="121"/>
      <c r="U1388" s="121"/>
      <c r="V1388" s="121"/>
      <c r="W1388" s="121"/>
      <c r="X1388" s="121"/>
      <c r="Y1388" s="121"/>
      <c r="Z1388" s="121"/>
      <c r="AA1388" s="121"/>
      <c r="AB1388" s="121"/>
      <c r="AC1388" s="121"/>
      <c r="AD1388" s="121"/>
      <c r="AE1388" s="121"/>
      <c r="AF1388" s="36"/>
      <c r="AG1388" s="36"/>
      <c r="AH1388" s="36"/>
      <c r="AI1388" s="36"/>
      <c r="AJ1388" s="36"/>
    </row>
    <row r="1389" ht="15.75" customHeight="1">
      <c r="A1389" s="242" t="s">
        <v>1801</v>
      </c>
      <c r="B1389" s="390"/>
      <c r="C1389" s="390"/>
      <c r="D1389" s="390"/>
      <c r="E1389" s="121"/>
      <c r="F1389" s="121"/>
      <c r="G1389" s="121"/>
      <c r="H1389" s="121"/>
      <c r="I1389" s="121"/>
      <c r="J1389" s="121"/>
      <c r="K1389" s="121"/>
      <c r="L1389" s="121"/>
      <c r="M1389" s="121"/>
      <c r="N1389" s="121"/>
      <c r="O1389" s="121"/>
      <c r="P1389" s="121"/>
      <c r="Q1389" s="121"/>
      <c r="R1389" s="121"/>
      <c r="S1389" s="121"/>
      <c r="T1389" s="121"/>
      <c r="U1389" s="121"/>
      <c r="V1389" s="121"/>
      <c r="W1389" s="121"/>
      <c r="X1389" s="121"/>
      <c r="Y1389" s="121"/>
      <c r="Z1389" s="121"/>
      <c r="AA1389" s="121"/>
      <c r="AB1389" s="121"/>
      <c r="AC1389" s="121"/>
      <c r="AD1389" s="121"/>
      <c r="AE1389" s="121"/>
      <c r="AF1389" s="36"/>
      <c r="AG1389" s="36"/>
      <c r="AH1389" s="36"/>
      <c r="AI1389" s="36"/>
      <c r="AJ1389" s="36"/>
    </row>
    <row r="1390" ht="15.75" customHeight="1">
      <c r="A1390" s="12"/>
      <c r="B1390" s="390"/>
      <c r="C1390" s="390"/>
      <c r="D1390" s="390"/>
      <c r="E1390" s="121"/>
      <c r="F1390" s="121"/>
      <c r="G1390" s="121"/>
      <c r="H1390" s="121"/>
      <c r="I1390" s="121"/>
      <c r="J1390" s="121"/>
      <c r="K1390" s="121"/>
      <c r="L1390" s="121"/>
      <c r="M1390" s="121"/>
      <c r="N1390" s="121"/>
      <c r="O1390" s="121"/>
      <c r="P1390" s="121"/>
      <c r="Q1390" s="121"/>
      <c r="R1390" s="121"/>
      <c r="S1390" s="121"/>
      <c r="T1390" s="121"/>
      <c r="U1390" s="121"/>
      <c r="V1390" s="121"/>
      <c r="W1390" s="121"/>
      <c r="X1390" s="121"/>
      <c r="Y1390" s="121"/>
      <c r="Z1390" s="121"/>
      <c r="AA1390" s="121"/>
      <c r="AB1390" s="121"/>
      <c r="AC1390" s="121"/>
      <c r="AD1390" s="121"/>
      <c r="AE1390" s="121"/>
      <c r="AF1390" s="36"/>
      <c r="AG1390" s="36"/>
      <c r="AH1390" s="36"/>
      <c r="AI1390" s="36"/>
      <c r="AJ1390" s="36"/>
    </row>
    <row r="1391" ht="15.75" customHeight="1">
      <c r="A1391" s="36" t="s">
        <v>215</v>
      </c>
      <c r="B1391" s="36">
        <v>1.0</v>
      </c>
      <c r="C1391" s="36">
        <v>2.0</v>
      </c>
      <c r="D1391" s="36">
        <v>3.0</v>
      </c>
      <c r="E1391" s="36">
        <v>4.0</v>
      </c>
      <c r="F1391" s="36">
        <v>5.0</v>
      </c>
      <c r="G1391" s="36">
        <v>6.0</v>
      </c>
      <c r="H1391" s="36">
        <v>7.0</v>
      </c>
      <c r="I1391" s="36">
        <v>8.0</v>
      </c>
      <c r="J1391" s="36">
        <v>9.0</v>
      </c>
      <c r="K1391" s="36">
        <v>10.0</v>
      </c>
      <c r="L1391" s="36">
        <v>11.0</v>
      </c>
      <c r="M1391" s="36">
        <v>12.0</v>
      </c>
      <c r="N1391" s="36">
        <v>13.0</v>
      </c>
      <c r="O1391" s="36">
        <v>14.0</v>
      </c>
      <c r="P1391" s="36">
        <v>15.0</v>
      </c>
      <c r="Q1391" s="36">
        <v>16.0</v>
      </c>
      <c r="R1391" s="36">
        <v>17.0</v>
      </c>
      <c r="S1391" s="36">
        <v>18.0</v>
      </c>
      <c r="T1391" s="36">
        <v>19.0</v>
      </c>
      <c r="U1391" s="36">
        <v>20.0</v>
      </c>
      <c r="V1391" s="36">
        <v>21.0</v>
      </c>
      <c r="W1391" s="36">
        <v>22.0</v>
      </c>
      <c r="X1391" s="36">
        <v>23.0</v>
      </c>
      <c r="Y1391" s="36">
        <v>24.0</v>
      </c>
      <c r="Z1391" s="36">
        <v>25.0</v>
      </c>
      <c r="AA1391" s="36">
        <v>26.0</v>
      </c>
      <c r="AB1391" s="36">
        <v>27.0</v>
      </c>
      <c r="AC1391" s="36">
        <v>28.0</v>
      </c>
      <c r="AD1391" s="36">
        <v>29.0</v>
      </c>
      <c r="AE1391" s="36">
        <v>30.0</v>
      </c>
      <c r="AF1391" s="36"/>
      <c r="AG1391" s="36"/>
      <c r="AH1391" s="36"/>
      <c r="AI1391" s="36"/>
      <c r="AJ1391" s="36"/>
    </row>
    <row r="1392" ht="15.75" customHeight="1">
      <c r="A1392" s="12" t="s">
        <v>217</v>
      </c>
      <c r="B1392" s="401">
        <f>IF(Mode=1,70,55)</f>
        <v>55</v>
      </c>
      <c r="C1392" s="401">
        <f t="shared" ref="C1392:AE1392" si="107">B1392*1.05</f>
        <v>57.75</v>
      </c>
      <c r="D1392" s="401">
        <f t="shared" si="107"/>
        <v>60.6375</v>
      </c>
      <c r="E1392" s="401">
        <f t="shared" si="107"/>
        <v>63.669375</v>
      </c>
      <c r="F1392" s="401">
        <f t="shared" si="107"/>
        <v>66.85284375</v>
      </c>
      <c r="G1392" s="401">
        <f t="shared" si="107"/>
        <v>70.19548594</v>
      </c>
      <c r="H1392" s="401">
        <f t="shared" si="107"/>
        <v>73.70526023</v>
      </c>
      <c r="I1392" s="401">
        <f t="shared" si="107"/>
        <v>77.39052325</v>
      </c>
      <c r="J1392" s="401">
        <f t="shared" si="107"/>
        <v>81.26004941</v>
      </c>
      <c r="K1392" s="401">
        <f t="shared" si="107"/>
        <v>85.32305188</v>
      </c>
      <c r="L1392" s="401">
        <f t="shared" si="107"/>
        <v>89.58920447</v>
      </c>
      <c r="M1392" s="401">
        <f t="shared" si="107"/>
        <v>94.0686647</v>
      </c>
      <c r="N1392" s="401">
        <f t="shared" si="107"/>
        <v>98.77209793</v>
      </c>
      <c r="O1392" s="401">
        <f t="shared" si="107"/>
        <v>103.7107028</v>
      </c>
      <c r="P1392" s="401">
        <f t="shared" si="107"/>
        <v>108.896238</v>
      </c>
      <c r="Q1392" s="401">
        <f t="shared" si="107"/>
        <v>114.3410499</v>
      </c>
      <c r="R1392" s="401">
        <f t="shared" si="107"/>
        <v>120.0581024</v>
      </c>
      <c r="S1392" s="401">
        <f t="shared" si="107"/>
        <v>126.0610075</v>
      </c>
      <c r="T1392" s="401">
        <f t="shared" si="107"/>
        <v>132.3640579</v>
      </c>
      <c r="U1392" s="401">
        <f t="shared" si="107"/>
        <v>138.9822607</v>
      </c>
      <c r="V1392" s="401">
        <f t="shared" si="107"/>
        <v>145.9313738</v>
      </c>
      <c r="W1392" s="401">
        <f t="shared" si="107"/>
        <v>153.2279425</v>
      </c>
      <c r="X1392" s="401">
        <f t="shared" si="107"/>
        <v>160.8893396</v>
      </c>
      <c r="Y1392" s="401">
        <f t="shared" si="107"/>
        <v>168.9338066</v>
      </c>
      <c r="Z1392" s="401">
        <f t="shared" si="107"/>
        <v>177.3804969</v>
      </c>
      <c r="AA1392" s="401">
        <f t="shared" si="107"/>
        <v>186.2495217</v>
      </c>
      <c r="AB1392" s="401">
        <f t="shared" si="107"/>
        <v>195.5619978</v>
      </c>
      <c r="AC1392" s="401">
        <f t="shared" si="107"/>
        <v>205.3400977</v>
      </c>
      <c r="AD1392" s="401">
        <f t="shared" si="107"/>
        <v>215.6071026</v>
      </c>
      <c r="AE1392" s="401">
        <f t="shared" si="107"/>
        <v>226.3874577</v>
      </c>
      <c r="AF1392" s="36"/>
      <c r="AG1392" s="36"/>
      <c r="AH1392" s="36"/>
      <c r="AI1392" s="36"/>
      <c r="AJ1392" s="36"/>
    </row>
    <row r="1393" ht="15.75" customHeight="1">
      <c r="A1393" s="12" t="s">
        <v>218</v>
      </c>
      <c r="B1393" s="121">
        <v>0.0</v>
      </c>
      <c r="C1393" s="121">
        <v>0.0</v>
      </c>
      <c r="D1393" s="121">
        <v>0.0</v>
      </c>
      <c r="E1393" s="121">
        <v>0.0</v>
      </c>
      <c r="F1393" s="121">
        <v>0.0</v>
      </c>
      <c r="G1393" s="121">
        <v>0.0</v>
      </c>
      <c r="H1393" s="121">
        <v>0.0</v>
      </c>
      <c r="I1393" s="121">
        <v>0.0</v>
      </c>
      <c r="J1393" s="121">
        <v>0.0</v>
      </c>
      <c r="K1393" s="121">
        <v>0.0</v>
      </c>
      <c r="L1393" s="121">
        <v>0.0</v>
      </c>
      <c r="M1393" s="121">
        <v>0.0</v>
      </c>
      <c r="N1393" s="121">
        <v>0.0</v>
      </c>
      <c r="O1393" s="121">
        <v>0.0</v>
      </c>
      <c r="P1393" s="121">
        <v>0.0</v>
      </c>
      <c r="Q1393" s="121">
        <v>0.0</v>
      </c>
      <c r="R1393" s="121">
        <v>0.0</v>
      </c>
      <c r="S1393" s="121">
        <v>0.0</v>
      </c>
      <c r="T1393" s="121">
        <v>0.0</v>
      </c>
      <c r="U1393" s="121">
        <v>0.0</v>
      </c>
      <c r="V1393" s="121">
        <v>0.0</v>
      </c>
      <c r="W1393" s="121">
        <v>0.0</v>
      </c>
      <c r="X1393" s="121">
        <v>0.0</v>
      </c>
      <c r="Y1393" s="121">
        <v>0.0</v>
      </c>
      <c r="Z1393" s="121">
        <v>0.0</v>
      </c>
      <c r="AA1393" s="121">
        <v>0.0</v>
      </c>
      <c r="AB1393" s="121">
        <v>0.0</v>
      </c>
      <c r="AC1393" s="121">
        <v>0.0</v>
      </c>
      <c r="AD1393" s="121">
        <v>0.0</v>
      </c>
      <c r="AE1393" s="121">
        <v>0.0</v>
      </c>
      <c r="AF1393" s="36"/>
      <c r="AG1393" s="36"/>
      <c r="AH1393" s="36"/>
      <c r="AI1393" s="36"/>
      <c r="AJ1393" s="36"/>
    </row>
    <row r="1394" ht="15.75" customHeight="1">
      <c r="A1394" s="12"/>
      <c r="B1394" s="390"/>
      <c r="C1394" s="390"/>
      <c r="D1394" s="390"/>
      <c r="E1394" s="121"/>
      <c r="F1394" s="121"/>
      <c r="G1394" s="121"/>
      <c r="H1394" s="121"/>
      <c r="I1394" s="121"/>
      <c r="J1394" s="121"/>
      <c r="K1394" s="121"/>
      <c r="L1394" s="121"/>
      <c r="M1394" s="121"/>
      <c r="N1394" s="121"/>
      <c r="O1394" s="121"/>
      <c r="P1394" s="121"/>
      <c r="Q1394" s="121"/>
      <c r="R1394" s="121"/>
      <c r="S1394" s="121"/>
      <c r="T1394" s="121"/>
      <c r="U1394" s="121"/>
      <c r="V1394" s="121"/>
      <c r="W1394" s="121"/>
      <c r="X1394" s="121"/>
      <c r="Y1394" s="121"/>
      <c r="Z1394" s="121"/>
      <c r="AA1394" s="121"/>
      <c r="AB1394" s="121"/>
      <c r="AC1394" s="121"/>
      <c r="AD1394" s="121"/>
      <c r="AE1394" s="121"/>
      <c r="AF1394" s="36"/>
      <c r="AG1394" s="36"/>
      <c r="AH1394" s="36"/>
      <c r="AI1394" s="36"/>
      <c r="AJ1394" s="36"/>
    </row>
    <row r="1395" ht="15.75" customHeight="1">
      <c r="A1395" s="242" t="s">
        <v>1805</v>
      </c>
      <c r="B1395" s="390"/>
      <c r="C1395" s="390"/>
      <c r="D1395" s="390"/>
      <c r="E1395" s="121"/>
      <c r="F1395" s="121"/>
      <c r="G1395" s="121"/>
      <c r="H1395" s="121"/>
      <c r="I1395" s="121"/>
      <c r="J1395" s="121"/>
      <c r="K1395" s="121"/>
      <c r="L1395" s="121"/>
      <c r="M1395" s="121"/>
      <c r="N1395" s="121"/>
      <c r="O1395" s="121"/>
      <c r="P1395" s="121"/>
      <c r="Q1395" s="121"/>
      <c r="R1395" s="121"/>
      <c r="S1395" s="121"/>
      <c r="T1395" s="121"/>
      <c r="U1395" s="121"/>
      <c r="V1395" s="121"/>
      <c r="W1395" s="121"/>
      <c r="X1395" s="121"/>
      <c r="Y1395" s="121"/>
      <c r="Z1395" s="121"/>
      <c r="AA1395" s="121"/>
      <c r="AB1395" s="121"/>
      <c r="AC1395" s="121"/>
      <c r="AD1395" s="121"/>
      <c r="AE1395" s="121"/>
      <c r="AF1395" s="36"/>
      <c r="AG1395" s="36"/>
      <c r="AH1395" s="36"/>
      <c r="AI1395" s="36"/>
      <c r="AJ1395" s="36"/>
    </row>
    <row r="1396" ht="15.75" customHeight="1">
      <c r="A1396" s="12"/>
      <c r="B1396" s="390"/>
      <c r="C1396" s="390"/>
      <c r="D1396" s="390"/>
      <c r="E1396" s="121"/>
      <c r="F1396" s="121"/>
      <c r="G1396" s="121"/>
      <c r="H1396" s="121"/>
      <c r="I1396" s="121"/>
      <c r="J1396" s="121"/>
      <c r="K1396" s="121"/>
      <c r="L1396" s="121"/>
      <c r="M1396" s="121"/>
      <c r="N1396" s="121"/>
      <c r="O1396" s="121"/>
      <c r="P1396" s="121"/>
      <c r="Q1396" s="121"/>
      <c r="R1396" s="121"/>
      <c r="S1396" s="121"/>
      <c r="T1396" s="121"/>
      <c r="U1396" s="121"/>
      <c r="V1396" s="121"/>
      <c r="W1396" s="121"/>
      <c r="X1396" s="121"/>
      <c r="Y1396" s="121"/>
      <c r="Z1396" s="121"/>
      <c r="AA1396" s="121"/>
      <c r="AB1396" s="121"/>
      <c r="AC1396" s="121"/>
      <c r="AD1396" s="121"/>
      <c r="AE1396" s="121"/>
      <c r="AF1396" s="36"/>
      <c r="AG1396" s="36"/>
      <c r="AH1396" s="36"/>
      <c r="AI1396" s="36"/>
      <c r="AJ1396" s="36"/>
    </row>
    <row r="1397" ht="15.75" customHeight="1">
      <c r="A1397" s="36" t="s">
        <v>215</v>
      </c>
      <c r="B1397" s="36">
        <v>1.0</v>
      </c>
      <c r="C1397" s="36">
        <v>2.0</v>
      </c>
      <c r="D1397" s="36">
        <v>3.0</v>
      </c>
      <c r="E1397" s="36">
        <v>4.0</v>
      </c>
      <c r="F1397" s="36">
        <v>5.0</v>
      </c>
      <c r="G1397" s="36">
        <v>6.0</v>
      </c>
      <c r="H1397" s="36">
        <v>7.0</v>
      </c>
      <c r="I1397" s="36">
        <v>8.0</v>
      </c>
      <c r="J1397" s="36">
        <v>9.0</v>
      </c>
      <c r="K1397" s="36">
        <v>10.0</v>
      </c>
      <c r="L1397" s="36">
        <v>11.0</v>
      </c>
      <c r="M1397" s="36">
        <v>12.0</v>
      </c>
      <c r="N1397" s="36">
        <v>13.0</v>
      </c>
      <c r="O1397" s="36">
        <v>14.0</v>
      </c>
      <c r="P1397" s="36">
        <v>15.0</v>
      </c>
      <c r="Q1397" s="36">
        <v>16.0</v>
      </c>
      <c r="R1397" s="36">
        <v>17.0</v>
      </c>
      <c r="S1397" s="36">
        <v>18.0</v>
      </c>
      <c r="T1397" s="36">
        <v>19.0</v>
      </c>
      <c r="U1397" s="36">
        <v>20.0</v>
      </c>
      <c r="V1397" s="36">
        <v>21.0</v>
      </c>
      <c r="W1397" s="36">
        <v>22.0</v>
      </c>
      <c r="X1397" s="36">
        <v>23.0</v>
      </c>
      <c r="Y1397" s="36">
        <v>24.0</v>
      </c>
      <c r="Z1397" s="36">
        <v>25.0</v>
      </c>
      <c r="AA1397" s="36">
        <v>26.0</v>
      </c>
      <c r="AB1397" s="36">
        <v>27.0</v>
      </c>
      <c r="AC1397" s="36">
        <v>28.0</v>
      </c>
      <c r="AD1397" s="36">
        <v>29.0</v>
      </c>
      <c r="AE1397" s="36">
        <v>30.0</v>
      </c>
      <c r="AF1397" s="36"/>
      <c r="AG1397" s="36"/>
      <c r="AH1397" s="36"/>
      <c r="AI1397" s="36"/>
      <c r="AJ1397" s="36"/>
    </row>
    <row r="1398" ht="15.75" customHeight="1">
      <c r="A1398" s="12" t="s">
        <v>217</v>
      </c>
      <c r="B1398" s="401">
        <v>0.0</v>
      </c>
      <c r="C1398" s="401">
        <v>0.0</v>
      </c>
      <c r="D1398" s="401">
        <v>0.0</v>
      </c>
      <c r="E1398" s="401">
        <v>0.0</v>
      </c>
      <c r="F1398" s="401">
        <v>0.0</v>
      </c>
      <c r="G1398" s="401">
        <v>0.0</v>
      </c>
      <c r="H1398" s="401">
        <v>0.0</v>
      </c>
      <c r="I1398" s="401">
        <v>0.0</v>
      </c>
      <c r="J1398" s="401">
        <v>0.0</v>
      </c>
      <c r="K1398" s="401">
        <v>0.0</v>
      </c>
      <c r="L1398" s="401">
        <v>0.0</v>
      </c>
      <c r="M1398" s="401">
        <v>0.0</v>
      </c>
      <c r="N1398" s="401">
        <v>0.0</v>
      </c>
      <c r="O1398" s="401">
        <v>0.0</v>
      </c>
      <c r="P1398" s="401">
        <v>0.0</v>
      </c>
      <c r="Q1398" s="401">
        <v>0.0</v>
      </c>
      <c r="R1398" s="401">
        <v>0.0</v>
      </c>
      <c r="S1398" s="401">
        <v>0.0</v>
      </c>
      <c r="T1398" s="401">
        <v>0.0</v>
      </c>
      <c r="U1398" s="401">
        <v>0.0</v>
      </c>
      <c r="V1398" s="401">
        <v>0.0</v>
      </c>
      <c r="W1398" s="401">
        <v>0.0</v>
      </c>
      <c r="X1398" s="401">
        <v>0.0</v>
      </c>
      <c r="Y1398" s="401">
        <v>0.0</v>
      </c>
      <c r="Z1398" s="401">
        <v>0.0</v>
      </c>
      <c r="AA1398" s="401">
        <v>0.0</v>
      </c>
      <c r="AB1398" s="401">
        <v>0.0</v>
      </c>
      <c r="AC1398" s="401">
        <v>0.0</v>
      </c>
      <c r="AD1398" s="401">
        <v>0.0</v>
      </c>
      <c r="AE1398" s="401">
        <v>0.0</v>
      </c>
      <c r="AF1398" s="36"/>
      <c r="AG1398" s="36"/>
      <c r="AH1398" s="36"/>
      <c r="AI1398" s="36"/>
      <c r="AJ1398" s="36"/>
    </row>
    <row r="1399" ht="15.75" customHeight="1">
      <c r="A1399" s="12" t="s">
        <v>218</v>
      </c>
      <c r="B1399" s="194">
        <f>IF(Annual_Prem&lt;100000,1%,0.6%)</f>
        <v>0.006</v>
      </c>
      <c r="C1399" s="194">
        <f>IF(Annual_Prem&lt;100000,1%,0.6%)</f>
        <v>0.006</v>
      </c>
      <c r="D1399" s="194">
        <f>IF(Annual_Prem&lt;100000,1%,0.6%)</f>
        <v>0.006</v>
      </c>
      <c r="E1399" s="194">
        <f>IF(Annual_Prem&lt;100000,1%,0.6%)</f>
        <v>0.006</v>
      </c>
      <c r="F1399" s="194">
        <v>0.005</v>
      </c>
      <c r="G1399" s="194">
        <v>0.005</v>
      </c>
      <c r="H1399" s="194">
        <v>0.005</v>
      </c>
      <c r="I1399" s="194">
        <v>0.005</v>
      </c>
      <c r="J1399" s="194">
        <v>0.005</v>
      </c>
      <c r="K1399" s="194">
        <v>0.005</v>
      </c>
      <c r="L1399" s="194">
        <v>0.0025</v>
      </c>
      <c r="M1399" s="194">
        <v>0.0025</v>
      </c>
      <c r="N1399" s="194">
        <v>0.0025</v>
      </c>
      <c r="O1399" s="194">
        <v>0.0025</v>
      </c>
      <c r="P1399" s="194">
        <v>0.0025</v>
      </c>
      <c r="Q1399" s="194">
        <v>0.0</v>
      </c>
      <c r="R1399" s="194">
        <v>0.0</v>
      </c>
      <c r="S1399" s="194">
        <v>0.0</v>
      </c>
      <c r="T1399" s="194">
        <v>0.0</v>
      </c>
      <c r="U1399" s="194">
        <v>0.0</v>
      </c>
      <c r="V1399" s="194">
        <v>0.0</v>
      </c>
      <c r="W1399" s="194">
        <v>0.0</v>
      </c>
      <c r="X1399" s="194">
        <v>0.0</v>
      </c>
      <c r="Y1399" s="194">
        <v>0.0</v>
      </c>
      <c r="Z1399" s="194">
        <v>0.0</v>
      </c>
      <c r="AA1399" s="194">
        <v>0.0</v>
      </c>
      <c r="AB1399" s="194">
        <v>0.0</v>
      </c>
      <c r="AC1399" s="194">
        <v>0.0</v>
      </c>
      <c r="AD1399" s="194">
        <v>0.0</v>
      </c>
      <c r="AE1399" s="194">
        <v>0.0</v>
      </c>
      <c r="AF1399" s="36"/>
      <c r="AG1399" s="36"/>
      <c r="AH1399" s="36"/>
      <c r="AI1399" s="36"/>
      <c r="AJ1399" s="36"/>
    </row>
    <row r="1400" ht="15.75" customHeight="1">
      <c r="A1400" s="12"/>
      <c r="B1400" s="390"/>
      <c r="C1400" s="390"/>
      <c r="D1400" s="390"/>
      <c r="E1400" s="121"/>
      <c r="F1400" s="121"/>
      <c r="G1400" s="121"/>
      <c r="H1400" s="121"/>
      <c r="I1400" s="121"/>
      <c r="J1400" s="121"/>
      <c r="K1400" s="121"/>
      <c r="L1400" s="121"/>
      <c r="M1400" s="121"/>
      <c r="N1400" s="121"/>
      <c r="O1400" s="121"/>
      <c r="P1400" s="121"/>
      <c r="Q1400" s="121"/>
      <c r="R1400" s="121"/>
      <c r="S1400" s="121"/>
      <c r="T1400" s="121"/>
      <c r="U1400" s="121"/>
      <c r="V1400" s="121"/>
      <c r="W1400" s="121"/>
      <c r="X1400" s="121"/>
      <c r="Y1400" s="121"/>
      <c r="Z1400" s="121"/>
      <c r="AA1400" s="121"/>
      <c r="AB1400" s="121"/>
      <c r="AC1400" s="121"/>
      <c r="AD1400" s="121"/>
      <c r="AE1400" s="121"/>
      <c r="AF1400" s="36"/>
      <c r="AG1400" s="36"/>
      <c r="AH1400" s="36"/>
      <c r="AI1400" s="36"/>
      <c r="AJ1400" s="36"/>
    </row>
    <row r="1401" ht="15.75" customHeight="1">
      <c r="A1401" s="242" t="s">
        <v>1809</v>
      </c>
      <c r="B1401" s="390"/>
      <c r="C1401" s="390"/>
      <c r="D1401" s="390"/>
      <c r="E1401" s="121"/>
      <c r="F1401" s="121"/>
      <c r="G1401" s="121"/>
      <c r="H1401" s="121"/>
      <c r="I1401" s="121"/>
      <c r="J1401" s="121"/>
      <c r="K1401" s="121"/>
      <c r="L1401" s="121"/>
      <c r="M1401" s="121"/>
      <c r="N1401" s="121"/>
      <c r="O1401" s="121"/>
      <c r="P1401" s="121"/>
      <c r="Q1401" s="121"/>
      <c r="R1401" s="121"/>
      <c r="S1401" s="121"/>
      <c r="T1401" s="121"/>
      <c r="U1401" s="121"/>
      <c r="V1401" s="121"/>
      <c r="W1401" s="121"/>
      <c r="X1401" s="121"/>
      <c r="Y1401" s="121"/>
      <c r="Z1401" s="121"/>
      <c r="AA1401" s="121"/>
      <c r="AB1401" s="121"/>
      <c r="AC1401" s="121"/>
      <c r="AD1401" s="121"/>
      <c r="AE1401" s="121"/>
      <c r="AF1401" s="36"/>
      <c r="AG1401" s="36"/>
      <c r="AH1401" s="36"/>
      <c r="AI1401" s="36"/>
      <c r="AJ1401" s="36"/>
    </row>
    <row r="1402" ht="15.75" customHeight="1">
      <c r="A1402" s="12"/>
      <c r="B1402" s="390"/>
      <c r="C1402" s="390"/>
      <c r="D1402" s="390"/>
      <c r="E1402" s="121"/>
      <c r="F1402" s="121"/>
      <c r="G1402" s="121"/>
      <c r="H1402" s="121"/>
      <c r="I1402" s="121"/>
      <c r="J1402" s="121"/>
      <c r="K1402" s="121"/>
      <c r="L1402" s="121"/>
      <c r="M1402" s="121"/>
      <c r="N1402" s="121"/>
      <c r="O1402" s="121"/>
      <c r="P1402" s="121"/>
      <c r="Q1402" s="121"/>
      <c r="R1402" s="121"/>
      <c r="S1402" s="121"/>
      <c r="T1402" s="121"/>
      <c r="U1402" s="121"/>
      <c r="V1402" s="121"/>
      <c r="W1402" s="121"/>
      <c r="X1402" s="121"/>
      <c r="Y1402" s="121"/>
      <c r="Z1402" s="121"/>
      <c r="AA1402" s="121"/>
      <c r="AB1402" s="121"/>
      <c r="AC1402" s="121"/>
      <c r="AD1402" s="121"/>
      <c r="AE1402" s="121"/>
      <c r="AF1402" s="36"/>
      <c r="AG1402" s="36"/>
      <c r="AH1402" s="36"/>
      <c r="AI1402" s="36"/>
      <c r="AJ1402" s="36"/>
    </row>
    <row r="1403" ht="15.75" customHeight="1">
      <c r="A1403" s="36" t="s">
        <v>215</v>
      </c>
      <c r="B1403" s="36">
        <v>1.0</v>
      </c>
      <c r="C1403" s="36">
        <v>2.0</v>
      </c>
      <c r="D1403" s="36">
        <v>3.0</v>
      </c>
      <c r="E1403" s="36">
        <v>4.0</v>
      </c>
      <c r="F1403" s="36">
        <v>5.0</v>
      </c>
      <c r="G1403" s="36">
        <v>6.0</v>
      </c>
      <c r="H1403" s="36">
        <v>7.0</v>
      </c>
      <c r="I1403" s="36">
        <v>8.0</v>
      </c>
      <c r="J1403" s="36">
        <v>9.0</v>
      </c>
      <c r="K1403" s="36">
        <v>10.0</v>
      </c>
      <c r="L1403" s="36">
        <v>11.0</v>
      </c>
      <c r="M1403" s="36">
        <v>12.0</v>
      </c>
      <c r="N1403" s="36">
        <v>13.0</v>
      </c>
      <c r="O1403" s="36">
        <v>14.0</v>
      </c>
      <c r="P1403" s="36">
        <v>15.0</v>
      </c>
      <c r="Q1403" s="36">
        <v>16.0</v>
      </c>
      <c r="R1403" s="36">
        <v>17.0</v>
      </c>
      <c r="S1403" s="36">
        <v>18.0</v>
      </c>
      <c r="T1403" s="36">
        <v>19.0</v>
      </c>
      <c r="U1403" s="36">
        <v>20.0</v>
      </c>
      <c r="V1403" s="36">
        <v>21.0</v>
      </c>
      <c r="W1403" s="36">
        <v>22.0</v>
      </c>
      <c r="X1403" s="36">
        <v>23.0</v>
      </c>
      <c r="Y1403" s="36">
        <v>24.0</v>
      </c>
      <c r="Z1403" s="36">
        <v>25.0</v>
      </c>
      <c r="AA1403" s="36">
        <v>26.0</v>
      </c>
      <c r="AB1403" s="36">
        <v>27.0</v>
      </c>
      <c r="AC1403" s="36">
        <v>28.0</v>
      </c>
      <c r="AD1403" s="36">
        <v>29.0</v>
      </c>
      <c r="AE1403" s="36">
        <v>30.0</v>
      </c>
      <c r="AF1403" s="36"/>
      <c r="AG1403" s="36"/>
      <c r="AH1403" s="36"/>
      <c r="AI1403" s="36"/>
      <c r="AJ1403" s="36"/>
    </row>
    <row r="1404" ht="15.75" customHeight="1">
      <c r="A1404" s="12" t="s">
        <v>217</v>
      </c>
      <c r="B1404" s="401">
        <v>0.0</v>
      </c>
      <c r="C1404" s="401">
        <v>63.0</v>
      </c>
      <c r="D1404" s="401">
        <f t="shared" ref="D1404:AE1404" si="108">C1404*1.05</f>
        <v>66.15</v>
      </c>
      <c r="E1404" s="401">
        <f t="shared" si="108"/>
        <v>69.4575</v>
      </c>
      <c r="F1404" s="401">
        <f t="shared" si="108"/>
        <v>72.930375</v>
      </c>
      <c r="G1404" s="401">
        <f t="shared" si="108"/>
        <v>76.57689375</v>
      </c>
      <c r="H1404" s="401">
        <f t="shared" si="108"/>
        <v>80.40573844</v>
      </c>
      <c r="I1404" s="401">
        <f t="shared" si="108"/>
        <v>84.42602536</v>
      </c>
      <c r="J1404" s="401">
        <f t="shared" si="108"/>
        <v>88.64732663</v>
      </c>
      <c r="K1404" s="401">
        <f t="shared" si="108"/>
        <v>93.07969296</v>
      </c>
      <c r="L1404" s="401">
        <f t="shared" si="108"/>
        <v>97.73367761</v>
      </c>
      <c r="M1404" s="401">
        <f t="shared" si="108"/>
        <v>102.6203615</v>
      </c>
      <c r="N1404" s="401">
        <f t="shared" si="108"/>
        <v>107.7513796</v>
      </c>
      <c r="O1404" s="401">
        <f t="shared" si="108"/>
        <v>113.1389485</v>
      </c>
      <c r="P1404" s="401">
        <f t="shared" si="108"/>
        <v>118.795896</v>
      </c>
      <c r="Q1404" s="401">
        <f t="shared" si="108"/>
        <v>124.7356908</v>
      </c>
      <c r="R1404" s="401">
        <f t="shared" si="108"/>
        <v>130.9724753</v>
      </c>
      <c r="S1404" s="401">
        <f t="shared" si="108"/>
        <v>137.5210991</v>
      </c>
      <c r="T1404" s="401">
        <f t="shared" si="108"/>
        <v>144.397154</v>
      </c>
      <c r="U1404" s="401">
        <f t="shared" si="108"/>
        <v>151.6170117</v>
      </c>
      <c r="V1404" s="401">
        <f t="shared" si="108"/>
        <v>159.1978623</v>
      </c>
      <c r="W1404" s="401">
        <f t="shared" si="108"/>
        <v>167.1577554</v>
      </c>
      <c r="X1404" s="401">
        <f t="shared" si="108"/>
        <v>175.5156432</v>
      </c>
      <c r="Y1404" s="401">
        <f t="shared" si="108"/>
        <v>184.2914254</v>
      </c>
      <c r="Z1404" s="401">
        <f t="shared" si="108"/>
        <v>193.5059966</v>
      </c>
      <c r="AA1404" s="401">
        <f t="shared" si="108"/>
        <v>203.1812965</v>
      </c>
      <c r="AB1404" s="401">
        <f t="shared" si="108"/>
        <v>213.3403613</v>
      </c>
      <c r="AC1404" s="401">
        <f t="shared" si="108"/>
        <v>224.0073793</v>
      </c>
      <c r="AD1404" s="401">
        <f t="shared" si="108"/>
        <v>235.2077483</v>
      </c>
      <c r="AE1404" s="401">
        <f t="shared" si="108"/>
        <v>246.9681357</v>
      </c>
      <c r="AF1404" s="36"/>
      <c r="AG1404" s="36"/>
      <c r="AH1404" s="36"/>
      <c r="AI1404" s="36"/>
      <c r="AJ1404" s="36"/>
    </row>
    <row r="1405" ht="15.75" customHeight="1">
      <c r="A1405" s="12" t="s">
        <v>218</v>
      </c>
      <c r="B1405" s="121">
        <v>0.0</v>
      </c>
      <c r="C1405" s="121">
        <v>0.0</v>
      </c>
      <c r="D1405" s="121">
        <v>0.0</v>
      </c>
      <c r="E1405" s="121">
        <v>0.0</v>
      </c>
      <c r="F1405" s="121">
        <v>0.0</v>
      </c>
      <c r="G1405" s="121">
        <v>0.0</v>
      </c>
      <c r="H1405" s="121">
        <v>0.0</v>
      </c>
      <c r="I1405" s="121">
        <v>0.0</v>
      </c>
      <c r="J1405" s="121">
        <v>0.0</v>
      </c>
      <c r="K1405" s="121">
        <v>0.0</v>
      </c>
      <c r="L1405" s="121">
        <v>0.0</v>
      </c>
      <c r="M1405" s="121">
        <v>0.0</v>
      </c>
      <c r="N1405" s="121">
        <v>0.0</v>
      </c>
      <c r="O1405" s="121">
        <v>0.0</v>
      </c>
      <c r="P1405" s="121">
        <v>0.0</v>
      </c>
      <c r="Q1405" s="121">
        <v>0.0</v>
      </c>
      <c r="R1405" s="121">
        <v>0.0</v>
      </c>
      <c r="S1405" s="121">
        <v>0.0</v>
      </c>
      <c r="T1405" s="121">
        <v>0.0</v>
      </c>
      <c r="U1405" s="121">
        <v>0.0</v>
      </c>
      <c r="V1405" s="121">
        <v>0.0</v>
      </c>
      <c r="W1405" s="121">
        <v>0.0</v>
      </c>
      <c r="X1405" s="121">
        <v>0.0</v>
      </c>
      <c r="Y1405" s="121">
        <v>0.0</v>
      </c>
      <c r="Z1405" s="121">
        <v>0.0</v>
      </c>
      <c r="AA1405" s="121">
        <v>0.0</v>
      </c>
      <c r="AB1405" s="121">
        <v>0.0</v>
      </c>
      <c r="AC1405" s="121">
        <v>0.0</v>
      </c>
      <c r="AD1405" s="121">
        <v>0.0</v>
      </c>
      <c r="AE1405" s="121">
        <v>0.0</v>
      </c>
      <c r="AF1405" s="36"/>
      <c r="AG1405" s="36"/>
      <c r="AH1405" s="36"/>
      <c r="AI1405" s="36"/>
      <c r="AJ1405" s="36"/>
    </row>
    <row r="1406" ht="15.75" customHeight="1">
      <c r="A1406" s="12"/>
      <c r="B1406" s="390"/>
      <c r="C1406" s="390"/>
      <c r="D1406" s="390"/>
      <c r="E1406" s="121"/>
      <c r="F1406" s="121"/>
      <c r="G1406" s="121"/>
      <c r="H1406" s="121"/>
      <c r="I1406" s="121"/>
      <c r="J1406" s="121"/>
      <c r="K1406" s="121"/>
      <c r="L1406" s="121"/>
      <c r="M1406" s="121"/>
      <c r="N1406" s="121"/>
      <c r="O1406" s="121"/>
      <c r="P1406" s="121"/>
      <c r="Q1406" s="121"/>
      <c r="R1406" s="121"/>
      <c r="S1406" s="121"/>
      <c r="T1406" s="121"/>
      <c r="U1406" s="121"/>
      <c r="V1406" s="121"/>
      <c r="W1406" s="121"/>
      <c r="X1406" s="121"/>
      <c r="Y1406" s="121"/>
      <c r="Z1406" s="121"/>
      <c r="AA1406" s="121"/>
      <c r="AB1406" s="121"/>
      <c r="AC1406" s="121"/>
      <c r="AD1406" s="121"/>
      <c r="AE1406" s="121"/>
      <c r="AF1406" s="36"/>
      <c r="AG1406" s="36"/>
      <c r="AH1406" s="36"/>
      <c r="AI1406" s="36"/>
      <c r="AJ1406" s="36"/>
    </row>
    <row r="1407" ht="15.75" customHeight="1">
      <c r="A1407" s="242" t="s">
        <v>1813</v>
      </c>
      <c r="B1407" s="390"/>
      <c r="C1407" s="390"/>
      <c r="D1407" s="390"/>
      <c r="E1407" s="121"/>
      <c r="F1407" s="121"/>
      <c r="G1407" s="121"/>
      <c r="H1407" s="121"/>
      <c r="I1407" s="121"/>
      <c r="J1407" s="121"/>
      <c r="K1407" s="121"/>
      <c r="L1407" s="121"/>
      <c r="M1407" s="121"/>
      <c r="N1407" s="121"/>
      <c r="O1407" s="121"/>
      <c r="P1407" s="121"/>
      <c r="Q1407" s="121"/>
      <c r="R1407" s="121"/>
      <c r="S1407" s="121"/>
      <c r="T1407" s="121"/>
      <c r="U1407" s="121"/>
      <c r="V1407" s="121"/>
      <c r="W1407" s="121"/>
      <c r="X1407" s="121"/>
      <c r="Y1407" s="121"/>
      <c r="Z1407" s="121"/>
      <c r="AA1407" s="121"/>
      <c r="AB1407" s="121"/>
      <c r="AC1407" s="121"/>
      <c r="AD1407" s="121"/>
      <c r="AE1407" s="121"/>
      <c r="AF1407" s="36"/>
      <c r="AG1407" s="36"/>
      <c r="AH1407" s="36"/>
      <c r="AI1407" s="36"/>
      <c r="AJ1407" s="36"/>
    </row>
    <row r="1408" ht="15.75" customHeight="1">
      <c r="A1408" s="36" t="s">
        <v>215</v>
      </c>
      <c r="B1408" s="36">
        <v>1.0</v>
      </c>
      <c r="C1408" s="36">
        <v>2.0</v>
      </c>
      <c r="D1408" s="36">
        <v>3.0</v>
      </c>
      <c r="E1408" s="36">
        <v>4.0</v>
      </c>
      <c r="F1408" s="36">
        <v>5.0</v>
      </c>
      <c r="G1408" s="36">
        <v>6.0</v>
      </c>
      <c r="H1408" s="36">
        <v>7.0</v>
      </c>
      <c r="I1408" s="36">
        <v>8.0</v>
      </c>
      <c r="J1408" s="36">
        <v>9.0</v>
      </c>
      <c r="K1408" s="36">
        <v>10.0</v>
      </c>
      <c r="L1408" s="36">
        <v>11.0</v>
      </c>
      <c r="M1408" s="36">
        <v>12.0</v>
      </c>
      <c r="N1408" s="36">
        <v>13.0</v>
      </c>
      <c r="O1408" s="36">
        <v>14.0</v>
      </c>
      <c r="P1408" s="36">
        <v>15.0</v>
      </c>
      <c r="Q1408" s="36">
        <v>16.0</v>
      </c>
      <c r="R1408" s="36">
        <v>17.0</v>
      </c>
      <c r="S1408" s="36">
        <v>18.0</v>
      </c>
      <c r="T1408" s="36">
        <v>19.0</v>
      </c>
      <c r="U1408" s="36">
        <v>20.0</v>
      </c>
      <c r="V1408" s="36">
        <v>21.0</v>
      </c>
      <c r="W1408" s="36">
        <v>22.0</v>
      </c>
      <c r="X1408" s="36">
        <v>23.0</v>
      </c>
      <c r="Y1408" s="36">
        <v>24.0</v>
      </c>
      <c r="Z1408" s="36">
        <v>25.0</v>
      </c>
      <c r="AA1408" s="36">
        <v>26.0</v>
      </c>
      <c r="AB1408" s="36">
        <v>27.0</v>
      </c>
      <c r="AC1408" s="36">
        <v>28.0</v>
      </c>
      <c r="AD1408" s="36">
        <v>29.0</v>
      </c>
      <c r="AE1408" s="36">
        <v>30.0</v>
      </c>
      <c r="AF1408" s="36"/>
      <c r="AG1408" s="36"/>
      <c r="AH1408" s="36"/>
      <c r="AI1408" s="36"/>
      <c r="AJ1408" s="36"/>
    </row>
    <row r="1409" ht="15.75" customHeight="1">
      <c r="A1409" s="12" t="s">
        <v>217</v>
      </c>
      <c r="B1409" s="401">
        <v>0.0</v>
      </c>
      <c r="C1409" s="401">
        <v>63.0</v>
      </c>
      <c r="D1409" s="401">
        <f t="shared" ref="D1409:AE1409" si="109">C1409*1.05</f>
        <v>66.15</v>
      </c>
      <c r="E1409" s="401">
        <f t="shared" si="109"/>
        <v>69.4575</v>
      </c>
      <c r="F1409" s="401">
        <f t="shared" si="109"/>
        <v>72.930375</v>
      </c>
      <c r="G1409" s="401">
        <f t="shared" si="109"/>
        <v>76.57689375</v>
      </c>
      <c r="H1409" s="401">
        <f t="shared" si="109"/>
        <v>80.40573844</v>
      </c>
      <c r="I1409" s="401">
        <f t="shared" si="109"/>
        <v>84.42602536</v>
      </c>
      <c r="J1409" s="401">
        <f t="shared" si="109"/>
        <v>88.64732663</v>
      </c>
      <c r="K1409" s="401">
        <f t="shared" si="109"/>
        <v>93.07969296</v>
      </c>
      <c r="L1409" s="401">
        <f t="shared" si="109"/>
        <v>97.73367761</v>
      </c>
      <c r="M1409" s="401">
        <f t="shared" si="109"/>
        <v>102.6203615</v>
      </c>
      <c r="N1409" s="401">
        <f t="shared" si="109"/>
        <v>107.7513796</v>
      </c>
      <c r="O1409" s="401">
        <f t="shared" si="109"/>
        <v>113.1389485</v>
      </c>
      <c r="P1409" s="401">
        <f t="shared" si="109"/>
        <v>118.795896</v>
      </c>
      <c r="Q1409" s="401">
        <f t="shared" si="109"/>
        <v>124.7356908</v>
      </c>
      <c r="R1409" s="401">
        <f t="shared" si="109"/>
        <v>130.9724753</v>
      </c>
      <c r="S1409" s="401">
        <f t="shared" si="109"/>
        <v>137.5210991</v>
      </c>
      <c r="T1409" s="401">
        <f t="shared" si="109"/>
        <v>144.397154</v>
      </c>
      <c r="U1409" s="401">
        <f t="shared" si="109"/>
        <v>151.6170117</v>
      </c>
      <c r="V1409" s="401">
        <f t="shared" si="109"/>
        <v>159.1978623</v>
      </c>
      <c r="W1409" s="401">
        <f t="shared" si="109"/>
        <v>167.1577554</v>
      </c>
      <c r="X1409" s="401">
        <f t="shared" si="109"/>
        <v>175.5156432</v>
      </c>
      <c r="Y1409" s="401">
        <f t="shared" si="109"/>
        <v>184.2914254</v>
      </c>
      <c r="Z1409" s="401">
        <f t="shared" si="109"/>
        <v>193.5059966</v>
      </c>
      <c r="AA1409" s="401">
        <f t="shared" si="109"/>
        <v>203.1812965</v>
      </c>
      <c r="AB1409" s="401">
        <f t="shared" si="109"/>
        <v>213.3403613</v>
      </c>
      <c r="AC1409" s="401">
        <f t="shared" si="109"/>
        <v>224.0073793</v>
      </c>
      <c r="AD1409" s="401">
        <f t="shared" si="109"/>
        <v>235.2077483</v>
      </c>
      <c r="AE1409" s="401">
        <f t="shared" si="109"/>
        <v>246.9681357</v>
      </c>
      <c r="AF1409" s="36"/>
      <c r="AG1409" s="36"/>
      <c r="AH1409" s="36"/>
      <c r="AI1409" s="36"/>
      <c r="AJ1409" s="36"/>
    </row>
    <row r="1410" ht="15.75" customHeight="1">
      <c r="A1410" s="12" t="s">
        <v>218</v>
      </c>
      <c r="B1410" s="121">
        <v>0.0</v>
      </c>
      <c r="C1410" s="121">
        <v>0.0</v>
      </c>
      <c r="D1410" s="121">
        <v>0.0</v>
      </c>
      <c r="E1410" s="121">
        <v>0.0</v>
      </c>
      <c r="F1410" s="121">
        <v>0.0</v>
      </c>
      <c r="G1410" s="121">
        <v>0.0</v>
      </c>
      <c r="H1410" s="121">
        <v>0.0</v>
      </c>
      <c r="I1410" s="121">
        <v>0.0</v>
      </c>
      <c r="J1410" s="121">
        <v>0.0</v>
      </c>
      <c r="K1410" s="121">
        <v>0.0</v>
      </c>
      <c r="L1410" s="121">
        <v>0.0</v>
      </c>
      <c r="M1410" s="121">
        <v>0.0</v>
      </c>
      <c r="N1410" s="121">
        <v>0.0</v>
      </c>
      <c r="O1410" s="121">
        <v>0.0</v>
      </c>
      <c r="P1410" s="121">
        <v>0.0</v>
      </c>
      <c r="Q1410" s="121">
        <v>0.0</v>
      </c>
      <c r="R1410" s="121">
        <v>0.0</v>
      </c>
      <c r="S1410" s="121">
        <v>0.0</v>
      </c>
      <c r="T1410" s="121">
        <v>0.0</v>
      </c>
      <c r="U1410" s="121">
        <v>0.0</v>
      </c>
      <c r="V1410" s="121">
        <v>0.0</v>
      </c>
      <c r="W1410" s="121">
        <v>0.0</v>
      </c>
      <c r="X1410" s="121">
        <v>0.0</v>
      </c>
      <c r="Y1410" s="121">
        <v>0.0</v>
      </c>
      <c r="Z1410" s="121">
        <v>0.0</v>
      </c>
      <c r="AA1410" s="121">
        <v>0.0</v>
      </c>
      <c r="AB1410" s="121">
        <v>0.0</v>
      </c>
      <c r="AC1410" s="121">
        <v>0.0</v>
      </c>
      <c r="AD1410" s="121">
        <v>0.0</v>
      </c>
      <c r="AE1410" s="121">
        <v>0.0</v>
      </c>
      <c r="AF1410" s="36"/>
      <c r="AG1410" s="36"/>
      <c r="AH1410" s="36"/>
      <c r="AI1410" s="36"/>
      <c r="AJ1410" s="36"/>
    </row>
    <row r="1411" ht="15.75" customHeight="1">
      <c r="A1411" s="12"/>
      <c r="B1411" s="390"/>
      <c r="C1411" s="390"/>
      <c r="D1411" s="390"/>
      <c r="E1411" s="121"/>
      <c r="F1411" s="121"/>
      <c r="G1411" s="121"/>
      <c r="H1411" s="121"/>
      <c r="I1411" s="121"/>
      <c r="J1411" s="121"/>
      <c r="K1411" s="121"/>
      <c r="L1411" s="121"/>
      <c r="M1411" s="121"/>
      <c r="N1411" s="121"/>
      <c r="O1411" s="121"/>
      <c r="P1411" s="121"/>
      <c r="Q1411" s="121"/>
      <c r="R1411" s="121"/>
      <c r="S1411" s="121"/>
      <c r="T1411" s="121"/>
      <c r="U1411" s="121"/>
      <c r="V1411" s="121"/>
      <c r="W1411" s="121"/>
      <c r="X1411" s="121"/>
      <c r="Y1411" s="121"/>
      <c r="Z1411" s="121"/>
      <c r="AA1411" s="121"/>
      <c r="AB1411" s="121"/>
      <c r="AC1411" s="121"/>
      <c r="AD1411" s="121"/>
      <c r="AE1411" s="121"/>
      <c r="AF1411" s="36"/>
      <c r="AG1411" s="36"/>
      <c r="AH1411" s="36"/>
      <c r="AI1411" s="36"/>
      <c r="AJ1411" s="36"/>
    </row>
    <row r="1412" ht="15.75" customHeight="1">
      <c r="A1412" s="242" t="s">
        <v>1817</v>
      </c>
      <c r="B1412" s="390"/>
      <c r="C1412" s="390"/>
      <c r="D1412" s="390"/>
      <c r="E1412" s="121"/>
      <c r="F1412" s="121"/>
      <c r="G1412" s="121"/>
      <c r="H1412" s="121"/>
      <c r="I1412" s="121"/>
      <c r="J1412" s="121"/>
      <c r="K1412" s="121"/>
      <c r="L1412" s="121"/>
      <c r="M1412" s="121"/>
      <c r="N1412" s="121"/>
      <c r="O1412" s="121"/>
      <c r="P1412" s="121"/>
      <c r="Q1412" s="121"/>
      <c r="R1412" s="121"/>
      <c r="S1412" s="121"/>
      <c r="T1412" s="121"/>
      <c r="U1412" s="121"/>
      <c r="V1412" s="121"/>
      <c r="W1412" s="121"/>
      <c r="X1412" s="121"/>
      <c r="Y1412" s="121"/>
      <c r="Z1412" s="121"/>
      <c r="AA1412" s="121"/>
      <c r="AB1412" s="121"/>
      <c r="AC1412" s="121"/>
      <c r="AD1412" s="121"/>
      <c r="AE1412" s="121"/>
      <c r="AF1412" s="36"/>
      <c r="AG1412" s="36"/>
      <c r="AH1412" s="36"/>
      <c r="AI1412" s="36"/>
      <c r="AJ1412" s="36"/>
    </row>
    <row r="1413" ht="15.75" customHeight="1">
      <c r="A1413" s="12"/>
      <c r="B1413" s="390"/>
      <c r="C1413" s="390"/>
      <c r="D1413" s="390"/>
      <c r="E1413" s="121"/>
      <c r="F1413" s="121"/>
      <c r="G1413" s="121"/>
      <c r="H1413" s="121"/>
      <c r="I1413" s="121"/>
      <c r="J1413" s="121"/>
      <c r="K1413" s="121"/>
      <c r="L1413" s="121"/>
      <c r="M1413" s="121"/>
      <c r="N1413" s="121"/>
      <c r="O1413" s="121"/>
      <c r="P1413" s="121"/>
      <c r="Q1413" s="121"/>
      <c r="R1413" s="121"/>
      <c r="S1413" s="121"/>
      <c r="T1413" s="121"/>
      <c r="U1413" s="121"/>
      <c r="V1413" s="121"/>
      <c r="W1413" s="121"/>
      <c r="X1413" s="121"/>
      <c r="Y1413" s="121"/>
      <c r="Z1413" s="121"/>
      <c r="AA1413" s="121"/>
      <c r="AB1413" s="121"/>
      <c r="AC1413" s="121"/>
      <c r="AD1413" s="121"/>
      <c r="AE1413" s="121"/>
      <c r="AF1413" s="36"/>
      <c r="AG1413" s="36"/>
      <c r="AH1413" s="36"/>
      <c r="AI1413" s="36"/>
      <c r="AJ1413" s="36"/>
    </row>
    <row r="1414" ht="15.75" customHeight="1">
      <c r="A1414" s="36" t="s">
        <v>215</v>
      </c>
      <c r="B1414" s="36">
        <v>1.0</v>
      </c>
      <c r="C1414" s="36">
        <v>2.0</v>
      </c>
      <c r="D1414" s="36">
        <v>3.0</v>
      </c>
      <c r="E1414" s="36">
        <v>4.0</v>
      </c>
      <c r="F1414" s="36">
        <v>5.0</v>
      </c>
      <c r="G1414" s="36">
        <v>6.0</v>
      </c>
      <c r="H1414" s="36">
        <v>7.0</v>
      </c>
      <c r="I1414" s="36">
        <v>8.0</v>
      </c>
      <c r="J1414" s="36">
        <v>9.0</v>
      </c>
      <c r="K1414" s="36">
        <v>10.0</v>
      </c>
      <c r="L1414" s="36">
        <v>11.0</v>
      </c>
      <c r="M1414" s="36">
        <v>12.0</v>
      </c>
      <c r="N1414" s="36">
        <v>13.0</v>
      </c>
      <c r="O1414" s="36">
        <v>14.0</v>
      </c>
      <c r="P1414" s="36">
        <v>15.0</v>
      </c>
      <c r="Q1414" s="36">
        <v>16.0</v>
      </c>
      <c r="R1414" s="36">
        <v>17.0</v>
      </c>
      <c r="S1414" s="36">
        <v>18.0</v>
      </c>
      <c r="T1414" s="36">
        <v>19.0</v>
      </c>
      <c r="U1414" s="36">
        <v>20.0</v>
      </c>
      <c r="V1414" s="36">
        <v>21.0</v>
      </c>
      <c r="W1414" s="36">
        <v>22.0</v>
      </c>
      <c r="X1414" s="36">
        <v>23.0</v>
      </c>
      <c r="Y1414" s="36">
        <v>24.0</v>
      </c>
      <c r="Z1414" s="36">
        <v>25.0</v>
      </c>
      <c r="AA1414" s="36">
        <v>26.0</v>
      </c>
      <c r="AB1414" s="36">
        <v>27.0</v>
      </c>
      <c r="AC1414" s="36">
        <v>28.0</v>
      </c>
      <c r="AD1414" s="36">
        <v>29.0</v>
      </c>
      <c r="AE1414" s="36">
        <v>30.0</v>
      </c>
      <c r="AF1414" s="36"/>
      <c r="AG1414" s="36"/>
      <c r="AH1414" s="36"/>
      <c r="AI1414" s="36"/>
      <c r="AJ1414" s="36"/>
    </row>
    <row r="1415" ht="15.75" customHeight="1">
      <c r="A1415" s="12" t="s">
        <v>217</v>
      </c>
      <c r="B1415" s="401">
        <v>60.0</v>
      </c>
      <c r="C1415" s="401">
        <f t="shared" ref="C1415:AE1415" si="110">B1415*1.05</f>
        <v>63</v>
      </c>
      <c r="D1415" s="401">
        <f t="shared" si="110"/>
        <v>66.15</v>
      </c>
      <c r="E1415" s="401">
        <f t="shared" si="110"/>
        <v>69.4575</v>
      </c>
      <c r="F1415" s="401">
        <f t="shared" si="110"/>
        <v>72.930375</v>
      </c>
      <c r="G1415" s="401">
        <f t="shared" si="110"/>
        <v>76.57689375</v>
      </c>
      <c r="H1415" s="401">
        <f t="shared" si="110"/>
        <v>80.40573844</v>
      </c>
      <c r="I1415" s="401">
        <f t="shared" si="110"/>
        <v>84.42602536</v>
      </c>
      <c r="J1415" s="401">
        <f t="shared" si="110"/>
        <v>88.64732663</v>
      </c>
      <c r="K1415" s="401">
        <f t="shared" si="110"/>
        <v>93.07969296</v>
      </c>
      <c r="L1415" s="401">
        <f t="shared" si="110"/>
        <v>97.73367761</v>
      </c>
      <c r="M1415" s="401">
        <f t="shared" si="110"/>
        <v>102.6203615</v>
      </c>
      <c r="N1415" s="401">
        <f t="shared" si="110"/>
        <v>107.7513796</v>
      </c>
      <c r="O1415" s="401">
        <f t="shared" si="110"/>
        <v>113.1389485</v>
      </c>
      <c r="P1415" s="401">
        <f t="shared" si="110"/>
        <v>118.795896</v>
      </c>
      <c r="Q1415" s="401">
        <f t="shared" si="110"/>
        <v>124.7356908</v>
      </c>
      <c r="R1415" s="401">
        <f t="shared" si="110"/>
        <v>130.9724753</v>
      </c>
      <c r="S1415" s="401">
        <f t="shared" si="110"/>
        <v>137.5210991</v>
      </c>
      <c r="T1415" s="401">
        <f t="shared" si="110"/>
        <v>144.397154</v>
      </c>
      <c r="U1415" s="401">
        <f t="shared" si="110"/>
        <v>151.6170117</v>
      </c>
      <c r="V1415" s="401">
        <f t="shared" si="110"/>
        <v>159.1978623</v>
      </c>
      <c r="W1415" s="401">
        <f t="shared" si="110"/>
        <v>167.1577554</v>
      </c>
      <c r="X1415" s="401">
        <f t="shared" si="110"/>
        <v>175.5156432</v>
      </c>
      <c r="Y1415" s="401">
        <f t="shared" si="110"/>
        <v>184.2914254</v>
      </c>
      <c r="Z1415" s="401">
        <f t="shared" si="110"/>
        <v>193.5059966</v>
      </c>
      <c r="AA1415" s="401">
        <f t="shared" si="110"/>
        <v>203.1812965</v>
      </c>
      <c r="AB1415" s="401">
        <f t="shared" si="110"/>
        <v>213.3403613</v>
      </c>
      <c r="AC1415" s="401">
        <f t="shared" si="110"/>
        <v>224.0073793</v>
      </c>
      <c r="AD1415" s="401">
        <f t="shared" si="110"/>
        <v>235.2077483</v>
      </c>
      <c r="AE1415" s="401">
        <f t="shared" si="110"/>
        <v>246.9681357</v>
      </c>
      <c r="AF1415" s="36"/>
      <c r="AG1415" s="36"/>
      <c r="AH1415" s="36"/>
      <c r="AI1415" s="36"/>
      <c r="AJ1415" s="36"/>
    </row>
    <row r="1416" ht="15.75" customHeight="1">
      <c r="A1416" s="12" t="s">
        <v>218</v>
      </c>
      <c r="B1416" s="121">
        <v>0.0</v>
      </c>
      <c r="C1416" s="121">
        <v>0.0</v>
      </c>
      <c r="D1416" s="121">
        <v>0.0</v>
      </c>
      <c r="E1416" s="121">
        <v>0.0</v>
      </c>
      <c r="F1416" s="121">
        <v>0.0</v>
      </c>
      <c r="G1416" s="121">
        <v>0.0</v>
      </c>
      <c r="H1416" s="121">
        <v>0.0</v>
      </c>
      <c r="I1416" s="121">
        <v>0.0</v>
      </c>
      <c r="J1416" s="121">
        <v>0.0</v>
      </c>
      <c r="K1416" s="121">
        <v>0.0</v>
      </c>
      <c r="L1416" s="121">
        <v>0.0</v>
      </c>
      <c r="M1416" s="121">
        <v>0.0</v>
      </c>
      <c r="N1416" s="121">
        <v>0.0</v>
      </c>
      <c r="O1416" s="121">
        <v>0.0</v>
      </c>
      <c r="P1416" s="121">
        <v>0.0</v>
      </c>
      <c r="Q1416" s="121">
        <v>0.0</v>
      </c>
      <c r="R1416" s="121">
        <v>0.0</v>
      </c>
      <c r="S1416" s="121">
        <v>0.0</v>
      </c>
      <c r="T1416" s="121">
        <v>0.0</v>
      </c>
      <c r="U1416" s="121">
        <v>0.0</v>
      </c>
      <c r="V1416" s="121">
        <v>0.0</v>
      </c>
      <c r="W1416" s="121">
        <v>0.0</v>
      </c>
      <c r="X1416" s="121">
        <v>0.0</v>
      </c>
      <c r="Y1416" s="121">
        <v>0.0</v>
      </c>
      <c r="Z1416" s="121">
        <v>0.0</v>
      </c>
      <c r="AA1416" s="121">
        <v>0.0</v>
      </c>
      <c r="AB1416" s="121">
        <v>0.0</v>
      </c>
      <c r="AC1416" s="121">
        <v>0.0</v>
      </c>
      <c r="AD1416" s="121">
        <v>0.0</v>
      </c>
      <c r="AE1416" s="121">
        <v>0.0</v>
      </c>
      <c r="AF1416" s="36"/>
      <c r="AG1416" s="36"/>
      <c r="AH1416" s="36"/>
      <c r="AI1416" s="36"/>
      <c r="AJ1416" s="36"/>
    </row>
    <row r="1417" ht="15.75" customHeight="1">
      <c r="A1417" s="12"/>
      <c r="B1417" s="390"/>
      <c r="C1417" s="390"/>
      <c r="D1417" s="390"/>
      <c r="E1417" s="121"/>
      <c r="F1417" s="121"/>
      <c r="G1417" s="121"/>
      <c r="H1417" s="121"/>
      <c r="I1417" s="121"/>
      <c r="J1417" s="121"/>
      <c r="K1417" s="121"/>
      <c r="L1417" s="121"/>
      <c r="M1417" s="121"/>
      <c r="N1417" s="121"/>
      <c r="O1417" s="121"/>
      <c r="P1417" s="121"/>
      <c r="Q1417" s="121"/>
      <c r="R1417" s="121"/>
      <c r="S1417" s="121"/>
      <c r="T1417" s="121"/>
      <c r="U1417" s="121"/>
      <c r="V1417" s="121"/>
      <c r="W1417" s="121"/>
      <c r="X1417" s="121"/>
      <c r="Y1417" s="121"/>
      <c r="Z1417" s="121"/>
      <c r="AA1417" s="121"/>
      <c r="AB1417" s="121"/>
      <c r="AC1417" s="121"/>
      <c r="AD1417" s="121"/>
      <c r="AE1417" s="121"/>
      <c r="AF1417" s="36"/>
      <c r="AG1417" s="36"/>
      <c r="AH1417" s="36"/>
      <c r="AI1417" s="36"/>
      <c r="AJ1417" s="36"/>
    </row>
    <row r="1418" ht="15.75" customHeight="1">
      <c r="A1418" s="242" t="s">
        <v>1821</v>
      </c>
      <c r="B1418" s="390"/>
      <c r="C1418" s="390"/>
      <c r="D1418" s="390"/>
      <c r="E1418" s="121"/>
      <c r="F1418" s="121"/>
      <c r="G1418" s="121"/>
      <c r="H1418" s="121"/>
      <c r="I1418" s="121"/>
      <c r="J1418" s="121"/>
      <c r="K1418" s="121"/>
      <c r="L1418" s="121"/>
      <c r="M1418" s="121"/>
      <c r="N1418" s="121"/>
      <c r="O1418" s="121"/>
      <c r="P1418" s="121"/>
      <c r="Q1418" s="121"/>
      <c r="R1418" s="121"/>
      <c r="S1418" s="121"/>
      <c r="T1418" s="121"/>
      <c r="U1418" s="121"/>
      <c r="V1418" s="121"/>
      <c r="W1418" s="121"/>
      <c r="X1418" s="121"/>
      <c r="Y1418" s="121"/>
      <c r="Z1418" s="121"/>
      <c r="AA1418" s="121"/>
      <c r="AB1418" s="121"/>
      <c r="AC1418" s="121"/>
      <c r="AD1418" s="121"/>
      <c r="AE1418" s="121"/>
      <c r="AF1418" s="36"/>
      <c r="AG1418" s="36"/>
      <c r="AH1418" s="36"/>
      <c r="AI1418" s="36"/>
      <c r="AJ1418" s="36"/>
    </row>
    <row r="1419" ht="15.75" customHeight="1">
      <c r="A1419" s="12"/>
      <c r="B1419" s="390"/>
      <c r="C1419" s="390"/>
      <c r="D1419" s="390"/>
      <c r="E1419" s="121"/>
      <c r="F1419" s="121"/>
      <c r="G1419" s="121"/>
      <c r="H1419" s="121"/>
      <c r="I1419" s="121"/>
      <c r="J1419" s="121"/>
      <c r="K1419" s="121"/>
      <c r="L1419" s="121"/>
      <c r="M1419" s="121"/>
      <c r="N1419" s="121"/>
      <c r="O1419" s="121"/>
      <c r="P1419" s="121"/>
      <c r="Q1419" s="121"/>
      <c r="R1419" s="121"/>
      <c r="S1419" s="121"/>
      <c r="T1419" s="121"/>
      <c r="U1419" s="121"/>
      <c r="V1419" s="121"/>
      <c r="W1419" s="121"/>
      <c r="X1419" s="121"/>
      <c r="Y1419" s="121"/>
      <c r="Z1419" s="121"/>
      <c r="AA1419" s="121"/>
      <c r="AB1419" s="121"/>
      <c r="AC1419" s="121"/>
      <c r="AD1419" s="121"/>
      <c r="AE1419" s="121"/>
      <c r="AF1419" s="36"/>
      <c r="AG1419" s="36"/>
      <c r="AH1419" s="36"/>
      <c r="AI1419" s="36"/>
      <c r="AJ1419" s="36"/>
    </row>
    <row r="1420" ht="15.75" customHeight="1">
      <c r="A1420" s="36" t="s">
        <v>215</v>
      </c>
      <c r="B1420" s="36">
        <v>1.0</v>
      </c>
      <c r="C1420" s="36">
        <v>2.0</v>
      </c>
      <c r="D1420" s="36">
        <v>3.0</v>
      </c>
      <c r="E1420" s="36">
        <v>4.0</v>
      </c>
      <c r="F1420" s="36">
        <v>5.0</v>
      </c>
      <c r="G1420" s="36">
        <v>6.0</v>
      </c>
      <c r="H1420" s="36">
        <v>7.0</v>
      </c>
      <c r="I1420" s="36">
        <v>8.0</v>
      </c>
      <c r="J1420" s="36">
        <v>9.0</v>
      </c>
      <c r="K1420" s="36">
        <v>10.0</v>
      </c>
      <c r="L1420" s="36">
        <v>11.0</v>
      </c>
      <c r="M1420" s="36">
        <v>12.0</v>
      </c>
      <c r="N1420" s="36">
        <v>13.0</v>
      </c>
      <c r="O1420" s="36">
        <v>14.0</v>
      </c>
      <c r="P1420" s="36">
        <v>15.0</v>
      </c>
      <c r="Q1420" s="36">
        <v>16.0</v>
      </c>
      <c r="R1420" s="36">
        <v>17.0</v>
      </c>
      <c r="S1420" s="36">
        <v>18.0</v>
      </c>
      <c r="T1420" s="36">
        <v>19.0</v>
      </c>
      <c r="U1420" s="36">
        <v>20.0</v>
      </c>
      <c r="V1420" s="36">
        <v>21.0</v>
      </c>
      <c r="W1420" s="36">
        <v>22.0</v>
      </c>
      <c r="X1420" s="36">
        <v>23.0</v>
      </c>
      <c r="Y1420" s="36">
        <v>24.0</v>
      </c>
      <c r="Z1420" s="36">
        <v>25.0</v>
      </c>
      <c r="AA1420" s="36">
        <v>26.0</v>
      </c>
      <c r="AB1420" s="36">
        <v>27.0</v>
      </c>
      <c r="AC1420" s="36">
        <v>28.0</v>
      </c>
      <c r="AD1420" s="36">
        <v>29.0</v>
      </c>
      <c r="AE1420" s="36">
        <v>30.0</v>
      </c>
      <c r="AF1420" s="36"/>
      <c r="AG1420" s="36"/>
      <c r="AH1420" s="36"/>
      <c r="AI1420" s="36"/>
      <c r="AJ1420" s="36"/>
    </row>
    <row r="1421" ht="15.75" customHeight="1">
      <c r="A1421" s="12" t="s">
        <v>217</v>
      </c>
      <c r="B1421" s="401">
        <v>60.0</v>
      </c>
      <c r="C1421" s="401">
        <f t="shared" ref="C1421:AE1421" si="111">B1421*1.05</f>
        <v>63</v>
      </c>
      <c r="D1421" s="401">
        <f t="shared" si="111"/>
        <v>66.15</v>
      </c>
      <c r="E1421" s="401">
        <f t="shared" si="111"/>
        <v>69.4575</v>
      </c>
      <c r="F1421" s="401">
        <f t="shared" si="111"/>
        <v>72.930375</v>
      </c>
      <c r="G1421" s="401">
        <f t="shared" si="111"/>
        <v>76.57689375</v>
      </c>
      <c r="H1421" s="401">
        <f t="shared" si="111"/>
        <v>80.40573844</v>
      </c>
      <c r="I1421" s="401">
        <f t="shared" si="111"/>
        <v>84.42602536</v>
      </c>
      <c r="J1421" s="401">
        <f t="shared" si="111"/>
        <v>88.64732663</v>
      </c>
      <c r="K1421" s="401">
        <f t="shared" si="111"/>
        <v>93.07969296</v>
      </c>
      <c r="L1421" s="401">
        <f t="shared" si="111"/>
        <v>97.73367761</v>
      </c>
      <c r="M1421" s="401">
        <f t="shared" si="111"/>
        <v>102.6203615</v>
      </c>
      <c r="N1421" s="401">
        <f t="shared" si="111"/>
        <v>107.7513796</v>
      </c>
      <c r="O1421" s="401">
        <f t="shared" si="111"/>
        <v>113.1389485</v>
      </c>
      <c r="P1421" s="401">
        <f t="shared" si="111"/>
        <v>118.795896</v>
      </c>
      <c r="Q1421" s="401">
        <f t="shared" si="111"/>
        <v>124.7356908</v>
      </c>
      <c r="R1421" s="401">
        <f t="shared" si="111"/>
        <v>130.9724753</v>
      </c>
      <c r="S1421" s="401">
        <f t="shared" si="111"/>
        <v>137.5210991</v>
      </c>
      <c r="T1421" s="401">
        <f t="shared" si="111"/>
        <v>144.397154</v>
      </c>
      <c r="U1421" s="401">
        <f t="shared" si="111"/>
        <v>151.6170117</v>
      </c>
      <c r="V1421" s="401">
        <f t="shared" si="111"/>
        <v>159.1978623</v>
      </c>
      <c r="W1421" s="401">
        <f t="shared" si="111"/>
        <v>167.1577554</v>
      </c>
      <c r="X1421" s="401">
        <f t="shared" si="111"/>
        <v>175.5156432</v>
      </c>
      <c r="Y1421" s="401">
        <f t="shared" si="111"/>
        <v>184.2914254</v>
      </c>
      <c r="Z1421" s="401">
        <f t="shared" si="111"/>
        <v>193.5059966</v>
      </c>
      <c r="AA1421" s="401">
        <f t="shared" si="111"/>
        <v>203.1812965</v>
      </c>
      <c r="AB1421" s="401">
        <f t="shared" si="111"/>
        <v>213.3403613</v>
      </c>
      <c r="AC1421" s="401">
        <f t="shared" si="111"/>
        <v>224.0073793</v>
      </c>
      <c r="AD1421" s="401">
        <f t="shared" si="111"/>
        <v>235.2077483</v>
      </c>
      <c r="AE1421" s="401">
        <f t="shared" si="111"/>
        <v>246.9681357</v>
      </c>
      <c r="AF1421" s="36"/>
      <c r="AG1421" s="36"/>
      <c r="AH1421" s="36"/>
      <c r="AI1421" s="36"/>
      <c r="AJ1421" s="36"/>
    </row>
    <row r="1422" ht="15.75" customHeight="1">
      <c r="A1422" s="12" t="s">
        <v>218</v>
      </c>
      <c r="B1422" s="121">
        <v>0.0</v>
      </c>
      <c r="C1422" s="121">
        <v>0.0</v>
      </c>
      <c r="D1422" s="121">
        <v>0.0</v>
      </c>
      <c r="E1422" s="121">
        <v>0.0</v>
      </c>
      <c r="F1422" s="121">
        <v>0.0</v>
      </c>
      <c r="G1422" s="121">
        <v>0.0</v>
      </c>
      <c r="H1422" s="121">
        <v>0.0</v>
      </c>
      <c r="I1422" s="121">
        <v>0.0</v>
      </c>
      <c r="J1422" s="121">
        <v>0.0</v>
      </c>
      <c r="K1422" s="121">
        <v>0.0</v>
      </c>
      <c r="L1422" s="121">
        <v>0.0</v>
      </c>
      <c r="M1422" s="121">
        <v>0.0</v>
      </c>
      <c r="N1422" s="121">
        <v>0.0</v>
      </c>
      <c r="O1422" s="121">
        <v>0.0</v>
      </c>
      <c r="P1422" s="121">
        <v>0.0</v>
      </c>
      <c r="Q1422" s="121">
        <v>0.0</v>
      </c>
      <c r="R1422" s="121">
        <v>0.0</v>
      </c>
      <c r="S1422" s="121">
        <v>0.0</v>
      </c>
      <c r="T1422" s="121">
        <v>0.0</v>
      </c>
      <c r="U1422" s="121">
        <v>0.0</v>
      </c>
      <c r="V1422" s="121">
        <v>0.0</v>
      </c>
      <c r="W1422" s="121">
        <v>0.0</v>
      </c>
      <c r="X1422" s="121">
        <v>0.0</v>
      </c>
      <c r="Y1422" s="121">
        <v>0.0</v>
      </c>
      <c r="Z1422" s="121">
        <v>0.0</v>
      </c>
      <c r="AA1422" s="121">
        <v>0.0</v>
      </c>
      <c r="AB1422" s="121">
        <v>0.0</v>
      </c>
      <c r="AC1422" s="121">
        <v>0.0</v>
      </c>
      <c r="AD1422" s="121">
        <v>0.0</v>
      </c>
      <c r="AE1422" s="121">
        <v>0.0</v>
      </c>
      <c r="AF1422" s="36"/>
      <c r="AG1422" s="36"/>
      <c r="AH1422" s="36"/>
      <c r="AI1422" s="36"/>
      <c r="AJ1422" s="36"/>
    </row>
    <row r="1423" ht="15.75" customHeight="1">
      <c r="A1423" s="12"/>
      <c r="B1423" s="390"/>
      <c r="C1423" s="390"/>
      <c r="D1423" s="390"/>
      <c r="E1423" s="121"/>
      <c r="F1423" s="121"/>
      <c r="G1423" s="121"/>
      <c r="H1423" s="121"/>
      <c r="I1423" s="121"/>
      <c r="J1423" s="121"/>
      <c r="K1423" s="121"/>
      <c r="L1423" s="121"/>
      <c r="M1423" s="121"/>
      <c r="N1423" s="121"/>
      <c r="O1423" s="121"/>
      <c r="P1423" s="121"/>
      <c r="Q1423" s="121"/>
      <c r="R1423" s="121"/>
      <c r="S1423" s="121"/>
      <c r="T1423" s="121"/>
      <c r="U1423" s="121"/>
      <c r="V1423" s="121"/>
      <c r="W1423" s="121"/>
      <c r="X1423" s="121"/>
      <c r="Y1423" s="121"/>
      <c r="Z1423" s="121"/>
      <c r="AA1423" s="121"/>
      <c r="AB1423" s="121"/>
      <c r="AC1423" s="121"/>
      <c r="AD1423" s="121"/>
      <c r="AE1423" s="121"/>
      <c r="AF1423" s="36"/>
      <c r="AG1423" s="36"/>
      <c r="AH1423" s="36"/>
      <c r="AI1423" s="36"/>
      <c r="AJ1423" s="36"/>
    </row>
    <row r="1424" ht="15.75" customHeight="1">
      <c r="A1424" s="242" t="s">
        <v>1825</v>
      </c>
      <c r="B1424" s="390"/>
      <c r="C1424" s="390"/>
      <c r="D1424" s="390"/>
      <c r="E1424" s="121"/>
      <c r="F1424" s="121"/>
      <c r="G1424" s="121"/>
      <c r="H1424" s="121"/>
      <c r="I1424" s="121"/>
      <c r="J1424" s="121"/>
      <c r="K1424" s="121"/>
      <c r="L1424" s="121"/>
      <c r="M1424" s="121"/>
      <c r="N1424" s="121"/>
      <c r="O1424" s="121"/>
      <c r="P1424" s="121"/>
      <c r="Q1424" s="121"/>
      <c r="R1424" s="121"/>
      <c r="S1424" s="121"/>
      <c r="T1424" s="121"/>
      <c r="U1424" s="121"/>
      <c r="V1424" s="121"/>
      <c r="W1424" s="121"/>
      <c r="X1424" s="121"/>
      <c r="Y1424" s="121"/>
      <c r="Z1424" s="121"/>
      <c r="AA1424" s="121"/>
      <c r="AB1424" s="121"/>
      <c r="AC1424" s="121"/>
      <c r="AD1424" s="121"/>
      <c r="AE1424" s="121"/>
      <c r="AF1424" s="36"/>
      <c r="AG1424" s="36"/>
      <c r="AH1424" s="36"/>
      <c r="AI1424" s="36"/>
      <c r="AJ1424" s="36"/>
    </row>
    <row r="1425" ht="15.75" customHeight="1">
      <c r="A1425" s="12"/>
      <c r="B1425" s="390"/>
      <c r="C1425" s="390"/>
      <c r="D1425" s="390"/>
      <c r="E1425" s="121"/>
      <c r="F1425" s="121"/>
      <c r="G1425" s="121"/>
      <c r="H1425" s="121"/>
      <c r="I1425" s="121"/>
      <c r="J1425" s="121"/>
      <c r="K1425" s="121"/>
      <c r="L1425" s="121"/>
      <c r="M1425" s="121"/>
      <c r="N1425" s="121"/>
      <c r="O1425" s="121"/>
      <c r="P1425" s="121"/>
      <c r="Q1425" s="121"/>
      <c r="R1425" s="121"/>
      <c r="S1425" s="121"/>
      <c r="T1425" s="121"/>
      <c r="U1425" s="121"/>
      <c r="V1425" s="121"/>
      <c r="W1425" s="121"/>
      <c r="X1425" s="121"/>
      <c r="Y1425" s="121"/>
      <c r="Z1425" s="121"/>
      <c r="AA1425" s="121"/>
      <c r="AB1425" s="121"/>
      <c r="AC1425" s="121"/>
      <c r="AD1425" s="121"/>
      <c r="AE1425" s="121"/>
      <c r="AF1425" s="36"/>
      <c r="AG1425" s="36"/>
      <c r="AH1425" s="36"/>
      <c r="AI1425" s="36"/>
      <c r="AJ1425" s="36"/>
    </row>
    <row r="1426" ht="15.75" customHeight="1">
      <c r="A1426" s="36" t="s">
        <v>215</v>
      </c>
      <c r="B1426" s="36">
        <v>1.0</v>
      </c>
      <c r="C1426" s="36">
        <v>2.0</v>
      </c>
      <c r="D1426" s="36">
        <v>3.0</v>
      </c>
      <c r="E1426" s="36">
        <v>4.0</v>
      </c>
      <c r="F1426" s="36">
        <v>5.0</v>
      </c>
      <c r="G1426" s="36">
        <v>6.0</v>
      </c>
      <c r="H1426" s="36">
        <v>7.0</v>
      </c>
      <c r="I1426" s="36">
        <v>8.0</v>
      </c>
      <c r="J1426" s="36">
        <v>9.0</v>
      </c>
      <c r="K1426" s="36">
        <v>10.0</v>
      </c>
      <c r="L1426" s="36">
        <v>11.0</v>
      </c>
      <c r="M1426" s="36">
        <v>12.0</v>
      </c>
      <c r="N1426" s="36">
        <v>13.0</v>
      </c>
      <c r="O1426" s="36">
        <v>14.0</v>
      </c>
      <c r="P1426" s="36">
        <v>15.0</v>
      </c>
      <c r="Q1426" s="36">
        <v>16.0</v>
      </c>
      <c r="R1426" s="36">
        <v>17.0</v>
      </c>
      <c r="S1426" s="36">
        <v>18.0</v>
      </c>
      <c r="T1426" s="36">
        <v>19.0</v>
      </c>
      <c r="U1426" s="36">
        <v>20.0</v>
      </c>
      <c r="V1426" s="36">
        <v>21.0</v>
      </c>
      <c r="W1426" s="36">
        <v>22.0</v>
      </c>
      <c r="X1426" s="36">
        <v>23.0</v>
      </c>
      <c r="Y1426" s="36">
        <v>24.0</v>
      </c>
      <c r="Z1426" s="36">
        <v>25.0</v>
      </c>
      <c r="AA1426" s="36">
        <v>26.0</v>
      </c>
      <c r="AB1426" s="36">
        <v>27.0</v>
      </c>
      <c r="AC1426" s="36">
        <v>28.0</v>
      </c>
      <c r="AD1426" s="36">
        <v>29.0</v>
      </c>
      <c r="AE1426" s="36">
        <v>30.0</v>
      </c>
      <c r="AF1426" s="36"/>
      <c r="AG1426" s="36"/>
      <c r="AH1426" s="36"/>
      <c r="AI1426" s="36"/>
      <c r="AJ1426" s="36"/>
    </row>
    <row r="1427" ht="15.75" customHeight="1">
      <c r="A1427" s="12" t="s">
        <v>217</v>
      </c>
      <c r="B1427" s="401">
        <v>60.0</v>
      </c>
      <c r="C1427" s="401">
        <v>60.0</v>
      </c>
      <c r="D1427" s="401">
        <v>60.0</v>
      </c>
      <c r="E1427" s="401">
        <v>60.0</v>
      </c>
      <c r="F1427" s="401">
        <v>60.0</v>
      </c>
      <c r="G1427" s="401">
        <v>60.0</v>
      </c>
      <c r="H1427" s="401">
        <v>60.0</v>
      </c>
      <c r="I1427" s="401">
        <v>60.0</v>
      </c>
      <c r="J1427" s="401">
        <v>60.0</v>
      </c>
      <c r="K1427" s="401">
        <v>60.0</v>
      </c>
      <c r="L1427" s="401">
        <v>60.0</v>
      </c>
      <c r="M1427" s="401">
        <v>60.0</v>
      </c>
      <c r="N1427" s="401">
        <v>60.0</v>
      </c>
      <c r="O1427" s="401">
        <v>60.0</v>
      </c>
      <c r="P1427" s="401">
        <v>60.0</v>
      </c>
      <c r="Q1427" s="401">
        <v>60.0</v>
      </c>
      <c r="R1427" s="401">
        <v>60.0</v>
      </c>
      <c r="S1427" s="401">
        <v>60.0</v>
      </c>
      <c r="T1427" s="401">
        <v>60.0</v>
      </c>
      <c r="U1427" s="401">
        <v>60.0</v>
      </c>
      <c r="V1427" s="401">
        <v>60.0</v>
      </c>
      <c r="W1427" s="401">
        <v>60.0</v>
      </c>
      <c r="X1427" s="401">
        <v>60.0</v>
      </c>
      <c r="Y1427" s="401">
        <v>60.0</v>
      </c>
      <c r="Z1427" s="401">
        <v>60.0</v>
      </c>
      <c r="AA1427" s="401">
        <v>60.0</v>
      </c>
      <c r="AB1427" s="401">
        <v>60.0</v>
      </c>
      <c r="AC1427" s="401">
        <v>60.0</v>
      </c>
      <c r="AD1427" s="401">
        <v>60.0</v>
      </c>
      <c r="AE1427" s="401">
        <v>60.0</v>
      </c>
      <c r="AF1427" s="36"/>
      <c r="AG1427" s="36"/>
      <c r="AH1427" s="36"/>
      <c r="AI1427" s="36"/>
      <c r="AJ1427" s="36"/>
    </row>
    <row r="1428" ht="15.75" customHeight="1">
      <c r="A1428" s="12" t="s">
        <v>218</v>
      </c>
      <c r="B1428" s="121">
        <v>0.0</v>
      </c>
      <c r="C1428" s="121">
        <v>0.0</v>
      </c>
      <c r="D1428" s="121">
        <v>0.0</v>
      </c>
      <c r="E1428" s="121">
        <v>0.0</v>
      </c>
      <c r="F1428" s="121">
        <v>0.0</v>
      </c>
      <c r="G1428" s="121">
        <v>0.0</v>
      </c>
      <c r="H1428" s="121">
        <v>0.0</v>
      </c>
      <c r="I1428" s="121">
        <v>0.0</v>
      </c>
      <c r="J1428" s="121">
        <v>0.0</v>
      </c>
      <c r="K1428" s="121">
        <v>0.0</v>
      </c>
      <c r="L1428" s="121">
        <v>0.0</v>
      </c>
      <c r="M1428" s="121">
        <v>0.0</v>
      </c>
      <c r="N1428" s="121">
        <v>0.0</v>
      </c>
      <c r="O1428" s="121">
        <v>0.0</v>
      </c>
      <c r="P1428" s="121">
        <v>0.0</v>
      </c>
      <c r="Q1428" s="121">
        <v>0.0</v>
      </c>
      <c r="R1428" s="121">
        <v>0.0</v>
      </c>
      <c r="S1428" s="121">
        <v>0.0</v>
      </c>
      <c r="T1428" s="121">
        <v>0.0</v>
      </c>
      <c r="U1428" s="121">
        <v>0.0</v>
      </c>
      <c r="V1428" s="121">
        <v>0.0</v>
      </c>
      <c r="W1428" s="121">
        <v>0.0</v>
      </c>
      <c r="X1428" s="121">
        <v>0.0</v>
      </c>
      <c r="Y1428" s="121">
        <v>0.0</v>
      </c>
      <c r="Z1428" s="121">
        <v>0.0</v>
      </c>
      <c r="AA1428" s="121">
        <v>0.0</v>
      </c>
      <c r="AB1428" s="121">
        <v>0.0</v>
      </c>
      <c r="AC1428" s="121">
        <v>0.0</v>
      </c>
      <c r="AD1428" s="121">
        <v>0.0</v>
      </c>
      <c r="AE1428" s="121">
        <v>0.0</v>
      </c>
      <c r="AF1428" s="36"/>
      <c r="AG1428" s="36"/>
      <c r="AH1428" s="36"/>
      <c r="AI1428" s="36"/>
      <c r="AJ1428" s="36"/>
    </row>
    <row r="1429" ht="15.75" customHeight="1">
      <c r="A1429" s="12"/>
      <c r="B1429" s="390"/>
      <c r="C1429" s="390"/>
      <c r="D1429" s="390"/>
      <c r="E1429" s="121"/>
      <c r="F1429" s="121"/>
      <c r="G1429" s="121"/>
      <c r="H1429" s="121"/>
      <c r="I1429" s="121"/>
      <c r="J1429" s="121"/>
      <c r="K1429" s="121"/>
      <c r="L1429" s="121"/>
      <c r="M1429" s="121"/>
      <c r="N1429" s="121"/>
      <c r="O1429" s="121"/>
      <c r="P1429" s="121"/>
      <c r="Q1429" s="121"/>
      <c r="R1429" s="121"/>
      <c r="S1429" s="121"/>
      <c r="T1429" s="121"/>
      <c r="U1429" s="121"/>
      <c r="V1429" s="121"/>
      <c r="W1429" s="121"/>
      <c r="X1429" s="121"/>
      <c r="Y1429" s="121"/>
      <c r="Z1429" s="121"/>
      <c r="AA1429" s="121"/>
      <c r="AB1429" s="121"/>
      <c r="AC1429" s="121"/>
      <c r="AD1429" s="121"/>
      <c r="AE1429" s="121"/>
      <c r="AF1429" s="36"/>
      <c r="AG1429" s="36"/>
      <c r="AH1429" s="36"/>
      <c r="AI1429" s="36"/>
      <c r="AJ1429" s="36"/>
    </row>
    <row r="1430" ht="15.75" customHeight="1">
      <c r="A1430" s="242" t="s">
        <v>1829</v>
      </c>
      <c r="B1430" s="390"/>
      <c r="C1430" s="390"/>
      <c r="D1430" s="390"/>
      <c r="E1430" s="121"/>
      <c r="F1430" s="121"/>
      <c r="G1430" s="121"/>
      <c r="H1430" s="121"/>
      <c r="I1430" s="121"/>
      <c r="J1430" s="121"/>
      <c r="K1430" s="121"/>
      <c r="L1430" s="121"/>
      <c r="M1430" s="121"/>
      <c r="N1430" s="121"/>
      <c r="O1430" s="121"/>
      <c r="P1430" s="121"/>
      <c r="Q1430" s="121"/>
      <c r="R1430" s="121"/>
      <c r="S1430" s="121"/>
      <c r="T1430" s="121"/>
      <c r="U1430" s="121"/>
      <c r="V1430" s="121"/>
      <c r="W1430" s="121"/>
      <c r="X1430" s="121"/>
      <c r="Y1430" s="121"/>
      <c r="Z1430" s="121"/>
      <c r="AA1430" s="121"/>
      <c r="AB1430" s="121"/>
      <c r="AC1430" s="121"/>
      <c r="AD1430" s="121"/>
      <c r="AE1430" s="121"/>
      <c r="AF1430" s="36"/>
      <c r="AG1430" s="36"/>
      <c r="AH1430" s="36"/>
      <c r="AI1430" s="36"/>
      <c r="AJ1430" s="36"/>
    </row>
    <row r="1431" ht="15.75" customHeight="1">
      <c r="A1431" s="12"/>
      <c r="B1431" s="390"/>
      <c r="C1431" s="390"/>
      <c r="D1431" s="390"/>
      <c r="E1431" s="121"/>
      <c r="F1431" s="121"/>
      <c r="G1431" s="121"/>
      <c r="H1431" s="121"/>
      <c r="I1431" s="121"/>
      <c r="J1431" s="121"/>
      <c r="K1431" s="121"/>
      <c r="L1431" s="121"/>
      <c r="M1431" s="121"/>
      <c r="N1431" s="121"/>
      <c r="O1431" s="121"/>
      <c r="P1431" s="121"/>
      <c r="Q1431" s="121"/>
      <c r="R1431" s="121"/>
      <c r="S1431" s="121"/>
      <c r="T1431" s="121"/>
      <c r="U1431" s="121"/>
      <c r="V1431" s="121"/>
      <c r="W1431" s="121"/>
      <c r="X1431" s="121"/>
      <c r="Y1431" s="121"/>
      <c r="Z1431" s="121"/>
      <c r="AA1431" s="121"/>
      <c r="AB1431" s="121"/>
      <c r="AC1431" s="121"/>
      <c r="AD1431" s="121"/>
      <c r="AE1431" s="121"/>
      <c r="AF1431" s="36"/>
      <c r="AG1431" s="36"/>
      <c r="AH1431" s="36"/>
      <c r="AI1431" s="36"/>
      <c r="AJ1431" s="36"/>
    </row>
    <row r="1432" ht="15.75" customHeight="1">
      <c r="A1432" s="36" t="s">
        <v>215</v>
      </c>
      <c r="B1432" s="36">
        <v>1.0</v>
      </c>
      <c r="C1432" s="36">
        <v>2.0</v>
      </c>
      <c r="D1432" s="36">
        <v>3.0</v>
      </c>
      <c r="E1432" s="36">
        <v>4.0</v>
      </c>
      <c r="F1432" s="36">
        <v>5.0</v>
      </c>
      <c r="G1432" s="36">
        <v>6.0</v>
      </c>
      <c r="H1432" s="36">
        <v>7.0</v>
      </c>
      <c r="I1432" s="36">
        <v>8.0</v>
      </c>
      <c r="J1432" s="36">
        <v>9.0</v>
      </c>
      <c r="K1432" s="36">
        <v>10.0</v>
      </c>
      <c r="L1432" s="36">
        <v>11.0</v>
      </c>
      <c r="M1432" s="36">
        <v>12.0</v>
      </c>
      <c r="N1432" s="36">
        <v>13.0</v>
      </c>
      <c r="O1432" s="36">
        <v>14.0</v>
      </c>
      <c r="P1432" s="36">
        <v>15.0</v>
      </c>
      <c r="Q1432" s="36">
        <v>16.0</v>
      </c>
      <c r="R1432" s="36">
        <v>17.0</v>
      </c>
      <c r="S1432" s="36">
        <v>18.0</v>
      </c>
      <c r="T1432" s="36">
        <v>19.0</v>
      </c>
      <c r="U1432" s="36">
        <v>20.0</v>
      </c>
      <c r="V1432" s="36">
        <v>21.0</v>
      </c>
      <c r="W1432" s="36">
        <v>22.0</v>
      </c>
      <c r="X1432" s="36">
        <v>23.0</v>
      </c>
      <c r="Y1432" s="36">
        <v>24.0</v>
      </c>
      <c r="Z1432" s="36">
        <v>25.0</v>
      </c>
      <c r="AA1432" s="36">
        <v>26.0</v>
      </c>
      <c r="AB1432" s="36">
        <v>27.0</v>
      </c>
      <c r="AC1432" s="36">
        <v>28.0</v>
      </c>
      <c r="AD1432" s="36">
        <v>29.0</v>
      </c>
      <c r="AE1432" s="36">
        <v>30.0</v>
      </c>
      <c r="AF1432" s="36"/>
      <c r="AG1432" s="36"/>
      <c r="AH1432" s="36"/>
      <c r="AI1432" s="36"/>
      <c r="AJ1432" s="36"/>
    </row>
    <row r="1433" ht="15.75" customHeight="1">
      <c r="A1433" s="12" t="s">
        <v>217</v>
      </c>
      <c r="B1433" s="401">
        <v>0.0</v>
      </c>
      <c r="C1433" s="401">
        <v>50.0</v>
      </c>
      <c r="D1433" s="401">
        <v>50.0</v>
      </c>
      <c r="E1433" s="401">
        <v>50.0</v>
      </c>
      <c r="F1433" s="401">
        <v>50.0</v>
      </c>
      <c r="G1433" s="401">
        <v>50.0</v>
      </c>
      <c r="H1433" s="401">
        <v>50.0</v>
      </c>
      <c r="I1433" s="401">
        <v>50.0</v>
      </c>
      <c r="J1433" s="401">
        <v>50.0</v>
      </c>
      <c r="K1433" s="401">
        <v>50.0</v>
      </c>
      <c r="L1433" s="401">
        <v>50.0</v>
      </c>
      <c r="M1433" s="401">
        <v>50.0</v>
      </c>
      <c r="N1433" s="401">
        <v>50.0</v>
      </c>
      <c r="O1433" s="401">
        <v>50.0</v>
      </c>
      <c r="P1433" s="401">
        <v>50.0</v>
      </c>
      <c r="Q1433" s="401">
        <v>50.0</v>
      </c>
      <c r="R1433" s="401">
        <v>50.0</v>
      </c>
      <c r="S1433" s="401">
        <v>50.0</v>
      </c>
      <c r="T1433" s="401">
        <v>50.0</v>
      </c>
      <c r="U1433" s="401">
        <v>50.0</v>
      </c>
      <c r="V1433" s="401">
        <v>50.0</v>
      </c>
      <c r="W1433" s="401">
        <v>50.0</v>
      </c>
      <c r="X1433" s="401">
        <v>50.0</v>
      </c>
      <c r="Y1433" s="401">
        <v>50.0</v>
      </c>
      <c r="Z1433" s="401">
        <v>50.0</v>
      </c>
      <c r="AA1433" s="401">
        <v>50.0</v>
      </c>
      <c r="AB1433" s="401">
        <v>50.0</v>
      </c>
      <c r="AC1433" s="401">
        <v>50.0</v>
      </c>
      <c r="AD1433" s="401">
        <v>50.0</v>
      </c>
      <c r="AE1433" s="401">
        <v>50.0</v>
      </c>
      <c r="AF1433" s="36"/>
      <c r="AG1433" s="36"/>
      <c r="AH1433" s="36"/>
      <c r="AI1433" s="36"/>
      <c r="AJ1433" s="36"/>
    </row>
    <row r="1434" ht="15.75" customHeight="1">
      <c r="A1434" s="12" t="s">
        <v>218</v>
      </c>
      <c r="B1434" s="121">
        <v>0.0</v>
      </c>
      <c r="C1434" s="121">
        <v>0.0</v>
      </c>
      <c r="D1434" s="121">
        <v>0.0</v>
      </c>
      <c r="E1434" s="121">
        <v>0.0</v>
      </c>
      <c r="F1434" s="121">
        <v>0.0</v>
      </c>
      <c r="G1434" s="121">
        <v>0.0</v>
      </c>
      <c r="H1434" s="121">
        <v>0.0</v>
      </c>
      <c r="I1434" s="121">
        <v>0.0</v>
      </c>
      <c r="J1434" s="121">
        <v>0.0</v>
      </c>
      <c r="K1434" s="121">
        <v>0.0</v>
      </c>
      <c r="L1434" s="121">
        <v>0.0</v>
      </c>
      <c r="M1434" s="121">
        <v>0.0</v>
      </c>
      <c r="N1434" s="121">
        <v>0.0</v>
      </c>
      <c r="O1434" s="121">
        <v>0.0</v>
      </c>
      <c r="P1434" s="121">
        <v>0.0</v>
      </c>
      <c r="Q1434" s="121">
        <v>0.0</v>
      </c>
      <c r="R1434" s="121">
        <v>0.0</v>
      </c>
      <c r="S1434" s="121">
        <v>0.0</v>
      </c>
      <c r="T1434" s="121">
        <v>0.0</v>
      </c>
      <c r="U1434" s="121">
        <v>0.0</v>
      </c>
      <c r="V1434" s="121">
        <v>0.0</v>
      </c>
      <c r="W1434" s="121">
        <v>0.0</v>
      </c>
      <c r="X1434" s="121">
        <v>0.0</v>
      </c>
      <c r="Y1434" s="121">
        <v>0.0</v>
      </c>
      <c r="Z1434" s="121">
        <v>0.0</v>
      </c>
      <c r="AA1434" s="121">
        <v>0.0</v>
      </c>
      <c r="AB1434" s="121">
        <v>0.0</v>
      </c>
      <c r="AC1434" s="121">
        <v>0.0</v>
      </c>
      <c r="AD1434" s="121">
        <v>0.0</v>
      </c>
      <c r="AE1434" s="121">
        <v>0.0</v>
      </c>
      <c r="AF1434" s="36"/>
      <c r="AG1434" s="36"/>
      <c r="AH1434" s="36"/>
      <c r="AI1434" s="36"/>
      <c r="AJ1434" s="36"/>
    </row>
    <row r="1435" ht="15.75" customHeight="1">
      <c r="A1435" s="12"/>
      <c r="B1435" s="390"/>
      <c r="C1435" s="390"/>
      <c r="D1435" s="390"/>
      <c r="E1435" s="121"/>
      <c r="F1435" s="121"/>
      <c r="G1435" s="121"/>
      <c r="H1435" s="121"/>
      <c r="I1435" s="121"/>
      <c r="J1435" s="121"/>
      <c r="K1435" s="121"/>
      <c r="L1435" s="121"/>
      <c r="M1435" s="121"/>
      <c r="N1435" s="121"/>
      <c r="O1435" s="121"/>
      <c r="P1435" s="121"/>
      <c r="Q1435" s="121"/>
      <c r="R1435" s="121"/>
      <c r="S1435" s="121"/>
      <c r="T1435" s="121"/>
      <c r="U1435" s="121"/>
      <c r="V1435" s="121"/>
      <c r="W1435" s="121"/>
      <c r="X1435" s="121"/>
      <c r="Y1435" s="121"/>
      <c r="Z1435" s="121"/>
      <c r="AA1435" s="121"/>
      <c r="AB1435" s="121"/>
      <c r="AC1435" s="121"/>
      <c r="AD1435" s="121"/>
      <c r="AE1435" s="121"/>
      <c r="AF1435" s="36"/>
      <c r="AG1435" s="36"/>
      <c r="AH1435" s="36"/>
      <c r="AI1435" s="36"/>
      <c r="AJ1435" s="36"/>
    </row>
    <row r="1436" ht="15.75" customHeight="1">
      <c r="A1436" s="242" t="s">
        <v>1833</v>
      </c>
      <c r="B1436" s="390"/>
      <c r="C1436" s="390"/>
      <c r="D1436" s="390"/>
      <c r="E1436" s="121"/>
      <c r="F1436" s="121"/>
      <c r="G1436" s="121"/>
      <c r="H1436" s="121"/>
      <c r="I1436" s="121"/>
      <c r="J1436" s="121"/>
      <c r="K1436" s="121"/>
      <c r="L1436" s="121"/>
      <c r="M1436" s="121"/>
      <c r="N1436" s="121"/>
      <c r="O1436" s="121"/>
      <c r="P1436" s="121"/>
      <c r="Q1436" s="121"/>
      <c r="R1436" s="121"/>
      <c r="S1436" s="121"/>
      <c r="T1436" s="121"/>
      <c r="U1436" s="121"/>
      <c r="V1436" s="121"/>
      <c r="W1436" s="121"/>
      <c r="X1436" s="121"/>
      <c r="Y1436" s="121"/>
      <c r="Z1436" s="121"/>
      <c r="AA1436" s="121"/>
      <c r="AB1436" s="121"/>
      <c r="AC1436" s="121"/>
      <c r="AD1436" s="121"/>
      <c r="AE1436" s="121"/>
      <c r="AF1436" s="36"/>
      <c r="AG1436" s="36"/>
      <c r="AH1436" s="36"/>
      <c r="AI1436" s="36"/>
      <c r="AJ1436" s="36"/>
    </row>
    <row r="1437" ht="15.75" customHeight="1">
      <c r="A1437" s="12"/>
      <c r="B1437" s="390"/>
      <c r="C1437" s="390"/>
      <c r="D1437" s="390"/>
      <c r="E1437" s="121"/>
      <c r="F1437" s="121"/>
      <c r="G1437" s="121"/>
      <c r="H1437" s="121"/>
      <c r="I1437" s="121"/>
      <c r="J1437" s="121"/>
      <c r="K1437" s="121"/>
      <c r="L1437" s="121"/>
      <c r="M1437" s="121"/>
      <c r="N1437" s="121"/>
      <c r="O1437" s="121"/>
      <c r="P1437" s="121"/>
      <c r="Q1437" s="121"/>
      <c r="R1437" s="121"/>
      <c r="S1437" s="121"/>
      <c r="T1437" s="121"/>
      <c r="U1437" s="121"/>
      <c r="V1437" s="121"/>
      <c r="W1437" s="121"/>
      <c r="X1437" s="121"/>
      <c r="Y1437" s="121"/>
      <c r="Z1437" s="121"/>
      <c r="AA1437" s="121"/>
      <c r="AB1437" s="121"/>
      <c r="AC1437" s="121"/>
      <c r="AD1437" s="121"/>
      <c r="AE1437" s="121"/>
      <c r="AF1437" s="36"/>
      <c r="AG1437" s="36"/>
      <c r="AH1437" s="36"/>
      <c r="AI1437" s="36"/>
      <c r="AJ1437" s="36"/>
    </row>
    <row r="1438" ht="15.75" customHeight="1">
      <c r="A1438" s="36" t="s">
        <v>215</v>
      </c>
      <c r="B1438" s="36">
        <v>1.0</v>
      </c>
      <c r="C1438" s="36">
        <v>2.0</v>
      </c>
      <c r="D1438" s="36">
        <v>3.0</v>
      </c>
      <c r="E1438" s="36">
        <v>4.0</v>
      </c>
      <c r="F1438" s="36">
        <v>5.0</v>
      </c>
      <c r="G1438" s="36">
        <v>6.0</v>
      </c>
      <c r="H1438" s="36">
        <v>7.0</v>
      </c>
      <c r="I1438" s="36">
        <v>8.0</v>
      </c>
      <c r="J1438" s="36">
        <v>9.0</v>
      </c>
      <c r="K1438" s="36">
        <v>10.0</v>
      </c>
      <c r="L1438" s="36">
        <v>11.0</v>
      </c>
      <c r="M1438" s="36">
        <v>12.0</v>
      </c>
      <c r="N1438" s="36">
        <v>13.0</v>
      </c>
      <c r="O1438" s="36">
        <v>14.0</v>
      </c>
      <c r="P1438" s="36">
        <v>15.0</v>
      </c>
      <c r="Q1438" s="36">
        <v>16.0</v>
      </c>
      <c r="R1438" s="36">
        <v>17.0</v>
      </c>
      <c r="S1438" s="36">
        <v>18.0</v>
      </c>
      <c r="T1438" s="36">
        <v>19.0</v>
      </c>
      <c r="U1438" s="36">
        <v>20.0</v>
      </c>
      <c r="V1438" s="36">
        <v>21.0</v>
      </c>
      <c r="W1438" s="36">
        <v>22.0</v>
      </c>
      <c r="X1438" s="36">
        <v>23.0</v>
      </c>
      <c r="Y1438" s="36">
        <v>24.0</v>
      </c>
      <c r="Z1438" s="36">
        <v>25.0</v>
      </c>
      <c r="AA1438" s="36">
        <v>26.0</v>
      </c>
      <c r="AB1438" s="36">
        <v>27.0</v>
      </c>
      <c r="AC1438" s="36">
        <v>28.0</v>
      </c>
      <c r="AD1438" s="36">
        <v>29.0</v>
      </c>
      <c r="AE1438" s="36">
        <v>30.0</v>
      </c>
      <c r="AF1438" s="36"/>
      <c r="AG1438" s="36"/>
      <c r="AH1438" s="36"/>
      <c r="AI1438" s="36"/>
      <c r="AJ1438" s="36"/>
    </row>
    <row r="1439" ht="15.75" customHeight="1">
      <c r="A1439" s="12" t="s">
        <v>217</v>
      </c>
      <c r="B1439" s="401">
        <v>0.0</v>
      </c>
      <c r="C1439" s="401">
        <v>0.0</v>
      </c>
      <c r="D1439" s="401">
        <v>0.0</v>
      </c>
      <c r="E1439" s="401">
        <v>0.0</v>
      </c>
      <c r="F1439" s="401">
        <v>0.0</v>
      </c>
      <c r="G1439" s="401">
        <v>0.0</v>
      </c>
      <c r="H1439" s="401">
        <v>0.0</v>
      </c>
      <c r="I1439" s="401">
        <v>0.0</v>
      </c>
      <c r="J1439" s="401">
        <v>0.0</v>
      </c>
      <c r="K1439" s="401">
        <v>0.0</v>
      </c>
      <c r="L1439" s="401">
        <v>0.0</v>
      </c>
      <c r="M1439" s="401">
        <v>0.0</v>
      </c>
      <c r="N1439" s="401">
        <v>0.0</v>
      </c>
      <c r="O1439" s="401">
        <v>0.0</v>
      </c>
      <c r="P1439" s="401">
        <v>0.0</v>
      </c>
      <c r="Q1439" s="401">
        <v>0.0</v>
      </c>
      <c r="R1439" s="401">
        <v>0.0</v>
      </c>
      <c r="S1439" s="401">
        <v>0.0</v>
      </c>
      <c r="T1439" s="401">
        <v>0.0</v>
      </c>
      <c r="U1439" s="401">
        <v>0.0</v>
      </c>
      <c r="V1439" s="401">
        <v>0.0</v>
      </c>
      <c r="W1439" s="401">
        <v>0.0</v>
      </c>
      <c r="X1439" s="401">
        <v>0.0</v>
      </c>
      <c r="Y1439" s="401">
        <v>0.0</v>
      </c>
      <c r="Z1439" s="401">
        <v>0.0</v>
      </c>
      <c r="AA1439" s="401">
        <v>0.0</v>
      </c>
      <c r="AB1439" s="401">
        <v>0.0</v>
      </c>
      <c r="AC1439" s="401">
        <v>0.0</v>
      </c>
      <c r="AD1439" s="401">
        <v>0.0</v>
      </c>
      <c r="AE1439" s="401">
        <v>0.0</v>
      </c>
      <c r="AF1439" s="36"/>
      <c r="AG1439" s="36"/>
      <c r="AH1439" s="36"/>
      <c r="AI1439" s="36"/>
      <c r="AJ1439" s="36"/>
    </row>
    <row r="1440" ht="15.75" customHeight="1">
      <c r="A1440" s="12" t="s">
        <v>218</v>
      </c>
      <c r="B1440" s="194">
        <v>0.0045</v>
      </c>
      <c r="C1440" s="194">
        <v>0.0045</v>
      </c>
      <c r="D1440" s="194">
        <v>0.0045</v>
      </c>
      <c r="E1440" s="121">
        <v>0.0</v>
      </c>
      <c r="F1440" s="121">
        <v>0.0</v>
      </c>
      <c r="G1440" s="121">
        <v>0.0</v>
      </c>
      <c r="H1440" s="121">
        <v>0.0</v>
      </c>
      <c r="I1440" s="121">
        <v>0.0</v>
      </c>
      <c r="J1440" s="121">
        <v>0.0</v>
      </c>
      <c r="K1440" s="121">
        <v>0.0</v>
      </c>
      <c r="L1440" s="121">
        <v>0.0</v>
      </c>
      <c r="M1440" s="121">
        <v>0.0</v>
      </c>
      <c r="N1440" s="121">
        <v>0.0</v>
      </c>
      <c r="O1440" s="121">
        <v>0.0</v>
      </c>
      <c r="P1440" s="121">
        <v>0.0</v>
      </c>
      <c r="Q1440" s="121">
        <v>0.0</v>
      </c>
      <c r="R1440" s="121">
        <v>0.0</v>
      </c>
      <c r="S1440" s="121">
        <v>0.0</v>
      </c>
      <c r="T1440" s="121">
        <v>0.0</v>
      </c>
      <c r="U1440" s="121">
        <v>0.0</v>
      </c>
      <c r="V1440" s="121">
        <v>0.0</v>
      </c>
      <c r="W1440" s="121">
        <v>0.0</v>
      </c>
      <c r="X1440" s="121">
        <v>0.0</v>
      </c>
      <c r="Y1440" s="121">
        <v>0.0</v>
      </c>
      <c r="Z1440" s="121">
        <v>0.0</v>
      </c>
      <c r="AA1440" s="121">
        <v>0.0</v>
      </c>
      <c r="AB1440" s="121">
        <v>0.0</v>
      </c>
      <c r="AC1440" s="121">
        <v>0.0</v>
      </c>
      <c r="AD1440" s="121">
        <v>0.0</v>
      </c>
      <c r="AE1440" s="121">
        <v>0.0</v>
      </c>
      <c r="AF1440" s="36"/>
      <c r="AG1440" s="36"/>
      <c r="AH1440" s="36"/>
      <c r="AI1440" s="36"/>
      <c r="AJ1440" s="36"/>
    </row>
    <row r="1441" ht="15.75" customHeight="1">
      <c r="A1441" s="12"/>
      <c r="B1441" s="390"/>
      <c r="C1441" s="390"/>
      <c r="D1441" s="390"/>
      <c r="E1441" s="121"/>
      <c r="F1441" s="121"/>
      <c r="G1441" s="121"/>
      <c r="H1441" s="121"/>
      <c r="I1441" s="121"/>
      <c r="J1441" s="121"/>
      <c r="K1441" s="121"/>
      <c r="L1441" s="121"/>
      <c r="M1441" s="121"/>
      <c r="N1441" s="121"/>
      <c r="O1441" s="121"/>
      <c r="P1441" s="121"/>
      <c r="Q1441" s="121"/>
      <c r="R1441" s="121"/>
      <c r="S1441" s="121"/>
      <c r="T1441" s="121"/>
      <c r="U1441" s="121"/>
      <c r="V1441" s="121"/>
      <c r="W1441" s="121"/>
      <c r="X1441" s="121"/>
      <c r="Y1441" s="121"/>
      <c r="Z1441" s="121"/>
      <c r="AA1441" s="121"/>
      <c r="AB1441" s="121"/>
      <c r="AC1441" s="121"/>
      <c r="AD1441" s="121"/>
      <c r="AE1441" s="121"/>
      <c r="AF1441" s="36"/>
      <c r="AG1441" s="36"/>
      <c r="AH1441" s="36"/>
      <c r="AI1441" s="36"/>
      <c r="AJ1441" s="36"/>
    </row>
    <row r="1442" ht="15.75" customHeight="1">
      <c r="A1442" s="365" t="s">
        <v>1875</v>
      </c>
      <c r="B1442" s="390"/>
      <c r="C1442" s="390"/>
      <c r="D1442" s="390"/>
      <c r="E1442" s="121"/>
      <c r="F1442" s="121"/>
      <c r="G1442" s="121"/>
      <c r="H1442" s="121"/>
      <c r="I1442" s="121"/>
      <c r="J1442" s="121"/>
      <c r="K1442" s="121"/>
      <c r="L1442" s="121"/>
      <c r="M1442" s="121"/>
      <c r="N1442" s="121"/>
      <c r="O1442" s="121"/>
      <c r="P1442" s="121"/>
      <c r="Q1442" s="121"/>
      <c r="R1442" s="121"/>
      <c r="S1442" s="121"/>
      <c r="T1442" s="121"/>
      <c r="U1442" s="121"/>
      <c r="V1442" s="121"/>
      <c r="W1442" s="121"/>
      <c r="X1442" s="121"/>
      <c r="Y1442" s="121"/>
      <c r="Z1442" s="121"/>
      <c r="AA1442" s="121"/>
      <c r="AB1442" s="121"/>
      <c r="AC1442" s="121"/>
      <c r="AD1442" s="121"/>
      <c r="AE1442" s="121"/>
      <c r="AF1442" s="36"/>
      <c r="AG1442" s="36"/>
      <c r="AH1442" s="36"/>
      <c r="AI1442" s="36"/>
      <c r="AJ1442" s="36"/>
    </row>
    <row r="1443" ht="15.75" customHeight="1">
      <c r="A1443" s="12"/>
      <c r="B1443" s="390"/>
      <c r="C1443" s="390"/>
      <c r="D1443" s="390"/>
      <c r="E1443" s="121"/>
      <c r="F1443" s="121"/>
      <c r="G1443" s="121"/>
      <c r="H1443" s="121"/>
      <c r="I1443" s="121"/>
      <c r="J1443" s="121"/>
      <c r="K1443" s="121"/>
      <c r="L1443" s="121"/>
      <c r="M1443" s="121"/>
      <c r="N1443" s="121"/>
      <c r="O1443" s="121"/>
      <c r="P1443" s="121"/>
      <c r="Q1443" s="121"/>
      <c r="R1443" s="121"/>
      <c r="S1443" s="121"/>
      <c r="T1443" s="121"/>
      <c r="U1443" s="121"/>
      <c r="V1443" s="121"/>
      <c r="W1443" s="121"/>
      <c r="X1443" s="121"/>
      <c r="Y1443" s="121"/>
      <c r="Z1443" s="121"/>
      <c r="AA1443" s="121"/>
      <c r="AB1443" s="121"/>
      <c r="AC1443" s="121"/>
      <c r="AD1443" s="121"/>
      <c r="AE1443" s="121"/>
      <c r="AF1443" s="36"/>
      <c r="AG1443" s="36"/>
      <c r="AH1443" s="36"/>
      <c r="AI1443" s="36"/>
      <c r="AJ1443" s="36"/>
    </row>
    <row r="1444" ht="15.75" customHeight="1">
      <c r="A1444" s="36" t="s">
        <v>215</v>
      </c>
      <c r="B1444" s="36">
        <v>1.0</v>
      </c>
      <c r="C1444" s="36">
        <v>2.0</v>
      </c>
      <c r="D1444" s="36">
        <v>3.0</v>
      </c>
      <c r="E1444" s="36">
        <v>4.0</v>
      </c>
      <c r="F1444" s="36">
        <v>5.0</v>
      </c>
      <c r="G1444" s="36">
        <v>6.0</v>
      </c>
      <c r="H1444" s="36">
        <v>7.0</v>
      </c>
      <c r="I1444" s="36">
        <v>8.0</v>
      </c>
      <c r="J1444" s="36">
        <v>9.0</v>
      </c>
      <c r="K1444" s="36">
        <v>10.0</v>
      </c>
      <c r="L1444" s="36">
        <v>11.0</v>
      </c>
      <c r="M1444" s="36">
        <v>12.0</v>
      </c>
      <c r="N1444" s="36">
        <v>13.0</v>
      </c>
      <c r="O1444" s="36">
        <v>14.0</v>
      </c>
      <c r="P1444" s="36">
        <v>15.0</v>
      </c>
      <c r="Q1444" s="36">
        <v>16.0</v>
      </c>
      <c r="R1444" s="36">
        <v>17.0</v>
      </c>
      <c r="S1444" s="36">
        <v>18.0</v>
      </c>
      <c r="T1444" s="36">
        <v>19.0</v>
      </c>
      <c r="U1444" s="36">
        <v>20.0</v>
      </c>
      <c r="V1444" s="36">
        <v>21.0</v>
      </c>
      <c r="W1444" s="36">
        <v>22.0</v>
      </c>
      <c r="X1444" s="36">
        <v>23.0</v>
      </c>
      <c r="Y1444" s="36">
        <v>24.0</v>
      </c>
      <c r="Z1444" s="36">
        <v>25.0</v>
      </c>
      <c r="AA1444" s="36">
        <v>26.0</v>
      </c>
      <c r="AB1444" s="36">
        <v>27.0</v>
      </c>
      <c r="AC1444" s="36">
        <v>28.0</v>
      </c>
      <c r="AD1444" s="36">
        <v>29.0</v>
      </c>
      <c r="AE1444" s="36">
        <v>30.0</v>
      </c>
      <c r="AF1444" s="36"/>
      <c r="AG1444" s="36"/>
      <c r="AH1444" s="36"/>
      <c r="AI1444" s="36"/>
      <c r="AJ1444" s="36"/>
    </row>
    <row r="1445" ht="15.75" customHeight="1">
      <c r="A1445" s="12" t="s">
        <v>217</v>
      </c>
      <c r="B1445" s="401">
        <v>0.0</v>
      </c>
      <c r="C1445" s="401">
        <v>0.0</v>
      </c>
      <c r="D1445" s="401">
        <v>0.0</v>
      </c>
      <c r="E1445" s="401">
        <v>0.0</v>
      </c>
      <c r="F1445" s="401">
        <v>0.0</v>
      </c>
      <c r="G1445" s="401">
        <v>0.0</v>
      </c>
      <c r="H1445" s="401">
        <v>0.0</v>
      </c>
      <c r="I1445" s="401">
        <v>0.0</v>
      </c>
      <c r="J1445" s="401">
        <v>0.0</v>
      </c>
      <c r="K1445" s="401">
        <v>0.0</v>
      </c>
      <c r="L1445" s="401">
        <v>0.0</v>
      </c>
      <c r="M1445" s="401">
        <v>0.0</v>
      </c>
      <c r="N1445" s="401">
        <v>0.0</v>
      </c>
      <c r="O1445" s="401">
        <v>0.0</v>
      </c>
      <c r="P1445" s="401">
        <v>0.0</v>
      </c>
      <c r="Q1445" s="401">
        <v>0.0</v>
      </c>
      <c r="R1445" s="401">
        <v>0.0</v>
      </c>
      <c r="S1445" s="401">
        <v>0.0</v>
      </c>
      <c r="T1445" s="401">
        <v>0.0</v>
      </c>
      <c r="U1445" s="401">
        <v>0.0</v>
      </c>
      <c r="V1445" s="401">
        <v>0.0</v>
      </c>
      <c r="W1445" s="401">
        <v>0.0</v>
      </c>
      <c r="X1445" s="401">
        <v>0.0</v>
      </c>
      <c r="Y1445" s="401">
        <v>0.0</v>
      </c>
      <c r="Z1445" s="401">
        <v>0.0</v>
      </c>
      <c r="AA1445" s="401">
        <v>0.0</v>
      </c>
      <c r="AB1445" s="401">
        <v>0.0</v>
      </c>
      <c r="AC1445" s="401">
        <v>0.0</v>
      </c>
      <c r="AD1445" s="401">
        <v>0.0</v>
      </c>
      <c r="AE1445" s="401">
        <v>0.0</v>
      </c>
      <c r="AF1445" s="36"/>
      <c r="AG1445" s="36"/>
      <c r="AH1445" s="36"/>
      <c r="AI1445" s="36"/>
      <c r="AJ1445" s="36"/>
    </row>
    <row r="1446" ht="15.75" customHeight="1">
      <c r="A1446" s="12" t="s">
        <v>218</v>
      </c>
      <c r="B1446" s="194">
        <v>0.0015</v>
      </c>
      <c r="C1446" s="194">
        <v>0.0015</v>
      </c>
      <c r="D1446" s="194">
        <v>0.0015</v>
      </c>
      <c r="E1446" s="194">
        <v>0.0015</v>
      </c>
      <c r="F1446" s="194">
        <v>0.0015</v>
      </c>
      <c r="G1446" s="121">
        <v>0.45</v>
      </c>
      <c r="H1446" s="121">
        <v>0.45</v>
      </c>
      <c r="I1446" s="121">
        <v>0.45</v>
      </c>
      <c r="J1446" s="121">
        <v>0.45</v>
      </c>
      <c r="K1446" s="121">
        <v>0.45</v>
      </c>
      <c r="L1446" s="121">
        <v>0.0</v>
      </c>
      <c r="M1446" s="121">
        <v>0.0</v>
      </c>
      <c r="N1446" s="121">
        <v>0.0</v>
      </c>
      <c r="O1446" s="121">
        <v>0.0</v>
      </c>
      <c r="P1446" s="121">
        <v>0.0</v>
      </c>
      <c r="Q1446" s="121">
        <v>0.0</v>
      </c>
      <c r="R1446" s="121">
        <v>0.0</v>
      </c>
      <c r="S1446" s="121">
        <v>0.0</v>
      </c>
      <c r="T1446" s="121">
        <v>0.0</v>
      </c>
      <c r="U1446" s="121">
        <v>0.0</v>
      </c>
      <c r="V1446" s="121">
        <v>0.0</v>
      </c>
      <c r="W1446" s="121">
        <v>0.0</v>
      </c>
      <c r="X1446" s="121">
        <v>0.0</v>
      </c>
      <c r="Y1446" s="121">
        <v>0.0</v>
      </c>
      <c r="Z1446" s="121">
        <v>0.0</v>
      </c>
      <c r="AA1446" s="121">
        <v>0.0</v>
      </c>
      <c r="AB1446" s="121">
        <v>0.0</v>
      </c>
      <c r="AC1446" s="121">
        <v>0.0</v>
      </c>
      <c r="AD1446" s="121">
        <v>0.0</v>
      </c>
      <c r="AE1446" s="121">
        <v>0.0</v>
      </c>
      <c r="AF1446" s="36"/>
      <c r="AG1446" s="36"/>
      <c r="AH1446" s="36"/>
      <c r="AI1446" s="36"/>
      <c r="AJ1446" s="36"/>
    </row>
    <row r="1447" ht="15.75" customHeight="1">
      <c r="A1447" s="12"/>
      <c r="B1447" s="390"/>
      <c r="C1447" s="390"/>
      <c r="D1447" s="390"/>
      <c r="E1447" s="121"/>
      <c r="F1447" s="121"/>
      <c r="G1447" s="121"/>
      <c r="H1447" s="121"/>
      <c r="I1447" s="121"/>
      <c r="J1447" s="121"/>
      <c r="K1447" s="121"/>
      <c r="L1447" s="121"/>
      <c r="M1447" s="121"/>
      <c r="N1447" s="121"/>
      <c r="O1447" s="121"/>
      <c r="P1447" s="121"/>
      <c r="Q1447" s="121"/>
      <c r="R1447" s="121"/>
      <c r="S1447" s="121"/>
      <c r="T1447" s="121"/>
      <c r="U1447" s="121"/>
      <c r="V1447" s="121"/>
      <c r="W1447" s="121"/>
      <c r="X1447" s="121"/>
      <c r="Y1447" s="121"/>
      <c r="Z1447" s="121"/>
      <c r="AA1447" s="121"/>
      <c r="AB1447" s="121"/>
      <c r="AC1447" s="121"/>
      <c r="AD1447" s="121"/>
      <c r="AE1447" s="121"/>
      <c r="AF1447" s="36"/>
      <c r="AG1447" s="36"/>
      <c r="AH1447" s="36"/>
      <c r="AI1447" s="36"/>
      <c r="AJ1447" s="36"/>
    </row>
    <row r="1448" ht="15.75" customHeight="1">
      <c r="A1448" s="365" t="s">
        <v>1870</v>
      </c>
      <c r="B1448" s="390"/>
      <c r="C1448" s="390"/>
      <c r="D1448" s="390"/>
      <c r="E1448" s="121"/>
      <c r="F1448" s="121"/>
      <c r="G1448" s="121"/>
      <c r="H1448" s="121"/>
      <c r="I1448" s="121"/>
      <c r="J1448" s="121"/>
      <c r="K1448" s="121"/>
      <c r="L1448" s="121"/>
      <c r="M1448" s="121"/>
      <c r="N1448" s="121"/>
      <c r="O1448" s="121"/>
      <c r="P1448" s="121"/>
      <c r="Q1448" s="121"/>
      <c r="R1448" s="121"/>
      <c r="S1448" s="121"/>
      <c r="T1448" s="121"/>
      <c r="U1448" s="121"/>
      <c r="V1448" s="121"/>
      <c r="W1448" s="121"/>
      <c r="X1448" s="121"/>
      <c r="Y1448" s="121"/>
      <c r="Z1448" s="121"/>
      <c r="AA1448" s="121"/>
      <c r="AB1448" s="121"/>
      <c r="AC1448" s="121"/>
      <c r="AD1448" s="121"/>
      <c r="AE1448" s="121"/>
      <c r="AF1448" s="36"/>
      <c r="AG1448" s="36"/>
      <c r="AH1448" s="36"/>
      <c r="AI1448" s="36"/>
      <c r="AJ1448" s="36"/>
    </row>
    <row r="1449" ht="15.75" customHeight="1">
      <c r="A1449" s="12"/>
      <c r="B1449" s="390"/>
      <c r="C1449" s="390"/>
      <c r="D1449" s="390"/>
      <c r="E1449" s="121"/>
      <c r="F1449" s="121"/>
      <c r="G1449" s="121"/>
      <c r="H1449" s="121"/>
      <c r="I1449" s="121"/>
      <c r="J1449" s="121"/>
      <c r="K1449" s="121"/>
      <c r="L1449" s="121"/>
      <c r="M1449" s="121"/>
      <c r="N1449" s="121"/>
      <c r="O1449" s="121"/>
      <c r="P1449" s="121"/>
      <c r="Q1449" s="121"/>
      <c r="R1449" s="121"/>
      <c r="S1449" s="121"/>
      <c r="T1449" s="121"/>
      <c r="U1449" s="121"/>
      <c r="V1449" s="121"/>
      <c r="W1449" s="121"/>
      <c r="X1449" s="121"/>
      <c r="Y1449" s="121"/>
      <c r="Z1449" s="121"/>
      <c r="AA1449" s="121"/>
      <c r="AB1449" s="121"/>
      <c r="AC1449" s="121"/>
      <c r="AD1449" s="121"/>
      <c r="AE1449" s="121"/>
      <c r="AF1449" s="36"/>
      <c r="AG1449" s="36"/>
      <c r="AH1449" s="36"/>
      <c r="AI1449" s="36"/>
      <c r="AJ1449" s="36"/>
    </row>
    <row r="1450" ht="15.75" customHeight="1">
      <c r="A1450" s="36" t="s">
        <v>215</v>
      </c>
      <c r="B1450" s="36">
        <v>1.0</v>
      </c>
      <c r="C1450" s="36">
        <v>2.0</v>
      </c>
      <c r="D1450" s="36">
        <v>3.0</v>
      </c>
      <c r="E1450" s="36">
        <v>4.0</v>
      </c>
      <c r="F1450" s="36">
        <v>5.0</v>
      </c>
      <c r="G1450" s="36">
        <v>6.0</v>
      </c>
      <c r="H1450" s="36">
        <v>7.0</v>
      </c>
      <c r="I1450" s="36">
        <v>8.0</v>
      </c>
      <c r="J1450" s="36">
        <v>9.0</v>
      </c>
      <c r="K1450" s="36">
        <v>10.0</v>
      </c>
      <c r="L1450" s="36">
        <v>11.0</v>
      </c>
      <c r="M1450" s="36">
        <v>12.0</v>
      </c>
      <c r="N1450" s="36">
        <v>13.0</v>
      </c>
      <c r="O1450" s="36">
        <v>14.0</v>
      </c>
      <c r="P1450" s="36">
        <v>15.0</v>
      </c>
      <c r="Q1450" s="36">
        <v>16.0</v>
      </c>
      <c r="R1450" s="36">
        <v>17.0</v>
      </c>
      <c r="S1450" s="36">
        <v>18.0</v>
      </c>
      <c r="T1450" s="36">
        <v>19.0</v>
      </c>
      <c r="U1450" s="36">
        <v>20.0</v>
      </c>
      <c r="V1450" s="36">
        <v>21.0</v>
      </c>
      <c r="W1450" s="36">
        <v>22.0</v>
      </c>
      <c r="X1450" s="36">
        <v>23.0</v>
      </c>
      <c r="Y1450" s="36">
        <v>24.0</v>
      </c>
      <c r="Z1450" s="36">
        <v>25.0</v>
      </c>
      <c r="AA1450" s="36">
        <v>26.0</v>
      </c>
      <c r="AB1450" s="36">
        <v>27.0</v>
      </c>
      <c r="AC1450" s="36">
        <v>28.0</v>
      </c>
      <c r="AD1450" s="36">
        <v>29.0</v>
      </c>
      <c r="AE1450" s="36">
        <v>30.0</v>
      </c>
      <c r="AF1450" s="36"/>
      <c r="AG1450" s="36"/>
      <c r="AH1450" s="36"/>
      <c r="AI1450" s="36"/>
      <c r="AJ1450" s="36"/>
    </row>
    <row r="1451" ht="15.75" customHeight="1">
      <c r="A1451" s="12" t="s">
        <v>217</v>
      </c>
      <c r="B1451" s="401">
        <v>0.0</v>
      </c>
      <c r="C1451" s="401">
        <v>0.0</v>
      </c>
      <c r="D1451" s="401">
        <v>0.0</v>
      </c>
      <c r="E1451" s="401">
        <v>0.0</v>
      </c>
      <c r="F1451" s="401">
        <v>0.0</v>
      </c>
      <c r="G1451" s="401">
        <v>0.0</v>
      </c>
      <c r="H1451" s="401">
        <v>0.0</v>
      </c>
      <c r="I1451" s="401">
        <v>0.0</v>
      </c>
      <c r="J1451" s="401">
        <v>0.0</v>
      </c>
      <c r="K1451" s="401">
        <v>0.0</v>
      </c>
      <c r="L1451" s="401">
        <v>0.0</v>
      </c>
      <c r="M1451" s="401">
        <v>0.0</v>
      </c>
      <c r="N1451" s="401">
        <v>0.0</v>
      </c>
      <c r="O1451" s="401">
        <v>0.0</v>
      </c>
      <c r="P1451" s="401">
        <v>0.0</v>
      </c>
      <c r="Q1451" s="401">
        <v>0.0</v>
      </c>
      <c r="R1451" s="401">
        <v>0.0</v>
      </c>
      <c r="S1451" s="401">
        <v>0.0</v>
      </c>
      <c r="T1451" s="401">
        <v>0.0</v>
      </c>
      <c r="U1451" s="401">
        <v>0.0</v>
      </c>
      <c r="V1451" s="401">
        <v>0.0</v>
      </c>
      <c r="W1451" s="401">
        <v>0.0</v>
      </c>
      <c r="X1451" s="401">
        <v>0.0</v>
      </c>
      <c r="Y1451" s="401">
        <v>0.0</v>
      </c>
      <c r="Z1451" s="401">
        <v>0.0</v>
      </c>
      <c r="AA1451" s="401">
        <v>0.0</v>
      </c>
      <c r="AB1451" s="401">
        <v>0.0</v>
      </c>
      <c r="AC1451" s="401">
        <v>0.0</v>
      </c>
      <c r="AD1451" s="401">
        <v>0.0</v>
      </c>
      <c r="AE1451" s="401">
        <v>0.0</v>
      </c>
      <c r="AF1451" s="36"/>
      <c r="AG1451" s="36"/>
      <c r="AH1451" s="36"/>
      <c r="AI1451" s="36"/>
      <c r="AJ1451" s="36"/>
    </row>
    <row r="1452" ht="15.75" customHeight="1">
      <c r="A1452" s="12" t="s">
        <v>218</v>
      </c>
      <c r="B1452" s="194">
        <v>0.0045</v>
      </c>
      <c r="C1452" s="194">
        <v>0.0045</v>
      </c>
      <c r="D1452" s="194">
        <v>0.0045</v>
      </c>
      <c r="E1452" s="194">
        <v>0.0045</v>
      </c>
      <c r="F1452" s="194">
        <v>0.0045</v>
      </c>
      <c r="G1452" s="194">
        <v>0.0045</v>
      </c>
      <c r="H1452" s="194">
        <v>0.0045</v>
      </c>
      <c r="I1452" s="194">
        <v>0.0045</v>
      </c>
      <c r="J1452" s="194">
        <v>0.0045</v>
      </c>
      <c r="K1452" s="194">
        <v>0.0045</v>
      </c>
      <c r="L1452" s="121">
        <v>0.0</v>
      </c>
      <c r="M1452" s="121">
        <v>0.0</v>
      </c>
      <c r="N1452" s="121">
        <v>0.0</v>
      </c>
      <c r="O1452" s="121">
        <v>0.0</v>
      </c>
      <c r="P1452" s="121">
        <v>0.0</v>
      </c>
      <c r="Q1452" s="121">
        <v>0.0</v>
      </c>
      <c r="R1452" s="121">
        <v>0.0</v>
      </c>
      <c r="S1452" s="121">
        <v>0.0</v>
      </c>
      <c r="T1452" s="121">
        <v>0.0</v>
      </c>
      <c r="U1452" s="121">
        <v>0.0</v>
      </c>
      <c r="V1452" s="121">
        <v>0.0</v>
      </c>
      <c r="W1452" s="121">
        <v>0.0</v>
      </c>
      <c r="X1452" s="121">
        <v>0.0</v>
      </c>
      <c r="Y1452" s="121">
        <v>0.0</v>
      </c>
      <c r="Z1452" s="121">
        <v>0.0</v>
      </c>
      <c r="AA1452" s="121">
        <v>0.0</v>
      </c>
      <c r="AB1452" s="121">
        <v>0.0</v>
      </c>
      <c r="AC1452" s="121">
        <v>0.0</v>
      </c>
      <c r="AD1452" s="121">
        <v>0.0</v>
      </c>
      <c r="AE1452" s="121">
        <v>0.0</v>
      </c>
      <c r="AF1452" s="36"/>
      <c r="AG1452" s="36"/>
      <c r="AH1452" s="36"/>
      <c r="AI1452" s="36"/>
      <c r="AJ1452" s="36"/>
    </row>
    <row r="1453" ht="15.75" customHeight="1">
      <c r="A1453" s="12"/>
      <c r="B1453" s="390"/>
      <c r="C1453" s="390"/>
      <c r="D1453" s="390"/>
      <c r="E1453" s="121"/>
      <c r="F1453" s="121"/>
      <c r="G1453" s="121"/>
      <c r="H1453" s="121"/>
      <c r="I1453" s="121"/>
      <c r="J1453" s="121"/>
      <c r="K1453" s="121"/>
      <c r="L1453" s="121"/>
      <c r="M1453" s="121"/>
      <c r="N1453" s="121"/>
      <c r="O1453" s="121"/>
      <c r="P1453" s="121"/>
      <c r="Q1453" s="121"/>
      <c r="R1453" s="121"/>
      <c r="S1453" s="121"/>
      <c r="T1453" s="121"/>
      <c r="U1453" s="121"/>
      <c r="V1453" s="121"/>
      <c r="W1453" s="121"/>
      <c r="X1453" s="121"/>
      <c r="Y1453" s="121"/>
      <c r="Z1453" s="121"/>
      <c r="AA1453" s="121"/>
      <c r="AB1453" s="121"/>
      <c r="AC1453" s="121"/>
      <c r="AD1453" s="121"/>
      <c r="AE1453" s="121"/>
      <c r="AF1453" s="36"/>
      <c r="AG1453" s="36"/>
      <c r="AH1453" s="36"/>
      <c r="AI1453" s="36"/>
      <c r="AJ1453" s="36"/>
    </row>
    <row r="1454" ht="15.75" customHeight="1">
      <c r="A1454" s="365" t="s">
        <v>1863</v>
      </c>
      <c r="B1454" s="390"/>
      <c r="C1454" s="390"/>
      <c r="D1454" s="390"/>
      <c r="E1454" s="121"/>
      <c r="F1454" s="121"/>
      <c r="G1454" s="121"/>
      <c r="H1454" s="121"/>
      <c r="I1454" s="121"/>
      <c r="J1454" s="121"/>
      <c r="K1454" s="121"/>
      <c r="L1454" s="121"/>
      <c r="M1454" s="121"/>
      <c r="N1454" s="121"/>
      <c r="O1454" s="121"/>
      <c r="P1454" s="121"/>
      <c r="Q1454" s="121"/>
      <c r="R1454" s="121"/>
      <c r="S1454" s="121"/>
      <c r="T1454" s="121"/>
      <c r="U1454" s="121"/>
      <c r="V1454" s="121"/>
      <c r="W1454" s="121"/>
      <c r="X1454" s="121"/>
      <c r="Y1454" s="121"/>
      <c r="Z1454" s="121"/>
      <c r="AA1454" s="121"/>
      <c r="AB1454" s="121"/>
      <c r="AC1454" s="121"/>
      <c r="AD1454" s="121"/>
      <c r="AE1454" s="121"/>
      <c r="AF1454" s="36"/>
      <c r="AG1454" s="36"/>
      <c r="AH1454" s="36"/>
      <c r="AI1454" s="36"/>
      <c r="AJ1454" s="36"/>
    </row>
    <row r="1455" ht="15.75" customHeight="1">
      <c r="A1455" s="12"/>
      <c r="B1455" s="390"/>
      <c r="C1455" s="390"/>
      <c r="D1455" s="390"/>
      <c r="E1455" s="121"/>
      <c r="F1455" s="121"/>
      <c r="G1455" s="121"/>
      <c r="H1455" s="121"/>
      <c r="I1455" s="121"/>
      <c r="J1455" s="121"/>
      <c r="K1455" s="121"/>
      <c r="L1455" s="121"/>
      <c r="M1455" s="121"/>
      <c r="N1455" s="121"/>
      <c r="O1455" s="121"/>
      <c r="P1455" s="121"/>
      <c r="Q1455" s="121"/>
      <c r="R1455" s="121"/>
      <c r="S1455" s="121"/>
      <c r="T1455" s="121"/>
      <c r="U1455" s="121"/>
      <c r="V1455" s="121"/>
      <c r="W1455" s="121"/>
      <c r="X1455" s="121"/>
      <c r="Y1455" s="121"/>
      <c r="Z1455" s="121"/>
      <c r="AA1455" s="121"/>
      <c r="AB1455" s="121"/>
      <c r="AC1455" s="121"/>
      <c r="AD1455" s="121"/>
      <c r="AE1455" s="121"/>
      <c r="AF1455" s="36"/>
      <c r="AG1455" s="36"/>
      <c r="AH1455" s="36"/>
      <c r="AI1455" s="36"/>
      <c r="AJ1455" s="36"/>
    </row>
    <row r="1456" ht="15.75" customHeight="1">
      <c r="A1456" s="36" t="s">
        <v>215</v>
      </c>
      <c r="B1456" s="36">
        <v>1.0</v>
      </c>
      <c r="C1456" s="36">
        <v>2.0</v>
      </c>
      <c r="D1456" s="36">
        <v>3.0</v>
      </c>
      <c r="E1456" s="36">
        <v>4.0</v>
      </c>
      <c r="F1456" s="36">
        <v>5.0</v>
      </c>
      <c r="G1456" s="36">
        <v>6.0</v>
      </c>
      <c r="H1456" s="36">
        <v>7.0</v>
      </c>
      <c r="I1456" s="36">
        <v>8.0</v>
      </c>
      <c r="J1456" s="36">
        <v>9.0</v>
      </c>
      <c r="K1456" s="36">
        <v>10.0</v>
      </c>
      <c r="L1456" s="121"/>
      <c r="M1456" s="121"/>
      <c r="N1456" s="121"/>
      <c r="O1456" s="121"/>
      <c r="P1456" s="121"/>
      <c r="Q1456" s="121"/>
      <c r="R1456" s="121"/>
      <c r="S1456" s="121"/>
      <c r="T1456" s="121"/>
      <c r="U1456" s="121"/>
      <c r="V1456" s="121"/>
      <c r="W1456" s="121"/>
      <c r="X1456" s="121"/>
      <c r="Y1456" s="121"/>
      <c r="Z1456" s="121"/>
      <c r="AA1456" s="121"/>
      <c r="AB1456" s="121"/>
      <c r="AC1456" s="121"/>
      <c r="AD1456" s="121"/>
      <c r="AE1456" s="121"/>
      <c r="AF1456" s="36"/>
      <c r="AG1456" s="36"/>
      <c r="AH1456" s="36"/>
      <c r="AI1456" s="36"/>
      <c r="AJ1456" s="36"/>
    </row>
    <row r="1457" ht="15.75" customHeight="1">
      <c r="A1457" s="12" t="s">
        <v>217</v>
      </c>
      <c r="B1457" s="401">
        <v>0.0</v>
      </c>
      <c r="C1457" s="401">
        <v>0.0</v>
      </c>
      <c r="D1457" s="401">
        <v>0.0</v>
      </c>
      <c r="E1457" s="401">
        <v>0.0</v>
      </c>
      <c r="F1457" s="401">
        <v>0.0</v>
      </c>
      <c r="G1457" s="401">
        <v>0.0</v>
      </c>
      <c r="H1457" s="401">
        <v>0.0</v>
      </c>
      <c r="I1457" s="401">
        <v>0.0</v>
      </c>
      <c r="J1457" s="401">
        <v>0.0</v>
      </c>
      <c r="K1457" s="401">
        <v>0.0</v>
      </c>
      <c r="L1457" s="121"/>
      <c r="M1457" s="121"/>
      <c r="N1457" s="121"/>
      <c r="O1457" s="121"/>
      <c r="P1457" s="121"/>
      <c r="Q1457" s="121"/>
      <c r="R1457" s="121"/>
      <c r="S1457" s="121"/>
      <c r="T1457" s="121"/>
      <c r="U1457" s="121"/>
      <c r="V1457" s="121"/>
      <c r="W1457" s="121"/>
      <c r="X1457" s="121"/>
      <c r="Y1457" s="121"/>
      <c r="Z1457" s="121"/>
      <c r="AA1457" s="121"/>
      <c r="AB1457" s="121"/>
      <c r="AC1457" s="121"/>
      <c r="AD1457" s="121"/>
      <c r="AE1457" s="121"/>
      <c r="AF1457" s="36"/>
      <c r="AG1457" s="36"/>
      <c r="AH1457" s="36"/>
      <c r="AI1457" s="36"/>
      <c r="AJ1457" s="36"/>
    </row>
    <row r="1458" ht="15.75" customHeight="1">
      <c r="A1458" s="12" t="s">
        <v>218</v>
      </c>
      <c r="B1458" s="194">
        <v>0.0045</v>
      </c>
      <c r="C1458" s="194">
        <v>0.0045</v>
      </c>
      <c r="D1458" s="194">
        <v>0.0045</v>
      </c>
      <c r="E1458" s="194">
        <v>0.0045</v>
      </c>
      <c r="F1458" s="194">
        <v>0.0045</v>
      </c>
      <c r="G1458" s="194">
        <v>0.0045</v>
      </c>
      <c r="H1458" s="194">
        <v>0.0045</v>
      </c>
      <c r="I1458" s="194">
        <v>0.0045</v>
      </c>
      <c r="J1458" s="194">
        <v>0.0045</v>
      </c>
      <c r="K1458" s="194">
        <v>0.0045</v>
      </c>
      <c r="L1458" s="121"/>
      <c r="M1458" s="121"/>
      <c r="N1458" s="121"/>
      <c r="O1458" s="121"/>
      <c r="P1458" s="121"/>
      <c r="Q1458" s="121"/>
      <c r="R1458" s="121"/>
      <c r="S1458" s="121"/>
      <c r="T1458" s="121"/>
      <c r="U1458" s="121"/>
      <c r="V1458" s="121"/>
      <c r="W1458" s="121"/>
      <c r="X1458" s="121"/>
      <c r="Y1458" s="121"/>
      <c r="Z1458" s="121"/>
      <c r="AA1458" s="121"/>
      <c r="AB1458" s="121"/>
      <c r="AC1458" s="121"/>
      <c r="AD1458" s="121"/>
      <c r="AE1458" s="121"/>
      <c r="AF1458" s="36"/>
      <c r="AG1458" s="36"/>
      <c r="AH1458" s="36"/>
      <c r="AI1458" s="36"/>
      <c r="AJ1458" s="36"/>
    </row>
    <row r="1459" ht="15.75" customHeight="1">
      <c r="A1459" s="12"/>
      <c r="B1459" s="390"/>
      <c r="C1459" s="390"/>
      <c r="D1459" s="390"/>
      <c r="E1459" s="121"/>
      <c r="F1459" s="121"/>
      <c r="G1459" s="121"/>
      <c r="H1459" s="121"/>
      <c r="I1459" s="121"/>
      <c r="J1459" s="121"/>
      <c r="K1459" s="121"/>
      <c r="L1459" s="121"/>
      <c r="M1459" s="121"/>
      <c r="N1459" s="121"/>
      <c r="O1459" s="121"/>
      <c r="P1459" s="121"/>
      <c r="Q1459" s="121"/>
      <c r="R1459" s="121"/>
      <c r="S1459" s="121"/>
      <c r="T1459" s="121"/>
      <c r="U1459" s="121"/>
      <c r="V1459" s="121"/>
      <c r="W1459" s="121"/>
      <c r="X1459" s="121"/>
      <c r="Y1459" s="121"/>
      <c r="Z1459" s="121"/>
      <c r="AA1459" s="121"/>
      <c r="AB1459" s="121"/>
      <c r="AC1459" s="121"/>
      <c r="AD1459" s="121"/>
      <c r="AE1459" s="121"/>
      <c r="AF1459" s="36"/>
      <c r="AG1459" s="36"/>
      <c r="AH1459" s="36"/>
      <c r="AI1459" s="36"/>
      <c r="AJ1459" s="36"/>
    </row>
    <row r="1460" ht="15.75" customHeight="1">
      <c r="A1460" s="242" t="s">
        <v>1856</v>
      </c>
      <c r="B1460" s="390"/>
      <c r="C1460" s="390"/>
      <c r="D1460" s="390"/>
      <c r="E1460" s="121"/>
      <c r="F1460" s="121"/>
      <c r="G1460" s="121"/>
      <c r="H1460" s="121"/>
      <c r="I1460" s="121"/>
      <c r="J1460" s="121"/>
      <c r="K1460" s="121"/>
      <c r="L1460" s="121"/>
      <c r="M1460" s="121"/>
      <c r="N1460" s="121"/>
      <c r="O1460" s="121"/>
      <c r="P1460" s="121"/>
      <c r="Q1460" s="121"/>
      <c r="R1460" s="121"/>
      <c r="S1460" s="121"/>
      <c r="T1460" s="121"/>
      <c r="U1460" s="121"/>
      <c r="V1460" s="121"/>
      <c r="W1460" s="121"/>
      <c r="X1460" s="121"/>
      <c r="Y1460" s="121"/>
      <c r="Z1460" s="121"/>
      <c r="AA1460" s="121"/>
      <c r="AB1460" s="121"/>
      <c r="AC1460" s="121"/>
      <c r="AD1460" s="121"/>
      <c r="AE1460" s="121"/>
      <c r="AF1460" s="36"/>
      <c r="AG1460" s="36"/>
      <c r="AH1460" s="36"/>
      <c r="AI1460" s="36"/>
      <c r="AJ1460" s="36"/>
    </row>
    <row r="1461" ht="15.75" customHeight="1">
      <c r="A1461" s="12"/>
      <c r="B1461" s="390"/>
      <c r="C1461" s="390"/>
      <c r="D1461" s="390"/>
      <c r="E1461" s="121"/>
      <c r="F1461" s="121"/>
      <c r="G1461" s="121"/>
      <c r="H1461" s="121"/>
      <c r="I1461" s="121"/>
      <c r="J1461" s="121"/>
      <c r="K1461" s="121"/>
      <c r="L1461" s="121"/>
      <c r="M1461" s="121"/>
      <c r="N1461" s="121"/>
      <c r="O1461" s="121"/>
      <c r="P1461" s="121"/>
      <c r="Q1461" s="121"/>
      <c r="R1461" s="121"/>
      <c r="S1461" s="121"/>
      <c r="T1461" s="121"/>
      <c r="U1461" s="121"/>
      <c r="V1461" s="121"/>
      <c r="W1461" s="121"/>
      <c r="X1461" s="121"/>
      <c r="Y1461" s="121"/>
      <c r="Z1461" s="121"/>
      <c r="AA1461" s="121"/>
      <c r="AB1461" s="121"/>
      <c r="AC1461" s="121"/>
      <c r="AD1461" s="121"/>
      <c r="AE1461" s="121"/>
      <c r="AF1461" s="36"/>
      <c r="AG1461" s="36"/>
      <c r="AH1461" s="36"/>
      <c r="AI1461" s="36"/>
      <c r="AJ1461" s="36"/>
    </row>
    <row r="1462" ht="15.75" customHeight="1">
      <c r="A1462" s="36" t="s">
        <v>215</v>
      </c>
      <c r="B1462" s="36">
        <v>1.0</v>
      </c>
      <c r="C1462" s="36">
        <v>2.0</v>
      </c>
      <c r="D1462" s="36">
        <v>3.0</v>
      </c>
      <c r="E1462" s="36">
        <v>4.0</v>
      </c>
      <c r="F1462" s="36">
        <v>5.0</v>
      </c>
      <c r="G1462" s="36">
        <v>6.0</v>
      </c>
      <c r="H1462" s="36">
        <v>7.0</v>
      </c>
      <c r="I1462" s="36">
        <v>8.0</v>
      </c>
      <c r="J1462" s="36">
        <v>9.0</v>
      </c>
      <c r="K1462" s="36">
        <v>10.0</v>
      </c>
      <c r="L1462" s="121"/>
      <c r="M1462" s="121"/>
      <c r="N1462" s="121"/>
      <c r="O1462" s="121"/>
      <c r="P1462" s="121"/>
      <c r="Q1462" s="121"/>
      <c r="R1462" s="121"/>
      <c r="S1462" s="121"/>
      <c r="T1462" s="121"/>
      <c r="U1462" s="121"/>
      <c r="V1462" s="121"/>
      <c r="W1462" s="121"/>
      <c r="X1462" s="121"/>
      <c r="Y1462" s="121"/>
      <c r="Z1462" s="121"/>
      <c r="AA1462" s="121"/>
      <c r="AB1462" s="121"/>
      <c r="AC1462" s="121"/>
      <c r="AD1462" s="121"/>
      <c r="AE1462" s="121"/>
      <c r="AF1462" s="36"/>
      <c r="AG1462" s="36"/>
      <c r="AH1462" s="36"/>
      <c r="AI1462" s="36"/>
      <c r="AJ1462" s="36"/>
    </row>
    <row r="1463" ht="15.75" customHeight="1">
      <c r="A1463" s="12" t="s">
        <v>217</v>
      </c>
      <c r="B1463" s="401">
        <v>0.0</v>
      </c>
      <c r="C1463" s="401">
        <v>0.0</v>
      </c>
      <c r="D1463" s="401">
        <v>0.0</v>
      </c>
      <c r="E1463" s="401">
        <v>0.0</v>
      </c>
      <c r="F1463" s="401">
        <v>0.0</v>
      </c>
      <c r="G1463" s="401">
        <v>0.0</v>
      </c>
      <c r="H1463" s="401">
        <v>0.0</v>
      </c>
      <c r="I1463" s="401">
        <v>0.0</v>
      </c>
      <c r="J1463" s="401">
        <v>0.0</v>
      </c>
      <c r="K1463" s="401">
        <v>0.0</v>
      </c>
      <c r="L1463" s="121"/>
      <c r="M1463" s="121"/>
      <c r="N1463" s="121"/>
      <c r="O1463" s="121"/>
      <c r="P1463" s="121"/>
      <c r="Q1463" s="121"/>
      <c r="R1463" s="121"/>
      <c r="S1463" s="121"/>
      <c r="T1463" s="121"/>
      <c r="U1463" s="121"/>
      <c r="V1463" s="121"/>
      <c r="W1463" s="121"/>
      <c r="X1463" s="121"/>
      <c r="Y1463" s="121"/>
      <c r="Z1463" s="121"/>
      <c r="AA1463" s="121"/>
      <c r="AB1463" s="121"/>
      <c r="AC1463" s="121"/>
      <c r="AD1463" s="121"/>
      <c r="AE1463" s="121"/>
      <c r="AF1463" s="36"/>
      <c r="AG1463" s="36"/>
      <c r="AH1463" s="36"/>
      <c r="AI1463" s="36"/>
      <c r="AJ1463" s="36"/>
    </row>
    <row r="1464" ht="15.75" customHeight="1">
      <c r="A1464" s="12" t="s">
        <v>218</v>
      </c>
      <c r="B1464" s="194">
        <v>0.005</v>
      </c>
      <c r="C1464" s="194">
        <v>0.005</v>
      </c>
      <c r="D1464" s="194">
        <v>0.005</v>
      </c>
      <c r="E1464" s="194">
        <v>0.005</v>
      </c>
      <c r="F1464" s="194">
        <v>0.005</v>
      </c>
      <c r="G1464" s="194">
        <v>0.005</v>
      </c>
      <c r="H1464" s="194">
        <v>0.005</v>
      </c>
      <c r="I1464" s="194">
        <v>0.005</v>
      </c>
      <c r="J1464" s="194">
        <v>0.005</v>
      </c>
      <c r="K1464" s="194">
        <v>0.005</v>
      </c>
      <c r="L1464" s="121"/>
      <c r="M1464" s="121"/>
      <c r="N1464" s="121"/>
      <c r="O1464" s="121"/>
      <c r="P1464" s="121"/>
      <c r="Q1464" s="121"/>
      <c r="R1464" s="121"/>
      <c r="S1464" s="121"/>
      <c r="T1464" s="121"/>
      <c r="U1464" s="121"/>
      <c r="V1464" s="121"/>
      <c r="W1464" s="121"/>
      <c r="X1464" s="121"/>
      <c r="Y1464" s="121"/>
      <c r="Z1464" s="121"/>
      <c r="AA1464" s="121"/>
      <c r="AB1464" s="121"/>
      <c r="AC1464" s="121"/>
      <c r="AD1464" s="121"/>
      <c r="AE1464" s="121"/>
      <c r="AF1464" s="36"/>
      <c r="AG1464" s="36"/>
      <c r="AH1464" s="36"/>
      <c r="AI1464" s="36"/>
      <c r="AJ1464" s="36"/>
    </row>
    <row r="1465" ht="15.75" customHeight="1">
      <c r="A1465" s="12"/>
      <c r="B1465" s="390"/>
      <c r="C1465" s="390"/>
      <c r="D1465" s="390"/>
      <c r="E1465" s="121"/>
      <c r="F1465" s="121"/>
      <c r="G1465" s="121"/>
      <c r="H1465" s="121"/>
      <c r="I1465" s="121"/>
      <c r="J1465" s="121"/>
      <c r="K1465" s="121"/>
      <c r="L1465" s="121"/>
      <c r="M1465" s="121"/>
      <c r="N1465" s="121"/>
      <c r="O1465" s="121"/>
      <c r="P1465" s="121"/>
      <c r="Q1465" s="121"/>
      <c r="R1465" s="121"/>
      <c r="S1465" s="121"/>
      <c r="T1465" s="121"/>
      <c r="U1465" s="121"/>
      <c r="V1465" s="121"/>
      <c r="W1465" s="121"/>
      <c r="X1465" s="121"/>
      <c r="Y1465" s="121"/>
      <c r="Z1465" s="121"/>
      <c r="AA1465" s="121"/>
      <c r="AB1465" s="121"/>
      <c r="AC1465" s="121"/>
      <c r="AD1465" s="121"/>
      <c r="AE1465" s="121"/>
      <c r="AF1465" s="36"/>
      <c r="AG1465" s="36"/>
      <c r="AH1465" s="36"/>
      <c r="AI1465" s="36"/>
      <c r="AJ1465" s="36"/>
    </row>
    <row r="1466" ht="15.75" customHeight="1">
      <c r="A1466" s="242" t="s">
        <v>1852</v>
      </c>
      <c r="B1466" s="390"/>
      <c r="C1466" s="390"/>
      <c r="D1466" s="390"/>
      <c r="E1466" s="121"/>
      <c r="F1466" s="121"/>
      <c r="G1466" s="121"/>
      <c r="H1466" s="121"/>
      <c r="I1466" s="121"/>
      <c r="J1466" s="121"/>
      <c r="K1466" s="121"/>
      <c r="L1466" s="121"/>
      <c r="M1466" s="121"/>
      <c r="N1466" s="121"/>
      <c r="O1466" s="121"/>
      <c r="P1466" s="121"/>
      <c r="Q1466" s="121"/>
      <c r="R1466" s="121"/>
      <c r="S1466" s="121"/>
      <c r="T1466" s="121"/>
      <c r="U1466" s="121"/>
      <c r="V1466" s="121"/>
      <c r="W1466" s="121"/>
      <c r="X1466" s="121"/>
      <c r="Y1466" s="121"/>
      <c r="Z1466" s="121"/>
      <c r="AA1466" s="121"/>
      <c r="AB1466" s="121"/>
      <c r="AC1466" s="121"/>
      <c r="AD1466" s="121"/>
      <c r="AE1466" s="121"/>
      <c r="AF1466" s="36"/>
      <c r="AG1466" s="36"/>
      <c r="AH1466" s="36"/>
      <c r="AI1466" s="36"/>
      <c r="AJ1466" s="36"/>
    </row>
    <row r="1467" ht="15.75" customHeight="1">
      <c r="A1467" s="12"/>
      <c r="B1467" s="390"/>
      <c r="C1467" s="390"/>
      <c r="D1467" s="390"/>
      <c r="E1467" s="121"/>
      <c r="F1467" s="121"/>
      <c r="G1467" s="121"/>
      <c r="H1467" s="121"/>
      <c r="I1467" s="121"/>
      <c r="J1467" s="121"/>
      <c r="K1467" s="121"/>
      <c r="L1467" s="121"/>
      <c r="M1467" s="121"/>
      <c r="N1467" s="121"/>
      <c r="O1467" s="121"/>
      <c r="P1467" s="121"/>
      <c r="Q1467" s="121"/>
      <c r="R1467" s="121"/>
      <c r="S1467" s="121"/>
      <c r="T1467" s="121"/>
      <c r="U1467" s="121"/>
      <c r="V1467" s="121"/>
      <c r="W1467" s="121"/>
      <c r="X1467" s="121"/>
      <c r="Y1467" s="121"/>
      <c r="Z1467" s="121"/>
      <c r="AA1467" s="121"/>
      <c r="AB1467" s="121"/>
      <c r="AC1467" s="121"/>
      <c r="AD1467" s="121"/>
      <c r="AE1467" s="121"/>
      <c r="AF1467" s="36"/>
      <c r="AG1467" s="36"/>
      <c r="AH1467" s="36"/>
      <c r="AI1467" s="36"/>
      <c r="AJ1467" s="36"/>
    </row>
    <row r="1468" ht="15.75" customHeight="1">
      <c r="A1468" s="36" t="s">
        <v>215</v>
      </c>
      <c r="B1468" s="36">
        <v>1.0</v>
      </c>
      <c r="C1468" s="36">
        <v>2.0</v>
      </c>
      <c r="D1468" s="36">
        <v>3.0</v>
      </c>
      <c r="E1468" s="36">
        <v>4.0</v>
      </c>
      <c r="F1468" s="36">
        <v>5.0</v>
      </c>
      <c r="G1468" s="36">
        <v>6.0</v>
      </c>
      <c r="H1468" s="36">
        <v>7.0</v>
      </c>
      <c r="I1468" s="36">
        <v>8.0</v>
      </c>
      <c r="J1468" s="36">
        <v>9.0</v>
      </c>
      <c r="K1468" s="36">
        <v>10.0</v>
      </c>
      <c r="L1468" s="36">
        <v>11.0</v>
      </c>
      <c r="M1468" s="36">
        <v>12.0</v>
      </c>
      <c r="N1468" s="36">
        <v>13.0</v>
      </c>
      <c r="O1468" s="36">
        <v>14.0</v>
      </c>
      <c r="P1468" s="36">
        <v>15.0</v>
      </c>
      <c r="Q1468" s="36">
        <v>16.0</v>
      </c>
      <c r="R1468" s="36">
        <v>17.0</v>
      </c>
      <c r="S1468" s="36">
        <v>18.0</v>
      </c>
      <c r="T1468" s="36">
        <v>19.0</v>
      </c>
      <c r="U1468" s="36">
        <v>20.0</v>
      </c>
      <c r="V1468" s="36">
        <v>21.0</v>
      </c>
      <c r="W1468" s="36">
        <v>22.0</v>
      </c>
      <c r="X1468" s="36">
        <v>23.0</v>
      </c>
      <c r="Y1468" s="36">
        <v>24.0</v>
      </c>
      <c r="Z1468" s="36">
        <v>25.0</v>
      </c>
      <c r="AA1468" s="36">
        <v>26.0</v>
      </c>
      <c r="AB1468" s="36">
        <v>27.0</v>
      </c>
      <c r="AC1468" s="36">
        <v>28.0</v>
      </c>
      <c r="AD1468" s="36">
        <v>29.0</v>
      </c>
      <c r="AE1468" s="36">
        <v>30.0</v>
      </c>
      <c r="AF1468" s="36"/>
      <c r="AG1468" s="36"/>
      <c r="AH1468" s="36"/>
      <c r="AI1468" s="36"/>
      <c r="AJ1468" s="36"/>
    </row>
    <row r="1469" ht="15.75" customHeight="1">
      <c r="A1469" s="12" t="s">
        <v>217</v>
      </c>
      <c r="B1469" s="401">
        <v>0.0</v>
      </c>
      <c r="C1469" s="401">
        <v>0.0</v>
      </c>
      <c r="D1469" s="401">
        <v>0.0</v>
      </c>
      <c r="E1469" s="401">
        <v>0.0</v>
      </c>
      <c r="F1469" s="401">
        <v>0.0</v>
      </c>
      <c r="G1469" s="401">
        <v>90.0</v>
      </c>
      <c r="H1469" s="401">
        <f t="shared" ref="H1469:AE1469" si="112">G1469*1.05</f>
        <v>94.5</v>
      </c>
      <c r="I1469" s="401">
        <f t="shared" si="112"/>
        <v>99.225</v>
      </c>
      <c r="J1469" s="401">
        <f t="shared" si="112"/>
        <v>104.18625</v>
      </c>
      <c r="K1469" s="401">
        <f t="shared" si="112"/>
        <v>109.3955625</v>
      </c>
      <c r="L1469" s="401">
        <f t="shared" si="112"/>
        <v>114.8653406</v>
      </c>
      <c r="M1469" s="401">
        <f t="shared" si="112"/>
        <v>120.6086077</v>
      </c>
      <c r="N1469" s="401">
        <f t="shared" si="112"/>
        <v>126.639038</v>
      </c>
      <c r="O1469" s="401">
        <f t="shared" si="112"/>
        <v>132.9709899</v>
      </c>
      <c r="P1469" s="401">
        <f t="shared" si="112"/>
        <v>139.6195394</v>
      </c>
      <c r="Q1469" s="401">
        <f t="shared" si="112"/>
        <v>146.6005164</v>
      </c>
      <c r="R1469" s="401">
        <f t="shared" si="112"/>
        <v>153.9305422</v>
      </c>
      <c r="S1469" s="401">
        <f t="shared" si="112"/>
        <v>161.6270693</v>
      </c>
      <c r="T1469" s="401">
        <f t="shared" si="112"/>
        <v>169.7084228</v>
      </c>
      <c r="U1469" s="401">
        <f t="shared" si="112"/>
        <v>178.1938439</v>
      </c>
      <c r="V1469" s="401">
        <f t="shared" si="112"/>
        <v>187.1035361</v>
      </c>
      <c r="W1469" s="401">
        <f t="shared" si="112"/>
        <v>196.458713</v>
      </c>
      <c r="X1469" s="401">
        <f t="shared" si="112"/>
        <v>206.2816486</v>
      </c>
      <c r="Y1469" s="401">
        <f t="shared" si="112"/>
        <v>216.595731</v>
      </c>
      <c r="Z1469" s="401">
        <f t="shared" si="112"/>
        <v>227.4255176</v>
      </c>
      <c r="AA1469" s="401">
        <f t="shared" si="112"/>
        <v>238.7967935</v>
      </c>
      <c r="AB1469" s="401">
        <f t="shared" si="112"/>
        <v>250.7366331</v>
      </c>
      <c r="AC1469" s="401">
        <f t="shared" si="112"/>
        <v>263.2734648</v>
      </c>
      <c r="AD1469" s="401">
        <f t="shared" si="112"/>
        <v>276.437138</v>
      </c>
      <c r="AE1469" s="401">
        <f t="shared" si="112"/>
        <v>290.2589949</v>
      </c>
      <c r="AF1469" s="36"/>
      <c r="AG1469" s="36"/>
      <c r="AH1469" s="36"/>
      <c r="AI1469" s="36"/>
      <c r="AJ1469" s="36"/>
    </row>
    <row r="1470" ht="15.75" customHeight="1">
      <c r="A1470" s="12" t="s">
        <v>218</v>
      </c>
      <c r="B1470" s="194">
        <v>0.0</v>
      </c>
      <c r="C1470" s="194">
        <v>0.0</v>
      </c>
      <c r="D1470" s="194">
        <v>0.0</v>
      </c>
      <c r="E1470" s="194">
        <v>0.0</v>
      </c>
      <c r="F1470" s="194">
        <v>0.0</v>
      </c>
      <c r="G1470" s="194">
        <v>0.0</v>
      </c>
      <c r="H1470" s="194">
        <v>0.0</v>
      </c>
      <c r="I1470" s="194">
        <v>0.0</v>
      </c>
      <c r="J1470" s="194">
        <v>0.0</v>
      </c>
      <c r="K1470" s="194">
        <v>0.0</v>
      </c>
      <c r="L1470" s="194">
        <v>0.0</v>
      </c>
      <c r="M1470" s="194">
        <v>0.0</v>
      </c>
      <c r="N1470" s="194">
        <v>0.0</v>
      </c>
      <c r="O1470" s="194">
        <v>0.0</v>
      </c>
      <c r="P1470" s="194">
        <v>0.0</v>
      </c>
      <c r="Q1470" s="194">
        <v>0.0</v>
      </c>
      <c r="R1470" s="194">
        <v>0.0</v>
      </c>
      <c r="S1470" s="194">
        <v>0.0</v>
      </c>
      <c r="T1470" s="194">
        <v>0.0</v>
      </c>
      <c r="U1470" s="194">
        <v>0.0</v>
      </c>
      <c r="V1470" s="194">
        <v>0.0</v>
      </c>
      <c r="W1470" s="194">
        <v>0.0</v>
      </c>
      <c r="X1470" s="194">
        <v>0.0</v>
      </c>
      <c r="Y1470" s="194">
        <v>0.0</v>
      </c>
      <c r="Z1470" s="194">
        <v>0.0</v>
      </c>
      <c r="AA1470" s="194">
        <v>0.0</v>
      </c>
      <c r="AB1470" s="194">
        <v>0.0</v>
      </c>
      <c r="AC1470" s="194">
        <v>0.0</v>
      </c>
      <c r="AD1470" s="194">
        <v>0.0</v>
      </c>
      <c r="AE1470" s="194">
        <v>0.0</v>
      </c>
      <c r="AF1470" s="36"/>
      <c r="AG1470" s="36"/>
      <c r="AH1470" s="36"/>
      <c r="AI1470" s="36"/>
      <c r="AJ1470" s="36"/>
    </row>
    <row r="1471" ht="15.75" customHeight="1">
      <c r="A1471" s="12"/>
      <c r="B1471" s="390"/>
      <c r="C1471" s="390"/>
      <c r="D1471" s="390"/>
      <c r="E1471" s="121"/>
      <c r="F1471" s="121"/>
      <c r="G1471" s="121"/>
      <c r="H1471" s="121"/>
      <c r="I1471" s="121"/>
      <c r="J1471" s="121"/>
      <c r="K1471" s="121"/>
      <c r="L1471" s="121"/>
      <c r="M1471" s="121"/>
      <c r="N1471" s="121"/>
      <c r="O1471" s="121"/>
      <c r="P1471" s="121"/>
      <c r="Q1471" s="121"/>
      <c r="R1471" s="121"/>
      <c r="S1471" s="121"/>
      <c r="T1471" s="121"/>
      <c r="U1471" s="121"/>
      <c r="V1471" s="121"/>
      <c r="W1471" s="121"/>
      <c r="X1471" s="121"/>
      <c r="Y1471" s="121"/>
      <c r="Z1471" s="121"/>
      <c r="AA1471" s="121"/>
      <c r="AB1471" s="121"/>
      <c r="AC1471" s="121"/>
      <c r="AD1471" s="121"/>
      <c r="AE1471" s="121"/>
      <c r="AF1471" s="36"/>
      <c r="AG1471" s="36"/>
      <c r="AH1471" s="36"/>
      <c r="AI1471" s="36"/>
      <c r="AJ1471" s="36"/>
    </row>
    <row r="1472" ht="15.75" customHeight="1">
      <c r="A1472" s="242" t="s">
        <v>1848</v>
      </c>
      <c r="B1472" s="390"/>
      <c r="C1472" s="390"/>
      <c r="D1472" s="390"/>
      <c r="E1472" s="121"/>
      <c r="F1472" s="121"/>
      <c r="G1472" s="121"/>
      <c r="H1472" s="121"/>
      <c r="I1472" s="121"/>
      <c r="J1472" s="121"/>
      <c r="K1472" s="121"/>
      <c r="L1472" s="121"/>
      <c r="M1472" s="121"/>
      <c r="N1472" s="121"/>
      <c r="O1472" s="121"/>
      <c r="P1472" s="121"/>
      <c r="Q1472" s="121"/>
      <c r="R1472" s="121"/>
      <c r="S1472" s="121"/>
      <c r="T1472" s="121"/>
      <c r="U1472" s="121"/>
      <c r="V1472" s="121"/>
      <c r="W1472" s="121"/>
      <c r="X1472" s="121"/>
      <c r="Y1472" s="121"/>
      <c r="Z1472" s="121"/>
      <c r="AA1472" s="121"/>
      <c r="AB1472" s="121"/>
      <c r="AC1472" s="121"/>
      <c r="AD1472" s="121"/>
      <c r="AE1472" s="121"/>
      <c r="AF1472" s="36"/>
      <c r="AG1472" s="36"/>
      <c r="AH1472" s="36"/>
      <c r="AI1472" s="36"/>
      <c r="AJ1472" s="36"/>
    </row>
    <row r="1473" ht="15.75" customHeight="1">
      <c r="A1473" s="12"/>
      <c r="B1473" s="390"/>
      <c r="C1473" s="390"/>
      <c r="D1473" s="390"/>
      <c r="E1473" s="121"/>
      <c r="F1473" s="121"/>
      <c r="G1473" s="121"/>
      <c r="H1473" s="121"/>
      <c r="I1473" s="121"/>
      <c r="J1473" s="121"/>
      <c r="K1473" s="121"/>
      <c r="L1473" s="121"/>
      <c r="M1473" s="121"/>
      <c r="N1473" s="121"/>
      <c r="O1473" s="121"/>
      <c r="P1473" s="121"/>
      <c r="Q1473" s="121"/>
      <c r="R1473" s="121"/>
      <c r="S1473" s="121"/>
      <c r="T1473" s="121"/>
      <c r="U1473" s="121"/>
      <c r="V1473" s="121"/>
      <c r="W1473" s="121"/>
      <c r="X1473" s="121"/>
      <c r="Y1473" s="121"/>
      <c r="Z1473" s="121"/>
      <c r="AA1473" s="121"/>
      <c r="AB1473" s="121"/>
      <c r="AC1473" s="121"/>
      <c r="AD1473" s="121"/>
      <c r="AE1473" s="121"/>
      <c r="AF1473" s="36"/>
      <c r="AG1473" s="36"/>
      <c r="AH1473" s="36"/>
      <c r="AI1473" s="36"/>
      <c r="AJ1473" s="36"/>
    </row>
    <row r="1474" ht="15.75" customHeight="1">
      <c r="A1474" s="36" t="s">
        <v>215</v>
      </c>
      <c r="B1474" s="36">
        <v>1.0</v>
      </c>
      <c r="C1474" s="36">
        <v>2.0</v>
      </c>
      <c r="D1474" s="36">
        <v>3.0</v>
      </c>
      <c r="E1474" s="36">
        <v>4.0</v>
      </c>
      <c r="F1474" s="36">
        <v>5.0</v>
      </c>
      <c r="G1474" s="36">
        <v>6.0</v>
      </c>
      <c r="H1474" s="36">
        <v>7.0</v>
      </c>
      <c r="I1474" s="36">
        <v>8.0</v>
      </c>
      <c r="J1474" s="36">
        <v>9.0</v>
      </c>
      <c r="K1474" s="36">
        <v>10.0</v>
      </c>
      <c r="L1474" s="36">
        <v>11.0</v>
      </c>
      <c r="M1474" s="36">
        <v>12.0</v>
      </c>
      <c r="N1474" s="36">
        <v>13.0</v>
      </c>
      <c r="O1474" s="36">
        <v>14.0</v>
      </c>
      <c r="P1474" s="36">
        <v>15.0</v>
      </c>
      <c r="Q1474" s="36">
        <v>16.0</v>
      </c>
      <c r="R1474" s="36">
        <v>17.0</v>
      </c>
      <c r="S1474" s="36">
        <v>18.0</v>
      </c>
      <c r="T1474" s="36">
        <v>19.0</v>
      </c>
      <c r="U1474" s="36">
        <v>20.0</v>
      </c>
      <c r="V1474" s="36">
        <v>21.0</v>
      </c>
      <c r="W1474" s="36">
        <v>22.0</v>
      </c>
      <c r="X1474" s="36">
        <v>23.0</v>
      </c>
      <c r="Y1474" s="36">
        <v>24.0</v>
      </c>
      <c r="Z1474" s="36">
        <v>25.0</v>
      </c>
      <c r="AA1474" s="36">
        <v>26.0</v>
      </c>
      <c r="AB1474" s="36">
        <v>27.0</v>
      </c>
      <c r="AC1474" s="36">
        <v>28.0</v>
      </c>
      <c r="AD1474" s="36">
        <v>29.0</v>
      </c>
      <c r="AE1474" s="36">
        <v>30.0</v>
      </c>
      <c r="AF1474" s="36"/>
      <c r="AG1474" s="36"/>
      <c r="AH1474" s="36"/>
      <c r="AI1474" s="36"/>
      <c r="AJ1474" s="36"/>
    </row>
    <row r="1475" ht="15.75" customHeight="1">
      <c r="A1475" s="12" t="s">
        <v>217</v>
      </c>
      <c r="B1475" s="401">
        <v>0.0</v>
      </c>
      <c r="C1475" s="401">
        <v>0.0</v>
      </c>
      <c r="D1475" s="401">
        <v>0.0</v>
      </c>
      <c r="E1475" s="401">
        <v>0.0</v>
      </c>
      <c r="F1475" s="401">
        <v>0.0</v>
      </c>
      <c r="G1475" s="401">
        <v>0.0</v>
      </c>
      <c r="H1475" s="401">
        <v>0.0</v>
      </c>
      <c r="I1475" s="401">
        <v>0.0</v>
      </c>
      <c r="J1475" s="401">
        <v>0.0</v>
      </c>
      <c r="K1475" s="401">
        <v>0.0</v>
      </c>
      <c r="L1475" s="401">
        <v>0.0</v>
      </c>
      <c r="M1475" s="401">
        <v>0.0</v>
      </c>
      <c r="N1475" s="401">
        <v>0.0</v>
      </c>
      <c r="O1475" s="401">
        <v>0.0</v>
      </c>
      <c r="P1475" s="401">
        <v>0.0</v>
      </c>
      <c r="Q1475" s="401">
        <v>0.0</v>
      </c>
      <c r="R1475" s="401">
        <v>0.0</v>
      </c>
      <c r="S1475" s="401">
        <v>0.0</v>
      </c>
      <c r="T1475" s="401">
        <v>0.0</v>
      </c>
      <c r="U1475" s="401">
        <v>0.0</v>
      </c>
      <c r="V1475" s="401">
        <v>0.0</v>
      </c>
      <c r="W1475" s="401">
        <v>0.0</v>
      </c>
      <c r="X1475" s="401">
        <v>0.0</v>
      </c>
      <c r="Y1475" s="401">
        <v>0.0</v>
      </c>
      <c r="Z1475" s="401">
        <v>0.0</v>
      </c>
      <c r="AA1475" s="401">
        <v>0.0</v>
      </c>
      <c r="AB1475" s="401">
        <v>0.0</v>
      </c>
      <c r="AC1475" s="401">
        <v>0.0</v>
      </c>
      <c r="AD1475" s="401">
        <v>0.0</v>
      </c>
      <c r="AE1475" s="401">
        <v>0.0</v>
      </c>
      <c r="AF1475" s="36"/>
      <c r="AG1475" s="36"/>
      <c r="AH1475" s="36"/>
      <c r="AI1475" s="36"/>
      <c r="AJ1475" s="36"/>
    </row>
    <row r="1476" ht="15.75" customHeight="1">
      <c r="A1476" s="12" t="s">
        <v>218</v>
      </c>
      <c r="B1476" s="194">
        <v>0.0</v>
      </c>
      <c r="C1476" s="194">
        <v>0.0</v>
      </c>
      <c r="D1476" s="194">
        <v>0.0</v>
      </c>
      <c r="E1476" s="194">
        <v>0.0</v>
      </c>
      <c r="F1476" s="194">
        <v>0.0</v>
      </c>
      <c r="G1476" s="194">
        <v>0.0028</v>
      </c>
      <c r="H1476" s="194">
        <v>0.0028</v>
      </c>
      <c r="I1476" s="194">
        <v>0.0028</v>
      </c>
      <c r="J1476" s="194">
        <v>0.0028</v>
      </c>
      <c r="K1476" s="194">
        <v>0.0028</v>
      </c>
      <c r="L1476" s="194">
        <v>0.0</v>
      </c>
      <c r="M1476" s="194">
        <v>0.0</v>
      </c>
      <c r="N1476" s="194">
        <v>0.0</v>
      </c>
      <c r="O1476" s="194">
        <v>0.0</v>
      </c>
      <c r="P1476" s="194">
        <v>0.0</v>
      </c>
      <c r="Q1476" s="194">
        <v>0.0</v>
      </c>
      <c r="R1476" s="194">
        <v>0.0</v>
      </c>
      <c r="S1476" s="194">
        <v>0.0</v>
      </c>
      <c r="T1476" s="194">
        <v>0.0</v>
      </c>
      <c r="U1476" s="194">
        <v>0.0</v>
      </c>
      <c r="V1476" s="194">
        <v>0.0</v>
      </c>
      <c r="W1476" s="194">
        <v>0.0</v>
      </c>
      <c r="X1476" s="194">
        <v>0.0</v>
      </c>
      <c r="Y1476" s="194">
        <v>0.0</v>
      </c>
      <c r="Z1476" s="194">
        <v>0.0</v>
      </c>
      <c r="AA1476" s="194">
        <v>0.0</v>
      </c>
      <c r="AB1476" s="194">
        <v>0.0</v>
      </c>
      <c r="AC1476" s="194">
        <v>0.0</v>
      </c>
      <c r="AD1476" s="194">
        <v>0.0</v>
      </c>
      <c r="AE1476" s="194">
        <v>0.0</v>
      </c>
      <c r="AF1476" s="36"/>
      <c r="AG1476" s="36"/>
      <c r="AH1476" s="36"/>
      <c r="AI1476" s="36"/>
      <c r="AJ1476" s="36"/>
    </row>
    <row r="1477" ht="15.75" customHeight="1">
      <c r="A1477" s="12"/>
      <c r="B1477" s="390"/>
      <c r="C1477" s="390"/>
      <c r="D1477" s="390"/>
      <c r="E1477" s="121"/>
      <c r="F1477" s="121"/>
      <c r="G1477" s="121"/>
      <c r="H1477" s="121"/>
      <c r="I1477" s="121"/>
      <c r="J1477" s="121"/>
      <c r="K1477" s="121"/>
      <c r="L1477" s="121"/>
      <c r="M1477" s="121"/>
      <c r="N1477" s="121"/>
      <c r="O1477" s="121"/>
      <c r="P1477" s="121"/>
      <c r="Q1477" s="121"/>
      <c r="R1477" s="121"/>
      <c r="S1477" s="121"/>
      <c r="T1477" s="121"/>
      <c r="U1477" s="121"/>
      <c r="V1477" s="121"/>
      <c r="W1477" s="121"/>
      <c r="X1477" s="121"/>
      <c r="Y1477" s="121"/>
      <c r="Z1477" s="121"/>
      <c r="AA1477" s="121"/>
      <c r="AB1477" s="121"/>
      <c r="AC1477" s="121"/>
      <c r="AD1477" s="121"/>
      <c r="AE1477" s="121"/>
      <c r="AF1477" s="36"/>
      <c r="AG1477" s="36"/>
      <c r="AH1477" s="36"/>
      <c r="AI1477" s="36"/>
      <c r="AJ1477" s="36"/>
    </row>
    <row r="1478" ht="15.75" customHeight="1">
      <c r="A1478" s="242" t="s">
        <v>1837</v>
      </c>
      <c r="B1478" s="390"/>
      <c r="C1478" s="390"/>
      <c r="D1478" s="390"/>
      <c r="E1478" s="121"/>
      <c r="F1478" s="121"/>
      <c r="G1478" s="121"/>
      <c r="H1478" s="121"/>
      <c r="I1478" s="121"/>
      <c r="J1478" s="121"/>
      <c r="K1478" s="121"/>
      <c r="L1478" s="121"/>
      <c r="M1478" s="121"/>
      <c r="N1478" s="121"/>
      <c r="O1478" s="121"/>
      <c r="P1478" s="121"/>
      <c r="Q1478" s="121"/>
      <c r="R1478" s="121"/>
      <c r="S1478" s="121"/>
      <c r="T1478" s="121"/>
      <c r="U1478" s="121"/>
      <c r="V1478" s="121"/>
      <c r="W1478" s="121"/>
      <c r="X1478" s="121"/>
      <c r="Y1478" s="121"/>
      <c r="Z1478" s="121"/>
      <c r="AA1478" s="121"/>
      <c r="AB1478" s="121"/>
      <c r="AC1478" s="121"/>
      <c r="AD1478" s="121"/>
      <c r="AE1478" s="121"/>
      <c r="AF1478" s="36"/>
      <c r="AG1478" s="36"/>
      <c r="AH1478" s="36"/>
      <c r="AI1478" s="36"/>
      <c r="AJ1478" s="36"/>
    </row>
    <row r="1479" ht="15.75" customHeight="1">
      <c r="A1479" s="12"/>
      <c r="B1479" s="390"/>
      <c r="C1479" s="390"/>
      <c r="D1479" s="390"/>
      <c r="E1479" s="121"/>
      <c r="F1479" s="121"/>
      <c r="G1479" s="121"/>
      <c r="H1479" s="121"/>
      <c r="I1479" s="121"/>
      <c r="J1479" s="121"/>
      <c r="K1479" s="121"/>
      <c r="L1479" s="121"/>
      <c r="M1479" s="121"/>
      <c r="N1479" s="121"/>
      <c r="O1479" s="121"/>
      <c r="P1479" s="121"/>
      <c r="Q1479" s="121"/>
      <c r="R1479" s="121"/>
      <c r="S1479" s="121"/>
      <c r="T1479" s="121"/>
      <c r="U1479" s="121"/>
      <c r="V1479" s="121"/>
      <c r="W1479" s="121"/>
      <c r="X1479" s="121"/>
      <c r="Y1479" s="121"/>
      <c r="Z1479" s="121"/>
      <c r="AA1479" s="121"/>
      <c r="AB1479" s="121"/>
      <c r="AC1479" s="121"/>
      <c r="AD1479" s="121"/>
      <c r="AE1479" s="121"/>
      <c r="AF1479" s="36"/>
      <c r="AG1479" s="36"/>
      <c r="AH1479" s="36"/>
      <c r="AI1479" s="36"/>
      <c r="AJ1479" s="36"/>
    </row>
    <row r="1480" ht="15.75" customHeight="1">
      <c r="A1480" s="36" t="s">
        <v>215</v>
      </c>
      <c r="B1480" s="36">
        <v>1.0</v>
      </c>
      <c r="C1480" s="36">
        <v>2.0</v>
      </c>
      <c r="D1480" s="36">
        <v>3.0</v>
      </c>
      <c r="E1480" s="36">
        <v>4.0</v>
      </c>
      <c r="F1480" s="36">
        <v>5.0</v>
      </c>
      <c r="G1480" s="36">
        <v>6.0</v>
      </c>
      <c r="H1480" s="36">
        <v>7.0</v>
      </c>
      <c r="I1480" s="36">
        <v>8.0</v>
      </c>
      <c r="J1480" s="36">
        <v>9.0</v>
      </c>
      <c r="K1480" s="36">
        <v>10.0</v>
      </c>
      <c r="L1480" s="36">
        <v>11.0</v>
      </c>
      <c r="M1480" s="36">
        <v>12.0</v>
      </c>
      <c r="N1480" s="36">
        <v>13.0</v>
      </c>
      <c r="O1480" s="36">
        <v>14.0</v>
      </c>
      <c r="P1480" s="36">
        <v>15.0</v>
      </c>
      <c r="Q1480" s="36">
        <v>16.0</v>
      </c>
      <c r="R1480" s="36">
        <v>17.0</v>
      </c>
      <c r="S1480" s="36">
        <v>18.0</v>
      </c>
      <c r="T1480" s="36">
        <v>19.0</v>
      </c>
      <c r="U1480" s="36">
        <v>20.0</v>
      </c>
      <c r="V1480" s="36">
        <v>21.0</v>
      </c>
      <c r="W1480" s="36">
        <v>22.0</v>
      </c>
      <c r="X1480" s="36">
        <v>23.0</v>
      </c>
      <c r="Y1480" s="36">
        <v>24.0</v>
      </c>
      <c r="Z1480" s="36">
        <v>25.0</v>
      </c>
      <c r="AA1480" s="36">
        <v>26.0</v>
      </c>
      <c r="AB1480" s="36">
        <v>27.0</v>
      </c>
      <c r="AC1480" s="36">
        <v>28.0</v>
      </c>
      <c r="AD1480" s="36">
        <v>29.0</v>
      </c>
      <c r="AE1480" s="36">
        <v>30.0</v>
      </c>
      <c r="AF1480" s="36"/>
      <c r="AG1480" s="36"/>
      <c r="AH1480" s="36"/>
      <c r="AI1480" s="36"/>
      <c r="AJ1480" s="36"/>
    </row>
    <row r="1481" ht="15.75" customHeight="1">
      <c r="A1481" s="12" t="s">
        <v>217</v>
      </c>
      <c r="B1481" s="401">
        <v>0.0</v>
      </c>
      <c r="C1481" s="401">
        <v>0.0</v>
      </c>
      <c r="D1481" s="401">
        <v>0.0</v>
      </c>
      <c r="E1481" s="401">
        <v>0.0</v>
      </c>
      <c r="F1481" s="401">
        <v>0.0</v>
      </c>
      <c r="G1481" s="401">
        <v>0.0</v>
      </c>
      <c r="H1481" s="401">
        <v>0.0</v>
      </c>
      <c r="I1481" s="401">
        <v>0.0</v>
      </c>
      <c r="J1481" s="401">
        <v>0.0</v>
      </c>
      <c r="K1481" s="401">
        <v>0.0</v>
      </c>
      <c r="L1481" s="401">
        <v>0.0</v>
      </c>
      <c r="M1481" s="401">
        <v>0.0</v>
      </c>
      <c r="N1481" s="401">
        <v>0.0</v>
      </c>
      <c r="O1481" s="401">
        <v>0.0</v>
      </c>
      <c r="P1481" s="401">
        <v>0.0</v>
      </c>
      <c r="Q1481" s="401">
        <v>0.0</v>
      </c>
      <c r="R1481" s="401">
        <v>0.0</v>
      </c>
      <c r="S1481" s="401">
        <v>0.0</v>
      </c>
      <c r="T1481" s="401">
        <v>0.0</v>
      </c>
      <c r="U1481" s="401">
        <v>0.0</v>
      </c>
      <c r="V1481" s="401">
        <v>0.0</v>
      </c>
      <c r="W1481" s="401">
        <v>0.0</v>
      </c>
      <c r="X1481" s="401">
        <v>0.0</v>
      </c>
      <c r="Y1481" s="401">
        <v>0.0</v>
      </c>
      <c r="Z1481" s="401">
        <v>0.0</v>
      </c>
      <c r="AA1481" s="401">
        <v>0.0</v>
      </c>
      <c r="AB1481" s="401">
        <v>0.0</v>
      </c>
      <c r="AC1481" s="401">
        <v>0.0</v>
      </c>
      <c r="AD1481" s="401">
        <v>0.0</v>
      </c>
      <c r="AE1481" s="401">
        <v>0.0</v>
      </c>
      <c r="AF1481" s="36"/>
      <c r="AG1481" s="36"/>
      <c r="AH1481" s="36"/>
      <c r="AI1481" s="36"/>
      <c r="AJ1481" s="36"/>
    </row>
    <row r="1482" ht="15.75" customHeight="1">
      <c r="A1482" s="12" t="s">
        <v>218</v>
      </c>
      <c r="B1482" s="194">
        <v>0.0</v>
      </c>
      <c r="C1482" s="194">
        <v>0.0</v>
      </c>
      <c r="D1482" s="194">
        <v>0.0</v>
      </c>
      <c r="E1482" s="194">
        <v>0.0</v>
      </c>
      <c r="F1482" s="194">
        <v>0.0</v>
      </c>
      <c r="G1482" s="194">
        <v>0.0018</v>
      </c>
      <c r="H1482" s="194">
        <v>0.0018</v>
      </c>
      <c r="I1482" s="194">
        <v>0.0018</v>
      </c>
      <c r="J1482" s="194">
        <v>0.0018</v>
      </c>
      <c r="K1482" s="194">
        <v>0.0018</v>
      </c>
      <c r="L1482" s="194">
        <v>0.0018</v>
      </c>
      <c r="M1482" s="194">
        <v>0.0018</v>
      </c>
      <c r="N1482" s="194">
        <v>0.0018</v>
      </c>
      <c r="O1482" s="194">
        <v>0.0018</v>
      </c>
      <c r="P1482" s="194">
        <v>0.0018</v>
      </c>
      <c r="Q1482" s="194">
        <v>0.0018</v>
      </c>
      <c r="R1482" s="194">
        <v>0.0018</v>
      </c>
      <c r="S1482" s="194">
        <v>0.0018</v>
      </c>
      <c r="T1482" s="194">
        <v>0.0018</v>
      </c>
      <c r="U1482" s="194">
        <v>0.0018</v>
      </c>
      <c r="V1482" s="194">
        <v>0.0018</v>
      </c>
      <c r="W1482" s="194">
        <v>0.0018</v>
      </c>
      <c r="X1482" s="194">
        <v>0.0018</v>
      </c>
      <c r="Y1482" s="194">
        <v>0.0018</v>
      </c>
      <c r="Z1482" s="194">
        <v>0.0018</v>
      </c>
      <c r="AA1482" s="194">
        <v>0.0018</v>
      </c>
      <c r="AB1482" s="194">
        <v>0.0018</v>
      </c>
      <c r="AC1482" s="194">
        <v>0.0018</v>
      </c>
      <c r="AD1482" s="194">
        <v>0.0018</v>
      </c>
      <c r="AE1482" s="194">
        <v>0.0018</v>
      </c>
      <c r="AF1482" s="36"/>
      <c r="AG1482" s="36"/>
      <c r="AH1482" s="36"/>
      <c r="AI1482" s="36"/>
      <c r="AJ1482" s="36"/>
    </row>
    <row r="1483" ht="15.75" customHeight="1">
      <c r="A1483" s="12"/>
      <c r="B1483" s="390"/>
      <c r="C1483" s="390"/>
      <c r="D1483" s="390"/>
      <c r="E1483" s="121"/>
      <c r="F1483" s="121"/>
      <c r="G1483" s="121"/>
      <c r="H1483" s="121"/>
      <c r="I1483" s="121"/>
      <c r="J1483" s="121"/>
      <c r="K1483" s="121"/>
      <c r="L1483" s="121"/>
      <c r="M1483" s="121"/>
      <c r="N1483" s="121"/>
      <c r="O1483" s="121"/>
      <c r="P1483" s="121"/>
      <c r="Q1483" s="121"/>
      <c r="R1483" s="121"/>
      <c r="S1483" s="121"/>
      <c r="T1483" s="121"/>
      <c r="U1483" s="121"/>
      <c r="V1483" s="121"/>
      <c r="W1483" s="121"/>
      <c r="X1483" s="121"/>
      <c r="Y1483" s="121"/>
      <c r="Z1483" s="121"/>
      <c r="AA1483" s="121"/>
      <c r="AB1483" s="121"/>
      <c r="AC1483" s="121"/>
      <c r="AD1483" s="121"/>
      <c r="AE1483" s="121"/>
      <c r="AF1483" s="36"/>
      <c r="AG1483" s="36"/>
      <c r="AH1483" s="36"/>
      <c r="AI1483" s="36"/>
      <c r="AJ1483" s="36"/>
    </row>
    <row r="1484" ht="15.75" customHeight="1">
      <c r="A1484" s="242" t="s">
        <v>1841</v>
      </c>
      <c r="B1484" s="390"/>
      <c r="C1484" s="390"/>
      <c r="D1484" s="390"/>
      <c r="E1484" s="121"/>
      <c r="F1484" s="121"/>
      <c r="G1484" s="121"/>
      <c r="H1484" s="121"/>
      <c r="I1484" s="121"/>
      <c r="J1484" s="121"/>
      <c r="K1484" s="121"/>
      <c r="L1484" s="121"/>
      <c r="M1484" s="121"/>
      <c r="N1484" s="121"/>
      <c r="O1484" s="121"/>
      <c r="P1484" s="121"/>
      <c r="Q1484" s="121"/>
      <c r="R1484" s="121"/>
      <c r="S1484" s="121"/>
      <c r="T1484" s="121"/>
      <c r="U1484" s="121"/>
      <c r="V1484" s="121"/>
      <c r="W1484" s="121"/>
      <c r="X1484" s="121"/>
      <c r="Y1484" s="121"/>
      <c r="Z1484" s="121"/>
      <c r="AA1484" s="121"/>
      <c r="AB1484" s="121"/>
      <c r="AC1484" s="121"/>
      <c r="AD1484" s="121"/>
      <c r="AE1484" s="121"/>
      <c r="AF1484" s="36"/>
      <c r="AG1484" s="36"/>
      <c r="AH1484" s="36"/>
      <c r="AI1484" s="36"/>
      <c r="AJ1484" s="36"/>
    </row>
    <row r="1485" ht="15.75" customHeight="1">
      <c r="A1485" s="12"/>
      <c r="B1485" s="390"/>
      <c r="C1485" s="390"/>
      <c r="D1485" s="390"/>
      <c r="E1485" s="121"/>
      <c r="F1485" s="121"/>
      <c r="G1485" s="121"/>
      <c r="H1485" s="121"/>
      <c r="I1485" s="121"/>
      <c r="J1485" s="121"/>
      <c r="K1485" s="121"/>
      <c r="L1485" s="121"/>
      <c r="M1485" s="121"/>
      <c r="N1485" s="121"/>
      <c r="O1485" s="121"/>
      <c r="P1485" s="121"/>
      <c r="Q1485" s="121"/>
      <c r="R1485" s="121"/>
      <c r="S1485" s="121"/>
      <c r="T1485" s="121"/>
      <c r="U1485" s="121"/>
      <c r="V1485" s="121"/>
      <c r="W1485" s="121"/>
      <c r="X1485" s="121"/>
      <c r="Y1485" s="121"/>
      <c r="Z1485" s="121"/>
      <c r="AA1485" s="121"/>
      <c r="AB1485" s="121"/>
      <c r="AC1485" s="121"/>
      <c r="AD1485" s="121"/>
      <c r="AE1485" s="121"/>
      <c r="AF1485" s="36"/>
      <c r="AG1485" s="36"/>
      <c r="AH1485" s="36"/>
      <c r="AI1485" s="36"/>
      <c r="AJ1485" s="36"/>
    </row>
    <row r="1486" ht="15.75" customHeight="1">
      <c r="A1486" s="36" t="s">
        <v>215</v>
      </c>
      <c r="B1486" s="36">
        <v>1.0</v>
      </c>
      <c r="C1486" s="36">
        <v>2.0</v>
      </c>
      <c r="D1486" s="36">
        <v>3.0</v>
      </c>
      <c r="E1486" s="36">
        <v>4.0</v>
      </c>
      <c r="F1486" s="36">
        <v>5.0</v>
      </c>
      <c r="G1486" s="36">
        <v>6.0</v>
      </c>
      <c r="H1486" s="36">
        <v>7.0</v>
      </c>
      <c r="I1486" s="36">
        <v>8.0</v>
      </c>
      <c r="J1486" s="36">
        <v>9.0</v>
      </c>
      <c r="K1486" s="36">
        <v>10.0</v>
      </c>
      <c r="L1486" s="36">
        <v>11.0</v>
      </c>
      <c r="M1486" s="36">
        <v>12.0</v>
      </c>
      <c r="N1486" s="36">
        <v>13.0</v>
      </c>
      <c r="O1486" s="36">
        <v>14.0</v>
      </c>
      <c r="P1486" s="36">
        <v>15.0</v>
      </c>
      <c r="Q1486" s="36">
        <v>16.0</v>
      </c>
      <c r="R1486" s="36">
        <v>17.0</v>
      </c>
      <c r="S1486" s="36">
        <v>18.0</v>
      </c>
      <c r="T1486" s="36">
        <v>19.0</v>
      </c>
      <c r="U1486" s="36">
        <v>20.0</v>
      </c>
      <c r="V1486" s="36">
        <v>21.0</v>
      </c>
      <c r="W1486" s="36">
        <v>22.0</v>
      </c>
      <c r="X1486" s="36">
        <v>23.0</v>
      </c>
      <c r="Y1486" s="36">
        <v>24.0</v>
      </c>
      <c r="Z1486" s="36">
        <v>25.0</v>
      </c>
      <c r="AA1486" s="36">
        <v>26.0</v>
      </c>
      <c r="AB1486" s="36">
        <v>27.0</v>
      </c>
      <c r="AC1486" s="36">
        <v>28.0</v>
      </c>
      <c r="AD1486" s="36">
        <v>29.0</v>
      </c>
      <c r="AE1486" s="36">
        <v>30.0</v>
      </c>
      <c r="AF1486" s="36"/>
      <c r="AG1486" s="36"/>
      <c r="AH1486" s="36"/>
      <c r="AI1486" s="36"/>
      <c r="AJ1486" s="36"/>
    </row>
    <row r="1487" ht="15.75" customHeight="1">
      <c r="A1487" s="12" t="s">
        <v>217</v>
      </c>
      <c r="B1487" s="401">
        <v>0.0</v>
      </c>
      <c r="C1487" s="401">
        <v>0.0</v>
      </c>
      <c r="D1487" s="401">
        <v>0.0</v>
      </c>
      <c r="E1487" s="401">
        <v>0.0</v>
      </c>
      <c r="F1487" s="401">
        <v>0.0</v>
      </c>
      <c r="G1487" s="401">
        <v>0.0</v>
      </c>
      <c r="H1487" s="401">
        <v>0.0</v>
      </c>
      <c r="I1487" s="401">
        <v>0.0</v>
      </c>
      <c r="J1487" s="401">
        <v>0.0</v>
      </c>
      <c r="K1487" s="401">
        <v>0.0</v>
      </c>
      <c r="L1487" s="401">
        <v>0.0</v>
      </c>
      <c r="M1487" s="401">
        <v>0.0</v>
      </c>
      <c r="N1487" s="401">
        <v>0.0</v>
      </c>
      <c r="O1487" s="401">
        <v>0.0</v>
      </c>
      <c r="P1487" s="401">
        <v>0.0</v>
      </c>
      <c r="Q1487" s="401">
        <v>0.0</v>
      </c>
      <c r="R1487" s="401">
        <v>0.0</v>
      </c>
      <c r="S1487" s="401">
        <v>0.0</v>
      </c>
      <c r="T1487" s="401">
        <v>0.0</v>
      </c>
      <c r="U1487" s="401">
        <v>0.0</v>
      </c>
      <c r="V1487" s="401">
        <v>0.0</v>
      </c>
      <c r="W1487" s="401">
        <v>0.0</v>
      </c>
      <c r="X1487" s="401">
        <v>0.0</v>
      </c>
      <c r="Y1487" s="401">
        <v>0.0</v>
      </c>
      <c r="Z1487" s="401">
        <v>0.0</v>
      </c>
      <c r="AA1487" s="401">
        <v>0.0</v>
      </c>
      <c r="AB1487" s="401">
        <v>0.0</v>
      </c>
      <c r="AC1487" s="401">
        <v>0.0</v>
      </c>
      <c r="AD1487" s="401">
        <v>0.0</v>
      </c>
      <c r="AE1487" s="401">
        <v>0.0</v>
      </c>
      <c r="AF1487" s="36"/>
      <c r="AG1487" s="36"/>
      <c r="AH1487" s="36"/>
      <c r="AI1487" s="36"/>
      <c r="AJ1487" s="36"/>
    </row>
    <row r="1488" ht="15.75" customHeight="1">
      <c r="A1488" s="12" t="s">
        <v>218</v>
      </c>
      <c r="B1488" s="194">
        <v>0.0</v>
      </c>
      <c r="C1488" s="194">
        <v>0.0</v>
      </c>
      <c r="D1488" s="194">
        <v>0.0</v>
      </c>
      <c r="E1488" s="194">
        <v>0.0</v>
      </c>
      <c r="F1488" s="194">
        <v>0.0</v>
      </c>
      <c r="G1488" s="194">
        <v>0.004</v>
      </c>
      <c r="H1488" s="194">
        <v>0.004</v>
      </c>
      <c r="I1488" s="194">
        <v>0.004</v>
      </c>
      <c r="J1488" s="194">
        <v>0.004</v>
      </c>
      <c r="K1488" s="194">
        <v>0.004</v>
      </c>
      <c r="L1488" s="194">
        <v>0.004</v>
      </c>
      <c r="M1488" s="194">
        <v>0.004</v>
      </c>
      <c r="N1488" s="194">
        <v>0.004</v>
      </c>
      <c r="O1488" s="194">
        <v>0.004</v>
      </c>
      <c r="P1488" s="194">
        <v>0.004</v>
      </c>
      <c r="Q1488" s="194">
        <v>0.004</v>
      </c>
      <c r="R1488" s="194">
        <v>0.004</v>
      </c>
      <c r="S1488" s="194">
        <v>0.004</v>
      </c>
      <c r="T1488" s="194">
        <v>0.004</v>
      </c>
      <c r="U1488" s="194">
        <v>0.004</v>
      </c>
      <c r="V1488" s="194">
        <v>0.004</v>
      </c>
      <c r="W1488" s="194">
        <v>0.004</v>
      </c>
      <c r="X1488" s="194">
        <v>0.004</v>
      </c>
      <c r="Y1488" s="194">
        <v>0.004</v>
      </c>
      <c r="Z1488" s="194">
        <v>0.004</v>
      </c>
      <c r="AA1488" s="194">
        <v>0.004</v>
      </c>
      <c r="AB1488" s="194">
        <v>0.004</v>
      </c>
      <c r="AC1488" s="194">
        <v>0.004</v>
      </c>
      <c r="AD1488" s="194">
        <v>0.004</v>
      </c>
      <c r="AE1488" s="194">
        <v>0.004</v>
      </c>
      <c r="AF1488" s="36"/>
      <c r="AG1488" s="36"/>
      <c r="AH1488" s="36"/>
      <c r="AI1488" s="36"/>
      <c r="AJ1488" s="36"/>
    </row>
    <row r="1489" ht="15.75" customHeight="1">
      <c r="A1489" s="12"/>
      <c r="B1489" s="390"/>
      <c r="C1489" s="390"/>
      <c r="D1489" s="390"/>
      <c r="E1489" s="121"/>
      <c r="F1489" s="121"/>
      <c r="G1489" s="121"/>
      <c r="H1489" s="121"/>
      <c r="I1489" s="121"/>
      <c r="J1489" s="121"/>
      <c r="K1489" s="121"/>
      <c r="L1489" s="121"/>
      <c r="M1489" s="121"/>
      <c r="N1489" s="121"/>
      <c r="O1489" s="121"/>
      <c r="P1489" s="121"/>
      <c r="Q1489" s="121"/>
      <c r="R1489" s="121"/>
      <c r="S1489" s="121"/>
      <c r="T1489" s="121"/>
      <c r="U1489" s="121"/>
      <c r="V1489" s="121"/>
      <c r="W1489" s="121"/>
      <c r="X1489" s="121"/>
      <c r="Y1489" s="121"/>
      <c r="Z1489" s="121"/>
      <c r="AA1489" s="121"/>
      <c r="AB1489" s="121"/>
      <c r="AC1489" s="121"/>
      <c r="AD1489" s="121"/>
      <c r="AE1489" s="121"/>
      <c r="AF1489" s="36"/>
      <c r="AG1489" s="36"/>
      <c r="AH1489" s="36"/>
      <c r="AI1489" s="36"/>
      <c r="AJ1489" s="36"/>
    </row>
    <row r="1490" ht="15.75" customHeight="1">
      <c r="A1490" s="242" t="s">
        <v>1845</v>
      </c>
      <c r="B1490" s="390"/>
      <c r="C1490" s="390"/>
      <c r="D1490" s="390"/>
      <c r="E1490" s="121"/>
      <c r="F1490" s="121"/>
      <c r="G1490" s="121"/>
      <c r="H1490" s="121"/>
      <c r="I1490" s="121"/>
      <c r="J1490" s="121"/>
      <c r="K1490" s="121"/>
      <c r="L1490" s="121"/>
      <c r="M1490" s="121"/>
      <c r="N1490" s="121"/>
      <c r="O1490" s="121"/>
      <c r="P1490" s="121"/>
      <c r="Q1490" s="121"/>
      <c r="R1490" s="121"/>
      <c r="S1490" s="121"/>
      <c r="T1490" s="121"/>
      <c r="U1490" s="121"/>
      <c r="V1490" s="121"/>
      <c r="W1490" s="121"/>
      <c r="X1490" s="121"/>
      <c r="Y1490" s="121"/>
      <c r="Z1490" s="121"/>
      <c r="AA1490" s="121"/>
      <c r="AB1490" s="121"/>
      <c r="AC1490" s="121"/>
      <c r="AD1490" s="121"/>
      <c r="AE1490" s="121"/>
      <c r="AF1490" s="36"/>
      <c r="AG1490" s="36"/>
      <c r="AH1490" s="36"/>
      <c r="AI1490" s="36"/>
      <c r="AJ1490" s="36"/>
    </row>
    <row r="1491" ht="15.75" customHeight="1">
      <c r="A1491" s="12"/>
      <c r="B1491" s="390"/>
      <c r="C1491" s="390"/>
      <c r="D1491" s="390"/>
      <c r="E1491" s="121"/>
      <c r="F1491" s="121"/>
      <c r="G1491" s="121"/>
      <c r="H1491" s="121"/>
      <c r="I1491" s="121"/>
      <c r="J1491" s="121"/>
      <c r="K1491" s="121"/>
      <c r="L1491" s="121"/>
      <c r="M1491" s="121"/>
      <c r="N1491" s="121"/>
      <c r="O1491" s="121"/>
      <c r="P1491" s="121"/>
      <c r="Q1491" s="121"/>
      <c r="R1491" s="121"/>
      <c r="S1491" s="121"/>
      <c r="T1491" s="121"/>
      <c r="U1491" s="121"/>
      <c r="V1491" s="121"/>
      <c r="W1491" s="121"/>
      <c r="X1491" s="121"/>
      <c r="Y1491" s="121"/>
      <c r="Z1491" s="121"/>
      <c r="AA1491" s="121"/>
      <c r="AB1491" s="121"/>
      <c r="AC1491" s="121"/>
      <c r="AD1491" s="121"/>
      <c r="AE1491" s="121"/>
      <c r="AF1491" s="36"/>
      <c r="AG1491" s="36"/>
      <c r="AH1491" s="36"/>
      <c r="AI1491" s="36"/>
      <c r="AJ1491" s="36"/>
    </row>
    <row r="1492" ht="15.75" customHeight="1">
      <c r="A1492" s="36" t="s">
        <v>215</v>
      </c>
      <c r="B1492" s="36">
        <v>1.0</v>
      </c>
      <c r="C1492" s="36">
        <v>2.0</v>
      </c>
      <c r="D1492" s="36">
        <v>3.0</v>
      </c>
      <c r="E1492" s="36">
        <v>4.0</v>
      </c>
      <c r="F1492" s="36">
        <v>5.0</v>
      </c>
      <c r="G1492" s="36">
        <v>6.0</v>
      </c>
      <c r="H1492" s="36">
        <v>7.0</v>
      </c>
      <c r="I1492" s="36">
        <v>8.0</v>
      </c>
      <c r="J1492" s="36">
        <v>9.0</v>
      </c>
      <c r="K1492" s="36">
        <v>10.0</v>
      </c>
      <c r="L1492" s="36">
        <v>11.0</v>
      </c>
      <c r="M1492" s="36">
        <v>12.0</v>
      </c>
      <c r="N1492" s="36">
        <v>13.0</v>
      </c>
      <c r="O1492" s="36">
        <v>14.0</v>
      </c>
      <c r="P1492" s="36">
        <v>15.0</v>
      </c>
      <c r="Q1492" s="36">
        <v>16.0</v>
      </c>
      <c r="R1492" s="36">
        <v>17.0</v>
      </c>
      <c r="S1492" s="36">
        <v>18.0</v>
      </c>
      <c r="T1492" s="36">
        <v>19.0</v>
      </c>
      <c r="U1492" s="36">
        <v>20.0</v>
      </c>
      <c r="V1492" s="36">
        <v>21.0</v>
      </c>
      <c r="W1492" s="36">
        <v>22.0</v>
      </c>
      <c r="X1492" s="36">
        <v>23.0</v>
      </c>
      <c r="Y1492" s="36">
        <v>24.0</v>
      </c>
      <c r="Z1492" s="36">
        <v>25.0</v>
      </c>
      <c r="AA1492" s="36">
        <v>26.0</v>
      </c>
      <c r="AB1492" s="36">
        <v>27.0</v>
      </c>
      <c r="AC1492" s="36">
        <v>28.0</v>
      </c>
      <c r="AD1492" s="36">
        <v>29.0</v>
      </c>
      <c r="AE1492" s="36">
        <v>30.0</v>
      </c>
      <c r="AF1492" s="36"/>
      <c r="AG1492" s="36"/>
      <c r="AH1492" s="36"/>
      <c r="AI1492" s="36"/>
      <c r="AJ1492" s="36"/>
    </row>
    <row r="1493" ht="15.75" customHeight="1">
      <c r="A1493" s="12" t="s">
        <v>217</v>
      </c>
      <c r="B1493" s="401">
        <v>70.0</v>
      </c>
      <c r="C1493" s="401">
        <v>70.0</v>
      </c>
      <c r="D1493" s="401">
        <v>70.0</v>
      </c>
      <c r="E1493" s="401">
        <v>70.0</v>
      </c>
      <c r="F1493" s="401">
        <v>70.0</v>
      </c>
      <c r="G1493" s="401">
        <v>70.0</v>
      </c>
      <c r="H1493" s="401">
        <v>70.0</v>
      </c>
      <c r="I1493" s="401">
        <v>70.0</v>
      </c>
      <c r="J1493" s="401">
        <v>70.0</v>
      </c>
      <c r="K1493" s="401">
        <v>70.0</v>
      </c>
      <c r="L1493" s="401">
        <v>70.0</v>
      </c>
      <c r="M1493" s="401">
        <v>70.0</v>
      </c>
      <c r="N1493" s="401">
        <v>70.0</v>
      </c>
      <c r="O1493" s="401">
        <v>70.0</v>
      </c>
      <c r="P1493" s="401">
        <v>70.0</v>
      </c>
      <c r="Q1493" s="401">
        <v>70.0</v>
      </c>
      <c r="R1493" s="401">
        <v>70.0</v>
      </c>
      <c r="S1493" s="401">
        <v>70.0</v>
      </c>
      <c r="T1493" s="401">
        <v>70.0</v>
      </c>
      <c r="U1493" s="401">
        <v>70.0</v>
      </c>
      <c r="V1493" s="401">
        <v>70.0</v>
      </c>
      <c r="W1493" s="401">
        <v>70.0</v>
      </c>
      <c r="X1493" s="401">
        <v>70.0</v>
      </c>
      <c r="Y1493" s="401">
        <v>70.0</v>
      </c>
      <c r="Z1493" s="401">
        <v>70.0</v>
      </c>
      <c r="AA1493" s="401">
        <v>70.0</v>
      </c>
      <c r="AB1493" s="401">
        <v>70.0</v>
      </c>
      <c r="AC1493" s="401">
        <v>70.0</v>
      </c>
      <c r="AD1493" s="401">
        <v>70.0</v>
      </c>
      <c r="AE1493" s="401">
        <v>70.0</v>
      </c>
      <c r="AF1493" s="36"/>
      <c r="AG1493" s="36"/>
      <c r="AH1493" s="36"/>
      <c r="AI1493" s="36"/>
      <c r="AJ1493" s="36"/>
    </row>
    <row r="1494" ht="15.75" customHeight="1">
      <c r="A1494" s="12" t="s">
        <v>218</v>
      </c>
      <c r="B1494" s="194">
        <v>0.0</v>
      </c>
      <c r="C1494" s="194">
        <v>0.0</v>
      </c>
      <c r="D1494" s="194">
        <v>0.0</v>
      </c>
      <c r="E1494" s="194">
        <v>0.0</v>
      </c>
      <c r="F1494" s="194">
        <v>0.0</v>
      </c>
      <c r="G1494" s="194">
        <v>0.004</v>
      </c>
      <c r="H1494" s="194">
        <v>0.004</v>
      </c>
      <c r="I1494" s="194">
        <v>0.004</v>
      </c>
      <c r="J1494" s="194">
        <v>0.004</v>
      </c>
      <c r="K1494" s="194">
        <v>0.004</v>
      </c>
      <c r="L1494" s="194">
        <v>0.004</v>
      </c>
      <c r="M1494" s="194">
        <v>0.004</v>
      </c>
      <c r="N1494" s="194">
        <v>0.004</v>
      </c>
      <c r="O1494" s="194">
        <v>0.004</v>
      </c>
      <c r="P1494" s="194">
        <v>0.004</v>
      </c>
      <c r="Q1494" s="194">
        <v>0.004</v>
      </c>
      <c r="R1494" s="194">
        <v>0.004</v>
      </c>
      <c r="S1494" s="194">
        <v>0.004</v>
      </c>
      <c r="T1494" s="194">
        <v>0.004</v>
      </c>
      <c r="U1494" s="194">
        <v>0.004</v>
      </c>
      <c r="V1494" s="194">
        <v>0.004</v>
      </c>
      <c r="W1494" s="194">
        <v>0.004</v>
      </c>
      <c r="X1494" s="194">
        <v>0.004</v>
      </c>
      <c r="Y1494" s="194">
        <v>0.004</v>
      </c>
      <c r="Z1494" s="194">
        <v>0.004</v>
      </c>
      <c r="AA1494" s="194">
        <v>0.004</v>
      </c>
      <c r="AB1494" s="194">
        <v>0.004</v>
      </c>
      <c r="AC1494" s="194">
        <v>0.004</v>
      </c>
      <c r="AD1494" s="194">
        <v>0.004</v>
      </c>
      <c r="AE1494" s="194">
        <v>0.004</v>
      </c>
      <c r="AF1494" s="36"/>
      <c r="AG1494" s="36"/>
      <c r="AH1494" s="36"/>
      <c r="AI1494" s="36"/>
      <c r="AJ1494" s="36"/>
    </row>
    <row r="1495" ht="15.75" customHeight="1">
      <c r="A1495" s="12"/>
      <c r="B1495" s="390"/>
      <c r="C1495" s="390"/>
      <c r="D1495" s="390"/>
      <c r="E1495" s="121"/>
      <c r="F1495" s="121"/>
      <c r="G1495" s="121"/>
      <c r="H1495" s="121"/>
      <c r="I1495" s="121"/>
      <c r="J1495" s="121"/>
      <c r="K1495" s="121"/>
      <c r="L1495" s="121"/>
      <c r="M1495" s="121"/>
      <c r="N1495" s="121"/>
      <c r="O1495" s="121"/>
      <c r="P1495" s="121"/>
      <c r="Q1495" s="121"/>
      <c r="R1495" s="121"/>
      <c r="S1495" s="121"/>
      <c r="T1495" s="121"/>
      <c r="U1495" s="121"/>
      <c r="V1495" s="121"/>
      <c r="W1495" s="121"/>
      <c r="X1495" s="121"/>
      <c r="Y1495" s="121"/>
      <c r="Z1495" s="121"/>
      <c r="AA1495" s="121"/>
      <c r="AB1495" s="121"/>
      <c r="AC1495" s="121"/>
      <c r="AD1495" s="121"/>
      <c r="AE1495" s="121"/>
      <c r="AF1495" s="36"/>
      <c r="AG1495" s="36"/>
      <c r="AH1495" s="36"/>
      <c r="AI1495" s="36"/>
      <c r="AJ1495" s="36"/>
    </row>
    <row r="1496" ht="15.75" customHeight="1">
      <c r="A1496" s="12"/>
      <c r="B1496" s="390"/>
      <c r="C1496" s="390"/>
      <c r="D1496" s="390"/>
      <c r="E1496" s="121"/>
      <c r="F1496" s="121"/>
      <c r="G1496" s="121"/>
      <c r="H1496" s="121"/>
      <c r="I1496" s="121"/>
      <c r="J1496" s="121"/>
      <c r="K1496" s="121"/>
      <c r="L1496" s="121"/>
      <c r="M1496" s="121"/>
      <c r="N1496" s="121"/>
      <c r="O1496" s="121"/>
      <c r="P1496" s="121"/>
      <c r="Q1496" s="121"/>
      <c r="R1496" s="121"/>
      <c r="S1496" s="121"/>
      <c r="T1496" s="121"/>
      <c r="U1496" s="121"/>
      <c r="V1496" s="121"/>
      <c r="W1496" s="121"/>
      <c r="X1496" s="121"/>
      <c r="Y1496" s="121"/>
      <c r="Z1496" s="121"/>
      <c r="AA1496" s="121"/>
      <c r="AB1496" s="121"/>
      <c r="AC1496" s="121"/>
      <c r="AD1496" s="121"/>
      <c r="AE1496" s="121"/>
      <c r="AF1496" s="36"/>
      <c r="AG1496" s="36"/>
      <c r="AH1496" s="36"/>
      <c r="AI1496" s="36"/>
      <c r="AJ1496" s="36"/>
    </row>
    <row r="1497" ht="15.75" customHeight="1">
      <c r="A1497" s="12"/>
      <c r="B1497" s="390"/>
      <c r="C1497" s="390"/>
      <c r="D1497" s="390"/>
      <c r="E1497" s="121"/>
      <c r="F1497" s="121"/>
      <c r="G1497" s="121"/>
      <c r="H1497" s="121"/>
      <c r="I1497" s="121"/>
      <c r="J1497" s="121"/>
      <c r="K1497" s="121"/>
      <c r="L1497" s="121"/>
      <c r="M1497" s="121"/>
      <c r="N1497" s="121"/>
      <c r="O1497" s="121"/>
      <c r="P1497" s="121"/>
      <c r="Q1497" s="121"/>
      <c r="R1497" s="121"/>
      <c r="S1497" s="121"/>
      <c r="T1497" s="121"/>
      <c r="U1497" s="121"/>
      <c r="V1497" s="121"/>
      <c r="W1497" s="121"/>
      <c r="X1497" s="121"/>
      <c r="Y1497" s="121"/>
      <c r="Z1497" s="121"/>
      <c r="AA1497" s="121"/>
      <c r="AB1497" s="121"/>
      <c r="AC1497" s="121"/>
      <c r="AD1497" s="121"/>
      <c r="AE1497" s="121"/>
      <c r="AF1497" s="36"/>
      <c r="AG1497" s="36"/>
      <c r="AH1497" s="36"/>
      <c r="AI1497" s="36"/>
      <c r="AJ1497" s="36"/>
    </row>
    <row r="1498" ht="15.75" customHeight="1">
      <c r="A1498" s="12"/>
      <c r="B1498" s="390"/>
      <c r="C1498" s="390"/>
      <c r="D1498" s="390"/>
      <c r="E1498" s="121"/>
      <c r="F1498" s="121"/>
      <c r="G1498" s="121"/>
      <c r="H1498" s="121"/>
      <c r="I1498" s="121"/>
      <c r="J1498" s="121"/>
      <c r="K1498" s="121"/>
      <c r="L1498" s="121"/>
      <c r="M1498" s="121"/>
      <c r="N1498" s="121"/>
      <c r="O1498" s="121"/>
      <c r="P1498" s="121"/>
      <c r="Q1498" s="121"/>
      <c r="R1498" s="121"/>
      <c r="S1498" s="121"/>
      <c r="T1498" s="121"/>
      <c r="U1498" s="121"/>
      <c r="V1498" s="121"/>
      <c r="W1498" s="121"/>
      <c r="X1498" s="121"/>
      <c r="Y1498" s="121"/>
      <c r="Z1498" s="121"/>
      <c r="AA1498" s="121"/>
      <c r="AB1498" s="121"/>
      <c r="AC1498" s="121"/>
      <c r="AD1498" s="121"/>
      <c r="AE1498" s="121"/>
      <c r="AF1498" s="36"/>
      <c r="AG1498" s="36"/>
      <c r="AH1498" s="36"/>
      <c r="AI1498" s="36"/>
      <c r="AJ1498" s="36"/>
    </row>
    <row r="1499" ht="15.75" customHeight="1">
      <c r="A1499" s="12"/>
      <c r="B1499" s="390"/>
      <c r="C1499" s="390"/>
      <c r="D1499" s="390"/>
      <c r="E1499" s="121"/>
      <c r="F1499" s="121"/>
      <c r="G1499" s="121"/>
      <c r="H1499" s="121"/>
      <c r="I1499" s="121"/>
      <c r="J1499" s="121"/>
      <c r="K1499" s="121"/>
      <c r="L1499" s="121"/>
      <c r="M1499" s="121"/>
      <c r="N1499" s="121"/>
      <c r="O1499" s="121"/>
      <c r="P1499" s="121"/>
      <c r="Q1499" s="121"/>
      <c r="R1499" s="121"/>
      <c r="S1499" s="121"/>
      <c r="T1499" s="121"/>
      <c r="U1499" s="121"/>
      <c r="V1499" s="121"/>
      <c r="W1499" s="121"/>
      <c r="X1499" s="121"/>
      <c r="Y1499" s="121"/>
      <c r="Z1499" s="121"/>
      <c r="AA1499" s="121"/>
      <c r="AB1499" s="121"/>
      <c r="AC1499" s="121"/>
      <c r="AD1499" s="121"/>
      <c r="AE1499" s="121"/>
      <c r="AF1499" s="36"/>
      <c r="AG1499" s="36"/>
      <c r="AH1499" s="36"/>
      <c r="AI1499" s="36"/>
      <c r="AJ1499" s="36"/>
    </row>
    <row r="1500" ht="15.75" customHeight="1">
      <c r="A1500" s="12"/>
      <c r="B1500" s="390"/>
      <c r="C1500" s="390"/>
      <c r="D1500" s="390"/>
      <c r="E1500" s="121"/>
      <c r="F1500" s="121"/>
      <c r="G1500" s="121"/>
      <c r="H1500" s="121"/>
      <c r="I1500" s="121"/>
      <c r="J1500" s="121"/>
      <c r="K1500" s="121"/>
      <c r="L1500" s="121"/>
      <c r="M1500" s="121"/>
      <c r="N1500" s="121"/>
      <c r="O1500" s="121"/>
      <c r="P1500" s="121"/>
      <c r="Q1500" s="121"/>
      <c r="R1500" s="121"/>
      <c r="S1500" s="121"/>
      <c r="T1500" s="121"/>
      <c r="U1500" s="121"/>
      <c r="V1500" s="121"/>
      <c r="W1500" s="121"/>
      <c r="X1500" s="121"/>
      <c r="Y1500" s="121"/>
      <c r="Z1500" s="121"/>
      <c r="AA1500" s="121"/>
      <c r="AB1500" s="121"/>
      <c r="AC1500" s="121"/>
      <c r="AD1500" s="121"/>
      <c r="AE1500" s="121"/>
      <c r="AF1500" s="36"/>
      <c r="AG1500" s="36"/>
      <c r="AH1500" s="36"/>
      <c r="AI1500" s="36"/>
      <c r="AJ1500" s="36"/>
    </row>
    <row r="1501" ht="15.75" customHeight="1">
      <c r="A1501" s="12"/>
      <c r="B1501" s="390"/>
      <c r="C1501" s="390"/>
      <c r="D1501" s="390"/>
      <c r="E1501" s="121"/>
      <c r="F1501" s="121"/>
      <c r="G1501" s="121"/>
      <c r="H1501" s="121"/>
      <c r="I1501" s="121"/>
      <c r="J1501" s="121"/>
      <c r="K1501" s="121"/>
      <c r="L1501" s="121"/>
      <c r="M1501" s="121"/>
      <c r="N1501" s="121"/>
      <c r="O1501" s="121"/>
      <c r="P1501" s="121"/>
      <c r="Q1501" s="121"/>
      <c r="R1501" s="121"/>
      <c r="S1501" s="121"/>
      <c r="T1501" s="121"/>
      <c r="U1501" s="121"/>
      <c r="V1501" s="121"/>
      <c r="W1501" s="121"/>
      <c r="X1501" s="121"/>
      <c r="Y1501" s="121"/>
      <c r="Z1501" s="121"/>
      <c r="AA1501" s="121"/>
      <c r="AB1501" s="121"/>
      <c r="AC1501" s="121"/>
      <c r="AD1501" s="121"/>
      <c r="AE1501" s="121"/>
      <c r="AF1501" s="36"/>
      <c r="AG1501" s="36"/>
      <c r="AH1501" s="36"/>
      <c r="AI1501" s="36"/>
      <c r="AJ1501" s="36"/>
    </row>
    <row r="1502" ht="15.75" customHeight="1">
      <c r="A1502" s="12"/>
      <c r="B1502" s="390"/>
      <c r="C1502" s="390"/>
      <c r="D1502" s="390"/>
      <c r="E1502" s="121"/>
      <c r="F1502" s="121"/>
      <c r="G1502" s="121"/>
      <c r="H1502" s="121"/>
      <c r="I1502" s="121"/>
      <c r="J1502" s="121"/>
      <c r="K1502" s="121"/>
      <c r="L1502" s="121"/>
      <c r="M1502" s="121"/>
      <c r="N1502" s="121"/>
      <c r="O1502" s="121"/>
      <c r="P1502" s="121"/>
      <c r="Q1502" s="121"/>
      <c r="R1502" s="121"/>
      <c r="S1502" s="121"/>
      <c r="T1502" s="121"/>
      <c r="U1502" s="121"/>
      <c r="V1502" s="121"/>
      <c r="W1502" s="121"/>
      <c r="X1502" s="121"/>
      <c r="Y1502" s="121"/>
      <c r="Z1502" s="121"/>
      <c r="AA1502" s="121"/>
      <c r="AB1502" s="121"/>
      <c r="AC1502" s="121"/>
      <c r="AD1502" s="121"/>
      <c r="AE1502" s="121"/>
      <c r="AF1502" s="36"/>
      <c r="AG1502" s="36"/>
      <c r="AH1502" s="36"/>
      <c r="AI1502" s="36"/>
      <c r="AJ1502" s="36"/>
    </row>
    <row r="1503" ht="15.75" customHeight="1">
      <c r="A1503" s="12"/>
      <c r="B1503" s="390"/>
      <c r="C1503" s="390"/>
      <c r="D1503" s="390"/>
      <c r="E1503" s="121"/>
      <c r="F1503" s="121"/>
      <c r="G1503" s="121"/>
      <c r="H1503" s="121"/>
      <c r="I1503" s="121"/>
      <c r="J1503" s="121"/>
      <c r="K1503" s="121"/>
      <c r="L1503" s="121"/>
      <c r="M1503" s="121"/>
      <c r="N1503" s="121"/>
      <c r="O1503" s="121"/>
      <c r="P1503" s="121"/>
      <c r="Q1503" s="121"/>
      <c r="R1503" s="121"/>
      <c r="S1503" s="121"/>
      <c r="T1503" s="121"/>
      <c r="U1503" s="121"/>
      <c r="V1503" s="121"/>
      <c r="W1503" s="121"/>
      <c r="X1503" s="121"/>
      <c r="Y1503" s="121"/>
      <c r="Z1503" s="121"/>
      <c r="AA1503" s="121"/>
      <c r="AB1503" s="121"/>
      <c r="AC1503" s="121"/>
      <c r="AD1503" s="121"/>
      <c r="AE1503" s="121"/>
      <c r="AF1503" s="36"/>
      <c r="AG1503" s="36"/>
      <c r="AH1503" s="36"/>
      <c r="AI1503" s="36"/>
      <c r="AJ1503" s="36"/>
    </row>
    <row r="1504" ht="15.75" customHeight="1">
      <c r="A1504" s="12"/>
      <c r="B1504" s="390"/>
      <c r="C1504" s="390"/>
      <c r="D1504" s="390"/>
      <c r="E1504" s="121"/>
      <c r="F1504" s="121"/>
      <c r="G1504" s="121"/>
      <c r="H1504" s="121"/>
      <c r="I1504" s="121"/>
      <c r="J1504" s="121"/>
      <c r="K1504" s="121"/>
      <c r="L1504" s="121"/>
      <c r="M1504" s="121"/>
      <c r="N1504" s="121"/>
      <c r="O1504" s="121"/>
      <c r="P1504" s="121"/>
      <c r="Q1504" s="121"/>
      <c r="R1504" s="121"/>
      <c r="S1504" s="121"/>
      <c r="T1504" s="121"/>
      <c r="U1504" s="121"/>
      <c r="V1504" s="121"/>
      <c r="W1504" s="121"/>
      <c r="X1504" s="121"/>
      <c r="Y1504" s="121"/>
      <c r="Z1504" s="121"/>
      <c r="AA1504" s="121"/>
      <c r="AB1504" s="121"/>
      <c r="AC1504" s="121"/>
      <c r="AD1504" s="121"/>
      <c r="AE1504" s="121"/>
      <c r="AF1504" s="36"/>
      <c r="AG1504" s="36"/>
      <c r="AH1504" s="36"/>
      <c r="AI1504" s="36"/>
      <c r="AJ1504" s="36"/>
    </row>
    <row r="1505" ht="15.75" customHeight="1">
      <c r="A1505" s="12"/>
      <c r="B1505" s="390"/>
      <c r="C1505" s="390"/>
      <c r="D1505" s="390"/>
      <c r="E1505" s="121"/>
      <c r="F1505" s="121"/>
      <c r="G1505" s="121"/>
      <c r="H1505" s="121"/>
      <c r="I1505" s="121"/>
      <c r="J1505" s="121"/>
      <c r="K1505" s="121"/>
      <c r="L1505" s="121"/>
      <c r="M1505" s="121"/>
      <c r="N1505" s="121"/>
      <c r="O1505" s="121"/>
      <c r="P1505" s="121"/>
      <c r="Q1505" s="121"/>
      <c r="R1505" s="121"/>
      <c r="S1505" s="121"/>
      <c r="T1505" s="121"/>
      <c r="U1505" s="121"/>
      <c r="V1505" s="121"/>
      <c r="W1505" s="121"/>
      <c r="X1505" s="121"/>
      <c r="Y1505" s="121"/>
      <c r="Z1505" s="121"/>
      <c r="AA1505" s="121"/>
      <c r="AB1505" s="121"/>
      <c r="AC1505" s="121"/>
      <c r="AD1505" s="121"/>
      <c r="AE1505" s="121"/>
      <c r="AF1505" s="36"/>
      <c r="AG1505" s="36"/>
      <c r="AH1505" s="36"/>
      <c r="AI1505" s="36"/>
      <c r="AJ1505" s="36"/>
    </row>
    <row r="1506" ht="15.75" customHeight="1">
      <c r="A1506" s="12"/>
      <c r="B1506" s="390"/>
      <c r="C1506" s="390"/>
      <c r="D1506" s="390"/>
      <c r="E1506" s="121"/>
      <c r="F1506" s="121"/>
      <c r="G1506" s="121"/>
      <c r="H1506" s="121"/>
      <c r="I1506" s="121"/>
      <c r="J1506" s="121"/>
      <c r="K1506" s="121"/>
      <c r="L1506" s="121"/>
      <c r="M1506" s="121"/>
      <c r="N1506" s="121"/>
      <c r="O1506" s="121"/>
      <c r="P1506" s="121"/>
      <c r="Q1506" s="121"/>
      <c r="R1506" s="121"/>
      <c r="S1506" s="121"/>
      <c r="T1506" s="121"/>
      <c r="U1506" s="121"/>
      <c r="V1506" s="121"/>
      <c r="W1506" s="121"/>
      <c r="X1506" s="121"/>
      <c r="Y1506" s="121"/>
      <c r="Z1506" s="121"/>
      <c r="AA1506" s="121"/>
      <c r="AB1506" s="121"/>
      <c r="AC1506" s="121"/>
      <c r="AD1506" s="121"/>
      <c r="AE1506" s="121"/>
      <c r="AF1506" s="36"/>
      <c r="AG1506" s="36"/>
      <c r="AH1506" s="36"/>
      <c r="AI1506" s="36"/>
      <c r="AJ1506" s="36"/>
    </row>
    <row r="1507" ht="15.75" customHeight="1">
      <c r="A1507" s="12"/>
      <c r="B1507" s="390"/>
      <c r="C1507" s="390"/>
      <c r="D1507" s="390"/>
      <c r="E1507" s="121"/>
      <c r="F1507" s="121"/>
      <c r="G1507" s="121"/>
      <c r="H1507" s="121"/>
      <c r="I1507" s="121"/>
      <c r="J1507" s="121"/>
      <c r="K1507" s="121"/>
      <c r="L1507" s="121"/>
      <c r="M1507" s="121"/>
      <c r="N1507" s="121"/>
      <c r="O1507" s="121"/>
      <c r="P1507" s="121"/>
      <c r="Q1507" s="121"/>
      <c r="R1507" s="121"/>
      <c r="S1507" s="121"/>
      <c r="T1507" s="121"/>
      <c r="U1507" s="121"/>
      <c r="V1507" s="121"/>
      <c r="W1507" s="121"/>
      <c r="X1507" s="121"/>
      <c r="Y1507" s="121"/>
      <c r="Z1507" s="121"/>
      <c r="AA1507" s="121"/>
      <c r="AB1507" s="121"/>
      <c r="AC1507" s="121"/>
      <c r="AD1507" s="121"/>
      <c r="AE1507" s="121"/>
      <c r="AF1507" s="36"/>
      <c r="AG1507" s="36"/>
      <c r="AH1507" s="36"/>
      <c r="AI1507" s="36"/>
      <c r="AJ1507" s="36"/>
    </row>
    <row r="1508" ht="15.75" customHeight="1">
      <c r="A1508" s="12"/>
      <c r="B1508" s="390"/>
      <c r="C1508" s="390"/>
      <c r="D1508" s="390"/>
      <c r="E1508" s="121"/>
      <c r="F1508" s="121"/>
      <c r="G1508" s="121"/>
      <c r="H1508" s="121"/>
      <c r="I1508" s="121"/>
      <c r="J1508" s="121"/>
      <c r="K1508" s="121"/>
      <c r="L1508" s="121"/>
      <c r="M1508" s="121"/>
      <c r="N1508" s="121"/>
      <c r="O1508" s="121"/>
      <c r="P1508" s="121"/>
      <c r="Q1508" s="121"/>
      <c r="R1508" s="121"/>
      <c r="S1508" s="121"/>
      <c r="T1508" s="121"/>
      <c r="U1508" s="121"/>
      <c r="V1508" s="121"/>
      <c r="W1508" s="121"/>
      <c r="X1508" s="121"/>
      <c r="Y1508" s="121"/>
      <c r="Z1508" s="121"/>
      <c r="AA1508" s="121"/>
      <c r="AB1508" s="121"/>
      <c r="AC1508" s="121"/>
      <c r="AD1508" s="121"/>
      <c r="AE1508" s="121"/>
      <c r="AF1508" s="36"/>
      <c r="AG1508" s="36"/>
      <c r="AH1508" s="36"/>
      <c r="AI1508" s="36"/>
      <c r="AJ1508" s="36"/>
    </row>
    <row r="1509" ht="15.75" customHeight="1">
      <c r="A1509" s="12"/>
      <c r="B1509" s="390"/>
      <c r="C1509" s="390"/>
      <c r="D1509" s="390"/>
      <c r="E1509" s="121"/>
      <c r="F1509" s="121"/>
      <c r="G1509" s="121"/>
      <c r="H1509" s="121"/>
      <c r="I1509" s="121"/>
      <c r="J1509" s="121"/>
      <c r="K1509" s="121"/>
      <c r="L1509" s="121"/>
      <c r="M1509" s="121"/>
      <c r="N1509" s="121"/>
      <c r="O1509" s="121"/>
      <c r="P1509" s="121"/>
      <c r="Q1509" s="121"/>
      <c r="R1509" s="121"/>
      <c r="S1509" s="121"/>
      <c r="T1509" s="121"/>
      <c r="U1509" s="121"/>
      <c r="V1509" s="121"/>
      <c r="W1509" s="121"/>
      <c r="X1509" s="121"/>
      <c r="Y1509" s="121"/>
      <c r="Z1509" s="121"/>
      <c r="AA1509" s="121"/>
      <c r="AB1509" s="121"/>
      <c r="AC1509" s="121"/>
      <c r="AD1509" s="121"/>
      <c r="AE1509" s="121"/>
      <c r="AF1509" s="36"/>
      <c r="AG1509" s="36"/>
      <c r="AH1509" s="36"/>
      <c r="AI1509" s="36"/>
      <c r="AJ1509" s="36"/>
    </row>
    <row r="1510" ht="15.75" customHeight="1">
      <c r="A1510" s="12"/>
      <c r="B1510" s="390"/>
      <c r="C1510" s="390"/>
      <c r="D1510" s="390"/>
      <c r="E1510" s="121"/>
      <c r="F1510" s="121"/>
      <c r="G1510" s="121"/>
      <c r="H1510" s="121"/>
      <c r="I1510" s="121"/>
      <c r="J1510" s="121"/>
      <c r="K1510" s="121"/>
      <c r="L1510" s="121"/>
      <c r="M1510" s="121"/>
      <c r="N1510" s="121"/>
      <c r="O1510" s="121"/>
      <c r="P1510" s="121"/>
      <c r="Q1510" s="121"/>
      <c r="R1510" s="121"/>
      <c r="S1510" s="121"/>
      <c r="T1510" s="121"/>
      <c r="U1510" s="121"/>
      <c r="V1510" s="121"/>
      <c r="W1510" s="121"/>
      <c r="X1510" s="121"/>
      <c r="Y1510" s="121"/>
      <c r="Z1510" s="121"/>
      <c r="AA1510" s="121"/>
      <c r="AB1510" s="121"/>
      <c r="AC1510" s="121"/>
      <c r="AD1510" s="121"/>
      <c r="AE1510" s="121"/>
      <c r="AF1510" s="36"/>
      <c r="AG1510" s="36"/>
      <c r="AH1510" s="36"/>
      <c r="AI1510" s="36"/>
      <c r="AJ1510" s="36"/>
    </row>
    <row r="1511" ht="15.75" customHeight="1">
      <c r="A1511" s="12"/>
      <c r="B1511" s="390"/>
      <c r="C1511" s="390"/>
      <c r="D1511" s="390"/>
      <c r="E1511" s="121"/>
      <c r="F1511" s="121"/>
      <c r="G1511" s="121"/>
      <c r="H1511" s="121"/>
      <c r="I1511" s="121"/>
      <c r="J1511" s="121"/>
      <c r="K1511" s="121"/>
      <c r="L1511" s="121"/>
      <c r="M1511" s="121"/>
      <c r="N1511" s="121"/>
      <c r="O1511" s="121"/>
      <c r="P1511" s="121"/>
      <c r="Q1511" s="121"/>
      <c r="R1511" s="121"/>
      <c r="S1511" s="121"/>
      <c r="T1511" s="121"/>
      <c r="U1511" s="121"/>
      <c r="V1511" s="121"/>
      <c r="W1511" s="121"/>
      <c r="X1511" s="121"/>
      <c r="Y1511" s="121"/>
      <c r="Z1511" s="121"/>
      <c r="AA1511" s="121"/>
      <c r="AB1511" s="121"/>
      <c r="AC1511" s="121"/>
      <c r="AD1511" s="121"/>
      <c r="AE1511" s="121"/>
      <c r="AF1511" s="36"/>
      <c r="AG1511" s="36"/>
      <c r="AH1511" s="36"/>
      <c r="AI1511" s="36"/>
      <c r="AJ1511" s="36"/>
    </row>
    <row r="1512" ht="15.75" customHeight="1">
      <c r="A1512" s="12"/>
      <c r="B1512" s="390"/>
      <c r="C1512" s="390"/>
      <c r="D1512" s="390"/>
      <c r="E1512" s="121"/>
      <c r="F1512" s="121"/>
      <c r="G1512" s="121"/>
      <c r="H1512" s="121"/>
      <c r="I1512" s="121"/>
      <c r="J1512" s="121"/>
      <c r="K1512" s="121"/>
      <c r="L1512" s="121"/>
      <c r="M1512" s="121"/>
      <c r="N1512" s="121"/>
      <c r="O1512" s="121"/>
      <c r="P1512" s="121"/>
      <c r="Q1512" s="121"/>
      <c r="R1512" s="121"/>
      <c r="S1512" s="121"/>
      <c r="T1512" s="121"/>
      <c r="U1512" s="121"/>
      <c r="V1512" s="121"/>
      <c r="W1512" s="121"/>
      <c r="X1512" s="121"/>
      <c r="Y1512" s="121"/>
      <c r="Z1512" s="121"/>
      <c r="AA1512" s="121"/>
      <c r="AB1512" s="121"/>
      <c r="AC1512" s="121"/>
      <c r="AD1512" s="121"/>
      <c r="AE1512" s="121"/>
      <c r="AF1512" s="36"/>
      <c r="AG1512" s="36"/>
      <c r="AH1512" s="36"/>
      <c r="AI1512" s="36"/>
      <c r="AJ1512" s="36"/>
    </row>
    <row r="1513" ht="15.75" customHeight="1">
      <c r="A1513" s="12"/>
      <c r="B1513" s="390"/>
      <c r="C1513" s="390"/>
      <c r="D1513" s="390"/>
      <c r="E1513" s="121"/>
      <c r="F1513" s="121"/>
      <c r="G1513" s="121"/>
      <c r="H1513" s="121"/>
      <c r="I1513" s="121"/>
      <c r="J1513" s="121"/>
      <c r="K1513" s="121"/>
      <c r="L1513" s="121"/>
      <c r="M1513" s="121"/>
      <c r="N1513" s="121"/>
      <c r="O1513" s="121"/>
      <c r="P1513" s="121"/>
      <c r="Q1513" s="121"/>
      <c r="R1513" s="121"/>
      <c r="S1513" s="121"/>
      <c r="T1513" s="121"/>
      <c r="U1513" s="121"/>
      <c r="V1513" s="121"/>
      <c r="W1513" s="121"/>
      <c r="X1513" s="121"/>
      <c r="Y1513" s="121"/>
      <c r="Z1513" s="121"/>
      <c r="AA1513" s="121"/>
      <c r="AB1513" s="121"/>
      <c r="AC1513" s="121"/>
      <c r="AD1513" s="121"/>
      <c r="AE1513" s="121"/>
      <c r="AF1513" s="36"/>
      <c r="AG1513" s="36"/>
      <c r="AH1513" s="36"/>
      <c r="AI1513" s="36"/>
      <c r="AJ1513" s="36"/>
    </row>
    <row r="1514" ht="15.75" customHeight="1">
      <c r="A1514" s="12"/>
      <c r="B1514" s="390"/>
      <c r="C1514" s="390"/>
      <c r="D1514" s="390"/>
      <c r="E1514" s="121"/>
      <c r="F1514" s="121"/>
      <c r="G1514" s="121"/>
      <c r="H1514" s="121"/>
      <c r="I1514" s="121"/>
      <c r="J1514" s="121"/>
      <c r="K1514" s="121"/>
      <c r="L1514" s="121"/>
      <c r="M1514" s="121"/>
      <c r="N1514" s="121"/>
      <c r="O1514" s="121"/>
      <c r="P1514" s="121"/>
      <c r="Q1514" s="121"/>
      <c r="R1514" s="121"/>
      <c r="S1514" s="121"/>
      <c r="T1514" s="121"/>
      <c r="U1514" s="121"/>
      <c r="V1514" s="121"/>
      <c r="W1514" s="121"/>
      <c r="X1514" s="121"/>
      <c r="Y1514" s="121"/>
      <c r="Z1514" s="121"/>
      <c r="AA1514" s="121"/>
      <c r="AB1514" s="121"/>
      <c r="AC1514" s="121"/>
      <c r="AD1514" s="121"/>
      <c r="AE1514" s="121"/>
      <c r="AF1514" s="36"/>
      <c r="AG1514" s="36"/>
      <c r="AH1514" s="36"/>
      <c r="AI1514" s="36"/>
      <c r="AJ1514" s="36"/>
    </row>
    <row r="1515" ht="15.75" customHeight="1">
      <c r="A1515" s="12"/>
      <c r="B1515" s="390"/>
      <c r="C1515" s="390"/>
      <c r="D1515" s="390"/>
      <c r="E1515" s="121"/>
      <c r="F1515" s="121"/>
      <c r="G1515" s="121"/>
      <c r="H1515" s="121"/>
      <c r="I1515" s="121"/>
      <c r="J1515" s="121"/>
      <c r="K1515" s="121"/>
      <c r="L1515" s="121"/>
      <c r="M1515" s="121"/>
      <c r="N1515" s="121"/>
      <c r="O1515" s="121"/>
      <c r="P1515" s="121"/>
      <c r="Q1515" s="121"/>
      <c r="R1515" s="121"/>
      <c r="S1515" s="121"/>
      <c r="T1515" s="121"/>
      <c r="U1515" s="121"/>
      <c r="V1515" s="121"/>
      <c r="W1515" s="121"/>
      <c r="X1515" s="121"/>
      <c r="Y1515" s="121"/>
      <c r="Z1515" s="121"/>
      <c r="AA1515" s="121"/>
      <c r="AB1515" s="121"/>
      <c r="AC1515" s="121"/>
      <c r="AD1515" s="121"/>
      <c r="AE1515" s="121"/>
      <c r="AF1515" s="36"/>
      <c r="AG1515" s="36"/>
      <c r="AH1515" s="36"/>
      <c r="AI1515" s="36"/>
      <c r="AJ1515" s="36"/>
    </row>
    <row r="1516" ht="15.75" customHeight="1">
      <c r="A1516" s="12"/>
      <c r="B1516" s="390"/>
      <c r="C1516" s="390"/>
      <c r="D1516" s="390"/>
      <c r="E1516" s="121"/>
      <c r="F1516" s="121"/>
      <c r="G1516" s="121"/>
      <c r="H1516" s="121"/>
      <c r="I1516" s="121"/>
      <c r="J1516" s="121"/>
      <c r="K1516" s="121"/>
      <c r="L1516" s="121"/>
      <c r="M1516" s="121"/>
      <c r="N1516" s="121"/>
      <c r="O1516" s="121"/>
      <c r="P1516" s="121"/>
      <c r="Q1516" s="121"/>
      <c r="R1516" s="121"/>
      <c r="S1516" s="121"/>
      <c r="T1516" s="121"/>
      <c r="U1516" s="121"/>
      <c r="V1516" s="121"/>
      <c r="W1516" s="121"/>
      <c r="X1516" s="121"/>
      <c r="Y1516" s="121"/>
      <c r="Z1516" s="121"/>
      <c r="AA1516" s="121"/>
      <c r="AB1516" s="121"/>
      <c r="AC1516" s="121"/>
      <c r="AD1516" s="121"/>
      <c r="AE1516" s="121"/>
      <c r="AF1516" s="36"/>
      <c r="AG1516" s="36"/>
      <c r="AH1516" s="36"/>
      <c r="AI1516" s="36"/>
      <c r="AJ1516" s="36"/>
    </row>
    <row r="1517" ht="15.75" customHeight="1">
      <c r="A1517" s="12"/>
      <c r="B1517" s="390"/>
      <c r="C1517" s="390"/>
      <c r="D1517" s="390"/>
      <c r="E1517" s="121"/>
      <c r="F1517" s="121"/>
      <c r="G1517" s="121"/>
      <c r="H1517" s="121"/>
      <c r="I1517" s="121"/>
      <c r="J1517" s="121"/>
      <c r="K1517" s="121"/>
      <c r="L1517" s="121"/>
      <c r="M1517" s="121"/>
      <c r="N1517" s="121"/>
      <c r="O1517" s="121"/>
      <c r="P1517" s="121"/>
      <c r="Q1517" s="121"/>
      <c r="R1517" s="121"/>
      <c r="S1517" s="121"/>
      <c r="T1517" s="121"/>
      <c r="U1517" s="121"/>
      <c r="V1517" s="121"/>
      <c r="W1517" s="121"/>
      <c r="X1517" s="121"/>
      <c r="Y1517" s="121"/>
      <c r="Z1517" s="121"/>
      <c r="AA1517" s="121"/>
      <c r="AB1517" s="121"/>
      <c r="AC1517" s="121"/>
      <c r="AD1517" s="121"/>
      <c r="AE1517" s="121"/>
      <c r="AF1517" s="36"/>
      <c r="AG1517" s="36"/>
      <c r="AH1517" s="36"/>
      <c r="AI1517" s="36"/>
      <c r="AJ1517" s="36"/>
    </row>
    <row r="1518" ht="15.75" customHeight="1">
      <c r="A1518" s="12"/>
      <c r="B1518" s="390"/>
      <c r="C1518" s="390"/>
      <c r="D1518" s="390"/>
      <c r="E1518" s="121"/>
      <c r="F1518" s="121"/>
      <c r="G1518" s="121"/>
      <c r="H1518" s="121"/>
      <c r="I1518" s="121"/>
      <c r="J1518" s="121"/>
      <c r="K1518" s="121"/>
      <c r="L1518" s="121"/>
      <c r="M1518" s="121"/>
      <c r="N1518" s="121"/>
      <c r="O1518" s="121"/>
      <c r="P1518" s="121"/>
      <c r="Q1518" s="121"/>
      <c r="R1518" s="121"/>
      <c r="S1518" s="121"/>
      <c r="T1518" s="121"/>
      <c r="U1518" s="121"/>
      <c r="V1518" s="121"/>
      <c r="W1518" s="121"/>
      <c r="X1518" s="121"/>
      <c r="Y1518" s="121"/>
      <c r="Z1518" s="121"/>
      <c r="AA1518" s="121"/>
      <c r="AB1518" s="121"/>
      <c r="AC1518" s="121"/>
      <c r="AD1518" s="121"/>
      <c r="AE1518" s="121"/>
      <c r="AF1518" s="36"/>
      <c r="AG1518" s="36"/>
      <c r="AH1518" s="36"/>
      <c r="AI1518" s="36"/>
      <c r="AJ1518" s="36"/>
    </row>
    <row r="1519" ht="15.75" customHeight="1">
      <c r="A1519" s="12"/>
      <c r="B1519" s="390"/>
      <c r="C1519" s="390"/>
      <c r="D1519" s="390"/>
      <c r="E1519" s="121"/>
      <c r="F1519" s="121"/>
      <c r="G1519" s="121"/>
      <c r="H1519" s="121"/>
      <c r="I1519" s="121"/>
      <c r="J1519" s="121"/>
      <c r="K1519" s="121"/>
      <c r="L1519" s="121"/>
      <c r="M1519" s="121"/>
      <c r="N1519" s="121"/>
      <c r="O1519" s="121"/>
      <c r="P1519" s="121"/>
      <c r="Q1519" s="121"/>
      <c r="R1519" s="121"/>
      <c r="S1519" s="121"/>
      <c r="T1519" s="121"/>
      <c r="U1519" s="121"/>
      <c r="V1519" s="121"/>
      <c r="W1519" s="121"/>
      <c r="X1519" s="121"/>
      <c r="Y1519" s="121"/>
      <c r="Z1519" s="121"/>
      <c r="AA1519" s="121"/>
      <c r="AB1519" s="121"/>
      <c r="AC1519" s="121"/>
      <c r="AD1519" s="121"/>
      <c r="AE1519" s="121"/>
      <c r="AF1519" s="36"/>
      <c r="AG1519" s="36"/>
      <c r="AH1519" s="36"/>
      <c r="AI1519" s="36"/>
      <c r="AJ1519" s="36"/>
    </row>
    <row r="1520" ht="15.75" customHeight="1">
      <c r="A1520" s="12"/>
      <c r="B1520" s="390"/>
      <c r="C1520" s="390"/>
      <c r="D1520" s="390"/>
      <c r="E1520" s="121"/>
      <c r="F1520" s="121"/>
      <c r="G1520" s="121"/>
      <c r="H1520" s="121"/>
      <c r="I1520" s="121"/>
      <c r="J1520" s="121"/>
      <c r="K1520" s="121"/>
      <c r="L1520" s="121"/>
      <c r="M1520" s="121"/>
      <c r="N1520" s="121"/>
      <c r="O1520" s="121"/>
      <c r="P1520" s="121"/>
      <c r="Q1520" s="121"/>
      <c r="R1520" s="121"/>
      <c r="S1520" s="121"/>
      <c r="T1520" s="121"/>
      <c r="U1520" s="121"/>
      <c r="V1520" s="121"/>
      <c r="W1520" s="121"/>
      <c r="X1520" s="121"/>
      <c r="Y1520" s="121"/>
      <c r="Z1520" s="121"/>
      <c r="AA1520" s="121"/>
      <c r="AB1520" s="121"/>
      <c r="AC1520" s="121"/>
      <c r="AD1520" s="121"/>
      <c r="AE1520" s="121"/>
      <c r="AF1520" s="36"/>
      <c r="AG1520" s="36"/>
      <c r="AH1520" s="36"/>
      <c r="AI1520" s="36"/>
      <c r="AJ1520" s="36"/>
    </row>
    <row r="1521" ht="15.75" customHeight="1">
      <c r="A1521" s="12"/>
      <c r="B1521" s="390"/>
      <c r="C1521" s="390"/>
      <c r="D1521" s="390"/>
      <c r="E1521" s="121"/>
      <c r="F1521" s="121"/>
      <c r="G1521" s="121"/>
      <c r="H1521" s="121"/>
      <c r="I1521" s="121"/>
      <c r="J1521" s="121"/>
      <c r="K1521" s="121"/>
      <c r="L1521" s="121"/>
      <c r="M1521" s="121"/>
      <c r="N1521" s="121"/>
      <c r="O1521" s="121"/>
      <c r="P1521" s="121"/>
      <c r="Q1521" s="121"/>
      <c r="R1521" s="121"/>
      <c r="S1521" s="121"/>
      <c r="T1521" s="121"/>
      <c r="U1521" s="121"/>
      <c r="V1521" s="121"/>
      <c r="W1521" s="121"/>
      <c r="X1521" s="121"/>
      <c r="Y1521" s="121"/>
      <c r="Z1521" s="121"/>
      <c r="AA1521" s="121"/>
      <c r="AB1521" s="121"/>
      <c r="AC1521" s="121"/>
      <c r="AD1521" s="121"/>
      <c r="AE1521" s="121"/>
      <c r="AF1521" s="36"/>
      <c r="AG1521" s="36"/>
      <c r="AH1521" s="36"/>
      <c r="AI1521" s="36"/>
      <c r="AJ1521" s="36"/>
    </row>
    <row r="1522" ht="15.75" customHeight="1">
      <c r="A1522" s="12"/>
      <c r="B1522" s="390"/>
      <c r="C1522" s="390"/>
      <c r="D1522" s="390"/>
      <c r="E1522" s="121"/>
      <c r="F1522" s="121"/>
      <c r="G1522" s="121"/>
      <c r="H1522" s="121"/>
      <c r="I1522" s="121"/>
      <c r="J1522" s="121"/>
      <c r="K1522" s="121"/>
      <c r="L1522" s="121"/>
      <c r="M1522" s="121"/>
      <c r="N1522" s="121"/>
      <c r="O1522" s="121"/>
      <c r="P1522" s="121"/>
      <c r="Q1522" s="121"/>
      <c r="R1522" s="121"/>
      <c r="S1522" s="121"/>
      <c r="T1522" s="121"/>
      <c r="U1522" s="121"/>
      <c r="V1522" s="121"/>
      <c r="W1522" s="121"/>
      <c r="X1522" s="121"/>
      <c r="Y1522" s="121"/>
      <c r="Z1522" s="121"/>
      <c r="AA1522" s="121"/>
      <c r="AB1522" s="121"/>
      <c r="AC1522" s="121"/>
      <c r="AD1522" s="121"/>
      <c r="AE1522" s="121"/>
      <c r="AF1522" s="36"/>
      <c r="AG1522" s="36"/>
      <c r="AH1522" s="36"/>
      <c r="AI1522" s="36"/>
      <c r="AJ1522" s="36"/>
    </row>
    <row r="1523" ht="15.75" customHeight="1">
      <c r="A1523" s="12"/>
      <c r="B1523" s="390"/>
      <c r="C1523" s="390"/>
      <c r="D1523" s="390"/>
      <c r="E1523" s="121"/>
      <c r="F1523" s="121"/>
      <c r="G1523" s="121"/>
      <c r="H1523" s="121"/>
      <c r="I1523" s="121"/>
      <c r="J1523" s="121"/>
      <c r="K1523" s="121"/>
      <c r="L1523" s="121"/>
      <c r="M1523" s="121"/>
      <c r="N1523" s="121"/>
      <c r="O1523" s="121"/>
      <c r="P1523" s="121"/>
      <c r="Q1523" s="121"/>
      <c r="R1523" s="121"/>
      <c r="S1523" s="121"/>
      <c r="T1523" s="121"/>
      <c r="U1523" s="121"/>
      <c r="V1523" s="121"/>
      <c r="W1523" s="121"/>
      <c r="X1523" s="121"/>
      <c r="Y1523" s="121"/>
      <c r="Z1523" s="121"/>
      <c r="AA1523" s="121"/>
      <c r="AB1523" s="121"/>
      <c r="AC1523" s="121"/>
      <c r="AD1523" s="121"/>
      <c r="AE1523" s="121"/>
      <c r="AF1523" s="36"/>
      <c r="AG1523" s="36"/>
      <c r="AH1523" s="36"/>
      <c r="AI1523" s="36"/>
      <c r="AJ1523" s="36"/>
    </row>
    <row r="1524" ht="15.75" customHeight="1">
      <c r="A1524" s="12"/>
      <c r="B1524" s="390"/>
      <c r="C1524" s="390"/>
      <c r="D1524" s="390"/>
      <c r="E1524" s="121"/>
      <c r="F1524" s="121"/>
      <c r="G1524" s="121"/>
      <c r="H1524" s="121"/>
      <c r="I1524" s="121"/>
      <c r="J1524" s="121"/>
      <c r="K1524" s="121"/>
      <c r="L1524" s="121"/>
      <c r="M1524" s="121"/>
      <c r="N1524" s="121"/>
      <c r="O1524" s="121"/>
      <c r="P1524" s="121"/>
      <c r="Q1524" s="121"/>
      <c r="R1524" s="121"/>
      <c r="S1524" s="121"/>
      <c r="T1524" s="121"/>
      <c r="U1524" s="121"/>
      <c r="V1524" s="121"/>
      <c r="W1524" s="121"/>
      <c r="X1524" s="121"/>
      <c r="Y1524" s="121"/>
      <c r="Z1524" s="121"/>
      <c r="AA1524" s="121"/>
      <c r="AB1524" s="121"/>
      <c r="AC1524" s="121"/>
      <c r="AD1524" s="121"/>
      <c r="AE1524" s="121"/>
      <c r="AF1524" s="36"/>
      <c r="AG1524" s="36"/>
      <c r="AH1524" s="36"/>
      <c r="AI1524" s="36"/>
      <c r="AJ1524" s="36"/>
    </row>
    <row r="1525" ht="15.75" customHeight="1">
      <c r="A1525" s="12"/>
      <c r="B1525" s="390"/>
      <c r="C1525" s="390"/>
      <c r="D1525" s="390"/>
      <c r="E1525" s="121"/>
      <c r="F1525" s="121"/>
      <c r="G1525" s="121"/>
      <c r="H1525" s="121"/>
      <c r="I1525" s="121"/>
      <c r="J1525" s="121"/>
      <c r="K1525" s="121"/>
      <c r="L1525" s="121"/>
      <c r="M1525" s="121"/>
      <c r="N1525" s="121"/>
      <c r="O1525" s="121"/>
      <c r="P1525" s="121"/>
      <c r="Q1525" s="121"/>
      <c r="R1525" s="121"/>
      <c r="S1525" s="121"/>
      <c r="T1525" s="121"/>
      <c r="U1525" s="121"/>
      <c r="V1525" s="121"/>
      <c r="W1525" s="121"/>
      <c r="X1525" s="121"/>
      <c r="Y1525" s="121"/>
      <c r="Z1525" s="121"/>
      <c r="AA1525" s="121"/>
      <c r="AB1525" s="121"/>
      <c r="AC1525" s="121"/>
      <c r="AD1525" s="121"/>
      <c r="AE1525" s="121"/>
      <c r="AF1525" s="36"/>
      <c r="AG1525" s="36"/>
      <c r="AH1525" s="36"/>
      <c r="AI1525" s="36"/>
      <c r="AJ1525" s="36"/>
    </row>
    <row r="1526" ht="15.75" customHeight="1">
      <c r="A1526" s="12"/>
      <c r="B1526" s="390"/>
      <c r="C1526" s="390"/>
      <c r="D1526" s="390"/>
      <c r="E1526" s="121"/>
      <c r="F1526" s="121"/>
      <c r="G1526" s="121"/>
      <c r="H1526" s="121"/>
      <c r="I1526" s="121"/>
      <c r="J1526" s="121"/>
      <c r="K1526" s="121"/>
      <c r="L1526" s="121"/>
      <c r="M1526" s="121"/>
      <c r="N1526" s="121"/>
      <c r="O1526" s="121"/>
      <c r="P1526" s="121"/>
      <c r="Q1526" s="121"/>
      <c r="R1526" s="121"/>
      <c r="S1526" s="121"/>
      <c r="T1526" s="121"/>
      <c r="U1526" s="121"/>
      <c r="V1526" s="121"/>
      <c r="W1526" s="121"/>
      <c r="X1526" s="121"/>
      <c r="Y1526" s="121"/>
      <c r="Z1526" s="121"/>
      <c r="AA1526" s="121"/>
      <c r="AB1526" s="121"/>
      <c r="AC1526" s="121"/>
      <c r="AD1526" s="121"/>
      <c r="AE1526" s="121"/>
      <c r="AF1526" s="36"/>
      <c r="AG1526" s="36"/>
      <c r="AH1526" s="36"/>
      <c r="AI1526" s="36"/>
      <c r="AJ1526" s="36"/>
    </row>
    <row r="1527" ht="15.75" customHeight="1">
      <c r="A1527" s="12"/>
      <c r="B1527" s="390"/>
      <c r="C1527" s="390"/>
      <c r="D1527" s="390"/>
      <c r="E1527" s="121"/>
      <c r="F1527" s="121"/>
      <c r="G1527" s="121"/>
      <c r="H1527" s="121"/>
      <c r="I1527" s="121"/>
      <c r="J1527" s="121"/>
      <c r="K1527" s="121"/>
      <c r="L1527" s="121"/>
      <c r="M1527" s="121"/>
      <c r="N1527" s="121"/>
      <c r="O1527" s="121"/>
      <c r="P1527" s="121"/>
      <c r="Q1527" s="121"/>
      <c r="R1527" s="121"/>
      <c r="S1527" s="121"/>
      <c r="T1527" s="121"/>
      <c r="U1527" s="121"/>
      <c r="V1527" s="121"/>
      <c r="W1527" s="121"/>
      <c r="X1527" s="121"/>
      <c r="Y1527" s="121"/>
      <c r="Z1527" s="121"/>
      <c r="AA1527" s="121"/>
      <c r="AB1527" s="121"/>
      <c r="AC1527" s="121"/>
      <c r="AD1527" s="121"/>
      <c r="AE1527" s="121"/>
      <c r="AF1527" s="36"/>
      <c r="AG1527" s="36"/>
      <c r="AH1527" s="36"/>
      <c r="AI1527" s="36"/>
      <c r="AJ1527" s="36"/>
    </row>
    <row r="1528" ht="15.75" customHeight="1">
      <c r="A1528" s="12"/>
      <c r="B1528" s="390"/>
      <c r="C1528" s="390"/>
      <c r="D1528" s="390"/>
      <c r="E1528" s="121"/>
      <c r="F1528" s="121"/>
      <c r="G1528" s="121"/>
      <c r="H1528" s="121"/>
      <c r="I1528" s="121"/>
      <c r="J1528" s="121"/>
      <c r="K1528" s="121"/>
      <c r="L1528" s="121"/>
      <c r="M1528" s="121"/>
      <c r="N1528" s="121"/>
      <c r="O1528" s="121"/>
      <c r="P1528" s="121"/>
      <c r="Q1528" s="121"/>
      <c r="R1528" s="121"/>
      <c r="S1528" s="121"/>
      <c r="T1528" s="121"/>
      <c r="U1528" s="121"/>
      <c r="V1528" s="121"/>
      <c r="W1528" s="121"/>
      <c r="X1528" s="121"/>
      <c r="Y1528" s="121"/>
      <c r="Z1528" s="121"/>
      <c r="AA1528" s="121"/>
      <c r="AB1528" s="121"/>
      <c r="AC1528" s="121"/>
      <c r="AD1528" s="121"/>
      <c r="AE1528" s="121"/>
      <c r="AF1528" s="36"/>
      <c r="AG1528" s="36"/>
      <c r="AH1528" s="36"/>
      <c r="AI1528" s="36"/>
      <c r="AJ1528" s="36"/>
    </row>
    <row r="1529" ht="15.75" customHeight="1">
      <c r="A1529" s="12"/>
      <c r="B1529" s="390"/>
      <c r="C1529" s="390"/>
      <c r="D1529" s="390"/>
      <c r="E1529" s="121"/>
      <c r="F1529" s="121"/>
      <c r="G1529" s="121"/>
      <c r="H1529" s="121"/>
      <c r="I1529" s="121"/>
      <c r="J1529" s="121"/>
      <c r="K1529" s="121"/>
      <c r="L1529" s="121"/>
      <c r="M1529" s="121"/>
      <c r="N1529" s="121"/>
      <c r="O1529" s="121"/>
      <c r="P1529" s="121"/>
      <c r="Q1529" s="121"/>
      <c r="R1529" s="121"/>
      <c r="S1529" s="121"/>
      <c r="T1529" s="121"/>
      <c r="U1529" s="121"/>
      <c r="V1529" s="121"/>
      <c r="W1529" s="121"/>
      <c r="X1529" s="121"/>
      <c r="Y1529" s="121"/>
      <c r="Z1529" s="121"/>
      <c r="AA1529" s="121"/>
      <c r="AB1529" s="121"/>
      <c r="AC1529" s="121"/>
      <c r="AD1529" s="121"/>
      <c r="AE1529" s="121"/>
      <c r="AF1529" s="36"/>
      <c r="AG1529" s="36"/>
      <c r="AH1529" s="36"/>
      <c r="AI1529" s="36"/>
      <c r="AJ1529" s="36"/>
    </row>
    <row r="1530" ht="15.75" customHeight="1">
      <c r="A1530" s="12"/>
      <c r="B1530" s="390"/>
      <c r="C1530" s="390"/>
      <c r="D1530" s="390"/>
      <c r="E1530" s="121"/>
      <c r="F1530" s="121"/>
      <c r="G1530" s="121"/>
      <c r="H1530" s="121"/>
      <c r="I1530" s="121"/>
      <c r="J1530" s="121"/>
      <c r="K1530" s="121"/>
      <c r="L1530" s="121"/>
      <c r="M1530" s="121"/>
      <c r="N1530" s="121"/>
      <c r="O1530" s="121"/>
      <c r="P1530" s="121"/>
      <c r="Q1530" s="121"/>
      <c r="R1530" s="121"/>
      <c r="S1530" s="121"/>
      <c r="T1530" s="121"/>
      <c r="U1530" s="121"/>
      <c r="V1530" s="121"/>
      <c r="W1530" s="121"/>
      <c r="X1530" s="121"/>
      <c r="Y1530" s="121"/>
      <c r="Z1530" s="121"/>
      <c r="AA1530" s="121"/>
      <c r="AB1530" s="121"/>
      <c r="AC1530" s="121"/>
      <c r="AD1530" s="121"/>
      <c r="AE1530" s="121"/>
      <c r="AF1530" s="36"/>
      <c r="AG1530" s="36"/>
      <c r="AH1530" s="36"/>
      <c r="AI1530" s="36"/>
      <c r="AJ1530" s="36"/>
    </row>
    <row r="1531" ht="15.75" customHeight="1">
      <c r="A1531" s="12"/>
      <c r="B1531" s="390"/>
      <c r="C1531" s="390"/>
      <c r="D1531" s="390"/>
      <c r="E1531" s="121"/>
      <c r="F1531" s="121"/>
      <c r="G1531" s="121"/>
      <c r="H1531" s="121"/>
      <c r="I1531" s="121"/>
      <c r="J1531" s="121"/>
      <c r="K1531" s="121"/>
      <c r="L1531" s="121"/>
      <c r="M1531" s="121"/>
      <c r="N1531" s="121"/>
      <c r="O1531" s="121"/>
      <c r="P1531" s="121"/>
      <c r="Q1531" s="121"/>
      <c r="R1531" s="121"/>
      <c r="S1531" s="121"/>
      <c r="T1531" s="121"/>
      <c r="U1531" s="121"/>
      <c r="V1531" s="121"/>
      <c r="W1531" s="121"/>
      <c r="X1531" s="121"/>
      <c r="Y1531" s="121"/>
      <c r="Z1531" s="121"/>
      <c r="AA1531" s="121"/>
      <c r="AB1531" s="121"/>
      <c r="AC1531" s="121"/>
      <c r="AD1531" s="121"/>
      <c r="AE1531" s="121"/>
      <c r="AF1531" s="36"/>
      <c r="AG1531" s="36"/>
      <c r="AH1531" s="36"/>
      <c r="AI1531" s="36"/>
      <c r="AJ1531" s="36"/>
    </row>
    <row r="1532" ht="15.75" customHeight="1">
      <c r="A1532" s="12"/>
      <c r="B1532" s="390"/>
      <c r="C1532" s="390"/>
      <c r="D1532" s="390"/>
      <c r="E1532" s="121"/>
      <c r="F1532" s="121"/>
      <c r="G1532" s="121"/>
      <c r="H1532" s="121"/>
      <c r="I1532" s="121"/>
      <c r="J1532" s="121"/>
      <c r="K1532" s="121"/>
      <c r="L1532" s="121"/>
      <c r="M1532" s="121"/>
      <c r="N1532" s="121"/>
      <c r="O1532" s="121"/>
      <c r="P1532" s="121"/>
      <c r="Q1532" s="121"/>
      <c r="R1532" s="121"/>
      <c r="S1532" s="121"/>
      <c r="T1532" s="121"/>
      <c r="U1532" s="121"/>
      <c r="V1532" s="121"/>
      <c r="W1532" s="121"/>
      <c r="X1532" s="121"/>
      <c r="Y1532" s="121"/>
      <c r="Z1532" s="121"/>
      <c r="AA1532" s="121"/>
      <c r="AB1532" s="121"/>
      <c r="AC1532" s="121"/>
      <c r="AD1532" s="121"/>
      <c r="AE1532" s="121"/>
      <c r="AF1532" s="36"/>
      <c r="AG1532" s="36"/>
      <c r="AH1532" s="36"/>
      <c r="AI1532" s="36"/>
      <c r="AJ1532" s="36"/>
    </row>
    <row r="1533" ht="15.75" customHeight="1">
      <c r="A1533" s="12"/>
      <c r="B1533" s="390"/>
      <c r="C1533" s="390"/>
      <c r="D1533" s="390"/>
      <c r="E1533" s="121"/>
      <c r="F1533" s="121"/>
      <c r="G1533" s="121"/>
      <c r="H1533" s="121"/>
      <c r="I1533" s="121"/>
      <c r="J1533" s="121"/>
      <c r="K1533" s="121"/>
      <c r="L1533" s="121"/>
      <c r="M1533" s="121"/>
      <c r="N1533" s="121"/>
      <c r="O1533" s="121"/>
      <c r="P1533" s="121"/>
      <c r="Q1533" s="121"/>
      <c r="R1533" s="121"/>
      <c r="S1533" s="121"/>
      <c r="T1533" s="121"/>
      <c r="U1533" s="121"/>
      <c r="V1533" s="121"/>
      <c r="W1533" s="121"/>
      <c r="X1533" s="121"/>
      <c r="Y1533" s="121"/>
      <c r="Z1533" s="121"/>
      <c r="AA1533" s="121"/>
      <c r="AB1533" s="121"/>
      <c r="AC1533" s="121"/>
      <c r="AD1533" s="121"/>
      <c r="AE1533" s="121"/>
      <c r="AF1533" s="36"/>
      <c r="AG1533" s="36"/>
      <c r="AH1533" s="36"/>
      <c r="AI1533" s="36"/>
      <c r="AJ1533" s="36"/>
    </row>
    <row r="1534" ht="15.75" customHeight="1">
      <c r="A1534" s="12"/>
      <c r="B1534" s="390"/>
      <c r="C1534" s="390"/>
      <c r="D1534" s="390"/>
      <c r="E1534" s="121"/>
      <c r="F1534" s="121"/>
      <c r="G1534" s="121"/>
      <c r="H1534" s="121"/>
      <c r="I1534" s="121"/>
      <c r="J1534" s="121"/>
      <c r="K1534" s="121"/>
      <c r="L1534" s="121"/>
      <c r="M1534" s="121"/>
      <c r="N1534" s="121"/>
      <c r="O1534" s="121"/>
      <c r="P1534" s="121"/>
      <c r="Q1534" s="121"/>
      <c r="R1534" s="121"/>
      <c r="S1534" s="121"/>
      <c r="T1534" s="121"/>
      <c r="U1534" s="121"/>
      <c r="V1534" s="121"/>
      <c r="W1534" s="121"/>
      <c r="X1534" s="121"/>
      <c r="Y1534" s="121"/>
      <c r="Z1534" s="121"/>
      <c r="AA1534" s="121"/>
      <c r="AB1534" s="121"/>
      <c r="AC1534" s="121"/>
      <c r="AD1534" s="121"/>
      <c r="AE1534" s="121"/>
      <c r="AF1534" s="36"/>
      <c r="AG1534" s="36"/>
      <c r="AH1534" s="36"/>
      <c r="AI1534" s="36"/>
      <c r="AJ1534" s="36"/>
    </row>
    <row r="1535" ht="15.75" customHeight="1">
      <c r="A1535" s="12"/>
      <c r="B1535" s="390"/>
      <c r="C1535" s="390"/>
      <c r="D1535" s="390"/>
      <c r="E1535" s="121"/>
      <c r="F1535" s="121"/>
      <c r="G1535" s="121"/>
      <c r="H1535" s="121"/>
      <c r="I1535" s="121"/>
      <c r="J1535" s="121"/>
      <c r="K1535" s="121"/>
      <c r="L1535" s="121"/>
      <c r="M1535" s="121"/>
      <c r="N1535" s="121"/>
      <c r="O1535" s="121"/>
      <c r="P1535" s="121"/>
      <c r="Q1535" s="121"/>
      <c r="R1535" s="121"/>
      <c r="S1535" s="121"/>
      <c r="T1535" s="121"/>
      <c r="U1535" s="121"/>
      <c r="V1535" s="121"/>
      <c r="W1535" s="121"/>
      <c r="X1535" s="121"/>
      <c r="Y1535" s="121"/>
      <c r="Z1535" s="121"/>
      <c r="AA1535" s="121"/>
      <c r="AB1535" s="121"/>
      <c r="AC1535" s="121"/>
      <c r="AD1535" s="121"/>
      <c r="AE1535" s="121"/>
      <c r="AF1535" s="36"/>
      <c r="AG1535" s="36"/>
      <c r="AH1535" s="36"/>
      <c r="AI1535" s="36"/>
      <c r="AJ1535" s="36"/>
    </row>
    <row r="1536" ht="15.75" customHeight="1">
      <c r="A1536" s="12"/>
      <c r="B1536" s="390"/>
      <c r="C1536" s="390"/>
      <c r="D1536" s="390"/>
      <c r="E1536" s="121"/>
      <c r="F1536" s="121"/>
      <c r="G1536" s="121"/>
      <c r="H1536" s="121"/>
      <c r="I1536" s="121"/>
      <c r="J1536" s="121"/>
      <c r="K1536" s="121"/>
      <c r="L1536" s="121"/>
      <c r="M1536" s="121"/>
      <c r="N1536" s="121"/>
      <c r="O1536" s="121"/>
      <c r="P1536" s="121"/>
      <c r="Q1536" s="121"/>
      <c r="R1536" s="121"/>
      <c r="S1536" s="121"/>
      <c r="T1536" s="121"/>
      <c r="U1536" s="121"/>
      <c r="V1536" s="121"/>
      <c r="W1536" s="121"/>
      <c r="X1536" s="121"/>
      <c r="Y1536" s="121"/>
      <c r="Z1536" s="121"/>
      <c r="AA1536" s="121"/>
      <c r="AB1536" s="121"/>
      <c r="AC1536" s="121"/>
      <c r="AD1536" s="121"/>
      <c r="AE1536" s="121"/>
      <c r="AF1536" s="36"/>
      <c r="AG1536" s="36"/>
      <c r="AH1536" s="36"/>
      <c r="AI1536" s="36"/>
      <c r="AJ1536" s="36"/>
    </row>
    <row r="1537" ht="15.75" customHeight="1">
      <c r="A1537" s="12"/>
      <c r="B1537" s="390"/>
      <c r="C1537" s="390"/>
      <c r="D1537" s="390"/>
      <c r="E1537" s="121"/>
      <c r="F1537" s="121"/>
      <c r="G1537" s="121"/>
      <c r="H1537" s="121"/>
      <c r="I1537" s="121"/>
      <c r="J1537" s="121"/>
      <c r="K1537" s="121"/>
      <c r="L1537" s="121"/>
      <c r="M1537" s="121"/>
      <c r="N1537" s="121"/>
      <c r="O1537" s="121"/>
      <c r="P1537" s="121"/>
      <c r="Q1537" s="121"/>
      <c r="R1537" s="121"/>
      <c r="S1537" s="121"/>
      <c r="T1537" s="121"/>
      <c r="U1537" s="121"/>
      <c r="V1537" s="121"/>
      <c r="W1537" s="121"/>
      <c r="X1537" s="121"/>
      <c r="Y1537" s="121"/>
      <c r="Z1537" s="121"/>
      <c r="AA1537" s="121"/>
      <c r="AB1537" s="121"/>
      <c r="AC1537" s="121"/>
      <c r="AD1537" s="121"/>
      <c r="AE1537" s="121"/>
      <c r="AF1537" s="36"/>
      <c r="AG1537" s="36"/>
      <c r="AH1537" s="36"/>
      <c r="AI1537" s="36"/>
      <c r="AJ1537" s="36"/>
    </row>
    <row r="1538" ht="15.75" customHeight="1">
      <c r="A1538" s="12"/>
      <c r="B1538" s="390"/>
      <c r="C1538" s="390"/>
      <c r="D1538" s="390"/>
      <c r="E1538" s="121"/>
      <c r="F1538" s="121"/>
      <c r="G1538" s="121"/>
      <c r="H1538" s="121"/>
      <c r="I1538" s="121"/>
      <c r="J1538" s="121"/>
      <c r="K1538" s="121"/>
      <c r="L1538" s="121"/>
      <c r="M1538" s="121"/>
      <c r="N1538" s="121"/>
      <c r="O1538" s="121"/>
      <c r="P1538" s="121"/>
      <c r="Q1538" s="121"/>
      <c r="R1538" s="121"/>
      <c r="S1538" s="121"/>
      <c r="T1538" s="121"/>
      <c r="U1538" s="121"/>
      <c r="V1538" s="121"/>
      <c r="W1538" s="121"/>
      <c r="X1538" s="121"/>
      <c r="Y1538" s="121"/>
      <c r="Z1538" s="121"/>
      <c r="AA1538" s="121"/>
      <c r="AB1538" s="121"/>
      <c r="AC1538" s="121"/>
      <c r="AD1538" s="121"/>
      <c r="AE1538" s="121"/>
      <c r="AF1538" s="36"/>
      <c r="AG1538" s="36"/>
      <c r="AH1538" s="36"/>
      <c r="AI1538" s="36"/>
      <c r="AJ1538" s="36"/>
    </row>
    <row r="1539" ht="15.75" customHeight="1">
      <c r="A1539" s="12"/>
      <c r="B1539" s="390"/>
      <c r="C1539" s="390"/>
      <c r="D1539" s="390"/>
      <c r="E1539" s="121"/>
      <c r="F1539" s="121"/>
      <c r="G1539" s="121"/>
      <c r="H1539" s="121"/>
      <c r="I1539" s="121"/>
      <c r="J1539" s="121"/>
      <c r="K1539" s="121"/>
      <c r="L1539" s="121"/>
      <c r="M1539" s="121"/>
      <c r="N1539" s="121"/>
      <c r="O1539" s="121"/>
      <c r="P1539" s="121"/>
      <c r="Q1539" s="121"/>
      <c r="R1539" s="121"/>
      <c r="S1539" s="121"/>
      <c r="T1539" s="121"/>
      <c r="U1539" s="121"/>
      <c r="V1539" s="121"/>
      <c r="W1539" s="121"/>
      <c r="X1539" s="121"/>
      <c r="Y1539" s="121"/>
      <c r="Z1539" s="121"/>
      <c r="AA1539" s="121"/>
      <c r="AB1539" s="121"/>
      <c r="AC1539" s="121"/>
      <c r="AD1539" s="121"/>
      <c r="AE1539" s="121"/>
      <c r="AF1539" s="36"/>
      <c r="AG1539" s="36"/>
      <c r="AH1539" s="36"/>
      <c r="AI1539" s="36"/>
      <c r="AJ1539" s="36"/>
    </row>
    <row r="1540" ht="15.75" customHeight="1">
      <c r="A1540" s="12"/>
      <c r="B1540" s="390"/>
      <c r="C1540" s="390"/>
      <c r="D1540" s="390"/>
      <c r="E1540" s="121"/>
      <c r="F1540" s="121"/>
      <c r="G1540" s="121"/>
      <c r="H1540" s="121"/>
      <c r="I1540" s="121"/>
      <c r="J1540" s="121"/>
      <c r="K1540" s="121"/>
      <c r="L1540" s="121"/>
      <c r="M1540" s="121"/>
      <c r="N1540" s="121"/>
      <c r="O1540" s="121"/>
      <c r="P1540" s="121"/>
      <c r="Q1540" s="121"/>
      <c r="R1540" s="121"/>
      <c r="S1540" s="121"/>
      <c r="T1540" s="121"/>
      <c r="U1540" s="121"/>
      <c r="V1540" s="121"/>
      <c r="W1540" s="121"/>
      <c r="X1540" s="121"/>
      <c r="Y1540" s="121"/>
      <c r="Z1540" s="121"/>
      <c r="AA1540" s="121"/>
      <c r="AB1540" s="121"/>
      <c r="AC1540" s="121"/>
      <c r="AD1540" s="121"/>
      <c r="AE1540" s="121"/>
      <c r="AF1540" s="36"/>
      <c r="AG1540" s="36"/>
      <c r="AH1540" s="36"/>
      <c r="AI1540" s="36"/>
      <c r="AJ1540" s="36"/>
    </row>
    <row r="1541" ht="15.75" customHeight="1">
      <c r="A1541" s="12"/>
      <c r="B1541" s="390"/>
      <c r="C1541" s="390"/>
      <c r="D1541" s="390"/>
      <c r="E1541" s="121"/>
      <c r="F1541" s="121"/>
      <c r="G1541" s="121"/>
      <c r="H1541" s="121"/>
      <c r="I1541" s="121"/>
      <c r="J1541" s="121"/>
      <c r="K1541" s="121"/>
      <c r="L1541" s="121"/>
      <c r="M1541" s="121"/>
      <c r="N1541" s="121"/>
      <c r="O1541" s="121"/>
      <c r="P1541" s="121"/>
      <c r="Q1541" s="121"/>
      <c r="R1541" s="121"/>
      <c r="S1541" s="121"/>
      <c r="T1541" s="121"/>
      <c r="U1541" s="121"/>
      <c r="V1541" s="121"/>
      <c r="W1541" s="121"/>
      <c r="X1541" s="121"/>
      <c r="Y1541" s="121"/>
      <c r="Z1541" s="121"/>
      <c r="AA1541" s="121"/>
      <c r="AB1541" s="121"/>
      <c r="AC1541" s="121"/>
      <c r="AD1541" s="121"/>
      <c r="AE1541" s="121"/>
      <c r="AF1541" s="36"/>
      <c r="AG1541" s="36"/>
      <c r="AH1541" s="36"/>
      <c r="AI1541" s="36"/>
      <c r="AJ1541" s="36"/>
    </row>
    <row r="1542" ht="15.75" customHeight="1">
      <c r="A1542" s="12"/>
      <c r="B1542" s="390"/>
      <c r="C1542" s="390"/>
      <c r="D1542" s="390"/>
      <c r="E1542" s="121"/>
      <c r="F1542" s="121"/>
      <c r="G1542" s="121"/>
      <c r="H1542" s="121"/>
      <c r="I1542" s="121"/>
      <c r="J1542" s="121"/>
      <c r="K1542" s="121"/>
      <c r="L1542" s="121"/>
      <c r="M1542" s="121"/>
      <c r="N1542" s="121"/>
      <c r="O1542" s="121"/>
      <c r="P1542" s="121"/>
      <c r="Q1542" s="121"/>
      <c r="R1542" s="121"/>
      <c r="S1542" s="121"/>
      <c r="T1542" s="121"/>
      <c r="U1542" s="121"/>
      <c r="V1542" s="121"/>
      <c r="W1542" s="121"/>
      <c r="X1542" s="121"/>
      <c r="Y1542" s="121"/>
      <c r="Z1542" s="121"/>
      <c r="AA1542" s="121"/>
      <c r="AB1542" s="121"/>
      <c r="AC1542" s="121"/>
      <c r="AD1542" s="121"/>
      <c r="AE1542" s="121"/>
      <c r="AF1542" s="36"/>
      <c r="AG1542" s="36"/>
      <c r="AH1542" s="36"/>
      <c r="AI1542" s="36"/>
      <c r="AJ1542" s="36"/>
    </row>
    <row r="1543" ht="15.75" customHeight="1">
      <c r="A1543" s="12"/>
      <c r="B1543" s="390"/>
      <c r="C1543" s="390"/>
      <c r="D1543" s="390"/>
      <c r="E1543" s="121"/>
      <c r="F1543" s="121"/>
      <c r="G1543" s="121"/>
      <c r="H1543" s="121"/>
      <c r="I1543" s="121"/>
      <c r="J1543" s="121"/>
      <c r="K1543" s="121"/>
      <c r="L1543" s="121"/>
      <c r="M1543" s="121"/>
      <c r="N1543" s="121"/>
      <c r="O1543" s="121"/>
      <c r="P1543" s="121"/>
      <c r="Q1543" s="121"/>
      <c r="R1543" s="121"/>
      <c r="S1543" s="121"/>
      <c r="T1543" s="121"/>
      <c r="U1543" s="121"/>
      <c r="V1543" s="121"/>
      <c r="W1543" s="121"/>
      <c r="X1543" s="121"/>
      <c r="Y1543" s="121"/>
      <c r="Z1543" s="121"/>
      <c r="AA1543" s="121"/>
      <c r="AB1543" s="121"/>
      <c r="AC1543" s="121"/>
      <c r="AD1543" s="121"/>
      <c r="AE1543" s="121"/>
      <c r="AF1543" s="36"/>
      <c r="AG1543" s="36"/>
      <c r="AH1543" s="36"/>
      <c r="AI1543" s="36"/>
      <c r="AJ1543" s="36"/>
    </row>
    <row r="1544" ht="15.75" customHeight="1">
      <c r="A1544" s="12"/>
      <c r="B1544" s="390"/>
      <c r="C1544" s="390"/>
      <c r="D1544" s="390"/>
      <c r="E1544" s="121"/>
      <c r="F1544" s="121"/>
      <c r="G1544" s="121"/>
      <c r="H1544" s="121"/>
      <c r="I1544" s="121"/>
      <c r="J1544" s="121"/>
      <c r="K1544" s="121"/>
      <c r="L1544" s="121"/>
      <c r="M1544" s="121"/>
      <c r="N1544" s="121"/>
      <c r="O1544" s="121"/>
      <c r="P1544" s="121"/>
      <c r="Q1544" s="121"/>
      <c r="R1544" s="121"/>
      <c r="S1544" s="121"/>
      <c r="T1544" s="121"/>
      <c r="U1544" s="121"/>
      <c r="V1544" s="121"/>
      <c r="W1544" s="121"/>
      <c r="X1544" s="121"/>
      <c r="Y1544" s="121"/>
      <c r="Z1544" s="121"/>
      <c r="AA1544" s="121"/>
      <c r="AB1544" s="121"/>
      <c r="AC1544" s="121"/>
      <c r="AD1544" s="121"/>
      <c r="AE1544" s="121"/>
      <c r="AF1544" s="36"/>
      <c r="AG1544" s="36"/>
      <c r="AH1544" s="36"/>
      <c r="AI1544" s="36"/>
      <c r="AJ1544" s="36"/>
    </row>
    <row r="1545" ht="15.75" customHeight="1">
      <c r="A1545" s="12"/>
      <c r="B1545" s="390"/>
      <c r="C1545" s="390"/>
      <c r="D1545" s="390"/>
      <c r="E1545" s="121"/>
      <c r="F1545" s="121"/>
      <c r="G1545" s="121"/>
      <c r="H1545" s="121"/>
      <c r="I1545" s="121"/>
      <c r="J1545" s="121"/>
      <c r="K1545" s="121"/>
      <c r="L1545" s="121"/>
      <c r="M1545" s="121"/>
      <c r="N1545" s="121"/>
      <c r="O1545" s="121"/>
      <c r="P1545" s="121"/>
      <c r="Q1545" s="121"/>
      <c r="R1545" s="121"/>
      <c r="S1545" s="121"/>
      <c r="T1545" s="121"/>
      <c r="U1545" s="121"/>
      <c r="V1545" s="121"/>
      <c r="W1545" s="121"/>
      <c r="X1545" s="121"/>
      <c r="Y1545" s="121"/>
      <c r="Z1545" s="121"/>
      <c r="AA1545" s="121"/>
      <c r="AB1545" s="121"/>
      <c r="AC1545" s="121"/>
      <c r="AD1545" s="121"/>
      <c r="AE1545" s="121"/>
      <c r="AF1545" s="36"/>
      <c r="AG1545" s="36"/>
      <c r="AH1545" s="36"/>
      <c r="AI1545" s="36"/>
      <c r="AJ1545" s="36"/>
    </row>
    <row r="1546" ht="15.75" customHeight="1">
      <c r="A1546" s="12"/>
      <c r="B1546" s="390"/>
      <c r="C1546" s="390"/>
      <c r="D1546" s="390"/>
      <c r="E1546" s="121"/>
      <c r="F1546" s="121"/>
      <c r="G1546" s="121"/>
      <c r="H1546" s="121"/>
      <c r="I1546" s="121"/>
      <c r="J1546" s="121"/>
      <c r="K1546" s="121"/>
      <c r="L1546" s="121"/>
      <c r="M1546" s="121"/>
      <c r="N1546" s="121"/>
      <c r="O1546" s="121"/>
      <c r="P1546" s="121"/>
      <c r="Q1546" s="121"/>
      <c r="R1546" s="121"/>
      <c r="S1546" s="121"/>
      <c r="T1546" s="121"/>
      <c r="U1546" s="121"/>
      <c r="V1546" s="121"/>
      <c r="W1546" s="121"/>
      <c r="X1546" s="121"/>
      <c r="Y1546" s="121"/>
      <c r="Z1546" s="121"/>
      <c r="AA1546" s="121"/>
      <c r="AB1546" s="121"/>
      <c r="AC1546" s="121"/>
      <c r="AD1546" s="121"/>
      <c r="AE1546" s="121"/>
      <c r="AF1546" s="36"/>
      <c r="AG1546" s="36"/>
      <c r="AH1546" s="36"/>
      <c r="AI1546" s="36"/>
      <c r="AJ1546" s="36"/>
    </row>
    <row r="1547" ht="15.75" customHeight="1">
      <c r="A1547" s="12"/>
      <c r="B1547" s="390"/>
      <c r="C1547" s="390"/>
      <c r="D1547" s="390"/>
      <c r="E1547" s="121"/>
      <c r="F1547" s="121"/>
      <c r="G1547" s="121"/>
      <c r="H1547" s="121"/>
      <c r="I1547" s="121"/>
      <c r="J1547" s="121"/>
      <c r="K1547" s="121"/>
      <c r="L1547" s="121"/>
      <c r="M1547" s="121"/>
      <c r="N1547" s="121"/>
      <c r="O1547" s="121"/>
      <c r="P1547" s="121"/>
      <c r="Q1547" s="121"/>
      <c r="R1547" s="121"/>
      <c r="S1547" s="121"/>
      <c r="T1547" s="121"/>
      <c r="U1547" s="121"/>
      <c r="V1547" s="121"/>
      <c r="W1547" s="121"/>
      <c r="X1547" s="121"/>
      <c r="Y1547" s="121"/>
      <c r="Z1547" s="121"/>
      <c r="AA1547" s="121"/>
      <c r="AB1547" s="121"/>
      <c r="AC1547" s="121"/>
      <c r="AD1547" s="121"/>
      <c r="AE1547" s="121"/>
      <c r="AF1547" s="36"/>
      <c r="AG1547" s="36"/>
      <c r="AH1547" s="36"/>
      <c r="AI1547" s="36"/>
      <c r="AJ1547" s="36"/>
    </row>
    <row r="1548" ht="15.75" customHeight="1">
      <c r="A1548" s="12"/>
      <c r="B1548" s="390"/>
      <c r="C1548" s="390"/>
      <c r="D1548" s="390"/>
      <c r="E1548" s="121"/>
      <c r="F1548" s="121"/>
      <c r="G1548" s="121"/>
      <c r="H1548" s="121"/>
      <c r="I1548" s="121"/>
      <c r="J1548" s="121"/>
      <c r="K1548" s="121"/>
      <c r="L1548" s="121"/>
      <c r="M1548" s="121"/>
      <c r="N1548" s="121"/>
      <c r="O1548" s="121"/>
      <c r="P1548" s="121"/>
      <c r="Q1548" s="121"/>
      <c r="R1548" s="121"/>
      <c r="S1548" s="121"/>
      <c r="T1548" s="121"/>
      <c r="U1548" s="121"/>
      <c r="V1548" s="121"/>
      <c r="W1548" s="121"/>
      <c r="X1548" s="121"/>
      <c r="Y1548" s="121"/>
      <c r="Z1548" s="121"/>
      <c r="AA1548" s="121"/>
      <c r="AB1548" s="121"/>
      <c r="AC1548" s="121"/>
      <c r="AD1548" s="121"/>
      <c r="AE1548" s="121"/>
      <c r="AF1548" s="36"/>
      <c r="AG1548" s="36"/>
      <c r="AH1548" s="36"/>
      <c r="AI1548" s="36"/>
      <c r="AJ1548" s="36"/>
    </row>
    <row r="1549" ht="15.75" customHeight="1">
      <c r="A1549" s="12"/>
      <c r="B1549" s="390"/>
      <c r="C1549" s="390"/>
      <c r="D1549" s="390"/>
      <c r="E1549" s="121"/>
      <c r="F1549" s="121"/>
      <c r="G1549" s="121"/>
      <c r="H1549" s="121"/>
      <c r="I1549" s="121"/>
      <c r="J1549" s="121"/>
      <c r="K1549" s="121"/>
      <c r="L1549" s="121"/>
      <c r="M1549" s="121"/>
      <c r="N1549" s="121"/>
      <c r="O1549" s="121"/>
      <c r="P1549" s="121"/>
      <c r="Q1549" s="121"/>
      <c r="R1549" s="121"/>
      <c r="S1549" s="121"/>
      <c r="T1549" s="121"/>
      <c r="U1549" s="121"/>
      <c r="V1549" s="121"/>
      <c r="W1549" s="121"/>
      <c r="X1549" s="121"/>
      <c r="Y1549" s="121"/>
      <c r="Z1549" s="121"/>
      <c r="AA1549" s="121"/>
      <c r="AB1549" s="121"/>
      <c r="AC1549" s="121"/>
      <c r="AD1549" s="121"/>
      <c r="AE1549" s="121"/>
      <c r="AF1549" s="36"/>
      <c r="AG1549" s="36"/>
      <c r="AH1549" s="36"/>
      <c r="AI1549" s="36"/>
      <c r="AJ1549" s="36"/>
    </row>
    <row r="1550" ht="15.75" customHeight="1">
      <c r="A1550" s="12"/>
      <c r="B1550" s="390"/>
      <c r="C1550" s="390"/>
      <c r="D1550" s="390"/>
      <c r="E1550" s="121"/>
      <c r="F1550" s="121"/>
      <c r="G1550" s="121"/>
      <c r="H1550" s="121"/>
      <c r="I1550" s="121"/>
      <c r="J1550" s="121"/>
      <c r="K1550" s="121"/>
      <c r="L1550" s="121"/>
      <c r="M1550" s="121"/>
      <c r="N1550" s="121"/>
      <c r="O1550" s="121"/>
      <c r="P1550" s="121"/>
      <c r="Q1550" s="121"/>
      <c r="R1550" s="121"/>
      <c r="S1550" s="121"/>
      <c r="T1550" s="121"/>
      <c r="U1550" s="121"/>
      <c r="V1550" s="121"/>
      <c r="W1550" s="121"/>
      <c r="X1550" s="121"/>
      <c r="Y1550" s="121"/>
      <c r="Z1550" s="121"/>
      <c r="AA1550" s="121"/>
      <c r="AB1550" s="121"/>
      <c r="AC1550" s="121"/>
      <c r="AD1550" s="121"/>
      <c r="AE1550" s="121"/>
      <c r="AF1550" s="36"/>
      <c r="AG1550" s="36"/>
      <c r="AH1550" s="36"/>
      <c r="AI1550" s="36"/>
      <c r="AJ1550" s="36"/>
    </row>
    <row r="1551" ht="15.75" customHeight="1">
      <c r="A1551" s="12"/>
      <c r="B1551" s="390"/>
      <c r="C1551" s="390"/>
      <c r="D1551" s="390"/>
      <c r="E1551" s="121"/>
      <c r="F1551" s="121"/>
      <c r="G1551" s="121"/>
      <c r="H1551" s="121"/>
      <c r="I1551" s="121"/>
      <c r="J1551" s="121"/>
      <c r="K1551" s="121"/>
      <c r="L1551" s="121"/>
      <c r="M1551" s="121"/>
      <c r="N1551" s="121"/>
      <c r="O1551" s="121"/>
      <c r="P1551" s="121"/>
      <c r="Q1551" s="121"/>
      <c r="R1551" s="121"/>
      <c r="S1551" s="121"/>
      <c r="T1551" s="121"/>
      <c r="U1551" s="121"/>
      <c r="V1551" s="121"/>
      <c r="W1551" s="121"/>
      <c r="X1551" s="121"/>
      <c r="Y1551" s="121"/>
      <c r="Z1551" s="121"/>
      <c r="AA1551" s="121"/>
      <c r="AB1551" s="121"/>
      <c r="AC1551" s="121"/>
      <c r="AD1551" s="121"/>
      <c r="AE1551" s="121"/>
      <c r="AF1551" s="36"/>
      <c r="AG1551" s="36"/>
      <c r="AH1551" s="36"/>
      <c r="AI1551" s="36"/>
      <c r="AJ1551" s="36"/>
    </row>
    <row r="1552" ht="15.75" customHeight="1">
      <c r="A1552" s="12"/>
      <c r="B1552" s="390"/>
      <c r="C1552" s="390"/>
      <c r="D1552" s="390"/>
      <c r="E1552" s="121"/>
      <c r="F1552" s="121"/>
      <c r="G1552" s="121"/>
      <c r="H1552" s="121"/>
      <c r="I1552" s="121"/>
      <c r="J1552" s="121"/>
      <c r="K1552" s="121"/>
      <c r="L1552" s="121"/>
      <c r="M1552" s="121"/>
      <c r="N1552" s="121"/>
      <c r="O1552" s="121"/>
      <c r="P1552" s="121"/>
      <c r="Q1552" s="121"/>
      <c r="R1552" s="121"/>
      <c r="S1552" s="121"/>
      <c r="T1552" s="121"/>
      <c r="U1552" s="121"/>
      <c r="V1552" s="121"/>
      <c r="W1552" s="121"/>
      <c r="X1552" s="121"/>
      <c r="Y1552" s="121"/>
      <c r="Z1552" s="121"/>
      <c r="AA1552" s="121"/>
      <c r="AB1552" s="121"/>
      <c r="AC1552" s="121"/>
      <c r="AD1552" s="121"/>
      <c r="AE1552" s="121"/>
      <c r="AF1552" s="36"/>
      <c r="AG1552" s="36"/>
      <c r="AH1552" s="36"/>
      <c r="AI1552" s="36"/>
      <c r="AJ1552" s="36"/>
    </row>
    <row r="1553" ht="15.75" customHeight="1">
      <c r="A1553" s="12"/>
      <c r="B1553" s="390"/>
      <c r="C1553" s="390"/>
      <c r="D1553" s="390"/>
      <c r="E1553" s="121"/>
      <c r="F1553" s="121"/>
      <c r="G1553" s="121"/>
      <c r="H1553" s="121"/>
      <c r="I1553" s="121"/>
      <c r="J1553" s="121"/>
      <c r="K1553" s="121"/>
      <c r="L1553" s="121"/>
      <c r="M1553" s="121"/>
      <c r="N1553" s="121"/>
      <c r="O1553" s="121"/>
      <c r="P1553" s="121"/>
      <c r="Q1553" s="121"/>
      <c r="R1553" s="121"/>
      <c r="S1553" s="121"/>
      <c r="T1553" s="121"/>
      <c r="U1553" s="121"/>
      <c r="V1553" s="121"/>
      <c r="W1553" s="121"/>
      <c r="X1553" s="121"/>
      <c r="Y1553" s="121"/>
      <c r="Z1553" s="121"/>
      <c r="AA1553" s="121"/>
      <c r="AB1553" s="121"/>
      <c r="AC1553" s="121"/>
      <c r="AD1553" s="121"/>
      <c r="AE1553" s="121"/>
      <c r="AF1553" s="36"/>
      <c r="AG1553" s="36"/>
      <c r="AH1553" s="36"/>
      <c r="AI1553" s="36"/>
      <c r="AJ1553" s="36"/>
    </row>
    <row r="1554" ht="15.75" customHeight="1">
      <c r="A1554" s="12"/>
      <c r="B1554" s="390"/>
      <c r="C1554" s="390"/>
      <c r="D1554" s="390"/>
      <c r="E1554" s="121"/>
      <c r="F1554" s="121"/>
      <c r="G1554" s="121"/>
      <c r="H1554" s="121"/>
      <c r="I1554" s="121"/>
      <c r="J1554" s="121"/>
      <c r="K1554" s="121"/>
      <c r="L1554" s="121"/>
      <c r="M1554" s="121"/>
      <c r="N1554" s="121"/>
      <c r="O1554" s="121"/>
      <c r="P1554" s="121"/>
      <c r="Q1554" s="121"/>
      <c r="R1554" s="121"/>
      <c r="S1554" s="121"/>
      <c r="T1554" s="121"/>
      <c r="U1554" s="121"/>
      <c r="V1554" s="121"/>
      <c r="W1554" s="121"/>
      <c r="X1554" s="121"/>
      <c r="Y1554" s="121"/>
      <c r="Z1554" s="121"/>
      <c r="AA1554" s="121"/>
      <c r="AB1554" s="121"/>
      <c r="AC1554" s="121"/>
      <c r="AD1554" s="121"/>
      <c r="AE1554" s="121"/>
      <c r="AF1554" s="36"/>
      <c r="AG1554" s="36"/>
      <c r="AH1554" s="36"/>
      <c r="AI1554" s="36"/>
      <c r="AJ1554" s="36"/>
    </row>
    <row r="1555" ht="15.75" customHeight="1">
      <c r="A1555" s="12"/>
      <c r="B1555" s="390"/>
      <c r="C1555" s="390"/>
      <c r="D1555" s="390"/>
      <c r="E1555" s="121"/>
      <c r="F1555" s="121"/>
      <c r="G1555" s="121"/>
      <c r="H1555" s="121"/>
      <c r="I1555" s="121"/>
      <c r="J1555" s="121"/>
      <c r="K1555" s="121"/>
      <c r="L1555" s="121"/>
      <c r="M1555" s="121"/>
      <c r="N1555" s="121"/>
      <c r="O1555" s="121"/>
      <c r="P1555" s="121"/>
      <c r="Q1555" s="121"/>
      <c r="R1555" s="121"/>
      <c r="S1555" s="121"/>
      <c r="T1555" s="121"/>
      <c r="U1555" s="121"/>
      <c r="V1555" s="121"/>
      <c r="W1555" s="121"/>
      <c r="X1555" s="121"/>
      <c r="Y1555" s="121"/>
      <c r="Z1555" s="121"/>
      <c r="AA1555" s="121"/>
      <c r="AB1555" s="121"/>
      <c r="AC1555" s="121"/>
      <c r="AD1555" s="121"/>
      <c r="AE1555" s="121"/>
      <c r="AF1555" s="36"/>
      <c r="AG1555" s="36"/>
      <c r="AH1555" s="36"/>
      <c r="AI1555" s="36"/>
      <c r="AJ1555" s="36"/>
    </row>
    <row r="1556" ht="15.75" customHeight="1">
      <c r="A1556" s="12"/>
      <c r="B1556" s="390"/>
      <c r="C1556" s="390"/>
      <c r="D1556" s="390"/>
      <c r="E1556" s="121"/>
      <c r="F1556" s="121"/>
      <c r="G1556" s="121"/>
      <c r="H1556" s="121"/>
      <c r="I1556" s="121"/>
      <c r="J1556" s="121"/>
      <c r="K1556" s="121"/>
      <c r="L1556" s="121"/>
      <c r="M1556" s="121"/>
      <c r="N1556" s="121"/>
      <c r="O1556" s="121"/>
      <c r="P1556" s="121"/>
      <c r="Q1556" s="121"/>
      <c r="R1556" s="121"/>
      <c r="S1556" s="121"/>
      <c r="T1556" s="121"/>
      <c r="U1556" s="121"/>
      <c r="V1556" s="121"/>
      <c r="W1556" s="121"/>
      <c r="X1556" s="121"/>
      <c r="Y1556" s="121"/>
      <c r="Z1556" s="121"/>
      <c r="AA1556" s="121"/>
      <c r="AB1556" s="121"/>
      <c r="AC1556" s="121"/>
      <c r="AD1556" s="121"/>
      <c r="AE1556" s="121"/>
      <c r="AF1556" s="36"/>
      <c r="AG1556" s="36"/>
      <c r="AH1556" s="36"/>
      <c r="AI1556" s="36"/>
      <c r="AJ1556" s="36"/>
    </row>
    <row r="1557" ht="15.75" customHeight="1">
      <c r="A1557" s="12"/>
      <c r="B1557" s="390"/>
      <c r="C1557" s="390"/>
      <c r="D1557" s="390"/>
      <c r="E1557" s="121"/>
      <c r="F1557" s="121"/>
      <c r="G1557" s="121"/>
      <c r="H1557" s="121"/>
      <c r="I1557" s="121"/>
      <c r="J1557" s="121"/>
      <c r="K1557" s="121"/>
      <c r="L1557" s="121"/>
      <c r="M1557" s="121"/>
      <c r="N1557" s="121"/>
      <c r="O1557" s="121"/>
      <c r="P1557" s="121"/>
      <c r="Q1557" s="121"/>
      <c r="R1557" s="121"/>
      <c r="S1557" s="121"/>
      <c r="T1557" s="121"/>
      <c r="U1557" s="121"/>
      <c r="V1557" s="121"/>
      <c r="W1557" s="121"/>
      <c r="X1557" s="121"/>
      <c r="Y1557" s="121"/>
      <c r="Z1557" s="121"/>
      <c r="AA1557" s="121"/>
      <c r="AB1557" s="121"/>
      <c r="AC1557" s="121"/>
      <c r="AD1557" s="121"/>
      <c r="AE1557" s="121"/>
      <c r="AF1557" s="36"/>
      <c r="AG1557" s="36"/>
      <c r="AH1557" s="36"/>
      <c r="AI1557" s="36"/>
      <c r="AJ1557" s="36"/>
    </row>
    <row r="1558" ht="15.75" customHeight="1">
      <c r="A1558" s="12"/>
      <c r="B1558" s="390"/>
      <c r="C1558" s="390"/>
      <c r="D1558" s="390"/>
      <c r="E1558" s="121"/>
      <c r="F1558" s="121"/>
      <c r="G1558" s="121"/>
      <c r="H1558" s="121"/>
      <c r="I1558" s="121"/>
      <c r="J1558" s="121"/>
      <c r="K1558" s="121"/>
      <c r="L1558" s="121"/>
      <c r="M1558" s="121"/>
      <c r="N1558" s="121"/>
      <c r="O1558" s="121"/>
      <c r="P1558" s="121"/>
      <c r="Q1558" s="121"/>
      <c r="R1558" s="121"/>
      <c r="S1558" s="121"/>
      <c r="T1558" s="121"/>
      <c r="U1558" s="121"/>
      <c r="V1558" s="121"/>
      <c r="W1558" s="121"/>
      <c r="X1558" s="121"/>
      <c r="Y1558" s="121"/>
      <c r="Z1558" s="121"/>
      <c r="AA1558" s="121"/>
      <c r="AB1558" s="121"/>
      <c r="AC1558" s="121"/>
      <c r="AD1558" s="121"/>
      <c r="AE1558" s="121"/>
      <c r="AF1558" s="36"/>
      <c r="AG1558" s="36"/>
      <c r="AH1558" s="36"/>
      <c r="AI1558" s="36"/>
      <c r="AJ1558" s="36"/>
    </row>
    <row r="1559" ht="15.75" customHeight="1">
      <c r="A1559" s="12"/>
      <c r="B1559" s="390"/>
      <c r="C1559" s="390"/>
      <c r="D1559" s="390"/>
      <c r="E1559" s="121"/>
      <c r="F1559" s="121"/>
      <c r="G1559" s="121"/>
      <c r="H1559" s="121"/>
      <c r="I1559" s="121"/>
      <c r="J1559" s="121"/>
      <c r="K1559" s="121"/>
      <c r="L1559" s="121"/>
      <c r="M1559" s="121"/>
      <c r="N1559" s="121"/>
      <c r="O1559" s="121"/>
      <c r="P1559" s="121"/>
      <c r="Q1559" s="121"/>
      <c r="R1559" s="121"/>
      <c r="S1559" s="121"/>
      <c r="T1559" s="121"/>
      <c r="U1559" s="121"/>
      <c r="V1559" s="121"/>
      <c r="W1559" s="121"/>
      <c r="X1559" s="121"/>
      <c r="Y1559" s="121"/>
      <c r="Z1559" s="121"/>
      <c r="AA1559" s="121"/>
      <c r="AB1559" s="121"/>
      <c r="AC1559" s="121"/>
      <c r="AD1559" s="121"/>
      <c r="AE1559" s="121"/>
      <c r="AF1559" s="36"/>
      <c r="AG1559" s="36"/>
      <c r="AH1559" s="36"/>
      <c r="AI1559" s="36"/>
      <c r="AJ1559" s="36"/>
    </row>
    <row r="1560" ht="15.75" customHeight="1">
      <c r="A1560" s="12"/>
      <c r="B1560" s="390"/>
      <c r="C1560" s="390"/>
      <c r="D1560" s="390"/>
      <c r="E1560" s="121"/>
      <c r="F1560" s="121"/>
      <c r="G1560" s="121"/>
      <c r="H1560" s="121"/>
      <c r="I1560" s="121"/>
      <c r="J1560" s="121"/>
      <c r="K1560" s="121"/>
      <c r="L1560" s="121"/>
      <c r="M1560" s="121"/>
      <c r="N1560" s="121"/>
      <c r="O1560" s="121"/>
      <c r="P1560" s="121"/>
      <c r="Q1560" s="121"/>
      <c r="R1560" s="121"/>
      <c r="S1560" s="121"/>
      <c r="T1560" s="121"/>
      <c r="U1560" s="121"/>
      <c r="V1560" s="121"/>
      <c r="W1560" s="121"/>
      <c r="X1560" s="121"/>
      <c r="Y1560" s="121"/>
      <c r="Z1560" s="121"/>
      <c r="AA1560" s="121"/>
      <c r="AB1560" s="121"/>
      <c r="AC1560" s="121"/>
      <c r="AD1560" s="121"/>
      <c r="AE1560" s="121"/>
      <c r="AF1560" s="36"/>
      <c r="AG1560" s="36"/>
      <c r="AH1560" s="36"/>
      <c r="AI1560" s="36"/>
      <c r="AJ1560" s="36"/>
    </row>
    <row r="1561" ht="15.75" customHeight="1">
      <c r="A1561" s="12"/>
      <c r="B1561" s="390"/>
      <c r="C1561" s="390"/>
      <c r="D1561" s="390"/>
      <c r="E1561" s="121"/>
      <c r="F1561" s="121"/>
      <c r="G1561" s="121"/>
      <c r="H1561" s="121"/>
      <c r="I1561" s="121"/>
      <c r="J1561" s="121"/>
      <c r="K1561" s="121"/>
      <c r="L1561" s="121"/>
      <c r="M1561" s="121"/>
      <c r="N1561" s="121"/>
      <c r="O1561" s="121"/>
      <c r="P1561" s="121"/>
      <c r="Q1561" s="121"/>
      <c r="R1561" s="121"/>
      <c r="S1561" s="121"/>
      <c r="T1561" s="121"/>
      <c r="U1561" s="121"/>
      <c r="V1561" s="121"/>
      <c r="W1561" s="121"/>
      <c r="X1561" s="121"/>
      <c r="Y1561" s="121"/>
      <c r="Z1561" s="121"/>
      <c r="AA1561" s="121"/>
      <c r="AB1561" s="121"/>
      <c r="AC1561" s="121"/>
      <c r="AD1561" s="121"/>
      <c r="AE1561" s="121"/>
      <c r="AF1561" s="36"/>
      <c r="AG1561" s="36"/>
      <c r="AH1561" s="36"/>
      <c r="AI1561" s="36"/>
      <c r="AJ1561" s="36"/>
    </row>
    <row r="1562" ht="15.75" customHeight="1">
      <c r="A1562" s="12"/>
      <c r="B1562" s="390"/>
      <c r="C1562" s="390"/>
      <c r="D1562" s="390"/>
      <c r="E1562" s="121"/>
      <c r="F1562" s="121"/>
      <c r="G1562" s="121"/>
      <c r="H1562" s="121"/>
      <c r="I1562" s="121"/>
      <c r="J1562" s="121"/>
      <c r="K1562" s="121"/>
      <c r="L1562" s="121"/>
      <c r="M1562" s="121"/>
      <c r="N1562" s="121"/>
      <c r="O1562" s="121"/>
      <c r="P1562" s="121"/>
      <c r="Q1562" s="121"/>
      <c r="R1562" s="121"/>
      <c r="S1562" s="121"/>
      <c r="T1562" s="121"/>
      <c r="U1562" s="121"/>
      <c r="V1562" s="121"/>
      <c r="W1562" s="121"/>
      <c r="X1562" s="121"/>
      <c r="Y1562" s="121"/>
      <c r="Z1562" s="121"/>
      <c r="AA1562" s="121"/>
      <c r="AB1562" s="121"/>
      <c r="AC1562" s="121"/>
      <c r="AD1562" s="121"/>
      <c r="AE1562" s="121"/>
      <c r="AF1562" s="36"/>
      <c r="AG1562" s="36"/>
      <c r="AH1562" s="36"/>
      <c r="AI1562" s="36"/>
      <c r="AJ1562" s="36"/>
    </row>
    <row r="1563" ht="15.75" customHeight="1">
      <c r="A1563" s="12"/>
      <c r="B1563" s="390"/>
      <c r="C1563" s="390"/>
      <c r="D1563" s="390"/>
      <c r="E1563" s="121"/>
      <c r="F1563" s="121"/>
      <c r="G1563" s="121"/>
      <c r="H1563" s="121"/>
      <c r="I1563" s="121"/>
      <c r="J1563" s="121"/>
      <c r="K1563" s="121"/>
      <c r="L1563" s="121"/>
      <c r="M1563" s="121"/>
      <c r="N1563" s="121"/>
      <c r="O1563" s="121"/>
      <c r="P1563" s="121"/>
      <c r="Q1563" s="121"/>
      <c r="R1563" s="121"/>
      <c r="S1563" s="121"/>
      <c r="T1563" s="121"/>
      <c r="U1563" s="121"/>
      <c r="V1563" s="121"/>
      <c r="W1563" s="121"/>
      <c r="X1563" s="121"/>
      <c r="Y1563" s="121"/>
      <c r="Z1563" s="121"/>
      <c r="AA1563" s="121"/>
      <c r="AB1563" s="121"/>
      <c r="AC1563" s="121"/>
      <c r="AD1563" s="121"/>
      <c r="AE1563" s="121"/>
      <c r="AF1563" s="36"/>
      <c r="AG1563" s="36"/>
      <c r="AH1563" s="36"/>
      <c r="AI1563" s="36"/>
      <c r="AJ1563" s="36"/>
    </row>
    <row r="1564" ht="15.75" customHeight="1">
      <c r="A1564" s="12"/>
      <c r="B1564" s="390"/>
      <c r="C1564" s="390"/>
      <c r="D1564" s="390"/>
      <c r="E1564" s="121"/>
      <c r="F1564" s="121"/>
      <c r="G1564" s="121"/>
      <c r="H1564" s="121"/>
      <c r="I1564" s="121"/>
      <c r="J1564" s="121"/>
      <c r="K1564" s="121"/>
      <c r="L1564" s="121"/>
      <c r="M1564" s="121"/>
      <c r="N1564" s="121"/>
      <c r="O1564" s="121"/>
      <c r="P1564" s="121"/>
      <c r="Q1564" s="121"/>
      <c r="R1564" s="121"/>
      <c r="S1564" s="121"/>
      <c r="T1564" s="121"/>
      <c r="U1564" s="121"/>
      <c r="V1564" s="121"/>
      <c r="W1564" s="121"/>
      <c r="X1564" s="121"/>
      <c r="Y1564" s="121"/>
      <c r="Z1564" s="121"/>
      <c r="AA1564" s="121"/>
      <c r="AB1564" s="121"/>
      <c r="AC1564" s="121"/>
      <c r="AD1564" s="121"/>
      <c r="AE1564" s="121"/>
      <c r="AF1564" s="36"/>
      <c r="AG1564" s="36"/>
      <c r="AH1564" s="36"/>
      <c r="AI1564" s="36"/>
      <c r="AJ1564" s="36"/>
    </row>
    <row r="1565" ht="15.75" customHeight="1">
      <c r="A1565" s="12"/>
      <c r="B1565" s="390"/>
      <c r="C1565" s="390"/>
      <c r="D1565" s="390"/>
      <c r="E1565" s="121"/>
      <c r="F1565" s="121"/>
      <c r="G1565" s="121"/>
      <c r="H1565" s="121"/>
      <c r="I1565" s="121"/>
      <c r="J1565" s="121"/>
      <c r="K1565" s="121"/>
      <c r="L1565" s="121"/>
      <c r="M1565" s="121"/>
      <c r="N1565" s="121"/>
      <c r="O1565" s="121"/>
      <c r="P1565" s="121"/>
      <c r="Q1565" s="121"/>
      <c r="R1565" s="121"/>
      <c r="S1565" s="121"/>
      <c r="T1565" s="121"/>
      <c r="U1565" s="121"/>
      <c r="V1565" s="121"/>
      <c r="W1565" s="121"/>
      <c r="X1565" s="121"/>
      <c r="Y1565" s="121"/>
      <c r="Z1565" s="121"/>
      <c r="AA1565" s="121"/>
      <c r="AB1565" s="121"/>
      <c r="AC1565" s="121"/>
      <c r="AD1565" s="121"/>
      <c r="AE1565" s="121"/>
      <c r="AF1565" s="36"/>
      <c r="AG1565" s="36"/>
      <c r="AH1565" s="36"/>
      <c r="AI1565" s="36"/>
      <c r="AJ1565" s="36"/>
    </row>
    <row r="1566" ht="15.75" customHeight="1">
      <c r="A1566" s="12"/>
      <c r="B1566" s="390"/>
      <c r="C1566" s="390"/>
      <c r="D1566" s="390"/>
      <c r="E1566" s="121"/>
      <c r="F1566" s="121"/>
      <c r="G1566" s="121"/>
      <c r="H1566" s="121"/>
      <c r="I1566" s="121"/>
      <c r="J1566" s="121"/>
      <c r="K1566" s="121"/>
      <c r="L1566" s="121"/>
      <c r="M1566" s="121"/>
      <c r="N1566" s="121"/>
      <c r="O1566" s="121"/>
      <c r="P1566" s="121"/>
      <c r="Q1566" s="121"/>
      <c r="R1566" s="121"/>
      <c r="S1566" s="121"/>
      <c r="T1566" s="121"/>
      <c r="U1566" s="121"/>
      <c r="V1566" s="121"/>
      <c r="W1566" s="121"/>
      <c r="X1566" s="121"/>
      <c r="Y1566" s="121"/>
      <c r="Z1566" s="121"/>
      <c r="AA1566" s="121"/>
      <c r="AB1566" s="121"/>
      <c r="AC1566" s="121"/>
      <c r="AD1566" s="121"/>
      <c r="AE1566" s="121"/>
      <c r="AF1566" s="36"/>
      <c r="AG1566" s="36"/>
      <c r="AH1566" s="36"/>
      <c r="AI1566" s="36"/>
      <c r="AJ1566" s="36"/>
    </row>
    <row r="1567" ht="15.75" customHeight="1">
      <c r="A1567" s="12"/>
      <c r="B1567" s="390"/>
      <c r="C1567" s="390"/>
      <c r="D1567" s="390"/>
      <c r="E1567" s="121"/>
      <c r="F1567" s="121"/>
      <c r="G1567" s="121"/>
      <c r="H1567" s="121"/>
      <c r="I1567" s="121"/>
      <c r="J1567" s="121"/>
      <c r="K1567" s="121"/>
      <c r="L1567" s="121"/>
      <c r="M1567" s="121"/>
      <c r="N1567" s="121"/>
      <c r="O1567" s="121"/>
      <c r="P1567" s="121"/>
      <c r="Q1567" s="121"/>
      <c r="R1567" s="121"/>
      <c r="S1567" s="121"/>
      <c r="T1567" s="121"/>
      <c r="U1567" s="121"/>
      <c r="V1567" s="121"/>
      <c r="W1567" s="121"/>
      <c r="X1567" s="121"/>
      <c r="Y1567" s="121"/>
      <c r="Z1567" s="121"/>
      <c r="AA1567" s="121"/>
      <c r="AB1567" s="121"/>
      <c r="AC1567" s="121"/>
      <c r="AD1567" s="121"/>
      <c r="AE1567" s="121"/>
      <c r="AF1567" s="36"/>
      <c r="AG1567" s="36"/>
      <c r="AH1567" s="36"/>
      <c r="AI1567" s="36"/>
      <c r="AJ1567" s="36"/>
    </row>
    <row r="1568" ht="15.75" customHeight="1">
      <c r="A1568" s="12"/>
      <c r="B1568" s="390"/>
      <c r="C1568" s="390"/>
      <c r="D1568" s="390"/>
      <c r="E1568" s="121"/>
      <c r="F1568" s="121"/>
      <c r="G1568" s="121"/>
      <c r="H1568" s="121"/>
      <c r="I1568" s="121"/>
      <c r="J1568" s="121"/>
      <c r="K1568" s="121"/>
      <c r="L1568" s="121"/>
      <c r="M1568" s="121"/>
      <c r="N1568" s="121"/>
      <c r="O1568" s="121"/>
      <c r="P1568" s="121"/>
      <c r="Q1568" s="121"/>
      <c r="R1568" s="121"/>
      <c r="S1568" s="121"/>
      <c r="T1568" s="121"/>
      <c r="U1568" s="121"/>
      <c r="V1568" s="121"/>
      <c r="W1568" s="121"/>
      <c r="X1568" s="121"/>
      <c r="Y1568" s="121"/>
      <c r="Z1568" s="121"/>
      <c r="AA1568" s="121"/>
      <c r="AB1568" s="121"/>
      <c r="AC1568" s="121"/>
      <c r="AD1568" s="121"/>
      <c r="AE1568" s="121"/>
      <c r="AF1568" s="36"/>
      <c r="AG1568" s="36"/>
      <c r="AH1568" s="36"/>
      <c r="AI1568" s="36"/>
      <c r="AJ1568" s="36"/>
    </row>
    <row r="1569" ht="15.75" customHeight="1">
      <c r="A1569" s="12"/>
      <c r="B1569" s="390"/>
      <c r="C1569" s="390"/>
      <c r="D1569" s="390"/>
      <c r="E1569" s="121"/>
      <c r="F1569" s="121"/>
      <c r="G1569" s="121"/>
      <c r="H1569" s="121"/>
      <c r="I1569" s="121"/>
      <c r="J1569" s="121"/>
      <c r="K1569" s="121"/>
      <c r="L1569" s="121"/>
      <c r="M1569" s="121"/>
      <c r="N1569" s="121"/>
      <c r="O1569" s="121"/>
      <c r="P1569" s="121"/>
      <c r="Q1569" s="121"/>
      <c r="R1569" s="121"/>
      <c r="S1569" s="121"/>
      <c r="T1569" s="121"/>
      <c r="U1569" s="121"/>
      <c r="V1569" s="121"/>
      <c r="W1569" s="121"/>
      <c r="X1569" s="121"/>
      <c r="Y1569" s="121"/>
      <c r="Z1569" s="121"/>
      <c r="AA1569" s="121"/>
      <c r="AB1569" s="121"/>
      <c r="AC1569" s="121"/>
      <c r="AD1569" s="121"/>
      <c r="AE1569" s="121"/>
      <c r="AF1569" s="36"/>
      <c r="AG1569" s="36"/>
      <c r="AH1569" s="36"/>
      <c r="AI1569" s="36"/>
      <c r="AJ1569" s="36"/>
    </row>
    <row r="1570" ht="15.75" customHeight="1">
      <c r="A1570" s="12"/>
      <c r="B1570" s="390"/>
      <c r="C1570" s="390"/>
      <c r="D1570" s="390"/>
      <c r="E1570" s="121"/>
      <c r="F1570" s="121"/>
      <c r="G1570" s="121"/>
      <c r="H1570" s="121"/>
      <c r="I1570" s="121"/>
      <c r="J1570" s="121"/>
      <c r="K1570" s="121"/>
      <c r="L1570" s="121"/>
      <c r="M1570" s="121"/>
      <c r="N1570" s="121"/>
      <c r="O1570" s="121"/>
      <c r="P1570" s="121"/>
      <c r="Q1570" s="121"/>
      <c r="R1570" s="121"/>
      <c r="S1570" s="121"/>
      <c r="T1570" s="121"/>
      <c r="U1570" s="121"/>
      <c r="V1570" s="121"/>
      <c r="W1570" s="121"/>
      <c r="X1570" s="121"/>
      <c r="Y1570" s="121"/>
      <c r="Z1570" s="121"/>
      <c r="AA1570" s="121"/>
      <c r="AB1570" s="121"/>
      <c r="AC1570" s="121"/>
      <c r="AD1570" s="121"/>
      <c r="AE1570" s="121"/>
      <c r="AF1570" s="36"/>
      <c r="AG1570" s="36"/>
      <c r="AH1570" s="36"/>
      <c r="AI1570" s="36"/>
      <c r="AJ1570" s="36"/>
    </row>
    <row r="1571" ht="15.75" customHeight="1">
      <c r="A1571" s="12"/>
      <c r="B1571" s="390"/>
      <c r="C1571" s="390"/>
      <c r="D1571" s="390"/>
      <c r="E1571" s="121"/>
      <c r="F1571" s="121"/>
      <c r="G1571" s="121"/>
      <c r="H1571" s="121"/>
      <c r="I1571" s="121"/>
      <c r="J1571" s="121"/>
      <c r="K1571" s="121"/>
      <c r="L1571" s="121"/>
      <c r="M1571" s="121"/>
      <c r="N1571" s="121"/>
      <c r="O1571" s="121"/>
      <c r="P1571" s="121"/>
      <c r="Q1571" s="121"/>
      <c r="R1571" s="121"/>
      <c r="S1571" s="121"/>
      <c r="T1571" s="121"/>
      <c r="U1571" s="121"/>
      <c r="V1571" s="121"/>
      <c r="W1571" s="121"/>
      <c r="X1571" s="121"/>
      <c r="Y1571" s="121"/>
      <c r="Z1571" s="121"/>
      <c r="AA1571" s="121"/>
      <c r="AB1571" s="121"/>
      <c r="AC1571" s="121"/>
      <c r="AD1571" s="121"/>
      <c r="AE1571" s="121"/>
      <c r="AF1571" s="36"/>
      <c r="AG1571" s="36"/>
      <c r="AH1571" s="36"/>
      <c r="AI1571" s="36"/>
      <c r="AJ1571" s="36"/>
    </row>
    <row r="1572" ht="15.75" customHeight="1">
      <c r="A1572" s="12"/>
      <c r="B1572" s="390"/>
      <c r="C1572" s="390"/>
      <c r="D1572" s="390"/>
      <c r="E1572" s="121"/>
      <c r="F1572" s="121"/>
      <c r="G1572" s="121"/>
      <c r="H1572" s="121"/>
      <c r="I1572" s="121"/>
      <c r="J1572" s="121"/>
      <c r="K1572" s="121"/>
      <c r="L1572" s="121"/>
      <c r="M1572" s="121"/>
      <c r="N1572" s="121"/>
      <c r="O1572" s="121"/>
      <c r="P1572" s="121"/>
      <c r="Q1572" s="121"/>
      <c r="R1572" s="121"/>
      <c r="S1572" s="121"/>
      <c r="T1572" s="121"/>
      <c r="U1572" s="121"/>
      <c r="V1572" s="121"/>
      <c r="W1572" s="121"/>
      <c r="X1572" s="121"/>
      <c r="Y1572" s="121"/>
      <c r="Z1572" s="121"/>
      <c r="AA1572" s="121"/>
      <c r="AB1572" s="121"/>
      <c r="AC1572" s="121"/>
      <c r="AD1572" s="121"/>
      <c r="AE1572" s="121"/>
      <c r="AF1572" s="36"/>
      <c r="AG1572" s="36"/>
      <c r="AH1572" s="36"/>
      <c r="AI1572" s="36"/>
      <c r="AJ1572" s="36"/>
    </row>
    <row r="1573" ht="15.75" customHeight="1">
      <c r="A1573" s="12"/>
      <c r="B1573" s="390"/>
      <c r="C1573" s="390"/>
      <c r="D1573" s="390"/>
      <c r="E1573" s="121"/>
      <c r="F1573" s="121"/>
      <c r="G1573" s="121"/>
      <c r="H1573" s="121"/>
      <c r="I1573" s="121"/>
      <c r="J1573" s="121"/>
      <c r="K1573" s="121"/>
      <c r="L1573" s="121"/>
      <c r="M1573" s="121"/>
      <c r="N1573" s="121"/>
      <c r="O1573" s="121"/>
      <c r="P1573" s="121"/>
      <c r="Q1573" s="121"/>
      <c r="R1573" s="121"/>
      <c r="S1573" s="121"/>
      <c r="T1573" s="121"/>
      <c r="U1573" s="121"/>
      <c r="V1573" s="121"/>
      <c r="W1573" s="121"/>
      <c r="X1573" s="121"/>
      <c r="Y1573" s="121"/>
      <c r="Z1573" s="121"/>
      <c r="AA1573" s="121"/>
      <c r="AB1573" s="121"/>
      <c r="AC1573" s="121"/>
      <c r="AD1573" s="121"/>
      <c r="AE1573" s="121"/>
      <c r="AF1573" s="36"/>
      <c r="AG1573" s="36"/>
      <c r="AH1573" s="36"/>
      <c r="AI1573" s="36"/>
      <c r="AJ1573" s="36"/>
    </row>
    <row r="1574" ht="15.75" customHeight="1">
      <c r="A1574" s="12"/>
      <c r="B1574" s="390"/>
      <c r="C1574" s="390"/>
      <c r="D1574" s="390"/>
      <c r="E1574" s="121"/>
      <c r="F1574" s="121"/>
      <c r="G1574" s="121"/>
      <c r="H1574" s="121"/>
      <c r="I1574" s="121"/>
      <c r="J1574" s="121"/>
      <c r="K1574" s="121"/>
      <c r="L1574" s="121"/>
      <c r="M1574" s="121"/>
      <c r="N1574" s="121"/>
      <c r="O1574" s="121"/>
      <c r="P1574" s="121"/>
      <c r="Q1574" s="121"/>
      <c r="R1574" s="121"/>
      <c r="S1574" s="121"/>
      <c r="T1574" s="121"/>
      <c r="U1574" s="121"/>
      <c r="V1574" s="121"/>
      <c r="W1574" s="121"/>
      <c r="X1574" s="121"/>
      <c r="Y1574" s="121"/>
      <c r="Z1574" s="121"/>
      <c r="AA1574" s="121"/>
      <c r="AB1574" s="121"/>
      <c r="AC1574" s="121"/>
      <c r="AD1574" s="121"/>
      <c r="AE1574" s="121"/>
      <c r="AF1574" s="36"/>
      <c r="AG1574" s="36"/>
      <c r="AH1574" s="36"/>
      <c r="AI1574" s="36"/>
      <c r="AJ1574" s="36"/>
    </row>
    <row r="1575" ht="15.75" customHeight="1">
      <c r="A1575" s="12"/>
      <c r="B1575" s="390"/>
      <c r="C1575" s="390"/>
      <c r="D1575" s="390"/>
      <c r="E1575" s="121"/>
      <c r="F1575" s="121"/>
      <c r="G1575" s="121"/>
      <c r="H1575" s="121"/>
      <c r="I1575" s="121"/>
      <c r="J1575" s="121"/>
      <c r="K1575" s="121"/>
      <c r="L1575" s="121"/>
      <c r="M1575" s="121"/>
      <c r="N1575" s="121"/>
      <c r="O1575" s="121"/>
      <c r="P1575" s="121"/>
      <c r="Q1575" s="121"/>
      <c r="R1575" s="121"/>
      <c r="S1575" s="121"/>
      <c r="T1575" s="121"/>
      <c r="U1575" s="121"/>
      <c r="V1575" s="121"/>
      <c r="W1575" s="121"/>
      <c r="X1575" s="121"/>
      <c r="Y1575" s="121"/>
      <c r="Z1575" s="121"/>
      <c r="AA1575" s="121"/>
      <c r="AB1575" s="121"/>
      <c r="AC1575" s="121"/>
      <c r="AD1575" s="121"/>
      <c r="AE1575" s="121"/>
      <c r="AF1575" s="36"/>
      <c r="AG1575" s="36"/>
      <c r="AH1575" s="36"/>
      <c r="AI1575" s="36"/>
      <c r="AJ1575" s="36"/>
    </row>
    <row r="1576" ht="15.75" customHeight="1">
      <c r="A1576" s="12"/>
      <c r="B1576" s="390"/>
      <c r="C1576" s="390"/>
      <c r="D1576" s="390"/>
      <c r="E1576" s="121"/>
      <c r="F1576" s="121"/>
      <c r="G1576" s="121"/>
      <c r="H1576" s="121"/>
      <c r="I1576" s="121"/>
      <c r="J1576" s="121"/>
      <c r="K1576" s="121"/>
      <c r="L1576" s="121"/>
      <c r="M1576" s="121"/>
      <c r="N1576" s="121"/>
      <c r="O1576" s="121"/>
      <c r="P1576" s="121"/>
      <c r="Q1576" s="121"/>
      <c r="R1576" s="121"/>
      <c r="S1576" s="121"/>
      <c r="T1576" s="121"/>
      <c r="U1576" s="121"/>
      <c r="V1576" s="121"/>
      <c r="W1576" s="121"/>
      <c r="X1576" s="121"/>
      <c r="Y1576" s="121"/>
      <c r="Z1576" s="121"/>
      <c r="AA1576" s="121"/>
      <c r="AB1576" s="121"/>
      <c r="AC1576" s="121"/>
      <c r="AD1576" s="121"/>
      <c r="AE1576" s="121"/>
      <c r="AF1576" s="36"/>
      <c r="AG1576" s="36"/>
      <c r="AH1576" s="36"/>
      <c r="AI1576" s="36"/>
      <c r="AJ1576" s="36"/>
    </row>
    <row r="1577" ht="15.75" customHeight="1">
      <c r="A1577" s="12"/>
      <c r="B1577" s="390"/>
      <c r="C1577" s="390"/>
      <c r="D1577" s="390"/>
      <c r="E1577" s="121"/>
      <c r="F1577" s="121"/>
      <c r="G1577" s="121"/>
      <c r="H1577" s="121"/>
      <c r="I1577" s="121"/>
      <c r="J1577" s="121"/>
      <c r="K1577" s="121"/>
      <c r="L1577" s="121"/>
      <c r="M1577" s="121"/>
      <c r="N1577" s="121"/>
      <c r="O1577" s="121"/>
      <c r="P1577" s="121"/>
      <c r="Q1577" s="121"/>
      <c r="R1577" s="121"/>
      <c r="S1577" s="121"/>
      <c r="T1577" s="121"/>
      <c r="U1577" s="121"/>
      <c r="V1577" s="121"/>
      <c r="W1577" s="121"/>
      <c r="X1577" s="121"/>
      <c r="Y1577" s="121"/>
      <c r="Z1577" s="121"/>
      <c r="AA1577" s="121"/>
      <c r="AB1577" s="121"/>
      <c r="AC1577" s="121"/>
      <c r="AD1577" s="121"/>
      <c r="AE1577" s="121"/>
      <c r="AF1577" s="36"/>
      <c r="AG1577" s="36"/>
      <c r="AH1577" s="36"/>
      <c r="AI1577" s="36"/>
      <c r="AJ1577" s="36"/>
    </row>
    <row r="1578" ht="15.75" customHeight="1">
      <c r="A1578" s="12"/>
      <c r="B1578" s="390"/>
      <c r="C1578" s="390"/>
      <c r="D1578" s="390"/>
      <c r="E1578" s="121"/>
      <c r="F1578" s="121"/>
      <c r="G1578" s="121"/>
      <c r="H1578" s="121"/>
      <c r="I1578" s="121"/>
      <c r="J1578" s="121"/>
      <c r="K1578" s="121"/>
      <c r="L1578" s="121"/>
      <c r="M1578" s="121"/>
      <c r="N1578" s="121"/>
      <c r="O1578" s="121"/>
      <c r="P1578" s="121"/>
      <c r="Q1578" s="121"/>
      <c r="R1578" s="121"/>
      <c r="S1578" s="121"/>
      <c r="T1578" s="121"/>
      <c r="U1578" s="121"/>
      <c r="V1578" s="121"/>
      <c r="W1578" s="121"/>
      <c r="X1578" s="121"/>
      <c r="Y1578" s="121"/>
      <c r="Z1578" s="121"/>
      <c r="AA1578" s="121"/>
      <c r="AB1578" s="121"/>
      <c r="AC1578" s="121"/>
      <c r="AD1578" s="121"/>
      <c r="AE1578" s="121"/>
      <c r="AF1578" s="36"/>
      <c r="AG1578" s="36"/>
      <c r="AH1578" s="36"/>
      <c r="AI1578" s="36"/>
      <c r="AJ1578" s="36"/>
    </row>
    <row r="1579" ht="15.75" customHeight="1">
      <c r="A1579" s="12"/>
      <c r="B1579" s="390"/>
      <c r="C1579" s="390"/>
      <c r="D1579" s="390"/>
      <c r="E1579" s="121"/>
      <c r="F1579" s="121"/>
      <c r="G1579" s="121"/>
      <c r="H1579" s="121"/>
      <c r="I1579" s="121"/>
      <c r="J1579" s="121"/>
      <c r="K1579" s="121"/>
      <c r="L1579" s="121"/>
      <c r="M1579" s="121"/>
      <c r="N1579" s="121"/>
      <c r="O1579" s="121"/>
      <c r="P1579" s="121"/>
      <c r="Q1579" s="121"/>
      <c r="R1579" s="121"/>
      <c r="S1579" s="121"/>
      <c r="T1579" s="121"/>
      <c r="U1579" s="121"/>
      <c r="V1579" s="121"/>
      <c r="W1579" s="121"/>
      <c r="X1579" s="121"/>
      <c r="Y1579" s="121"/>
      <c r="Z1579" s="121"/>
      <c r="AA1579" s="121"/>
      <c r="AB1579" s="121"/>
      <c r="AC1579" s="121"/>
      <c r="AD1579" s="121"/>
      <c r="AE1579" s="121"/>
      <c r="AF1579" s="36"/>
      <c r="AG1579" s="36"/>
      <c r="AH1579" s="36"/>
      <c r="AI1579" s="36"/>
      <c r="AJ1579" s="36"/>
    </row>
    <row r="1580" ht="15.75" customHeight="1">
      <c r="A1580" s="12"/>
      <c r="B1580" s="390"/>
      <c r="C1580" s="390"/>
      <c r="D1580" s="390"/>
      <c r="E1580" s="121"/>
      <c r="F1580" s="121"/>
      <c r="G1580" s="121"/>
      <c r="H1580" s="121"/>
      <c r="I1580" s="121"/>
      <c r="J1580" s="121"/>
      <c r="K1580" s="121"/>
      <c r="L1580" s="121"/>
      <c r="M1580" s="121"/>
      <c r="N1580" s="121"/>
      <c r="O1580" s="121"/>
      <c r="P1580" s="121"/>
      <c r="Q1580" s="121"/>
      <c r="R1580" s="121"/>
      <c r="S1580" s="121"/>
      <c r="T1580" s="121"/>
      <c r="U1580" s="121"/>
      <c r="V1580" s="121"/>
      <c r="W1580" s="121"/>
      <c r="X1580" s="121"/>
      <c r="Y1580" s="121"/>
      <c r="Z1580" s="121"/>
      <c r="AA1580" s="121"/>
      <c r="AB1580" s="121"/>
      <c r="AC1580" s="121"/>
      <c r="AD1580" s="121"/>
      <c r="AE1580" s="121"/>
      <c r="AF1580" s="36"/>
      <c r="AG1580" s="36"/>
      <c r="AH1580" s="36"/>
      <c r="AI1580" s="36"/>
      <c r="AJ1580" s="36"/>
    </row>
    <row r="1581" ht="15.75" customHeight="1">
      <c r="A1581" s="12"/>
      <c r="B1581" s="390"/>
      <c r="C1581" s="390"/>
      <c r="D1581" s="390"/>
      <c r="E1581" s="121"/>
      <c r="F1581" s="121"/>
      <c r="G1581" s="121"/>
      <c r="H1581" s="121"/>
      <c r="I1581" s="121"/>
      <c r="J1581" s="121"/>
      <c r="K1581" s="121"/>
      <c r="L1581" s="121"/>
      <c r="M1581" s="121"/>
      <c r="N1581" s="121"/>
      <c r="O1581" s="121"/>
      <c r="P1581" s="121"/>
      <c r="Q1581" s="121"/>
      <c r="R1581" s="121"/>
      <c r="S1581" s="121"/>
      <c r="T1581" s="121"/>
      <c r="U1581" s="121"/>
      <c r="V1581" s="121"/>
      <c r="W1581" s="121"/>
      <c r="X1581" s="121"/>
      <c r="Y1581" s="121"/>
      <c r="Z1581" s="121"/>
      <c r="AA1581" s="121"/>
      <c r="AB1581" s="121"/>
      <c r="AC1581" s="121"/>
      <c r="AD1581" s="121"/>
      <c r="AE1581" s="121"/>
      <c r="AF1581" s="36"/>
      <c r="AG1581" s="36"/>
      <c r="AH1581" s="36"/>
      <c r="AI1581" s="36"/>
      <c r="AJ1581" s="36"/>
    </row>
    <row r="1582" ht="15.75" customHeight="1">
      <c r="A1582" s="12"/>
      <c r="B1582" s="390"/>
      <c r="C1582" s="390"/>
      <c r="D1582" s="390"/>
      <c r="E1582" s="121"/>
      <c r="F1582" s="121"/>
      <c r="G1582" s="121"/>
      <c r="H1582" s="121"/>
      <c r="I1582" s="121"/>
      <c r="J1582" s="121"/>
      <c r="K1582" s="121"/>
      <c r="L1582" s="121"/>
      <c r="M1582" s="121"/>
      <c r="N1582" s="121"/>
      <c r="O1582" s="121"/>
      <c r="P1582" s="121"/>
      <c r="Q1582" s="121"/>
      <c r="R1582" s="121"/>
      <c r="S1582" s="121"/>
      <c r="T1582" s="121"/>
      <c r="U1582" s="121"/>
      <c r="V1582" s="121"/>
      <c r="W1582" s="121"/>
      <c r="X1582" s="121"/>
      <c r="Y1582" s="121"/>
      <c r="Z1582" s="121"/>
      <c r="AA1582" s="121"/>
      <c r="AB1582" s="121"/>
      <c r="AC1582" s="121"/>
      <c r="AD1582" s="121"/>
      <c r="AE1582" s="121"/>
      <c r="AF1582" s="36"/>
      <c r="AG1582" s="36"/>
      <c r="AH1582" s="36"/>
      <c r="AI1582" s="36"/>
      <c r="AJ1582" s="36"/>
    </row>
    <row r="1583" ht="15.75" customHeight="1">
      <c r="A1583" s="12"/>
      <c r="B1583" s="390"/>
      <c r="C1583" s="390"/>
      <c r="D1583" s="390"/>
      <c r="E1583" s="121"/>
      <c r="F1583" s="121"/>
      <c r="G1583" s="121"/>
      <c r="H1583" s="121"/>
      <c r="I1583" s="121"/>
      <c r="J1583" s="121"/>
      <c r="K1583" s="121"/>
      <c r="L1583" s="121"/>
      <c r="M1583" s="121"/>
      <c r="N1583" s="121"/>
      <c r="O1583" s="121"/>
      <c r="P1583" s="121"/>
      <c r="Q1583" s="121"/>
      <c r="R1583" s="121"/>
      <c r="S1583" s="121"/>
      <c r="T1583" s="121"/>
      <c r="U1583" s="121"/>
      <c r="V1583" s="121"/>
      <c r="W1583" s="121"/>
      <c r="X1583" s="121"/>
      <c r="Y1583" s="121"/>
      <c r="Z1583" s="121"/>
      <c r="AA1583" s="121"/>
      <c r="AB1583" s="121"/>
      <c r="AC1583" s="121"/>
      <c r="AD1583" s="121"/>
      <c r="AE1583" s="121"/>
      <c r="AF1583" s="36"/>
      <c r="AG1583" s="36"/>
      <c r="AH1583" s="36"/>
      <c r="AI1583" s="36"/>
      <c r="AJ1583" s="36"/>
    </row>
    <row r="1584" ht="15.75" customHeight="1">
      <c r="A1584" s="12"/>
      <c r="B1584" s="390"/>
      <c r="C1584" s="390"/>
      <c r="D1584" s="390"/>
      <c r="E1584" s="121"/>
      <c r="F1584" s="121"/>
      <c r="G1584" s="121"/>
      <c r="H1584" s="121"/>
      <c r="I1584" s="121"/>
      <c r="J1584" s="121"/>
      <c r="K1584" s="121"/>
      <c r="L1584" s="121"/>
      <c r="M1584" s="121"/>
      <c r="N1584" s="121"/>
      <c r="O1584" s="121"/>
      <c r="P1584" s="121"/>
      <c r="Q1584" s="121"/>
      <c r="R1584" s="121"/>
      <c r="S1584" s="121"/>
      <c r="T1584" s="121"/>
      <c r="U1584" s="121"/>
      <c r="V1584" s="121"/>
      <c r="W1584" s="121"/>
      <c r="X1584" s="121"/>
      <c r="Y1584" s="121"/>
      <c r="Z1584" s="121"/>
      <c r="AA1584" s="121"/>
      <c r="AB1584" s="121"/>
      <c r="AC1584" s="121"/>
      <c r="AD1584" s="121"/>
      <c r="AE1584" s="121"/>
      <c r="AF1584" s="36"/>
      <c r="AG1584" s="36"/>
      <c r="AH1584" s="36"/>
      <c r="AI1584" s="36"/>
      <c r="AJ1584" s="36"/>
    </row>
    <row r="1585" ht="15.75" customHeight="1">
      <c r="A1585" s="12"/>
      <c r="B1585" s="390"/>
      <c r="C1585" s="390"/>
      <c r="D1585" s="390"/>
      <c r="E1585" s="121"/>
      <c r="F1585" s="121"/>
      <c r="G1585" s="121"/>
      <c r="H1585" s="121"/>
      <c r="I1585" s="121"/>
      <c r="J1585" s="121"/>
      <c r="K1585" s="121"/>
      <c r="L1585" s="121"/>
      <c r="M1585" s="121"/>
      <c r="N1585" s="121"/>
      <c r="O1585" s="121"/>
      <c r="P1585" s="121"/>
      <c r="Q1585" s="121"/>
      <c r="R1585" s="121"/>
      <c r="S1585" s="121"/>
      <c r="T1585" s="121"/>
      <c r="U1585" s="121"/>
      <c r="V1585" s="121"/>
      <c r="W1585" s="121"/>
      <c r="X1585" s="121"/>
      <c r="Y1585" s="121"/>
      <c r="Z1585" s="121"/>
      <c r="AA1585" s="121"/>
      <c r="AB1585" s="121"/>
      <c r="AC1585" s="121"/>
      <c r="AD1585" s="121"/>
      <c r="AE1585" s="121"/>
      <c r="AF1585" s="36"/>
      <c r="AG1585" s="36"/>
      <c r="AH1585" s="36"/>
      <c r="AI1585" s="36"/>
      <c r="AJ1585" s="36"/>
    </row>
    <row r="1586" ht="15.75" customHeight="1">
      <c r="A1586" s="12"/>
      <c r="B1586" s="390"/>
      <c r="C1586" s="390"/>
      <c r="D1586" s="390"/>
      <c r="E1586" s="121"/>
      <c r="F1586" s="121"/>
      <c r="G1586" s="121"/>
      <c r="H1586" s="121"/>
      <c r="I1586" s="121"/>
      <c r="J1586" s="121"/>
      <c r="K1586" s="121"/>
      <c r="L1586" s="121"/>
      <c r="M1586" s="121"/>
      <c r="N1586" s="121"/>
      <c r="O1586" s="121"/>
      <c r="P1586" s="121"/>
      <c r="Q1586" s="121"/>
      <c r="R1586" s="121"/>
      <c r="S1586" s="121"/>
      <c r="T1586" s="121"/>
      <c r="U1586" s="121"/>
      <c r="V1586" s="121"/>
      <c r="W1586" s="121"/>
      <c r="X1586" s="121"/>
      <c r="Y1586" s="121"/>
      <c r="Z1586" s="121"/>
      <c r="AA1586" s="121"/>
      <c r="AB1586" s="121"/>
      <c r="AC1586" s="121"/>
      <c r="AD1586" s="121"/>
      <c r="AE1586" s="121"/>
      <c r="AF1586" s="36"/>
      <c r="AG1586" s="36"/>
      <c r="AH1586" s="36"/>
      <c r="AI1586" s="36"/>
      <c r="AJ1586" s="36"/>
    </row>
    <row r="1587" ht="15.75" customHeight="1">
      <c r="A1587" s="12"/>
      <c r="B1587" s="390"/>
      <c r="C1587" s="390"/>
      <c r="D1587" s="390"/>
      <c r="E1587" s="121"/>
      <c r="F1587" s="121"/>
      <c r="G1587" s="121"/>
      <c r="H1587" s="121"/>
      <c r="I1587" s="121"/>
      <c r="J1587" s="121"/>
      <c r="K1587" s="121"/>
      <c r="L1587" s="121"/>
      <c r="M1587" s="121"/>
      <c r="N1587" s="121"/>
      <c r="O1587" s="121"/>
      <c r="P1587" s="121"/>
      <c r="Q1587" s="121"/>
      <c r="R1587" s="121"/>
      <c r="S1587" s="121"/>
      <c r="T1587" s="121"/>
      <c r="U1587" s="121"/>
      <c r="V1587" s="121"/>
      <c r="W1587" s="121"/>
      <c r="X1587" s="121"/>
      <c r="Y1587" s="121"/>
      <c r="Z1587" s="121"/>
      <c r="AA1587" s="121"/>
      <c r="AB1587" s="121"/>
      <c r="AC1587" s="121"/>
      <c r="AD1587" s="121"/>
      <c r="AE1587" s="121"/>
      <c r="AF1587" s="36"/>
      <c r="AG1587" s="36"/>
      <c r="AH1587" s="36"/>
      <c r="AI1587" s="36"/>
      <c r="AJ1587" s="36"/>
    </row>
    <row r="1588" ht="15.75" customHeight="1">
      <c r="A1588" s="12"/>
      <c r="B1588" s="390"/>
      <c r="C1588" s="390"/>
      <c r="D1588" s="390"/>
      <c r="E1588" s="121"/>
      <c r="F1588" s="121"/>
      <c r="G1588" s="121"/>
      <c r="H1588" s="121"/>
      <c r="I1588" s="121"/>
      <c r="J1588" s="121"/>
      <c r="K1588" s="121"/>
      <c r="L1588" s="121"/>
      <c r="M1588" s="121"/>
      <c r="N1588" s="121"/>
      <c r="O1588" s="121"/>
      <c r="P1588" s="121"/>
      <c r="Q1588" s="121"/>
      <c r="R1588" s="121"/>
      <c r="S1588" s="121"/>
      <c r="T1588" s="121"/>
      <c r="U1588" s="121"/>
      <c r="V1588" s="121"/>
      <c r="W1588" s="121"/>
      <c r="X1588" s="121"/>
      <c r="Y1588" s="121"/>
      <c r="Z1588" s="121"/>
      <c r="AA1588" s="121"/>
      <c r="AB1588" s="121"/>
      <c r="AC1588" s="121"/>
      <c r="AD1588" s="121"/>
      <c r="AE1588" s="121"/>
      <c r="AF1588" s="36"/>
      <c r="AG1588" s="36"/>
      <c r="AH1588" s="36"/>
      <c r="AI1588" s="36"/>
      <c r="AJ1588" s="36"/>
    </row>
    <row r="1589" ht="15.75" customHeight="1">
      <c r="A1589" s="12"/>
      <c r="B1589" s="390"/>
      <c r="C1589" s="390"/>
      <c r="D1589" s="390"/>
      <c r="E1589" s="121"/>
      <c r="F1589" s="121"/>
      <c r="G1589" s="121"/>
      <c r="H1589" s="121"/>
      <c r="I1589" s="121"/>
      <c r="J1589" s="121"/>
      <c r="K1589" s="121"/>
      <c r="L1589" s="121"/>
      <c r="M1589" s="121"/>
      <c r="N1589" s="121"/>
      <c r="O1589" s="121"/>
      <c r="P1589" s="121"/>
      <c r="Q1589" s="121"/>
      <c r="R1589" s="121"/>
      <c r="S1589" s="121"/>
      <c r="T1589" s="121"/>
      <c r="U1589" s="121"/>
      <c r="V1589" s="121"/>
      <c r="W1589" s="121"/>
      <c r="X1589" s="121"/>
      <c r="Y1589" s="121"/>
      <c r="Z1589" s="121"/>
      <c r="AA1589" s="121"/>
      <c r="AB1589" s="121"/>
      <c r="AC1589" s="121"/>
      <c r="AD1589" s="121"/>
      <c r="AE1589" s="121"/>
      <c r="AF1589" s="36"/>
      <c r="AG1589" s="36"/>
      <c r="AH1589" s="36"/>
      <c r="AI1589" s="36"/>
      <c r="AJ1589" s="36"/>
    </row>
    <row r="1590" ht="15.75" customHeight="1">
      <c r="A1590" s="12"/>
      <c r="B1590" s="390"/>
      <c r="C1590" s="390"/>
      <c r="D1590" s="390"/>
      <c r="E1590" s="121"/>
      <c r="F1590" s="121"/>
      <c r="G1590" s="121"/>
      <c r="H1590" s="121"/>
      <c r="I1590" s="121"/>
      <c r="J1590" s="121"/>
      <c r="K1590" s="121"/>
      <c r="L1590" s="121"/>
      <c r="M1590" s="121"/>
      <c r="N1590" s="121"/>
      <c r="O1590" s="121"/>
      <c r="P1590" s="121"/>
      <c r="Q1590" s="121"/>
      <c r="R1590" s="121"/>
      <c r="S1590" s="121"/>
      <c r="T1590" s="121"/>
      <c r="U1590" s="121"/>
      <c r="V1590" s="121"/>
      <c r="W1590" s="121"/>
      <c r="X1590" s="121"/>
      <c r="Y1590" s="121"/>
      <c r="Z1590" s="121"/>
      <c r="AA1590" s="121"/>
      <c r="AB1590" s="121"/>
      <c r="AC1590" s="121"/>
      <c r="AD1590" s="121"/>
      <c r="AE1590" s="121"/>
      <c r="AF1590" s="36"/>
      <c r="AG1590" s="36"/>
      <c r="AH1590" s="36"/>
      <c r="AI1590" s="36"/>
      <c r="AJ1590" s="36"/>
    </row>
    <row r="1591" ht="15.75" customHeight="1">
      <c r="A1591" s="12"/>
      <c r="B1591" s="390"/>
      <c r="C1591" s="390"/>
      <c r="D1591" s="390"/>
      <c r="E1591" s="121"/>
      <c r="F1591" s="121"/>
      <c r="G1591" s="121"/>
      <c r="H1591" s="121"/>
      <c r="I1591" s="121"/>
      <c r="J1591" s="121"/>
      <c r="K1591" s="121"/>
      <c r="L1591" s="121"/>
      <c r="M1591" s="121"/>
      <c r="N1591" s="121"/>
      <c r="O1591" s="121"/>
      <c r="P1591" s="121"/>
      <c r="Q1591" s="121"/>
      <c r="R1591" s="121"/>
      <c r="S1591" s="121"/>
      <c r="T1591" s="121"/>
      <c r="U1591" s="121"/>
      <c r="V1591" s="121"/>
      <c r="W1591" s="121"/>
      <c r="X1591" s="121"/>
      <c r="Y1591" s="121"/>
      <c r="Z1591" s="121"/>
      <c r="AA1591" s="121"/>
      <c r="AB1591" s="121"/>
      <c r="AC1591" s="121"/>
      <c r="AD1591" s="121"/>
      <c r="AE1591" s="121"/>
      <c r="AF1591" s="36"/>
      <c r="AG1591" s="36"/>
      <c r="AH1591" s="36"/>
      <c r="AI1591" s="36"/>
      <c r="AJ1591" s="36"/>
    </row>
    <row r="1592" ht="15.75" customHeight="1">
      <c r="A1592" s="12"/>
      <c r="B1592" s="390"/>
      <c r="C1592" s="390"/>
      <c r="D1592" s="390"/>
      <c r="E1592" s="121"/>
      <c r="F1592" s="121"/>
      <c r="G1592" s="121"/>
      <c r="H1592" s="121"/>
      <c r="I1592" s="121"/>
      <c r="J1592" s="121"/>
      <c r="K1592" s="121"/>
      <c r="L1592" s="121"/>
      <c r="M1592" s="121"/>
      <c r="N1592" s="121"/>
      <c r="O1592" s="121"/>
      <c r="P1592" s="121"/>
      <c r="Q1592" s="121"/>
      <c r="R1592" s="121"/>
      <c r="S1592" s="121"/>
      <c r="T1592" s="121"/>
      <c r="U1592" s="121"/>
      <c r="V1592" s="121"/>
      <c r="W1592" s="121"/>
      <c r="X1592" s="121"/>
      <c r="Y1592" s="121"/>
      <c r="Z1592" s="121"/>
      <c r="AA1592" s="121"/>
      <c r="AB1592" s="121"/>
      <c r="AC1592" s="121"/>
      <c r="AD1592" s="121"/>
      <c r="AE1592" s="121"/>
      <c r="AF1592" s="36"/>
      <c r="AG1592" s="36"/>
      <c r="AH1592" s="36"/>
      <c r="AI1592" s="36"/>
      <c r="AJ1592" s="36"/>
    </row>
    <row r="1593" ht="15.75" customHeight="1">
      <c r="A1593" s="12"/>
      <c r="B1593" s="390"/>
      <c r="C1593" s="390"/>
      <c r="D1593" s="390"/>
      <c r="E1593" s="121"/>
      <c r="F1593" s="121"/>
      <c r="G1593" s="121"/>
      <c r="H1593" s="121"/>
      <c r="I1593" s="121"/>
      <c r="J1593" s="121"/>
      <c r="K1593" s="121"/>
      <c r="L1593" s="121"/>
      <c r="M1593" s="121"/>
      <c r="N1593" s="121"/>
      <c r="O1593" s="121"/>
      <c r="P1593" s="121"/>
      <c r="Q1593" s="121"/>
      <c r="R1593" s="121"/>
      <c r="S1593" s="121"/>
      <c r="T1593" s="121"/>
      <c r="U1593" s="121"/>
      <c r="V1593" s="121"/>
      <c r="W1593" s="121"/>
      <c r="X1593" s="121"/>
      <c r="Y1593" s="121"/>
      <c r="Z1593" s="121"/>
      <c r="AA1593" s="121"/>
      <c r="AB1593" s="121"/>
      <c r="AC1593" s="121"/>
      <c r="AD1593" s="121"/>
      <c r="AE1593" s="121"/>
      <c r="AF1593" s="36"/>
      <c r="AG1593" s="36"/>
      <c r="AH1593" s="36"/>
      <c r="AI1593" s="36"/>
      <c r="AJ1593" s="36"/>
    </row>
    <row r="1594" ht="15.75" customHeight="1">
      <c r="A1594" s="12"/>
      <c r="B1594" s="390"/>
      <c r="C1594" s="390"/>
      <c r="D1594" s="390"/>
      <c r="E1594" s="121"/>
      <c r="F1594" s="121"/>
      <c r="G1594" s="121"/>
      <c r="H1594" s="121"/>
      <c r="I1594" s="121"/>
      <c r="J1594" s="121"/>
      <c r="K1594" s="121"/>
      <c r="L1594" s="121"/>
      <c r="M1594" s="121"/>
      <c r="N1594" s="121"/>
      <c r="O1594" s="121"/>
      <c r="P1594" s="121"/>
      <c r="Q1594" s="121"/>
      <c r="R1594" s="121"/>
      <c r="S1594" s="121"/>
      <c r="T1594" s="121"/>
      <c r="U1594" s="121"/>
      <c r="V1594" s="121"/>
      <c r="W1594" s="121"/>
      <c r="X1594" s="121"/>
      <c r="Y1594" s="121"/>
      <c r="Z1594" s="121"/>
      <c r="AA1594" s="121"/>
      <c r="AB1594" s="121"/>
      <c r="AC1594" s="121"/>
      <c r="AD1594" s="121"/>
      <c r="AE1594" s="121"/>
      <c r="AF1594" s="36"/>
      <c r="AG1594" s="36"/>
      <c r="AH1594" s="36"/>
      <c r="AI1594" s="36"/>
      <c r="AJ1594" s="36"/>
    </row>
    <row r="1595" ht="15.75" customHeight="1">
      <c r="A1595" s="12"/>
      <c r="B1595" s="390"/>
      <c r="C1595" s="390"/>
      <c r="D1595" s="390"/>
      <c r="E1595" s="121"/>
      <c r="F1595" s="121"/>
      <c r="G1595" s="121"/>
      <c r="H1595" s="121"/>
      <c r="I1595" s="121"/>
      <c r="J1595" s="121"/>
      <c r="K1595" s="121"/>
      <c r="L1595" s="121"/>
      <c r="M1595" s="121"/>
      <c r="N1595" s="121"/>
      <c r="O1595" s="121"/>
      <c r="P1595" s="121"/>
      <c r="Q1595" s="121"/>
      <c r="R1595" s="121"/>
      <c r="S1595" s="121"/>
      <c r="T1595" s="121"/>
      <c r="U1595" s="121"/>
      <c r="V1595" s="121"/>
      <c r="W1595" s="121"/>
      <c r="X1595" s="121"/>
      <c r="Y1595" s="121"/>
      <c r="Z1595" s="121"/>
      <c r="AA1595" s="121"/>
      <c r="AB1595" s="121"/>
      <c r="AC1595" s="121"/>
      <c r="AD1595" s="121"/>
      <c r="AE1595" s="121"/>
      <c r="AF1595" s="36"/>
      <c r="AG1595" s="36"/>
      <c r="AH1595" s="36"/>
      <c r="AI1595" s="36"/>
      <c r="AJ1595" s="36"/>
    </row>
    <row r="1596" ht="15.75" customHeight="1">
      <c r="A1596" s="12"/>
      <c r="B1596" s="390"/>
      <c r="C1596" s="390"/>
      <c r="D1596" s="390"/>
      <c r="E1596" s="121"/>
      <c r="F1596" s="121"/>
      <c r="G1596" s="121"/>
      <c r="H1596" s="121"/>
      <c r="I1596" s="121"/>
      <c r="J1596" s="121"/>
      <c r="K1596" s="121"/>
      <c r="L1596" s="121"/>
      <c r="M1596" s="121"/>
      <c r="N1596" s="121"/>
      <c r="O1596" s="121"/>
      <c r="P1596" s="121"/>
      <c r="Q1596" s="121"/>
      <c r="R1596" s="121"/>
      <c r="S1596" s="121"/>
      <c r="T1596" s="121"/>
      <c r="U1596" s="121"/>
      <c r="V1596" s="121"/>
      <c r="W1596" s="121"/>
      <c r="X1596" s="121"/>
      <c r="Y1596" s="121"/>
      <c r="Z1596" s="121"/>
      <c r="AA1596" s="121"/>
      <c r="AB1596" s="121"/>
      <c r="AC1596" s="121"/>
      <c r="AD1596" s="121"/>
      <c r="AE1596" s="121"/>
      <c r="AF1596" s="36"/>
      <c r="AG1596" s="36"/>
      <c r="AH1596" s="36"/>
      <c r="AI1596" s="36"/>
      <c r="AJ1596" s="36"/>
    </row>
    <row r="1597" ht="15.75" customHeight="1">
      <c r="A1597" s="12"/>
      <c r="B1597" s="390"/>
      <c r="C1597" s="390"/>
      <c r="D1597" s="390"/>
      <c r="E1597" s="121"/>
      <c r="F1597" s="121"/>
      <c r="G1597" s="121"/>
      <c r="H1597" s="121"/>
      <c r="I1597" s="121"/>
      <c r="J1597" s="121"/>
      <c r="K1597" s="121"/>
      <c r="L1597" s="121"/>
      <c r="M1597" s="121"/>
      <c r="N1597" s="121"/>
      <c r="O1597" s="121"/>
      <c r="P1597" s="121"/>
      <c r="Q1597" s="121"/>
      <c r="R1597" s="121"/>
      <c r="S1597" s="121"/>
      <c r="T1597" s="121"/>
      <c r="U1597" s="121"/>
      <c r="V1597" s="121"/>
      <c r="W1597" s="121"/>
      <c r="X1597" s="121"/>
      <c r="Y1597" s="121"/>
      <c r="Z1597" s="121"/>
      <c r="AA1597" s="121"/>
      <c r="AB1597" s="121"/>
      <c r="AC1597" s="121"/>
      <c r="AD1597" s="121"/>
      <c r="AE1597" s="121"/>
      <c r="AF1597" s="36"/>
      <c r="AG1597" s="36"/>
      <c r="AH1597" s="36"/>
      <c r="AI1597" s="36"/>
      <c r="AJ1597" s="36"/>
    </row>
    <row r="1598" ht="15.75" customHeight="1">
      <c r="A1598" s="12"/>
      <c r="B1598" s="390"/>
      <c r="C1598" s="390"/>
      <c r="D1598" s="390"/>
      <c r="E1598" s="121"/>
      <c r="F1598" s="121"/>
      <c r="G1598" s="121"/>
      <c r="H1598" s="121"/>
      <c r="I1598" s="121"/>
      <c r="J1598" s="121"/>
      <c r="K1598" s="121"/>
      <c r="L1598" s="121"/>
      <c r="M1598" s="121"/>
      <c r="N1598" s="121"/>
      <c r="O1598" s="121"/>
      <c r="P1598" s="121"/>
      <c r="Q1598" s="121"/>
      <c r="R1598" s="121"/>
      <c r="S1598" s="121"/>
      <c r="T1598" s="121"/>
      <c r="U1598" s="121"/>
      <c r="V1598" s="121"/>
      <c r="W1598" s="121"/>
      <c r="X1598" s="121"/>
      <c r="Y1598" s="121"/>
      <c r="Z1598" s="121"/>
      <c r="AA1598" s="121"/>
      <c r="AB1598" s="121"/>
      <c r="AC1598" s="121"/>
      <c r="AD1598" s="121"/>
      <c r="AE1598" s="121"/>
      <c r="AF1598" s="36"/>
      <c r="AG1598" s="36"/>
      <c r="AH1598" s="36"/>
      <c r="AI1598" s="36"/>
      <c r="AJ1598" s="36"/>
    </row>
    <row r="1599" ht="15.75" customHeight="1">
      <c r="A1599" s="12"/>
      <c r="B1599" s="390"/>
      <c r="C1599" s="390"/>
      <c r="D1599" s="390"/>
      <c r="E1599" s="121"/>
      <c r="F1599" s="121"/>
      <c r="G1599" s="121"/>
      <c r="H1599" s="121"/>
      <c r="I1599" s="121"/>
      <c r="J1599" s="121"/>
      <c r="K1599" s="121"/>
      <c r="L1599" s="121"/>
      <c r="M1599" s="121"/>
      <c r="N1599" s="121"/>
      <c r="O1599" s="121"/>
      <c r="P1599" s="121"/>
      <c r="Q1599" s="121"/>
      <c r="R1599" s="121"/>
      <c r="S1599" s="121"/>
      <c r="T1599" s="121"/>
      <c r="U1599" s="121"/>
      <c r="V1599" s="121"/>
      <c r="W1599" s="121"/>
      <c r="X1599" s="121"/>
      <c r="Y1599" s="121"/>
      <c r="Z1599" s="121"/>
      <c r="AA1599" s="121"/>
      <c r="AB1599" s="121"/>
      <c r="AC1599" s="121"/>
      <c r="AD1599" s="121"/>
      <c r="AE1599" s="121"/>
      <c r="AF1599" s="36"/>
      <c r="AG1599" s="36"/>
      <c r="AH1599" s="36"/>
      <c r="AI1599" s="36"/>
      <c r="AJ1599" s="36"/>
    </row>
    <row r="1600" ht="15.75" customHeight="1">
      <c r="A1600" s="12"/>
      <c r="B1600" s="390"/>
      <c r="C1600" s="390"/>
      <c r="D1600" s="390"/>
      <c r="E1600" s="121"/>
      <c r="F1600" s="121"/>
      <c r="G1600" s="121"/>
      <c r="H1600" s="121"/>
      <c r="I1600" s="121"/>
      <c r="J1600" s="121"/>
      <c r="K1600" s="121"/>
      <c r="L1600" s="121"/>
      <c r="M1600" s="121"/>
      <c r="N1600" s="121"/>
      <c r="O1600" s="121"/>
      <c r="P1600" s="121"/>
      <c r="Q1600" s="121"/>
      <c r="R1600" s="121"/>
      <c r="S1600" s="121"/>
      <c r="T1600" s="121"/>
      <c r="U1600" s="121"/>
      <c r="V1600" s="121"/>
      <c r="W1600" s="121"/>
      <c r="X1600" s="121"/>
      <c r="Y1600" s="121"/>
      <c r="Z1600" s="121"/>
      <c r="AA1600" s="121"/>
      <c r="AB1600" s="121"/>
      <c r="AC1600" s="121"/>
      <c r="AD1600" s="121"/>
      <c r="AE1600" s="121"/>
      <c r="AF1600" s="36"/>
      <c r="AG1600" s="36"/>
      <c r="AH1600" s="36"/>
      <c r="AI1600" s="36"/>
      <c r="AJ1600" s="36"/>
    </row>
    <row r="1601" ht="15.75" customHeight="1">
      <c r="A1601" s="12"/>
      <c r="B1601" s="390"/>
      <c r="C1601" s="390"/>
      <c r="D1601" s="390"/>
      <c r="E1601" s="121"/>
      <c r="F1601" s="121"/>
      <c r="G1601" s="121"/>
      <c r="H1601" s="121"/>
      <c r="I1601" s="121"/>
      <c r="J1601" s="121"/>
      <c r="K1601" s="121"/>
      <c r="L1601" s="121"/>
      <c r="M1601" s="121"/>
      <c r="N1601" s="121"/>
      <c r="O1601" s="121"/>
      <c r="P1601" s="121"/>
      <c r="Q1601" s="121"/>
      <c r="R1601" s="121"/>
      <c r="S1601" s="121"/>
      <c r="T1601" s="121"/>
      <c r="U1601" s="121"/>
      <c r="V1601" s="121"/>
      <c r="W1601" s="121"/>
      <c r="X1601" s="121"/>
      <c r="Y1601" s="121"/>
      <c r="Z1601" s="121"/>
      <c r="AA1601" s="121"/>
      <c r="AB1601" s="121"/>
      <c r="AC1601" s="121"/>
      <c r="AD1601" s="121"/>
      <c r="AE1601" s="121"/>
      <c r="AF1601" s="36"/>
      <c r="AG1601" s="36"/>
      <c r="AH1601" s="36"/>
      <c r="AI1601" s="36"/>
      <c r="AJ1601" s="36"/>
    </row>
    <row r="1602" ht="15.75" customHeight="1">
      <c r="A1602" s="12"/>
      <c r="B1602" s="390"/>
      <c r="C1602" s="390"/>
      <c r="D1602" s="390"/>
      <c r="E1602" s="121"/>
      <c r="F1602" s="121"/>
      <c r="G1602" s="121"/>
      <c r="H1602" s="121"/>
      <c r="I1602" s="121"/>
      <c r="J1602" s="121"/>
      <c r="K1602" s="121"/>
      <c r="L1602" s="121"/>
      <c r="M1602" s="121"/>
      <c r="N1602" s="121"/>
      <c r="O1602" s="121"/>
      <c r="P1602" s="121"/>
      <c r="Q1602" s="121"/>
      <c r="R1602" s="121"/>
      <c r="S1602" s="121"/>
      <c r="T1602" s="121"/>
      <c r="U1602" s="121"/>
      <c r="V1602" s="121"/>
      <c r="W1602" s="121"/>
      <c r="X1602" s="121"/>
      <c r="Y1602" s="121"/>
      <c r="Z1602" s="121"/>
      <c r="AA1602" s="121"/>
      <c r="AB1602" s="121"/>
      <c r="AC1602" s="121"/>
      <c r="AD1602" s="121"/>
      <c r="AE1602" s="121"/>
      <c r="AF1602" s="36"/>
      <c r="AG1602" s="36"/>
      <c r="AH1602" s="36"/>
      <c r="AI1602" s="36"/>
      <c r="AJ1602" s="36"/>
    </row>
    <row r="1603" ht="15.75" customHeight="1">
      <c r="A1603" s="12"/>
      <c r="B1603" s="390"/>
      <c r="C1603" s="390"/>
      <c r="D1603" s="390"/>
      <c r="E1603" s="121"/>
      <c r="F1603" s="121"/>
      <c r="G1603" s="121"/>
      <c r="H1603" s="121"/>
      <c r="I1603" s="121"/>
      <c r="J1603" s="121"/>
      <c r="K1603" s="121"/>
      <c r="L1603" s="121"/>
      <c r="M1603" s="121"/>
      <c r="N1603" s="121"/>
      <c r="O1603" s="121"/>
      <c r="P1603" s="121"/>
      <c r="Q1603" s="121"/>
      <c r="R1603" s="121"/>
      <c r="S1603" s="121"/>
      <c r="T1603" s="121"/>
      <c r="U1603" s="121"/>
      <c r="V1603" s="121"/>
      <c r="W1603" s="121"/>
      <c r="X1603" s="121"/>
      <c r="Y1603" s="121"/>
      <c r="Z1603" s="121"/>
      <c r="AA1603" s="121"/>
      <c r="AB1603" s="121"/>
      <c r="AC1603" s="121"/>
      <c r="AD1603" s="121"/>
      <c r="AE1603" s="121"/>
      <c r="AF1603" s="36"/>
      <c r="AG1603" s="36"/>
      <c r="AH1603" s="36"/>
      <c r="AI1603" s="36"/>
      <c r="AJ1603" s="36"/>
    </row>
    <row r="1604" ht="15.75" customHeight="1">
      <c r="A1604" s="12"/>
      <c r="B1604" s="390"/>
      <c r="C1604" s="390"/>
      <c r="D1604" s="390"/>
      <c r="E1604" s="121"/>
      <c r="F1604" s="121"/>
      <c r="G1604" s="121"/>
      <c r="H1604" s="121"/>
      <c r="I1604" s="121"/>
      <c r="J1604" s="121"/>
      <c r="K1604" s="121"/>
      <c r="L1604" s="121"/>
      <c r="M1604" s="121"/>
      <c r="N1604" s="121"/>
      <c r="O1604" s="121"/>
      <c r="P1604" s="121"/>
      <c r="Q1604" s="121"/>
      <c r="R1604" s="121"/>
      <c r="S1604" s="121"/>
      <c r="T1604" s="121"/>
      <c r="U1604" s="121"/>
      <c r="V1604" s="121"/>
      <c r="W1604" s="121"/>
      <c r="X1604" s="121"/>
      <c r="Y1604" s="121"/>
      <c r="Z1604" s="121"/>
      <c r="AA1604" s="121"/>
      <c r="AB1604" s="121"/>
      <c r="AC1604" s="121"/>
      <c r="AD1604" s="121"/>
      <c r="AE1604" s="121"/>
      <c r="AF1604" s="36"/>
      <c r="AG1604" s="36"/>
      <c r="AH1604" s="36"/>
      <c r="AI1604" s="36"/>
      <c r="AJ1604" s="36"/>
    </row>
    <row r="1605" ht="15.75" customHeight="1">
      <c r="A1605" s="12"/>
      <c r="B1605" s="390"/>
      <c r="C1605" s="390"/>
      <c r="D1605" s="390"/>
      <c r="E1605" s="121"/>
      <c r="F1605" s="121"/>
      <c r="G1605" s="121"/>
      <c r="H1605" s="121"/>
      <c r="I1605" s="121"/>
      <c r="J1605" s="121"/>
      <c r="K1605" s="121"/>
      <c r="L1605" s="121"/>
      <c r="M1605" s="121"/>
      <c r="N1605" s="121"/>
      <c r="O1605" s="121"/>
      <c r="P1605" s="121"/>
      <c r="Q1605" s="121"/>
      <c r="R1605" s="121"/>
      <c r="S1605" s="121"/>
      <c r="T1605" s="121"/>
      <c r="U1605" s="121"/>
      <c r="V1605" s="121"/>
      <c r="W1605" s="121"/>
      <c r="X1605" s="121"/>
      <c r="Y1605" s="121"/>
      <c r="Z1605" s="121"/>
      <c r="AA1605" s="121"/>
      <c r="AB1605" s="121"/>
      <c r="AC1605" s="121"/>
      <c r="AD1605" s="121"/>
      <c r="AE1605" s="121"/>
      <c r="AF1605" s="36"/>
      <c r="AG1605" s="36"/>
      <c r="AH1605" s="36"/>
      <c r="AI1605" s="36"/>
      <c r="AJ1605" s="36"/>
    </row>
    <row r="1606" ht="15.75" customHeight="1">
      <c r="A1606" s="12"/>
      <c r="B1606" s="390"/>
      <c r="C1606" s="390"/>
      <c r="D1606" s="390"/>
      <c r="E1606" s="121"/>
      <c r="F1606" s="121"/>
      <c r="G1606" s="121"/>
      <c r="H1606" s="121"/>
      <c r="I1606" s="121"/>
      <c r="J1606" s="121"/>
      <c r="K1606" s="121"/>
      <c r="L1606" s="121"/>
      <c r="M1606" s="121"/>
      <c r="N1606" s="121"/>
      <c r="O1606" s="121"/>
      <c r="P1606" s="121"/>
      <c r="Q1606" s="121"/>
      <c r="R1606" s="121"/>
      <c r="S1606" s="121"/>
      <c r="T1606" s="121"/>
      <c r="U1606" s="121"/>
      <c r="V1606" s="121"/>
      <c r="W1606" s="121"/>
      <c r="X1606" s="121"/>
      <c r="Y1606" s="121"/>
      <c r="Z1606" s="121"/>
      <c r="AA1606" s="121"/>
      <c r="AB1606" s="121"/>
      <c r="AC1606" s="121"/>
      <c r="AD1606" s="121"/>
      <c r="AE1606" s="121"/>
      <c r="AF1606" s="36"/>
      <c r="AG1606" s="36"/>
      <c r="AH1606" s="36"/>
      <c r="AI1606" s="36"/>
      <c r="AJ1606" s="36"/>
    </row>
    <row r="1607" ht="15.75" customHeight="1">
      <c r="A1607" s="12"/>
      <c r="B1607" s="390"/>
      <c r="C1607" s="390"/>
      <c r="D1607" s="390"/>
      <c r="E1607" s="121"/>
      <c r="F1607" s="121"/>
      <c r="G1607" s="121"/>
      <c r="H1607" s="121"/>
      <c r="I1607" s="121"/>
      <c r="J1607" s="121"/>
      <c r="K1607" s="121"/>
      <c r="L1607" s="121"/>
      <c r="M1607" s="121"/>
      <c r="N1607" s="121"/>
      <c r="O1607" s="121"/>
      <c r="P1607" s="121"/>
      <c r="Q1607" s="121"/>
      <c r="R1607" s="121"/>
      <c r="S1607" s="121"/>
      <c r="T1607" s="121"/>
      <c r="U1607" s="121"/>
      <c r="V1607" s="121"/>
      <c r="W1607" s="121"/>
      <c r="X1607" s="121"/>
      <c r="Y1607" s="121"/>
      <c r="Z1607" s="121"/>
      <c r="AA1607" s="121"/>
      <c r="AB1607" s="121"/>
      <c r="AC1607" s="121"/>
      <c r="AD1607" s="121"/>
      <c r="AE1607" s="121"/>
      <c r="AF1607" s="36"/>
      <c r="AG1607" s="36"/>
      <c r="AH1607" s="36"/>
      <c r="AI1607" s="36"/>
      <c r="AJ1607" s="36"/>
    </row>
    <row r="1608" ht="15.75" customHeight="1">
      <c r="A1608" s="12"/>
      <c r="B1608" s="390"/>
      <c r="C1608" s="390"/>
      <c r="D1608" s="390"/>
      <c r="E1608" s="121"/>
      <c r="F1608" s="121"/>
      <c r="G1608" s="121"/>
      <c r="H1608" s="121"/>
      <c r="I1608" s="121"/>
      <c r="J1608" s="121"/>
      <c r="K1608" s="121"/>
      <c r="L1608" s="121"/>
      <c r="M1608" s="121"/>
      <c r="N1608" s="121"/>
      <c r="O1608" s="121"/>
      <c r="P1608" s="121"/>
      <c r="Q1608" s="121"/>
      <c r="R1608" s="121"/>
      <c r="S1608" s="121"/>
      <c r="T1608" s="121"/>
      <c r="U1608" s="121"/>
      <c r="V1608" s="121"/>
      <c r="W1608" s="121"/>
      <c r="X1608" s="121"/>
      <c r="Y1608" s="121"/>
      <c r="Z1608" s="121"/>
      <c r="AA1608" s="121"/>
      <c r="AB1608" s="121"/>
      <c r="AC1608" s="121"/>
      <c r="AD1608" s="121"/>
      <c r="AE1608" s="121"/>
      <c r="AF1608" s="36"/>
      <c r="AG1608" s="36"/>
      <c r="AH1608" s="36"/>
      <c r="AI1608" s="36"/>
      <c r="AJ1608" s="36"/>
    </row>
    <row r="1609" ht="15.75" customHeight="1">
      <c r="A1609" s="12"/>
      <c r="B1609" s="390"/>
      <c r="C1609" s="390"/>
      <c r="D1609" s="390"/>
      <c r="E1609" s="121"/>
      <c r="F1609" s="121"/>
      <c r="G1609" s="121"/>
      <c r="H1609" s="121"/>
      <c r="I1609" s="121"/>
      <c r="J1609" s="121"/>
      <c r="K1609" s="121"/>
      <c r="L1609" s="121"/>
      <c r="M1609" s="121"/>
      <c r="N1609" s="121"/>
      <c r="O1609" s="121"/>
      <c r="P1609" s="121"/>
      <c r="Q1609" s="121"/>
      <c r="R1609" s="121"/>
      <c r="S1609" s="121"/>
      <c r="T1609" s="121"/>
      <c r="U1609" s="121"/>
      <c r="V1609" s="121"/>
      <c r="W1609" s="121"/>
      <c r="X1609" s="121"/>
      <c r="Y1609" s="121"/>
      <c r="Z1609" s="121"/>
      <c r="AA1609" s="121"/>
      <c r="AB1609" s="121"/>
      <c r="AC1609" s="121"/>
      <c r="AD1609" s="121"/>
      <c r="AE1609" s="121"/>
      <c r="AF1609" s="36"/>
      <c r="AG1609" s="36"/>
      <c r="AH1609" s="36"/>
      <c r="AI1609" s="36"/>
      <c r="AJ1609" s="36"/>
    </row>
    <row r="1610" ht="15.75" customHeight="1">
      <c r="A1610" s="12"/>
      <c r="B1610" s="390"/>
      <c r="C1610" s="390"/>
      <c r="D1610" s="390"/>
      <c r="E1610" s="121"/>
      <c r="F1610" s="121"/>
      <c r="G1610" s="121"/>
      <c r="H1610" s="121"/>
      <c r="I1610" s="121"/>
      <c r="J1610" s="121"/>
      <c r="K1610" s="121"/>
      <c r="L1610" s="121"/>
      <c r="M1610" s="121"/>
      <c r="N1610" s="121"/>
      <c r="O1610" s="121"/>
      <c r="P1610" s="121"/>
      <c r="Q1610" s="121"/>
      <c r="R1610" s="121"/>
      <c r="S1610" s="121"/>
      <c r="T1610" s="121"/>
      <c r="U1610" s="121"/>
      <c r="V1610" s="121"/>
      <c r="W1610" s="121"/>
      <c r="X1610" s="121"/>
      <c r="Y1610" s="121"/>
      <c r="Z1610" s="121"/>
      <c r="AA1610" s="121"/>
      <c r="AB1610" s="121"/>
      <c r="AC1610" s="121"/>
      <c r="AD1610" s="121"/>
      <c r="AE1610" s="121"/>
      <c r="AF1610" s="36"/>
      <c r="AG1610" s="36"/>
      <c r="AH1610" s="36"/>
      <c r="AI1610" s="36"/>
      <c r="AJ1610" s="36"/>
    </row>
    <row r="1611" ht="15.75" customHeight="1">
      <c r="A1611" s="12"/>
      <c r="B1611" s="390"/>
      <c r="C1611" s="390"/>
      <c r="D1611" s="390"/>
      <c r="E1611" s="121"/>
      <c r="F1611" s="121"/>
      <c r="G1611" s="121"/>
      <c r="H1611" s="121"/>
      <c r="I1611" s="121"/>
      <c r="J1611" s="121"/>
      <c r="K1611" s="121"/>
      <c r="L1611" s="121"/>
      <c r="M1611" s="121"/>
      <c r="N1611" s="121"/>
      <c r="O1611" s="121"/>
      <c r="P1611" s="121"/>
      <c r="Q1611" s="121"/>
      <c r="R1611" s="121"/>
      <c r="S1611" s="121"/>
      <c r="T1611" s="121"/>
      <c r="U1611" s="121"/>
      <c r="V1611" s="121"/>
      <c r="W1611" s="121"/>
      <c r="X1611" s="121"/>
      <c r="Y1611" s="121"/>
      <c r="Z1611" s="121"/>
      <c r="AA1611" s="121"/>
      <c r="AB1611" s="121"/>
      <c r="AC1611" s="121"/>
      <c r="AD1611" s="121"/>
      <c r="AE1611" s="121"/>
      <c r="AF1611" s="36"/>
      <c r="AG1611" s="36"/>
      <c r="AH1611" s="36"/>
      <c r="AI1611" s="36"/>
      <c r="AJ1611" s="36"/>
    </row>
    <row r="1612" ht="15.75" customHeight="1">
      <c r="A1612" s="12"/>
      <c r="B1612" s="390"/>
      <c r="C1612" s="390"/>
      <c r="D1612" s="390"/>
      <c r="E1612" s="121"/>
      <c r="F1612" s="121"/>
      <c r="G1612" s="121"/>
      <c r="H1612" s="121"/>
      <c r="I1612" s="121"/>
      <c r="J1612" s="121"/>
      <c r="K1612" s="121"/>
      <c r="L1612" s="121"/>
      <c r="M1612" s="121"/>
      <c r="N1612" s="121"/>
      <c r="O1612" s="121"/>
      <c r="P1612" s="121"/>
      <c r="Q1612" s="121"/>
      <c r="R1612" s="121"/>
      <c r="S1612" s="121"/>
      <c r="T1612" s="121"/>
      <c r="U1612" s="121"/>
      <c r="V1612" s="121"/>
      <c r="W1612" s="121"/>
      <c r="X1612" s="121"/>
      <c r="Y1612" s="121"/>
      <c r="Z1612" s="121"/>
      <c r="AA1612" s="121"/>
      <c r="AB1612" s="121"/>
      <c r="AC1612" s="121"/>
      <c r="AD1612" s="121"/>
      <c r="AE1612" s="121"/>
      <c r="AF1612" s="36"/>
      <c r="AG1612" s="36"/>
      <c r="AH1612" s="36"/>
      <c r="AI1612" s="36"/>
      <c r="AJ1612" s="36"/>
    </row>
    <row r="1613" ht="15.75" customHeight="1">
      <c r="A1613" s="12"/>
      <c r="B1613" s="390"/>
      <c r="C1613" s="390"/>
      <c r="D1613" s="390"/>
      <c r="E1613" s="121"/>
      <c r="F1613" s="121"/>
      <c r="G1613" s="121"/>
      <c r="H1613" s="121"/>
      <c r="I1613" s="121"/>
      <c r="J1613" s="121"/>
      <c r="K1613" s="121"/>
      <c r="L1613" s="121"/>
      <c r="M1613" s="121"/>
      <c r="N1613" s="121"/>
      <c r="O1613" s="121"/>
      <c r="P1613" s="121"/>
      <c r="Q1613" s="121"/>
      <c r="R1613" s="121"/>
      <c r="S1613" s="121"/>
      <c r="T1613" s="121"/>
      <c r="U1613" s="121"/>
      <c r="V1613" s="121"/>
      <c r="W1613" s="121"/>
      <c r="X1613" s="121"/>
      <c r="Y1613" s="121"/>
      <c r="Z1613" s="121"/>
      <c r="AA1613" s="121"/>
      <c r="AB1613" s="121"/>
      <c r="AC1613" s="121"/>
      <c r="AD1613" s="121"/>
      <c r="AE1613" s="121"/>
      <c r="AF1613" s="36"/>
      <c r="AG1613" s="36"/>
      <c r="AH1613" s="36"/>
      <c r="AI1613" s="36"/>
      <c r="AJ1613" s="36"/>
    </row>
    <row r="1614" ht="15.75" customHeight="1">
      <c r="A1614" s="12"/>
      <c r="B1614" s="390"/>
      <c r="C1614" s="390"/>
      <c r="D1614" s="390"/>
      <c r="E1614" s="121"/>
      <c r="F1614" s="121"/>
      <c r="G1614" s="121"/>
      <c r="H1614" s="121"/>
      <c r="I1614" s="121"/>
      <c r="J1614" s="121"/>
      <c r="K1614" s="121"/>
      <c r="L1614" s="121"/>
      <c r="M1614" s="121"/>
      <c r="N1614" s="121"/>
      <c r="O1614" s="121"/>
      <c r="P1614" s="121"/>
      <c r="Q1614" s="121"/>
      <c r="R1614" s="121"/>
      <c r="S1614" s="121"/>
      <c r="T1614" s="121"/>
      <c r="U1614" s="121"/>
      <c r="V1614" s="121"/>
      <c r="W1614" s="121"/>
      <c r="X1614" s="121"/>
      <c r="Y1614" s="121"/>
      <c r="Z1614" s="121"/>
      <c r="AA1614" s="121"/>
      <c r="AB1614" s="121"/>
      <c r="AC1614" s="121"/>
      <c r="AD1614" s="121"/>
      <c r="AE1614" s="121"/>
      <c r="AF1614" s="36"/>
      <c r="AG1614" s="36"/>
      <c r="AH1614" s="36"/>
      <c r="AI1614" s="36"/>
      <c r="AJ1614" s="36"/>
    </row>
    <row r="1615" ht="15.75" customHeight="1">
      <c r="A1615" s="12"/>
      <c r="B1615" s="390"/>
      <c r="C1615" s="390"/>
      <c r="D1615" s="390"/>
      <c r="E1615" s="121"/>
      <c r="F1615" s="121"/>
      <c r="G1615" s="121"/>
      <c r="H1615" s="121"/>
      <c r="I1615" s="121"/>
      <c r="J1615" s="121"/>
      <c r="K1615" s="121"/>
      <c r="L1615" s="121"/>
      <c r="M1615" s="121"/>
      <c r="N1615" s="121"/>
      <c r="O1615" s="121"/>
      <c r="P1615" s="121"/>
      <c r="Q1615" s="121"/>
      <c r="R1615" s="121"/>
      <c r="S1615" s="121"/>
      <c r="T1615" s="121"/>
      <c r="U1615" s="121"/>
      <c r="V1615" s="121"/>
      <c r="W1615" s="121"/>
      <c r="X1615" s="121"/>
      <c r="Y1615" s="121"/>
      <c r="Z1615" s="121"/>
      <c r="AA1615" s="121"/>
      <c r="AB1615" s="121"/>
      <c r="AC1615" s="121"/>
      <c r="AD1615" s="121"/>
      <c r="AE1615" s="121"/>
      <c r="AF1615" s="36"/>
      <c r="AG1615" s="36"/>
      <c r="AH1615" s="36"/>
      <c r="AI1615" s="36"/>
      <c r="AJ1615" s="36"/>
    </row>
    <row r="1616" ht="15.75" customHeight="1">
      <c r="A1616" s="12"/>
      <c r="B1616" s="390"/>
      <c r="C1616" s="390"/>
      <c r="D1616" s="390"/>
      <c r="E1616" s="121"/>
      <c r="F1616" s="121"/>
      <c r="G1616" s="121"/>
      <c r="H1616" s="121"/>
      <c r="I1616" s="121"/>
      <c r="J1616" s="121"/>
      <c r="K1616" s="121"/>
      <c r="L1616" s="121"/>
      <c r="M1616" s="121"/>
      <c r="N1616" s="121"/>
      <c r="O1616" s="121"/>
      <c r="P1616" s="121"/>
      <c r="Q1616" s="121"/>
      <c r="R1616" s="121"/>
      <c r="S1616" s="121"/>
      <c r="T1616" s="121"/>
      <c r="U1616" s="121"/>
      <c r="V1616" s="121"/>
      <c r="W1616" s="121"/>
      <c r="X1616" s="121"/>
      <c r="Y1616" s="121"/>
      <c r="Z1616" s="121"/>
      <c r="AA1616" s="121"/>
      <c r="AB1616" s="121"/>
      <c r="AC1616" s="121"/>
      <c r="AD1616" s="121"/>
      <c r="AE1616" s="121"/>
      <c r="AF1616" s="36"/>
      <c r="AG1616" s="36"/>
      <c r="AH1616" s="36"/>
      <c r="AI1616" s="36"/>
      <c r="AJ1616" s="36"/>
    </row>
    <row r="1617" ht="15.75" customHeight="1">
      <c r="A1617" s="12"/>
      <c r="B1617" s="390"/>
      <c r="C1617" s="390"/>
      <c r="D1617" s="390"/>
      <c r="E1617" s="121"/>
      <c r="F1617" s="121"/>
      <c r="G1617" s="121"/>
      <c r="H1617" s="121"/>
      <c r="I1617" s="121"/>
      <c r="J1617" s="121"/>
      <c r="K1617" s="121"/>
      <c r="L1617" s="121"/>
      <c r="M1617" s="121"/>
      <c r="N1617" s="121"/>
      <c r="O1617" s="121"/>
      <c r="P1617" s="121"/>
      <c r="Q1617" s="121"/>
      <c r="R1617" s="121"/>
      <c r="S1617" s="121"/>
      <c r="T1617" s="121"/>
      <c r="U1617" s="121"/>
      <c r="V1617" s="121"/>
      <c r="W1617" s="121"/>
      <c r="X1617" s="121"/>
      <c r="Y1617" s="121"/>
      <c r="Z1617" s="121"/>
      <c r="AA1617" s="121"/>
      <c r="AB1617" s="121"/>
      <c r="AC1617" s="121"/>
      <c r="AD1617" s="121"/>
      <c r="AE1617" s="121"/>
      <c r="AF1617" s="36"/>
      <c r="AG1617" s="36"/>
      <c r="AH1617" s="36"/>
      <c r="AI1617" s="36"/>
      <c r="AJ1617" s="36"/>
    </row>
    <row r="1618" ht="15.75" customHeight="1">
      <c r="A1618" s="12"/>
      <c r="B1618" s="390"/>
      <c r="C1618" s="390"/>
      <c r="D1618" s="390"/>
      <c r="E1618" s="121"/>
      <c r="F1618" s="121"/>
      <c r="G1618" s="121"/>
      <c r="H1618" s="121"/>
      <c r="I1618" s="121"/>
      <c r="J1618" s="121"/>
      <c r="K1618" s="121"/>
      <c r="L1618" s="121"/>
      <c r="M1618" s="121"/>
      <c r="N1618" s="121"/>
      <c r="O1618" s="121"/>
      <c r="P1618" s="121"/>
      <c r="Q1618" s="121"/>
      <c r="R1618" s="121"/>
      <c r="S1618" s="121"/>
      <c r="T1618" s="121"/>
      <c r="U1618" s="121"/>
      <c r="V1618" s="121"/>
      <c r="W1618" s="121"/>
      <c r="X1618" s="121"/>
      <c r="Y1618" s="121"/>
      <c r="Z1618" s="121"/>
      <c r="AA1618" s="121"/>
      <c r="AB1618" s="121"/>
      <c r="AC1618" s="121"/>
      <c r="AD1618" s="121"/>
      <c r="AE1618" s="121"/>
      <c r="AF1618" s="36"/>
      <c r="AG1618" s="36"/>
      <c r="AH1618" s="36"/>
      <c r="AI1618" s="36"/>
      <c r="AJ1618" s="36"/>
    </row>
    <row r="1619" ht="15.75" customHeight="1">
      <c r="A1619" s="12"/>
      <c r="B1619" s="390"/>
      <c r="C1619" s="390"/>
      <c r="D1619" s="390"/>
      <c r="E1619" s="121"/>
      <c r="F1619" s="121"/>
      <c r="G1619" s="121"/>
      <c r="H1619" s="121"/>
      <c r="I1619" s="121"/>
      <c r="J1619" s="121"/>
      <c r="K1619" s="121"/>
      <c r="L1619" s="121"/>
      <c r="M1619" s="121"/>
      <c r="N1619" s="121"/>
      <c r="O1619" s="121"/>
      <c r="P1619" s="121"/>
      <c r="Q1619" s="121"/>
      <c r="R1619" s="121"/>
      <c r="S1619" s="121"/>
      <c r="T1619" s="121"/>
      <c r="U1619" s="121"/>
      <c r="V1619" s="121"/>
      <c r="W1619" s="121"/>
      <c r="X1619" s="121"/>
      <c r="Y1619" s="121"/>
      <c r="Z1619" s="121"/>
      <c r="AA1619" s="121"/>
      <c r="AB1619" s="121"/>
      <c r="AC1619" s="121"/>
      <c r="AD1619" s="121"/>
      <c r="AE1619" s="121"/>
      <c r="AF1619" s="36"/>
      <c r="AG1619" s="36"/>
      <c r="AH1619" s="36"/>
      <c r="AI1619" s="36"/>
      <c r="AJ1619" s="36"/>
    </row>
    <row r="1620" ht="15.75" customHeight="1">
      <c r="A1620" s="12"/>
      <c r="B1620" s="390"/>
      <c r="C1620" s="390"/>
      <c r="D1620" s="390"/>
      <c r="E1620" s="121"/>
      <c r="F1620" s="121"/>
      <c r="G1620" s="121"/>
      <c r="H1620" s="121"/>
      <c r="I1620" s="121"/>
      <c r="J1620" s="121"/>
      <c r="K1620" s="121"/>
      <c r="L1620" s="121"/>
      <c r="M1620" s="121"/>
      <c r="N1620" s="121"/>
      <c r="O1620" s="121"/>
      <c r="P1620" s="121"/>
      <c r="Q1620" s="121"/>
      <c r="R1620" s="121"/>
      <c r="S1620" s="121"/>
      <c r="T1620" s="121"/>
      <c r="U1620" s="121"/>
      <c r="V1620" s="121"/>
      <c r="W1620" s="121"/>
      <c r="X1620" s="121"/>
      <c r="Y1620" s="121"/>
      <c r="Z1620" s="121"/>
      <c r="AA1620" s="121"/>
      <c r="AB1620" s="121"/>
      <c r="AC1620" s="121"/>
      <c r="AD1620" s="121"/>
      <c r="AE1620" s="121"/>
      <c r="AF1620" s="36"/>
      <c r="AG1620" s="36"/>
      <c r="AH1620" s="36"/>
      <c r="AI1620" s="36"/>
      <c r="AJ1620" s="36"/>
    </row>
    <row r="1621" ht="15.75" customHeight="1">
      <c r="A1621" s="12"/>
      <c r="B1621" s="390"/>
      <c r="C1621" s="390"/>
      <c r="D1621" s="390"/>
      <c r="E1621" s="121"/>
      <c r="F1621" s="121"/>
      <c r="G1621" s="121"/>
      <c r="H1621" s="121"/>
      <c r="I1621" s="121"/>
      <c r="J1621" s="121"/>
      <c r="K1621" s="121"/>
      <c r="L1621" s="121"/>
      <c r="M1621" s="121"/>
      <c r="N1621" s="121"/>
      <c r="O1621" s="121"/>
      <c r="P1621" s="121"/>
      <c r="Q1621" s="121"/>
      <c r="R1621" s="121"/>
      <c r="S1621" s="121"/>
      <c r="T1621" s="121"/>
      <c r="U1621" s="121"/>
      <c r="V1621" s="121"/>
      <c r="W1621" s="121"/>
      <c r="X1621" s="121"/>
      <c r="Y1621" s="121"/>
      <c r="Z1621" s="121"/>
      <c r="AA1621" s="121"/>
      <c r="AB1621" s="121"/>
      <c r="AC1621" s="121"/>
      <c r="AD1621" s="121"/>
      <c r="AE1621" s="121"/>
      <c r="AF1621" s="36"/>
      <c r="AG1621" s="36"/>
      <c r="AH1621" s="36"/>
      <c r="AI1621" s="36"/>
      <c r="AJ1621" s="36"/>
    </row>
    <row r="1622" ht="15.75" customHeight="1">
      <c r="A1622" s="12"/>
      <c r="B1622" s="390"/>
      <c r="C1622" s="390"/>
      <c r="D1622" s="390"/>
      <c r="E1622" s="121"/>
      <c r="F1622" s="121"/>
      <c r="G1622" s="121"/>
      <c r="H1622" s="121"/>
      <c r="I1622" s="121"/>
      <c r="J1622" s="121"/>
      <c r="K1622" s="121"/>
      <c r="L1622" s="121"/>
      <c r="M1622" s="121"/>
      <c r="N1622" s="121"/>
      <c r="O1622" s="121"/>
      <c r="P1622" s="121"/>
      <c r="Q1622" s="121"/>
      <c r="R1622" s="121"/>
      <c r="S1622" s="121"/>
      <c r="T1622" s="121"/>
      <c r="U1622" s="121"/>
      <c r="V1622" s="121"/>
      <c r="W1622" s="121"/>
      <c r="X1622" s="121"/>
      <c r="Y1622" s="121"/>
      <c r="Z1622" s="121"/>
      <c r="AA1622" s="121"/>
      <c r="AB1622" s="121"/>
      <c r="AC1622" s="121"/>
      <c r="AD1622" s="121"/>
      <c r="AE1622" s="121"/>
      <c r="AF1622" s="36"/>
      <c r="AG1622" s="36"/>
      <c r="AH1622" s="36"/>
      <c r="AI1622" s="36"/>
      <c r="AJ1622" s="36"/>
    </row>
    <row r="1623" ht="15.75" customHeight="1">
      <c r="A1623" s="12"/>
      <c r="B1623" s="390"/>
      <c r="C1623" s="390"/>
      <c r="D1623" s="390"/>
      <c r="E1623" s="121"/>
      <c r="F1623" s="121"/>
      <c r="G1623" s="121"/>
      <c r="H1623" s="121"/>
      <c r="I1623" s="121"/>
      <c r="J1623" s="121"/>
      <c r="K1623" s="121"/>
      <c r="L1623" s="121"/>
      <c r="M1623" s="121"/>
      <c r="N1623" s="121"/>
      <c r="O1623" s="121"/>
      <c r="P1623" s="121"/>
      <c r="Q1623" s="121"/>
      <c r="R1623" s="121"/>
      <c r="S1623" s="121"/>
      <c r="T1623" s="121"/>
      <c r="U1623" s="121"/>
      <c r="V1623" s="121"/>
      <c r="W1623" s="121"/>
      <c r="X1623" s="121"/>
      <c r="Y1623" s="121"/>
      <c r="Z1623" s="121"/>
      <c r="AA1623" s="121"/>
      <c r="AB1623" s="121"/>
      <c r="AC1623" s="121"/>
      <c r="AD1623" s="121"/>
      <c r="AE1623" s="121"/>
      <c r="AF1623" s="36"/>
      <c r="AG1623" s="36"/>
      <c r="AH1623" s="36"/>
      <c r="AI1623" s="36"/>
      <c r="AJ1623" s="36"/>
    </row>
    <row r="1624" ht="15.75" customHeight="1">
      <c r="A1624" s="12"/>
      <c r="B1624" s="390"/>
      <c r="C1624" s="390"/>
      <c r="D1624" s="390"/>
      <c r="E1624" s="121"/>
      <c r="F1624" s="121"/>
      <c r="G1624" s="121"/>
      <c r="H1624" s="121"/>
      <c r="I1624" s="121"/>
      <c r="J1624" s="121"/>
      <c r="K1624" s="121"/>
      <c r="L1624" s="121"/>
      <c r="M1624" s="121"/>
      <c r="N1624" s="121"/>
      <c r="O1624" s="121"/>
      <c r="P1624" s="121"/>
      <c r="Q1624" s="121"/>
      <c r="R1624" s="121"/>
      <c r="S1624" s="121"/>
      <c r="T1624" s="121"/>
      <c r="U1624" s="121"/>
      <c r="V1624" s="121"/>
      <c r="W1624" s="121"/>
      <c r="X1624" s="121"/>
      <c r="Y1624" s="121"/>
      <c r="Z1624" s="121"/>
      <c r="AA1624" s="121"/>
      <c r="AB1624" s="121"/>
      <c r="AC1624" s="121"/>
      <c r="AD1624" s="121"/>
      <c r="AE1624" s="121"/>
      <c r="AF1624" s="36"/>
      <c r="AG1624" s="36"/>
      <c r="AH1624" s="36"/>
      <c r="AI1624" s="36"/>
      <c r="AJ1624" s="36"/>
    </row>
    <row r="1625" ht="15.75" customHeight="1">
      <c r="A1625" s="12"/>
      <c r="B1625" s="390"/>
      <c r="C1625" s="390"/>
      <c r="D1625" s="390"/>
      <c r="E1625" s="121"/>
      <c r="F1625" s="121"/>
      <c r="G1625" s="121"/>
      <c r="H1625" s="121"/>
      <c r="I1625" s="121"/>
      <c r="J1625" s="121"/>
      <c r="K1625" s="121"/>
      <c r="L1625" s="121"/>
      <c r="M1625" s="121"/>
      <c r="N1625" s="121"/>
      <c r="O1625" s="121"/>
      <c r="P1625" s="121"/>
      <c r="Q1625" s="121"/>
      <c r="R1625" s="121"/>
      <c r="S1625" s="121"/>
      <c r="T1625" s="121"/>
      <c r="U1625" s="121"/>
      <c r="V1625" s="121"/>
      <c r="W1625" s="121"/>
      <c r="X1625" s="121"/>
      <c r="Y1625" s="121"/>
      <c r="Z1625" s="121"/>
      <c r="AA1625" s="121"/>
      <c r="AB1625" s="121"/>
      <c r="AC1625" s="121"/>
      <c r="AD1625" s="121"/>
      <c r="AE1625" s="121"/>
      <c r="AF1625" s="36"/>
      <c r="AG1625" s="36"/>
      <c r="AH1625" s="36"/>
      <c r="AI1625" s="36"/>
      <c r="AJ1625" s="36"/>
    </row>
    <row r="1626" ht="15.75" customHeight="1">
      <c r="A1626" s="12"/>
      <c r="B1626" s="390"/>
      <c r="C1626" s="390"/>
      <c r="D1626" s="390"/>
      <c r="E1626" s="121"/>
      <c r="F1626" s="121"/>
      <c r="G1626" s="121"/>
      <c r="H1626" s="121"/>
      <c r="I1626" s="121"/>
      <c r="J1626" s="121"/>
      <c r="K1626" s="121"/>
      <c r="L1626" s="121"/>
      <c r="M1626" s="121"/>
      <c r="N1626" s="121"/>
      <c r="O1626" s="121"/>
      <c r="P1626" s="121"/>
      <c r="Q1626" s="121"/>
      <c r="R1626" s="121"/>
      <c r="S1626" s="121"/>
      <c r="T1626" s="121"/>
      <c r="U1626" s="121"/>
      <c r="V1626" s="121"/>
      <c r="W1626" s="121"/>
      <c r="X1626" s="121"/>
      <c r="Y1626" s="121"/>
      <c r="Z1626" s="121"/>
      <c r="AA1626" s="121"/>
      <c r="AB1626" s="121"/>
      <c r="AC1626" s="121"/>
      <c r="AD1626" s="121"/>
      <c r="AE1626" s="121"/>
      <c r="AF1626" s="36"/>
      <c r="AG1626" s="36"/>
      <c r="AH1626" s="36"/>
      <c r="AI1626" s="36"/>
      <c r="AJ1626" s="36"/>
    </row>
    <row r="1627" ht="15.75" customHeight="1">
      <c r="A1627" s="12"/>
      <c r="B1627" s="390"/>
      <c r="C1627" s="390"/>
      <c r="D1627" s="390"/>
      <c r="E1627" s="121"/>
      <c r="F1627" s="121"/>
      <c r="G1627" s="121"/>
      <c r="H1627" s="121"/>
      <c r="I1627" s="121"/>
      <c r="J1627" s="121"/>
      <c r="K1627" s="121"/>
      <c r="L1627" s="121"/>
      <c r="M1627" s="121"/>
      <c r="N1627" s="121"/>
      <c r="O1627" s="121"/>
      <c r="P1627" s="121"/>
      <c r="Q1627" s="121"/>
      <c r="R1627" s="121"/>
      <c r="S1627" s="121"/>
      <c r="T1627" s="121"/>
      <c r="U1627" s="121"/>
      <c r="V1627" s="121"/>
      <c r="W1627" s="121"/>
      <c r="X1627" s="121"/>
      <c r="Y1627" s="121"/>
      <c r="Z1627" s="121"/>
      <c r="AA1627" s="121"/>
      <c r="AB1627" s="121"/>
      <c r="AC1627" s="121"/>
      <c r="AD1627" s="121"/>
      <c r="AE1627" s="121"/>
      <c r="AF1627" s="36"/>
      <c r="AG1627" s="36"/>
      <c r="AH1627" s="36"/>
      <c r="AI1627" s="36"/>
      <c r="AJ1627" s="36"/>
    </row>
    <row r="1628" ht="15.75" customHeight="1">
      <c r="A1628" s="12"/>
      <c r="B1628" s="390"/>
      <c r="C1628" s="390"/>
      <c r="D1628" s="390"/>
      <c r="E1628" s="121"/>
      <c r="F1628" s="121"/>
      <c r="G1628" s="121"/>
      <c r="H1628" s="121"/>
      <c r="I1628" s="121"/>
      <c r="J1628" s="121"/>
      <c r="K1628" s="121"/>
      <c r="L1628" s="121"/>
      <c r="M1628" s="121"/>
      <c r="N1628" s="121"/>
      <c r="O1628" s="121"/>
      <c r="P1628" s="121"/>
      <c r="Q1628" s="121"/>
      <c r="R1628" s="121"/>
      <c r="S1628" s="121"/>
      <c r="T1628" s="121"/>
      <c r="U1628" s="121"/>
      <c r="V1628" s="121"/>
      <c r="W1628" s="121"/>
      <c r="X1628" s="121"/>
      <c r="Y1628" s="121"/>
      <c r="Z1628" s="121"/>
      <c r="AA1628" s="121"/>
      <c r="AB1628" s="121"/>
      <c r="AC1628" s="121"/>
      <c r="AD1628" s="121"/>
      <c r="AE1628" s="121"/>
      <c r="AF1628" s="36"/>
      <c r="AG1628" s="36"/>
      <c r="AH1628" s="36"/>
      <c r="AI1628" s="36"/>
      <c r="AJ1628" s="36"/>
    </row>
    <row r="1629" ht="15.75" customHeight="1">
      <c r="A1629" s="12"/>
      <c r="B1629" s="390"/>
      <c r="C1629" s="390"/>
      <c r="D1629" s="390"/>
      <c r="E1629" s="121"/>
      <c r="F1629" s="121"/>
      <c r="G1629" s="121"/>
      <c r="H1629" s="121"/>
      <c r="I1629" s="121"/>
      <c r="J1629" s="121"/>
      <c r="K1629" s="121"/>
      <c r="L1629" s="121"/>
      <c r="M1629" s="121"/>
      <c r="N1629" s="121"/>
      <c r="O1629" s="121"/>
      <c r="P1629" s="121"/>
      <c r="Q1629" s="121"/>
      <c r="R1629" s="121"/>
      <c r="S1629" s="121"/>
      <c r="T1629" s="121"/>
      <c r="U1629" s="121"/>
      <c r="V1629" s="121"/>
      <c r="W1629" s="121"/>
      <c r="X1629" s="121"/>
      <c r="Y1629" s="121"/>
      <c r="Z1629" s="121"/>
      <c r="AA1629" s="121"/>
      <c r="AB1629" s="121"/>
      <c r="AC1629" s="121"/>
      <c r="AD1629" s="121"/>
      <c r="AE1629" s="121"/>
      <c r="AF1629" s="36"/>
      <c r="AG1629" s="36"/>
      <c r="AH1629" s="36"/>
      <c r="AI1629" s="36"/>
      <c r="AJ1629" s="36"/>
    </row>
    <row r="1630" ht="15.75" customHeight="1">
      <c r="A1630" s="12"/>
      <c r="B1630" s="390"/>
      <c r="C1630" s="390"/>
      <c r="D1630" s="390"/>
      <c r="E1630" s="121"/>
      <c r="F1630" s="121"/>
      <c r="G1630" s="121"/>
      <c r="H1630" s="121"/>
      <c r="I1630" s="121"/>
      <c r="J1630" s="121"/>
      <c r="K1630" s="121"/>
      <c r="L1630" s="121"/>
      <c r="M1630" s="121"/>
      <c r="N1630" s="121"/>
      <c r="O1630" s="121"/>
      <c r="P1630" s="121"/>
      <c r="Q1630" s="121"/>
      <c r="R1630" s="121"/>
      <c r="S1630" s="121"/>
      <c r="T1630" s="121"/>
      <c r="U1630" s="121"/>
      <c r="V1630" s="121"/>
      <c r="W1630" s="121"/>
      <c r="X1630" s="121"/>
      <c r="Y1630" s="121"/>
      <c r="Z1630" s="121"/>
      <c r="AA1630" s="121"/>
      <c r="AB1630" s="121"/>
      <c r="AC1630" s="121"/>
      <c r="AD1630" s="121"/>
      <c r="AE1630" s="121"/>
      <c r="AF1630" s="36"/>
      <c r="AG1630" s="36"/>
      <c r="AH1630" s="36"/>
      <c r="AI1630" s="36"/>
      <c r="AJ1630" s="36"/>
    </row>
    <row r="1631" ht="15.75" customHeight="1">
      <c r="A1631" s="12"/>
      <c r="B1631" s="390"/>
      <c r="C1631" s="390"/>
      <c r="D1631" s="390"/>
      <c r="E1631" s="121"/>
      <c r="F1631" s="121"/>
      <c r="G1631" s="121"/>
      <c r="H1631" s="121"/>
      <c r="I1631" s="121"/>
      <c r="J1631" s="121"/>
      <c r="K1631" s="121"/>
      <c r="L1631" s="121"/>
      <c r="M1631" s="121"/>
      <c r="N1631" s="121"/>
      <c r="O1631" s="121"/>
      <c r="P1631" s="121"/>
      <c r="Q1631" s="121"/>
      <c r="R1631" s="121"/>
      <c r="S1631" s="121"/>
      <c r="T1631" s="121"/>
      <c r="U1631" s="121"/>
      <c r="V1631" s="121"/>
      <c r="W1631" s="121"/>
      <c r="X1631" s="121"/>
      <c r="Y1631" s="121"/>
      <c r="Z1631" s="121"/>
      <c r="AA1631" s="121"/>
      <c r="AB1631" s="121"/>
      <c r="AC1631" s="121"/>
      <c r="AD1631" s="121"/>
      <c r="AE1631" s="121"/>
      <c r="AF1631" s="36"/>
      <c r="AG1631" s="36"/>
      <c r="AH1631" s="36"/>
      <c r="AI1631" s="36"/>
      <c r="AJ1631" s="36"/>
    </row>
    <row r="1632" ht="15.75" customHeight="1">
      <c r="A1632" s="12"/>
      <c r="B1632" s="390"/>
      <c r="C1632" s="390"/>
      <c r="D1632" s="390"/>
      <c r="E1632" s="121"/>
      <c r="F1632" s="121"/>
      <c r="G1632" s="121"/>
      <c r="H1632" s="121"/>
      <c r="I1632" s="121"/>
      <c r="J1632" s="121"/>
      <c r="K1632" s="121"/>
      <c r="L1632" s="121"/>
      <c r="M1632" s="121"/>
      <c r="N1632" s="121"/>
      <c r="O1632" s="121"/>
      <c r="P1632" s="121"/>
      <c r="Q1632" s="121"/>
      <c r="R1632" s="121"/>
      <c r="S1632" s="121"/>
      <c r="T1632" s="121"/>
      <c r="U1632" s="121"/>
      <c r="V1632" s="121"/>
      <c r="W1632" s="121"/>
      <c r="X1632" s="121"/>
      <c r="Y1632" s="121"/>
      <c r="Z1632" s="121"/>
      <c r="AA1632" s="121"/>
      <c r="AB1632" s="121"/>
      <c r="AC1632" s="121"/>
      <c r="AD1632" s="121"/>
      <c r="AE1632" s="121"/>
      <c r="AF1632" s="36"/>
      <c r="AG1632" s="36"/>
      <c r="AH1632" s="36"/>
      <c r="AI1632" s="36"/>
      <c r="AJ1632" s="36"/>
    </row>
    <row r="1633" ht="15.75" customHeight="1">
      <c r="A1633" s="12"/>
      <c r="B1633" s="390"/>
      <c r="C1633" s="390"/>
      <c r="D1633" s="390"/>
      <c r="E1633" s="121"/>
      <c r="F1633" s="121"/>
      <c r="G1633" s="121"/>
      <c r="H1633" s="121"/>
      <c r="I1633" s="121"/>
      <c r="J1633" s="121"/>
      <c r="K1633" s="121"/>
      <c r="L1633" s="121"/>
      <c r="M1633" s="121"/>
      <c r="N1633" s="121"/>
      <c r="O1633" s="121"/>
      <c r="P1633" s="121"/>
      <c r="Q1633" s="121"/>
      <c r="R1633" s="121"/>
      <c r="S1633" s="121"/>
      <c r="T1633" s="121"/>
      <c r="U1633" s="121"/>
      <c r="V1633" s="121"/>
      <c r="W1633" s="121"/>
      <c r="X1633" s="121"/>
      <c r="Y1633" s="121"/>
      <c r="Z1633" s="121"/>
      <c r="AA1633" s="121"/>
      <c r="AB1633" s="121"/>
      <c r="AC1633" s="121"/>
      <c r="AD1633" s="121"/>
      <c r="AE1633" s="121"/>
      <c r="AF1633" s="36"/>
      <c r="AG1633" s="36"/>
      <c r="AH1633" s="36"/>
      <c r="AI1633" s="36"/>
      <c r="AJ1633" s="36"/>
    </row>
    <row r="1634" ht="15.75" customHeight="1">
      <c r="A1634" s="12"/>
      <c r="B1634" s="390"/>
      <c r="C1634" s="390"/>
      <c r="D1634" s="390"/>
      <c r="E1634" s="121"/>
      <c r="F1634" s="121"/>
      <c r="G1634" s="121"/>
      <c r="H1634" s="121"/>
      <c r="I1634" s="121"/>
      <c r="J1634" s="121"/>
      <c r="K1634" s="121"/>
      <c r="L1634" s="121"/>
      <c r="M1634" s="121"/>
      <c r="N1634" s="121"/>
      <c r="O1634" s="121"/>
      <c r="P1634" s="121"/>
      <c r="Q1634" s="121"/>
      <c r="R1634" s="121"/>
      <c r="S1634" s="121"/>
      <c r="T1634" s="121"/>
      <c r="U1634" s="121"/>
      <c r="V1634" s="121"/>
      <c r="W1634" s="121"/>
      <c r="X1634" s="121"/>
      <c r="Y1634" s="121"/>
      <c r="Z1634" s="121"/>
      <c r="AA1634" s="121"/>
      <c r="AB1634" s="121"/>
      <c r="AC1634" s="121"/>
      <c r="AD1634" s="121"/>
      <c r="AE1634" s="121"/>
      <c r="AF1634" s="36"/>
      <c r="AG1634" s="36"/>
      <c r="AH1634" s="36"/>
      <c r="AI1634" s="36"/>
      <c r="AJ1634" s="36"/>
    </row>
    <row r="1635" ht="15.75" customHeight="1">
      <c r="A1635" s="12"/>
      <c r="B1635" s="390"/>
      <c r="C1635" s="390"/>
      <c r="D1635" s="390"/>
      <c r="E1635" s="121"/>
      <c r="F1635" s="121"/>
      <c r="G1635" s="121"/>
      <c r="H1635" s="121"/>
      <c r="I1635" s="121"/>
      <c r="J1635" s="121"/>
      <c r="K1635" s="121"/>
      <c r="L1635" s="121"/>
      <c r="M1635" s="121"/>
      <c r="N1635" s="121"/>
      <c r="O1635" s="121"/>
      <c r="P1635" s="121"/>
      <c r="Q1635" s="121"/>
      <c r="R1635" s="121"/>
      <c r="S1635" s="121"/>
      <c r="T1635" s="121"/>
      <c r="U1635" s="121"/>
      <c r="V1635" s="121"/>
      <c r="W1635" s="121"/>
      <c r="X1635" s="121"/>
      <c r="Y1635" s="121"/>
      <c r="Z1635" s="121"/>
      <c r="AA1635" s="121"/>
      <c r="AB1635" s="121"/>
      <c r="AC1635" s="121"/>
      <c r="AD1635" s="121"/>
      <c r="AE1635" s="121"/>
      <c r="AF1635" s="36"/>
      <c r="AG1635" s="36"/>
      <c r="AH1635" s="36"/>
      <c r="AI1635" s="36"/>
      <c r="AJ1635" s="36"/>
    </row>
    <row r="1636" ht="15.75" customHeight="1">
      <c r="A1636" s="12"/>
      <c r="B1636" s="390"/>
      <c r="C1636" s="390"/>
      <c r="D1636" s="390"/>
      <c r="E1636" s="121"/>
      <c r="F1636" s="121"/>
      <c r="G1636" s="121"/>
      <c r="H1636" s="121"/>
      <c r="I1636" s="121"/>
      <c r="J1636" s="121"/>
      <c r="K1636" s="121"/>
      <c r="L1636" s="121"/>
      <c r="M1636" s="121"/>
      <c r="N1636" s="121"/>
      <c r="O1636" s="121"/>
      <c r="P1636" s="121"/>
      <c r="Q1636" s="121"/>
      <c r="R1636" s="121"/>
      <c r="S1636" s="121"/>
      <c r="T1636" s="121"/>
      <c r="U1636" s="121"/>
      <c r="V1636" s="121"/>
      <c r="W1636" s="121"/>
      <c r="X1636" s="121"/>
      <c r="Y1636" s="121"/>
      <c r="Z1636" s="121"/>
      <c r="AA1636" s="121"/>
      <c r="AB1636" s="121"/>
      <c r="AC1636" s="121"/>
      <c r="AD1636" s="121"/>
      <c r="AE1636" s="121"/>
      <c r="AF1636" s="36"/>
      <c r="AG1636" s="36"/>
      <c r="AH1636" s="36"/>
      <c r="AI1636" s="36"/>
      <c r="AJ1636" s="36"/>
    </row>
    <row r="1637" ht="15.75" customHeight="1">
      <c r="A1637" s="12"/>
      <c r="B1637" s="390"/>
      <c r="C1637" s="390"/>
      <c r="D1637" s="390"/>
      <c r="E1637" s="121"/>
      <c r="F1637" s="121"/>
      <c r="G1637" s="121"/>
      <c r="H1637" s="121"/>
      <c r="I1637" s="121"/>
      <c r="J1637" s="121"/>
      <c r="K1637" s="121"/>
      <c r="L1637" s="121"/>
      <c r="M1637" s="121"/>
      <c r="N1637" s="121"/>
      <c r="O1637" s="121"/>
      <c r="P1637" s="121"/>
      <c r="Q1637" s="121"/>
      <c r="R1637" s="121"/>
      <c r="S1637" s="121"/>
      <c r="T1637" s="121"/>
      <c r="U1637" s="121"/>
      <c r="V1637" s="121"/>
      <c r="W1637" s="121"/>
      <c r="X1637" s="121"/>
      <c r="Y1637" s="121"/>
      <c r="Z1637" s="121"/>
      <c r="AA1637" s="121"/>
      <c r="AB1637" s="121"/>
      <c r="AC1637" s="121"/>
      <c r="AD1637" s="121"/>
      <c r="AE1637" s="121"/>
      <c r="AF1637" s="36"/>
      <c r="AG1637" s="36"/>
      <c r="AH1637" s="36"/>
      <c r="AI1637" s="36"/>
      <c r="AJ1637" s="36"/>
    </row>
    <row r="1638" ht="15.75" customHeight="1">
      <c r="A1638" s="12"/>
      <c r="B1638" s="390"/>
      <c r="C1638" s="390"/>
      <c r="D1638" s="390"/>
      <c r="E1638" s="121"/>
      <c r="F1638" s="121"/>
      <c r="G1638" s="121"/>
      <c r="H1638" s="121"/>
      <c r="I1638" s="121"/>
      <c r="J1638" s="121"/>
      <c r="K1638" s="121"/>
      <c r="L1638" s="121"/>
      <c r="M1638" s="121"/>
      <c r="N1638" s="121"/>
      <c r="O1638" s="121"/>
      <c r="P1638" s="121"/>
      <c r="Q1638" s="121"/>
      <c r="R1638" s="121"/>
      <c r="S1638" s="121"/>
      <c r="T1638" s="121"/>
      <c r="U1638" s="121"/>
      <c r="V1638" s="121"/>
      <c r="W1638" s="121"/>
      <c r="X1638" s="121"/>
      <c r="Y1638" s="121"/>
      <c r="Z1638" s="121"/>
      <c r="AA1638" s="121"/>
      <c r="AB1638" s="121"/>
      <c r="AC1638" s="121"/>
      <c r="AD1638" s="121"/>
      <c r="AE1638" s="121"/>
      <c r="AF1638" s="36"/>
      <c r="AG1638" s="36"/>
      <c r="AH1638" s="36"/>
      <c r="AI1638" s="36"/>
      <c r="AJ1638" s="36"/>
    </row>
    <row r="1639" ht="15.75" customHeight="1">
      <c r="A1639" s="12"/>
      <c r="B1639" s="390"/>
      <c r="C1639" s="390"/>
      <c r="D1639" s="390"/>
      <c r="E1639" s="121"/>
      <c r="F1639" s="121"/>
      <c r="G1639" s="121"/>
      <c r="H1639" s="121"/>
      <c r="I1639" s="121"/>
      <c r="J1639" s="121"/>
      <c r="K1639" s="121"/>
      <c r="L1639" s="121"/>
      <c r="M1639" s="121"/>
      <c r="N1639" s="121"/>
      <c r="O1639" s="121"/>
      <c r="P1639" s="121"/>
      <c r="Q1639" s="121"/>
      <c r="R1639" s="121"/>
      <c r="S1639" s="121"/>
      <c r="T1639" s="121"/>
      <c r="U1639" s="121"/>
      <c r="V1639" s="121"/>
      <c r="W1639" s="121"/>
      <c r="X1639" s="121"/>
      <c r="Y1639" s="121"/>
      <c r="Z1639" s="121"/>
      <c r="AA1639" s="121"/>
      <c r="AB1639" s="121"/>
      <c r="AC1639" s="121"/>
      <c r="AD1639" s="121"/>
      <c r="AE1639" s="121"/>
      <c r="AF1639" s="36"/>
      <c r="AG1639" s="36"/>
      <c r="AH1639" s="36"/>
      <c r="AI1639" s="36"/>
      <c r="AJ1639" s="36"/>
    </row>
    <row r="1640" ht="15.75" customHeight="1">
      <c r="A1640" s="12"/>
      <c r="B1640" s="390"/>
      <c r="C1640" s="390"/>
      <c r="D1640" s="390"/>
      <c r="E1640" s="121"/>
      <c r="F1640" s="121"/>
      <c r="G1640" s="121"/>
      <c r="H1640" s="121"/>
      <c r="I1640" s="121"/>
      <c r="J1640" s="121"/>
      <c r="K1640" s="121"/>
      <c r="L1640" s="121"/>
      <c r="M1640" s="121"/>
      <c r="N1640" s="121"/>
      <c r="O1640" s="121"/>
      <c r="P1640" s="121"/>
      <c r="Q1640" s="121"/>
      <c r="R1640" s="121"/>
      <c r="S1640" s="121"/>
      <c r="T1640" s="121"/>
      <c r="U1640" s="121"/>
      <c r="V1640" s="121"/>
      <c r="W1640" s="121"/>
      <c r="X1640" s="121"/>
      <c r="Y1640" s="121"/>
      <c r="Z1640" s="121"/>
      <c r="AA1640" s="121"/>
      <c r="AB1640" s="121"/>
      <c r="AC1640" s="121"/>
      <c r="AD1640" s="121"/>
      <c r="AE1640" s="121"/>
      <c r="AF1640" s="36"/>
      <c r="AG1640" s="36"/>
      <c r="AH1640" s="36"/>
      <c r="AI1640" s="36"/>
      <c r="AJ1640" s="36"/>
    </row>
    <row r="1641" ht="15.75" customHeight="1">
      <c r="A1641" s="12"/>
      <c r="B1641" s="390"/>
      <c r="C1641" s="390"/>
      <c r="D1641" s="390"/>
      <c r="E1641" s="121"/>
      <c r="F1641" s="121"/>
      <c r="G1641" s="121"/>
      <c r="H1641" s="121"/>
      <c r="I1641" s="121"/>
      <c r="J1641" s="121"/>
      <c r="K1641" s="121"/>
      <c r="L1641" s="121"/>
      <c r="M1641" s="121"/>
      <c r="N1641" s="121"/>
      <c r="O1641" s="121"/>
      <c r="P1641" s="121"/>
      <c r="Q1641" s="121"/>
      <c r="R1641" s="121"/>
      <c r="S1641" s="121"/>
      <c r="T1641" s="121"/>
      <c r="U1641" s="121"/>
      <c r="V1641" s="121"/>
      <c r="W1641" s="121"/>
      <c r="X1641" s="121"/>
      <c r="Y1641" s="121"/>
      <c r="Z1641" s="121"/>
      <c r="AA1641" s="121"/>
      <c r="AB1641" s="121"/>
      <c r="AC1641" s="121"/>
      <c r="AD1641" s="121"/>
      <c r="AE1641" s="121"/>
      <c r="AF1641" s="36"/>
      <c r="AG1641" s="36"/>
      <c r="AH1641" s="36"/>
      <c r="AI1641" s="36"/>
      <c r="AJ1641" s="36"/>
    </row>
    <row r="1642" ht="15.75" customHeight="1">
      <c r="A1642" s="12"/>
      <c r="B1642" s="390"/>
      <c r="C1642" s="390"/>
      <c r="D1642" s="390"/>
      <c r="E1642" s="121"/>
      <c r="F1642" s="121"/>
      <c r="G1642" s="121"/>
      <c r="H1642" s="121"/>
      <c r="I1642" s="121"/>
      <c r="J1642" s="121"/>
      <c r="K1642" s="121"/>
      <c r="L1642" s="121"/>
      <c r="M1642" s="121"/>
      <c r="N1642" s="121"/>
      <c r="O1642" s="121"/>
      <c r="P1642" s="121"/>
      <c r="Q1642" s="121"/>
      <c r="R1642" s="121"/>
      <c r="S1642" s="121"/>
      <c r="T1642" s="121"/>
      <c r="U1642" s="121"/>
      <c r="V1642" s="121"/>
      <c r="W1642" s="121"/>
      <c r="X1642" s="121"/>
      <c r="Y1642" s="121"/>
      <c r="Z1642" s="121"/>
      <c r="AA1642" s="121"/>
      <c r="AB1642" s="121"/>
      <c r="AC1642" s="121"/>
      <c r="AD1642" s="121"/>
      <c r="AE1642" s="121"/>
      <c r="AF1642" s="36"/>
      <c r="AG1642" s="36"/>
      <c r="AH1642" s="36"/>
      <c r="AI1642" s="36"/>
      <c r="AJ1642" s="36"/>
    </row>
    <row r="1643" ht="15.75" customHeight="1">
      <c r="A1643" s="12"/>
      <c r="B1643" s="390"/>
      <c r="C1643" s="390"/>
      <c r="D1643" s="390"/>
      <c r="E1643" s="121"/>
      <c r="F1643" s="121"/>
      <c r="G1643" s="121"/>
      <c r="H1643" s="121"/>
      <c r="I1643" s="121"/>
      <c r="J1643" s="121"/>
      <c r="K1643" s="121"/>
      <c r="L1643" s="121"/>
      <c r="M1643" s="121"/>
      <c r="N1643" s="121"/>
      <c r="O1643" s="121"/>
      <c r="P1643" s="121"/>
      <c r="Q1643" s="121"/>
      <c r="R1643" s="121"/>
      <c r="S1643" s="121"/>
      <c r="T1643" s="121"/>
      <c r="U1643" s="121"/>
      <c r="V1643" s="121"/>
      <c r="W1643" s="121"/>
      <c r="X1643" s="121"/>
      <c r="Y1643" s="121"/>
      <c r="Z1643" s="121"/>
      <c r="AA1643" s="121"/>
      <c r="AB1643" s="121"/>
      <c r="AC1643" s="121"/>
      <c r="AD1643" s="121"/>
      <c r="AE1643" s="121"/>
      <c r="AF1643" s="36"/>
      <c r="AG1643" s="36"/>
      <c r="AH1643" s="36"/>
      <c r="AI1643" s="36"/>
      <c r="AJ1643" s="36"/>
    </row>
    <row r="1644" ht="15.75" customHeight="1">
      <c r="A1644" s="12"/>
      <c r="B1644" s="390"/>
      <c r="C1644" s="390"/>
      <c r="D1644" s="390"/>
      <c r="E1644" s="121"/>
      <c r="F1644" s="121"/>
      <c r="G1644" s="121"/>
      <c r="H1644" s="121"/>
      <c r="I1644" s="121"/>
      <c r="J1644" s="121"/>
      <c r="K1644" s="121"/>
      <c r="L1644" s="121"/>
      <c r="M1644" s="121"/>
      <c r="N1644" s="121"/>
      <c r="O1644" s="121"/>
      <c r="P1644" s="121"/>
      <c r="Q1644" s="121"/>
      <c r="R1644" s="121"/>
      <c r="S1644" s="121"/>
      <c r="T1644" s="121"/>
      <c r="U1644" s="121"/>
      <c r="V1644" s="121"/>
      <c r="W1644" s="121"/>
      <c r="X1644" s="121"/>
      <c r="Y1644" s="121"/>
      <c r="Z1644" s="121"/>
      <c r="AA1644" s="121"/>
      <c r="AB1644" s="121"/>
      <c r="AC1644" s="121"/>
      <c r="AD1644" s="121"/>
      <c r="AE1644" s="121"/>
      <c r="AF1644" s="36"/>
      <c r="AG1644" s="36"/>
      <c r="AH1644" s="36"/>
      <c r="AI1644" s="36"/>
      <c r="AJ1644" s="36"/>
    </row>
    <row r="1645" ht="15.75" customHeight="1">
      <c r="A1645" s="12"/>
      <c r="B1645" s="390"/>
      <c r="C1645" s="390"/>
      <c r="D1645" s="390"/>
      <c r="E1645" s="121"/>
      <c r="F1645" s="121"/>
      <c r="G1645" s="121"/>
      <c r="H1645" s="121"/>
      <c r="I1645" s="121"/>
      <c r="J1645" s="121"/>
      <c r="K1645" s="121"/>
      <c r="L1645" s="121"/>
      <c r="M1645" s="121"/>
      <c r="N1645" s="121"/>
      <c r="O1645" s="121"/>
      <c r="P1645" s="121"/>
      <c r="Q1645" s="121"/>
      <c r="R1645" s="121"/>
      <c r="S1645" s="121"/>
      <c r="T1645" s="121"/>
      <c r="U1645" s="121"/>
      <c r="V1645" s="121"/>
      <c r="W1645" s="121"/>
      <c r="X1645" s="121"/>
      <c r="Y1645" s="121"/>
      <c r="Z1645" s="121"/>
      <c r="AA1645" s="121"/>
      <c r="AB1645" s="121"/>
      <c r="AC1645" s="121"/>
      <c r="AD1645" s="121"/>
      <c r="AE1645" s="121"/>
      <c r="AF1645" s="36"/>
      <c r="AG1645" s="36"/>
      <c r="AH1645" s="36"/>
      <c r="AI1645" s="36"/>
      <c r="AJ1645" s="36"/>
    </row>
    <row r="1646" ht="15.75" customHeight="1">
      <c r="A1646" s="12"/>
      <c r="B1646" s="390"/>
      <c r="C1646" s="390"/>
      <c r="D1646" s="390"/>
      <c r="E1646" s="121"/>
      <c r="F1646" s="121"/>
      <c r="G1646" s="121"/>
      <c r="H1646" s="121"/>
      <c r="I1646" s="121"/>
      <c r="J1646" s="121"/>
      <c r="K1646" s="121"/>
      <c r="L1646" s="121"/>
      <c r="M1646" s="121"/>
      <c r="N1646" s="121"/>
      <c r="O1646" s="121"/>
      <c r="P1646" s="121"/>
      <c r="Q1646" s="121"/>
      <c r="R1646" s="121"/>
      <c r="S1646" s="121"/>
      <c r="T1646" s="121"/>
      <c r="U1646" s="121"/>
      <c r="V1646" s="121"/>
      <c r="W1646" s="121"/>
      <c r="X1646" s="121"/>
      <c r="Y1646" s="121"/>
      <c r="Z1646" s="121"/>
      <c r="AA1646" s="121"/>
      <c r="AB1646" s="121"/>
      <c r="AC1646" s="121"/>
      <c r="AD1646" s="121"/>
      <c r="AE1646" s="121"/>
      <c r="AF1646" s="36"/>
      <c r="AG1646" s="36"/>
      <c r="AH1646" s="36"/>
      <c r="AI1646" s="36"/>
      <c r="AJ1646" s="36"/>
    </row>
    <row r="1647" ht="15.75" customHeight="1">
      <c r="A1647" s="12"/>
      <c r="B1647" s="390"/>
      <c r="C1647" s="390"/>
      <c r="D1647" s="390"/>
      <c r="E1647" s="121"/>
      <c r="F1647" s="121"/>
      <c r="G1647" s="121"/>
      <c r="H1647" s="121"/>
      <c r="I1647" s="121"/>
      <c r="J1647" s="121"/>
      <c r="K1647" s="121"/>
      <c r="L1647" s="121"/>
      <c r="M1647" s="121"/>
      <c r="N1647" s="121"/>
      <c r="O1647" s="121"/>
      <c r="P1647" s="121"/>
      <c r="Q1647" s="121"/>
      <c r="R1647" s="121"/>
      <c r="S1647" s="121"/>
      <c r="T1647" s="121"/>
      <c r="U1647" s="121"/>
      <c r="V1647" s="121"/>
      <c r="W1647" s="121"/>
      <c r="X1647" s="121"/>
      <c r="Y1647" s="121"/>
      <c r="Z1647" s="121"/>
      <c r="AA1647" s="121"/>
      <c r="AB1647" s="121"/>
      <c r="AC1647" s="121"/>
      <c r="AD1647" s="121"/>
      <c r="AE1647" s="121"/>
      <c r="AF1647" s="36"/>
      <c r="AG1647" s="36"/>
      <c r="AH1647" s="36"/>
      <c r="AI1647" s="36"/>
      <c r="AJ1647" s="36"/>
    </row>
    <row r="1648" ht="15.75" customHeight="1">
      <c r="A1648" s="12"/>
      <c r="B1648" s="390"/>
      <c r="C1648" s="390"/>
      <c r="D1648" s="390"/>
      <c r="E1648" s="121"/>
      <c r="F1648" s="121"/>
      <c r="G1648" s="121"/>
      <c r="H1648" s="121"/>
      <c r="I1648" s="121"/>
      <c r="J1648" s="121"/>
      <c r="K1648" s="121"/>
      <c r="L1648" s="121"/>
      <c r="M1648" s="121"/>
      <c r="N1648" s="121"/>
      <c r="O1648" s="121"/>
      <c r="P1648" s="121"/>
      <c r="Q1648" s="121"/>
      <c r="R1648" s="121"/>
      <c r="S1648" s="121"/>
      <c r="T1648" s="121"/>
      <c r="U1648" s="121"/>
      <c r="V1648" s="121"/>
      <c r="W1648" s="121"/>
      <c r="X1648" s="121"/>
      <c r="Y1648" s="121"/>
      <c r="Z1648" s="121"/>
      <c r="AA1648" s="121"/>
      <c r="AB1648" s="121"/>
      <c r="AC1648" s="121"/>
      <c r="AD1648" s="121"/>
      <c r="AE1648" s="121"/>
      <c r="AF1648" s="36"/>
      <c r="AG1648" s="36"/>
      <c r="AH1648" s="36"/>
      <c r="AI1648" s="36"/>
      <c r="AJ1648" s="36"/>
    </row>
    <row r="1649" ht="15.75" customHeight="1">
      <c r="A1649" s="12"/>
      <c r="B1649" s="390"/>
      <c r="C1649" s="390"/>
      <c r="D1649" s="390"/>
      <c r="E1649" s="121"/>
      <c r="F1649" s="121"/>
      <c r="G1649" s="121"/>
      <c r="H1649" s="121"/>
      <c r="I1649" s="121"/>
      <c r="J1649" s="121"/>
      <c r="K1649" s="121"/>
      <c r="L1649" s="121"/>
      <c r="M1649" s="121"/>
      <c r="N1649" s="121"/>
      <c r="O1649" s="121"/>
      <c r="P1649" s="121"/>
      <c r="Q1649" s="121"/>
      <c r="R1649" s="121"/>
      <c r="S1649" s="121"/>
      <c r="T1649" s="121"/>
      <c r="U1649" s="121"/>
      <c r="V1649" s="121"/>
      <c r="W1649" s="121"/>
      <c r="X1649" s="121"/>
      <c r="Y1649" s="121"/>
      <c r="Z1649" s="121"/>
      <c r="AA1649" s="121"/>
      <c r="AB1649" s="121"/>
      <c r="AC1649" s="121"/>
      <c r="AD1649" s="121"/>
      <c r="AE1649" s="121"/>
      <c r="AF1649" s="36"/>
      <c r="AG1649" s="36"/>
      <c r="AH1649" s="36"/>
      <c r="AI1649" s="36"/>
      <c r="AJ1649" s="36"/>
    </row>
    <row r="1650" ht="15.75" customHeight="1">
      <c r="A1650" s="12"/>
      <c r="B1650" s="390"/>
      <c r="C1650" s="390"/>
      <c r="D1650" s="390"/>
      <c r="E1650" s="121"/>
      <c r="F1650" s="121"/>
      <c r="G1650" s="121"/>
      <c r="H1650" s="121"/>
      <c r="I1650" s="121"/>
      <c r="J1650" s="121"/>
      <c r="K1650" s="121"/>
      <c r="L1650" s="121"/>
      <c r="M1650" s="121"/>
      <c r="N1650" s="121"/>
      <c r="O1650" s="121"/>
      <c r="P1650" s="121"/>
      <c r="Q1650" s="121"/>
      <c r="R1650" s="121"/>
      <c r="S1650" s="121"/>
      <c r="T1650" s="121"/>
      <c r="U1650" s="121"/>
      <c r="V1650" s="121"/>
      <c r="W1650" s="121"/>
      <c r="X1650" s="121"/>
      <c r="Y1650" s="121"/>
      <c r="Z1650" s="121"/>
      <c r="AA1650" s="121"/>
      <c r="AB1650" s="121"/>
      <c r="AC1650" s="121"/>
      <c r="AD1650" s="121"/>
      <c r="AE1650" s="121"/>
      <c r="AF1650" s="36"/>
      <c r="AG1650" s="36"/>
      <c r="AH1650" s="36"/>
      <c r="AI1650" s="36"/>
      <c r="AJ1650" s="36"/>
    </row>
    <row r="1651" ht="15.75" customHeight="1">
      <c r="A1651" s="12"/>
      <c r="B1651" s="390"/>
      <c r="C1651" s="390"/>
      <c r="D1651" s="390"/>
      <c r="E1651" s="121"/>
      <c r="F1651" s="121"/>
      <c r="G1651" s="121"/>
      <c r="H1651" s="121"/>
      <c r="I1651" s="121"/>
      <c r="J1651" s="121"/>
      <c r="K1651" s="121"/>
      <c r="L1651" s="121"/>
      <c r="M1651" s="121"/>
      <c r="N1651" s="121"/>
      <c r="O1651" s="121"/>
      <c r="P1651" s="121"/>
      <c r="Q1651" s="121"/>
      <c r="R1651" s="121"/>
      <c r="S1651" s="121"/>
      <c r="T1651" s="121"/>
      <c r="U1651" s="121"/>
      <c r="V1651" s="121"/>
      <c r="W1651" s="121"/>
      <c r="X1651" s="121"/>
      <c r="Y1651" s="121"/>
      <c r="Z1651" s="121"/>
      <c r="AA1651" s="121"/>
      <c r="AB1651" s="121"/>
      <c r="AC1651" s="121"/>
      <c r="AD1651" s="121"/>
      <c r="AE1651" s="121"/>
      <c r="AF1651" s="36"/>
      <c r="AG1651" s="36"/>
      <c r="AH1651" s="36"/>
      <c r="AI1651" s="36"/>
      <c r="AJ1651" s="36"/>
    </row>
    <row r="1652" ht="15.75" customHeight="1">
      <c r="A1652" s="12"/>
      <c r="B1652" s="390"/>
      <c r="C1652" s="390"/>
      <c r="D1652" s="390"/>
      <c r="E1652" s="121"/>
      <c r="F1652" s="121"/>
      <c r="G1652" s="121"/>
      <c r="H1652" s="121"/>
      <c r="I1652" s="121"/>
      <c r="J1652" s="121"/>
      <c r="K1652" s="121"/>
      <c r="L1652" s="121"/>
      <c r="M1652" s="121"/>
      <c r="N1652" s="121"/>
      <c r="O1652" s="121"/>
      <c r="P1652" s="121"/>
      <c r="Q1652" s="121"/>
      <c r="R1652" s="121"/>
      <c r="S1652" s="121"/>
      <c r="T1652" s="121"/>
      <c r="U1652" s="121"/>
      <c r="V1652" s="121"/>
      <c r="W1652" s="121"/>
      <c r="X1652" s="121"/>
      <c r="Y1652" s="121"/>
      <c r="Z1652" s="121"/>
      <c r="AA1652" s="121"/>
      <c r="AB1652" s="121"/>
      <c r="AC1652" s="121"/>
      <c r="AD1652" s="121"/>
      <c r="AE1652" s="121"/>
      <c r="AF1652" s="36"/>
      <c r="AG1652" s="36"/>
      <c r="AH1652" s="36"/>
      <c r="AI1652" s="36"/>
      <c r="AJ1652" s="36"/>
    </row>
    <row r="1653" ht="15.75" customHeight="1">
      <c r="A1653" s="12"/>
      <c r="B1653" s="390"/>
      <c r="C1653" s="390"/>
      <c r="D1653" s="390"/>
      <c r="E1653" s="121"/>
      <c r="F1653" s="121"/>
      <c r="G1653" s="121"/>
      <c r="H1653" s="121"/>
      <c r="I1653" s="121"/>
      <c r="J1653" s="121"/>
      <c r="K1653" s="121"/>
      <c r="L1653" s="121"/>
      <c r="M1653" s="121"/>
      <c r="N1653" s="121"/>
      <c r="O1653" s="121"/>
      <c r="P1653" s="121"/>
      <c r="Q1653" s="121"/>
      <c r="R1653" s="121"/>
      <c r="S1653" s="121"/>
      <c r="T1653" s="121"/>
      <c r="U1653" s="121"/>
      <c r="V1653" s="121"/>
      <c r="W1653" s="121"/>
      <c r="X1653" s="121"/>
      <c r="Y1653" s="121"/>
      <c r="Z1653" s="121"/>
      <c r="AA1653" s="121"/>
      <c r="AB1653" s="121"/>
      <c r="AC1653" s="121"/>
      <c r="AD1653" s="121"/>
      <c r="AE1653" s="121"/>
      <c r="AF1653" s="36"/>
      <c r="AG1653" s="36"/>
      <c r="AH1653" s="36"/>
      <c r="AI1653" s="36"/>
      <c r="AJ1653" s="36"/>
    </row>
    <row r="1654" ht="15.75" customHeight="1">
      <c r="A1654" s="12"/>
      <c r="B1654" s="390"/>
      <c r="C1654" s="390"/>
      <c r="D1654" s="390"/>
      <c r="E1654" s="121"/>
      <c r="F1654" s="121"/>
      <c r="G1654" s="121"/>
      <c r="H1654" s="121"/>
      <c r="I1654" s="121"/>
      <c r="J1654" s="121"/>
      <c r="K1654" s="121"/>
      <c r="L1654" s="121"/>
      <c r="M1654" s="121"/>
      <c r="N1654" s="121"/>
      <c r="O1654" s="121"/>
      <c r="P1654" s="121"/>
      <c r="Q1654" s="121"/>
      <c r="R1654" s="121"/>
      <c r="S1654" s="121"/>
      <c r="T1654" s="121"/>
      <c r="U1654" s="121"/>
      <c r="V1654" s="121"/>
      <c r="W1654" s="121"/>
      <c r="X1654" s="121"/>
      <c r="Y1654" s="121"/>
      <c r="Z1654" s="121"/>
      <c r="AA1654" s="121"/>
      <c r="AB1654" s="121"/>
      <c r="AC1654" s="121"/>
      <c r="AD1654" s="121"/>
      <c r="AE1654" s="121"/>
      <c r="AF1654" s="36"/>
      <c r="AG1654" s="36"/>
      <c r="AH1654" s="36"/>
      <c r="AI1654" s="36"/>
      <c r="AJ1654" s="36"/>
    </row>
    <row r="1655" ht="15.75" customHeight="1">
      <c r="A1655" s="12"/>
      <c r="B1655" s="390"/>
      <c r="C1655" s="390"/>
      <c r="D1655" s="390"/>
      <c r="E1655" s="121"/>
      <c r="F1655" s="121"/>
      <c r="G1655" s="121"/>
      <c r="H1655" s="121"/>
      <c r="I1655" s="121"/>
      <c r="J1655" s="121"/>
      <c r="K1655" s="121"/>
      <c r="L1655" s="121"/>
      <c r="M1655" s="121"/>
      <c r="N1655" s="121"/>
      <c r="O1655" s="121"/>
      <c r="P1655" s="121"/>
      <c r="Q1655" s="121"/>
      <c r="R1655" s="121"/>
      <c r="S1655" s="121"/>
      <c r="T1655" s="121"/>
      <c r="U1655" s="121"/>
      <c r="V1655" s="121"/>
      <c r="W1655" s="121"/>
      <c r="X1655" s="121"/>
      <c r="Y1655" s="121"/>
      <c r="Z1655" s="121"/>
      <c r="AA1655" s="121"/>
      <c r="AB1655" s="121"/>
      <c r="AC1655" s="121"/>
      <c r="AD1655" s="121"/>
      <c r="AE1655" s="121"/>
      <c r="AF1655" s="36"/>
      <c r="AG1655" s="36"/>
      <c r="AH1655" s="36"/>
      <c r="AI1655" s="36"/>
      <c r="AJ1655" s="36"/>
    </row>
    <row r="1656" ht="15.75" customHeight="1">
      <c r="A1656" s="12"/>
      <c r="B1656" s="390"/>
      <c r="C1656" s="390"/>
      <c r="D1656" s="390"/>
      <c r="E1656" s="121"/>
      <c r="F1656" s="121"/>
      <c r="G1656" s="121"/>
      <c r="H1656" s="121"/>
      <c r="I1656" s="121"/>
      <c r="J1656" s="121"/>
      <c r="K1656" s="121"/>
      <c r="L1656" s="121"/>
      <c r="M1656" s="121"/>
      <c r="N1656" s="121"/>
      <c r="O1656" s="121"/>
      <c r="P1656" s="121"/>
      <c r="Q1656" s="121"/>
      <c r="R1656" s="121"/>
      <c r="S1656" s="121"/>
      <c r="T1656" s="121"/>
      <c r="U1656" s="121"/>
      <c r="V1656" s="121"/>
      <c r="W1656" s="121"/>
      <c r="X1656" s="121"/>
      <c r="Y1656" s="121"/>
      <c r="Z1656" s="121"/>
      <c r="AA1656" s="121"/>
      <c r="AB1656" s="121"/>
      <c r="AC1656" s="121"/>
      <c r="AD1656" s="121"/>
      <c r="AE1656" s="121"/>
      <c r="AF1656" s="36"/>
      <c r="AG1656" s="36"/>
      <c r="AH1656" s="36"/>
      <c r="AI1656" s="36"/>
      <c r="AJ1656" s="36"/>
    </row>
    <row r="1657" ht="15.75" customHeight="1">
      <c r="A1657" s="12"/>
      <c r="B1657" s="390"/>
      <c r="C1657" s="390"/>
      <c r="D1657" s="390"/>
      <c r="E1657" s="121"/>
      <c r="F1657" s="121"/>
      <c r="G1657" s="121"/>
      <c r="H1657" s="121"/>
      <c r="I1657" s="121"/>
      <c r="J1657" s="121"/>
      <c r="K1657" s="121"/>
      <c r="L1657" s="121"/>
      <c r="M1657" s="121"/>
      <c r="N1657" s="121"/>
      <c r="O1657" s="121"/>
      <c r="P1657" s="121"/>
      <c r="Q1657" s="121"/>
      <c r="R1657" s="121"/>
      <c r="S1657" s="121"/>
      <c r="T1657" s="121"/>
      <c r="U1657" s="121"/>
      <c r="V1657" s="121"/>
      <c r="W1657" s="121"/>
      <c r="X1657" s="121"/>
      <c r="Y1657" s="121"/>
      <c r="Z1657" s="121"/>
      <c r="AA1657" s="121"/>
      <c r="AB1657" s="121"/>
      <c r="AC1657" s="121"/>
      <c r="AD1657" s="121"/>
      <c r="AE1657" s="121"/>
      <c r="AF1657" s="36"/>
      <c r="AG1657" s="36"/>
      <c r="AH1657" s="36"/>
      <c r="AI1657" s="36"/>
      <c r="AJ1657" s="36"/>
    </row>
    <row r="1658" ht="15.75" customHeight="1">
      <c r="A1658" s="12"/>
      <c r="B1658" s="390"/>
      <c r="C1658" s="390"/>
      <c r="D1658" s="390"/>
      <c r="E1658" s="121"/>
      <c r="F1658" s="121"/>
      <c r="G1658" s="121"/>
      <c r="H1658" s="121"/>
      <c r="I1658" s="121"/>
      <c r="J1658" s="121"/>
      <c r="K1658" s="121"/>
      <c r="L1658" s="121"/>
      <c r="M1658" s="121"/>
      <c r="N1658" s="121"/>
      <c r="O1658" s="121"/>
      <c r="P1658" s="121"/>
      <c r="Q1658" s="121"/>
      <c r="R1658" s="121"/>
      <c r="S1658" s="121"/>
      <c r="T1658" s="121"/>
      <c r="U1658" s="121"/>
      <c r="V1658" s="121"/>
      <c r="W1658" s="121"/>
      <c r="X1658" s="121"/>
      <c r="Y1658" s="121"/>
      <c r="Z1658" s="121"/>
      <c r="AA1658" s="121"/>
      <c r="AB1658" s="121"/>
      <c r="AC1658" s="121"/>
      <c r="AD1658" s="121"/>
      <c r="AE1658" s="121"/>
      <c r="AF1658" s="36"/>
      <c r="AG1658" s="36"/>
      <c r="AH1658" s="36"/>
      <c r="AI1658" s="36"/>
      <c r="AJ1658" s="36"/>
    </row>
    <row r="1659" ht="15.75" customHeight="1">
      <c r="A1659" s="12"/>
      <c r="B1659" s="390"/>
      <c r="C1659" s="390"/>
      <c r="D1659" s="390"/>
      <c r="E1659" s="121"/>
      <c r="F1659" s="121"/>
      <c r="G1659" s="121"/>
      <c r="H1659" s="121"/>
      <c r="I1659" s="121"/>
      <c r="J1659" s="121"/>
      <c r="K1659" s="121"/>
      <c r="L1659" s="121"/>
      <c r="M1659" s="121"/>
      <c r="N1659" s="121"/>
      <c r="O1659" s="121"/>
      <c r="P1659" s="121"/>
      <c r="Q1659" s="121"/>
      <c r="R1659" s="121"/>
      <c r="S1659" s="121"/>
      <c r="T1659" s="121"/>
      <c r="U1659" s="121"/>
      <c r="V1659" s="121"/>
      <c r="W1659" s="121"/>
      <c r="X1659" s="121"/>
      <c r="Y1659" s="121"/>
      <c r="Z1659" s="121"/>
      <c r="AA1659" s="121"/>
      <c r="AB1659" s="121"/>
      <c r="AC1659" s="121"/>
      <c r="AD1659" s="121"/>
      <c r="AE1659" s="121"/>
      <c r="AF1659" s="36"/>
      <c r="AG1659" s="36"/>
      <c r="AH1659" s="36"/>
      <c r="AI1659" s="36"/>
      <c r="AJ1659" s="36"/>
    </row>
    <row r="1660" ht="15.75" customHeight="1">
      <c r="A1660" s="12"/>
      <c r="B1660" s="390"/>
      <c r="C1660" s="390"/>
      <c r="D1660" s="390"/>
      <c r="E1660" s="121"/>
      <c r="F1660" s="121"/>
      <c r="G1660" s="121"/>
      <c r="H1660" s="121"/>
      <c r="I1660" s="121"/>
      <c r="J1660" s="121"/>
      <c r="K1660" s="121"/>
      <c r="L1660" s="121"/>
      <c r="M1660" s="121"/>
      <c r="N1660" s="121"/>
      <c r="O1660" s="121"/>
      <c r="P1660" s="121"/>
      <c r="Q1660" s="121"/>
      <c r="R1660" s="121"/>
      <c r="S1660" s="121"/>
      <c r="T1660" s="121"/>
      <c r="U1660" s="121"/>
      <c r="V1660" s="121"/>
      <c r="W1660" s="121"/>
      <c r="X1660" s="121"/>
      <c r="Y1660" s="121"/>
      <c r="Z1660" s="121"/>
      <c r="AA1660" s="121"/>
      <c r="AB1660" s="121"/>
      <c r="AC1660" s="121"/>
      <c r="AD1660" s="121"/>
      <c r="AE1660" s="121"/>
      <c r="AF1660" s="36"/>
      <c r="AG1660" s="36"/>
      <c r="AH1660" s="36"/>
      <c r="AI1660" s="36"/>
      <c r="AJ1660" s="36"/>
    </row>
    <row r="1661" ht="15.75" customHeight="1">
      <c r="A1661" s="12"/>
      <c r="B1661" s="390"/>
      <c r="C1661" s="390"/>
      <c r="D1661" s="390"/>
      <c r="E1661" s="121"/>
      <c r="F1661" s="121"/>
      <c r="G1661" s="121"/>
      <c r="H1661" s="121"/>
      <c r="I1661" s="121"/>
      <c r="J1661" s="121"/>
      <c r="K1661" s="121"/>
      <c r="L1661" s="121"/>
      <c r="M1661" s="121"/>
      <c r="N1661" s="121"/>
      <c r="O1661" s="121"/>
      <c r="P1661" s="121"/>
      <c r="Q1661" s="121"/>
      <c r="R1661" s="121"/>
      <c r="S1661" s="121"/>
      <c r="T1661" s="121"/>
      <c r="U1661" s="121"/>
      <c r="V1661" s="121"/>
      <c r="W1661" s="121"/>
      <c r="X1661" s="121"/>
      <c r="Y1661" s="121"/>
      <c r="Z1661" s="121"/>
      <c r="AA1661" s="121"/>
      <c r="AB1661" s="121"/>
      <c r="AC1661" s="121"/>
      <c r="AD1661" s="121"/>
      <c r="AE1661" s="121"/>
      <c r="AF1661" s="36"/>
      <c r="AG1661" s="36"/>
      <c r="AH1661" s="36"/>
      <c r="AI1661" s="36"/>
      <c r="AJ1661" s="36"/>
    </row>
    <row r="1662" ht="15.75" customHeight="1">
      <c r="A1662" s="12"/>
      <c r="B1662" s="390"/>
      <c r="C1662" s="390"/>
      <c r="D1662" s="390"/>
      <c r="E1662" s="121"/>
      <c r="F1662" s="121"/>
      <c r="G1662" s="121"/>
      <c r="H1662" s="121"/>
      <c r="I1662" s="121"/>
      <c r="J1662" s="121"/>
      <c r="K1662" s="121"/>
      <c r="L1662" s="121"/>
      <c r="M1662" s="121"/>
      <c r="N1662" s="121"/>
      <c r="O1662" s="121"/>
      <c r="P1662" s="121"/>
      <c r="Q1662" s="121"/>
      <c r="R1662" s="121"/>
      <c r="S1662" s="121"/>
      <c r="T1662" s="121"/>
      <c r="U1662" s="121"/>
      <c r="V1662" s="121"/>
      <c r="W1662" s="121"/>
      <c r="X1662" s="121"/>
      <c r="Y1662" s="121"/>
      <c r="Z1662" s="121"/>
      <c r="AA1662" s="121"/>
      <c r="AB1662" s="121"/>
      <c r="AC1662" s="121"/>
      <c r="AD1662" s="121"/>
      <c r="AE1662" s="121"/>
      <c r="AF1662" s="36"/>
      <c r="AG1662" s="36"/>
      <c r="AH1662" s="36"/>
      <c r="AI1662" s="36"/>
      <c r="AJ1662" s="36"/>
    </row>
    <row r="1663" ht="15.75" customHeight="1">
      <c r="A1663" s="12"/>
      <c r="B1663" s="390"/>
      <c r="C1663" s="390"/>
      <c r="D1663" s="390"/>
      <c r="E1663" s="121"/>
      <c r="F1663" s="121"/>
      <c r="G1663" s="121"/>
      <c r="H1663" s="121"/>
      <c r="I1663" s="121"/>
      <c r="J1663" s="121"/>
      <c r="K1663" s="121"/>
      <c r="L1663" s="121"/>
      <c r="M1663" s="121"/>
      <c r="N1663" s="121"/>
      <c r="O1663" s="121"/>
      <c r="P1663" s="121"/>
      <c r="Q1663" s="121"/>
      <c r="R1663" s="121"/>
      <c r="S1663" s="121"/>
      <c r="T1663" s="121"/>
      <c r="U1663" s="121"/>
      <c r="V1663" s="121"/>
      <c r="W1663" s="121"/>
      <c r="X1663" s="121"/>
      <c r="Y1663" s="121"/>
      <c r="Z1663" s="121"/>
      <c r="AA1663" s="121"/>
      <c r="AB1663" s="121"/>
      <c r="AC1663" s="121"/>
      <c r="AD1663" s="121"/>
      <c r="AE1663" s="121"/>
      <c r="AF1663" s="36"/>
      <c r="AG1663" s="36"/>
      <c r="AH1663" s="36"/>
      <c r="AI1663" s="36"/>
      <c r="AJ1663" s="36"/>
    </row>
    <row r="1664" ht="15.75" customHeight="1">
      <c r="A1664" s="12"/>
      <c r="B1664" s="390"/>
      <c r="C1664" s="390"/>
      <c r="D1664" s="390"/>
      <c r="E1664" s="121"/>
      <c r="F1664" s="121"/>
      <c r="G1664" s="121"/>
      <c r="H1664" s="121"/>
      <c r="I1664" s="121"/>
      <c r="J1664" s="121"/>
      <c r="K1664" s="121"/>
      <c r="L1664" s="121"/>
      <c r="M1664" s="121"/>
      <c r="N1664" s="121"/>
      <c r="O1664" s="121"/>
      <c r="P1664" s="121"/>
      <c r="Q1664" s="121"/>
      <c r="R1664" s="121"/>
      <c r="S1664" s="121"/>
      <c r="T1664" s="121"/>
      <c r="U1664" s="121"/>
      <c r="V1664" s="121"/>
      <c r="W1664" s="121"/>
      <c r="X1664" s="121"/>
      <c r="Y1664" s="121"/>
      <c r="Z1664" s="121"/>
      <c r="AA1664" s="121"/>
      <c r="AB1664" s="121"/>
      <c r="AC1664" s="121"/>
      <c r="AD1664" s="121"/>
      <c r="AE1664" s="121"/>
      <c r="AF1664" s="36"/>
      <c r="AG1664" s="36"/>
      <c r="AH1664" s="36"/>
      <c r="AI1664" s="36"/>
      <c r="AJ1664" s="36"/>
    </row>
    <row r="1665" ht="15.75" customHeight="1">
      <c r="A1665" s="12"/>
      <c r="B1665" s="390"/>
      <c r="C1665" s="390"/>
      <c r="D1665" s="390"/>
      <c r="E1665" s="121"/>
      <c r="F1665" s="121"/>
      <c r="G1665" s="121"/>
      <c r="H1665" s="121"/>
      <c r="I1665" s="121"/>
      <c r="J1665" s="121"/>
      <c r="K1665" s="121"/>
      <c r="L1665" s="121"/>
      <c r="M1665" s="121"/>
      <c r="N1665" s="121"/>
      <c r="O1665" s="121"/>
      <c r="P1665" s="121"/>
      <c r="Q1665" s="121"/>
      <c r="R1665" s="121"/>
      <c r="S1665" s="121"/>
      <c r="T1665" s="121"/>
      <c r="U1665" s="121"/>
      <c r="V1665" s="121"/>
      <c r="W1665" s="121"/>
      <c r="X1665" s="121"/>
      <c r="Y1665" s="121"/>
      <c r="Z1665" s="121"/>
      <c r="AA1665" s="121"/>
      <c r="AB1665" s="121"/>
      <c r="AC1665" s="121"/>
      <c r="AD1665" s="121"/>
      <c r="AE1665" s="121"/>
      <c r="AF1665" s="36"/>
      <c r="AG1665" s="36"/>
      <c r="AH1665" s="36"/>
      <c r="AI1665" s="36"/>
      <c r="AJ1665" s="36"/>
    </row>
    <row r="1666" ht="15.75" customHeight="1">
      <c r="A1666" s="12"/>
      <c r="B1666" s="390"/>
      <c r="C1666" s="390"/>
      <c r="D1666" s="390"/>
      <c r="E1666" s="121"/>
      <c r="F1666" s="121"/>
      <c r="G1666" s="121"/>
      <c r="H1666" s="121"/>
      <c r="I1666" s="121"/>
      <c r="J1666" s="121"/>
      <c r="K1666" s="121"/>
      <c r="L1666" s="121"/>
      <c r="M1666" s="121"/>
      <c r="N1666" s="121"/>
      <c r="O1666" s="121"/>
      <c r="P1666" s="121"/>
      <c r="Q1666" s="121"/>
      <c r="R1666" s="121"/>
      <c r="S1666" s="121"/>
      <c r="T1666" s="121"/>
      <c r="U1666" s="121"/>
      <c r="V1666" s="121"/>
      <c r="W1666" s="121"/>
      <c r="X1666" s="121"/>
      <c r="Y1666" s="121"/>
      <c r="Z1666" s="121"/>
      <c r="AA1666" s="121"/>
      <c r="AB1666" s="121"/>
      <c r="AC1666" s="121"/>
      <c r="AD1666" s="121"/>
      <c r="AE1666" s="121"/>
      <c r="AF1666" s="36"/>
      <c r="AG1666" s="36"/>
      <c r="AH1666" s="36"/>
      <c r="AI1666" s="36"/>
      <c r="AJ1666" s="36"/>
    </row>
    <row r="1667" ht="15.75" customHeight="1">
      <c r="A1667" s="12"/>
      <c r="B1667" s="390"/>
      <c r="C1667" s="390"/>
      <c r="D1667" s="390"/>
      <c r="E1667" s="121"/>
      <c r="F1667" s="121"/>
      <c r="G1667" s="121"/>
      <c r="H1667" s="121"/>
      <c r="I1667" s="121"/>
      <c r="J1667" s="121"/>
      <c r="K1667" s="121"/>
      <c r="L1667" s="121"/>
      <c r="M1667" s="121"/>
      <c r="N1667" s="121"/>
      <c r="O1667" s="121"/>
      <c r="P1667" s="121"/>
      <c r="Q1667" s="121"/>
      <c r="R1667" s="121"/>
      <c r="S1667" s="121"/>
      <c r="T1667" s="121"/>
      <c r="U1667" s="121"/>
      <c r="V1667" s="121"/>
      <c r="W1667" s="121"/>
      <c r="X1667" s="121"/>
      <c r="Y1667" s="121"/>
      <c r="Z1667" s="121"/>
      <c r="AA1667" s="121"/>
      <c r="AB1667" s="121"/>
      <c r="AC1667" s="121"/>
      <c r="AD1667" s="121"/>
      <c r="AE1667" s="121"/>
      <c r="AF1667" s="36"/>
      <c r="AG1667" s="36"/>
      <c r="AH1667" s="36"/>
      <c r="AI1667" s="36"/>
      <c r="AJ1667" s="36"/>
    </row>
    <row r="1668" ht="15.75" customHeight="1">
      <c r="A1668" s="12"/>
      <c r="B1668" s="390"/>
      <c r="C1668" s="390"/>
      <c r="D1668" s="390"/>
      <c r="E1668" s="121"/>
      <c r="F1668" s="121"/>
      <c r="G1668" s="121"/>
      <c r="H1668" s="121"/>
      <c r="I1668" s="121"/>
      <c r="J1668" s="121"/>
      <c r="K1668" s="121"/>
      <c r="L1668" s="121"/>
      <c r="M1668" s="121"/>
      <c r="N1668" s="121"/>
      <c r="O1668" s="121"/>
      <c r="P1668" s="121"/>
      <c r="Q1668" s="121"/>
      <c r="R1668" s="121"/>
      <c r="S1668" s="121"/>
      <c r="T1668" s="121"/>
      <c r="U1668" s="121"/>
      <c r="V1668" s="121"/>
      <c r="W1668" s="121"/>
      <c r="X1668" s="121"/>
      <c r="Y1668" s="121"/>
      <c r="Z1668" s="121"/>
      <c r="AA1668" s="121"/>
      <c r="AB1668" s="121"/>
      <c r="AC1668" s="121"/>
      <c r="AD1668" s="121"/>
      <c r="AE1668" s="121"/>
      <c r="AF1668" s="36"/>
      <c r="AG1668" s="36"/>
      <c r="AH1668" s="36"/>
      <c r="AI1668" s="36"/>
      <c r="AJ1668" s="36"/>
    </row>
    <row r="1669" ht="15.75" customHeight="1">
      <c r="A1669" s="12"/>
      <c r="B1669" s="390"/>
      <c r="C1669" s="390"/>
      <c r="D1669" s="390"/>
      <c r="E1669" s="121"/>
      <c r="F1669" s="121"/>
      <c r="G1669" s="121"/>
      <c r="H1669" s="121"/>
      <c r="I1669" s="121"/>
      <c r="J1669" s="121"/>
      <c r="K1669" s="121"/>
      <c r="L1669" s="121"/>
      <c r="M1669" s="121"/>
      <c r="N1669" s="121"/>
      <c r="O1669" s="121"/>
      <c r="P1669" s="121"/>
      <c r="Q1669" s="121"/>
      <c r="R1669" s="121"/>
      <c r="S1669" s="121"/>
      <c r="T1669" s="121"/>
      <c r="U1669" s="121"/>
      <c r="V1669" s="121"/>
      <c r="W1669" s="121"/>
      <c r="X1669" s="121"/>
      <c r="Y1669" s="121"/>
      <c r="Z1669" s="121"/>
      <c r="AA1669" s="121"/>
      <c r="AB1669" s="121"/>
      <c r="AC1669" s="121"/>
      <c r="AD1669" s="121"/>
      <c r="AE1669" s="121"/>
      <c r="AF1669" s="36"/>
      <c r="AG1669" s="36"/>
      <c r="AH1669" s="36"/>
      <c r="AI1669" s="36"/>
      <c r="AJ1669" s="36"/>
    </row>
    <row r="1670" ht="15.75" customHeight="1">
      <c r="A1670" s="12"/>
      <c r="B1670" s="390"/>
      <c r="C1670" s="390"/>
      <c r="D1670" s="390"/>
      <c r="E1670" s="121"/>
      <c r="F1670" s="121"/>
      <c r="G1670" s="121"/>
      <c r="H1670" s="121"/>
      <c r="I1670" s="121"/>
      <c r="J1670" s="121"/>
      <c r="K1670" s="121"/>
      <c r="L1670" s="121"/>
      <c r="M1670" s="121"/>
      <c r="N1670" s="121"/>
      <c r="O1670" s="121"/>
      <c r="P1670" s="121"/>
      <c r="Q1670" s="121"/>
      <c r="R1670" s="121"/>
      <c r="S1670" s="121"/>
      <c r="T1670" s="121"/>
      <c r="U1670" s="121"/>
      <c r="V1670" s="121"/>
      <c r="W1670" s="121"/>
      <c r="X1670" s="121"/>
      <c r="Y1670" s="121"/>
      <c r="Z1670" s="121"/>
      <c r="AA1670" s="121"/>
      <c r="AB1670" s="121"/>
      <c r="AC1670" s="121"/>
      <c r="AD1670" s="121"/>
      <c r="AE1670" s="121"/>
      <c r="AF1670" s="36"/>
      <c r="AG1670" s="36"/>
      <c r="AH1670" s="36"/>
      <c r="AI1670" s="36"/>
      <c r="AJ1670" s="36"/>
    </row>
    <row r="1671" ht="15.75" customHeight="1">
      <c r="A1671" s="12"/>
      <c r="B1671" s="390"/>
      <c r="C1671" s="390"/>
      <c r="D1671" s="390"/>
      <c r="E1671" s="121"/>
      <c r="F1671" s="121"/>
      <c r="G1671" s="121"/>
      <c r="H1671" s="121"/>
      <c r="I1671" s="121"/>
      <c r="J1671" s="121"/>
      <c r="K1671" s="121"/>
      <c r="L1671" s="121"/>
      <c r="M1671" s="121"/>
      <c r="N1671" s="121"/>
      <c r="O1671" s="121"/>
      <c r="P1671" s="121"/>
      <c r="Q1671" s="121"/>
      <c r="R1671" s="121"/>
      <c r="S1671" s="121"/>
      <c r="T1671" s="121"/>
      <c r="U1671" s="121"/>
      <c r="V1671" s="121"/>
      <c r="W1671" s="121"/>
      <c r="X1671" s="121"/>
      <c r="Y1671" s="121"/>
      <c r="Z1671" s="121"/>
      <c r="AA1671" s="121"/>
      <c r="AB1671" s="121"/>
      <c r="AC1671" s="121"/>
      <c r="AD1671" s="121"/>
      <c r="AE1671" s="121"/>
      <c r="AF1671" s="36"/>
      <c r="AG1671" s="36"/>
      <c r="AH1671" s="36"/>
      <c r="AI1671" s="36"/>
      <c r="AJ1671" s="36"/>
    </row>
    <row r="1672" ht="15.75" customHeight="1">
      <c r="A1672" s="12"/>
      <c r="B1672" s="390"/>
      <c r="C1672" s="390"/>
      <c r="D1672" s="390"/>
      <c r="E1672" s="121"/>
      <c r="F1672" s="121"/>
      <c r="G1672" s="121"/>
      <c r="H1672" s="121"/>
      <c r="I1672" s="121"/>
      <c r="J1672" s="121"/>
      <c r="K1672" s="121"/>
      <c r="L1672" s="121"/>
      <c r="M1672" s="121"/>
      <c r="N1672" s="121"/>
      <c r="O1672" s="121"/>
      <c r="P1672" s="121"/>
      <c r="Q1672" s="121"/>
      <c r="R1672" s="121"/>
      <c r="S1672" s="121"/>
      <c r="T1672" s="121"/>
      <c r="U1672" s="121"/>
      <c r="V1672" s="121"/>
      <c r="W1672" s="121"/>
      <c r="X1672" s="121"/>
      <c r="Y1672" s="121"/>
      <c r="Z1672" s="121"/>
      <c r="AA1672" s="121"/>
      <c r="AB1672" s="121"/>
      <c r="AC1672" s="121"/>
      <c r="AD1672" s="121"/>
      <c r="AE1672" s="121"/>
      <c r="AF1672" s="36"/>
      <c r="AG1672" s="36"/>
      <c r="AH1672" s="36"/>
      <c r="AI1672" s="36"/>
      <c r="AJ1672" s="36"/>
    </row>
    <row r="1673" ht="15.75" customHeight="1">
      <c r="A1673" s="12"/>
      <c r="B1673" s="390"/>
      <c r="C1673" s="390"/>
      <c r="D1673" s="390"/>
      <c r="E1673" s="121"/>
      <c r="F1673" s="121"/>
      <c r="G1673" s="121"/>
      <c r="H1673" s="121"/>
      <c r="I1673" s="121"/>
      <c r="J1673" s="121"/>
      <c r="K1673" s="121"/>
      <c r="L1673" s="121"/>
      <c r="M1673" s="121"/>
      <c r="N1673" s="121"/>
      <c r="O1673" s="121"/>
      <c r="P1673" s="121"/>
      <c r="Q1673" s="121"/>
      <c r="R1673" s="121"/>
      <c r="S1673" s="121"/>
      <c r="T1673" s="121"/>
      <c r="U1673" s="121"/>
      <c r="V1673" s="121"/>
      <c r="W1673" s="121"/>
      <c r="X1673" s="121"/>
      <c r="Y1673" s="121"/>
      <c r="Z1673" s="121"/>
      <c r="AA1673" s="121"/>
      <c r="AB1673" s="121"/>
      <c r="AC1673" s="121"/>
      <c r="AD1673" s="121"/>
      <c r="AE1673" s="121"/>
      <c r="AF1673" s="36"/>
      <c r="AG1673" s="36"/>
      <c r="AH1673" s="36"/>
      <c r="AI1673" s="36"/>
      <c r="AJ1673" s="36"/>
    </row>
    <row r="1674" ht="15.75" customHeight="1">
      <c r="A1674" s="12"/>
      <c r="B1674" s="390"/>
      <c r="C1674" s="390"/>
      <c r="D1674" s="390"/>
      <c r="E1674" s="121"/>
      <c r="F1674" s="121"/>
      <c r="G1674" s="121"/>
      <c r="H1674" s="121"/>
      <c r="I1674" s="121"/>
      <c r="J1674" s="121"/>
      <c r="K1674" s="121"/>
      <c r="L1674" s="121"/>
      <c r="M1674" s="121"/>
      <c r="N1674" s="121"/>
      <c r="O1674" s="121"/>
      <c r="P1674" s="121"/>
      <c r="Q1674" s="121"/>
      <c r="R1674" s="121"/>
      <c r="S1674" s="121"/>
      <c r="T1674" s="121"/>
      <c r="U1674" s="121"/>
      <c r="V1674" s="121"/>
      <c r="W1674" s="121"/>
      <c r="X1674" s="121"/>
      <c r="Y1674" s="121"/>
      <c r="Z1674" s="121"/>
      <c r="AA1674" s="121"/>
      <c r="AB1674" s="121"/>
      <c r="AC1674" s="121"/>
      <c r="AD1674" s="121"/>
      <c r="AE1674" s="121"/>
      <c r="AF1674" s="36"/>
      <c r="AG1674" s="36"/>
      <c r="AH1674" s="36"/>
      <c r="AI1674" s="36"/>
      <c r="AJ1674" s="36"/>
    </row>
    <row r="1675" ht="15.75" customHeight="1">
      <c r="A1675" s="12"/>
      <c r="B1675" s="390"/>
      <c r="C1675" s="390"/>
      <c r="D1675" s="390"/>
      <c r="E1675" s="121"/>
      <c r="F1675" s="121"/>
      <c r="G1675" s="121"/>
      <c r="H1675" s="121"/>
      <c r="I1675" s="121"/>
      <c r="J1675" s="121"/>
      <c r="K1675" s="121"/>
      <c r="L1675" s="121"/>
      <c r="M1675" s="121"/>
      <c r="N1675" s="121"/>
      <c r="O1675" s="121"/>
      <c r="P1675" s="121"/>
      <c r="Q1675" s="121"/>
      <c r="R1675" s="121"/>
      <c r="S1675" s="121"/>
      <c r="T1675" s="121"/>
      <c r="U1675" s="121"/>
      <c r="V1675" s="121"/>
      <c r="W1675" s="121"/>
      <c r="X1675" s="121"/>
      <c r="Y1675" s="121"/>
      <c r="Z1675" s="121"/>
      <c r="AA1675" s="121"/>
      <c r="AB1675" s="121"/>
      <c r="AC1675" s="121"/>
      <c r="AD1675" s="121"/>
      <c r="AE1675" s="121"/>
      <c r="AF1675" s="36"/>
      <c r="AG1675" s="36"/>
      <c r="AH1675" s="36"/>
      <c r="AI1675" s="36"/>
      <c r="AJ1675" s="36"/>
    </row>
    <row r="1676" ht="15.75" customHeight="1">
      <c r="A1676" s="12"/>
      <c r="B1676" s="390"/>
      <c r="C1676" s="390"/>
      <c r="D1676" s="390"/>
      <c r="E1676" s="121"/>
      <c r="F1676" s="121"/>
      <c r="G1676" s="121"/>
      <c r="H1676" s="121"/>
      <c r="I1676" s="121"/>
      <c r="J1676" s="121"/>
      <c r="K1676" s="121"/>
      <c r="L1676" s="121"/>
      <c r="M1676" s="121"/>
      <c r="N1676" s="121"/>
      <c r="O1676" s="121"/>
      <c r="P1676" s="121"/>
      <c r="Q1676" s="121"/>
      <c r="R1676" s="121"/>
      <c r="S1676" s="121"/>
      <c r="T1676" s="121"/>
      <c r="U1676" s="121"/>
      <c r="V1676" s="121"/>
      <c r="W1676" s="121"/>
      <c r="X1676" s="121"/>
      <c r="Y1676" s="121"/>
      <c r="Z1676" s="121"/>
      <c r="AA1676" s="121"/>
      <c r="AB1676" s="121"/>
      <c r="AC1676" s="121"/>
      <c r="AD1676" s="121"/>
      <c r="AE1676" s="121"/>
      <c r="AF1676" s="36"/>
      <c r="AG1676" s="36"/>
      <c r="AH1676" s="36"/>
      <c r="AI1676" s="36"/>
      <c r="AJ1676" s="36"/>
    </row>
    <row r="1677" ht="15.75" customHeight="1">
      <c r="A1677" s="12"/>
      <c r="B1677" s="390"/>
      <c r="C1677" s="390"/>
      <c r="D1677" s="390"/>
      <c r="E1677" s="121"/>
      <c r="F1677" s="121"/>
      <c r="G1677" s="121"/>
      <c r="H1677" s="121"/>
      <c r="I1677" s="121"/>
      <c r="J1677" s="121"/>
      <c r="K1677" s="121"/>
      <c r="L1677" s="121"/>
      <c r="M1677" s="121"/>
      <c r="N1677" s="121"/>
      <c r="O1677" s="121"/>
      <c r="P1677" s="121"/>
      <c r="Q1677" s="121"/>
      <c r="R1677" s="121"/>
      <c r="S1677" s="121"/>
      <c r="T1677" s="121"/>
      <c r="U1677" s="121"/>
      <c r="V1677" s="121"/>
      <c r="W1677" s="121"/>
      <c r="X1677" s="121"/>
      <c r="Y1677" s="121"/>
      <c r="Z1677" s="121"/>
      <c r="AA1677" s="121"/>
      <c r="AB1677" s="121"/>
      <c r="AC1677" s="121"/>
      <c r="AD1677" s="121"/>
      <c r="AE1677" s="121"/>
      <c r="AF1677" s="36"/>
      <c r="AG1677" s="36"/>
      <c r="AH1677" s="36"/>
      <c r="AI1677" s="36"/>
      <c r="AJ1677" s="36"/>
    </row>
    <row r="1678" ht="15.75" customHeight="1">
      <c r="A1678" s="12"/>
      <c r="B1678" s="390"/>
      <c r="C1678" s="390"/>
      <c r="D1678" s="390"/>
      <c r="E1678" s="121"/>
      <c r="F1678" s="121"/>
      <c r="G1678" s="121"/>
      <c r="H1678" s="121"/>
      <c r="I1678" s="121"/>
      <c r="J1678" s="121"/>
      <c r="K1678" s="121"/>
      <c r="L1678" s="121"/>
      <c r="M1678" s="121"/>
      <c r="N1678" s="121"/>
      <c r="O1678" s="121"/>
      <c r="P1678" s="121"/>
      <c r="Q1678" s="121"/>
      <c r="R1678" s="121"/>
      <c r="S1678" s="121"/>
      <c r="T1678" s="121"/>
      <c r="U1678" s="121"/>
      <c r="V1678" s="121"/>
      <c r="W1678" s="121"/>
      <c r="X1678" s="121"/>
      <c r="Y1678" s="121"/>
      <c r="Z1678" s="121"/>
      <c r="AA1678" s="121"/>
      <c r="AB1678" s="121"/>
      <c r="AC1678" s="121"/>
      <c r="AD1678" s="121"/>
      <c r="AE1678" s="121"/>
      <c r="AF1678" s="36"/>
      <c r="AG1678" s="36"/>
      <c r="AH1678" s="36"/>
      <c r="AI1678" s="36"/>
      <c r="AJ1678" s="36"/>
    </row>
    <row r="1679" ht="15.75" customHeight="1">
      <c r="A1679" s="12"/>
      <c r="B1679" s="390"/>
      <c r="C1679" s="390"/>
      <c r="D1679" s="390"/>
      <c r="E1679" s="121"/>
      <c r="F1679" s="121"/>
      <c r="G1679" s="121"/>
      <c r="H1679" s="121"/>
      <c r="I1679" s="121"/>
      <c r="J1679" s="121"/>
      <c r="K1679" s="121"/>
      <c r="L1679" s="121"/>
      <c r="M1679" s="121"/>
      <c r="N1679" s="121"/>
      <c r="O1679" s="121"/>
      <c r="P1679" s="121"/>
      <c r="Q1679" s="121"/>
      <c r="R1679" s="121"/>
      <c r="S1679" s="121"/>
      <c r="T1679" s="121"/>
      <c r="U1679" s="121"/>
      <c r="V1679" s="121"/>
      <c r="W1679" s="121"/>
      <c r="X1679" s="121"/>
      <c r="Y1679" s="121"/>
      <c r="Z1679" s="121"/>
      <c r="AA1679" s="121"/>
      <c r="AB1679" s="121"/>
      <c r="AC1679" s="121"/>
      <c r="AD1679" s="121"/>
      <c r="AE1679" s="121"/>
      <c r="AF1679" s="36"/>
      <c r="AG1679" s="36"/>
      <c r="AH1679" s="36"/>
      <c r="AI1679" s="36"/>
      <c r="AJ1679" s="36"/>
    </row>
    <row r="1680" ht="15.75" customHeight="1">
      <c r="A1680" s="12"/>
      <c r="B1680" s="390"/>
      <c r="C1680" s="390"/>
      <c r="D1680" s="390"/>
      <c r="E1680" s="121"/>
      <c r="F1680" s="121"/>
      <c r="G1680" s="121"/>
      <c r="H1680" s="121"/>
      <c r="I1680" s="121"/>
      <c r="J1680" s="121"/>
      <c r="K1680" s="121"/>
      <c r="L1680" s="121"/>
      <c r="M1680" s="121"/>
      <c r="N1680" s="121"/>
      <c r="O1680" s="121"/>
      <c r="P1680" s="121"/>
      <c r="Q1680" s="121"/>
      <c r="R1680" s="121"/>
      <c r="S1680" s="121"/>
      <c r="T1680" s="121"/>
      <c r="U1680" s="121"/>
      <c r="V1680" s="121"/>
      <c r="W1680" s="121"/>
      <c r="X1680" s="121"/>
      <c r="Y1680" s="121"/>
      <c r="Z1680" s="121"/>
      <c r="AA1680" s="121"/>
      <c r="AB1680" s="121"/>
      <c r="AC1680" s="121"/>
      <c r="AD1680" s="121"/>
      <c r="AE1680" s="121"/>
      <c r="AF1680" s="36"/>
      <c r="AG1680" s="36"/>
      <c r="AH1680" s="36"/>
      <c r="AI1680" s="36"/>
      <c r="AJ1680" s="36"/>
    </row>
    <row r="1681" ht="15.75" customHeight="1">
      <c r="A1681" s="12"/>
      <c r="B1681" s="390"/>
      <c r="C1681" s="390"/>
      <c r="D1681" s="390"/>
      <c r="E1681" s="121"/>
      <c r="F1681" s="121"/>
      <c r="G1681" s="121"/>
      <c r="H1681" s="121"/>
      <c r="I1681" s="121"/>
      <c r="J1681" s="121"/>
      <c r="K1681" s="121"/>
      <c r="L1681" s="121"/>
      <c r="M1681" s="121"/>
      <c r="N1681" s="121"/>
      <c r="O1681" s="121"/>
      <c r="P1681" s="121"/>
      <c r="Q1681" s="121"/>
      <c r="R1681" s="121"/>
      <c r="S1681" s="121"/>
      <c r="T1681" s="121"/>
      <c r="U1681" s="121"/>
      <c r="V1681" s="121"/>
      <c r="W1681" s="121"/>
      <c r="X1681" s="121"/>
      <c r="Y1681" s="121"/>
      <c r="Z1681" s="121"/>
      <c r="AA1681" s="121"/>
      <c r="AB1681" s="121"/>
      <c r="AC1681" s="121"/>
      <c r="AD1681" s="121"/>
      <c r="AE1681" s="121"/>
      <c r="AF1681" s="36"/>
      <c r="AG1681" s="36"/>
      <c r="AH1681" s="36"/>
      <c r="AI1681" s="36"/>
      <c r="AJ1681" s="36"/>
    </row>
    <row r="1682" ht="15.75" customHeight="1">
      <c r="A1682" s="12"/>
      <c r="B1682" s="390"/>
      <c r="C1682" s="390"/>
      <c r="D1682" s="390"/>
      <c r="E1682" s="121"/>
      <c r="F1682" s="121"/>
      <c r="G1682" s="121"/>
      <c r="H1682" s="121"/>
      <c r="I1682" s="121"/>
      <c r="J1682" s="121"/>
      <c r="K1682" s="121"/>
      <c r="L1682" s="121"/>
      <c r="M1682" s="121"/>
      <c r="N1682" s="121"/>
      <c r="O1682" s="121"/>
      <c r="P1682" s="121"/>
      <c r="Q1682" s="121"/>
      <c r="R1682" s="121"/>
      <c r="S1682" s="121"/>
      <c r="T1682" s="121"/>
      <c r="U1682" s="121"/>
      <c r="V1682" s="121"/>
      <c r="W1682" s="121"/>
      <c r="X1682" s="121"/>
      <c r="Y1682" s="121"/>
      <c r="Z1682" s="121"/>
      <c r="AA1682" s="121"/>
      <c r="AB1682" s="121"/>
      <c r="AC1682" s="121"/>
      <c r="AD1682" s="121"/>
      <c r="AE1682" s="121"/>
      <c r="AF1682" s="36"/>
      <c r="AG1682" s="36"/>
      <c r="AH1682" s="36"/>
      <c r="AI1682" s="36"/>
      <c r="AJ1682" s="36"/>
    </row>
    <row r="1683" ht="15.75" customHeight="1">
      <c r="A1683" s="12"/>
      <c r="B1683" s="390"/>
      <c r="C1683" s="390"/>
      <c r="D1683" s="390"/>
      <c r="E1683" s="121"/>
      <c r="F1683" s="121"/>
      <c r="G1683" s="121"/>
      <c r="H1683" s="121"/>
      <c r="I1683" s="121"/>
      <c r="J1683" s="121"/>
      <c r="K1683" s="121"/>
      <c r="L1683" s="121"/>
      <c r="M1683" s="121"/>
      <c r="N1683" s="121"/>
      <c r="O1683" s="121"/>
      <c r="P1683" s="121"/>
      <c r="Q1683" s="121"/>
      <c r="R1683" s="121"/>
      <c r="S1683" s="121"/>
      <c r="T1683" s="121"/>
      <c r="U1683" s="121"/>
      <c r="V1683" s="121"/>
      <c r="W1683" s="121"/>
      <c r="X1683" s="121"/>
      <c r="Y1683" s="121"/>
      <c r="Z1683" s="121"/>
      <c r="AA1683" s="121"/>
      <c r="AB1683" s="121"/>
      <c r="AC1683" s="121"/>
      <c r="AD1683" s="121"/>
      <c r="AE1683" s="121"/>
      <c r="AF1683" s="36"/>
      <c r="AG1683" s="36"/>
      <c r="AH1683" s="36"/>
      <c r="AI1683" s="36"/>
      <c r="AJ1683" s="36"/>
    </row>
    <row r="1684" ht="15.75" customHeight="1">
      <c r="A1684" s="12"/>
      <c r="B1684" s="390"/>
      <c r="C1684" s="390"/>
      <c r="D1684" s="390"/>
      <c r="E1684" s="121"/>
      <c r="F1684" s="121"/>
      <c r="G1684" s="121"/>
      <c r="H1684" s="121"/>
      <c r="I1684" s="121"/>
      <c r="J1684" s="121"/>
      <c r="K1684" s="121"/>
      <c r="L1684" s="121"/>
      <c r="M1684" s="121"/>
      <c r="N1684" s="121"/>
      <c r="O1684" s="121"/>
      <c r="P1684" s="121"/>
      <c r="Q1684" s="121"/>
      <c r="R1684" s="121"/>
      <c r="S1684" s="121"/>
      <c r="T1684" s="121"/>
      <c r="U1684" s="121"/>
      <c r="V1684" s="121"/>
      <c r="W1684" s="121"/>
      <c r="X1684" s="121"/>
      <c r="Y1684" s="121"/>
      <c r="Z1684" s="121"/>
      <c r="AA1684" s="121"/>
      <c r="AB1684" s="121"/>
      <c r="AC1684" s="121"/>
      <c r="AD1684" s="121"/>
      <c r="AE1684" s="121"/>
      <c r="AF1684" s="36"/>
      <c r="AG1684" s="36"/>
      <c r="AH1684" s="36"/>
      <c r="AI1684" s="36"/>
      <c r="AJ1684" s="36"/>
    </row>
    <row r="1685" ht="15.75" customHeight="1">
      <c r="A1685" s="12"/>
      <c r="B1685" s="390"/>
      <c r="C1685" s="390"/>
      <c r="D1685" s="390"/>
      <c r="E1685" s="121"/>
      <c r="F1685" s="121"/>
      <c r="G1685" s="121"/>
      <c r="H1685" s="121"/>
      <c r="I1685" s="121"/>
      <c r="J1685" s="121"/>
      <c r="K1685" s="121"/>
      <c r="L1685" s="121"/>
      <c r="M1685" s="121"/>
      <c r="N1685" s="121"/>
      <c r="O1685" s="121"/>
      <c r="P1685" s="121"/>
      <c r="Q1685" s="121"/>
      <c r="R1685" s="121"/>
      <c r="S1685" s="121"/>
      <c r="T1685" s="121"/>
      <c r="U1685" s="121"/>
      <c r="V1685" s="121"/>
      <c r="W1685" s="121"/>
      <c r="X1685" s="121"/>
      <c r="Y1685" s="121"/>
      <c r="Z1685" s="121"/>
      <c r="AA1685" s="121"/>
      <c r="AB1685" s="121"/>
      <c r="AC1685" s="121"/>
      <c r="AD1685" s="121"/>
      <c r="AE1685" s="121"/>
      <c r="AF1685" s="36"/>
      <c r="AG1685" s="36"/>
      <c r="AH1685" s="36"/>
      <c r="AI1685" s="36"/>
      <c r="AJ1685" s="36"/>
    </row>
    <row r="1686" ht="15.75" customHeight="1">
      <c r="A1686" s="12"/>
      <c r="B1686" s="390"/>
      <c r="C1686" s="390"/>
      <c r="D1686" s="390"/>
      <c r="E1686" s="121"/>
      <c r="F1686" s="121"/>
      <c r="G1686" s="121"/>
      <c r="H1686" s="121"/>
      <c r="I1686" s="121"/>
      <c r="J1686" s="121"/>
      <c r="K1686" s="121"/>
      <c r="L1686" s="121"/>
      <c r="M1686" s="121"/>
      <c r="N1686" s="121"/>
      <c r="O1686" s="121"/>
      <c r="P1686" s="121"/>
      <c r="Q1686" s="121"/>
      <c r="R1686" s="121"/>
      <c r="S1686" s="121"/>
      <c r="T1686" s="121"/>
      <c r="U1686" s="121"/>
      <c r="V1686" s="121"/>
      <c r="W1686" s="121"/>
      <c r="X1686" s="121"/>
      <c r="Y1686" s="121"/>
      <c r="Z1686" s="121"/>
      <c r="AA1686" s="121"/>
      <c r="AB1686" s="121"/>
      <c r="AC1686" s="121"/>
      <c r="AD1686" s="121"/>
      <c r="AE1686" s="121"/>
      <c r="AF1686" s="36"/>
      <c r="AG1686" s="36"/>
      <c r="AH1686" s="36"/>
      <c r="AI1686" s="36"/>
      <c r="AJ1686" s="36"/>
    </row>
    <row r="1687" ht="15.75" customHeight="1">
      <c r="A1687" s="12"/>
      <c r="B1687" s="390"/>
      <c r="C1687" s="390"/>
      <c r="D1687" s="390"/>
      <c r="E1687" s="121"/>
      <c r="F1687" s="121"/>
      <c r="G1687" s="121"/>
      <c r="H1687" s="121"/>
      <c r="I1687" s="121"/>
      <c r="J1687" s="121"/>
      <c r="K1687" s="121"/>
      <c r="L1687" s="121"/>
      <c r="M1687" s="121"/>
      <c r="N1687" s="121"/>
      <c r="O1687" s="121"/>
      <c r="P1687" s="121"/>
      <c r="Q1687" s="121"/>
      <c r="R1687" s="121"/>
      <c r="S1687" s="121"/>
      <c r="T1687" s="121"/>
      <c r="U1687" s="121"/>
      <c r="V1687" s="121"/>
      <c r="W1687" s="121"/>
      <c r="X1687" s="121"/>
      <c r="Y1687" s="121"/>
      <c r="Z1687" s="121"/>
      <c r="AA1687" s="121"/>
      <c r="AB1687" s="121"/>
      <c r="AC1687" s="121"/>
      <c r="AD1687" s="121"/>
      <c r="AE1687" s="121"/>
      <c r="AF1687" s="36"/>
      <c r="AG1687" s="36"/>
      <c r="AH1687" s="36"/>
      <c r="AI1687" s="36"/>
      <c r="AJ1687" s="36"/>
    </row>
    <row r="1688" ht="15.75" customHeight="1">
      <c r="A1688" s="12"/>
      <c r="B1688" s="390"/>
      <c r="C1688" s="390"/>
      <c r="D1688" s="390"/>
      <c r="E1688" s="121"/>
      <c r="F1688" s="121"/>
      <c r="G1688" s="121"/>
      <c r="H1688" s="121"/>
      <c r="I1688" s="121"/>
      <c r="J1688" s="121"/>
      <c r="K1688" s="121"/>
      <c r="L1688" s="121"/>
      <c r="M1688" s="121"/>
      <c r="N1688" s="121"/>
      <c r="O1688" s="121"/>
      <c r="P1688" s="121"/>
      <c r="Q1688" s="121"/>
      <c r="R1688" s="121"/>
      <c r="S1688" s="121"/>
      <c r="T1688" s="121"/>
      <c r="U1688" s="121"/>
      <c r="V1688" s="121"/>
      <c r="W1688" s="121"/>
      <c r="X1688" s="121"/>
      <c r="Y1688" s="121"/>
      <c r="Z1688" s="121"/>
      <c r="AA1688" s="121"/>
      <c r="AB1688" s="121"/>
      <c r="AC1688" s="121"/>
      <c r="AD1688" s="121"/>
      <c r="AE1688" s="121"/>
      <c r="AF1688" s="36"/>
      <c r="AG1688" s="36"/>
      <c r="AH1688" s="36"/>
      <c r="AI1688" s="36"/>
      <c r="AJ1688" s="36"/>
    </row>
    <row r="1689" ht="15.75" customHeight="1">
      <c r="A1689" s="12"/>
      <c r="B1689" s="390"/>
      <c r="C1689" s="390"/>
      <c r="D1689" s="390"/>
      <c r="E1689" s="121"/>
      <c r="F1689" s="121"/>
      <c r="G1689" s="121"/>
      <c r="H1689" s="121"/>
      <c r="I1689" s="121"/>
      <c r="J1689" s="121"/>
      <c r="K1689" s="121"/>
      <c r="L1689" s="121"/>
      <c r="M1689" s="121"/>
      <c r="N1689" s="121"/>
      <c r="O1689" s="121"/>
      <c r="P1689" s="121"/>
      <c r="Q1689" s="121"/>
      <c r="R1689" s="121"/>
      <c r="S1689" s="121"/>
      <c r="T1689" s="121"/>
      <c r="U1689" s="121"/>
      <c r="V1689" s="121"/>
      <c r="W1689" s="121"/>
      <c r="X1689" s="121"/>
      <c r="Y1689" s="121"/>
      <c r="Z1689" s="121"/>
      <c r="AA1689" s="121"/>
      <c r="AB1689" s="121"/>
      <c r="AC1689" s="121"/>
      <c r="AD1689" s="121"/>
      <c r="AE1689" s="121"/>
      <c r="AF1689" s="36"/>
      <c r="AG1689" s="36"/>
      <c r="AH1689" s="36"/>
      <c r="AI1689" s="36"/>
      <c r="AJ1689" s="36"/>
    </row>
    <row r="1690" ht="15.75" customHeight="1">
      <c r="A1690" s="12"/>
      <c r="B1690" s="390"/>
      <c r="C1690" s="390"/>
      <c r="D1690" s="390"/>
      <c r="E1690" s="121"/>
      <c r="F1690" s="121"/>
      <c r="G1690" s="121"/>
      <c r="H1690" s="121"/>
      <c r="I1690" s="121"/>
      <c r="J1690" s="121"/>
      <c r="K1690" s="121"/>
      <c r="L1690" s="121"/>
      <c r="M1690" s="121"/>
      <c r="N1690" s="121"/>
      <c r="O1690" s="121"/>
      <c r="P1690" s="121"/>
      <c r="Q1690" s="121"/>
      <c r="R1690" s="121"/>
      <c r="S1690" s="121"/>
      <c r="T1690" s="121"/>
      <c r="U1690" s="121"/>
      <c r="V1690" s="121"/>
      <c r="W1690" s="121"/>
      <c r="X1690" s="121"/>
      <c r="Y1690" s="121"/>
      <c r="Z1690" s="121"/>
      <c r="AA1690" s="121"/>
      <c r="AB1690" s="121"/>
      <c r="AC1690" s="121"/>
      <c r="AD1690" s="121"/>
      <c r="AE1690" s="121"/>
      <c r="AF1690" s="36"/>
      <c r="AG1690" s="36"/>
      <c r="AH1690" s="36"/>
      <c r="AI1690" s="36"/>
      <c r="AJ1690" s="36"/>
    </row>
    <row r="1691" ht="15.75" customHeight="1">
      <c r="A1691" s="12"/>
      <c r="B1691" s="390"/>
      <c r="C1691" s="390"/>
      <c r="D1691" s="390"/>
      <c r="E1691" s="121"/>
      <c r="F1691" s="121"/>
      <c r="G1691" s="121"/>
      <c r="H1691" s="121"/>
      <c r="I1691" s="121"/>
      <c r="J1691" s="121"/>
      <c r="K1691" s="121"/>
      <c r="L1691" s="121"/>
      <c r="M1691" s="121"/>
      <c r="N1691" s="121"/>
      <c r="O1691" s="121"/>
      <c r="P1691" s="121"/>
      <c r="Q1691" s="121"/>
      <c r="R1691" s="121"/>
      <c r="S1691" s="121"/>
      <c r="T1691" s="121"/>
      <c r="U1691" s="121"/>
      <c r="V1691" s="121"/>
      <c r="W1691" s="121"/>
      <c r="X1691" s="121"/>
      <c r="Y1691" s="121"/>
      <c r="Z1691" s="121"/>
      <c r="AA1691" s="121"/>
      <c r="AB1691" s="121"/>
      <c r="AC1691" s="121"/>
      <c r="AD1691" s="121"/>
      <c r="AE1691" s="121"/>
      <c r="AF1691" s="36"/>
      <c r="AG1691" s="36"/>
      <c r="AH1691" s="36"/>
      <c r="AI1691" s="36"/>
      <c r="AJ1691" s="36"/>
    </row>
    <row r="1692" ht="15.75" customHeight="1">
      <c r="A1692" s="12"/>
      <c r="B1692" s="390"/>
      <c r="C1692" s="390"/>
      <c r="D1692" s="390"/>
      <c r="E1692" s="121"/>
      <c r="F1692" s="121"/>
      <c r="G1692" s="121"/>
      <c r="H1692" s="121"/>
      <c r="I1692" s="121"/>
      <c r="J1692" s="121"/>
      <c r="K1692" s="121"/>
      <c r="L1692" s="121"/>
      <c r="M1692" s="121"/>
      <c r="N1692" s="121"/>
      <c r="O1692" s="121"/>
      <c r="P1692" s="121"/>
      <c r="Q1692" s="121"/>
      <c r="R1692" s="121"/>
      <c r="S1692" s="121"/>
      <c r="T1692" s="121"/>
      <c r="U1692" s="121"/>
      <c r="V1692" s="121"/>
      <c r="W1692" s="121"/>
      <c r="X1692" s="121"/>
      <c r="Y1692" s="121"/>
      <c r="Z1692" s="121"/>
      <c r="AA1692" s="121"/>
      <c r="AB1692" s="121"/>
      <c r="AC1692" s="121"/>
      <c r="AD1692" s="121"/>
      <c r="AE1692" s="121"/>
      <c r="AF1692" s="36"/>
      <c r="AG1692" s="36"/>
      <c r="AH1692" s="36"/>
      <c r="AI1692" s="36"/>
      <c r="AJ1692" s="36"/>
    </row>
    <row r="1693" ht="15.75" customHeight="1">
      <c r="A1693" s="12"/>
      <c r="B1693" s="390"/>
      <c r="C1693" s="390"/>
      <c r="D1693" s="390"/>
      <c r="E1693" s="121"/>
      <c r="F1693" s="121"/>
      <c r="G1693" s="121"/>
      <c r="H1693" s="121"/>
      <c r="I1693" s="121"/>
      <c r="J1693" s="121"/>
      <c r="K1693" s="121"/>
      <c r="L1693" s="121"/>
      <c r="M1693" s="121"/>
      <c r="N1693" s="121"/>
      <c r="O1693" s="121"/>
      <c r="P1693" s="121"/>
      <c r="Q1693" s="121"/>
      <c r="R1693" s="121"/>
      <c r="S1693" s="121"/>
      <c r="T1693" s="121"/>
      <c r="U1693" s="121"/>
      <c r="V1693" s="121"/>
      <c r="W1693" s="121"/>
      <c r="X1693" s="121"/>
      <c r="Y1693" s="121"/>
      <c r="Z1693" s="121"/>
      <c r="AA1693" s="121"/>
      <c r="AB1693" s="121"/>
      <c r="AC1693" s="121"/>
      <c r="AD1693" s="121"/>
      <c r="AE1693" s="121"/>
      <c r="AF1693" s="36"/>
      <c r="AG1693" s="36"/>
      <c r="AH1693" s="36"/>
      <c r="AI1693" s="36"/>
      <c r="AJ1693" s="36"/>
    </row>
    <row r="1694" ht="15.75" customHeight="1">
      <c r="A1694" s="12"/>
      <c r="B1694" s="390"/>
      <c r="C1694" s="390"/>
      <c r="D1694" s="390"/>
      <c r="E1694" s="121"/>
      <c r="F1694" s="121"/>
      <c r="G1694" s="121"/>
      <c r="H1694" s="121"/>
      <c r="I1694" s="121"/>
      <c r="J1694" s="121"/>
      <c r="K1694" s="121"/>
      <c r="L1694" s="121"/>
      <c r="M1694" s="121"/>
      <c r="N1694" s="121"/>
      <c r="O1694" s="121"/>
      <c r="P1694" s="121"/>
      <c r="Q1694" s="121"/>
      <c r="R1694" s="121"/>
      <c r="S1694" s="121"/>
      <c r="T1694" s="121"/>
      <c r="U1694" s="121"/>
      <c r="V1694" s="121"/>
      <c r="W1694" s="121"/>
      <c r="X1694" s="121"/>
      <c r="Y1694" s="121"/>
      <c r="Z1694" s="121"/>
      <c r="AA1694" s="121"/>
      <c r="AB1694" s="121"/>
      <c r="AC1694" s="121"/>
      <c r="AD1694" s="121"/>
      <c r="AE1694" s="121"/>
      <c r="AF1694" s="36"/>
      <c r="AG1694" s="36"/>
      <c r="AH1694" s="36"/>
      <c r="AI1694" s="36"/>
      <c r="AJ1694" s="36"/>
    </row>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8" width="8.63"/>
    <col customWidth="1" min="9" max="9" width="8.88"/>
    <col customWidth="1" min="10" max="29" width="8.63"/>
    <col customWidth="1" min="30" max="64" width="12.63"/>
  </cols>
  <sheetData>
    <row r="1" ht="13.5" customHeight="1">
      <c r="A1" s="112" t="s">
        <v>1961</v>
      </c>
      <c r="B1" s="112">
        <v>1.0</v>
      </c>
      <c r="C1" s="112">
        <v>2.0</v>
      </c>
      <c r="D1" s="112">
        <v>3.0</v>
      </c>
      <c r="E1" s="112">
        <v>4.0</v>
      </c>
      <c r="F1" s="112">
        <v>5.0</v>
      </c>
      <c r="G1" s="112">
        <v>6.0</v>
      </c>
      <c r="H1" s="112">
        <v>7.0</v>
      </c>
      <c r="I1" s="112">
        <v>8.0</v>
      </c>
      <c r="J1" s="112">
        <v>9.0</v>
      </c>
      <c r="K1" s="112">
        <v>10.0</v>
      </c>
      <c r="L1" s="112">
        <v>11.0</v>
      </c>
      <c r="M1" s="112">
        <v>12.0</v>
      </c>
      <c r="N1" s="112">
        <v>13.0</v>
      </c>
      <c r="O1" s="112">
        <v>14.0</v>
      </c>
      <c r="P1" s="112">
        <v>15.0</v>
      </c>
      <c r="Q1" s="112">
        <v>16.0</v>
      </c>
      <c r="R1" s="112">
        <v>17.0</v>
      </c>
      <c r="S1" s="112">
        <v>18.0</v>
      </c>
      <c r="T1" s="112">
        <v>19.0</v>
      </c>
      <c r="U1" s="112">
        <v>20.0</v>
      </c>
      <c r="V1" s="112">
        <v>21.0</v>
      </c>
      <c r="W1" s="112">
        <v>22.0</v>
      </c>
      <c r="X1" s="112">
        <v>23.0</v>
      </c>
      <c r="Y1" s="112">
        <v>24.0</v>
      </c>
      <c r="Z1" s="112">
        <v>25.0</v>
      </c>
      <c r="AA1" s="112">
        <v>26.0</v>
      </c>
      <c r="AB1" s="112">
        <v>27.0</v>
      </c>
      <c r="AC1" s="112">
        <v>28.0</v>
      </c>
      <c r="AD1" s="112">
        <v>29.0</v>
      </c>
      <c r="AE1" s="112">
        <v>30.0</v>
      </c>
      <c r="AF1" s="112">
        <v>31.0</v>
      </c>
      <c r="AG1" s="112">
        <v>32.0</v>
      </c>
      <c r="AH1" s="112">
        <v>33.0</v>
      </c>
      <c r="AI1" s="112">
        <v>34.0</v>
      </c>
      <c r="AJ1" s="112">
        <v>35.0</v>
      </c>
      <c r="AK1" s="112">
        <v>36.0</v>
      </c>
      <c r="AL1" s="112">
        <v>37.0</v>
      </c>
      <c r="AM1" s="12">
        <v>38.0</v>
      </c>
      <c r="AN1" s="12">
        <v>39.0</v>
      </c>
      <c r="AO1" s="12">
        <v>40.0</v>
      </c>
      <c r="AP1" s="12">
        <v>41.0</v>
      </c>
      <c r="AQ1" s="12">
        <v>42.0</v>
      </c>
      <c r="AR1" s="12">
        <v>43.0</v>
      </c>
      <c r="AS1" s="12">
        <v>44.0</v>
      </c>
      <c r="AT1" s="12">
        <v>45.0</v>
      </c>
      <c r="AU1" s="12">
        <v>46.0</v>
      </c>
      <c r="AV1" s="12">
        <v>47.0</v>
      </c>
      <c r="AW1" s="12">
        <v>48.0</v>
      </c>
      <c r="AX1" s="12">
        <v>49.0</v>
      </c>
      <c r="AY1" s="12">
        <v>50.0</v>
      </c>
      <c r="AZ1" s="12">
        <v>51.0</v>
      </c>
      <c r="BA1" s="12">
        <v>52.0</v>
      </c>
      <c r="BB1" s="12">
        <v>53.0</v>
      </c>
      <c r="BC1" s="12">
        <v>54.0</v>
      </c>
      <c r="BD1" s="12">
        <v>55.0</v>
      </c>
      <c r="BE1" s="12">
        <v>56.0</v>
      </c>
      <c r="BF1" s="12">
        <v>57.0</v>
      </c>
      <c r="BG1" s="12">
        <v>58.0</v>
      </c>
      <c r="BH1" s="12">
        <v>59.0</v>
      </c>
      <c r="BI1" s="12">
        <v>60.0</v>
      </c>
      <c r="BJ1" s="12">
        <v>61.0</v>
      </c>
      <c r="BK1" s="12">
        <v>62.0</v>
      </c>
      <c r="BL1" s="12">
        <v>63.0</v>
      </c>
    </row>
    <row r="2" ht="13.5" customHeight="1">
      <c r="A2" s="171">
        <v>1.0</v>
      </c>
      <c r="B2" s="113">
        <v>0.001</v>
      </c>
      <c r="C2" s="112"/>
      <c r="D2" s="342">
        <v>0.0</v>
      </c>
      <c r="E2" s="113">
        <v>0.0</v>
      </c>
      <c r="F2" s="342">
        <v>0.0</v>
      </c>
      <c r="G2" s="113"/>
      <c r="H2" s="113"/>
      <c r="I2" s="113"/>
      <c r="J2" s="112"/>
      <c r="K2" s="112"/>
      <c r="L2" s="112"/>
      <c r="M2" s="112"/>
      <c r="N2" s="112"/>
      <c r="O2" s="112">
        <f>IF(A2=PT,2%,0)</f>
        <v>0</v>
      </c>
      <c r="P2" s="112"/>
      <c r="Q2" s="112"/>
      <c r="R2" s="112"/>
      <c r="S2" s="112"/>
      <c r="T2" s="112"/>
      <c r="U2" s="112"/>
      <c r="V2" s="112"/>
      <c r="W2" s="112"/>
      <c r="X2" s="112"/>
      <c r="Y2" s="112"/>
      <c r="Z2" s="112"/>
      <c r="AA2" s="112"/>
      <c r="AB2" s="112"/>
      <c r="AC2" s="112"/>
      <c r="AD2" s="171"/>
      <c r="AE2" s="171"/>
      <c r="AF2" s="171"/>
      <c r="AG2" s="171"/>
      <c r="AH2" s="171"/>
      <c r="AI2" s="171"/>
      <c r="AJ2" s="171"/>
      <c r="AK2" s="171"/>
      <c r="AL2" s="171"/>
      <c r="AM2" s="214">
        <f>IF(AND(PT=A2,Mod_Prem&lt;25000),1%,IF(AND(PT=A2,Mod_Prem&gt;=25000,Mod_Prem&lt;50000),2%,IF(AND(PT=A2,Mod_Prem&gt;=50000,Mod_Prem&lt;100000),2.5%,IF(AND(PT=A2,Mod_Prem&gt;=100000),3%,0%))))</f>
        <v>0</v>
      </c>
      <c r="AN2" s="12"/>
      <c r="AO2" s="214">
        <f>IF(AND(PT=A2,PPT&lt;10),200%,IF(AND(PT=A2,PPT&gt;=10),220%,0%))</f>
        <v>0</v>
      </c>
      <c r="AP2" s="12"/>
      <c r="AQ2" s="12"/>
      <c r="AR2" s="12"/>
      <c r="AS2" s="347">
        <f>IF(AND(Mod_Prem&gt;=1000000,PT=A2),0.5%,0%)</f>
        <v>0</v>
      </c>
      <c r="AT2" s="12"/>
      <c r="AU2" s="12"/>
      <c r="AV2" s="12"/>
      <c r="AW2" s="12"/>
      <c r="AX2" s="12">
        <f>IF(PT=A2,5%,0)</f>
        <v>0</v>
      </c>
      <c r="AY2" s="12"/>
      <c r="AZ2" s="12"/>
      <c r="BA2" s="12"/>
      <c r="BB2" s="12"/>
      <c r="BC2" s="12"/>
      <c r="BD2" s="12"/>
      <c r="BE2" s="12"/>
      <c r="BF2" s="12"/>
      <c r="BG2" s="12"/>
      <c r="BH2" s="12"/>
      <c r="BI2" s="194">
        <f>IF(PT=A2,1.4%,0%)</f>
        <v>0</v>
      </c>
      <c r="BJ2" s="12">
        <f>IF(PT=A2,1.25%,0)</f>
        <v>0</v>
      </c>
      <c r="BK2" s="12"/>
      <c r="BL2" s="12">
        <f>IF(A2=PT,1.25%,0)</f>
        <v>0</v>
      </c>
    </row>
    <row r="3" ht="13.5" customHeight="1">
      <c r="A3" s="171">
        <v>2.0</v>
      </c>
      <c r="B3" s="113">
        <v>0.001</v>
      </c>
      <c r="C3" s="112"/>
      <c r="D3" s="342">
        <v>0.0</v>
      </c>
      <c r="E3" s="113">
        <v>0.0</v>
      </c>
      <c r="F3" s="342">
        <v>0.0</v>
      </c>
      <c r="G3" s="113"/>
      <c r="H3" s="113"/>
      <c r="I3" s="113"/>
      <c r="J3" s="112"/>
      <c r="K3" s="112"/>
      <c r="L3" s="112"/>
      <c r="M3" s="112"/>
      <c r="N3" s="112"/>
      <c r="O3" s="112">
        <f>IF(A3=PT,2%,0)</f>
        <v>0</v>
      </c>
      <c r="P3" s="112"/>
      <c r="Q3" s="112"/>
      <c r="R3" s="112"/>
      <c r="S3" s="112"/>
      <c r="T3" s="112"/>
      <c r="U3" s="112"/>
      <c r="V3" s="112"/>
      <c r="W3" s="112"/>
      <c r="X3" s="112"/>
      <c r="Y3" s="112"/>
      <c r="Z3" s="112"/>
      <c r="AA3" s="112"/>
      <c r="AB3" s="112"/>
      <c r="AC3" s="112"/>
      <c r="AD3" s="171"/>
      <c r="AE3" s="171"/>
      <c r="AF3" s="171"/>
      <c r="AG3" s="171"/>
      <c r="AH3" s="171"/>
      <c r="AI3" s="171"/>
      <c r="AJ3" s="171"/>
      <c r="AK3" s="171"/>
      <c r="AL3" s="171"/>
      <c r="AM3" s="214">
        <f>IF(AND(PT=A3,Mod_Prem&lt;25000),1%,IF(AND(PT=A3,Mod_Prem&gt;=25000,Mod_Prem&lt;50000),2%,IF(AND(PT=A3,Mod_Prem&gt;=50000,Mod_Prem&lt;100000),2.5%,IF(AND(PT=A3,Mod_Prem&gt;=100000),3%,0%))))</f>
        <v>0</v>
      </c>
      <c r="AN3" s="12"/>
      <c r="AO3" s="214">
        <f>IF(AND(PT=A3,PPT&lt;10),200%,IF(AND(PT=A3,PPT&gt;=10),220%,0%))</f>
        <v>0</v>
      </c>
      <c r="AP3" s="12"/>
      <c r="AQ3" s="12"/>
      <c r="AR3" s="12"/>
      <c r="AS3" s="347">
        <f>IF(AND(Mod_Prem&gt;=1000000,PT=A3),0.5%,0%)</f>
        <v>0</v>
      </c>
      <c r="AT3" s="12"/>
      <c r="AU3" s="12"/>
      <c r="AV3" s="12"/>
      <c r="AW3" s="12"/>
      <c r="AX3" s="12">
        <f>IF(PT=A3,5%,0)</f>
        <v>0</v>
      </c>
      <c r="AY3" s="12"/>
      <c r="AZ3" s="12"/>
      <c r="BA3" s="12"/>
      <c r="BB3" s="12"/>
      <c r="BC3" s="12"/>
      <c r="BD3" s="12"/>
      <c r="BE3" s="12"/>
      <c r="BF3" s="12"/>
      <c r="BG3" s="12"/>
      <c r="BH3" s="12"/>
      <c r="BI3" s="194">
        <f>IF(PT=A3,1.4%,0%)</f>
        <v>0</v>
      </c>
      <c r="BJ3" s="12">
        <f>IF(PT=A3,1.25%,0)</f>
        <v>0</v>
      </c>
      <c r="BK3" s="12"/>
      <c r="BL3" s="12">
        <f>IF(A3=PT,1.25%,0)</f>
        <v>0</v>
      </c>
    </row>
    <row r="4" ht="13.5" customHeight="1">
      <c r="A4" s="171">
        <v>3.0</v>
      </c>
      <c r="B4" s="113">
        <v>0.001</v>
      </c>
      <c r="C4" s="112"/>
      <c r="D4" s="342">
        <v>0.0</v>
      </c>
      <c r="E4" s="113">
        <v>0.0</v>
      </c>
      <c r="F4" s="342">
        <v>0.0</v>
      </c>
      <c r="G4" s="113"/>
      <c r="H4" s="113"/>
      <c r="I4" s="112"/>
      <c r="J4" s="112"/>
      <c r="K4" s="112"/>
      <c r="L4" s="112"/>
      <c r="M4" s="112"/>
      <c r="N4" s="112"/>
      <c r="O4" s="112">
        <f>IF(A4=PT,2%,0)</f>
        <v>0</v>
      </c>
      <c r="P4" s="112"/>
      <c r="Q4" s="112"/>
      <c r="R4" s="112"/>
      <c r="S4" s="112"/>
      <c r="T4" s="112"/>
      <c r="U4" s="112"/>
      <c r="V4" s="112"/>
      <c r="W4" s="112"/>
      <c r="X4" s="112"/>
      <c r="Y4" s="112"/>
      <c r="Z4" s="112"/>
      <c r="AA4" s="112"/>
      <c r="AB4" s="112"/>
      <c r="AC4" s="112"/>
      <c r="AD4" s="171"/>
      <c r="AE4" s="171"/>
      <c r="AF4" s="171"/>
      <c r="AG4" s="171"/>
      <c r="AH4" s="171"/>
      <c r="AI4" s="171"/>
      <c r="AJ4" s="171"/>
      <c r="AK4" s="171"/>
      <c r="AL4" s="171"/>
      <c r="AM4" s="214">
        <f>IF(AND(PT=A4,Mod_Prem&lt;25000),1%,IF(AND(PT=A4,Mod_Prem&gt;=25000,Mod_Prem&lt;50000),2%,IF(AND(PT=A4,Mod_Prem&gt;=50000,Mod_Prem&lt;100000),2.5%,IF(AND(PT=A4,Mod_Prem&gt;=100000),3%,0%))))</f>
        <v>0</v>
      </c>
      <c r="AN4" s="12"/>
      <c r="AO4" s="214">
        <f>IF(AND(PT=A4,PPT&lt;10),200%,IF(AND(PT=A4,PPT&gt;=10),220%,0%))</f>
        <v>0</v>
      </c>
      <c r="AP4" s="12"/>
      <c r="AQ4" s="12"/>
      <c r="AR4" s="12"/>
      <c r="AS4" s="347">
        <f>IF(AND(Mod_Prem&gt;=1000000,PT=A4),0.5%,0%)</f>
        <v>0</v>
      </c>
      <c r="AT4" s="12"/>
      <c r="AU4" s="12"/>
      <c r="AV4" s="12"/>
      <c r="AW4" s="12"/>
      <c r="AX4" s="12">
        <f>IF(PT=A4,5%,0)</f>
        <v>0</v>
      </c>
      <c r="AY4" s="12"/>
      <c r="AZ4" s="12"/>
      <c r="BA4" s="12"/>
      <c r="BB4" s="12"/>
      <c r="BC4" s="12"/>
      <c r="BD4" s="12"/>
      <c r="BE4" s="12"/>
      <c r="BF4" s="12"/>
      <c r="BG4" s="12"/>
      <c r="BH4" s="12"/>
      <c r="BI4" s="194">
        <f>IF(PT=A4,1.4%,0%)</f>
        <v>0</v>
      </c>
      <c r="BJ4" s="12">
        <f>IF(PT=A4,1.25%,0)</f>
        <v>0</v>
      </c>
      <c r="BK4" s="12"/>
      <c r="BL4" s="12">
        <f>IF(A4=PT,1.25%,0)</f>
        <v>0</v>
      </c>
    </row>
    <row r="5" ht="13.5" customHeight="1">
      <c r="A5" s="171">
        <v>4.0</v>
      </c>
      <c r="B5" s="113">
        <v>0.001</v>
      </c>
      <c r="C5" s="112"/>
      <c r="D5" s="342">
        <v>0.0</v>
      </c>
      <c r="E5" s="113">
        <v>0.0</v>
      </c>
      <c r="F5" s="342">
        <v>0.0</v>
      </c>
      <c r="G5" s="113"/>
      <c r="H5" s="113"/>
      <c r="I5" s="113"/>
      <c r="J5" s="112"/>
      <c r="K5" s="112"/>
      <c r="L5" s="112"/>
      <c r="M5" s="112"/>
      <c r="N5" s="112"/>
      <c r="O5" s="112">
        <f>IF(A5=PT,2%,0)</f>
        <v>0</v>
      </c>
      <c r="P5" s="112"/>
      <c r="Q5" s="112"/>
      <c r="R5" s="112"/>
      <c r="S5" s="112"/>
      <c r="T5" s="112"/>
      <c r="U5" s="112"/>
      <c r="V5" s="112"/>
      <c r="W5" s="112"/>
      <c r="X5" s="112"/>
      <c r="Y5" s="112"/>
      <c r="Z5" s="112"/>
      <c r="AA5" s="112"/>
      <c r="AB5" s="112"/>
      <c r="AC5" s="112"/>
      <c r="AD5" s="171"/>
      <c r="AE5" s="171"/>
      <c r="AF5" s="171"/>
      <c r="AG5" s="171"/>
      <c r="AH5" s="171"/>
      <c r="AI5" s="171"/>
      <c r="AJ5" s="171"/>
      <c r="AK5" s="171"/>
      <c r="AL5" s="171"/>
      <c r="AM5" s="214">
        <f>IF(AND(PT=A5,Mod_Prem&lt;25000),1%,IF(AND(PT=A5,Mod_Prem&gt;=25000,Mod_Prem&lt;50000),2%,IF(AND(PT=A5,Mod_Prem&gt;=50000,Mod_Prem&lt;100000),2.5%,IF(AND(PT=A5,Mod_Prem&gt;=100000),3%,0%))))</f>
        <v>0</v>
      </c>
      <c r="AN5" s="12"/>
      <c r="AO5" s="214">
        <f>IF(AND(PT=A5,PPT&lt;10),200%,IF(AND(PT=A5,PPT&gt;=10),220%,0%))</f>
        <v>0</v>
      </c>
      <c r="AP5" s="12"/>
      <c r="AQ5" s="12"/>
      <c r="AR5" s="12"/>
      <c r="AS5" s="347">
        <f>IF(AND(Mod_Prem&gt;=1000000,PT=A5),0.5%,0%)</f>
        <v>0</v>
      </c>
      <c r="AT5" s="12"/>
      <c r="AU5" s="12"/>
      <c r="AV5" s="12"/>
      <c r="AW5" s="12"/>
      <c r="AX5" s="12">
        <f>IF(PT=A5,5%,0)</f>
        <v>0</v>
      </c>
      <c r="AY5" s="12"/>
      <c r="AZ5" s="12"/>
      <c r="BA5" s="12"/>
      <c r="BB5" s="12"/>
      <c r="BC5" s="12"/>
      <c r="BD5" s="12"/>
      <c r="BE5" s="12"/>
      <c r="BF5" s="12"/>
      <c r="BG5" s="12"/>
      <c r="BH5" s="12"/>
      <c r="BI5" s="194">
        <f>IF(PT=A5,1.4%,0%)</f>
        <v>0</v>
      </c>
      <c r="BJ5" s="12">
        <f>IF(PT=A5,1.25%,0)</f>
        <v>0</v>
      </c>
      <c r="BK5" s="12"/>
      <c r="BL5" s="12">
        <f>IF(A5=PT,1.25%,0)</f>
        <v>0</v>
      </c>
    </row>
    <row r="6" ht="13.5" customHeight="1">
      <c r="A6" s="171">
        <v>5.0</v>
      </c>
      <c r="B6" s="113">
        <v>0.001</v>
      </c>
      <c r="C6" s="112"/>
      <c r="D6" s="342">
        <v>0.0</v>
      </c>
      <c r="E6" s="113">
        <v>0.0</v>
      </c>
      <c r="F6" s="342">
        <v>0.0</v>
      </c>
      <c r="G6" s="113"/>
      <c r="H6" s="113"/>
      <c r="I6" s="113"/>
      <c r="J6" s="112"/>
      <c r="K6" s="112"/>
      <c r="L6" s="112"/>
      <c r="M6" s="112"/>
      <c r="N6" s="112"/>
      <c r="O6" s="112">
        <f>IF(A6=PT,2%,0)</f>
        <v>0</v>
      </c>
      <c r="P6" s="112"/>
      <c r="Q6" s="112"/>
      <c r="R6" s="112"/>
      <c r="S6" s="112"/>
      <c r="T6" s="112"/>
      <c r="U6" s="112"/>
      <c r="V6" s="112"/>
      <c r="W6" s="112"/>
      <c r="X6" s="112"/>
      <c r="Y6" s="112"/>
      <c r="Z6" s="112"/>
      <c r="AA6" s="112"/>
      <c r="AB6" s="113">
        <v>0.015</v>
      </c>
      <c r="AC6" s="113"/>
      <c r="AD6" s="171"/>
      <c r="AE6" s="171"/>
      <c r="AF6" s="171"/>
      <c r="AG6" s="171"/>
      <c r="AH6" s="171"/>
      <c r="AI6" s="171"/>
      <c r="AJ6" s="171"/>
      <c r="AK6" s="171"/>
      <c r="AL6" s="171"/>
      <c r="AM6" s="214">
        <f>IF(AND(PT=A6,Mod_Prem&lt;25000),1%,IF(AND(PT=A6,Mod_Prem&gt;=25000,Mod_Prem&lt;50000),2%,IF(AND(PT=A6,Mod_Prem&gt;=50000,Mod_Prem&lt;100000),2.5%,IF(AND(PT=A6,Mod_Prem&gt;=100000),3%,0%))))</f>
        <v>0</v>
      </c>
      <c r="AN6" s="12"/>
      <c r="AO6" s="214">
        <f>IF(AND(PT=A6,PPT&lt;10),200%,IF(AND(PT=A6,PPT&gt;=10),220%,0%))</f>
        <v>0</v>
      </c>
      <c r="AP6" s="12"/>
      <c r="AQ6" s="12"/>
      <c r="AR6" s="12"/>
      <c r="AS6" s="347">
        <f>IF(AND(Mod_Prem&gt;=1000000,PT=A6),0.5%,0%)</f>
        <v>0</v>
      </c>
      <c r="AT6" s="12"/>
      <c r="AU6" s="12"/>
      <c r="AV6" s="194">
        <f>IF(PT&gt;=A6, 1.5%,0)</f>
        <v>0.015</v>
      </c>
      <c r="AW6" s="194"/>
      <c r="AX6" s="12">
        <f>IF(PT=A6,5%,0)</f>
        <v>0</v>
      </c>
      <c r="AY6" s="12"/>
      <c r="AZ6" s="12"/>
      <c r="BA6" s="12"/>
      <c r="BB6" s="12"/>
      <c r="BC6" s="12"/>
      <c r="BD6" s="12"/>
      <c r="BE6" s="12"/>
      <c r="BF6" s="12"/>
      <c r="BG6" s="12"/>
      <c r="BH6" s="194">
        <v>0.015</v>
      </c>
      <c r="BI6" s="194">
        <f>IF(PT=A6,1.4%,0%)</f>
        <v>0</v>
      </c>
      <c r="BJ6" s="12">
        <f>IF(PT=A6,1.25%,0)+0.25%</f>
        <v>0.0025</v>
      </c>
      <c r="BK6" s="12"/>
      <c r="BL6" s="12">
        <f>IF(A6=PT,1.25%,0)+0.25%</f>
        <v>0.0025</v>
      </c>
    </row>
    <row r="7" ht="13.5" customHeight="1">
      <c r="A7" s="171">
        <v>6.0</v>
      </c>
      <c r="B7" s="113">
        <v>0.001</v>
      </c>
      <c r="C7" s="112"/>
      <c r="D7" s="342">
        <v>0.0</v>
      </c>
      <c r="E7" s="113">
        <v>0.005</v>
      </c>
      <c r="F7" s="342">
        <v>0.0</v>
      </c>
      <c r="G7" s="113"/>
      <c r="H7" s="113"/>
      <c r="I7" s="113"/>
      <c r="J7" s="112">
        <f>IF(Annual_Prem&lt;500000,0,0.1%)</f>
        <v>0</v>
      </c>
      <c r="K7" s="112">
        <f>IF(OR(PPT=5,PPT=6),0.1%,IF(OR(PPT=7,PPT=8,PPT=9),0.25%,IF(OR(PPT&gt;=10,PPT=1),0.4%)))</f>
        <v>0.004</v>
      </c>
      <c r="L7" s="112">
        <f t="shared" ref="L7:L10" si="1">0.5%</f>
        <v>0.005</v>
      </c>
      <c r="M7" s="113">
        <v>0.003</v>
      </c>
      <c r="N7" s="113">
        <v>0.0025</v>
      </c>
      <c r="O7" s="112">
        <f>IF(A7=PT,2%,0)</f>
        <v>0</v>
      </c>
      <c r="P7" s="247">
        <f>IF(OR(PPT=5,PPT=6),0.1%,IF(OR(PPT=7,PPT=8,PPT=9),0.15%,IF(PPT&gt;=10,0.15%)))</f>
        <v>0.0015</v>
      </c>
      <c r="Q7" s="247">
        <f>IF(OR(PPT=5,PPT=6),0.1%,IF(OR(PPT=7,PPT=8,PPT=9),0.2%,IF(PPT&gt;=10,0.2%)))</f>
        <v>0.002</v>
      </c>
      <c r="R7" s="247">
        <f>IF(OR(PPT=5,PPT=6),0.1%,IF(PPT&gt;=7,0.4%))</f>
        <v>0.004</v>
      </c>
      <c r="S7" s="113">
        <v>0.0025</v>
      </c>
      <c r="T7" s="113">
        <v>0.0065</v>
      </c>
      <c r="U7" s="113">
        <v>0.0025</v>
      </c>
      <c r="V7" s="171"/>
      <c r="W7" s="112"/>
      <c r="X7" s="112"/>
      <c r="Y7" s="112"/>
      <c r="Z7" s="112"/>
      <c r="AA7" s="112"/>
      <c r="AB7" s="112"/>
      <c r="AC7" s="112"/>
      <c r="AD7" s="171"/>
      <c r="AE7" s="171"/>
      <c r="AF7" s="171"/>
      <c r="AG7" s="171"/>
      <c r="AH7" s="171"/>
      <c r="AI7" s="171"/>
      <c r="AJ7" s="171"/>
      <c r="AK7" s="171"/>
      <c r="AL7" s="171"/>
      <c r="AM7" s="214">
        <f>IF(AND(PT=A7,Mod_Prem&lt;25000),1%,IF(AND(PT=A7,Mod_Prem&gt;=25000,Mod_Prem&lt;50000),2%,IF(AND(PT=A7,Mod_Prem&gt;=50000,Mod_Prem&lt;100000),2.5%,IF(AND(PT=A7,Mod_Prem&gt;=100000),3%,0%))))</f>
        <v>0</v>
      </c>
      <c r="AN7" s="36">
        <f>IF(PT=10,12.4%,IF(PT=15,7.4%,IF(PT=20,6%,IF(PT=25,4.5%))))</f>
        <v>0.124</v>
      </c>
      <c r="AO7" s="214">
        <f>IF(AND(PT=A7,PPT&lt;10),200%,IF(AND(PT=A7,PPT&gt;=10),220%,0%))</f>
        <v>0</v>
      </c>
      <c r="AP7" s="347">
        <f>IF(Mod_Prem&lt;50000,0%,IF(AND(Mod_Prem&gt;=50000,Mod_Prem&lt;100000),0.4%,IF(AND(Mod_Prem&gt;=100000,Mod_Prem&lt;200000),0.6%,IF(AND(Mod_Prem&gt;=200000,Mod_Prem&lt;400000),0.8%,1%))))</f>
        <v>0.006</v>
      </c>
      <c r="AQ7" s="12"/>
      <c r="AR7" s="12"/>
      <c r="AS7" s="347">
        <f>IF(AND(Mod_Prem&gt;=1000000,PT=A7),0.5%,0%)</f>
        <v>0</v>
      </c>
      <c r="AT7" s="194">
        <v>0.005</v>
      </c>
      <c r="AU7" s="12"/>
      <c r="AV7" s="12"/>
      <c r="AW7" s="12"/>
      <c r="AX7" s="12">
        <f>IF(PT=A7,5%,0)</f>
        <v>0</v>
      </c>
      <c r="AY7" s="12"/>
      <c r="AZ7" s="12"/>
      <c r="BA7" s="12"/>
      <c r="BB7" s="12"/>
      <c r="BC7" s="12"/>
      <c r="BD7" s="12"/>
      <c r="BE7" s="12"/>
      <c r="BF7" s="12"/>
      <c r="BG7" s="12"/>
      <c r="BH7" s="12"/>
      <c r="BI7" s="194">
        <f>IF(PT=A7,1.4%,IF(PT&gt;A6,0.7%,0))</f>
        <v>0.007</v>
      </c>
      <c r="BJ7" s="12">
        <f>IF(PT=A7,1.25%,0)</f>
        <v>0</v>
      </c>
      <c r="BK7" s="12"/>
      <c r="BL7" s="12">
        <f>IF(A7=PT,1.25%,0)</f>
        <v>0</v>
      </c>
    </row>
    <row r="8" ht="13.5" customHeight="1">
      <c r="A8" s="171">
        <v>7.0</v>
      </c>
      <c r="B8" s="113">
        <v>0.001</v>
      </c>
      <c r="C8" s="112"/>
      <c r="D8" s="342">
        <v>0.0</v>
      </c>
      <c r="E8" s="113">
        <v>0.005</v>
      </c>
      <c r="F8" s="342">
        <v>0.0</v>
      </c>
      <c r="G8" s="113"/>
      <c r="H8" s="113"/>
      <c r="I8" s="113"/>
      <c r="J8" s="112">
        <f>IF(Annual_Prem&lt;500000,0,J7+0.05%)</f>
        <v>0</v>
      </c>
      <c r="K8" s="112">
        <f>IF(OR(PPT=5,PPT=6),0.1%,IF(OR(PPT=7,PPT=8,PPT=9),0.25%,IF(OR(PPT&gt;=10,PPT=1),0.4%)))</f>
        <v>0.004</v>
      </c>
      <c r="L8" s="112">
        <f t="shared" si="1"/>
        <v>0.005</v>
      </c>
      <c r="M8" s="113">
        <v>0.003</v>
      </c>
      <c r="N8" s="113">
        <v>0.0025</v>
      </c>
      <c r="O8" s="112">
        <f>IF(A8=PT,2%,0)</f>
        <v>0</v>
      </c>
      <c r="P8" s="247">
        <f>IF(OR(PPT=5,PPT=6),0.1%,IF(OR(PPT=7,PPT=8,PPT=9),0.15%,IF(PPT&gt;=10,0.15%)))</f>
        <v>0.0015</v>
      </c>
      <c r="Q8" s="247">
        <f>IF(OR(PPT=5,PPT=6),0.1%,IF(OR(PPT=7,PPT=8,PPT=9),0.2%,IF(PPT&gt;=10,0.2%)))</f>
        <v>0.002</v>
      </c>
      <c r="R8" s="247">
        <f>IF(OR(PPT=5,PPT=6),0.1%,IF(PPT&gt;=7,0.4%))</f>
        <v>0.004</v>
      </c>
      <c r="S8" s="113">
        <v>0.0025</v>
      </c>
      <c r="T8" s="113">
        <v>0.0065</v>
      </c>
      <c r="U8" s="113">
        <v>0.0025</v>
      </c>
      <c r="V8" s="112"/>
      <c r="W8" s="112"/>
      <c r="X8" s="112"/>
      <c r="Y8" s="112"/>
      <c r="Z8" s="112"/>
      <c r="AA8" s="112"/>
      <c r="AB8" s="112"/>
      <c r="AC8" s="112"/>
      <c r="AD8" s="171"/>
      <c r="AE8" s="171"/>
      <c r="AF8" s="171"/>
      <c r="AG8" s="171"/>
      <c r="AH8" s="171"/>
      <c r="AI8" s="171"/>
      <c r="AJ8" s="171"/>
      <c r="AK8" s="227">
        <f>IF(PT=10,7%,0%)</f>
        <v>0.07</v>
      </c>
      <c r="AL8" s="171"/>
      <c r="AM8" s="214">
        <f>IF(AND(PT=A8,Mod_Prem&lt;25000),1%,IF(AND(PT=A8,Mod_Prem&gt;=25000,Mod_Prem&lt;50000),2%,IF(AND(PT=A8,Mod_Prem&gt;=50000,Mod_Prem&lt;100000),2.5%,IF(AND(PT=A8,Mod_Prem&gt;=100000),3%,0%))))</f>
        <v>0</v>
      </c>
      <c r="AN8" s="36">
        <f>IF(PT=10,12.4%,IF(PT=15,7.4%,IF(PT=20,6%,IF(PT=25,4.5%))))</f>
        <v>0.124</v>
      </c>
      <c r="AO8" s="214">
        <f>IF(AND(PT=A8,PPT&lt;10),200%,IF(AND(PT=A8,PPT&gt;=10),220%,0%))</f>
        <v>0</v>
      </c>
      <c r="AP8" s="347">
        <f>IF(Mod_Prem&lt;50000,0%,IF(AND(Mod_Prem&gt;=50000,Mod_Prem&lt;100000),0.4%,IF(AND(Mod_Prem&gt;=100000,Mod_Prem&lt;200000),0.6%,IF(AND(Mod_Prem&gt;=200000,Mod_Prem&lt;400000),0.8%,1%))))</f>
        <v>0.006</v>
      </c>
      <c r="AQ8" s="12"/>
      <c r="AR8" s="12"/>
      <c r="AS8" s="347">
        <f>IF(AND(Mod_Prem&gt;=1000000,PT=A8),0.5%,0%)</f>
        <v>0</v>
      </c>
      <c r="AT8" s="194">
        <v>0.005</v>
      </c>
      <c r="AU8" s="121">
        <v>0.01</v>
      </c>
      <c r="AV8" s="12"/>
      <c r="AW8" s="12"/>
      <c r="AX8" s="12">
        <f>IF(PT=A8,5%,0)</f>
        <v>0</v>
      </c>
      <c r="AY8" s="12"/>
      <c r="AZ8" s="12"/>
      <c r="BA8" s="12"/>
      <c r="BB8" s="12"/>
      <c r="BC8" s="12"/>
      <c r="BD8" s="12">
        <f>IF(PT=7,5%,0)</f>
        <v>0</v>
      </c>
      <c r="BE8" s="12"/>
      <c r="BF8" s="12"/>
      <c r="BG8" s="12"/>
      <c r="BH8" s="12"/>
      <c r="BI8" s="194">
        <f>IF(PT=A8,1.4%,IF(PT&gt;A7,0.7%,0))</f>
        <v>0.007</v>
      </c>
      <c r="BJ8" s="12">
        <f>IF(PT=A8,1.25%,0)</f>
        <v>0</v>
      </c>
      <c r="BK8" s="12"/>
      <c r="BL8" s="12">
        <f>IF(A8=PT,1.25%,0)</f>
        <v>0</v>
      </c>
    </row>
    <row r="9" ht="13.5" customHeight="1">
      <c r="A9" s="171">
        <v>8.0</v>
      </c>
      <c r="B9" s="113">
        <v>0.001</v>
      </c>
      <c r="C9" s="112"/>
      <c r="D9" s="342">
        <v>0.0</v>
      </c>
      <c r="E9" s="113">
        <v>0.0075</v>
      </c>
      <c r="F9" s="342">
        <v>0.0</v>
      </c>
      <c r="G9" s="113"/>
      <c r="H9" s="113"/>
      <c r="I9" s="113"/>
      <c r="J9" s="112">
        <f>IF(Annual_Prem&lt;500000,0,J8+0.05%)</f>
        <v>0</v>
      </c>
      <c r="K9" s="112">
        <f>IF(OR(PPT=5,PPT=6),0.1%,IF(OR(PPT=7,PPT=8,PPT=9),0.25%,IF(OR(PPT&gt;=10,PPT=1),0.4%)))</f>
        <v>0.004</v>
      </c>
      <c r="L9" s="112">
        <f t="shared" si="1"/>
        <v>0.005</v>
      </c>
      <c r="M9" s="113">
        <v>0.003</v>
      </c>
      <c r="N9" s="113">
        <v>0.0025</v>
      </c>
      <c r="O9" s="112">
        <f>IF(A9=PT,2%,0)</f>
        <v>0</v>
      </c>
      <c r="P9" s="247">
        <f>IF(OR(PPT=5,PPT=6),0.1%,IF(OR(PPT=7,PPT=8,PPT=9),0.15%,IF(PPT&gt;=10,0.15%)))</f>
        <v>0.0015</v>
      </c>
      <c r="Q9" s="247">
        <f>IF(OR(PPT=5,PPT=6),0.1%,IF(OR(PPT=7,PPT=8,PPT=9),0.2%,IF(PPT&gt;=10,0.2%)))</f>
        <v>0.002</v>
      </c>
      <c r="R9" s="247">
        <f>IF(OR(PPT=5,PPT=6),0.1%,IF(PPT&gt;=7,0.4%))</f>
        <v>0.004</v>
      </c>
      <c r="S9" s="113">
        <v>0.0025</v>
      </c>
      <c r="T9" s="113">
        <v>0.0065</v>
      </c>
      <c r="U9" s="113">
        <v>0.0025</v>
      </c>
      <c r="V9" s="112"/>
      <c r="W9" s="112"/>
      <c r="X9" s="112"/>
      <c r="Y9" s="112"/>
      <c r="Z9" s="112"/>
      <c r="AA9" s="112"/>
      <c r="AB9" s="112"/>
      <c r="AC9" s="112"/>
      <c r="AD9" s="171"/>
      <c r="AE9" s="171"/>
      <c r="AF9" s="171"/>
      <c r="AG9" s="171"/>
      <c r="AH9" s="171"/>
      <c r="AI9" s="171"/>
      <c r="AJ9" s="171"/>
      <c r="AK9" s="227"/>
      <c r="AL9" s="171"/>
      <c r="AM9" s="214">
        <f>IF(AND(PT=A9,Mod_Prem&lt;25000),1%,IF(AND(PT=A9,Mod_Prem&gt;=25000,Mod_Prem&lt;50000),2%,IF(AND(PT=A9,Mod_Prem&gt;=50000,Mod_Prem&lt;100000),2.5%,IF(AND(PT=A9,Mod_Prem&gt;=100000),3%,0%))))</f>
        <v>0</v>
      </c>
      <c r="AN9" s="36">
        <f>IF(PT=10,12.4%,IF(PT=15,7.4%,IF(PT=20,6%,IF(PT=25,4.5%))))</f>
        <v>0.124</v>
      </c>
      <c r="AO9" s="214">
        <f>IF(AND(PT=A9,PPT&lt;10),200%,IF(AND(PT=A9,PPT&gt;=10),220%,0%))</f>
        <v>0</v>
      </c>
      <c r="AP9" s="347">
        <f>IF(Mod_Prem&lt;50000,0%,IF(AND(Mod_Prem&gt;=50000,Mod_Prem&lt;100000),0.4%,IF(AND(Mod_Prem&gt;=100000,Mod_Prem&lt;200000),0.6%,IF(AND(Mod_Prem&gt;=200000,Mod_Prem&lt;400000),0.8%,1%))))</f>
        <v>0.006</v>
      </c>
      <c r="AQ9" s="12"/>
      <c r="AR9" s="12"/>
      <c r="AS9" s="347">
        <f>IF(AND(Mod_Prem&gt;=1000000,PT=A9),0.5%,0%)</f>
        <v>0</v>
      </c>
      <c r="AT9" s="194">
        <v>0.005</v>
      </c>
      <c r="AU9" s="12"/>
      <c r="AV9" s="12"/>
      <c r="AW9" s="12"/>
      <c r="AX9" s="12">
        <f>IF(PT=A9,5%,0)</f>
        <v>0</v>
      </c>
      <c r="AY9" s="12"/>
      <c r="AZ9" s="12"/>
      <c r="BA9" s="12"/>
      <c r="BB9" s="12"/>
      <c r="BC9" s="12"/>
      <c r="BD9" s="12"/>
      <c r="BE9" s="12"/>
      <c r="BF9" s="12"/>
      <c r="BG9" s="12"/>
      <c r="BH9" s="12"/>
      <c r="BI9" s="194">
        <f>IF(PT=A9,1.4%,IF(PT&gt;A8,0.7%,0))</f>
        <v>0.007</v>
      </c>
      <c r="BJ9" s="12">
        <f>IF(PT=A9,1.25%,0)</f>
        <v>0</v>
      </c>
      <c r="BK9" s="12"/>
      <c r="BL9" s="12">
        <f>IF(A9=PT,1.25%,0)</f>
        <v>0</v>
      </c>
    </row>
    <row r="10" ht="13.5" customHeight="1">
      <c r="A10" s="171">
        <v>9.0</v>
      </c>
      <c r="B10" s="113">
        <v>0.001</v>
      </c>
      <c r="C10" s="112"/>
      <c r="D10" s="342">
        <v>0.0</v>
      </c>
      <c r="E10" s="113">
        <v>0.0075</v>
      </c>
      <c r="F10" s="342">
        <v>0.0</v>
      </c>
      <c r="G10" s="113"/>
      <c r="H10" s="113"/>
      <c r="I10" s="113"/>
      <c r="J10" s="112">
        <f>IF(Annual_Prem&lt;500000,0,J9+0.05%)</f>
        <v>0</v>
      </c>
      <c r="K10" s="112">
        <f>IF(OR(PPT=5,PPT=6),0.1%,IF(OR(PPT=7,PPT=8,PPT=9),0.25%,IF(OR(PPT&gt;=10,PPT=1),0.4%)))</f>
        <v>0.004</v>
      </c>
      <c r="L10" s="112">
        <f t="shared" si="1"/>
        <v>0.005</v>
      </c>
      <c r="M10" s="113">
        <v>0.003</v>
      </c>
      <c r="N10" s="113">
        <v>0.0025</v>
      </c>
      <c r="O10" s="112">
        <f>IF(A10=PT,2%,0)</f>
        <v>0</v>
      </c>
      <c r="P10" s="247">
        <f>IF(OR(PPT=5,PPT=6),0.1%,IF(OR(PPT=7,PPT=8,PPT=9),0.15%,IF(PPT&gt;=10,0.15%)))</f>
        <v>0.0015</v>
      </c>
      <c r="Q10" s="247">
        <f>IF(OR(PPT=5,PPT=6),0.1%,IF(OR(PPT=7,PPT=8,PPT=9),0.2%,IF(PPT&gt;=10,0.2%)))</f>
        <v>0.002</v>
      </c>
      <c r="R10" s="247">
        <f>IF(OR(PPT=5,PPT=6),0.1%,IF(PPT&gt;=7,0.4%))</f>
        <v>0.004</v>
      </c>
      <c r="S10" s="113">
        <v>0.0025</v>
      </c>
      <c r="T10" s="113">
        <v>0.0065</v>
      </c>
      <c r="U10" s="113">
        <v>0.0025</v>
      </c>
      <c r="V10" s="112"/>
      <c r="W10" s="112"/>
      <c r="X10" s="112"/>
      <c r="Y10" s="112"/>
      <c r="Z10" s="112"/>
      <c r="AA10" s="112"/>
      <c r="AB10" s="112"/>
      <c r="AC10" s="112"/>
      <c r="AD10" s="171"/>
      <c r="AE10" s="171"/>
      <c r="AF10" s="171"/>
      <c r="AG10" s="171"/>
      <c r="AH10" s="171"/>
      <c r="AI10" s="171"/>
      <c r="AJ10" s="171"/>
      <c r="AK10" s="227"/>
      <c r="AL10" s="171"/>
      <c r="AM10" s="214">
        <f>IF(AND(PT=A10,Mod_Prem&lt;25000),1%,IF(AND(PT=A10,Mod_Prem&gt;=25000,Mod_Prem&lt;50000),2%,IF(AND(PT=A10,Mod_Prem&gt;=50000,Mod_Prem&lt;100000),2.5%,IF(AND(PT=A10,Mod_Prem&gt;=100000),3%,0%))))</f>
        <v>0</v>
      </c>
      <c r="AN10" s="36">
        <f>IF(PT=10,12.4%,IF(PT=15,7.4%,IF(PT=20,6%,IF(PT=25,4.5%))))</f>
        <v>0.124</v>
      </c>
      <c r="AO10" s="214">
        <f>IF(AND(PT=A10,PPT&lt;10),200%,IF(AND(PT=A10,PPT&gt;=10),220%,0%))</f>
        <v>0</v>
      </c>
      <c r="AP10" s="347">
        <f>IF(Mod_Prem&lt;50000,0%,IF(AND(Mod_Prem&gt;=50000,Mod_Prem&lt;100000),0.4%,IF(AND(Mod_Prem&gt;=100000,Mod_Prem&lt;200000),0.6%,IF(AND(Mod_Prem&gt;=200000,Mod_Prem&lt;400000),0.8%,1%))))</f>
        <v>0.006</v>
      </c>
      <c r="AQ10" s="12"/>
      <c r="AR10" s="12"/>
      <c r="AS10" s="347">
        <f>IF(AND(Mod_Prem&gt;=1000000,PT=A10),0.5%,0%)</f>
        <v>0</v>
      </c>
      <c r="AT10" s="121">
        <v>0.01</v>
      </c>
      <c r="AU10" s="12"/>
      <c r="AV10" s="12"/>
      <c r="AW10" s="12"/>
      <c r="AX10" s="12">
        <f>IF(PT=A10,5%,0)</f>
        <v>0</v>
      </c>
      <c r="AY10" s="12"/>
      <c r="AZ10" s="12"/>
      <c r="BA10" s="12"/>
      <c r="BB10" s="12"/>
      <c r="BC10" s="12"/>
      <c r="BD10" s="12"/>
      <c r="BE10" s="12"/>
      <c r="BF10" s="12"/>
      <c r="BG10" s="12"/>
      <c r="BH10" s="12"/>
      <c r="BI10" s="194">
        <f>IF(PT=A10,1.4%,IF(PT&gt;A9,0.7%,0))</f>
        <v>0.007</v>
      </c>
      <c r="BJ10" s="12">
        <f>IF(PT=A10,1.25%,0)</f>
        <v>0</v>
      </c>
      <c r="BK10" s="121">
        <v>0.01</v>
      </c>
      <c r="BL10" s="12">
        <f>IF(A10=PT,1.25%,0)</f>
        <v>0</v>
      </c>
    </row>
    <row r="11" ht="13.5" customHeight="1">
      <c r="A11" s="171">
        <v>10.0</v>
      </c>
      <c r="B11" s="113">
        <v>0.001</v>
      </c>
      <c r="C11" s="112"/>
      <c r="D11" s="342">
        <v>0.0</v>
      </c>
      <c r="E11" s="113">
        <v>0.015</v>
      </c>
      <c r="F11" s="342">
        <v>0.0</v>
      </c>
      <c r="G11" s="113">
        <v>0.005</v>
      </c>
      <c r="H11" s="113">
        <v>0.003</v>
      </c>
      <c r="I11" s="113">
        <f>IF(AND(PT&lt;=25,PT&gt;=14),0.2%,0)</f>
        <v>0</v>
      </c>
      <c r="J11" s="112">
        <f>IF(Annual_Prem&lt;500000,2%,2.8%)</f>
        <v>0.02</v>
      </c>
      <c r="K11" s="112">
        <f>IF(OR(PPT=5,PPT=6),0.1%,IF(OR(PPT=7,PPT=8,PPT=9),0.25%,IF(OR(PPT&gt;=10,PPT=1),0.4%)))</f>
        <v>0.004</v>
      </c>
      <c r="L11" s="112">
        <f>3.75%</f>
        <v>0.0375</v>
      </c>
      <c r="M11" s="113">
        <v>0.003</v>
      </c>
      <c r="N11" s="113">
        <v>0.0225</v>
      </c>
      <c r="O11" s="112">
        <f>IF(A11=PT,2%,0)</f>
        <v>0.02</v>
      </c>
      <c r="P11" s="247">
        <f>IF(OR(PPT=5,PPT=6),0.1%,IF(OR(PPT=7,PPT=8,PPT=9),0.15%,IF(PPT&gt;=10,0.15%)))</f>
        <v>0.0015</v>
      </c>
      <c r="Q11" s="247">
        <f>IF(OR(PPT=5,PPT=6),0.1%,IF(OR(PPT=7,PPT=8,PPT=9),0.2%,IF(PPT&gt;=10,0.2%)))</f>
        <v>0.002</v>
      </c>
      <c r="R11" s="247">
        <f>IF(OR(PPT=5,PPT=6),0.1%,IF(PPT&gt;=7,0.4%))</f>
        <v>0.004</v>
      </c>
      <c r="S11" s="113">
        <v>0.035</v>
      </c>
      <c r="T11" s="113">
        <v>0.0065</v>
      </c>
      <c r="U11" s="113">
        <v>0.0025</v>
      </c>
      <c r="V11" s="342">
        <v>0.02</v>
      </c>
      <c r="W11" s="342">
        <v>0.02</v>
      </c>
      <c r="X11" s="112">
        <f>IF(AND(Annual_Prem&gt;=50000,Annual_Prem&lt;100000),1.5%,IF(AND(Annual_Prem&gt;=100000,Annual_Prem&lt;500000),2%,IF(Annual_Prem&gt;=500000,2.5%,0)))</f>
        <v>0.02</v>
      </c>
      <c r="Y11" s="342">
        <v>0.02</v>
      </c>
      <c r="Z11" s="113">
        <v>0.025</v>
      </c>
      <c r="AA11" s="342">
        <v>0.01</v>
      </c>
      <c r="AB11" s="113">
        <v>0.015</v>
      </c>
      <c r="AC11" s="342">
        <v>0.05</v>
      </c>
      <c r="AD11" s="342">
        <v>1.0</v>
      </c>
      <c r="AE11" s="342">
        <f>IF(PT=10,100%,IF(PT=15,60%,30%))</f>
        <v>1</v>
      </c>
      <c r="AF11" s="171">
        <f>IF(AND(PT&gt;=10, PT&lt;=14),120%,0)</f>
        <v>1.2</v>
      </c>
      <c r="AG11" s="183">
        <v>0.0025</v>
      </c>
      <c r="AH11" s="183">
        <v>0.002</v>
      </c>
      <c r="AI11" s="330">
        <v>0.014</v>
      </c>
      <c r="AJ11" s="227">
        <v>0.25</v>
      </c>
      <c r="AK11" s="227">
        <f>IF(PT=10,18%,10%)</f>
        <v>0.18</v>
      </c>
      <c r="AL11" s="171"/>
      <c r="AM11" s="214">
        <f>IF(AND(PT=A11,Mod_Prem&lt;25000),1%,IF(AND(PT=A11,Mod_Prem&gt;=25000,Mod_Prem&lt;50000),2%,IF(AND(PT=A11,Mod_Prem&gt;=50000,Mod_Prem&lt;100000),2.5%,IF(AND(PT=A11,Mod_Prem&gt;=100000),3%,0%))))</f>
        <v>0.03</v>
      </c>
      <c r="AN11" s="36">
        <f>IF(PT=10,12.4%,IF(PT=15,7.4%,IF(PT=20,6%,IF(PT=25,4.5%))))</f>
        <v>0.124</v>
      </c>
      <c r="AO11" s="214">
        <f>IF(AND(PT=A11,PPT&lt;10),200%,IF(AND(PT=A11,PPT&gt;=10),220%,0%))</f>
        <v>2.2</v>
      </c>
      <c r="AP11" s="347">
        <f>IF(Mod_Prem&lt;50000,0%,IF(AND(Mod_Prem&gt;=50000,Mod_Prem&lt;100000),0.4%,IF(AND(Mod_Prem&gt;=100000,Mod_Prem&lt;200000),0.6%,IF(AND(Mod_Prem&gt;=200000,Mod_Prem&lt;400000),0.8%,1%))))</f>
        <v>0.006</v>
      </c>
      <c r="AQ11" s="36"/>
      <c r="AR11" s="36"/>
      <c r="AS11" s="347">
        <f>IF(AND(Mod_Prem&gt;=1000000,PT=A11),0.5%,0%)</f>
        <v>0</v>
      </c>
      <c r="AT11" s="214">
        <v>0.01</v>
      </c>
      <c r="AU11" s="184">
        <v>0.015</v>
      </c>
      <c r="AV11" s="214">
        <f>IF(PT&gt;=A11, 2%, 0%)</f>
        <v>0.02</v>
      </c>
      <c r="AW11" s="184">
        <f>IF(PT&gt;=A11,0.1%,0)</f>
        <v>0.001</v>
      </c>
      <c r="AX11" s="12">
        <f>IF(PT=A11,5%,0)</f>
        <v>0.05</v>
      </c>
      <c r="AY11" s="184">
        <f>IF(PT&gt;=A11,2.5%,0)</f>
        <v>0.025</v>
      </c>
      <c r="AZ11" s="214">
        <f>IF(PT&gt;=A11,4%, 0)</f>
        <v>0.04</v>
      </c>
      <c r="BA11" s="36"/>
      <c r="BB11" s="194">
        <f>IF(PT&gt;=A11,3.5%,0)</f>
        <v>0.035</v>
      </c>
      <c r="BC11" s="12"/>
      <c r="BD11" s="12">
        <f>IF(PT=10,5%,0)</f>
        <v>0.05</v>
      </c>
      <c r="BE11" s="12"/>
      <c r="BF11" s="194">
        <f>IF(PT&gt;=$A11,3.5%,0)</f>
        <v>0.035</v>
      </c>
      <c r="BG11" s="194">
        <f>IF(PT&gt;=$A11,3%,0)</f>
        <v>0.03</v>
      </c>
      <c r="BH11" s="194">
        <f>IF(PT&gt;=$A11, 1.5%,0)</f>
        <v>0.015</v>
      </c>
      <c r="BI11" s="194">
        <f>IF(PT=A11,1.4%,IF(PT&gt;A10,0.7%,0))</f>
        <v>0.014</v>
      </c>
      <c r="BJ11" s="12">
        <f>IF(A11&lt;PT,0.75%,0)+IF(PT=A11, 1.25%,0)</f>
        <v>0.0125</v>
      </c>
      <c r="BK11" s="12"/>
      <c r="BL11" s="12">
        <f>IF(A11=PT,1.25%,0)</f>
        <v>0.0125</v>
      </c>
    </row>
    <row r="12" ht="13.5" customHeight="1">
      <c r="A12" s="171">
        <v>11.0</v>
      </c>
      <c r="B12" s="113">
        <v>0.001</v>
      </c>
      <c r="C12" s="112"/>
      <c r="D12" s="342">
        <v>0.01</v>
      </c>
      <c r="E12" s="113">
        <v>0.0</v>
      </c>
      <c r="F12" s="342">
        <v>0.0</v>
      </c>
      <c r="G12" s="403">
        <f t="shared" ref="G12:G31" si="2">G11+0.02%</f>
        <v>0.0052</v>
      </c>
      <c r="H12" s="403">
        <v>0.0032</v>
      </c>
      <c r="I12" s="113">
        <f>IF(AND(PT&lt;=25,PT&gt;=14),I11+0.02%,0)</f>
        <v>0</v>
      </c>
      <c r="J12" s="112">
        <f>IF(Annual_Prem&lt;500000,0.1%,0.35%)</f>
        <v>0.001</v>
      </c>
      <c r="K12" s="112">
        <f>IF(OR(PPT=5,PPT=6),0.1%,IF(OR(PPT=7,PPT=8,PPT=9),0.25%,IF(OR(PPT&gt;=10,PPT=1),0.4%)))</f>
        <v>0.004</v>
      </c>
      <c r="L12" s="112">
        <f t="shared" ref="L12:L15" si="3">0.5%</f>
        <v>0.005</v>
      </c>
      <c r="M12" s="113">
        <v>0.005</v>
      </c>
      <c r="N12" s="113">
        <v>0.0025</v>
      </c>
      <c r="O12" s="112">
        <f>IF(A12=PT,2%,0)</f>
        <v>0</v>
      </c>
      <c r="P12" s="247">
        <f>IF(OR(PPT=5,PPT=6),0.1%,IF(OR(PPT=7,PPT=8,PPT=9),0.15%,IF(PPT&gt;=10,0.15%)))</f>
        <v>0.0015</v>
      </c>
      <c r="Q12" s="247">
        <f>IF(OR(PPT=5,PPT=6),0.1%,IF(OR(PPT=7,PPT=8,PPT=9),0.2%,IF(PPT&gt;=10,0.2%)))</f>
        <v>0.002</v>
      </c>
      <c r="R12" s="247">
        <f>IF(OR(PPT=5,PPT=6),0.1%,IF(PPT&gt;=7,0.4%))</f>
        <v>0.004</v>
      </c>
      <c r="S12" s="113">
        <v>0.0025</v>
      </c>
      <c r="T12" s="113">
        <v>0.0085</v>
      </c>
      <c r="U12" s="113">
        <v>0.006</v>
      </c>
      <c r="V12" s="112">
        <f>IF(PT=PPT,0.75%,0.5%)</f>
        <v>0.0075</v>
      </c>
      <c r="W12" s="113">
        <v>0.005</v>
      </c>
      <c r="X12" s="171"/>
      <c r="Y12" s="171"/>
      <c r="Z12" s="112"/>
      <c r="AA12" s="112"/>
      <c r="AB12" s="112"/>
      <c r="AC12" s="112"/>
      <c r="AD12" s="342">
        <v>0.25</v>
      </c>
      <c r="AE12" s="171"/>
      <c r="AF12" s="171"/>
      <c r="AG12" s="171"/>
      <c r="AH12" s="183">
        <v>0.002</v>
      </c>
      <c r="AI12" s="330">
        <v>0.004</v>
      </c>
      <c r="AJ12" s="171"/>
      <c r="AK12" s="227"/>
      <c r="AL12" s="171"/>
      <c r="AM12" s="214">
        <f>IF(AND(PT=A12,Mod_Prem&lt;25000),1%,IF(AND(PT=A12,Mod_Prem&gt;=25000,Mod_Prem&lt;50000),2%,IF(AND(PT=A12,Mod_Prem&gt;=50000,Mod_Prem&lt;100000),2.5%,IF(AND(PT=A12,Mod_Prem&gt;=100000),3%,0%))))</f>
        <v>0</v>
      </c>
      <c r="AN12" s="36" t="b">
        <f>IF(PT=15,7.4%,IF(PT=20,6%,IF(PT=25,4.5%)))</f>
        <v>0</v>
      </c>
      <c r="AO12" s="214">
        <f>IF(AND(PT=A12,PPT&lt;10),200%,IF(AND(PT=A12,PPT&gt;=10),220%,0%))</f>
        <v>0</v>
      </c>
      <c r="AP12" s="12"/>
      <c r="AQ12" s="12"/>
      <c r="AR12" s="12"/>
      <c r="AS12" s="347">
        <f>IF(AND(Mod_Prem&gt;=1000000,PT=A12),0.5%,0%)</f>
        <v>0</v>
      </c>
      <c r="AT12" s="12"/>
      <c r="AU12" s="12"/>
      <c r="AV12" s="12"/>
      <c r="AW12" s="12"/>
      <c r="AX12" s="12">
        <f>IF(PT=A12,5%,0)</f>
        <v>0</v>
      </c>
      <c r="AY12" s="12"/>
      <c r="AZ12" s="12"/>
      <c r="BA12" s="12"/>
      <c r="BB12" s="12"/>
      <c r="BC12" s="12"/>
      <c r="BD12" s="12"/>
      <c r="BE12" s="12"/>
      <c r="BF12" s="12"/>
      <c r="BG12" s="12"/>
      <c r="BH12" s="12"/>
      <c r="BI12" s="194">
        <f>IF(PT=A12,1.4%,IF(PT&gt;A11,0.7%,0))</f>
        <v>0</v>
      </c>
      <c r="BJ12" s="12">
        <f>IF(A12&lt;PT,0.75%,0)+IF(PT=A12, 1.25%,0)</f>
        <v>0</v>
      </c>
      <c r="BK12" s="12"/>
      <c r="BL12" s="12">
        <f>IF(A12=PT,1.25%,0)</f>
        <v>0</v>
      </c>
    </row>
    <row r="13" ht="13.5" customHeight="1">
      <c r="A13" s="171">
        <v>12.0</v>
      </c>
      <c r="B13" s="113">
        <v>0.001</v>
      </c>
      <c r="C13" s="112"/>
      <c r="D13" s="112">
        <v>0.0</v>
      </c>
      <c r="E13" s="113">
        <v>0.0</v>
      </c>
      <c r="F13" s="342">
        <v>0.0</v>
      </c>
      <c r="G13" s="403">
        <f t="shared" si="2"/>
        <v>0.0054</v>
      </c>
      <c r="H13" s="113">
        <v>0.0034</v>
      </c>
      <c r="I13" s="113">
        <f>IF(AND(PT&lt;=25,PT&gt;=14),I12+0.02%,0)</f>
        <v>0</v>
      </c>
      <c r="J13" s="112">
        <f>IF(Annual_Prem&lt;500000,0.15%,0.4%)</f>
        <v>0.0015</v>
      </c>
      <c r="K13" s="112">
        <f>IF(OR(PPT=5,PPT=6),0.1%,IF(OR(PPT=7,PPT=8,PPT=9),0.25%,IF(OR(PPT&gt;=10,PPT=1),0.4%)))</f>
        <v>0.004</v>
      </c>
      <c r="L13" s="112">
        <f t="shared" si="3"/>
        <v>0.005</v>
      </c>
      <c r="M13" s="113">
        <v>0.005</v>
      </c>
      <c r="N13" s="113">
        <v>0.0025</v>
      </c>
      <c r="O13" s="112">
        <f>IF(A13=PT,2%,0)</f>
        <v>0</v>
      </c>
      <c r="P13" s="247">
        <f>IF(OR(PPT=5,PPT=6),0.1%,IF(OR(PPT=7,PPT=8,PPT=9),0.15%,IF(PPT&gt;=10,0.15%)))</f>
        <v>0.0015</v>
      </c>
      <c r="Q13" s="247">
        <f>IF(OR(PPT=5,PPT=6),0.1%,IF(OR(PPT=7,PPT=8,PPT=9),0.2%,IF(PPT&gt;=10,0.2%)))</f>
        <v>0.002</v>
      </c>
      <c r="R13" s="247">
        <f>IF(OR(PPT=5,PPT=6),0.1%,IF(PPT&gt;=7,0.4%))</f>
        <v>0.004</v>
      </c>
      <c r="S13" s="113">
        <v>0.0025</v>
      </c>
      <c r="T13" s="113">
        <v>0.0085</v>
      </c>
      <c r="U13" s="113">
        <v>0.006</v>
      </c>
      <c r="V13" s="112">
        <f>IF(PT=PPT,0.75%,0.5%)</f>
        <v>0.0075</v>
      </c>
      <c r="W13" s="113">
        <v>0.005</v>
      </c>
      <c r="X13" s="112"/>
      <c r="Y13" s="112"/>
      <c r="Z13" s="112"/>
      <c r="AA13" s="112"/>
      <c r="AB13" s="112"/>
      <c r="AC13" s="112"/>
      <c r="AD13" s="342">
        <v>0.25</v>
      </c>
      <c r="AE13" s="171"/>
      <c r="AF13" s="171"/>
      <c r="AG13" s="171"/>
      <c r="AH13" s="183">
        <v>0.002</v>
      </c>
      <c r="AI13" s="330">
        <v>0.004</v>
      </c>
      <c r="AJ13" s="171"/>
      <c r="AK13" s="227"/>
      <c r="AL13" s="171"/>
      <c r="AM13" s="214">
        <f>IF(AND(PT=A13,Mod_Prem&lt;25000),1%,IF(AND(PT=A13,Mod_Prem&gt;=25000,Mod_Prem&lt;50000),2%,IF(AND(PT=A13,Mod_Prem&gt;=50000,Mod_Prem&lt;100000),2.5%,IF(AND(PT=A13,Mod_Prem&gt;=100000),3%,0%))))</f>
        <v>0</v>
      </c>
      <c r="AN13" s="36" t="b">
        <f>IF(PT=15,7.4%,IF(PT=20,6%,IF(PT=25,4.5%)))</f>
        <v>0</v>
      </c>
      <c r="AO13" s="214">
        <f>IF(AND(PT=A13,PPT&lt;10),200%,IF(AND(PT=A13,PPT&gt;=10),220%,0%))</f>
        <v>0</v>
      </c>
      <c r="AP13" s="12"/>
      <c r="AQ13" s="12"/>
      <c r="AR13" s="12"/>
      <c r="AS13" s="347">
        <f>IF(AND(Mod_Prem&gt;=1000000,PT=A13),0.5%,0%)</f>
        <v>0</v>
      </c>
      <c r="AT13" s="12"/>
      <c r="AU13" s="12"/>
      <c r="AV13" s="12"/>
      <c r="AW13" s="12"/>
      <c r="AX13" s="12">
        <f>IF(PT=A13,5%,0)</f>
        <v>0</v>
      </c>
      <c r="AY13" s="12"/>
      <c r="AZ13" s="12"/>
      <c r="BA13" s="12"/>
      <c r="BB13" s="12"/>
      <c r="BC13" s="12"/>
      <c r="BD13" s="12"/>
      <c r="BE13" s="12"/>
      <c r="BF13" s="12"/>
      <c r="BG13" s="12"/>
      <c r="BH13" s="12"/>
      <c r="BI13" s="194">
        <f>IF(PT=A13,1.4%,IF(PT&gt;A12,0.7%,0))</f>
        <v>0</v>
      </c>
      <c r="BJ13" s="12">
        <f>IF(A13&lt;PT,0.75%,0)+IF(PT=A13, 1.25%,0)</f>
        <v>0</v>
      </c>
      <c r="BK13" s="12"/>
      <c r="BL13" s="12">
        <f>IF(A13=PT,1.25%,0)</f>
        <v>0</v>
      </c>
    </row>
    <row r="14" ht="13.5" customHeight="1">
      <c r="A14" s="171">
        <v>13.0</v>
      </c>
      <c r="B14" s="113">
        <v>0.001</v>
      </c>
      <c r="C14" s="112"/>
      <c r="D14" s="342">
        <v>0.01</v>
      </c>
      <c r="E14" s="113">
        <v>0.0</v>
      </c>
      <c r="F14" s="342">
        <v>0.0</v>
      </c>
      <c r="G14" s="403">
        <f t="shared" si="2"/>
        <v>0.0056</v>
      </c>
      <c r="H14" s="403">
        <v>0.0036</v>
      </c>
      <c r="I14" s="113">
        <f>IF(AND(PT&lt;=25,PT&gt;=14),I13+0.02%,0)</f>
        <v>0</v>
      </c>
      <c r="J14" s="112">
        <f>IF(Annual_Prem&lt;500000,0.2%,0.45%)</f>
        <v>0.002</v>
      </c>
      <c r="K14" s="112">
        <f>IF(OR(PPT=5,PPT=6),0.1%,IF(OR(PPT=7,PPT=8,PPT=9),0.25%,IF(OR(PPT&gt;=10,PPT=1),0.4%)))</f>
        <v>0.004</v>
      </c>
      <c r="L14" s="112">
        <f t="shared" si="3"/>
        <v>0.005</v>
      </c>
      <c r="M14" s="113">
        <v>0.005</v>
      </c>
      <c r="N14" s="113">
        <v>0.0025</v>
      </c>
      <c r="O14" s="112">
        <f>IF(A14=PT,2%,0)</f>
        <v>0</v>
      </c>
      <c r="P14" s="247">
        <f>IF(OR(PPT=5,PPT=6),0.1%,IF(OR(PPT=7,PPT=8,PPT=9),0.15%,IF(PPT&gt;=10,0.15%)))</f>
        <v>0.0015</v>
      </c>
      <c r="Q14" s="247">
        <f>IF(OR(PPT=5,PPT=6),0.1%,IF(OR(PPT=7,PPT=8,PPT=9),0.2%,IF(PPT&gt;=10,0.2%)))</f>
        <v>0.002</v>
      </c>
      <c r="R14" s="247">
        <f>IF(OR(PPT=5,PPT=6),0.1%,IF(PPT&gt;=7,0.4%))</f>
        <v>0.004</v>
      </c>
      <c r="S14" s="113">
        <v>0.0025</v>
      </c>
      <c r="T14" s="113">
        <v>0.0085</v>
      </c>
      <c r="U14" s="113">
        <v>0.006</v>
      </c>
      <c r="V14" s="112">
        <f>IF(PT=PPT,0.75%,0.5%)</f>
        <v>0.0075</v>
      </c>
      <c r="W14" s="113">
        <v>0.005</v>
      </c>
      <c r="X14" s="112"/>
      <c r="Y14" s="112"/>
      <c r="Z14" s="112"/>
      <c r="AA14" s="112"/>
      <c r="AB14" s="112"/>
      <c r="AC14" s="112"/>
      <c r="AD14" s="342">
        <v>0.25</v>
      </c>
      <c r="AE14" s="171"/>
      <c r="AF14" s="171"/>
      <c r="AG14" s="171"/>
      <c r="AH14" s="183">
        <v>0.002</v>
      </c>
      <c r="AI14" s="330">
        <v>0.004</v>
      </c>
      <c r="AJ14" s="171"/>
      <c r="AK14" s="227"/>
      <c r="AL14" s="171"/>
      <c r="AM14" s="214">
        <f>IF(AND(PT=A14,Mod_Prem&lt;25000),1%,IF(AND(PT=A14,Mod_Prem&gt;=25000,Mod_Prem&lt;50000),2%,IF(AND(PT=A14,Mod_Prem&gt;=50000,Mod_Prem&lt;100000),2.5%,IF(AND(PT=A14,Mod_Prem&gt;=100000),3%,0%))))</f>
        <v>0</v>
      </c>
      <c r="AN14" s="36" t="b">
        <f>IF(PT=15,7.4%,IF(PT=20,6%,IF(PT=25,4.5%)))</f>
        <v>0</v>
      </c>
      <c r="AO14" s="214">
        <f>IF(AND(PT=A14,PPT&lt;10),200%,IF(AND(PT=A14,PPT&gt;=10),220%,0%))</f>
        <v>0</v>
      </c>
      <c r="AP14" s="12"/>
      <c r="AQ14" s="12"/>
      <c r="AR14" s="12"/>
      <c r="AS14" s="347">
        <f>IF(AND(Mod_Prem&gt;=1000000,PT=A14),0.5%,0%)</f>
        <v>0</v>
      </c>
      <c r="AT14" s="12"/>
      <c r="AU14" s="12"/>
      <c r="AV14" s="12"/>
      <c r="AW14" s="12"/>
      <c r="AX14" s="12">
        <f>IF(PT=A14,5%,0)</f>
        <v>0</v>
      </c>
      <c r="AY14" s="12"/>
      <c r="AZ14" s="12"/>
      <c r="BA14" s="12"/>
      <c r="BB14" s="12"/>
      <c r="BC14" s="12"/>
      <c r="BD14" s="12"/>
      <c r="BE14" s="12"/>
      <c r="BF14" s="12"/>
      <c r="BG14" s="12"/>
      <c r="BH14" s="12"/>
      <c r="BI14" s="194">
        <f>IF(PT=A14,1.4%,IF(PT&gt;A13,0.7%,0))</f>
        <v>0</v>
      </c>
      <c r="BJ14" s="12">
        <f>IF(A14&lt;PT,0.75%,0)+IF(PT=A14, 1.25%,0)</f>
        <v>0</v>
      </c>
      <c r="BK14" s="12"/>
      <c r="BL14" s="12">
        <f>IF(A14=PT,1.25%,0)</f>
        <v>0</v>
      </c>
    </row>
    <row r="15" ht="13.5" customHeight="1">
      <c r="A15" s="171">
        <v>14.0</v>
      </c>
      <c r="B15" s="113">
        <v>0.001</v>
      </c>
      <c r="C15" s="112"/>
      <c r="D15" s="112">
        <v>0.0</v>
      </c>
      <c r="E15" s="113">
        <v>0.0</v>
      </c>
      <c r="F15" s="342">
        <v>0.0</v>
      </c>
      <c r="G15" s="403">
        <f t="shared" si="2"/>
        <v>0.0058</v>
      </c>
      <c r="H15" s="113">
        <v>0.0038</v>
      </c>
      <c r="I15" s="113">
        <f>IF(AND(PT&lt;=25,PT&gt;=14),I14+0.02%,0)</f>
        <v>0</v>
      </c>
      <c r="J15" s="112">
        <f>IF(Annual_Prem&lt;500000,0.25%,0.5%)</f>
        <v>0.0025</v>
      </c>
      <c r="K15" s="112">
        <f>IF(OR(PPT=5,PPT=6),0.1%,IF(OR(PPT=7,PPT=8,PPT=9),0.25%,IF(OR(PPT&gt;=10,PPT=1),0.4%)))</f>
        <v>0.004</v>
      </c>
      <c r="L15" s="112">
        <f t="shared" si="3"/>
        <v>0.005</v>
      </c>
      <c r="M15" s="113">
        <v>0.005</v>
      </c>
      <c r="N15" s="113">
        <v>0.0025</v>
      </c>
      <c r="O15" s="112">
        <f>IF(A15=PT,2%,0)</f>
        <v>0</v>
      </c>
      <c r="P15" s="247">
        <f>IF(OR(PPT=5,PPT=6),0.1%,IF(OR(PPT=7,PPT=8,PPT=9),0.15%,IF(PPT&gt;=10,0.15%)))</f>
        <v>0.0015</v>
      </c>
      <c r="Q15" s="247">
        <f>IF(OR(PPT=5,PPT=6),0.1%,IF(OR(PPT=7,PPT=8,PPT=9),0.2%,IF(PPT&gt;=10,0.2%)))</f>
        <v>0.002</v>
      </c>
      <c r="R15" s="247">
        <f>IF(OR(PPT=5,PPT=6),0.1%,IF(PPT&gt;=7,0.4%))</f>
        <v>0.004</v>
      </c>
      <c r="S15" s="113">
        <v>0.0025</v>
      </c>
      <c r="T15" s="113">
        <v>0.0085</v>
      </c>
      <c r="U15" s="113">
        <v>0.006</v>
      </c>
      <c r="V15" s="112">
        <f>IF(PT=PPT,0.75%,0.5%)</f>
        <v>0.0075</v>
      </c>
      <c r="W15" s="113">
        <v>0.005</v>
      </c>
      <c r="X15" s="112"/>
      <c r="Y15" s="112"/>
      <c r="Z15" s="112"/>
      <c r="AA15" s="112"/>
      <c r="AB15" s="112"/>
      <c r="AC15" s="112"/>
      <c r="AD15" s="342">
        <v>0.25</v>
      </c>
      <c r="AE15" s="171"/>
      <c r="AF15" s="171"/>
      <c r="AG15" s="171"/>
      <c r="AH15" s="183">
        <v>0.002</v>
      </c>
      <c r="AI15" s="330">
        <v>0.004</v>
      </c>
      <c r="AJ15" s="171"/>
      <c r="AK15" s="227"/>
      <c r="AL15" s="171"/>
      <c r="AM15" s="214">
        <f>IF(AND(PT=A15,Mod_Prem&lt;25000),1%,IF(AND(PT=A15,Mod_Prem&gt;=25000,Mod_Prem&lt;50000),2%,IF(AND(PT=A15,Mod_Prem&gt;=50000,Mod_Prem&lt;100000),2.5%,IF(AND(PT=A15,Mod_Prem&gt;=100000),3%,0%))))</f>
        <v>0</v>
      </c>
      <c r="AN15" s="36" t="b">
        <f>IF(PT=15,7.4%,IF(PT=20,6%,IF(PT=25,4.5%)))</f>
        <v>0</v>
      </c>
      <c r="AO15" s="214">
        <f>IF(AND(PT=A15,PPT&lt;10),200%,IF(AND(PT=A15,PPT&gt;=10),220%,0%))</f>
        <v>0</v>
      </c>
      <c r="AP15" s="12"/>
      <c r="AQ15" s="12"/>
      <c r="AR15" s="12"/>
      <c r="AS15" s="347">
        <f>IF(AND(Mod_Prem&gt;=1000000,PT=A15),0.5%,0%)</f>
        <v>0</v>
      </c>
      <c r="AT15" s="12"/>
      <c r="AU15" s="12"/>
      <c r="AV15" s="12"/>
      <c r="AW15" s="12"/>
      <c r="AX15" s="12">
        <f>IF(PT=A15,5%,0)</f>
        <v>0</v>
      </c>
      <c r="AY15" s="12"/>
      <c r="AZ15" s="12"/>
      <c r="BA15" s="12"/>
      <c r="BB15" s="12"/>
      <c r="BC15" s="12"/>
      <c r="BD15" s="12"/>
      <c r="BE15" s="12"/>
      <c r="BF15" s="12"/>
      <c r="BG15" s="12"/>
      <c r="BH15" s="12"/>
      <c r="BI15" s="194">
        <f>IF(PT=A15,1.4%,IF(PT&gt;A14,0.7%,0))</f>
        <v>0</v>
      </c>
      <c r="BJ15" s="12">
        <f>IF(A15&lt;PT,0.75%,0)+IF(PT=A15, 1.25%,0)</f>
        <v>0</v>
      </c>
      <c r="BK15" s="12"/>
      <c r="BL15" s="12">
        <f>IF(A15=PT,1.25%,0)</f>
        <v>0</v>
      </c>
    </row>
    <row r="16" ht="13.5" customHeight="1">
      <c r="A16" s="171">
        <v>15.0</v>
      </c>
      <c r="B16" s="113">
        <v>0.001</v>
      </c>
      <c r="C16" s="112"/>
      <c r="D16" s="342">
        <v>0.01</v>
      </c>
      <c r="E16" s="113">
        <v>0.0</v>
      </c>
      <c r="F16" s="342">
        <v>0.0</v>
      </c>
      <c r="G16" s="403">
        <f t="shared" si="2"/>
        <v>0.006</v>
      </c>
      <c r="H16" s="403">
        <v>0.004</v>
      </c>
      <c r="I16" s="113">
        <f>IF(AND(PT&lt;=25,PT&gt;=14),I15+0.02%,0)</f>
        <v>0</v>
      </c>
      <c r="J16" s="112">
        <f>IF(Annual_Prem&lt;500000,2.3%,3.05%)</f>
        <v>0.023</v>
      </c>
      <c r="K16" s="112">
        <f>IF(OR(PPT=5,PPT=6),0.1%,IF(OR(PPT=7,PPT=8,PPT=9),0.25%,IF(OR(PPT&gt;=10,PPT=1),0.4%)))</f>
        <v>0.004</v>
      </c>
      <c r="L16" s="112">
        <f>3.75%</f>
        <v>0.0375</v>
      </c>
      <c r="M16" s="113">
        <v>0.005</v>
      </c>
      <c r="N16" s="113">
        <v>0.0225</v>
      </c>
      <c r="O16" s="112">
        <f>IF(A16=PT,2%,0)</f>
        <v>0</v>
      </c>
      <c r="P16" s="247">
        <f>IF(OR(PPT=5,PPT=6),0.1%,IF(OR(PPT=7,PPT=8,PPT=9),0.15%,IF(PPT&gt;=10,0.15%)))</f>
        <v>0.0015</v>
      </c>
      <c r="Q16" s="247">
        <f>IF(OR(PPT=5,PPT=6),0.1%,IF(OR(PPT=7,PPT=8,PPT=9),0.2%,IF(PPT&gt;=10,0.2%)))</f>
        <v>0.002</v>
      </c>
      <c r="R16" s="247">
        <f>IF(OR(PPT=5,PPT=6),0.1%,IF(PPT&gt;=7,0.4%))</f>
        <v>0.004</v>
      </c>
      <c r="S16" s="113">
        <v>0.0025</v>
      </c>
      <c r="T16" s="113">
        <v>0.0085</v>
      </c>
      <c r="U16" s="113">
        <v>0.006</v>
      </c>
      <c r="V16" s="112">
        <f>IF(PT=PPT,0.75%,0.5%)</f>
        <v>0.0075</v>
      </c>
      <c r="W16" s="113">
        <v>0.005</v>
      </c>
      <c r="X16" s="112">
        <f>IF(AND(Annual_Prem&gt;=50000,Annual_Prem&lt;100000),1.5%,IF(AND(Annual_Prem&gt;=100000,Annual_Prem&lt;500000),2%,IF(Annual_Prem&gt;=500000,2.5%,0)))</f>
        <v>0.02</v>
      </c>
      <c r="Y16" s="342">
        <v>0.02</v>
      </c>
      <c r="Z16" s="113">
        <v>0.025</v>
      </c>
      <c r="AA16" s="342">
        <v>0.01</v>
      </c>
      <c r="AB16" s="113">
        <v>0.015</v>
      </c>
      <c r="AC16" s="113">
        <v>0.05</v>
      </c>
      <c r="AD16" s="342">
        <v>0.25</v>
      </c>
      <c r="AE16" s="342">
        <f>IF(PT=15,150%,IF(PT=20,60%,0))</f>
        <v>0</v>
      </c>
      <c r="AF16" s="342">
        <f>IF(AND(PT&gt;=15,PT&lt;=19),160%,0)</f>
        <v>0</v>
      </c>
      <c r="AG16" s="113">
        <v>0.0025</v>
      </c>
      <c r="AH16" s="183">
        <v>0.002</v>
      </c>
      <c r="AI16" s="330">
        <v>0.014</v>
      </c>
      <c r="AJ16" s="342">
        <v>1.0</v>
      </c>
      <c r="AK16" s="227">
        <f>IF(PT=20,15%,0%)</f>
        <v>0</v>
      </c>
      <c r="AL16" s="342"/>
      <c r="AM16" s="214">
        <f>IF(AND(PT=A16,Mod_Prem&lt;25000),1%,IF(AND(PT=A16,Mod_Prem&gt;=25000,Mod_Prem&lt;50000),2%,IF(AND(PT=A16,Mod_Prem&gt;=50000,Mod_Prem&lt;100000),2.5%,IF(AND(PT=A16,Mod_Prem&gt;=100000),3%,0%))))</f>
        <v>0</v>
      </c>
      <c r="AN16" s="36" t="b">
        <f>IF(PT=15,7.4%,IF(PT=20,6%,IF(PT=25,4.5%)))</f>
        <v>0</v>
      </c>
      <c r="AO16" s="214">
        <f>IF(AND(PT=A16,PPT&lt;10),200%,IF(AND(PT=A16,PPT&gt;=10),220%,0%))</f>
        <v>0</v>
      </c>
      <c r="AP16" s="121"/>
      <c r="AQ16" s="121">
        <f>IF(PT=15,2%,0%)</f>
        <v>0</v>
      </c>
      <c r="AR16" s="121"/>
      <c r="AS16" s="347">
        <f>IF(AND(Mod_Prem&gt;=1000000,PT=A16),0.5%,0%)</f>
        <v>0</v>
      </c>
      <c r="AT16" s="121"/>
      <c r="AU16" s="400">
        <v>0.025</v>
      </c>
      <c r="AV16" s="121">
        <f>IF(PT&gt;=A16,2%,0)</f>
        <v>0</v>
      </c>
      <c r="AW16" s="194">
        <f>IF(PT&gt;=A16,0.1%,0)</f>
        <v>0</v>
      </c>
      <c r="AX16" s="12">
        <f>IF(PT=A16,5%,0)</f>
        <v>0</v>
      </c>
      <c r="AY16" s="194">
        <f>IF(PT&gt;=A16,2.5%,0)</f>
        <v>0</v>
      </c>
      <c r="AZ16" s="121">
        <f>IF(PT&gt;=A16, 5%, 0)</f>
        <v>0</v>
      </c>
      <c r="BA16" s="121"/>
      <c r="BB16" s="194">
        <f>IF(PT&gt;=A16,3.5%,0)</f>
        <v>0</v>
      </c>
      <c r="BC16" s="12">
        <f>IF(PT&gt;=A16,2.5%,0)</f>
        <v>0</v>
      </c>
      <c r="BD16" s="12">
        <f>IF(PT=15,7%,IF(PT=20,7%,0))</f>
        <v>0</v>
      </c>
      <c r="BE16" s="12"/>
      <c r="BF16" s="194">
        <f>IF(PT&gt;=$A16,3.5%,0)</f>
        <v>0</v>
      </c>
      <c r="BG16" s="194">
        <f>IF(PT&gt;=$A16,3%,0)</f>
        <v>0</v>
      </c>
      <c r="BH16" s="194">
        <f>IF(PT&gt;=$A16, 1.5%,0)</f>
        <v>0</v>
      </c>
      <c r="BI16" s="194">
        <f>IF(PT=A16,1.4%,IF(PT&gt;A15,0.7%,0))</f>
        <v>0</v>
      </c>
      <c r="BJ16" s="12">
        <f>IF(A16&lt;PT,0.75%,0)+IF(PT=A16, 1.25%,0)</f>
        <v>0</v>
      </c>
      <c r="BK16" s="121">
        <v>0.01</v>
      </c>
      <c r="BL16" s="12">
        <f>IF(A16=PT,1.25%,0)</f>
        <v>0</v>
      </c>
    </row>
    <row r="17" ht="13.5" customHeight="1">
      <c r="A17" s="171">
        <v>16.0</v>
      </c>
      <c r="B17" s="113">
        <v>0.001</v>
      </c>
      <c r="C17" s="112"/>
      <c r="D17" s="112">
        <v>0.0</v>
      </c>
      <c r="E17" s="113">
        <v>0.0</v>
      </c>
      <c r="F17" s="342">
        <v>0.0</v>
      </c>
      <c r="G17" s="403">
        <f t="shared" si="2"/>
        <v>0.0062</v>
      </c>
      <c r="H17" s="113">
        <v>0.0042</v>
      </c>
      <c r="I17" s="113">
        <f>IF(AND(PT&lt;=25,PT&gt;=14),I16+0.02%,0)</f>
        <v>0</v>
      </c>
      <c r="J17" s="112">
        <f>IF(Annual_Prem&lt;500000,0.35%,0.6%)</f>
        <v>0.0035</v>
      </c>
      <c r="K17" s="112">
        <f>IF(OR(PPT=5,PPT=6),0.1%,IF(OR(PPT=7,PPT=8,PPT=9),0.25%,IF(OR(PPT&gt;=10,PPT=1),0.4%)))</f>
        <v>0.004</v>
      </c>
      <c r="L17" s="112">
        <f t="shared" ref="L17:L20" si="4">0.5%</f>
        <v>0.005</v>
      </c>
      <c r="M17" s="113">
        <v>0.005</v>
      </c>
      <c r="N17" s="113">
        <v>0.0025</v>
      </c>
      <c r="O17" s="112">
        <f>IF(A17=PT,2%,0)</f>
        <v>0</v>
      </c>
      <c r="P17" s="247">
        <f>IF(OR(PPT=5,PPT=6),0.1%,IF(OR(PPT=7,PPT=8,PPT=9),0.15%,IF(PPT&gt;=10,0.15%)))</f>
        <v>0.0015</v>
      </c>
      <c r="Q17" s="247">
        <f>IF(OR(PPT=5,PPT=6),0.1%,IF(OR(PPT=7,PPT=8,PPT=9),0.2%,IF(PPT&gt;=10,0.2%)))</f>
        <v>0.002</v>
      </c>
      <c r="R17" s="247">
        <f>IF(OR(PPT=5,PPT=6),0.1%,IF(PPT&gt;=7,0.4%))</f>
        <v>0.004</v>
      </c>
      <c r="S17" s="113">
        <v>0.0025</v>
      </c>
      <c r="T17" s="113">
        <v>0.0085</v>
      </c>
      <c r="U17" s="113">
        <v>0.006</v>
      </c>
      <c r="V17" s="112">
        <f>IF(PT=PPT,0.75%,0.5%)</f>
        <v>0.0075</v>
      </c>
      <c r="W17" s="113">
        <v>0.005</v>
      </c>
      <c r="X17" s="112"/>
      <c r="Y17" s="112"/>
      <c r="Z17" s="112"/>
      <c r="AA17" s="112"/>
      <c r="AB17" s="112"/>
      <c r="AC17" s="112"/>
      <c r="AD17" s="342">
        <v>0.25</v>
      </c>
      <c r="AE17" s="171"/>
      <c r="AF17" s="171"/>
      <c r="AG17" s="171"/>
      <c r="AH17" s="183">
        <v>0.002</v>
      </c>
      <c r="AI17" s="330">
        <v>0.004</v>
      </c>
      <c r="AJ17" s="171"/>
      <c r="AK17" s="227"/>
      <c r="AL17" s="171"/>
      <c r="AM17" s="214">
        <f>IF(AND(PT=A17,Mod_Prem&lt;25000),1%,IF(AND(PT=A17,Mod_Prem&gt;=25000,Mod_Prem&lt;50000),2%,IF(AND(PT=A17,Mod_Prem&gt;=50000,Mod_Prem&lt;100000),2.5%,IF(AND(PT=A17,Mod_Prem&gt;=100000),3%,0%))))</f>
        <v>0</v>
      </c>
      <c r="AN17" s="36" t="b">
        <f>IF(PT=20,6%,IF(PT=25,4.5%))</f>
        <v>0</v>
      </c>
      <c r="AO17" s="214">
        <f>IF(AND(PT=A17,PPT&lt;10),200%,IF(AND(PT=A17,PPT&gt;=10),220%,0%))</f>
        <v>0</v>
      </c>
      <c r="AP17" s="12"/>
      <c r="AQ17" s="12"/>
      <c r="AR17" s="12"/>
      <c r="AS17" s="347">
        <f>IF(AND(Mod_Prem&gt;=1000000,PT=A17),0.5%,0%)</f>
        <v>0</v>
      </c>
      <c r="AT17" s="12"/>
      <c r="AU17" s="12"/>
      <c r="AV17" s="12"/>
      <c r="AW17" s="194"/>
      <c r="AX17" s="12">
        <f>IF(PT=A17,5%,0)</f>
        <v>0</v>
      </c>
      <c r="AY17" s="12"/>
      <c r="AZ17" s="12"/>
      <c r="BA17" s="12"/>
      <c r="BB17" s="12"/>
      <c r="BC17" s="12"/>
      <c r="BD17" s="12"/>
      <c r="BE17" s="12"/>
      <c r="BF17" s="12"/>
      <c r="BG17" s="12"/>
      <c r="BH17" s="12"/>
      <c r="BI17" s="194">
        <f>IF(PT=A17,1.4%,IF(PT&gt;A16,0.7%,0))</f>
        <v>0</v>
      </c>
      <c r="BJ17" s="12">
        <f>IF(A17&lt;PT,0.75%,0)+IF(PT=A17, 1.25%,0)</f>
        <v>0</v>
      </c>
      <c r="BK17" s="12"/>
      <c r="BL17" s="12">
        <f>IF(A17=PT,1.25%,0)</f>
        <v>0</v>
      </c>
    </row>
    <row r="18" ht="13.5" customHeight="1">
      <c r="A18" s="171">
        <v>17.0</v>
      </c>
      <c r="B18" s="113">
        <v>0.001</v>
      </c>
      <c r="C18" s="112"/>
      <c r="D18" s="342">
        <v>0.01</v>
      </c>
      <c r="E18" s="113">
        <v>0.0</v>
      </c>
      <c r="F18" s="342">
        <v>0.0</v>
      </c>
      <c r="G18" s="403">
        <f t="shared" si="2"/>
        <v>0.0064</v>
      </c>
      <c r="H18" s="403">
        <v>0.0044</v>
      </c>
      <c r="I18" s="113">
        <f>IF(AND(PT&lt;=25,PT&gt;=14),I17+0.02%,0)</f>
        <v>0</v>
      </c>
      <c r="J18" s="112">
        <f>IF(Annual_Prem&lt;500000,0.4%,0.65%)</f>
        <v>0.004</v>
      </c>
      <c r="K18" s="112">
        <f>IF(OR(PPT=5,PPT=6),0.1%,IF(OR(PPT=7,PPT=8,PPT=9),0.25%,IF(OR(PPT&gt;=10,PPT=1),0.4%)))</f>
        <v>0.004</v>
      </c>
      <c r="L18" s="112">
        <f t="shared" si="4"/>
        <v>0.005</v>
      </c>
      <c r="M18" s="113">
        <v>0.005</v>
      </c>
      <c r="N18" s="113">
        <v>0.0025</v>
      </c>
      <c r="O18" s="112">
        <f>IF(A18=PT,2%,0)</f>
        <v>0</v>
      </c>
      <c r="P18" s="247">
        <f>IF(OR(PPT=5,PPT=6),0.1%,IF(OR(PPT=7,PPT=8,PPT=9),0.15%,IF(PPT&gt;=10,0.15%)))</f>
        <v>0.0015</v>
      </c>
      <c r="Q18" s="247">
        <f>IF(OR(PPT=5,PPT=6),0.1%,IF(OR(PPT=7,PPT=8,PPT=9),0.2%,IF(PPT&gt;=10,0.2%)))</f>
        <v>0.002</v>
      </c>
      <c r="R18" s="247">
        <f>IF(OR(PPT=5,PPT=6),0.1%,IF(PPT&gt;=7,0.4%))</f>
        <v>0.004</v>
      </c>
      <c r="S18" s="113">
        <v>0.0025</v>
      </c>
      <c r="T18" s="113">
        <v>0.0085</v>
      </c>
      <c r="U18" s="113">
        <v>0.006</v>
      </c>
      <c r="V18" s="112">
        <f>IF(PT=PPT,0.75%,0.5%)</f>
        <v>0.0075</v>
      </c>
      <c r="W18" s="113">
        <v>0.005</v>
      </c>
      <c r="X18" s="112"/>
      <c r="Y18" s="112"/>
      <c r="Z18" s="112"/>
      <c r="AA18" s="112"/>
      <c r="AB18" s="112"/>
      <c r="AC18" s="112"/>
      <c r="AD18" s="342">
        <v>0.25</v>
      </c>
      <c r="AE18" s="171"/>
      <c r="AF18" s="171"/>
      <c r="AG18" s="171"/>
      <c r="AH18" s="183">
        <v>0.002</v>
      </c>
      <c r="AI18" s="330">
        <v>0.004</v>
      </c>
      <c r="AJ18" s="171"/>
      <c r="AK18" s="227"/>
      <c r="AL18" s="171"/>
      <c r="AM18" s="214">
        <f>IF(AND(PT=A18,Mod_Prem&lt;25000),1%,IF(AND(PT=A18,Mod_Prem&gt;=25000,Mod_Prem&lt;50000),2%,IF(AND(PT=A18,Mod_Prem&gt;=50000,Mod_Prem&lt;100000),2.5%,IF(AND(PT=A18,Mod_Prem&gt;=100000),3%,0%))))</f>
        <v>0</v>
      </c>
      <c r="AN18" s="36" t="b">
        <f>IF(PT=20,6%,IF(PT=25,4.5%))</f>
        <v>0</v>
      </c>
      <c r="AO18" s="214">
        <f>IF(AND(PT=A18,PPT&lt;10),200%,IF(AND(PT=A18,PPT&gt;=10),220%,0%))</f>
        <v>0</v>
      </c>
      <c r="AP18" s="12"/>
      <c r="AQ18" s="12"/>
      <c r="AR18" s="12"/>
      <c r="AS18" s="347">
        <f>IF(AND(Mod_Prem&gt;=1000000,PT=A18),0.5%,0%)</f>
        <v>0</v>
      </c>
      <c r="AT18" s="12"/>
      <c r="AU18" s="12"/>
      <c r="AV18" s="12"/>
      <c r="AW18" s="194"/>
      <c r="AX18" s="12">
        <f>IF(PT=A18,5%,0)</f>
        <v>0</v>
      </c>
      <c r="AY18" s="12"/>
      <c r="AZ18" s="12"/>
      <c r="BA18" s="12"/>
      <c r="BB18" s="12"/>
      <c r="BC18" s="12"/>
      <c r="BD18" s="12"/>
      <c r="BE18" s="12"/>
      <c r="BF18" s="12"/>
      <c r="BG18" s="12"/>
      <c r="BH18" s="12"/>
      <c r="BI18" s="194">
        <f>IF(PT=A18,1.4%,IF(PT&gt;A17,0.7%,0))</f>
        <v>0</v>
      </c>
      <c r="BJ18" s="12">
        <f>IF(A18&lt;PT,0.75%,0)+IF(PT=A18, 1.25%,0)</f>
        <v>0</v>
      </c>
      <c r="BK18" s="12"/>
      <c r="BL18" s="12">
        <f>IF(A18=PT,1.25%,0)</f>
        <v>0</v>
      </c>
    </row>
    <row r="19" ht="13.5" customHeight="1">
      <c r="A19" s="171">
        <v>18.0</v>
      </c>
      <c r="B19" s="113">
        <v>0.001</v>
      </c>
      <c r="C19" s="112"/>
      <c r="D19" s="112">
        <v>0.0</v>
      </c>
      <c r="E19" s="113">
        <v>0.0</v>
      </c>
      <c r="F19" s="342">
        <v>0.0</v>
      </c>
      <c r="G19" s="403">
        <f t="shared" si="2"/>
        <v>0.0066</v>
      </c>
      <c r="H19" s="113">
        <v>0.0046</v>
      </c>
      <c r="I19" s="113">
        <f>IF(AND(PT&lt;=25,PT&gt;=14),I18+0.02%,0)</f>
        <v>0</v>
      </c>
      <c r="J19" s="112">
        <f>IF(Annual_Prem&lt;500000,0.45%,0.7%)</f>
        <v>0.0045</v>
      </c>
      <c r="K19" s="112">
        <f>IF(OR(PPT=5,PPT=6),0.1%,IF(OR(PPT=7,PPT=8,PPT=9),0.25%,IF(OR(PPT&gt;=10,PPT=1),0.4%)))</f>
        <v>0.004</v>
      </c>
      <c r="L19" s="112">
        <f t="shared" si="4"/>
        <v>0.005</v>
      </c>
      <c r="M19" s="113">
        <v>0.005</v>
      </c>
      <c r="N19" s="113">
        <v>0.0025</v>
      </c>
      <c r="O19" s="112">
        <f>IF(A19=PT,2%,0)</f>
        <v>0</v>
      </c>
      <c r="P19" s="247">
        <f>IF(OR(PPT=5,PPT=6),0.1%,IF(OR(PPT=7,PPT=8,PPT=9),0.15%,IF(PPT&gt;=10,0.15%)))</f>
        <v>0.0015</v>
      </c>
      <c r="Q19" s="247">
        <f>IF(OR(PPT=5,PPT=6),0.1%,IF(OR(PPT=7,PPT=8,PPT=9),0.2%,IF(PPT&gt;=10,0.2%)))</f>
        <v>0.002</v>
      </c>
      <c r="R19" s="247">
        <f>IF(OR(PPT=5,PPT=6),0.1%,IF(PPT&gt;=7,0.4%))</f>
        <v>0.004</v>
      </c>
      <c r="S19" s="113">
        <v>0.0025</v>
      </c>
      <c r="T19" s="113">
        <v>0.0085</v>
      </c>
      <c r="U19" s="113">
        <v>0.006</v>
      </c>
      <c r="V19" s="112">
        <f>IF(PT=PPT,0.75%,0.5%)</f>
        <v>0.0075</v>
      </c>
      <c r="W19" s="113">
        <v>0.005</v>
      </c>
      <c r="X19" s="112"/>
      <c r="Y19" s="112"/>
      <c r="Z19" s="112"/>
      <c r="AA19" s="112"/>
      <c r="AB19" s="112"/>
      <c r="AC19" s="112"/>
      <c r="AD19" s="342">
        <v>0.25</v>
      </c>
      <c r="AE19" s="171"/>
      <c r="AF19" s="171"/>
      <c r="AG19" s="171"/>
      <c r="AH19" s="183">
        <v>0.002</v>
      </c>
      <c r="AI19" s="330">
        <v>0.004</v>
      </c>
      <c r="AJ19" s="171"/>
      <c r="AK19" s="227"/>
      <c r="AL19" s="171"/>
      <c r="AM19" s="214">
        <f>IF(AND(PT=A19,Mod_Prem&lt;25000),1%,IF(AND(PT=A19,Mod_Prem&gt;=25000,Mod_Prem&lt;50000),2%,IF(AND(PT=A19,Mod_Prem&gt;=50000,Mod_Prem&lt;100000),2.5%,IF(AND(PT=A19,Mod_Prem&gt;=100000),3%,0%))))</f>
        <v>0</v>
      </c>
      <c r="AN19" s="36" t="b">
        <f>IF(PT=20,6%,IF(PT=25,4.5%))</f>
        <v>0</v>
      </c>
      <c r="AO19" s="214">
        <f>IF(AND(PT=A19,PPT&lt;10),200%,IF(AND(PT=A19,PPT&gt;=10),220%,0%))</f>
        <v>0</v>
      </c>
      <c r="AP19" s="12"/>
      <c r="AQ19" s="12"/>
      <c r="AR19" s="12"/>
      <c r="AS19" s="347">
        <f>IF(AND(Mod_Prem&gt;=1000000,PT=A19),0.5%,0%)</f>
        <v>0</v>
      </c>
      <c r="AT19" s="12"/>
      <c r="AU19" s="12"/>
      <c r="AV19" s="12"/>
      <c r="AW19" s="194"/>
      <c r="AX19" s="12">
        <f>IF(PT=A19,5%,0)</f>
        <v>0</v>
      </c>
      <c r="AY19" s="12"/>
      <c r="AZ19" s="12"/>
      <c r="BA19" s="12"/>
      <c r="BB19" s="12"/>
      <c r="BC19" s="12"/>
      <c r="BD19" s="12"/>
      <c r="BE19" s="12"/>
      <c r="BF19" s="12"/>
      <c r="BG19" s="12"/>
      <c r="BH19" s="12"/>
      <c r="BI19" s="194">
        <f>IF(PT=A19,1.4%,IF(PT&gt;A18,0.7%,0))</f>
        <v>0</v>
      </c>
      <c r="BJ19" s="12">
        <f>IF(A19&lt;PT,0.75%,0)+IF(PT=A19, 1.25%,0)</f>
        <v>0</v>
      </c>
      <c r="BK19" s="12"/>
      <c r="BL19" s="12">
        <f>IF(A19=PT,1.25%,0)</f>
        <v>0</v>
      </c>
    </row>
    <row r="20" ht="13.5" customHeight="1">
      <c r="A20" s="171">
        <v>19.0</v>
      </c>
      <c r="B20" s="113">
        <v>0.001</v>
      </c>
      <c r="C20" s="112"/>
      <c r="D20" s="342">
        <v>0.01</v>
      </c>
      <c r="E20" s="113">
        <v>0.0</v>
      </c>
      <c r="F20" s="342">
        <v>0.0</v>
      </c>
      <c r="G20" s="403">
        <f t="shared" si="2"/>
        <v>0.0068</v>
      </c>
      <c r="H20" s="403">
        <v>0.0048</v>
      </c>
      <c r="I20" s="113">
        <f>IF(AND(PT&lt;=25,PT&gt;=14),I19+0.02%,0)</f>
        <v>0</v>
      </c>
      <c r="J20" s="112">
        <f>IF(Annual_Prem&lt;500000,0.5%,0.75%)</f>
        <v>0.005</v>
      </c>
      <c r="K20" s="112">
        <f>IF(OR(PPT=5,PPT=6),0.1%,IF(OR(PPT=7,PPT=8,PPT=9),0.25%,IF(OR(PPT&gt;=10,PPT=1),0.4%)))</f>
        <v>0.004</v>
      </c>
      <c r="L20" s="112">
        <f t="shared" si="4"/>
        <v>0.005</v>
      </c>
      <c r="M20" s="113">
        <v>0.005</v>
      </c>
      <c r="N20" s="113">
        <v>0.0025</v>
      </c>
      <c r="O20" s="112">
        <f>IF(A20=PT,2%,0)</f>
        <v>0</v>
      </c>
      <c r="P20" s="247">
        <f>IF(OR(PPT=5,PPT=6),0.1%,IF(OR(PPT=7,PPT=8,PPT=9),0.15%,IF(PPT&gt;=10,0.15%)))</f>
        <v>0.0015</v>
      </c>
      <c r="Q20" s="247">
        <f>IF(OR(PPT=5,PPT=6),0.1%,IF(OR(PPT=7,PPT=8,PPT=9),0.2%,IF(PPT&gt;=10,0.2%)))</f>
        <v>0.002</v>
      </c>
      <c r="R20" s="247">
        <f>IF(OR(PPT=5,PPT=6),0.1%,IF(PPT&gt;=7,0.4%))</f>
        <v>0.004</v>
      </c>
      <c r="S20" s="113">
        <v>0.0025</v>
      </c>
      <c r="T20" s="113">
        <v>0.0085</v>
      </c>
      <c r="U20" s="113">
        <v>0.006</v>
      </c>
      <c r="V20" s="112">
        <f>IF(PT=PPT,0.75%,0.5%)</f>
        <v>0.0075</v>
      </c>
      <c r="W20" s="113">
        <v>0.005</v>
      </c>
      <c r="X20" s="112"/>
      <c r="Y20" s="112"/>
      <c r="Z20" s="112"/>
      <c r="AA20" s="112"/>
      <c r="AB20" s="112"/>
      <c r="AC20" s="112"/>
      <c r="AD20" s="342">
        <v>0.25</v>
      </c>
      <c r="AE20" s="171"/>
      <c r="AF20" s="171"/>
      <c r="AG20" s="171"/>
      <c r="AH20" s="183">
        <v>0.002</v>
      </c>
      <c r="AI20" s="330">
        <v>0.004</v>
      </c>
      <c r="AJ20" s="171"/>
      <c r="AK20" s="227"/>
      <c r="AL20" s="171"/>
      <c r="AM20" s="214">
        <f>IF(AND(PT=A20,Mod_Prem&lt;25000),1%,IF(AND(PT=A20,Mod_Prem&gt;=25000,Mod_Prem&lt;50000),2%,IF(AND(PT=A20,Mod_Prem&gt;=50000,Mod_Prem&lt;100000),2.5%,IF(AND(PT=A20,Mod_Prem&gt;=100000),3%,0%))))</f>
        <v>0</v>
      </c>
      <c r="AN20" s="36" t="b">
        <f>IF(PT=20,6%,IF(PT=25,4.5%))</f>
        <v>0</v>
      </c>
      <c r="AO20" s="214">
        <f>IF(AND(PT=A20,PPT&lt;10),200%,IF(AND(PT=A20,PPT&gt;=10),220%,0%))</f>
        <v>0</v>
      </c>
      <c r="AP20" s="12"/>
      <c r="AQ20" s="12"/>
      <c r="AR20" s="12"/>
      <c r="AS20" s="347">
        <f>IF(AND(Mod_Prem&gt;=1000000,PT=A20),0.5%,0%)</f>
        <v>0</v>
      </c>
      <c r="AT20" s="12"/>
      <c r="AU20" s="12"/>
      <c r="AV20" s="12"/>
      <c r="AW20" s="194"/>
      <c r="AX20" s="12">
        <f>IF(PT=A20,5%,0)</f>
        <v>0</v>
      </c>
      <c r="AY20" s="12"/>
      <c r="AZ20" s="12"/>
      <c r="BA20" s="12"/>
      <c r="BB20" s="12"/>
      <c r="BC20" s="12"/>
      <c r="BD20" s="12"/>
      <c r="BE20" s="12"/>
      <c r="BF20" s="12"/>
      <c r="BG20" s="12"/>
      <c r="BH20" s="12"/>
      <c r="BI20" s="194">
        <f>IF(PT=A20,1.4%,IF(PT&gt;A19,0.7%,0))</f>
        <v>0</v>
      </c>
      <c r="BJ20" s="12">
        <f>IF(A20&lt;PT,0.75%,0)+IF(PT=A20, 1.25%,0)</f>
        <v>0</v>
      </c>
      <c r="BK20" s="12"/>
      <c r="BL20" s="12">
        <f>IF(A20=PT,1.25%,0)</f>
        <v>0</v>
      </c>
    </row>
    <row r="21" ht="13.5" customHeight="1">
      <c r="A21" s="171">
        <v>20.0</v>
      </c>
      <c r="B21" s="113">
        <v>0.001</v>
      </c>
      <c r="C21" s="112"/>
      <c r="D21" s="112">
        <v>0.0</v>
      </c>
      <c r="E21" s="113">
        <v>0.0</v>
      </c>
      <c r="F21" s="342">
        <v>0.0</v>
      </c>
      <c r="G21" s="403">
        <f t="shared" si="2"/>
        <v>0.007</v>
      </c>
      <c r="H21" s="113">
        <v>0.005</v>
      </c>
      <c r="I21" s="113">
        <f>IF(AND(PT&lt;=25,PT&gt;=14),I20+0.02%,0)</f>
        <v>0</v>
      </c>
      <c r="J21" s="112">
        <f>IF(Annual_Prem&lt;500000,2.55%,3.3%)</f>
        <v>0.0255</v>
      </c>
      <c r="K21" s="112">
        <f>IF(OR(PPT=5,PPT=6),0.1%,IF(OR(PPT=7,PPT=8,PPT=9),0.25%,IF(OR(PPT&gt;=10,PPT=1),0.4%)))</f>
        <v>0.004</v>
      </c>
      <c r="L21" s="112">
        <f>3.75%</f>
        <v>0.0375</v>
      </c>
      <c r="M21" s="113">
        <v>0.005</v>
      </c>
      <c r="N21" s="113">
        <v>0.0225</v>
      </c>
      <c r="O21" s="112">
        <f>IF(A21=PT,2%,0)</f>
        <v>0</v>
      </c>
      <c r="P21" s="247">
        <f>IF(OR(PPT=5,PPT=6),0.1%,IF(OR(PPT=7,PPT=8,PPT=9),0.15%,IF(PPT&gt;=10,0.15%)))</f>
        <v>0.0015</v>
      </c>
      <c r="Q21" s="247">
        <f>IF(OR(PPT=5,PPT=6),0.1%,IF(OR(PPT=7,PPT=8,PPT=9),0.2%,IF(PPT&gt;=10,0.2%)))</f>
        <v>0.002</v>
      </c>
      <c r="R21" s="247">
        <f>IF(OR(PPT=5,PPT=6),0.1%,IF(PPT&gt;=7,0.4%))</f>
        <v>0.004</v>
      </c>
      <c r="S21" s="113">
        <v>0.0025</v>
      </c>
      <c r="T21" s="113">
        <v>0.0085</v>
      </c>
      <c r="U21" s="113">
        <v>0.006</v>
      </c>
      <c r="V21" s="112">
        <f>IF(PT=PPT,0.75%,0.5%)</f>
        <v>0.0075</v>
      </c>
      <c r="W21" s="113">
        <v>0.005</v>
      </c>
      <c r="X21" s="112">
        <f>IF(AND(Annual_Prem&gt;=50000,Annual_Prem&lt;100000),1.5%,IF(AND(Annual_Prem&gt;=100000,Annual_Prem&lt;500000),2%,IF(Annual_Prem&gt;=500000,2.5%,0)))</f>
        <v>0.02</v>
      </c>
      <c r="Y21" s="342">
        <v>0.02</v>
      </c>
      <c r="Z21" s="113">
        <v>0.025</v>
      </c>
      <c r="AA21" s="113">
        <v>0.01</v>
      </c>
      <c r="AB21" s="113">
        <v>0.015</v>
      </c>
      <c r="AC21" s="113">
        <v>0.05</v>
      </c>
      <c r="AD21" s="342">
        <v>0.25</v>
      </c>
      <c r="AE21" s="171">
        <f>IF(PT=20,200%,0)</f>
        <v>0</v>
      </c>
      <c r="AF21" s="171">
        <f>IF(PT&gt;=20,200%,0)</f>
        <v>0</v>
      </c>
      <c r="AG21" s="113">
        <v>0.0025</v>
      </c>
      <c r="AH21" s="183">
        <v>0.002</v>
      </c>
      <c r="AI21" s="330">
        <v>0.014</v>
      </c>
      <c r="AJ21" s="227">
        <v>1.5</v>
      </c>
      <c r="AK21" s="227">
        <f>IF(PT=20,35%,0%)</f>
        <v>0</v>
      </c>
      <c r="AL21" s="171"/>
      <c r="AM21" s="214">
        <f>IF(AND(PT=A21,Mod_Prem&lt;25000),1%,IF(AND(PT=A21,Mod_Prem&gt;=25000,Mod_Prem&lt;50000),2%,IF(AND(PT=A21,Mod_Prem&gt;=50000,Mod_Prem&lt;100000),2.5%,IF(AND(PT=A21,Mod_Prem&gt;=100000),3%,0%))))</f>
        <v>0</v>
      </c>
      <c r="AN21" s="36" t="b">
        <f>IF(PT=20,6%,IF(PT=25,4.5%))</f>
        <v>0</v>
      </c>
      <c r="AO21" s="214">
        <f>IF(AND(PT=A21,PPT&lt;10),200%,IF(AND(PT=A21,PPT&gt;=10),220%,0%))</f>
        <v>0</v>
      </c>
      <c r="AP21" s="36"/>
      <c r="AQ21" s="121">
        <f>IF(PT=20,3%,0%)</f>
        <v>0</v>
      </c>
      <c r="AR21" s="121">
        <f>IF(PT=20,3%,0%)</f>
        <v>0</v>
      </c>
      <c r="AS21" s="347">
        <f>IF(AND(Mod_Prem&gt;=1000000,PT=A21),0.5%,0%)</f>
        <v>0</v>
      </c>
      <c r="AT21" s="36"/>
      <c r="AU21" s="184">
        <v>0.025</v>
      </c>
      <c r="AV21" s="214">
        <f>IF(PT&gt;=A21,2%,0)</f>
        <v>0</v>
      </c>
      <c r="AW21" s="184">
        <f>IF(PT&gt;=A21,0.1%,0)</f>
        <v>0</v>
      </c>
      <c r="AX21" s="12">
        <f>IF(PT=A21,5%,0)</f>
        <v>0</v>
      </c>
      <c r="AY21" s="36"/>
      <c r="AZ21" s="36"/>
      <c r="BA21" s="36"/>
      <c r="BB21" s="12"/>
      <c r="BC21" s="12">
        <f>IF(PT&gt;=A21,2.5%,0)</f>
        <v>0</v>
      </c>
      <c r="BD21" s="12">
        <f>IF(PT=25,7%,0)</f>
        <v>0</v>
      </c>
      <c r="BE21" s="12"/>
      <c r="BF21" s="194">
        <f>IF(PT&gt;=$A21,3.5%,0)</f>
        <v>0</v>
      </c>
      <c r="BG21" s="194">
        <f>IF(PT&gt;=$A21,3%,0)</f>
        <v>0</v>
      </c>
      <c r="BH21" s="194">
        <f>IF(PT&gt;=$A21, 1.5%,0)</f>
        <v>0</v>
      </c>
      <c r="BI21" s="194">
        <f>IF(PT=A21,1.4%,IF(PT&gt;A20,0.7%,0))</f>
        <v>0</v>
      </c>
      <c r="BJ21" s="12">
        <f>IF(A21&lt;PT,0.75%,0)+IF(PT=A21, 1.25%,0)</f>
        <v>0</v>
      </c>
      <c r="BK21" s="12">
        <f>IF(PT=20,1%,0)</f>
        <v>0</v>
      </c>
      <c r="BL21" s="12">
        <f>IF(A21=PT,1.25%,0)</f>
        <v>0</v>
      </c>
    </row>
    <row r="22" ht="13.5" customHeight="1">
      <c r="A22" s="171">
        <v>21.0</v>
      </c>
      <c r="B22" s="113">
        <v>0.001</v>
      </c>
      <c r="C22" s="112"/>
      <c r="D22" s="342">
        <v>0.01</v>
      </c>
      <c r="E22" s="113">
        <v>0.0</v>
      </c>
      <c r="F22" s="342">
        <v>0.0</v>
      </c>
      <c r="G22" s="403">
        <f t="shared" si="2"/>
        <v>0.0072</v>
      </c>
      <c r="H22" s="403">
        <v>0.0052</v>
      </c>
      <c r="I22" s="113">
        <f>IF(AND(PT&lt;=25,PT&gt;=14),I21+0.02%,0)</f>
        <v>0</v>
      </c>
      <c r="J22" s="112"/>
      <c r="K22" s="112">
        <f>IF(OR(PPT=5,PPT=6),0.1%,IF(OR(PPT=7,PPT=8,PPT=9),0.25%,IF(OR(PPT&gt;=10,PPT=1),0.4%)))</f>
        <v>0.004</v>
      </c>
      <c r="L22" s="112">
        <f t="shared" ref="L22:L25" si="5">0.5%</f>
        <v>0.005</v>
      </c>
      <c r="M22" s="113">
        <v>0.005</v>
      </c>
      <c r="N22" s="113">
        <v>0.0025</v>
      </c>
      <c r="O22" s="112">
        <f>IF(A22=PT,2%,0)</f>
        <v>0</v>
      </c>
      <c r="P22" s="247">
        <f>IF(OR(PPT=5,PPT=6),0.1%,IF(OR(PPT=7,PPT=8,PPT=9),0.15%,IF(PPT&gt;=10,0.15%)))</f>
        <v>0.0015</v>
      </c>
      <c r="Q22" s="247">
        <f>IF(OR(PPT=5,PPT=6),0.1%,IF(OR(PPT=7,PPT=8,PPT=9),0.2%,IF(PPT&gt;=10,0.2%)))</f>
        <v>0.002</v>
      </c>
      <c r="R22" s="247">
        <f>IF(OR(PPT=5,PPT=6),0.1%,IF(PPT&gt;=7,0.4%))</f>
        <v>0.004</v>
      </c>
      <c r="S22" s="113">
        <v>0.0025</v>
      </c>
      <c r="T22" s="113">
        <v>0.0085</v>
      </c>
      <c r="U22" s="113">
        <v>0.006</v>
      </c>
      <c r="V22" s="112">
        <f>IF(PT=PPT,0.75%,0.5%)</f>
        <v>0.0075</v>
      </c>
      <c r="W22" s="113">
        <v>0.005</v>
      </c>
      <c r="X22" s="112"/>
      <c r="Y22" s="112"/>
      <c r="Z22" s="112"/>
      <c r="AA22" s="112"/>
      <c r="AB22" s="112"/>
      <c r="AC22" s="112"/>
      <c r="AD22" s="171"/>
      <c r="AE22" s="171"/>
      <c r="AF22" s="171"/>
      <c r="AG22" s="171"/>
      <c r="AH22" s="183">
        <v>0.002</v>
      </c>
      <c r="AI22" s="330">
        <v>0.004</v>
      </c>
      <c r="AJ22" s="171"/>
      <c r="AK22" s="171"/>
      <c r="AL22" s="171"/>
      <c r="AM22" s="214">
        <f>IF(AND(PT=A22,Mod_Prem&lt;25000),1%,IF(AND(PT=A22,Mod_Prem&gt;=25000,Mod_Prem&lt;50000),2%,IF(AND(PT=A22,Mod_Prem&gt;=50000,Mod_Prem&lt;100000),2.5%,IF(AND(PT=A22,Mod_Prem&gt;=100000),3%,0%))))</f>
        <v>0</v>
      </c>
      <c r="AN22" s="36" t="b">
        <f>IF(PT=25,4.5%)</f>
        <v>0</v>
      </c>
      <c r="AO22" s="214">
        <f>IF(AND(PT=A22,PPT&lt;10),200%,IF(AND(PT=A22,PPT&gt;=10),220%,0%))</f>
        <v>0</v>
      </c>
      <c r="AP22" s="12"/>
      <c r="AQ22" s="12"/>
      <c r="AR22" s="12"/>
      <c r="AS22" s="347">
        <f>IF(AND(Mod_Prem&gt;=1000000,PT=A22),0.5%,0%)</f>
        <v>0</v>
      </c>
      <c r="AT22" s="12"/>
      <c r="AU22" s="12"/>
      <c r="AV22" s="12"/>
      <c r="AW22" s="194"/>
      <c r="AX22" s="12">
        <f>IF(PT=A22,5%,0)</f>
        <v>0</v>
      </c>
      <c r="AY22" s="12"/>
      <c r="AZ22" s="12"/>
      <c r="BA22" s="12"/>
      <c r="BB22" s="12"/>
      <c r="BC22" s="12"/>
      <c r="BD22" s="12"/>
      <c r="BE22" s="12"/>
      <c r="BF22" s="12"/>
      <c r="BG22" s="12"/>
      <c r="BH22" s="12"/>
      <c r="BI22" s="194">
        <f>IF(PT=A22,1.4%,IF(PT&gt;A21,0.7%,0))</f>
        <v>0</v>
      </c>
      <c r="BJ22" s="12">
        <f>IF(A22&lt;PT,0.75%,0)+IF(PT=A22, 1.25%,0)</f>
        <v>0</v>
      </c>
      <c r="BK22" s="12"/>
      <c r="BL22" s="12">
        <f>IF(A22=PT,1.25%,0)</f>
        <v>0</v>
      </c>
    </row>
    <row r="23" ht="13.5" customHeight="1">
      <c r="A23" s="171">
        <v>22.0</v>
      </c>
      <c r="B23" s="113">
        <v>0.001</v>
      </c>
      <c r="C23" s="112"/>
      <c r="D23" s="112">
        <v>0.0</v>
      </c>
      <c r="E23" s="113">
        <v>0.0</v>
      </c>
      <c r="F23" s="342">
        <v>0.0</v>
      </c>
      <c r="G23" s="403">
        <f t="shared" si="2"/>
        <v>0.0074</v>
      </c>
      <c r="H23" s="113">
        <v>0.0054</v>
      </c>
      <c r="I23" s="113">
        <f>IF(AND(PT&lt;=25,PT&gt;=14),I22+0.02%,0)</f>
        <v>0</v>
      </c>
      <c r="J23" s="112"/>
      <c r="K23" s="112">
        <f>IF(OR(PPT=5,PPT=6),0.1%,IF(OR(PPT=7,PPT=8,PPT=9),0.25%,IF(OR(PPT&gt;=10,PPT=1),0.4%)))</f>
        <v>0.004</v>
      </c>
      <c r="L23" s="112">
        <f t="shared" si="5"/>
        <v>0.005</v>
      </c>
      <c r="M23" s="113">
        <v>0.005</v>
      </c>
      <c r="N23" s="113">
        <v>0.0025</v>
      </c>
      <c r="O23" s="112">
        <f>IF(A23=PT,2%,0)</f>
        <v>0</v>
      </c>
      <c r="P23" s="247">
        <f>IF(OR(PPT=5,PPT=6),0.1%,IF(OR(PPT=7,PPT=8,PPT=9),0.15%,IF(PPT&gt;=10,0.15%)))</f>
        <v>0.0015</v>
      </c>
      <c r="Q23" s="247">
        <f>IF(OR(PPT=5,PPT=6),0.1%,IF(OR(PPT=7,PPT=8,PPT=9),0.2%,IF(PPT&gt;=10,0.2%)))</f>
        <v>0.002</v>
      </c>
      <c r="R23" s="247">
        <f>IF(OR(PPT=5,PPT=6),0.1%,IF(PPT&gt;=7,0.4%))</f>
        <v>0.004</v>
      </c>
      <c r="S23" s="113">
        <v>0.0025</v>
      </c>
      <c r="T23" s="113">
        <v>0.0085</v>
      </c>
      <c r="U23" s="113">
        <v>0.006</v>
      </c>
      <c r="V23" s="112">
        <f>IF(PT=PPT,0.75%,0.5%)</f>
        <v>0.0075</v>
      </c>
      <c r="W23" s="113">
        <v>0.005</v>
      </c>
      <c r="X23" s="112"/>
      <c r="Y23" s="112"/>
      <c r="Z23" s="112"/>
      <c r="AA23" s="112"/>
      <c r="AB23" s="112"/>
      <c r="AC23" s="112"/>
      <c r="AD23" s="171"/>
      <c r="AE23" s="171"/>
      <c r="AF23" s="171"/>
      <c r="AG23" s="171"/>
      <c r="AH23" s="183">
        <v>0.002</v>
      </c>
      <c r="AI23" s="330">
        <v>0.004</v>
      </c>
      <c r="AJ23" s="171"/>
      <c r="AK23" s="171"/>
      <c r="AL23" s="171"/>
      <c r="AM23" s="214">
        <f>IF(AND(PT=A23,Mod_Prem&lt;25000),1%,IF(AND(PT=A23,Mod_Prem&gt;=25000,Mod_Prem&lt;50000),2%,IF(AND(PT=A23,Mod_Prem&gt;=50000,Mod_Prem&lt;100000),2.5%,IF(AND(PT=A23,Mod_Prem&gt;=100000),3%,0%))))</f>
        <v>0</v>
      </c>
      <c r="AN23" s="36" t="b">
        <f>IF(PT=25,4.5%)</f>
        <v>0</v>
      </c>
      <c r="AO23" s="214">
        <f>IF(AND(PT=A23,PPT&lt;10),200%,IF(AND(PT=A23,PPT&gt;=10),220%,0%))</f>
        <v>0</v>
      </c>
      <c r="AP23" s="12"/>
      <c r="AQ23" s="12"/>
      <c r="AR23" s="12"/>
      <c r="AS23" s="347">
        <f>IF(AND(Mod_Prem&gt;=1000000,PT=A23),0.5%,0%)</f>
        <v>0</v>
      </c>
      <c r="AT23" s="12"/>
      <c r="AU23" s="12"/>
      <c r="AV23" s="12"/>
      <c r="AW23" s="194"/>
      <c r="AX23" s="12">
        <f>IF(PT=A23,5%,0)</f>
        <v>0</v>
      </c>
      <c r="AY23" s="12"/>
      <c r="AZ23" s="12"/>
      <c r="BA23" s="12"/>
      <c r="BB23" s="12"/>
      <c r="BC23" s="12"/>
      <c r="BD23" s="12"/>
      <c r="BE23" s="12"/>
      <c r="BF23" s="12"/>
      <c r="BG23" s="12"/>
      <c r="BH23" s="12"/>
      <c r="BI23" s="194">
        <f>IF(PT=A23,1.4%,IF(PT&gt;A22,0.7%,0))</f>
        <v>0</v>
      </c>
      <c r="BJ23" s="12">
        <f>IF(A23&lt;PT,0.75%,0)+IF(PT=A23, 1.25%,0)</f>
        <v>0</v>
      </c>
      <c r="BK23" s="12"/>
      <c r="BL23" s="12">
        <f>IF(A23=PT,1.25%,0)</f>
        <v>0</v>
      </c>
    </row>
    <row r="24" ht="13.5" customHeight="1">
      <c r="A24" s="171">
        <v>23.0</v>
      </c>
      <c r="B24" s="113">
        <v>0.001</v>
      </c>
      <c r="C24" s="112"/>
      <c r="D24" s="342">
        <v>0.01</v>
      </c>
      <c r="E24" s="113">
        <v>0.0</v>
      </c>
      <c r="F24" s="342">
        <v>0.0</v>
      </c>
      <c r="G24" s="403">
        <f t="shared" si="2"/>
        <v>0.0076</v>
      </c>
      <c r="H24" s="403">
        <v>0.0056</v>
      </c>
      <c r="I24" s="113">
        <f>IF(AND(PT&lt;=25,PT&gt;=14),I23+0.02%,0)</f>
        <v>0</v>
      </c>
      <c r="J24" s="112"/>
      <c r="K24" s="112">
        <f>IF(OR(PPT=5,PPT=6),0.1%,IF(OR(PPT=7,PPT=8,PPT=9),0.25%,IF(OR(PPT&gt;=10,PPT=1),0.4%)))</f>
        <v>0.004</v>
      </c>
      <c r="L24" s="112">
        <f t="shared" si="5"/>
        <v>0.005</v>
      </c>
      <c r="M24" s="113">
        <v>0.005</v>
      </c>
      <c r="N24" s="113">
        <v>0.0025</v>
      </c>
      <c r="O24" s="112">
        <f>IF(A24=PT,2%,0)</f>
        <v>0</v>
      </c>
      <c r="P24" s="247">
        <f>IF(OR(PPT=5,PPT=6),0.1%,IF(OR(PPT=7,PPT=8,PPT=9),0.15%,IF(PPT&gt;=10,0.15%)))</f>
        <v>0.0015</v>
      </c>
      <c r="Q24" s="247">
        <f>IF(OR(PPT=5,PPT=6),0.1%,IF(OR(PPT=7,PPT=8,PPT=9),0.2%,IF(PPT&gt;=10,0.2%)))</f>
        <v>0.002</v>
      </c>
      <c r="R24" s="247">
        <f>IF(OR(PPT=5,PPT=6),0.1%,IF(PPT&gt;=7,0.4%))</f>
        <v>0.004</v>
      </c>
      <c r="S24" s="113">
        <v>0.0025</v>
      </c>
      <c r="T24" s="113">
        <v>0.0085</v>
      </c>
      <c r="U24" s="113">
        <v>0.006</v>
      </c>
      <c r="V24" s="112">
        <f>IF(PT=PPT,0.75%,0.5%)</f>
        <v>0.0075</v>
      </c>
      <c r="W24" s="113">
        <v>0.005</v>
      </c>
      <c r="X24" s="112"/>
      <c r="Y24" s="112"/>
      <c r="Z24" s="112"/>
      <c r="AA24" s="112"/>
      <c r="AB24" s="112"/>
      <c r="AC24" s="112"/>
      <c r="AD24" s="171"/>
      <c r="AE24" s="171"/>
      <c r="AF24" s="171"/>
      <c r="AG24" s="171"/>
      <c r="AH24" s="183">
        <v>0.002</v>
      </c>
      <c r="AI24" s="330">
        <v>0.004</v>
      </c>
      <c r="AJ24" s="171"/>
      <c r="AK24" s="171"/>
      <c r="AL24" s="171"/>
      <c r="AM24" s="214">
        <f>IF(AND(PT=A24,Mod_Prem&lt;25000),1%,IF(AND(PT=A24,Mod_Prem&gt;=25000,Mod_Prem&lt;50000),2%,IF(AND(PT=A24,Mod_Prem&gt;=50000,Mod_Prem&lt;100000),2.5%,IF(AND(PT=A24,Mod_Prem&gt;=100000),3%,0%))))</f>
        <v>0</v>
      </c>
      <c r="AN24" s="36" t="b">
        <f>IF(PT=25,4.5%)</f>
        <v>0</v>
      </c>
      <c r="AO24" s="214">
        <f>IF(AND(PT=A24,PPT&lt;10),200%,IF(AND(PT=A24,PPT&gt;=10),220%,0%))</f>
        <v>0</v>
      </c>
      <c r="AP24" s="12"/>
      <c r="AQ24" s="12"/>
      <c r="AR24" s="12"/>
      <c r="AS24" s="347">
        <f>IF(AND(Mod_Prem&gt;=1000000,PT=A24),0.5%,0%)</f>
        <v>0</v>
      </c>
      <c r="AT24" s="12"/>
      <c r="AU24" s="12"/>
      <c r="AV24" s="12"/>
      <c r="AW24" s="194"/>
      <c r="AX24" s="12">
        <f>IF(PT=A24,5%,0)</f>
        <v>0</v>
      </c>
      <c r="AY24" s="12"/>
      <c r="AZ24" s="12"/>
      <c r="BA24" s="12"/>
      <c r="BB24" s="12"/>
      <c r="BC24" s="12"/>
      <c r="BD24" s="12"/>
      <c r="BE24" s="12"/>
      <c r="BF24" s="12"/>
      <c r="BG24" s="12"/>
      <c r="BH24" s="12"/>
      <c r="BI24" s="194">
        <f>IF(PT=A24,1.4%,IF(PT&gt;A23,0.7%,0))</f>
        <v>0</v>
      </c>
      <c r="BJ24" s="12">
        <f>IF(A24&lt;PT,0.75%,0)+IF(PT=A24, 1.25%,0)</f>
        <v>0</v>
      </c>
      <c r="BK24" s="12"/>
      <c r="BL24" s="12">
        <f>IF(A24=PT,1.25%,0)</f>
        <v>0</v>
      </c>
    </row>
    <row r="25" ht="13.5" customHeight="1">
      <c r="A25" s="171">
        <v>24.0</v>
      </c>
      <c r="B25" s="113">
        <v>0.001</v>
      </c>
      <c r="C25" s="112"/>
      <c r="D25" s="112">
        <v>0.0</v>
      </c>
      <c r="E25" s="113">
        <v>0.0</v>
      </c>
      <c r="F25" s="342">
        <v>0.0</v>
      </c>
      <c r="G25" s="403">
        <f t="shared" si="2"/>
        <v>0.0078</v>
      </c>
      <c r="H25" s="113">
        <v>0.0058</v>
      </c>
      <c r="I25" s="113">
        <f>IF(AND(PT&lt;=25,PT&gt;=14),I24+0.02%,0)</f>
        <v>0</v>
      </c>
      <c r="J25" s="112"/>
      <c r="K25" s="112">
        <f>IF(OR(PPT=5,PPT=6),0.1%,IF(OR(PPT=7,PPT=8,PPT=9),0.25%,IF(OR(PPT&gt;=10,PPT=1),0.4%)))</f>
        <v>0.004</v>
      </c>
      <c r="L25" s="112">
        <f t="shared" si="5"/>
        <v>0.005</v>
      </c>
      <c r="M25" s="113">
        <v>0.005</v>
      </c>
      <c r="N25" s="113">
        <v>0.0025</v>
      </c>
      <c r="O25" s="112">
        <f>IF(A25=PT,2%,0)</f>
        <v>0</v>
      </c>
      <c r="P25" s="247">
        <f>IF(OR(PPT=5,PPT=6),0.1%,IF(OR(PPT=7,PPT=8,PPT=9),0.15%,IF(PPT&gt;=10,0.15%)))</f>
        <v>0.0015</v>
      </c>
      <c r="Q25" s="247">
        <f>IF(OR(PPT=5,PPT=6),0.1%,IF(OR(PPT=7,PPT=8,PPT=9),0.2%,IF(PPT&gt;=10,0.2%)))</f>
        <v>0.002</v>
      </c>
      <c r="R25" s="247">
        <f>IF(OR(PPT=5,PPT=6),0.1%,IF(PPT&gt;=7,0.4%))</f>
        <v>0.004</v>
      </c>
      <c r="S25" s="113">
        <v>0.0025</v>
      </c>
      <c r="T25" s="113">
        <v>0.0085</v>
      </c>
      <c r="U25" s="113">
        <v>0.006</v>
      </c>
      <c r="V25" s="112">
        <f>IF(PT=PPT,0.75%,0.5%)</f>
        <v>0.0075</v>
      </c>
      <c r="W25" s="113">
        <v>0.005</v>
      </c>
      <c r="X25" s="112"/>
      <c r="Y25" s="112"/>
      <c r="Z25" s="112"/>
      <c r="AA25" s="112"/>
      <c r="AB25" s="112"/>
      <c r="AC25" s="112"/>
      <c r="AD25" s="171"/>
      <c r="AE25" s="171"/>
      <c r="AF25" s="171"/>
      <c r="AG25" s="171"/>
      <c r="AH25" s="183">
        <v>0.002</v>
      </c>
      <c r="AI25" s="330">
        <v>0.004</v>
      </c>
      <c r="AJ25" s="171"/>
      <c r="AK25" s="171"/>
      <c r="AL25" s="171"/>
      <c r="AM25" s="214">
        <f>IF(AND(PT=A25,Mod_Prem&lt;25000),1%,IF(AND(PT=A25,Mod_Prem&gt;=25000,Mod_Prem&lt;50000),2%,IF(AND(PT=A25,Mod_Prem&gt;=50000,Mod_Prem&lt;100000),2.5%,IF(AND(PT=A25,Mod_Prem&gt;=100000),3%,0%))))</f>
        <v>0</v>
      </c>
      <c r="AN25" s="36" t="b">
        <f>IF(PT=25,4.5%)</f>
        <v>0</v>
      </c>
      <c r="AO25" s="214">
        <f>IF(AND(PT=A25,PPT&lt;10),200%,IF(AND(PT=A25,PPT&gt;=10),220%,0%))</f>
        <v>0</v>
      </c>
      <c r="AP25" s="12"/>
      <c r="AQ25" s="12"/>
      <c r="AR25" s="12"/>
      <c r="AS25" s="347">
        <f>IF(AND(Mod_Prem&gt;=1000000,PT=A25),0.5%,0%)</f>
        <v>0</v>
      </c>
      <c r="AT25" s="12"/>
      <c r="AU25" s="12"/>
      <c r="AV25" s="12"/>
      <c r="AW25" s="194"/>
      <c r="AX25" s="12">
        <f>IF(PT=A25,5%,0)</f>
        <v>0</v>
      </c>
      <c r="AY25" s="12"/>
      <c r="AZ25" s="12"/>
      <c r="BA25" s="12"/>
      <c r="BB25" s="12"/>
      <c r="BC25" s="12"/>
      <c r="BD25" s="12"/>
      <c r="BE25" s="121"/>
      <c r="BF25" s="12"/>
      <c r="BG25" s="12"/>
      <c r="BH25" s="12"/>
      <c r="BI25" s="194">
        <f>IF(PT=A25,1.4%,IF(PT&gt;A24,0.7%,0))</f>
        <v>0</v>
      </c>
      <c r="BJ25" s="12">
        <f>IF(A25&lt;PT,0.75%,0)+IF(PT=A25, 1.25%,0)</f>
        <v>0</v>
      </c>
      <c r="BK25" s="12"/>
      <c r="BL25" s="12">
        <f>IF(A25=PT,1.25%,0)</f>
        <v>0</v>
      </c>
    </row>
    <row r="26" ht="13.5" customHeight="1">
      <c r="A26" s="171">
        <v>25.0</v>
      </c>
      <c r="B26" s="113">
        <v>0.001</v>
      </c>
      <c r="C26" s="112"/>
      <c r="D26" s="342">
        <v>0.01</v>
      </c>
      <c r="E26" s="113">
        <v>0.0</v>
      </c>
      <c r="F26" s="342">
        <v>0.0</v>
      </c>
      <c r="G26" s="403">
        <f t="shared" si="2"/>
        <v>0.008</v>
      </c>
      <c r="H26" s="403">
        <v>0.006</v>
      </c>
      <c r="I26" s="113">
        <f>IF(AND(PT&lt;=25,PT&gt;=14),I25+0.02%,0)</f>
        <v>0</v>
      </c>
      <c r="J26" s="112"/>
      <c r="K26" s="112">
        <f>IF(OR(PPT=5,PPT=6),0.1%,IF(OR(PPT=7,PPT=8,PPT=9),0.25%,IF(OR(PPT&gt;=10,PPT=1),0.4%)))</f>
        <v>0.004</v>
      </c>
      <c r="L26" s="112">
        <f>3.75%</f>
        <v>0.0375</v>
      </c>
      <c r="M26" s="113">
        <v>0.005</v>
      </c>
      <c r="N26" s="113">
        <v>0.0225</v>
      </c>
      <c r="O26" s="112">
        <f>IF(A26=PT,2%,0)</f>
        <v>0</v>
      </c>
      <c r="P26" s="247">
        <f>IF(OR(PPT=5,PPT=6),0.1%,IF(OR(PPT=7,PPT=8,PPT=9),0.15%,IF(PPT&gt;=10,0.15%)))</f>
        <v>0.0015</v>
      </c>
      <c r="Q26" s="247">
        <f>IF(OR(PPT=5,PPT=6),0.1%,IF(OR(PPT=7,PPT=8,PPT=9),0.2%,IF(PPT&gt;=10,0.2%)))</f>
        <v>0.002</v>
      </c>
      <c r="R26" s="247">
        <f>IF(OR(PPT=5,PPT=6),0.1%,IF(PPT&gt;=7,0.4%))</f>
        <v>0.004</v>
      </c>
      <c r="S26" s="113">
        <v>0.0025</v>
      </c>
      <c r="T26" s="113">
        <v>0.0085</v>
      </c>
      <c r="U26" s="113">
        <v>0.006</v>
      </c>
      <c r="V26" s="112">
        <f>IF(PT=PPT,0.75%,0.5%)</f>
        <v>0.0075</v>
      </c>
      <c r="W26" s="113">
        <v>0.005</v>
      </c>
      <c r="X26" s="112">
        <f>IF(AND(Annual_Prem&gt;=50000,Annual_Prem&lt;100000),1.5%,IF(AND(Annual_Prem&gt;=100000,Annual_Prem&lt;500000),2%,IF(Annual_Prem&gt;=500000,2.5%,0)))</f>
        <v>0.02</v>
      </c>
      <c r="Y26" s="342">
        <v>0.02</v>
      </c>
      <c r="Z26" s="113">
        <v>0.025</v>
      </c>
      <c r="AA26" s="113">
        <v>0.01</v>
      </c>
      <c r="AB26" s="113">
        <v>0.015</v>
      </c>
      <c r="AC26" s="113">
        <v>0.05</v>
      </c>
      <c r="AD26" s="171"/>
      <c r="AE26" s="171"/>
      <c r="AF26" s="171"/>
      <c r="AG26" s="113">
        <v>0.0025</v>
      </c>
      <c r="AH26" s="183">
        <v>0.002</v>
      </c>
      <c r="AI26" s="330">
        <v>0.014</v>
      </c>
      <c r="AJ26" s="171"/>
      <c r="AK26" s="171"/>
      <c r="AL26" s="171"/>
      <c r="AM26" s="214">
        <f>IF(AND(PT=A26,Mod_Prem&lt;25000),1%,IF(AND(PT=A26,Mod_Prem&gt;=25000,Mod_Prem&lt;50000),2%,IF(AND(PT=A26,Mod_Prem&gt;=50000,Mod_Prem&lt;100000),2.5%,IF(AND(PT=A26,Mod_Prem&gt;=100000),3%,0%))))</f>
        <v>0</v>
      </c>
      <c r="AN26" s="36" t="b">
        <f>IF(PT=25,4.5%)</f>
        <v>0</v>
      </c>
      <c r="AO26" s="214">
        <f>IF(AND(PT=A26,PPT&lt;10),200%,IF(AND(PT=A26,PPT&gt;=10),220%,0%))</f>
        <v>0</v>
      </c>
      <c r="AP26" s="12"/>
      <c r="AQ26" s="12"/>
      <c r="AR26" s="121">
        <f>IF(PT=25,4%,0%)</f>
        <v>0</v>
      </c>
      <c r="AS26" s="347">
        <f>IF(AND(Mod_Prem&gt;=1000000,PT=A26),0.5%,0%)</f>
        <v>0</v>
      </c>
      <c r="AT26" s="12"/>
      <c r="AU26" s="194">
        <v>0.025</v>
      </c>
      <c r="AV26" s="121">
        <f>IF(PT&gt;=A26,2%,0)</f>
        <v>0</v>
      </c>
      <c r="AW26" s="194">
        <f>IF(PT&gt;=A26,0.1%,0)</f>
        <v>0</v>
      </c>
      <c r="AX26" s="12">
        <f>IF(PT=A26,5%,0)</f>
        <v>0</v>
      </c>
      <c r="AY26" s="12"/>
      <c r="AZ26" s="12"/>
      <c r="BA26" s="194">
        <f>IF(PT&gt;=A26,2.5%,0)</f>
        <v>0</v>
      </c>
      <c r="BB26" s="12"/>
      <c r="BC26" s="12">
        <f>IF(PT&gt;=A26,2.5%,0)</f>
        <v>0</v>
      </c>
      <c r="BD26" s="12"/>
      <c r="BE26" s="194">
        <f>IF(PT&gt;=A26,3%,0%)</f>
        <v>0</v>
      </c>
      <c r="BF26" s="194">
        <f>IF(PT&gt;=$A26,3.5%,0)</f>
        <v>0</v>
      </c>
      <c r="BG26" s="194">
        <f>IF(PT&gt;=$A26,3%,0)</f>
        <v>0</v>
      </c>
      <c r="BH26" s="194">
        <f>IF(PT&gt;=$A26, 1.5%,0)</f>
        <v>0</v>
      </c>
      <c r="BI26" s="194">
        <f>IF(PT=A26,1.4%,IF(PT&gt;A25,0.7%,0))</f>
        <v>0</v>
      </c>
      <c r="BJ26" s="12">
        <f>IF(A26&lt;PT,0.75%,0)+IF(PT=A26, 1.25%,0)</f>
        <v>0</v>
      </c>
      <c r="BK26" s="12"/>
      <c r="BL26" s="12">
        <f>IF(A26=PT,1.25%,0)</f>
        <v>0</v>
      </c>
    </row>
    <row r="27" ht="13.5" customHeight="1">
      <c r="A27" s="171">
        <v>26.0</v>
      </c>
      <c r="B27" s="113">
        <v>0.001</v>
      </c>
      <c r="C27" s="112"/>
      <c r="D27" s="112">
        <v>0.0</v>
      </c>
      <c r="E27" s="113">
        <v>0.0</v>
      </c>
      <c r="F27" s="342">
        <v>0.0</v>
      </c>
      <c r="G27" s="403">
        <f t="shared" si="2"/>
        <v>0.0082</v>
      </c>
      <c r="H27" s="113">
        <v>0.0062</v>
      </c>
      <c r="I27" s="113">
        <f>IF(AND(PT&lt;=25,PT&gt;=14),I26+0.02%,0)</f>
        <v>0</v>
      </c>
      <c r="J27" s="112"/>
      <c r="K27" s="112">
        <f>IF(OR(PPT=5,PPT=6),0.1%,IF(OR(PPT=7,PPT=8,PPT=9),0.25%,IF(OR(PPT&gt;=10,PPT=1),0.4%)))</f>
        <v>0.004</v>
      </c>
      <c r="L27" s="112">
        <f t="shared" ref="L27:L30" si="6">0.5%</f>
        <v>0.005</v>
      </c>
      <c r="M27" s="113">
        <v>0.005</v>
      </c>
      <c r="N27" s="113">
        <v>0.0025</v>
      </c>
      <c r="O27" s="112">
        <f>IF(A27=PT,2%,0)</f>
        <v>0</v>
      </c>
      <c r="P27" s="247">
        <f>IF(OR(PPT=5,PPT=6),0.1%,IF(OR(PPT=7,PPT=8,PPT=9),0.15%,IF(PPT&gt;=10,0.15%)))</f>
        <v>0.0015</v>
      </c>
      <c r="Q27" s="247">
        <f>IF(OR(PPT=5,PPT=6),0.1%,IF(OR(PPT=7,PPT=8,PPT=9),0.2%,IF(PPT&gt;=10,0.2%)))</f>
        <v>0.002</v>
      </c>
      <c r="R27" s="247">
        <f>IF(OR(PPT=5,PPT=6),0.1%,IF(PPT&gt;=7,0.4%))</f>
        <v>0.004</v>
      </c>
      <c r="S27" s="113">
        <v>0.0025</v>
      </c>
      <c r="T27" s="113">
        <v>0.0085</v>
      </c>
      <c r="U27" s="113">
        <v>0.006</v>
      </c>
      <c r="V27" s="112">
        <f>IF(PT=PPT,0.75%,0.5%)</f>
        <v>0.0075</v>
      </c>
      <c r="W27" s="113">
        <v>0.005</v>
      </c>
      <c r="X27" s="112"/>
      <c r="Y27" s="112"/>
      <c r="Z27" s="112"/>
      <c r="AA27" s="112"/>
      <c r="AB27" s="112"/>
      <c r="AC27" s="112"/>
      <c r="AD27" s="171"/>
      <c r="AE27" s="171"/>
      <c r="AF27" s="171"/>
      <c r="AG27" s="171"/>
      <c r="AH27" s="183">
        <v>0.002</v>
      </c>
      <c r="AI27" s="330">
        <v>0.004</v>
      </c>
      <c r="AJ27" s="171"/>
      <c r="AK27" s="171"/>
      <c r="AL27" s="171"/>
      <c r="AM27" s="214">
        <f>IF(AND(PT=A27,Mod_Prem&lt;25000),1%,IF(AND(PT=A27,Mod_Prem&gt;=25000,Mod_Prem&lt;50000),2%,IF(AND(PT=A27,Mod_Prem&gt;=50000,Mod_Prem&lt;100000),2.5%,IF(AND(PT=A27,Mod_Prem&gt;=100000),3%,0%))))</f>
        <v>0</v>
      </c>
      <c r="AN27" s="12"/>
      <c r="AO27" s="214">
        <f>IF(AND(PT=A27,PPT&lt;10),200%,IF(AND(PT=A27,PPT&gt;=10),220%,0%))</f>
        <v>0</v>
      </c>
      <c r="AP27" s="12"/>
      <c r="AQ27" s="12"/>
      <c r="AR27" s="12"/>
      <c r="AS27" s="347">
        <f>IF(AND(Mod_Prem&gt;=1000000,PT=A27),0.5%,0%)</f>
        <v>0</v>
      </c>
      <c r="AT27" s="12"/>
      <c r="AU27" s="12"/>
      <c r="AV27" s="12"/>
      <c r="AW27" s="194"/>
      <c r="AX27" s="12">
        <f>IF(PT=A27,5%,0)</f>
        <v>0</v>
      </c>
      <c r="AY27" s="12"/>
      <c r="AZ27" s="12"/>
      <c r="BA27" s="12"/>
      <c r="BB27" s="12"/>
      <c r="BC27" s="12"/>
      <c r="BD27" s="12"/>
      <c r="BE27" s="12"/>
      <c r="BF27" s="12"/>
      <c r="BG27" s="12"/>
      <c r="BH27" s="12"/>
      <c r="BI27" s="194">
        <f>IF(PT=A27,1.4%,IF(PT&gt;A26,0.7%,0))</f>
        <v>0</v>
      </c>
      <c r="BJ27" s="12">
        <f>IF(A27&lt;PT,0.75%,0)+IF(PT=A27, 1.25%,0)</f>
        <v>0</v>
      </c>
      <c r="BK27" s="12"/>
      <c r="BL27" s="12">
        <f>IF(A27=PT,1.25%,0)</f>
        <v>0</v>
      </c>
    </row>
    <row r="28" ht="13.5" customHeight="1">
      <c r="A28" s="171">
        <v>27.0</v>
      </c>
      <c r="B28" s="113">
        <v>0.001</v>
      </c>
      <c r="C28" s="112"/>
      <c r="D28" s="342">
        <v>0.01</v>
      </c>
      <c r="E28" s="113">
        <v>0.0</v>
      </c>
      <c r="F28" s="342">
        <v>0.0</v>
      </c>
      <c r="G28" s="403">
        <f t="shared" si="2"/>
        <v>0.0084</v>
      </c>
      <c r="H28" s="403">
        <v>0.0064</v>
      </c>
      <c r="I28" s="113">
        <f>IF(AND(PT&lt;=25,PT&gt;=14),I27+0.02%,0)</f>
        <v>0</v>
      </c>
      <c r="J28" s="112"/>
      <c r="K28" s="112">
        <f>IF(OR(PPT=5,PPT=6),0.1%,IF(OR(PPT=7,PPT=8,PPT=9),0.25%,IF(OR(PPT&gt;=10,PPT=1),0.4%)))</f>
        <v>0.004</v>
      </c>
      <c r="L28" s="112">
        <f t="shared" si="6"/>
        <v>0.005</v>
      </c>
      <c r="M28" s="113">
        <v>0.005</v>
      </c>
      <c r="N28" s="113">
        <v>0.0025</v>
      </c>
      <c r="O28" s="112">
        <f>IF(A28=PT,2%,0)</f>
        <v>0</v>
      </c>
      <c r="P28" s="247">
        <f>IF(OR(PPT=5,PPT=6),0.1%,IF(OR(PPT=7,PPT=8,PPT=9),0.15%,IF(PPT&gt;=10,0.15%)))</f>
        <v>0.0015</v>
      </c>
      <c r="Q28" s="247">
        <f>IF(OR(PPT=5,PPT=6),0.1%,IF(OR(PPT=7,PPT=8,PPT=9),0.2%,IF(PPT&gt;=10,0.2%)))</f>
        <v>0.002</v>
      </c>
      <c r="R28" s="247">
        <f>IF(OR(PPT=5,PPT=6),0.1%,IF(PPT&gt;=7,0.4%))</f>
        <v>0.004</v>
      </c>
      <c r="S28" s="113">
        <v>0.0025</v>
      </c>
      <c r="T28" s="113">
        <v>0.0085</v>
      </c>
      <c r="U28" s="113">
        <v>0.006</v>
      </c>
      <c r="V28" s="112">
        <f>IF(PT=PPT,0.75%,0.5%)</f>
        <v>0.0075</v>
      </c>
      <c r="W28" s="113">
        <v>0.005</v>
      </c>
      <c r="X28" s="112"/>
      <c r="Y28" s="112"/>
      <c r="Z28" s="112"/>
      <c r="AA28" s="112"/>
      <c r="AB28" s="112"/>
      <c r="AC28" s="112"/>
      <c r="AD28" s="171"/>
      <c r="AE28" s="171"/>
      <c r="AF28" s="171"/>
      <c r="AG28" s="171"/>
      <c r="AH28" s="183">
        <v>0.002</v>
      </c>
      <c r="AI28" s="330">
        <v>0.004</v>
      </c>
      <c r="AJ28" s="171"/>
      <c r="AK28" s="171"/>
      <c r="AL28" s="171"/>
      <c r="AM28" s="214">
        <f>IF(AND(PT=A28,Mod_Prem&lt;25000),1%,IF(AND(PT=A28,Mod_Prem&gt;=25000,Mod_Prem&lt;50000),2%,IF(AND(PT=A28,Mod_Prem&gt;=50000,Mod_Prem&lt;100000),2.5%,IF(AND(PT=A28,Mod_Prem&gt;=100000),3%,0%))))</f>
        <v>0</v>
      </c>
      <c r="AN28" s="12"/>
      <c r="AO28" s="214">
        <f>IF(AND(PT=A28,PPT&lt;10),200%,IF(AND(PT=A28,PPT&gt;=10),220%,0%))</f>
        <v>0</v>
      </c>
      <c r="AP28" s="12"/>
      <c r="AQ28" s="12"/>
      <c r="AR28" s="12"/>
      <c r="AS28" s="347">
        <f>IF(AND(Mod_Prem&gt;=1000000,PT=A28),0.5%,0%)</f>
        <v>0</v>
      </c>
      <c r="AT28" s="12"/>
      <c r="AU28" s="12"/>
      <c r="AV28" s="12"/>
      <c r="AW28" s="194"/>
      <c r="AX28" s="12">
        <f>IF(PT=A28,5%,0)</f>
        <v>0</v>
      </c>
      <c r="AY28" s="12"/>
      <c r="AZ28" s="12"/>
      <c r="BA28" s="12"/>
      <c r="BB28" s="12"/>
      <c r="BC28" s="12"/>
      <c r="BD28" s="12"/>
      <c r="BE28" s="12"/>
      <c r="BF28" s="12"/>
      <c r="BG28" s="12"/>
      <c r="BH28" s="12"/>
      <c r="BI28" s="194">
        <f>IF(PT=A28,1.4%,IF(PT&gt;A27,0.7%,0))</f>
        <v>0</v>
      </c>
      <c r="BJ28" s="12">
        <f>IF(A28&lt;PT,0.75%,0)+IF(PT=A28, 1.25%,0)</f>
        <v>0</v>
      </c>
      <c r="BK28" s="12"/>
      <c r="BL28" s="12">
        <f>IF(A28=PT,1.25%,0)</f>
        <v>0</v>
      </c>
    </row>
    <row r="29" ht="13.5" customHeight="1">
      <c r="A29" s="171">
        <v>28.0</v>
      </c>
      <c r="B29" s="113">
        <v>0.001</v>
      </c>
      <c r="C29" s="112"/>
      <c r="D29" s="112">
        <v>0.0</v>
      </c>
      <c r="E29" s="113">
        <v>0.0</v>
      </c>
      <c r="F29" s="342">
        <v>0.0</v>
      </c>
      <c r="G29" s="403">
        <f t="shared" si="2"/>
        <v>0.0086</v>
      </c>
      <c r="H29" s="113">
        <v>0.0066</v>
      </c>
      <c r="I29" s="113">
        <f>IF(AND(PT&lt;=25,PT&gt;=14),I28+0.02%,0)</f>
        <v>0</v>
      </c>
      <c r="J29" s="112"/>
      <c r="K29" s="112">
        <f>IF(OR(PPT=5,PPT=6),0.1%,IF(OR(PPT=7,PPT=8,PPT=9),0.25%,IF(OR(PPT&gt;=10,PPT=1),0.4%)))</f>
        <v>0.004</v>
      </c>
      <c r="L29" s="112">
        <f t="shared" si="6"/>
        <v>0.005</v>
      </c>
      <c r="M29" s="113">
        <v>0.005</v>
      </c>
      <c r="N29" s="113">
        <v>0.0025</v>
      </c>
      <c r="O29" s="112">
        <f>IF(A29=PT,2%,0)</f>
        <v>0</v>
      </c>
      <c r="P29" s="247">
        <f>IF(OR(PPT=5,PPT=6),0.1%,IF(OR(PPT=7,PPT=8,PPT=9),0.15%,IF(PPT&gt;=10,0.15%)))</f>
        <v>0.0015</v>
      </c>
      <c r="Q29" s="247">
        <f>IF(OR(PPT=5,PPT=6),0.1%,IF(OR(PPT=7,PPT=8,PPT=9),0.2%,IF(PPT&gt;=10,0.2%)))</f>
        <v>0.002</v>
      </c>
      <c r="R29" s="247">
        <f>IF(OR(PPT=5,PPT=6),0.1%,IF(PPT&gt;=7,0.4%))</f>
        <v>0.004</v>
      </c>
      <c r="S29" s="113">
        <v>0.0025</v>
      </c>
      <c r="T29" s="113">
        <v>0.0085</v>
      </c>
      <c r="U29" s="113">
        <v>0.006</v>
      </c>
      <c r="V29" s="112">
        <f>IF(PT=PPT,0.75%,0.5%)</f>
        <v>0.0075</v>
      </c>
      <c r="W29" s="113">
        <v>0.005</v>
      </c>
      <c r="X29" s="112"/>
      <c r="Y29" s="112"/>
      <c r="Z29" s="112"/>
      <c r="AA29" s="112"/>
      <c r="AB29" s="112"/>
      <c r="AC29" s="112"/>
      <c r="AD29" s="171"/>
      <c r="AE29" s="171"/>
      <c r="AF29" s="171"/>
      <c r="AG29" s="171"/>
      <c r="AH29" s="183">
        <v>0.002</v>
      </c>
      <c r="AI29" s="330">
        <v>0.004</v>
      </c>
      <c r="AJ29" s="171"/>
      <c r="AK29" s="171"/>
      <c r="AL29" s="171"/>
      <c r="AM29" s="214">
        <f>IF(AND(PT=A29,Mod_Prem&lt;25000),1%,IF(AND(PT=A29,Mod_Prem&gt;=25000,Mod_Prem&lt;50000),2%,IF(AND(PT=A29,Mod_Prem&gt;=50000,Mod_Prem&lt;100000),2.5%,IF(AND(PT=A29,Mod_Prem&gt;=100000),3%,0%))))</f>
        <v>0</v>
      </c>
      <c r="AN29" s="12"/>
      <c r="AO29" s="214">
        <f>IF(AND(PT=A29,PPT&lt;10),200%,IF(AND(PT=A29,PPT&gt;=10),220%,0%))</f>
        <v>0</v>
      </c>
      <c r="AP29" s="12"/>
      <c r="AQ29" s="12"/>
      <c r="AR29" s="12"/>
      <c r="AS29" s="347">
        <f>IF(AND(Mod_Prem&gt;=1000000,PT=A29),0.5%,0%)</f>
        <v>0</v>
      </c>
      <c r="AT29" s="12"/>
      <c r="AU29" s="12"/>
      <c r="AV29" s="12"/>
      <c r="AW29" s="194"/>
      <c r="AX29" s="12">
        <f>IF(PT=A29,5%,0)</f>
        <v>0</v>
      </c>
      <c r="AY29" s="12"/>
      <c r="AZ29" s="12"/>
      <c r="BA29" s="12"/>
      <c r="BB29" s="12"/>
      <c r="BC29" s="12"/>
      <c r="BD29" s="12"/>
      <c r="BE29" s="12"/>
      <c r="BF29" s="12"/>
      <c r="BG29" s="12"/>
      <c r="BH29" s="12"/>
      <c r="BI29" s="194">
        <f>IF(PT=A29,1.4%,IF(PT&gt;A28,0.7%,0))</f>
        <v>0</v>
      </c>
      <c r="BJ29" s="12">
        <f>IF(A29&lt;PT,0.75%,0)+IF(PT=A29, 1.25%,0)</f>
        <v>0</v>
      </c>
      <c r="BK29" s="12"/>
      <c r="BL29" s="12">
        <f>IF(A29=PT,1.25%,0)</f>
        <v>0</v>
      </c>
    </row>
    <row r="30" ht="13.5" customHeight="1">
      <c r="A30" s="171">
        <v>29.0</v>
      </c>
      <c r="B30" s="113">
        <v>0.001</v>
      </c>
      <c r="C30" s="112"/>
      <c r="D30" s="342">
        <v>0.01</v>
      </c>
      <c r="E30" s="113">
        <v>0.0</v>
      </c>
      <c r="F30" s="342">
        <v>0.0</v>
      </c>
      <c r="G30" s="403">
        <f t="shared" si="2"/>
        <v>0.0088</v>
      </c>
      <c r="H30" s="403">
        <v>0.0068</v>
      </c>
      <c r="I30" s="113">
        <f>IF(AND(PT&lt;=25,PT&gt;=14),I29+0.02%,0)</f>
        <v>0</v>
      </c>
      <c r="J30" s="112"/>
      <c r="K30" s="112">
        <f>IF(OR(PPT=5,PPT=6),0.1%,IF(OR(PPT=7,PPT=8,PPT=9),0.25%,IF(OR(PPT&gt;=10,PPT=1),0.4%)))</f>
        <v>0.004</v>
      </c>
      <c r="L30" s="112">
        <f t="shared" si="6"/>
        <v>0.005</v>
      </c>
      <c r="M30" s="113">
        <v>0.005</v>
      </c>
      <c r="N30" s="113">
        <v>0.0025</v>
      </c>
      <c r="O30" s="112">
        <f>IF(A30=PT,2%,0)</f>
        <v>0</v>
      </c>
      <c r="P30" s="247">
        <f>IF(OR(PPT=5,PPT=6),0.1%,IF(OR(PPT=7,PPT=8,PPT=9),0.15%,IF(PPT&gt;=10,0.15%)))</f>
        <v>0.0015</v>
      </c>
      <c r="Q30" s="247">
        <f>IF(OR(PPT=5,PPT=6),0.1%,IF(OR(PPT=7,PPT=8,PPT=9),0.2%,IF(PPT&gt;=10,0.2%)))</f>
        <v>0.002</v>
      </c>
      <c r="R30" s="247">
        <f>IF(OR(PPT=5,PPT=6),0.1%,IF(PPT&gt;=7,0.4%))</f>
        <v>0.004</v>
      </c>
      <c r="S30" s="113">
        <v>0.0025</v>
      </c>
      <c r="T30" s="113">
        <v>0.0085</v>
      </c>
      <c r="U30" s="113">
        <v>0.006</v>
      </c>
      <c r="V30" s="112">
        <f>IF(PT=PPT,0.75%,0.5%)</f>
        <v>0.0075</v>
      </c>
      <c r="W30" s="113">
        <v>0.005</v>
      </c>
      <c r="X30" s="112"/>
      <c r="Y30" s="112"/>
      <c r="Z30" s="112"/>
      <c r="AA30" s="112"/>
      <c r="AB30" s="112"/>
      <c r="AC30" s="112"/>
      <c r="AD30" s="171"/>
      <c r="AE30" s="171"/>
      <c r="AF30" s="171"/>
      <c r="AG30" s="171"/>
      <c r="AH30" s="183">
        <v>0.002</v>
      </c>
      <c r="AI30" s="330">
        <v>0.004</v>
      </c>
      <c r="AJ30" s="171"/>
      <c r="AK30" s="171"/>
      <c r="AL30" s="171"/>
      <c r="AM30" s="214">
        <f>IF(AND(PT=A30,Mod_Prem&lt;25000),1%,IF(AND(PT=A30,Mod_Prem&gt;=25000,Mod_Prem&lt;50000),2%,IF(AND(PT=A30,Mod_Prem&gt;=50000,Mod_Prem&lt;100000),2.5%,IF(AND(PT=A30,Mod_Prem&gt;=100000),3%,0%))))</f>
        <v>0</v>
      </c>
      <c r="AN30" s="12"/>
      <c r="AO30" s="214">
        <f>IF(AND(PT=A30,PPT&lt;10),200%,IF(AND(PT=A30,PPT&gt;=10),220%,0%))</f>
        <v>0</v>
      </c>
      <c r="AP30" s="12"/>
      <c r="AQ30" s="12"/>
      <c r="AR30" s="12"/>
      <c r="AS30" s="347">
        <f>IF(AND(Mod_Prem&gt;=1000000,PT=A30),0.5%,0%)</f>
        <v>0</v>
      </c>
      <c r="AT30" s="12"/>
      <c r="AU30" s="12"/>
      <c r="AV30" s="12"/>
      <c r="AW30" s="194"/>
      <c r="AX30" s="12">
        <f>IF(PT=A30,5%,0)</f>
        <v>0</v>
      </c>
      <c r="AY30" s="12"/>
      <c r="AZ30" s="12"/>
      <c r="BA30" s="12"/>
      <c r="BB30" s="12"/>
      <c r="BC30" s="12"/>
      <c r="BD30" s="12"/>
      <c r="BE30" s="12"/>
      <c r="BF30" s="12"/>
      <c r="BG30" s="12"/>
      <c r="BH30" s="12"/>
      <c r="BI30" s="194">
        <f>IF(PT=A30,1.4%,IF(PT&gt;A29,0.7%,0))</f>
        <v>0</v>
      </c>
      <c r="BJ30" s="12">
        <f>IF(A30&lt;PT,0.75%,0)+IF(PT=A30, 1.25%,0)</f>
        <v>0</v>
      </c>
      <c r="BK30" s="12"/>
      <c r="BL30" s="12">
        <f>IF(A30=PT,1.25%,0)</f>
        <v>0</v>
      </c>
    </row>
    <row r="31" ht="13.5" customHeight="1">
      <c r="A31" s="171">
        <v>30.0</v>
      </c>
      <c r="B31" s="113">
        <v>0.001</v>
      </c>
      <c r="C31" s="112"/>
      <c r="D31" s="112">
        <v>0.0</v>
      </c>
      <c r="E31" s="113">
        <v>0.0</v>
      </c>
      <c r="F31" s="342">
        <v>0.0</v>
      </c>
      <c r="G31" s="403">
        <f t="shared" si="2"/>
        <v>0.009</v>
      </c>
      <c r="H31" s="113">
        <v>0.007</v>
      </c>
      <c r="I31" s="113">
        <f>IF(AND(PT&lt;=25,PT&gt;=14),I30+0.02%,0)</f>
        <v>0</v>
      </c>
      <c r="J31" s="112"/>
      <c r="K31" s="112">
        <f>IF(OR(PPT=5,PPT=6),0.1%,IF(OR(PPT=7,PPT=8,PPT=9),0.25%,IF(OR(PPT&gt;=10,PPT=1),0.4%)))</f>
        <v>0.004</v>
      </c>
      <c r="L31" s="112">
        <f>3.75%</f>
        <v>0.0375</v>
      </c>
      <c r="M31" s="113">
        <v>0.005</v>
      </c>
      <c r="N31" s="113">
        <v>0.0225</v>
      </c>
      <c r="O31" s="112">
        <f>IF(A31=PT,2%,0)</f>
        <v>0</v>
      </c>
      <c r="P31" s="247">
        <f>IF(OR(PPT=5,PPT=6),0.1%,IF(OR(PPT=7,PPT=8,PPT=9),0.15%,IF(PPT&gt;=10,0.15%)))</f>
        <v>0.0015</v>
      </c>
      <c r="Q31" s="247">
        <f>IF(OR(PPT=5,PPT=6),0.1%,IF(OR(PPT=7,PPT=8,PPT=9),0.2%,IF(PPT&gt;=10,0.2%)))</f>
        <v>0.002</v>
      </c>
      <c r="R31" s="247">
        <f>IF(OR(PPT=5,PPT=6),0.1%,IF(PPT&gt;=7,0.4%))</f>
        <v>0.004</v>
      </c>
      <c r="S31" s="113">
        <v>0.0025</v>
      </c>
      <c r="T31" s="113">
        <v>0.0085</v>
      </c>
      <c r="U31" s="113">
        <v>0.006</v>
      </c>
      <c r="V31" s="112">
        <f>IF(PT=PPT,0.75%,0.5%)</f>
        <v>0.0075</v>
      </c>
      <c r="W31" s="113">
        <v>0.005</v>
      </c>
      <c r="X31" s="112">
        <f>IF(AND(Annual_Prem&gt;=50000,Annual_Prem&lt;100000),1.5%,IF(AND(Annual_Prem&gt;=100000,Annual_Prem&lt;500000),2%,IF(Annual_Prem&gt;=500000,2.5%,0)))</f>
        <v>0.02</v>
      </c>
      <c r="Y31" s="342">
        <v>0.02</v>
      </c>
      <c r="Z31" s="113">
        <v>0.025</v>
      </c>
      <c r="AA31" s="113">
        <v>0.01</v>
      </c>
      <c r="AB31" s="113">
        <v>0.015</v>
      </c>
      <c r="AC31" s="113">
        <v>0.05</v>
      </c>
      <c r="AD31" s="171"/>
      <c r="AE31" s="171"/>
      <c r="AF31" s="171"/>
      <c r="AG31" s="113">
        <v>0.0025</v>
      </c>
      <c r="AH31" s="183">
        <v>0.002</v>
      </c>
      <c r="AI31" s="330">
        <v>0.014</v>
      </c>
      <c r="AJ31" s="171"/>
      <c r="AK31" s="171"/>
      <c r="AL31" s="171"/>
      <c r="AM31" s="214">
        <f>IF(AND(PT=A31,Mod_Prem&lt;25000),1%,IF(AND(PT=A31,Mod_Prem&gt;=25000,Mod_Prem&lt;50000),2%,IF(AND(PT=A31,Mod_Prem&gt;=50000,Mod_Prem&lt;100000),2.5%,IF(AND(PT=A31,Mod_Prem&gt;=100000),3%,0%))))</f>
        <v>0</v>
      </c>
      <c r="AN31" s="12"/>
      <c r="AO31" s="214">
        <f>IF(AND(PT=A31,PPT&lt;10),200%,IF(AND(PT=A31,PPT&gt;=10),220%,0%))</f>
        <v>0</v>
      </c>
      <c r="AP31" s="12"/>
      <c r="AQ31" s="12"/>
      <c r="AR31" s="12"/>
      <c r="AS31" s="347">
        <f>IF(AND(Mod_Prem&gt;=1000000,PT=A31),0.5%,0%)</f>
        <v>0</v>
      </c>
      <c r="AT31" s="12"/>
      <c r="AU31" s="194">
        <v>0.025</v>
      </c>
      <c r="AV31" s="121">
        <f>IF(PT=31,2%,0)</f>
        <v>0</v>
      </c>
      <c r="AW31" s="194">
        <f>IF(PT&gt;=A31,0.1%,0)</f>
        <v>0</v>
      </c>
      <c r="AX31" s="12">
        <f>IF(PT=A31,5%,0)</f>
        <v>0</v>
      </c>
      <c r="AY31" s="12"/>
      <c r="AZ31" s="12"/>
      <c r="BA31" s="194">
        <f>IF(PT&gt;=A31,2.5%,0)</f>
        <v>0</v>
      </c>
      <c r="BB31" s="12"/>
      <c r="BC31" s="12"/>
      <c r="BD31" s="12"/>
      <c r="BE31" s="121">
        <f>IF(PT&gt;=A31,3%,0)</f>
        <v>0</v>
      </c>
      <c r="BF31" s="194">
        <f>IF(PT&gt;=$A31,3.5%,0)</f>
        <v>0</v>
      </c>
      <c r="BG31" s="194">
        <f>IF(PT&gt;=$A31,3%,0)</f>
        <v>0</v>
      </c>
      <c r="BH31" s="194">
        <f>IF(PT&gt;=$A31, 1.5%,0)</f>
        <v>0</v>
      </c>
      <c r="BI31" s="194">
        <f>IF(PT=A31,1.4%,IF(PT&gt;A30,0.7%,0))</f>
        <v>0</v>
      </c>
      <c r="BJ31" s="12">
        <f>IF(A31&lt;PT,0.75%,0)+IF(PT=A31, 1.25%,0)</f>
        <v>0</v>
      </c>
      <c r="BK31" s="12"/>
      <c r="BL31" s="12">
        <f>IF(A31=PT,1.25%,0)</f>
        <v>0</v>
      </c>
    </row>
    <row r="32" ht="13.5" customHeight="1">
      <c r="A32" s="12"/>
      <c r="B32" s="12"/>
      <c r="C32" s="12"/>
      <c r="D32" s="12"/>
      <c r="E32" s="194"/>
      <c r="F32" s="12"/>
      <c r="G32" s="194"/>
      <c r="H32" s="194"/>
      <c r="I32" s="194"/>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94"/>
      <c r="AX32" s="194"/>
      <c r="AY32" s="12"/>
      <c r="AZ32" s="12"/>
      <c r="BA32" s="12"/>
      <c r="BB32" s="12"/>
      <c r="BC32" s="12"/>
      <c r="BD32" s="12"/>
      <c r="BE32" s="12"/>
      <c r="BF32" s="12"/>
      <c r="BG32" s="12"/>
      <c r="BH32" s="12"/>
      <c r="BI32" s="12"/>
      <c r="BJ32" s="12"/>
      <c r="BK32" s="12"/>
      <c r="BL32" s="12"/>
    </row>
    <row r="33" ht="13.5" customHeight="1">
      <c r="A33" s="12"/>
      <c r="B33" s="12"/>
      <c r="C33" s="12"/>
      <c r="D33" s="12"/>
      <c r="E33" s="194"/>
      <c r="F33" s="12"/>
      <c r="G33" s="194"/>
      <c r="H33" s="194"/>
      <c r="I33" s="194"/>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row>
    <row r="34" ht="13.5" customHeight="1">
      <c r="A34" s="12"/>
      <c r="B34" s="12"/>
      <c r="C34" s="12"/>
      <c r="D34" s="12"/>
      <c r="E34" s="194"/>
      <c r="F34" s="12"/>
      <c r="G34" s="194"/>
      <c r="H34" s="194"/>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row>
    <row r="35" ht="13.5" customHeight="1">
      <c r="A35" s="12"/>
      <c r="B35" s="12"/>
      <c r="C35" s="12"/>
      <c r="D35" s="12"/>
      <c r="E35" s="194"/>
      <c r="F35" s="12"/>
      <c r="G35" s="194"/>
      <c r="H35" s="194"/>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row>
    <row r="36" ht="13.5" customHeight="1">
      <c r="A36" s="12"/>
      <c r="B36" s="12"/>
      <c r="C36" s="12"/>
      <c r="D36" s="12"/>
      <c r="E36" s="194"/>
      <c r="F36" s="12"/>
      <c r="G36" s="194"/>
      <c r="H36" s="194"/>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row>
    <row r="37" ht="13.5" customHeight="1">
      <c r="A37" s="12"/>
      <c r="B37" s="12"/>
      <c r="C37" s="12"/>
      <c r="D37" s="12"/>
      <c r="E37" s="194"/>
      <c r="F37" s="12"/>
      <c r="G37" s="194"/>
      <c r="H37" s="194"/>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row>
    <row r="38" ht="13.5" customHeight="1">
      <c r="A38" s="12"/>
      <c r="B38" s="12"/>
      <c r="C38" s="12"/>
      <c r="D38" s="12"/>
      <c r="E38" s="194"/>
      <c r="F38" s="12"/>
      <c r="G38" s="194"/>
      <c r="H38" s="194"/>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row>
    <row r="39" ht="13.5" customHeight="1">
      <c r="A39" s="12"/>
      <c r="B39" s="12"/>
      <c r="C39" s="12"/>
      <c r="D39" s="12"/>
      <c r="E39" s="194"/>
      <c r="F39" s="12"/>
      <c r="G39" s="194"/>
      <c r="H39" s="194"/>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row>
    <row r="40" ht="13.5" customHeight="1">
      <c r="A40" s="12"/>
      <c r="B40" s="12"/>
      <c r="C40" s="12"/>
      <c r="D40" s="12"/>
      <c r="E40" s="194"/>
      <c r="F40" s="12"/>
      <c r="G40" s="194"/>
      <c r="H40" s="194"/>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row>
    <row r="41" ht="13.5" customHeight="1">
      <c r="A41" s="12"/>
      <c r="B41" s="12"/>
      <c r="C41" s="12"/>
      <c r="D41" s="12"/>
      <c r="E41" s="194"/>
      <c r="F41" s="12"/>
      <c r="G41" s="194"/>
      <c r="H41" s="194"/>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row>
    <row r="42" ht="13.5" customHeight="1">
      <c r="A42" s="12"/>
      <c r="B42" s="12"/>
      <c r="C42" s="12"/>
      <c r="D42" s="12"/>
      <c r="E42" s="194"/>
      <c r="F42" s="12"/>
      <c r="G42" s="194"/>
      <c r="H42" s="194"/>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row>
    <row r="43" ht="13.5" customHeight="1">
      <c r="A43" s="12"/>
      <c r="B43" s="12"/>
      <c r="C43" s="12"/>
      <c r="D43" s="12"/>
      <c r="E43" s="194"/>
      <c r="F43" s="12"/>
      <c r="G43" s="194"/>
      <c r="H43" s="194"/>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row>
    <row r="44" ht="13.5" customHeight="1">
      <c r="A44" s="12"/>
      <c r="B44" s="12"/>
      <c r="C44" s="12"/>
      <c r="D44" s="12"/>
      <c r="E44" s="194"/>
      <c r="F44" s="12"/>
      <c r="G44" s="194"/>
      <c r="H44" s="194"/>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row>
    <row r="45" ht="13.5" customHeight="1">
      <c r="A45" s="12"/>
      <c r="B45" s="12"/>
      <c r="C45" s="12"/>
      <c r="D45" s="12"/>
      <c r="E45" s="194"/>
      <c r="F45" s="12"/>
      <c r="G45" s="194"/>
      <c r="H45" s="194"/>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row>
    <row r="46" ht="13.5" customHeight="1">
      <c r="A46" s="12"/>
      <c r="B46" s="12"/>
      <c r="C46" s="12"/>
      <c r="D46" s="12"/>
      <c r="E46" s="194"/>
      <c r="F46" s="12"/>
      <c r="G46" s="194"/>
      <c r="H46" s="194"/>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row>
    <row r="47" ht="13.5" customHeight="1">
      <c r="A47" s="12"/>
      <c r="B47" s="12"/>
      <c r="C47" s="12"/>
      <c r="D47" s="12"/>
      <c r="E47" s="194"/>
      <c r="F47" s="12"/>
      <c r="G47" s="194"/>
      <c r="H47" s="194"/>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row>
    <row r="48" ht="13.5" customHeight="1">
      <c r="A48" s="12"/>
      <c r="B48" s="12"/>
      <c r="C48" s="12"/>
      <c r="D48" s="12"/>
      <c r="E48" s="194"/>
      <c r="F48" s="12"/>
      <c r="G48" s="194"/>
      <c r="H48" s="194"/>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row>
    <row r="49" ht="13.5" customHeight="1">
      <c r="A49" s="12"/>
      <c r="B49" s="12"/>
      <c r="C49" s="12"/>
      <c r="D49" s="12"/>
      <c r="E49" s="194"/>
      <c r="F49" s="12"/>
      <c r="G49" s="194"/>
      <c r="H49" s="194"/>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row>
    <row r="50" ht="13.5" customHeight="1">
      <c r="A50" s="12"/>
      <c r="B50" s="12"/>
      <c r="C50" s="12"/>
      <c r="D50" s="12"/>
      <c r="E50" s="194"/>
      <c r="F50" s="12"/>
      <c r="G50" s="194"/>
      <c r="H50" s="194"/>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row>
    <row r="51" ht="13.5" customHeight="1">
      <c r="A51" s="12"/>
      <c r="B51" s="12"/>
      <c r="C51" s="12"/>
      <c r="D51" s="12"/>
      <c r="E51" s="194"/>
      <c r="F51" s="12"/>
      <c r="G51" s="194"/>
      <c r="H51" s="194"/>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row>
    <row r="52" ht="13.5" customHeight="1">
      <c r="A52" s="12"/>
      <c r="B52" s="12"/>
      <c r="C52" s="12"/>
      <c r="D52" s="12"/>
      <c r="E52" s="194"/>
      <c r="F52" s="12"/>
      <c r="G52" s="194"/>
      <c r="H52" s="194"/>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row>
    <row r="53" ht="13.5" customHeight="1">
      <c r="A53" s="12"/>
      <c r="B53" s="12"/>
      <c r="C53" s="12"/>
      <c r="D53" s="12"/>
      <c r="E53" s="194"/>
      <c r="F53" s="12"/>
      <c r="G53" s="194"/>
      <c r="H53" s="194"/>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row>
    <row r="54" ht="13.5" customHeight="1">
      <c r="A54" s="12"/>
      <c r="B54" s="12"/>
      <c r="C54" s="12"/>
      <c r="D54" s="12"/>
      <c r="E54" s="194"/>
      <c r="F54" s="12"/>
      <c r="G54" s="194"/>
      <c r="H54" s="194"/>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row>
    <row r="55" ht="13.5" customHeight="1">
      <c r="A55" s="12"/>
      <c r="B55" s="12"/>
      <c r="C55" s="12"/>
      <c r="D55" s="12"/>
      <c r="E55" s="194"/>
      <c r="F55" s="12"/>
      <c r="G55" s="194"/>
      <c r="H55" s="194"/>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row>
    <row r="56" ht="13.5" customHeight="1">
      <c r="A56" s="12"/>
      <c r="B56" s="12"/>
      <c r="C56" s="12"/>
      <c r="D56" s="12"/>
      <c r="E56" s="194"/>
      <c r="F56" s="12"/>
      <c r="G56" s="194"/>
      <c r="H56" s="194"/>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row>
    <row r="57" ht="13.5" customHeight="1">
      <c r="A57" s="12"/>
      <c r="B57" s="12"/>
      <c r="C57" s="12"/>
      <c r="D57" s="12"/>
      <c r="E57" s="194"/>
      <c r="F57" s="12"/>
      <c r="G57" s="194"/>
      <c r="H57" s="194"/>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row>
    <row r="58" ht="13.5" customHeight="1">
      <c r="A58" s="12"/>
      <c r="B58" s="12"/>
      <c r="C58" s="12"/>
      <c r="D58" s="12"/>
      <c r="E58" s="194"/>
      <c r="F58" s="12"/>
      <c r="G58" s="194"/>
      <c r="H58" s="194"/>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row>
    <row r="59" ht="13.5" customHeight="1">
      <c r="A59" s="12"/>
      <c r="B59" s="12"/>
      <c r="C59" s="12"/>
      <c r="D59" s="12"/>
      <c r="E59" s="194"/>
      <c r="F59" s="12"/>
      <c r="G59" s="194"/>
      <c r="H59" s="194"/>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row>
    <row r="60" ht="13.5" customHeight="1">
      <c r="A60" s="12"/>
      <c r="B60" s="12"/>
      <c r="C60" s="12"/>
      <c r="D60" s="12"/>
      <c r="E60" s="194"/>
      <c r="F60" s="12"/>
      <c r="G60" s="194"/>
      <c r="H60" s="194"/>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row>
    <row r="61" ht="13.5" customHeight="1">
      <c r="A61" s="12"/>
      <c r="B61" s="12"/>
      <c r="C61" s="12"/>
      <c r="D61" s="12"/>
      <c r="E61" s="194"/>
      <c r="F61" s="12"/>
      <c r="G61" s="194"/>
      <c r="H61" s="194"/>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row>
    <row r="62" ht="13.5" customHeight="1">
      <c r="A62" s="12"/>
      <c r="B62" s="12"/>
      <c r="C62" s="12"/>
      <c r="D62" s="12"/>
      <c r="E62" s="194"/>
      <c r="F62" s="12"/>
      <c r="G62" s="194"/>
      <c r="H62" s="194"/>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row>
    <row r="63" ht="13.5" customHeight="1">
      <c r="A63" s="12"/>
      <c r="B63" s="12"/>
      <c r="C63" s="12"/>
      <c r="D63" s="12"/>
      <c r="E63" s="194"/>
      <c r="F63" s="12"/>
      <c r="G63" s="194"/>
      <c r="H63" s="194"/>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row>
    <row r="64" ht="13.5" customHeight="1">
      <c r="A64" s="12"/>
      <c r="B64" s="12"/>
      <c r="C64" s="12"/>
      <c r="D64" s="12"/>
      <c r="E64" s="194"/>
      <c r="F64" s="12"/>
      <c r="G64" s="194"/>
      <c r="H64" s="194"/>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row>
    <row r="65" ht="13.5" customHeight="1">
      <c r="A65" s="12"/>
      <c r="B65" s="12"/>
      <c r="C65" s="12"/>
      <c r="D65" s="12"/>
      <c r="E65" s="194"/>
      <c r="F65" s="12"/>
      <c r="G65" s="194"/>
      <c r="H65" s="194"/>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row>
    <row r="66" ht="13.5" customHeight="1">
      <c r="A66" s="12"/>
      <c r="B66" s="12"/>
      <c r="C66" s="12"/>
      <c r="D66" s="12"/>
      <c r="E66" s="194"/>
      <c r="F66" s="12"/>
      <c r="G66" s="194"/>
      <c r="H66" s="194"/>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row>
    <row r="67" ht="13.5" customHeight="1">
      <c r="A67" s="12"/>
      <c r="B67" s="12"/>
      <c r="C67" s="12"/>
      <c r="D67" s="12"/>
      <c r="E67" s="194"/>
      <c r="F67" s="12"/>
      <c r="G67" s="194"/>
      <c r="H67" s="194"/>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row>
    <row r="68" ht="13.5" customHeight="1">
      <c r="A68" s="12"/>
      <c r="B68" s="12"/>
      <c r="C68" s="12"/>
      <c r="D68" s="12"/>
      <c r="E68" s="194"/>
      <c r="F68" s="12"/>
      <c r="G68" s="194"/>
      <c r="H68" s="194"/>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row>
    <row r="69" ht="13.5" customHeight="1">
      <c r="A69" s="12"/>
      <c r="B69" s="12"/>
      <c r="C69" s="12"/>
      <c r="D69" s="12"/>
      <c r="E69" s="194"/>
      <c r="F69" s="12"/>
      <c r="G69" s="194"/>
      <c r="H69" s="194"/>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row>
    <row r="70" ht="13.5" customHeight="1">
      <c r="A70" s="12"/>
      <c r="B70" s="12"/>
      <c r="C70" s="12"/>
      <c r="D70" s="12"/>
      <c r="E70" s="194"/>
      <c r="F70" s="12"/>
      <c r="G70" s="194"/>
      <c r="H70" s="194"/>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row>
    <row r="71" ht="13.5" customHeight="1">
      <c r="A71" s="12"/>
      <c r="B71" s="12"/>
      <c r="C71" s="12"/>
      <c r="D71" s="12"/>
      <c r="E71" s="194"/>
      <c r="F71" s="12"/>
      <c r="G71" s="194"/>
      <c r="H71" s="194"/>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row>
    <row r="72" ht="13.5" customHeight="1">
      <c r="A72" s="12"/>
      <c r="B72" s="12"/>
      <c r="C72" s="12"/>
      <c r="D72" s="12"/>
      <c r="E72" s="194"/>
      <c r="F72" s="12"/>
      <c r="G72" s="194"/>
      <c r="H72" s="194"/>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row>
    <row r="73" ht="13.5" customHeight="1">
      <c r="A73" s="12"/>
      <c r="B73" s="12"/>
      <c r="C73" s="12"/>
      <c r="D73" s="12"/>
      <c r="E73" s="194"/>
      <c r="F73" s="12"/>
      <c r="G73" s="194"/>
      <c r="H73" s="194"/>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row>
    <row r="74" ht="13.5" customHeight="1">
      <c r="A74" s="12"/>
      <c r="B74" s="12"/>
      <c r="C74" s="12"/>
      <c r="D74" s="12"/>
      <c r="E74" s="194"/>
      <c r="F74" s="12"/>
      <c r="G74" s="194"/>
      <c r="H74" s="194"/>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row>
    <row r="75" ht="13.5" customHeight="1">
      <c r="A75" s="12"/>
      <c r="B75" s="12"/>
      <c r="C75" s="12"/>
      <c r="D75" s="12"/>
      <c r="E75" s="194"/>
      <c r="F75" s="12"/>
      <c r="G75" s="194"/>
      <c r="H75" s="194"/>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row>
    <row r="76" ht="13.5" customHeight="1">
      <c r="A76" s="12"/>
      <c r="B76" s="12"/>
      <c r="C76" s="12"/>
      <c r="D76" s="12"/>
      <c r="E76" s="194"/>
      <c r="F76" s="12"/>
      <c r="G76" s="194"/>
      <c r="H76" s="194"/>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row>
    <row r="77" ht="13.5" customHeight="1">
      <c r="A77" s="12"/>
      <c r="B77" s="12"/>
      <c r="C77" s="12"/>
      <c r="D77" s="12"/>
      <c r="E77" s="194"/>
      <c r="F77" s="12"/>
      <c r="G77" s="194"/>
      <c r="H77" s="194"/>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row>
    <row r="78" ht="13.5" customHeight="1">
      <c r="A78" s="12"/>
      <c r="B78" s="12"/>
      <c r="C78" s="12"/>
      <c r="D78" s="12"/>
      <c r="E78" s="194"/>
      <c r="F78" s="12"/>
      <c r="G78" s="194"/>
      <c r="H78" s="194"/>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row>
    <row r="79" ht="13.5" customHeight="1">
      <c r="A79" s="12"/>
      <c r="B79" s="12"/>
      <c r="C79" s="12"/>
      <c r="D79" s="12"/>
      <c r="E79" s="194"/>
      <c r="F79" s="12"/>
      <c r="G79" s="194"/>
      <c r="H79" s="194"/>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row>
    <row r="80" ht="13.5" customHeight="1">
      <c r="A80" s="12"/>
      <c r="B80" s="12"/>
      <c r="C80" s="12"/>
      <c r="D80" s="12"/>
      <c r="E80" s="194"/>
      <c r="F80" s="12"/>
      <c r="G80" s="194"/>
      <c r="H80" s="194"/>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row>
    <row r="81" ht="13.5" customHeight="1">
      <c r="A81" s="12"/>
      <c r="B81" s="12"/>
      <c r="C81" s="12"/>
      <c r="D81" s="12"/>
      <c r="E81" s="194"/>
      <c r="F81" s="12"/>
      <c r="G81" s="194"/>
      <c r="H81" s="194"/>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row>
    <row r="82" ht="13.5" customHeight="1">
      <c r="A82" s="12"/>
      <c r="B82" s="12"/>
      <c r="C82" s="12"/>
      <c r="D82" s="12"/>
      <c r="E82" s="194"/>
      <c r="F82" s="12"/>
      <c r="G82" s="194"/>
      <c r="H82" s="194"/>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row>
    <row r="83" ht="13.5" customHeight="1">
      <c r="A83" s="12"/>
      <c r="B83" s="12"/>
      <c r="C83" s="12"/>
      <c r="D83" s="12"/>
      <c r="E83" s="194"/>
      <c r="F83" s="12"/>
      <c r="G83" s="194"/>
      <c r="H83" s="194"/>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row>
    <row r="84" ht="13.5" customHeight="1">
      <c r="A84" s="12"/>
      <c r="B84" s="12"/>
      <c r="C84" s="12"/>
      <c r="D84" s="12"/>
      <c r="E84" s="194"/>
      <c r="F84" s="12"/>
      <c r="G84" s="194"/>
      <c r="H84" s="194"/>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row>
    <row r="85" ht="13.5" customHeight="1">
      <c r="A85" s="12"/>
      <c r="B85" s="12"/>
      <c r="C85" s="12"/>
      <c r="D85" s="12"/>
      <c r="E85" s="194"/>
      <c r="F85" s="12"/>
      <c r="G85" s="194"/>
      <c r="H85" s="194"/>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row>
    <row r="86" ht="13.5" customHeight="1">
      <c r="A86" s="12"/>
      <c r="B86" s="12"/>
      <c r="C86" s="12"/>
      <c r="D86" s="12"/>
      <c r="E86" s="194"/>
      <c r="F86" s="12"/>
      <c r="G86" s="194"/>
      <c r="H86" s="194"/>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row>
    <row r="87" ht="13.5" customHeight="1">
      <c r="A87" s="12"/>
      <c r="B87" s="12"/>
      <c r="C87" s="12"/>
      <c r="D87" s="12"/>
      <c r="E87" s="194"/>
      <c r="F87" s="12"/>
      <c r="G87" s="194"/>
      <c r="H87" s="194"/>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row>
    <row r="88" ht="13.5" customHeight="1">
      <c r="A88" s="12"/>
      <c r="B88" s="12"/>
      <c r="C88" s="12"/>
      <c r="D88" s="12"/>
      <c r="E88" s="194"/>
      <c r="F88" s="12"/>
      <c r="G88" s="194"/>
      <c r="H88" s="194"/>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row>
    <row r="89" ht="13.5" customHeight="1">
      <c r="A89" s="12"/>
      <c r="B89" s="12"/>
      <c r="C89" s="12"/>
      <c r="D89" s="12"/>
      <c r="E89" s="194"/>
      <c r="F89" s="12"/>
      <c r="G89" s="194"/>
      <c r="H89" s="194"/>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row>
    <row r="90" ht="13.5" customHeight="1">
      <c r="A90" s="12"/>
      <c r="B90" s="12"/>
      <c r="C90" s="12"/>
      <c r="D90" s="12"/>
      <c r="E90" s="194"/>
      <c r="F90" s="12"/>
      <c r="G90" s="194"/>
      <c r="H90" s="194"/>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row>
    <row r="91" ht="13.5" customHeight="1">
      <c r="A91" s="12"/>
      <c r="B91" s="12"/>
      <c r="C91" s="12"/>
      <c r="D91" s="12"/>
      <c r="E91" s="194"/>
      <c r="F91" s="12"/>
      <c r="G91" s="194"/>
      <c r="H91" s="194"/>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row>
    <row r="92" ht="13.5" customHeight="1">
      <c r="A92" s="12"/>
      <c r="B92" s="12"/>
      <c r="C92" s="12"/>
      <c r="D92" s="12"/>
      <c r="E92" s="194"/>
      <c r="F92" s="12"/>
      <c r="G92" s="194"/>
      <c r="H92" s="194"/>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row>
    <row r="93" ht="13.5" customHeight="1">
      <c r="A93" s="12"/>
      <c r="B93" s="12"/>
      <c r="C93" s="12"/>
      <c r="D93" s="12"/>
      <c r="E93" s="194"/>
      <c r="F93" s="12"/>
      <c r="G93" s="194"/>
      <c r="H93" s="194"/>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row>
    <row r="94" ht="13.5" customHeight="1">
      <c r="A94" s="12"/>
      <c r="B94" s="12"/>
      <c r="C94" s="12"/>
      <c r="D94" s="12"/>
      <c r="E94" s="194"/>
      <c r="F94" s="12"/>
      <c r="G94" s="194"/>
      <c r="H94" s="194"/>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row>
    <row r="95" ht="13.5" customHeight="1">
      <c r="A95" s="12"/>
      <c r="B95" s="12"/>
      <c r="C95" s="12"/>
      <c r="D95" s="12"/>
      <c r="E95" s="194"/>
      <c r="F95" s="12"/>
      <c r="G95" s="194"/>
      <c r="H95" s="194"/>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row>
    <row r="96" ht="13.5" customHeight="1">
      <c r="A96" s="12"/>
      <c r="B96" s="12"/>
      <c r="C96" s="12"/>
      <c r="D96" s="12"/>
      <c r="E96" s="194"/>
      <c r="F96" s="12"/>
      <c r="G96" s="194"/>
      <c r="H96" s="194"/>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row>
    <row r="97" ht="13.5" customHeight="1">
      <c r="A97" s="12"/>
      <c r="B97" s="12"/>
      <c r="C97" s="12"/>
      <c r="D97" s="12"/>
      <c r="E97" s="194"/>
      <c r="F97" s="12"/>
      <c r="G97" s="194"/>
      <c r="H97" s="194"/>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row>
    <row r="98" ht="13.5" customHeight="1">
      <c r="A98" s="12"/>
      <c r="B98" s="12"/>
      <c r="C98" s="12"/>
      <c r="D98" s="12"/>
      <c r="E98" s="194"/>
      <c r="F98" s="12"/>
      <c r="G98" s="194"/>
      <c r="H98" s="194"/>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row>
    <row r="99" ht="13.5" customHeight="1">
      <c r="A99" s="12"/>
      <c r="B99" s="12"/>
      <c r="C99" s="12"/>
      <c r="D99" s="12"/>
      <c r="E99" s="194"/>
      <c r="F99" s="12"/>
      <c r="G99" s="194"/>
      <c r="H99" s="194"/>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row>
    <row r="100" ht="13.5" customHeight="1">
      <c r="A100" s="12"/>
      <c r="B100" s="12"/>
      <c r="C100" s="12"/>
      <c r="D100" s="12"/>
      <c r="E100" s="194"/>
      <c r="F100" s="12"/>
      <c r="G100" s="194"/>
      <c r="H100" s="194"/>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row>
    <row r="101" ht="13.5" customHeight="1">
      <c r="A101" s="12"/>
      <c r="B101" s="12"/>
      <c r="C101" s="12"/>
      <c r="D101" s="12"/>
      <c r="E101" s="194"/>
      <c r="F101" s="12"/>
      <c r="G101" s="194"/>
      <c r="H101" s="194"/>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row>
    <row r="102" ht="13.5" customHeight="1">
      <c r="A102" s="12"/>
      <c r="B102" s="12"/>
      <c r="C102" s="12"/>
      <c r="D102" s="12"/>
      <c r="E102" s="194"/>
      <c r="F102" s="12"/>
      <c r="G102" s="194"/>
      <c r="H102" s="194"/>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row>
    <row r="103" ht="13.5" customHeight="1">
      <c r="A103" s="12"/>
      <c r="B103" s="12"/>
      <c r="C103" s="12"/>
      <c r="D103" s="12"/>
      <c r="E103" s="194"/>
      <c r="F103" s="12"/>
      <c r="G103" s="194"/>
      <c r="H103" s="194"/>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row>
    <row r="104" ht="13.5" customHeight="1">
      <c r="A104" s="12"/>
      <c r="B104" s="12"/>
      <c r="C104" s="12"/>
      <c r="D104" s="12"/>
      <c r="E104" s="194"/>
      <c r="F104" s="12"/>
      <c r="G104" s="194"/>
      <c r="H104" s="194"/>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row>
    <row r="105" ht="13.5" customHeight="1">
      <c r="A105" s="12"/>
      <c r="B105" s="12"/>
      <c r="C105" s="12"/>
      <c r="D105" s="12"/>
      <c r="E105" s="194"/>
      <c r="F105" s="12"/>
      <c r="G105" s="194"/>
      <c r="H105" s="194"/>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row>
    <row r="106" ht="13.5" customHeight="1">
      <c r="A106" s="12"/>
      <c r="B106" s="12"/>
      <c r="C106" s="12"/>
      <c r="D106" s="12"/>
      <c r="E106" s="194"/>
      <c r="F106" s="12"/>
      <c r="G106" s="194"/>
      <c r="H106" s="194"/>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row>
    <row r="107" ht="13.5" customHeight="1">
      <c r="A107" s="12"/>
      <c r="B107" s="12"/>
      <c r="C107" s="12"/>
      <c r="D107" s="12"/>
      <c r="E107" s="194"/>
      <c r="F107" s="12"/>
      <c r="G107" s="194"/>
      <c r="H107" s="194"/>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row>
    <row r="108" ht="13.5" customHeight="1">
      <c r="A108" s="12"/>
      <c r="B108" s="12"/>
      <c r="C108" s="12"/>
      <c r="D108" s="12"/>
      <c r="E108" s="194"/>
      <c r="F108" s="12"/>
      <c r="G108" s="194"/>
      <c r="H108" s="194"/>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row>
    <row r="109" ht="13.5" customHeight="1">
      <c r="A109" s="12"/>
      <c r="B109" s="12"/>
      <c r="C109" s="12"/>
      <c r="D109" s="12"/>
      <c r="E109" s="194"/>
      <c r="F109" s="12"/>
      <c r="G109" s="194"/>
      <c r="H109" s="194"/>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row>
    <row r="110" ht="13.5" customHeight="1">
      <c r="A110" s="12"/>
      <c r="B110" s="12"/>
      <c r="C110" s="12"/>
      <c r="D110" s="12"/>
      <c r="E110" s="194"/>
      <c r="F110" s="12"/>
      <c r="G110" s="194"/>
      <c r="H110" s="194"/>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row>
    <row r="111" ht="13.5" customHeight="1">
      <c r="A111" s="12"/>
      <c r="B111" s="12"/>
      <c r="C111" s="12"/>
      <c r="D111" s="12"/>
      <c r="E111" s="194"/>
      <c r="F111" s="12"/>
      <c r="G111" s="194"/>
      <c r="H111" s="194"/>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row>
    <row r="112" ht="13.5" customHeight="1">
      <c r="A112" s="12"/>
      <c r="B112" s="12"/>
      <c r="C112" s="12"/>
      <c r="D112" s="12"/>
      <c r="E112" s="194"/>
      <c r="F112" s="12"/>
      <c r="G112" s="194"/>
      <c r="H112" s="194"/>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row>
    <row r="113" ht="13.5" customHeight="1">
      <c r="A113" s="12"/>
      <c r="B113" s="12"/>
      <c r="C113" s="12"/>
      <c r="D113" s="12"/>
      <c r="E113" s="194"/>
      <c r="F113" s="12"/>
      <c r="G113" s="194"/>
      <c r="H113" s="194"/>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row>
    <row r="114" ht="13.5" customHeight="1">
      <c r="A114" s="12"/>
      <c r="B114" s="12"/>
      <c r="C114" s="12"/>
      <c r="D114" s="12"/>
      <c r="E114" s="194"/>
      <c r="F114" s="12"/>
      <c r="G114" s="194"/>
      <c r="H114" s="194"/>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row>
    <row r="115" ht="13.5" customHeight="1">
      <c r="A115" s="12"/>
      <c r="B115" s="12"/>
      <c r="C115" s="12"/>
      <c r="D115" s="12"/>
      <c r="E115" s="194"/>
      <c r="F115" s="12"/>
      <c r="G115" s="194"/>
      <c r="H115" s="194"/>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row>
    <row r="116" ht="13.5" customHeight="1">
      <c r="A116" s="12"/>
      <c r="B116" s="12"/>
      <c r="C116" s="12"/>
      <c r="D116" s="12"/>
      <c r="E116" s="194"/>
      <c r="F116" s="12"/>
      <c r="G116" s="194"/>
      <c r="H116" s="194"/>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row>
    <row r="117" ht="13.5" customHeight="1">
      <c r="A117" s="12"/>
      <c r="B117" s="12"/>
      <c r="C117" s="12"/>
      <c r="D117" s="12"/>
      <c r="E117" s="194"/>
      <c r="F117" s="12"/>
      <c r="G117" s="194"/>
      <c r="H117" s="194"/>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row>
    <row r="118" ht="13.5" customHeight="1">
      <c r="A118" s="12"/>
      <c r="B118" s="12"/>
      <c r="C118" s="12"/>
      <c r="D118" s="12"/>
      <c r="E118" s="194"/>
      <c r="F118" s="12"/>
      <c r="G118" s="194"/>
      <c r="H118" s="194"/>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row>
    <row r="119" ht="13.5" customHeight="1">
      <c r="A119" s="12"/>
      <c r="B119" s="12"/>
      <c r="C119" s="12"/>
      <c r="D119" s="12"/>
      <c r="E119" s="194"/>
      <c r="F119" s="12"/>
      <c r="G119" s="194"/>
      <c r="H119" s="194"/>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row>
    <row r="120" ht="13.5" customHeight="1">
      <c r="A120" s="12"/>
      <c r="B120" s="12"/>
      <c r="C120" s="12"/>
      <c r="D120" s="12"/>
      <c r="E120" s="194"/>
      <c r="F120" s="12"/>
      <c r="G120" s="194"/>
      <c r="H120" s="194"/>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row>
    <row r="121" ht="13.5" customHeight="1">
      <c r="A121" s="12"/>
      <c r="B121" s="12"/>
      <c r="C121" s="12"/>
      <c r="D121" s="12"/>
      <c r="E121" s="194"/>
      <c r="F121" s="12"/>
      <c r="G121" s="194"/>
      <c r="H121" s="194"/>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row>
    <row r="122" ht="13.5" customHeight="1">
      <c r="A122" s="12"/>
      <c r="B122" s="12"/>
      <c r="C122" s="12"/>
      <c r="D122" s="12"/>
      <c r="E122" s="194"/>
      <c r="F122" s="12"/>
      <c r="G122" s="194"/>
      <c r="H122" s="194"/>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row>
    <row r="123" ht="13.5" customHeight="1">
      <c r="A123" s="12"/>
      <c r="B123" s="12"/>
      <c r="C123" s="12"/>
      <c r="D123" s="12"/>
      <c r="E123" s="194"/>
      <c r="F123" s="12"/>
      <c r="G123" s="194"/>
      <c r="H123" s="194"/>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row>
    <row r="124" ht="13.5" customHeight="1">
      <c r="A124" s="12"/>
      <c r="B124" s="12"/>
      <c r="C124" s="12"/>
      <c r="D124" s="12"/>
      <c r="E124" s="194"/>
      <c r="F124" s="12"/>
      <c r="G124" s="194"/>
      <c r="H124" s="194"/>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row>
    <row r="125" ht="13.5" customHeight="1">
      <c r="A125" s="12"/>
      <c r="B125" s="12"/>
      <c r="C125" s="12"/>
      <c r="D125" s="12"/>
      <c r="E125" s="194"/>
      <c r="F125" s="12"/>
      <c r="G125" s="194"/>
      <c r="H125" s="194"/>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row>
    <row r="126" ht="13.5" customHeight="1">
      <c r="A126" s="12"/>
      <c r="B126" s="12"/>
      <c r="C126" s="12"/>
      <c r="D126" s="12"/>
      <c r="E126" s="194"/>
      <c r="F126" s="12"/>
      <c r="G126" s="194"/>
      <c r="H126" s="194"/>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row>
    <row r="127" ht="13.5" customHeight="1">
      <c r="A127" s="12"/>
      <c r="B127" s="12"/>
      <c r="C127" s="12"/>
      <c r="D127" s="12"/>
      <c r="E127" s="194"/>
      <c r="F127" s="12"/>
      <c r="G127" s="194"/>
      <c r="H127" s="194"/>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row>
    <row r="128" ht="13.5" customHeight="1">
      <c r="A128" s="12"/>
      <c r="B128" s="12"/>
      <c r="C128" s="12"/>
      <c r="D128" s="12"/>
      <c r="E128" s="194"/>
      <c r="F128" s="12"/>
      <c r="G128" s="194"/>
      <c r="H128" s="194"/>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row>
    <row r="129" ht="13.5" customHeight="1">
      <c r="A129" s="12"/>
      <c r="B129" s="12"/>
      <c r="C129" s="12"/>
      <c r="D129" s="12"/>
      <c r="E129" s="194"/>
      <c r="F129" s="12"/>
      <c r="G129" s="194"/>
      <c r="H129" s="194"/>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row>
    <row r="130" ht="13.5" customHeight="1">
      <c r="A130" s="12"/>
      <c r="B130" s="12"/>
      <c r="C130" s="12"/>
      <c r="D130" s="12"/>
      <c r="E130" s="194"/>
      <c r="F130" s="12"/>
      <c r="G130" s="194"/>
      <c r="H130" s="194"/>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row>
    <row r="131" ht="13.5" customHeight="1">
      <c r="A131" s="12"/>
      <c r="B131" s="12"/>
      <c r="C131" s="12"/>
      <c r="D131" s="12"/>
      <c r="E131" s="194"/>
      <c r="F131" s="12"/>
      <c r="G131" s="194"/>
      <c r="H131" s="194"/>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row>
    <row r="132" ht="13.5" customHeight="1">
      <c r="A132" s="12"/>
      <c r="B132" s="12"/>
      <c r="C132" s="12"/>
      <c r="D132" s="12"/>
      <c r="E132" s="194"/>
      <c r="F132" s="12"/>
      <c r="G132" s="194"/>
      <c r="H132" s="194"/>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row>
    <row r="133" ht="13.5" customHeight="1">
      <c r="A133" s="12"/>
      <c r="B133" s="12"/>
      <c r="C133" s="12"/>
      <c r="D133" s="12"/>
      <c r="E133" s="194"/>
      <c r="F133" s="12"/>
      <c r="G133" s="194"/>
      <c r="H133" s="194"/>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row>
    <row r="134" ht="13.5" customHeight="1">
      <c r="A134" s="12"/>
      <c r="B134" s="12"/>
      <c r="C134" s="12"/>
      <c r="D134" s="12"/>
      <c r="E134" s="194"/>
      <c r="F134" s="12"/>
      <c r="G134" s="194"/>
      <c r="H134" s="194"/>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row>
    <row r="135" ht="13.5" customHeight="1">
      <c r="A135" s="12"/>
      <c r="B135" s="12"/>
      <c r="C135" s="12"/>
      <c r="D135" s="12"/>
      <c r="E135" s="194"/>
      <c r="F135" s="12"/>
      <c r="G135" s="194"/>
      <c r="H135" s="194"/>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row>
    <row r="136" ht="13.5" customHeight="1">
      <c r="A136" s="12"/>
      <c r="B136" s="12"/>
      <c r="C136" s="12"/>
      <c r="D136" s="12"/>
      <c r="E136" s="194"/>
      <c r="F136" s="12"/>
      <c r="G136" s="194"/>
      <c r="H136" s="194"/>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row>
    <row r="137" ht="13.5" customHeight="1">
      <c r="A137" s="12"/>
      <c r="B137" s="12"/>
      <c r="C137" s="12"/>
      <c r="D137" s="12"/>
      <c r="E137" s="194"/>
      <c r="F137" s="12"/>
      <c r="G137" s="194"/>
      <c r="H137" s="194"/>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row>
    <row r="138" ht="13.5" customHeight="1">
      <c r="A138" s="12"/>
      <c r="B138" s="12"/>
      <c r="C138" s="12"/>
      <c r="D138" s="12"/>
      <c r="E138" s="194"/>
      <c r="F138" s="12"/>
      <c r="G138" s="194"/>
      <c r="H138" s="194"/>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row>
    <row r="139" ht="13.5" customHeight="1">
      <c r="A139" s="12"/>
      <c r="B139" s="12"/>
      <c r="C139" s="12"/>
      <c r="D139" s="12"/>
      <c r="E139" s="194"/>
      <c r="F139" s="12"/>
      <c r="G139" s="194"/>
      <c r="H139" s="194"/>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row>
    <row r="140" ht="13.5" customHeight="1">
      <c r="A140" s="12"/>
      <c r="B140" s="12"/>
      <c r="C140" s="12"/>
      <c r="D140" s="12"/>
      <c r="E140" s="194"/>
      <c r="F140" s="12"/>
      <c r="G140" s="194"/>
      <c r="H140" s="194"/>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row>
    <row r="141" ht="13.5" customHeight="1">
      <c r="A141" s="12"/>
      <c r="B141" s="12"/>
      <c r="C141" s="12"/>
      <c r="D141" s="12"/>
      <c r="E141" s="194"/>
      <c r="F141" s="12"/>
      <c r="G141" s="194"/>
      <c r="H141" s="194"/>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row>
    <row r="142" ht="13.5" customHeight="1">
      <c r="A142" s="12"/>
      <c r="B142" s="12"/>
      <c r="C142" s="12"/>
      <c r="D142" s="12"/>
      <c r="E142" s="194"/>
      <c r="F142" s="12"/>
      <c r="G142" s="194"/>
      <c r="H142" s="194"/>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row>
    <row r="143" ht="13.5" customHeight="1">
      <c r="A143" s="12"/>
      <c r="B143" s="12"/>
      <c r="C143" s="12"/>
      <c r="D143" s="12"/>
      <c r="E143" s="194"/>
      <c r="F143" s="12"/>
      <c r="G143" s="194"/>
      <c r="H143" s="194"/>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row>
    <row r="144" ht="13.5" customHeight="1">
      <c r="A144" s="12"/>
      <c r="B144" s="12"/>
      <c r="C144" s="12"/>
      <c r="D144" s="12"/>
      <c r="E144" s="194"/>
      <c r="F144" s="12"/>
      <c r="G144" s="194"/>
      <c r="H144" s="194"/>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row>
    <row r="145" ht="13.5" customHeight="1">
      <c r="A145" s="12"/>
      <c r="B145" s="12"/>
      <c r="C145" s="12"/>
      <c r="D145" s="12"/>
      <c r="E145" s="194"/>
      <c r="F145" s="12"/>
      <c r="G145" s="194"/>
      <c r="H145" s="194"/>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row>
    <row r="146" ht="13.5" customHeight="1">
      <c r="A146" s="12"/>
      <c r="B146" s="12"/>
      <c r="C146" s="12"/>
      <c r="D146" s="12"/>
      <c r="E146" s="194"/>
      <c r="F146" s="12"/>
      <c r="G146" s="194"/>
      <c r="H146" s="194"/>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row>
    <row r="147" ht="13.5" customHeight="1">
      <c r="A147" s="12"/>
      <c r="B147" s="12"/>
      <c r="C147" s="12"/>
      <c r="D147" s="12"/>
      <c r="E147" s="194"/>
      <c r="F147" s="12"/>
      <c r="G147" s="194"/>
      <c r="H147" s="194"/>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row>
    <row r="148" ht="13.5" customHeight="1">
      <c r="A148" s="12"/>
      <c r="B148" s="12"/>
      <c r="C148" s="12"/>
      <c r="D148" s="12"/>
      <c r="E148" s="194"/>
      <c r="F148" s="12"/>
      <c r="G148" s="194"/>
      <c r="H148" s="194"/>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row>
    <row r="149" ht="13.5" customHeight="1">
      <c r="A149" s="12"/>
      <c r="B149" s="12"/>
      <c r="C149" s="12"/>
      <c r="D149" s="12"/>
      <c r="E149" s="194"/>
      <c r="F149" s="12"/>
      <c r="G149" s="194"/>
      <c r="H149" s="194"/>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row>
    <row r="150" ht="13.5" customHeight="1">
      <c r="A150" s="12"/>
      <c r="B150" s="12"/>
      <c r="C150" s="12"/>
      <c r="D150" s="12"/>
      <c r="E150" s="194"/>
      <c r="F150" s="12"/>
      <c r="G150" s="194"/>
      <c r="H150" s="194"/>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row>
    <row r="151" ht="13.5" customHeight="1">
      <c r="A151" s="12"/>
      <c r="B151" s="12"/>
      <c r="C151" s="12"/>
      <c r="D151" s="12"/>
      <c r="E151" s="194"/>
      <c r="F151" s="12"/>
      <c r="G151" s="194"/>
      <c r="H151" s="194"/>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row>
    <row r="152" ht="13.5" customHeight="1">
      <c r="A152" s="12"/>
      <c r="B152" s="12"/>
      <c r="C152" s="12"/>
      <c r="D152" s="12"/>
      <c r="E152" s="194"/>
      <c r="F152" s="12"/>
      <c r="G152" s="194"/>
      <c r="H152" s="194"/>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row>
    <row r="153" ht="13.5" customHeight="1">
      <c r="A153" s="12"/>
      <c r="B153" s="12"/>
      <c r="C153" s="12"/>
      <c r="D153" s="12"/>
      <c r="E153" s="194"/>
      <c r="F153" s="12"/>
      <c r="G153" s="194"/>
      <c r="H153" s="194"/>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row>
    <row r="154" ht="13.5" customHeight="1">
      <c r="A154" s="12"/>
      <c r="B154" s="12"/>
      <c r="C154" s="12"/>
      <c r="D154" s="12"/>
      <c r="E154" s="194"/>
      <c r="F154" s="12"/>
      <c r="G154" s="194"/>
      <c r="H154" s="194"/>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row>
    <row r="155" ht="13.5" customHeight="1">
      <c r="A155" s="12"/>
      <c r="B155" s="12"/>
      <c r="C155" s="12"/>
      <c r="D155" s="12"/>
      <c r="E155" s="194"/>
      <c r="F155" s="12"/>
      <c r="G155" s="194"/>
      <c r="H155" s="194"/>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row>
    <row r="156" ht="13.5" customHeight="1">
      <c r="A156" s="12"/>
      <c r="B156" s="12"/>
      <c r="C156" s="12"/>
      <c r="D156" s="12"/>
      <c r="E156" s="194"/>
      <c r="F156" s="12"/>
      <c r="G156" s="194"/>
      <c r="H156" s="194"/>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row>
    <row r="157" ht="13.5" customHeight="1">
      <c r="A157" s="12"/>
      <c r="B157" s="12"/>
      <c r="C157" s="12"/>
      <c r="D157" s="12"/>
      <c r="E157" s="194"/>
      <c r="F157" s="12"/>
      <c r="G157" s="194"/>
      <c r="H157" s="194"/>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row>
    <row r="158" ht="13.5" customHeight="1">
      <c r="A158" s="12"/>
      <c r="B158" s="12"/>
      <c r="C158" s="12"/>
      <c r="D158" s="12"/>
      <c r="E158" s="194"/>
      <c r="F158" s="12"/>
      <c r="G158" s="194"/>
      <c r="H158" s="194"/>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row>
    <row r="159" ht="13.5" customHeight="1">
      <c r="A159" s="12"/>
      <c r="B159" s="12"/>
      <c r="C159" s="12"/>
      <c r="D159" s="12"/>
      <c r="E159" s="194"/>
      <c r="F159" s="12"/>
      <c r="G159" s="194"/>
      <c r="H159" s="194"/>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row>
    <row r="160" ht="13.5" customHeight="1">
      <c r="A160" s="12"/>
      <c r="B160" s="12"/>
      <c r="C160" s="12"/>
      <c r="D160" s="12"/>
      <c r="E160" s="194"/>
      <c r="F160" s="12"/>
      <c r="G160" s="194"/>
      <c r="H160" s="194"/>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row>
    <row r="161" ht="13.5" customHeight="1">
      <c r="A161" s="12"/>
      <c r="B161" s="12"/>
      <c r="C161" s="12"/>
      <c r="D161" s="12"/>
      <c r="E161" s="194"/>
      <c r="F161" s="12"/>
      <c r="G161" s="194"/>
      <c r="H161" s="194"/>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row>
    <row r="162" ht="13.5" customHeight="1">
      <c r="A162" s="12"/>
      <c r="B162" s="12"/>
      <c r="C162" s="12"/>
      <c r="D162" s="12"/>
      <c r="E162" s="194"/>
      <c r="F162" s="12"/>
      <c r="G162" s="194"/>
      <c r="H162" s="194"/>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row>
    <row r="163" ht="13.5" customHeight="1">
      <c r="A163" s="12"/>
      <c r="B163" s="12"/>
      <c r="C163" s="12"/>
      <c r="D163" s="12"/>
      <c r="E163" s="194"/>
      <c r="F163" s="12"/>
      <c r="G163" s="194"/>
      <c r="H163" s="194"/>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row>
    <row r="164" ht="13.5" customHeight="1">
      <c r="A164" s="12"/>
      <c r="B164" s="12"/>
      <c r="C164" s="12"/>
      <c r="D164" s="12"/>
      <c r="E164" s="194"/>
      <c r="F164" s="12"/>
      <c r="G164" s="194"/>
      <c r="H164" s="194"/>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row>
    <row r="165" ht="13.5" customHeight="1">
      <c r="A165" s="12"/>
      <c r="B165" s="12"/>
      <c r="C165" s="12"/>
      <c r="D165" s="12"/>
      <c r="E165" s="194"/>
      <c r="F165" s="12"/>
      <c r="G165" s="194"/>
      <c r="H165" s="194"/>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row>
    <row r="166" ht="13.5" customHeight="1">
      <c r="A166" s="12"/>
      <c r="B166" s="12"/>
      <c r="C166" s="12"/>
      <c r="D166" s="12"/>
      <c r="E166" s="194"/>
      <c r="F166" s="12"/>
      <c r="G166" s="194"/>
      <c r="H166" s="194"/>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row>
    <row r="167" ht="13.5" customHeight="1">
      <c r="A167" s="12"/>
      <c r="B167" s="12"/>
      <c r="C167" s="12"/>
      <c r="D167" s="12"/>
      <c r="E167" s="194"/>
      <c r="F167" s="12"/>
      <c r="G167" s="194"/>
      <c r="H167" s="194"/>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row>
    <row r="168" ht="13.5" customHeight="1">
      <c r="A168" s="12"/>
      <c r="B168" s="12"/>
      <c r="C168" s="12"/>
      <c r="D168" s="12"/>
      <c r="E168" s="194"/>
      <c r="F168" s="12"/>
      <c r="G168" s="194"/>
      <c r="H168" s="194"/>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row>
    <row r="169" ht="13.5" customHeight="1">
      <c r="A169" s="12"/>
      <c r="B169" s="12"/>
      <c r="C169" s="12"/>
      <c r="D169" s="12"/>
      <c r="E169" s="194"/>
      <c r="F169" s="12"/>
      <c r="G169" s="194"/>
      <c r="H169" s="194"/>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row>
    <row r="170" ht="13.5" customHeight="1">
      <c r="A170" s="12"/>
      <c r="B170" s="12"/>
      <c r="C170" s="12"/>
      <c r="D170" s="12"/>
      <c r="E170" s="194"/>
      <c r="F170" s="12"/>
      <c r="G170" s="194"/>
      <c r="H170" s="194"/>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row>
    <row r="171" ht="13.5" customHeight="1">
      <c r="A171" s="12"/>
      <c r="B171" s="12"/>
      <c r="C171" s="12"/>
      <c r="D171" s="12"/>
      <c r="E171" s="194"/>
      <c r="F171" s="12"/>
      <c r="G171" s="194"/>
      <c r="H171" s="194"/>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row>
    <row r="172" ht="13.5" customHeight="1">
      <c r="A172" s="12"/>
      <c r="B172" s="12"/>
      <c r="C172" s="12"/>
      <c r="D172" s="12"/>
      <c r="E172" s="194"/>
      <c r="F172" s="12"/>
      <c r="G172" s="194"/>
      <c r="H172" s="194"/>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row>
    <row r="173" ht="13.5" customHeight="1">
      <c r="A173" s="12"/>
      <c r="B173" s="12"/>
      <c r="C173" s="12"/>
      <c r="D173" s="12"/>
      <c r="E173" s="194"/>
      <c r="F173" s="12"/>
      <c r="G173" s="194"/>
      <c r="H173" s="194"/>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row>
    <row r="174" ht="13.5" customHeight="1">
      <c r="A174" s="12"/>
      <c r="B174" s="12"/>
      <c r="C174" s="12"/>
      <c r="D174" s="12"/>
      <c r="E174" s="194"/>
      <c r="F174" s="12"/>
      <c r="G174" s="194"/>
      <c r="H174" s="194"/>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row>
    <row r="175" ht="13.5" customHeight="1">
      <c r="A175" s="12"/>
      <c r="B175" s="12"/>
      <c r="C175" s="12"/>
      <c r="D175" s="12"/>
      <c r="E175" s="194"/>
      <c r="F175" s="12"/>
      <c r="G175" s="194"/>
      <c r="H175" s="194"/>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row>
    <row r="176" ht="13.5" customHeight="1">
      <c r="A176" s="12"/>
      <c r="B176" s="12"/>
      <c r="C176" s="12"/>
      <c r="D176" s="12"/>
      <c r="E176" s="194"/>
      <c r="F176" s="12"/>
      <c r="G176" s="194"/>
      <c r="H176" s="194"/>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row>
    <row r="177" ht="13.5" customHeight="1">
      <c r="A177" s="12"/>
      <c r="B177" s="12"/>
      <c r="C177" s="12"/>
      <c r="D177" s="12"/>
      <c r="E177" s="194"/>
      <c r="F177" s="12"/>
      <c r="G177" s="194"/>
      <c r="H177" s="194"/>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row>
    <row r="178" ht="13.5" customHeight="1">
      <c r="A178" s="12"/>
      <c r="B178" s="12"/>
      <c r="C178" s="12"/>
      <c r="D178" s="12"/>
      <c r="E178" s="194"/>
      <c r="F178" s="12"/>
      <c r="G178" s="194"/>
      <c r="H178" s="194"/>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row>
    <row r="179" ht="13.5" customHeight="1">
      <c r="A179" s="12"/>
      <c r="B179" s="12"/>
      <c r="C179" s="12"/>
      <c r="D179" s="12"/>
      <c r="E179" s="194"/>
      <c r="F179" s="12"/>
      <c r="G179" s="194"/>
      <c r="H179" s="194"/>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row>
    <row r="180" ht="13.5" customHeight="1">
      <c r="A180" s="12"/>
      <c r="B180" s="12"/>
      <c r="C180" s="12"/>
      <c r="D180" s="12"/>
      <c r="E180" s="194"/>
      <c r="F180" s="12"/>
      <c r="G180" s="194"/>
      <c r="H180" s="194"/>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row>
    <row r="181" ht="13.5" customHeight="1">
      <c r="A181" s="12"/>
      <c r="B181" s="12"/>
      <c r="C181" s="12"/>
      <c r="D181" s="12"/>
      <c r="E181" s="194"/>
      <c r="F181" s="12"/>
      <c r="G181" s="194"/>
      <c r="H181" s="194"/>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row>
    <row r="182" ht="13.5" customHeight="1">
      <c r="A182" s="12"/>
      <c r="B182" s="12"/>
      <c r="C182" s="12"/>
      <c r="D182" s="12"/>
      <c r="E182" s="194"/>
      <c r="F182" s="12"/>
      <c r="G182" s="194"/>
      <c r="H182" s="194"/>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row>
    <row r="183" ht="13.5" customHeight="1">
      <c r="A183" s="12"/>
      <c r="B183" s="12"/>
      <c r="C183" s="12"/>
      <c r="D183" s="12"/>
      <c r="E183" s="194"/>
      <c r="F183" s="12"/>
      <c r="G183" s="194"/>
      <c r="H183" s="194"/>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row>
    <row r="184" ht="13.5" customHeight="1">
      <c r="A184" s="12"/>
      <c r="B184" s="12"/>
      <c r="C184" s="12"/>
      <c r="D184" s="12"/>
      <c r="E184" s="194"/>
      <c r="F184" s="12"/>
      <c r="G184" s="194"/>
      <c r="H184" s="194"/>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row>
    <row r="185" ht="13.5" customHeight="1">
      <c r="A185" s="12"/>
      <c r="B185" s="12"/>
      <c r="C185" s="12"/>
      <c r="D185" s="12"/>
      <c r="E185" s="194"/>
      <c r="F185" s="12"/>
      <c r="G185" s="194"/>
      <c r="H185" s="194"/>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row>
    <row r="186" ht="13.5" customHeight="1">
      <c r="A186" s="12"/>
      <c r="B186" s="12"/>
      <c r="C186" s="12"/>
      <c r="D186" s="12"/>
      <c r="E186" s="194"/>
      <c r="F186" s="12"/>
      <c r="G186" s="194"/>
      <c r="H186" s="194"/>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row>
    <row r="187" ht="13.5" customHeight="1">
      <c r="A187" s="12"/>
      <c r="B187" s="12"/>
      <c r="C187" s="12"/>
      <c r="D187" s="12"/>
      <c r="E187" s="194"/>
      <c r="F187" s="12"/>
      <c r="G187" s="194"/>
      <c r="H187" s="194"/>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row>
    <row r="188" ht="13.5" customHeight="1">
      <c r="A188" s="12"/>
      <c r="B188" s="12"/>
      <c r="C188" s="12"/>
      <c r="D188" s="12"/>
      <c r="E188" s="194"/>
      <c r="F188" s="12"/>
      <c r="G188" s="194"/>
      <c r="H188" s="194"/>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row>
    <row r="189" ht="13.5" customHeight="1">
      <c r="A189" s="12"/>
      <c r="B189" s="12"/>
      <c r="C189" s="12"/>
      <c r="D189" s="12"/>
      <c r="E189" s="194"/>
      <c r="F189" s="12"/>
      <c r="G189" s="194"/>
      <c r="H189" s="194"/>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row>
    <row r="190" ht="13.5" customHeight="1">
      <c r="A190" s="12"/>
      <c r="B190" s="12"/>
      <c r="C190" s="12"/>
      <c r="D190" s="12"/>
      <c r="E190" s="194"/>
      <c r="F190" s="12"/>
      <c r="G190" s="194"/>
      <c r="H190" s="194"/>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row>
    <row r="191" ht="13.5" customHeight="1">
      <c r="A191" s="12"/>
      <c r="B191" s="12"/>
      <c r="C191" s="12"/>
      <c r="D191" s="12"/>
      <c r="E191" s="194"/>
      <c r="F191" s="12"/>
      <c r="G191" s="194"/>
      <c r="H191" s="194"/>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row>
    <row r="192" ht="13.5" customHeight="1">
      <c r="A192" s="12"/>
      <c r="B192" s="12"/>
      <c r="C192" s="12"/>
      <c r="D192" s="12"/>
      <c r="E192" s="194"/>
      <c r="F192" s="12"/>
      <c r="G192" s="194"/>
      <c r="H192" s="194"/>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row>
    <row r="193" ht="13.5" customHeight="1">
      <c r="A193" s="12"/>
      <c r="B193" s="12"/>
      <c r="C193" s="12"/>
      <c r="D193" s="12"/>
      <c r="E193" s="194"/>
      <c r="F193" s="12"/>
      <c r="G193" s="194"/>
      <c r="H193" s="194"/>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row>
    <row r="194" ht="13.5" customHeight="1">
      <c r="A194" s="12"/>
      <c r="B194" s="12"/>
      <c r="C194" s="12"/>
      <c r="D194" s="12"/>
      <c r="E194" s="194"/>
      <c r="F194" s="12"/>
      <c r="G194" s="194"/>
      <c r="H194" s="194"/>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row>
    <row r="195" ht="13.5" customHeight="1">
      <c r="A195" s="12"/>
      <c r="B195" s="12"/>
      <c r="C195" s="12"/>
      <c r="D195" s="12"/>
      <c r="E195" s="194"/>
      <c r="F195" s="12"/>
      <c r="G195" s="194"/>
      <c r="H195" s="194"/>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row>
    <row r="196" ht="13.5" customHeight="1">
      <c r="A196" s="12"/>
      <c r="B196" s="12"/>
      <c r="C196" s="12"/>
      <c r="D196" s="12"/>
      <c r="E196" s="194"/>
      <c r="F196" s="12"/>
      <c r="G196" s="194"/>
      <c r="H196" s="194"/>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row>
    <row r="197" ht="13.5" customHeight="1">
      <c r="A197" s="12"/>
      <c r="B197" s="12"/>
      <c r="C197" s="12"/>
      <c r="D197" s="12"/>
      <c r="E197" s="194"/>
      <c r="F197" s="12"/>
      <c r="G197" s="194"/>
      <c r="H197" s="194"/>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12"/>
      <c r="BH197" s="12"/>
      <c r="BI197" s="12"/>
      <c r="BJ197" s="12"/>
      <c r="BK197" s="12"/>
      <c r="BL197" s="12"/>
    </row>
    <row r="198" ht="13.5" customHeight="1">
      <c r="A198" s="12"/>
      <c r="B198" s="12"/>
      <c r="C198" s="12"/>
      <c r="D198" s="12"/>
      <c r="E198" s="194"/>
      <c r="F198" s="12"/>
      <c r="G198" s="194"/>
      <c r="H198" s="194"/>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12"/>
      <c r="BH198" s="12"/>
      <c r="BI198" s="12"/>
      <c r="BJ198" s="12"/>
      <c r="BK198" s="12"/>
      <c r="BL198" s="12"/>
    </row>
    <row r="199" ht="13.5" customHeight="1">
      <c r="A199" s="12"/>
      <c r="B199" s="12"/>
      <c r="C199" s="12"/>
      <c r="D199" s="12"/>
      <c r="E199" s="194"/>
      <c r="F199" s="12"/>
      <c r="G199" s="194"/>
      <c r="H199" s="194"/>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12"/>
      <c r="BH199" s="12"/>
      <c r="BI199" s="12"/>
      <c r="BJ199" s="12"/>
      <c r="BK199" s="12"/>
      <c r="BL199" s="12"/>
    </row>
    <row r="200" ht="13.5" customHeight="1">
      <c r="A200" s="12"/>
      <c r="B200" s="12"/>
      <c r="C200" s="12"/>
      <c r="D200" s="12"/>
      <c r="E200" s="194"/>
      <c r="F200" s="12"/>
      <c r="G200" s="194"/>
      <c r="H200" s="194"/>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12"/>
      <c r="BH200" s="12"/>
      <c r="BI200" s="12"/>
      <c r="BJ200" s="12"/>
      <c r="BK200" s="12"/>
      <c r="BL200" s="12"/>
    </row>
    <row r="201" ht="13.5" customHeight="1">
      <c r="A201" s="12"/>
      <c r="B201" s="12"/>
      <c r="C201" s="12"/>
      <c r="D201" s="12"/>
      <c r="E201" s="194"/>
      <c r="F201" s="12"/>
      <c r="G201" s="194"/>
      <c r="H201" s="194"/>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12"/>
      <c r="BH201" s="12"/>
      <c r="BI201" s="12"/>
      <c r="BJ201" s="12"/>
      <c r="BK201" s="12"/>
      <c r="BL201" s="12"/>
    </row>
    <row r="202" ht="13.5" customHeight="1">
      <c r="A202" s="12"/>
      <c r="B202" s="12"/>
      <c r="C202" s="12"/>
      <c r="D202" s="12"/>
      <c r="E202" s="194"/>
      <c r="F202" s="12"/>
      <c r="G202" s="194"/>
      <c r="H202" s="194"/>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12"/>
      <c r="BH202" s="12"/>
      <c r="BI202" s="12"/>
      <c r="BJ202" s="12"/>
      <c r="BK202" s="12"/>
      <c r="BL202" s="12"/>
    </row>
    <row r="203" ht="13.5" customHeight="1">
      <c r="A203" s="12"/>
      <c r="B203" s="12"/>
      <c r="C203" s="12"/>
      <c r="D203" s="12"/>
      <c r="E203" s="194"/>
      <c r="F203" s="12"/>
      <c r="G203" s="194"/>
      <c r="H203" s="194"/>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12"/>
      <c r="BH203" s="12"/>
      <c r="BI203" s="12"/>
      <c r="BJ203" s="12"/>
      <c r="BK203" s="12"/>
      <c r="BL203" s="12"/>
    </row>
    <row r="204" ht="13.5" customHeight="1">
      <c r="A204" s="12"/>
      <c r="B204" s="12"/>
      <c r="C204" s="12"/>
      <c r="D204" s="12"/>
      <c r="E204" s="194"/>
      <c r="F204" s="12"/>
      <c r="G204" s="194"/>
      <c r="H204" s="194"/>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12"/>
      <c r="BH204" s="12"/>
      <c r="BI204" s="12"/>
      <c r="BJ204" s="12"/>
      <c r="BK204" s="12"/>
      <c r="BL204" s="12"/>
    </row>
    <row r="205" ht="13.5" customHeight="1">
      <c r="A205" s="12"/>
      <c r="B205" s="12"/>
      <c r="C205" s="12"/>
      <c r="D205" s="12"/>
      <c r="E205" s="194"/>
      <c r="F205" s="12"/>
      <c r="G205" s="194"/>
      <c r="H205" s="194"/>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12"/>
      <c r="BH205" s="12"/>
      <c r="BI205" s="12"/>
      <c r="BJ205" s="12"/>
      <c r="BK205" s="12"/>
      <c r="BL205" s="12"/>
    </row>
    <row r="206" ht="13.5" customHeight="1">
      <c r="A206" s="12"/>
      <c r="B206" s="12"/>
      <c r="C206" s="12"/>
      <c r="D206" s="12"/>
      <c r="E206" s="194"/>
      <c r="F206" s="12"/>
      <c r="G206" s="194"/>
      <c r="H206" s="194"/>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12"/>
      <c r="BH206" s="12"/>
      <c r="BI206" s="12"/>
      <c r="BJ206" s="12"/>
      <c r="BK206" s="12"/>
      <c r="BL206" s="12"/>
    </row>
    <row r="207" ht="13.5" customHeight="1">
      <c r="A207" s="12"/>
      <c r="B207" s="12"/>
      <c r="C207" s="12"/>
      <c r="D207" s="12"/>
      <c r="E207" s="194"/>
      <c r="F207" s="12"/>
      <c r="G207" s="194"/>
      <c r="H207" s="194"/>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12"/>
      <c r="BH207" s="12"/>
      <c r="BI207" s="12"/>
      <c r="BJ207" s="12"/>
      <c r="BK207" s="12"/>
      <c r="BL207" s="12"/>
    </row>
    <row r="208" ht="13.5" customHeight="1">
      <c r="A208" s="12"/>
      <c r="B208" s="12"/>
      <c r="C208" s="12"/>
      <c r="D208" s="12"/>
      <c r="E208" s="194"/>
      <c r="F208" s="12"/>
      <c r="G208" s="194"/>
      <c r="H208" s="194"/>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12"/>
      <c r="BH208" s="12"/>
      <c r="BI208" s="12"/>
      <c r="BJ208" s="12"/>
      <c r="BK208" s="12"/>
      <c r="BL208" s="12"/>
    </row>
    <row r="209" ht="13.5" customHeight="1">
      <c r="A209" s="12"/>
      <c r="B209" s="12"/>
      <c r="C209" s="12"/>
      <c r="D209" s="12"/>
      <c r="E209" s="194"/>
      <c r="F209" s="12"/>
      <c r="G209" s="194"/>
      <c r="H209" s="194"/>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12"/>
      <c r="BH209" s="12"/>
      <c r="BI209" s="12"/>
      <c r="BJ209" s="12"/>
      <c r="BK209" s="12"/>
      <c r="BL209" s="12"/>
    </row>
    <row r="210" ht="13.5" customHeight="1">
      <c r="A210" s="12"/>
      <c r="B210" s="12"/>
      <c r="C210" s="12"/>
      <c r="D210" s="12"/>
      <c r="E210" s="194"/>
      <c r="F210" s="12"/>
      <c r="G210" s="194"/>
      <c r="H210" s="194"/>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12"/>
      <c r="BH210" s="12"/>
      <c r="BI210" s="12"/>
      <c r="BJ210" s="12"/>
      <c r="BK210" s="12"/>
      <c r="BL210" s="12"/>
    </row>
    <row r="211" ht="13.5" customHeight="1">
      <c r="A211" s="12"/>
      <c r="B211" s="12"/>
      <c r="C211" s="12"/>
      <c r="D211" s="12"/>
      <c r="E211" s="194"/>
      <c r="F211" s="12"/>
      <c r="G211" s="194"/>
      <c r="H211" s="194"/>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12"/>
      <c r="BH211" s="12"/>
      <c r="BI211" s="12"/>
      <c r="BJ211" s="12"/>
      <c r="BK211" s="12"/>
      <c r="BL211" s="12"/>
    </row>
    <row r="212" ht="13.5" customHeight="1">
      <c r="A212" s="12"/>
      <c r="B212" s="12"/>
      <c r="C212" s="12"/>
      <c r="D212" s="12"/>
      <c r="E212" s="194"/>
      <c r="F212" s="12"/>
      <c r="G212" s="194"/>
      <c r="H212" s="194"/>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row>
    <row r="213" ht="13.5" customHeight="1">
      <c r="A213" s="12"/>
      <c r="B213" s="12"/>
      <c r="C213" s="12"/>
      <c r="D213" s="12"/>
      <c r="E213" s="194"/>
      <c r="F213" s="12"/>
      <c r="G213" s="194"/>
      <c r="H213" s="194"/>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12"/>
      <c r="BH213" s="12"/>
      <c r="BI213" s="12"/>
      <c r="BJ213" s="12"/>
      <c r="BK213" s="12"/>
      <c r="BL213" s="12"/>
    </row>
    <row r="214" ht="13.5" customHeight="1">
      <c r="A214" s="12"/>
      <c r="B214" s="12"/>
      <c r="C214" s="12"/>
      <c r="D214" s="12"/>
      <c r="E214" s="194"/>
      <c r="F214" s="12"/>
      <c r="G214" s="194"/>
      <c r="H214" s="194"/>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row>
    <row r="215" ht="13.5" customHeight="1">
      <c r="A215" s="12"/>
      <c r="B215" s="12"/>
      <c r="C215" s="12"/>
      <c r="D215" s="12"/>
      <c r="E215" s="194"/>
      <c r="F215" s="12"/>
      <c r="G215" s="194"/>
      <c r="H215" s="194"/>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row>
    <row r="216" ht="13.5" customHeight="1">
      <c r="A216" s="12"/>
      <c r="B216" s="12"/>
      <c r="C216" s="12"/>
      <c r="D216" s="12"/>
      <c r="E216" s="194"/>
      <c r="F216" s="12"/>
      <c r="G216" s="194"/>
      <c r="H216" s="194"/>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12"/>
      <c r="BH216" s="12"/>
      <c r="BI216" s="12"/>
      <c r="BJ216" s="12"/>
      <c r="BK216" s="12"/>
      <c r="BL216" s="12"/>
    </row>
    <row r="217" ht="13.5" customHeight="1">
      <c r="A217" s="12"/>
      <c r="B217" s="12"/>
      <c r="C217" s="12"/>
      <c r="D217" s="12"/>
      <c r="E217" s="194"/>
      <c r="F217" s="12"/>
      <c r="G217" s="194"/>
      <c r="H217" s="194"/>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12"/>
      <c r="BH217" s="12"/>
      <c r="BI217" s="12"/>
      <c r="BJ217" s="12"/>
      <c r="BK217" s="12"/>
      <c r="BL217" s="12"/>
    </row>
    <row r="218" ht="13.5" customHeight="1">
      <c r="A218" s="12"/>
      <c r="B218" s="12"/>
      <c r="C218" s="12"/>
      <c r="D218" s="12"/>
      <c r="E218" s="194"/>
      <c r="F218" s="12"/>
      <c r="G218" s="194"/>
      <c r="H218" s="194"/>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12"/>
      <c r="BH218" s="12"/>
      <c r="BI218" s="12"/>
      <c r="BJ218" s="12"/>
      <c r="BK218" s="12"/>
      <c r="BL218" s="12"/>
    </row>
    <row r="219" ht="13.5" customHeight="1">
      <c r="A219" s="12"/>
      <c r="B219" s="12"/>
      <c r="C219" s="12"/>
      <c r="D219" s="12"/>
      <c r="E219" s="194"/>
      <c r="F219" s="12"/>
      <c r="G219" s="194"/>
      <c r="H219" s="194"/>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12"/>
      <c r="BH219" s="12"/>
      <c r="BI219" s="12"/>
      <c r="BJ219" s="12"/>
      <c r="BK219" s="12"/>
      <c r="BL219" s="12"/>
    </row>
    <row r="220" ht="13.5" customHeight="1">
      <c r="A220" s="12"/>
      <c r="B220" s="12"/>
      <c r="C220" s="12"/>
      <c r="D220" s="12"/>
      <c r="E220" s="194"/>
      <c r="F220" s="12"/>
      <c r="G220" s="194"/>
      <c r="H220" s="194"/>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12"/>
      <c r="BH220" s="12"/>
      <c r="BI220" s="12"/>
      <c r="BJ220" s="12"/>
      <c r="BK220" s="12"/>
      <c r="BL220" s="12"/>
    </row>
    <row r="221" ht="13.5" customHeight="1">
      <c r="A221" s="12"/>
      <c r="B221" s="12"/>
      <c r="C221" s="12"/>
      <c r="D221" s="12"/>
      <c r="E221" s="194"/>
      <c r="F221" s="12"/>
      <c r="G221" s="194"/>
      <c r="H221" s="194"/>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12"/>
      <c r="BH221" s="12"/>
      <c r="BI221" s="12"/>
      <c r="BJ221" s="12"/>
      <c r="BK221" s="12"/>
      <c r="BL221" s="12"/>
    </row>
    <row r="222" ht="13.5" customHeight="1">
      <c r="A222" s="12"/>
      <c r="B222" s="12"/>
      <c r="C222" s="12"/>
      <c r="D222" s="12"/>
      <c r="E222" s="194"/>
      <c r="F222" s="12"/>
      <c r="G222" s="194"/>
      <c r="H222" s="194"/>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12"/>
      <c r="BH222" s="12"/>
      <c r="BI222" s="12"/>
      <c r="BJ222" s="12"/>
      <c r="BK222" s="12"/>
      <c r="BL222" s="12"/>
    </row>
    <row r="223" ht="13.5" customHeight="1">
      <c r="A223" s="12"/>
      <c r="B223" s="12"/>
      <c r="C223" s="12"/>
      <c r="D223" s="12"/>
      <c r="E223" s="194"/>
      <c r="F223" s="12"/>
      <c r="G223" s="194"/>
      <c r="H223" s="194"/>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12"/>
      <c r="BH223" s="12"/>
      <c r="BI223" s="12"/>
      <c r="BJ223" s="12"/>
      <c r="BK223" s="12"/>
      <c r="BL223" s="12"/>
    </row>
    <row r="224" ht="13.5" customHeight="1">
      <c r="A224" s="12"/>
      <c r="B224" s="12"/>
      <c r="C224" s="12"/>
      <c r="D224" s="12"/>
      <c r="E224" s="194"/>
      <c r="F224" s="12"/>
      <c r="G224" s="194"/>
      <c r="H224" s="194"/>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12"/>
      <c r="BH224" s="12"/>
      <c r="BI224" s="12"/>
      <c r="BJ224" s="12"/>
      <c r="BK224" s="12"/>
      <c r="BL224" s="12"/>
    </row>
    <row r="225" ht="13.5" customHeight="1">
      <c r="A225" s="12"/>
      <c r="B225" s="12"/>
      <c r="C225" s="12"/>
      <c r="D225" s="12"/>
      <c r="E225" s="194"/>
      <c r="F225" s="12"/>
      <c r="G225" s="194"/>
      <c r="H225" s="194"/>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12"/>
      <c r="BH225" s="12"/>
      <c r="BI225" s="12"/>
      <c r="BJ225" s="12"/>
      <c r="BK225" s="12"/>
      <c r="BL225" s="12"/>
    </row>
    <row r="226" ht="13.5" customHeight="1">
      <c r="A226" s="12"/>
      <c r="B226" s="12"/>
      <c r="C226" s="12"/>
      <c r="D226" s="12"/>
      <c r="E226" s="194"/>
      <c r="F226" s="12"/>
      <c r="G226" s="194"/>
      <c r="H226" s="194"/>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12"/>
      <c r="BH226" s="12"/>
      <c r="BI226" s="12"/>
      <c r="BJ226" s="12"/>
      <c r="BK226" s="12"/>
      <c r="BL226" s="12"/>
    </row>
    <row r="227" ht="13.5" customHeight="1">
      <c r="A227" s="12"/>
      <c r="B227" s="12"/>
      <c r="C227" s="12"/>
      <c r="D227" s="12"/>
      <c r="E227" s="194"/>
      <c r="F227" s="12"/>
      <c r="G227" s="194"/>
      <c r="H227" s="194"/>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12"/>
      <c r="BH227" s="12"/>
      <c r="BI227" s="12"/>
      <c r="BJ227" s="12"/>
      <c r="BK227" s="12"/>
      <c r="BL227" s="12"/>
    </row>
    <row r="228" ht="13.5" customHeight="1">
      <c r="A228" s="12"/>
      <c r="B228" s="12"/>
      <c r="C228" s="12"/>
      <c r="D228" s="12"/>
      <c r="E228" s="194"/>
      <c r="F228" s="12"/>
      <c r="G228" s="194"/>
      <c r="H228" s="194"/>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12"/>
      <c r="BH228" s="12"/>
      <c r="BI228" s="12"/>
      <c r="BJ228" s="12"/>
      <c r="BK228" s="12"/>
      <c r="BL228" s="12"/>
    </row>
    <row r="229" ht="13.5" customHeight="1">
      <c r="A229" s="12"/>
      <c r="B229" s="12"/>
      <c r="C229" s="12"/>
      <c r="D229" s="12"/>
      <c r="E229" s="194"/>
      <c r="F229" s="12"/>
      <c r="G229" s="194"/>
      <c r="H229" s="194"/>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12"/>
      <c r="BH229" s="12"/>
      <c r="BI229" s="12"/>
      <c r="BJ229" s="12"/>
      <c r="BK229" s="12"/>
      <c r="BL229" s="12"/>
    </row>
    <row r="230" ht="13.5" customHeight="1">
      <c r="A230" s="12"/>
      <c r="B230" s="12"/>
      <c r="C230" s="12"/>
      <c r="D230" s="12"/>
      <c r="E230" s="194"/>
      <c r="F230" s="12"/>
      <c r="G230" s="194"/>
      <c r="H230" s="194"/>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12"/>
      <c r="BH230" s="12"/>
      <c r="BI230" s="12"/>
      <c r="BJ230" s="12"/>
      <c r="BK230" s="12"/>
      <c r="BL230" s="12"/>
    </row>
    <row r="231" ht="13.5" customHeight="1">
      <c r="A231" s="12"/>
      <c r="B231" s="12"/>
      <c r="C231" s="12"/>
      <c r="D231" s="12"/>
      <c r="E231" s="194"/>
      <c r="F231" s="12"/>
      <c r="G231" s="194"/>
      <c r="H231" s="194"/>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12"/>
      <c r="BH231" s="12"/>
      <c r="BI231" s="12"/>
      <c r="BJ231" s="12"/>
      <c r="BK231" s="12"/>
      <c r="BL231" s="12"/>
    </row>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48.63"/>
    <col customWidth="1" min="3" max="6" width="8.63"/>
  </cols>
  <sheetData>
    <row r="1" ht="14.25" customHeight="1">
      <c r="A1" s="12"/>
      <c r="B1" s="12"/>
    </row>
    <row r="2" ht="14.25" customHeight="1">
      <c r="A2" s="36" t="s">
        <v>1962</v>
      </c>
      <c r="B2" s="36" t="s">
        <v>1963</v>
      </c>
    </row>
    <row r="3" ht="14.25" customHeight="1">
      <c r="A3" s="36">
        <v>1.0</v>
      </c>
      <c r="B3" s="12" t="s">
        <v>1964</v>
      </c>
    </row>
    <row r="4" ht="14.25" customHeight="1">
      <c r="A4" s="36">
        <v>2.0</v>
      </c>
      <c r="B4" s="36" t="s">
        <v>1965</v>
      </c>
    </row>
    <row r="5" ht="14.25" customHeight="1">
      <c r="A5" s="36">
        <v>3.0</v>
      </c>
      <c r="B5" s="12" t="s">
        <v>1966</v>
      </c>
    </row>
    <row r="6" ht="14.25" customHeight="1">
      <c r="A6" s="36">
        <v>4.0</v>
      </c>
      <c r="B6" s="12" t="s">
        <v>1967</v>
      </c>
    </row>
    <row r="7" ht="14.25" customHeight="1">
      <c r="A7" s="36">
        <v>5.0</v>
      </c>
      <c r="B7" s="12" t="s">
        <v>1968</v>
      </c>
    </row>
    <row r="8" ht="14.25" customHeight="1">
      <c r="A8" s="36">
        <v>6.0</v>
      </c>
      <c r="B8" s="12" t="s">
        <v>1964</v>
      </c>
    </row>
    <row r="9" ht="14.25" customHeight="1">
      <c r="A9" s="36">
        <v>7.0</v>
      </c>
      <c r="B9" s="12" t="s">
        <v>1964</v>
      </c>
    </row>
    <row r="10" ht="14.25" customHeight="1">
      <c r="A10" s="36">
        <v>8.0</v>
      </c>
      <c r="B10" s="12" t="s">
        <v>1964</v>
      </c>
    </row>
    <row r="11" ht="14.25" customHeight="1">
      <c r="A11" s="36">
        <v>9.0</v>
      </c>
      <c r="B11" s="12" t="s">
        <v>1964</v>
      </c>
    </row>
    <row r="12" ht="14.25" customHeight="1">
      <c r="A12" s="36">
        <v>10.0</v>
      </c>
      <c r="B12" s="12" t="s">
        <v>1964</v>
      </c>
    </row>
    <row r="13" ht="14.25" customHeight="1">
      <c r="A13" s="36">
        <v>11.0</v>
      </c>
      <c r="B13" s="12" t="s">
        <v>1964</v>
      </c>
    </row>
    <row r="14" ht="14.25" customHeight="1">
      <c r="A14" s="36">
        <v>12.0</v>
      </c>
      <c r="B14" s="12" t="s">
        <v>1967</v>
      </c>
    </row>
    <row r="15" ht="14.25" customHeight="1">
      <c r="A15" s="36">
        <v>13.0</v>
      </c>
      <c r="B15" s="12" t="s">
        <v>1967</v>
      </c>
    </row>
    <row r="16" ht="14.25" customHeight="1">
      <c r="A16" s="12">
        <v>14.0</v>
      </c>
      <c r="B16" s="12" t="s">
        <v>1964</v>
      </c>
    </row>
    <row r="17" ht="14.25" customHeight="1">
      <c r="A17" s="12">
        <v>15.0</v>
      </c>
      <c r="B17" s="12" t="s">
        <v>1967</v>
      </c>
    </row>
    <row r="18" ht="14.25" customHeight="1">
      <c r="A18" s="12">
        <v>16.0</v>
      </c>
      <c r="B18" s="12" t="s">
        <v>1967</v>
      </c>
    </row>
    <row r="19" ht="14.25" customHeight="1">
      <c r="A19" s="12">
        <v>17.0</v>
      </c>
      <c r="B19" s="12" t="s">
        <v>1967</v>
      </c>
    </row>
    <row r="20" ht="14.25" customHeight="1">
      <c r="A20" s="12">
        <v>18.0</v>
      </c>
      <c r="B20" s="12" t="s">
        <v>1969</v>
      </c>
    </row>
    <row r="21" ht="14.25" customHeight="1">
      <c r="A21" s="12">
        <v>19.0</v>
      </c>
      <c r="B21" s="12" t="s">
        <v>1967</v>
      </c>
    </row>
    <row r="22" ht="14.25" customHeight="1">
      <c r="A22" s="12">
        <v>20.0</v>
      </c>
      <c r="B22" s="12" t="s">
        <v>1967</v>
      </c>
    </row>
    <row r="23" ht="14.25" customHeight="1">
      <c r="A23" s="12">
        <v>21.0</v>
      </c>
      <c r="B23" s="12" t="s">
        <v>1969</v>
      </c>
    </row>
    <row r="24" ht="14.25" customHeight="1">
      <c r="A24" s="12">
        <v>22.0</v>
      </c>
      <c r="B24" s="12" t="s">
        <v>1967</v>
      </c>
    </row>
    <row r="25" ht="14.25" customHeight="1">
      <c r="A25" s="12">
        <v>23.0</v>
      </c>
      <c r="B25" s="12" t="s">
        <v>1969</v>
      </c>
    </row>
    <row r="26" ht="14.25" customHeight="1">
      <c r="A26" s="12">
        <v>24.0</v>
      </c>
      <c r="B26" s="12" t="s">
        <v>1969</v>
      </c>
    </row>
    <row r="27" ht="14.25" customHeight="1">
      <c r="A27" s="12">
        <v>25.0</v>
      </c>
      <c r="B27" s="12" t="s">
        <v>1969</v>
      </c>
    </row>
    <row r="28" ht="14.25" customHeight="1">
      <c r="A28" s="12">
        <v>26.0</v>
      </c>
      <c r="B28" s="12" t="s">
        <v>1969</v>
      </c>
    </row>
    <row r="29" ht="14.25" customHeight="1">
      <c r="A29" s="12">
        <v>27.0</v>
      </c>
      <c r="B29" s="12" t="s">
        <v>1964</v>
      </c>
    </row>
    <row r="30" ht="14.25" customHeight="1">
      <c r="A30" s="12">
        <v>28.0</v>
      </c>
      <c r="B30" s="12" t="s">
        <v>1967</v>
      </c>
    </row>
    <row r="31" ht="14.25" customHeight="1">
      <c r="A31" s="12">
        <v>29.0</v>
      </c>
      <c r="B31" s="12" t="s">
        <v>1970</v>
      </c>
    </row>
    <row r="32" ht="14.25" customHeight="1">
      <c r="A32" s="240">
        <v>30.0</v>
      </c>
      <c r="B32" s="12" t="s">
        <v>1970</v>
      </c>
    </row>
    <row r="33" ht="14.25" customHeight="1">
      <c r="A33" s="240">
        <v>31.0</v>
      </c>
      <c r="B33" s="12" t="s">
        <v>1970</v>
      </c>
    </row>
    <row r="34" ht="14.25" customHeight="1">
      <c r="A34" s="36">
        <v>32.0</v>
      </c>
      <c r="B34" s="12" t="s">
        <v>1964</v>
      </c>
    </row>
    <row r="35" ht="14.25" customHeight="1">
      <c r="A35" s="36">
        <v>33.0</v>
      </c>
      <c r="B35" s="12" t="s">
        <v>1964</v>
      </c>
    </row>
    <row r="36" ht="14.25" customHeight="1">
      <c r="A36" s="36">
        <v>34.0</v>
      </c>
      <c r="B36" s="12" t="s">
        <v>1964</v>
      </c>
    </row>
    <row r="37" ht="14.25" customHeight="1">
      <c r="A37" s="36">
        <v>35.0</v>
      </c>
      <c r="B37" s="12" t="s">
        <v>1970</v>
      </c>
    </row>
    <row r="38" ht="14.25" customHeight="1">
      <c r="A38" s="36">
        <v>36.0</v>
      </c>
      <c r="B38" s="12" t="s">
        <v>1970</v>
      </c>
    </row>
    <row r="39" ht="14.25" customHeight="1">
      <c r="A39" s="36">
        <v>37.0</v>
      </c>
      <c r="B39" s="12" t="s">
        <v>1970</v>
      </c>
    </row>
    <row r="40" ht="14.25" customHeight="1">
      <c r="A40" s="36">
        <v>38.0</v>
      </c>
      <c r="B40" s="12" t="s">
        <v>1964</v>
      </c>
    </row>
    <row r="41" ht="14.25" customHeight="1">
      <c r="A41" s="36">
        <v>39.0</v>
      </c>
      <c r="B41" s="12" t="s">
        <v>1970</v>
      </c>
    </row>
    <row r="42" ht="14.25" customHeight="1">
      <c r="A42" s="36">
        <v>40.0</v>
      </c>
      <c r="B42" s="12" t="s">
        <v>1970</v>
      </c>
    </row>
    <row r="43" ht="14.25" customHeight="1">
      <c r="A43" s="36">
        <v>41.0</v>
      </c>
      <c r="B43" s="12" t="s">
        <v>1970</v>
      </c>
    </row>
    <row r="44" ht="14.25" customHeight="1">
      <c r="A44" s="36">
        <v>42.0</v>
      </c>
      <c r="B44" s="12" t="s">
        <v>1971</v>
      </c>
    </row>
    <row r="45" ht="14.25" customHeight="1">
      <c r="A45" s="36">
        <v>43.0</v>
      </c>
      <c r="B45" s="12" t="s">
        <v>1971</v>
      </c>
    </row>
    <row r="46" ht="14.25" customHeight="1">
      <c r="A46" s="36">
        <v>44.0</v>
      </c>
      <c r="B46" s="12" t="s">
        <v>1971</v>
      </c>
    </row>
    <row r="47" ht="14.25" customHeight="1">
      <c r="A47" s="36">
        <v>45.0</v>
      </c>
      <c r="B47" s="12" t="s">
        <v>1971</v>
      </c>
    </row>
    <row r="48" ht="14.25" customHeight="1">
      <c r="A48" s="36">
        <v>46.0</v>
      </c>
      <c r="B48" s="12" t="s">
        <v>1972</v>
      </c>
    </row>
    <row r="49" ht="14.25" customHeight="1">
      <c r="A49" s="36">
        <v>47.0</v>
      </c>
      <c r="B49" s="12" t="s">
        <v>1972</v>
      </c>
    </row>
    <row r="50" ht="14.25" customHeight="1">
      <c r="A50" s="36">
        <v>48.0</v>
      </c>
      <c r="B50" s="12" t="s">
        <v>1972</v>
      </c>
    </row>
    <row r="51" ht="14.25" customHeight="1">
      <c r="A51" s="36">
        <v>49.0</v>
      </c>
      <c r="B51" s="12" t="s">
        <v>1972</v>
      </c>
    </row>
    <row r="52" ht="14.25" customHeight="1">
      <c r="A52" s="36">
        <v>50.0</v>
      </c>
      <c r="B52" s="12" t="s">
        <v>1973</v>
      </c>
    </row>
    <row r="53" ht="14.25" customHeight="1">
      <c r="A53" s="36">
        <v>51.0</v>
      </c>
      <c r="B53" s="12" t="s">
        <v>1972</v>
      </c>
    </row>
    <row r="54" ht="14.25" customHeight="1">
      <c r="A54" s="36">
        <v>52.0</v>
      </c>
      <c r="B54" s="12" t="s">
        <v>1974</v>
      </c>
    </row>
    <row r="55" ht="14.25" customHeight="1">
      <c r="A55" s="36">
        <v>53.0</v>
      </c>
      <c r="B55" s="12" t="s">
        <v>1972</v>
      </c>
    </row>
    <row r="56" ht="14.25" customHeight="1">
      <c r="A56" s="36">
        <v>54.0</v>
      </c>
      <c r="B56" s="12" t="s">
        <v>1972</v>
      </c>
    </row>
    <row r="57" ht="14.25" customHeight="1">
      <c r="A57" s="36">
        <v>55.0</v>
      </c>
      <c r="B57" s="12" t="s">
        <v>1972</v>
      </c>
    </row>
    <row r="58" ht="14.25" customHeight="1">
      <c r="A58" s="36">
        <v>56.0</v>
      </c>
      <c r="B58" s="12" t="s">
        <v>1972</v>
      </c>
    </row>
    <row r="59" ht="14.25" customHeight="1">
      <c r="A59" s="36">
        <v>57.0</v>
      </c>
      <c r="B59" s="12" t="s">
        <v>1972</v>
      </c>
    </row>
    <row r="60" ht="14.25" customHeight="1">
      <c r="A60" s="36">
        <v>58.0</v>
      </c>
      <c r="B60" s="12" t="s">
        <v>1974</v>
      </c>
    </row>
    <row r="61" ht="14.25" customHeight="1">
      <c r="A61" s="36">
        <v>59.0</v>
      </c>
      <c r="B61" s="12" t="s">
        <v>1972</v>
      </c>
    </row>
    <row r="62" ht="14.25" customHeight="1">
      <c r="A62" s="36">
        <v>60.0</v>
      </c>
      <c r="B62" s="12" t="s">
        <v>1967</v>
      </c>
    </row>
    <row r="63" ht="14.25" customHeight="1">
      <c r="A63" s="36">
        <v>61.0</v>
      </c>
      <c r="B63" s="12" t="s">
        <v>1964</v>
      </c>
    </row>
    <row r="64" ht="14.25" customHeight="1">
      <c r="A64" s="36">
        <v>62.0</v>
      </c>
      <c r="B64" s="12" t="s">
        <v>1972</v>
      </c>
    </row>
    <row r="65" ht="14.25" customHeight="1">
      <c r="A65" s="36">
        <v>63.0</v>
      </c>
      <c r="B65" s="12" t="s">
        <v>1964</v>
      </c>
    </row>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0"/>
    <col customWidth="1" min="2" max="2" width="24.13"/>
    <col customWidth="1" min="3" max="23" width="8.63"/>
  </cols>
  <sheetData>
    <row r="1" ht="14.25" customHeight="1">
      <c r="A1" s="404" t="s">
        <v>105</v>
      </c>
      <c r="B1" s="404" t="s">
        <v>1975</v>
      </c>
      <c r="C1" s="404" t="s">
        <v>221</v>
      </c>
      <c r="D1" s="12"/>
      <c r="E1" s="12"/>
      <c r="F1" s="12"/>
      <c r="G1" s="12"/>
      <c r="H1" s="12"/>
      <c r="I1" s="12"/>
      <c r="J1" s="12"/>
      <c r="K1" s="12"/>
      <c r="L1" s="12"/>
      <c r="M1" s="12"/>
      <c r="N1" s="12"/>
      <c r="O1" s="12"/>
      <c r="P1" s="12"/>
      <c r="Q1" s="12"/>
      <c r="R1" s="12"/>
      <c r="S1" s="12"/>
      <c r="T1" s="12"/>
      <c r="U1" s="12"/>
      <c r="V1" s="12"/>
      <c r="W1" s="12"/>
    </row>
    <row r="2" ht="14.25" customHeight="1">
      <c r="A2" s="142" t="s">
        <v>112</v>
      </c>
      <c r="B2" s="142" t="s">
        <v>1976</v>
      </c>
      <c r="C2" s="111">
        <v>0.0135</v>
      </c>
    </row>
    <row r="3" ht="14.25" customHeight="1">
      <c r="A3" s="142" t="s">
        <v>113</v>
      </c>
      <c r="B3" s="142" t="s">
        <v>1977</v>
      </c>
      <c r="C3" s="111">
        <v>0.0135</v>
      </c>
    </row>
    <row r="4" ht="14.25" customHeight="1">
      <c r="A4" s="142" t="s">
        <v>114</v>
      </c>
      <c r="B4" s="142" t="s">
        <v>1978</v>
      </c>
      <c r="C4" s="111">
        <v>0.0135</v>
      </c>
    </row>
    <row r="5" ht="14.25" customHeight="1">
      <c r="A5" s="142" t="s">
        <v>86</v>
      </c>
      <c r="B5" s="142" t="s">
        <v>1979</v>
      </c>
      <c r="C5" s="111">
        <v>0.0135</v>
      </c>
    </row>
    <row r="6" ht="14.25" customHeight="1">
      <c r="A6" s="142" t="s">
        <v>115</v>
      </c>
      <c r="B6" s="142" t="s">
        <v>1980</v>
      </c>
      <c r="C6" s="111">
        <v>0.0135</v>
      </c>
    </row>
    <row r="7" ht="14.25" customHeight="1">
      <c r="A7" s="142" t="s">
        <v>116</v>
      </c>
      <c r="B7" s="142" t="s">
        <v>1981</v>
      </c>
      <c r="C7" s="111">
        <v>0.0135</v>
      </c>
    </row>
    <row r="8" ht="14.25" customHeight="1">
      <c r="A8" s="142" t="s">
        <v>117</v>
      </c>
      <c r="B8" s="142" t="s">
        <v>1982</v>
      </c>
      <c r="C8" s="111">
        <v>0.0135</v>
      </c>
    </row>
    <row r="9" ht="14.25" customHeight="1">
      <c r="A9" s="142" t="s">
        <v>118</v>
      </c>
      <c r="B9" s="142" t="s">
        <v>1983</v>
      </c>
      <c r="C9" s="111">
        <v>0.0135</v>
      </c>
    </row>
    <row r="10" ht="14.25" customHeight="1">
      <c r="A10" s="142" t="s">
        <v>119</v>
      </c>
      <c r="B10" s="142" t="s">
        <v>1984</v>
      </c>
      <c r="C10" s="111">
        <v>0.0135</v>
      </c>
    </row>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2.63"/>
    <col customWidth="1" min="2" max="2" width="23.63"/>
    <col customWidth="1" min="3" max="3" width="28.5"/>
    <col customWidth="1" min="4" max="4" width="16.88"/>
    <col customWidth="1" min="5" max="6" width="12.63"/>
  </cols>
  <sheetData>
    <row r="1">
      <c r="A1" s="405" t="s">
        <v>1985</v>
      </c>
      <c r="B1" s="406"/>
      <c r="C1" s="406"/>
      <c r="D1" s="407"/>
    </row>
    <row r="2">
      <c r="A2" s="408">
        <v>1.0</v>
      </c>
      <c r="B2" s="409" t="s">
        <v>90</v>
      </c>
      <c r="C2" s="171" t="s">
        <v>1986</v>
      </c>
      <c r="D2" s="410" t="s">
        <v>1987</v>
      </c>
    </row>
    <row r="3">
      <c r="A3" s="408">
        <v>2.0</v>
      </c>
      <c r="B3" s="409" t="s">
        <v>1988</v>
      </c>
      <c r="C3" s="171" t="s">
        <v>1989</v>
      </c>
      <c r="D3" s="410" t="s">
        <v>1987</v>
      </c>
    </row>
    <row r="4">
      <c r="A4" s="411">
        <v>3.0</v>
      </c>
      <c r="B4" s="171" t="s">
        <v>1990</v>
      </c>
      <c r="C4" s="112" t="s">
        <v>1991</v>
      </c>
      <c r="D4" s="410" t="s">
        <v>1992</v>
      </c>
    </row>
    <row r="5">
      <c r="A5" s="411">
        <v>4.0</v>
      </c>
      <c r="B5" s="171" t="s">
        <v>1993</v>
      </c>
      <c r="C5" s="112" t="s">
        <v>1994</v>
      </c>
      <c r="D5" s="410"/>
    </row>
    <row r="6">
      <c r="A6" s="408">
        <v>5.0</v>
      </c>
      <c r="B6" s="409" t="s">
        <v>1995</v>
      </c>
      <c r="C6" s="112"/>
      <c r="D6" s="410" t="s">
        <v>1987</v>
      </c>
    </row>
    <row r="7">
      <c r="A7" s="411">
        <v>6.0</v>
      </c>
      <c r="B7" s="171" t="s">
        <v>1996</v>
      </c>
      <c r="C7" s="171" t="s">
        <v>1997</v>
      </c>
      <c r="D7" s="410"/>
    </row>
    <row r="8">
      <c r="A8" s="408">
        <v>7.0</v>
      </c>
      <c r="B8" s="409" t="s">
        <v>1998</v>
      </c>
      <c r="C8" s="112" t="s">
        <v>1999</v>
      </c>
      <c r="D8" s="410"/>
    </row>
    <row r="9">
      <c r="A9" s="408">
        <v>8.0</v>
      </c>
      <c r="B9" s="412">
        <v>1.05</v>
      </c>
      <c r="C9" s="112"/>
      <c r="D9" s="410" t="s">
        <v>1987</v>
      </c>
    </row>
    <row r="10">
      <c r="A10" s="413">
        <v>9.0</v>
      </c>
      <c r="B10" s="361" t="s">
        <v>2000</v>
      </c>
      <c r="C10" s="112"/>
      <c r="D10" s="410" t="s">
        <v>1987</v>
      </c>
    </row>
    <row r="11">
      <c r="A11" s="413">
        <v>10.0</v>
      </c>
      <c r="B11" s="361" t="s">
        <v>2001</v>
      </c>
      <c r="C11" s="112"/>
      <c r="D11" s="410"/>
    </row>
    <row r="12">
      <c r="A12" s="411">
        <v>11.0</v>
      </c>
      <c r="B12" s="171" t="s">
        <v>2002</v>
      </c>
      <c r="C12" s="112"/>
      <c r="D12" s="410" t="s">
        <v>2003</v>
      </c>
    </row>
    <row r="13">
      <c r="A13" s="408">
        <v>12.0</v>
      </c>
      <c r="B13" s="409" t="s">
        <v>2004</v>
      </c>
      <c r="C13" s="112"/>
      <c r="D13" s="410"/>
    </row>
    <row r="14" ht="15.0" customHeight="1">
      <c r="A14" s="411">
        <v>13.0</v>
      </c>
      <c r="B14" s="112" t="s">
        <v>2005</v>
      </c>
      <c r="C14" s="112"/>
      <c r="D14" s="410"/>
    </row>
    <row r="15" ht="15.0" customHeight="1">
      <c r="A15" s="411">
        <v>14.0</v>
      </c>
      <c r="B15" s="171" t="s">
        <v>2006</v>
      </c>
      <c r="C15" s="112"/>
      <c r="D15" s="410"/>
    </row>
    <row r="16" ht="15.0" customHeight="1">
      <c r="A16" s="411">
        <v>15.0</v>
      </c>
      <c r="B16" s="171" t="s">
        <v>2007</v>
      </c>
      <c r="C16" s="112"/>
      <c r="D16" s="410"/>
    </row>
    <row r="17" ht="15.0" customHeight="1">
      <c r="A17" s="411">
        <v>16.0</v>
      </c>
      <c r="B17" s="171" t="s">
        <v>2008</v>
      </c>
      <c r="C17" s="112"/>
      <c r="D17" s="410"/>
    </row>
    <row r="18" ht="15.0" customHeight="1">
      <c r="A18" s="411">
        <v>17.0</v>
      </c>
      <c r="B18" s="171" t="s">
        <v>2009</v>
      </c>
      <c r="C18" s="112"/>
      <c r="D18" s="410" t="s">
        <v>1992</v>
      </c>
    </row>
    <row r="19" ht="15.0" customHeight="1">
      <c r="A19" s="414">
        <v>18.0</v>
      </c>
      <c r="B19" s="415" t="s">
        <v>2010</v>
      </c>
      <c r="C19" s="416"/>
      <c r="D19" s="417" t="s">
        <v>2003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24.5"/>
    <col customWidth="1" min="3" max="3" width="10.63"/>
    <col customWidth="1" min="4" max="4" width="38.75"/>
    <col customWidth="1" min="5" max="6" width="8.63"/>
  </cols>
  <sheetData>
    <row r="1" ht="14.25" customHeight="1">
      <c r="A1" s="36"/>
      <c r="B1" s="36"/>
      <c r="C1" s="36"/>
      <c r="D1" s="36"/>
      <c r="E1" s="36"/>
      <c r="F1" s="36"/>
      <c r="G1" s="36"/>
      <c r="H1" s="36"/>
      <c r="I1" s="36"/>
      <c r="J1" s="36"/>
      <c r="K1" s="36"/>
      <c r="L1" s="36"/>
      <c r="M1" s="36"/>
      <c r="N1" s="36"/>
      <c r="O1" s="36"/>
      <c r="P1" s="36"/>
      <c r="Q1" s="36"/>
      <c r="R1" s="36"/>
      <c r="S1" s="36"/>
      <c r="T1" s="36"/>
      <c r="U1" s="36"/>
      <c r="V1" s="36"/>
      <c r="W1" s="36"/>
      <c r="X1" s="36"/>
      <c r="Y1" s="36"/>
    </row>
    <row r="2" ht="14.25" customHeight="1">
      <c r="A2" s="36" t="s">
        <v>2011</v>
      </c>
      <c r="B2" s="36" t="s">
        <v>98</v>
      </c>
      <c r="C2" s="36" t="s">
        <v>2012</v>
      </c>
      <c r="D2" s="36" t="s">
        <v>74</v>
      </c>
      <c r="E2" s="36"/>
      <c r="F2" s="36"/>
      <c r="G2" s="36"/>
      <c r="H2" s="36"/>
      <c r="I2" s="36"/>
      <c r="J2" s="36"/>
      <c r="K2" s="36"/>
      <c r="L2" s="36"/>
      <c r="M2" s="36"/>
      <c r="N2" s="36"/>
      <c r="O2" s="36"/>
      <c r="P2" s="36"/>
      <c r="Q2" s="36"/>
      <c r="R2" s="36"/>
      <c r="S2" s="36"/>
      <c r="T2" s="36"/>
      <c r="U2" s="36"/>
      <c r="V2" s="36"/>
      <c r="W2" s="36"/>
      <c r="X2" s="36"/>
      <c r="Y2" s="36"/>
    </row>
    <row r="3" ht="14.25" customHeight="1">
      <c r="A3" s="36">
        <v>1.0</v>
      </c>
      <c r="B3" s="418" t="s">
        <v>879</v>
      </c>
      <c r="C3" s="36" t="s">
        <v>2013</v>
      </c>
      <c r="D3" s="36" t="s">
        <v>2014</v>
      </c>
      <c r="E3" s="36"/>
      <c r="F3" s="36"/>
      <c r="G3" s="36"/>
      <c r="H3" s="36"/>
      <c r="I3" s="36"/>
      <c r="J3" s="36"/>
      <c r="K3" s="36"/>
      <c r="L3" s="36"/>
      <c r="M3" s="36"/>
      <c r="N3" s="36"/>
      <c r="O3" s="36"/>
      <c r="P3" s="36"/>
      <c r="Q3" s="36"/>
      <c r="R3" s="36"/>
      <c r="S3" s="36"/>
      <c r="T3" s="36"/>
      <c r="U3" s="36"/>
      <c r="V3" s="36"/>
      <c r="W3" s="36"/>
      <c r="X3" s="36"/>
      <c r="Y3" s="36"/>
    </row>
    <row r="4" ht="14.25" customHeight="1">
      <c r="A4" s="36">
        <v>2.0</v>
      </c>
      <c r="B4" s="418" t="s">
        <v>895</v>
      </c>
      <c r="C4" s="36"/>
      <c r="D4" s="36" t="s">
        <v>2015</v>
      </c>
      <c r="E4" s="36"/>
      <c r="F4" s="36"/>
      <c r="G4" s="36"/>
      <c r="H4" s="36"/>
      <c r="I4" s="36"/>
      <c r="J4" s="36"/>
      <c r="K4" s="36"/>
      <c r="L4" s="36"/>
      <c r="M4" s="36"/>
      <c r="N4" s="36"/>
      <c r="O4" s="36"/>
      <c r="P4" s="36"/>
      <c r="Q4" s="36"/>
      <c r="R4" s="36"/>
      <c r="S4" s="36"/>
      <c r="T4" s="36"/>
      <c r="U4" s="36"/>
      <c r="V4" s="36"/>
      <c r="W4" s="36"/>
      <c r="X4" s="36"/>
      <c r="Y4" s="36"/>
    </row>
    <row r="5" ht="14.25" customHeight="1">
      <c r="A5" s="36">
        <v>3.0</v>
      </c>
      <c r="B5" s="418" t="s">
        <v>1048</v>
      </c>
      <c r="C5" s="36" t="s">
        <v>254</v>
      </c>
      <c r="D5" s="36" t="s">
        <v>2016</v>
      </c>
      <c r="E5" s="36"/>
      <c r="F5" s="36"/>
      <c r="G5" s="36"/>
      <c r="H5" s="36"/>
      <c r="I5" s="36"/>
      <c r="J5" s="36"/>
      <c r="K5" s="36"/>
      <c r="L5" s="36"/>
      <c r="M5" s="36"/>
      <c r="N5" s="36"/>
      <c r="O5" s="36"/>
      <c r="P5" s="36"/>
      <c r="Q5" s="36"/>
      <c r="R5" s="36"/>
      <c r="S5" s="36"/>
      <c r="T5" s="36"/>
      <c r="U5" s="36"/>
      <c r="V5" s="36"/>
      <c r="W5" s="36"/>
      <c r="X5" s="36"/>
      <c r="Y5" s="36"/>
    </row>
    <row r="6" ht="14.25" customHeight="1">
      <c r="A6" s="36">
        <v>4.0</v>
      </c>
      <c r="B6" s="418" t="s">
        <v>1055</v>
      </c>
      <c r="C6" s="36" t="s">
        <v>254</v>
      </c>
      <c r="D6" s="36" t="s">
        <v>2016</v>
      </c>
      <c r="E6" s="36"/>
      <c r="F6" s="36"/>
      <c r="G6" s="36"/>
      <c r="H6" s="36"/>
      <c r="I6" s="36"/>
      <c r="J6" s="36"/>
      <c r="K6" s="36"/>
      <c r="L6" s="36"/>
      <c r="M6" s="36"/>
      <c r="N6" s="36"/>
      <c r="O6" s="36"/>
      <c r="P6" s="36"/>
      <c r="Q6" s="36"/>
      <c r="R6" s="36"/>
      <c r="S6" s="36"/>
      <c r="T6" s="36"/>
      <c r="U6" s="36"/>
      <c r="V6" s="36"/>
      <c r="W6" s="36"/>
      <c r="X6" s="36"/>
      <c r="Y6" s="36"/>
    </row>
    <row r="7" ht="14.25" customHeight="1">
      <c r="A7" s="36">
        <v>5.0</v>
      </c>
      <c r="B7" s="418" t="s">
        <v>1058</v>
      </c>
      <c r="C7" s="36" t="s">
        <v>254</v>
      </c>
      <c r="D7" s="36" t="s">
        <v>2016</v>
      </c>
      <c r="E7" s="36"/>
      <c r="F7" s="36"/>
      <c r="G7" s="36"/>
      <c r="H7" s="36"/>
      <c r="I7" s="36"/>
      <c r="J7" s="36"/>
      <c r="K7" s="36"/>
      <c r="L7" s="36"/>
      <c r="M7" s="36"/>
      <c r="N7" s="36"/>
      <c r="O7" s="36"/>
      <c r="P7" s="36"/>
      <c r="Q7" s="36"/>
      <c r="R7" s="36"/>
      <c r="S7" s="36"/>
      <c r="T7" s="36"/>
      <c r="U7" s="36"/>
      <c r="V7" s="36"/>
      <c r="W7" s="36"/>
      <c r="X7" s="36"/>
      <c r="Y7" s="36"/>
    </row>
    <row r="8" ht="14.25" customHeight="1">
      <c r="A8" s="36">
        <v>6.0</v>
      </c>
      <c r="B8" s="418" t="s">
        <v>934</v>
      </c>
      <c r="C8" s="36" t="s">
        <v>216</v>
      </c>
      <c r="D8" s="36" t="s">
        <v>2017</v>
      </c>
      <c r="E8" s="36"/>
      <c r="F8" s="36"/>
      <c r="G8" s="36"/>
      <c r="H8" s="36"/>
      <c r="I8" s="36"/>
      <c r="J8" s="36"/>
      <c r="K8" s="36"/>
      <c r="L8" s="36"/>
      <c r="M8" s="36"/>
      <c r="N8" s="36"/>
      <c r="O8" s="36"/>
      <c r="P8" s="36"/>
      <c r="Q8" s="36"/>
      <c r="R8" s="36"/>
      <c r="S8" s="36"/>
      <c r="T8" s="36"/>
      <c r="U8" s="36"/>
      <c r="V8" s="36"/>
      <c r="W8" s="36"/>
      <c r="X8" s="36"/>
      <c r="Y8" s="36"/>
    </row>
    <row r="9" ht="14.25" customHeight="1">
      <c r="A9" s="36">
        <v>7.0</v>
      </c>
      <c r="B9" s="419" t="s">
        <v>962</v>
      </c>
      <c r="C9" s="36" t="s">
        <v>216</v>
      </c>
      <c r="D9" s="36" t="s">
        <v>2017</v>
      </c>
      <c r="E9" s="36"/>
      <c r="F9" s="36"/>
      <c r="G9" s="36"/>
      <c r="H9" s="36"/>
      <c r="I9" s="36"/>
      <c r="J9" s="36"/>
      <c r="K9" s="36"/>
      <c r="L9" s="36"/>
      <c r="M9" s="36"/>
      <c r="N9" s="36"/>
      <c r="O9" s="36"/>
      <c r="P9" s="36"/>
      <c r="Q9" s="36"/>
      <c r="R9" s="36"/>
      <c r="S9" s="36"/>
      <c r="T9" s="36"/>
      <c r="U9" s="36"/>
      <c r="V9" s="36"/>
      <c r="W9" s="36"/>
      <c r="X9" s="36"/>
      <c r="Y9" s="36"/>
    </row>
    <row r="10" ht="14.25" customHeight="1">
      <c r="A10" s="36">
        <v>8.0</v>
      </c>
      <c r="B10" s="419" t="s">
        <v>955</v>
      </c>
      <c r="C10" s="36" t="s">
        <v>2018</v>
      </c>
      <c r="D10" s="36" t="s">
        <v>2019</v>
      </c>
      <c r="E10" s="36"/>
      <c r="F10" s="36"/>
      <c r="G10" s="36"/>
      <c r="H10" s="36"/>
      <c r="I10" s="36"/>
      <c r="J10" s="36"/>
      <c r="K10" s="36"/>
      <c r="L10" s="36"/>
      <c r="M10" s="36"/>
      <c r="N10" s="36"/>
      <c r="O10" s="36"/>
      <c r="P10" s="36"/>
      <c r="Q10" s="36"/>
      <c r="R10" s="36"/>
      <c r="S10" s="36"/>
      <c r="T10" s="36"/>
      <c r="U10" s="36"/>
      <c r="V10" s="36"/>
      <c r="W10" s="36"/>
      <c r="X10" s="36"/>
      <c r="Y10" s="36"/>
    </row>
    <row r="11" ht="14.25" customHeight="1">
      <c r="A11" s="36">
        <v>9.0</v>
      </c>
      <c r="B11" s="419" t="s">
        <v>1077</v>
      </c>
      <c r="C11" s="36" t="s">
        <v>62</v>
      </c>
      <c r="D11" s="36" t="s">
        <v>2020</v>
      </c>
      <c r="E11" s="36"/>
      <c r="F11" s="36"/>
      <c r="G11" s="36"/>
      <c r="H11" s="36"/>
      <c r="I11" s="36"/>
      <c r="J11" s="36"/>
      <c r="K11" s="36"/>
      <c r="L11" s="36"/>
      <c r="M11" s="36"/>
      <c r="N11" s="36"/>
      <c r="O11" s="36"/>
      <c r="P11" s="36"/>
      <c r="Q11" s="36"/>
      <c r="R11" s="36"/>
      <c r="S11" s="36"/>
      <c r="T11" s="36"/>
      <c r="U11" s="36"/>
      <c r="V11" s="36"/>
      <c r="W11" s="36"/>
      <c r="X11" s="36"/>
      <c r="Y11" s="36"/>
    </row>
    <row r="12" ht="14.25" customHeight="1">
      <c r="A12" s="36">
        <v>10.0</v>
      </c>
      <c r="B12" s="418" t="s">
        <v>1088</v>
      </c>
      <c r="C12" s="36" t="s">
        <v>62</v>
      </c>
      <c r="D12" s="36" t="s">
        <v>2020</v>
      </c>
      <c r="E12" s="36"/>
      <c r="F12" s="36"/>
      <c r="G12" s="36"/>
      <c r="H12" s="36"/>
      <c r="I12" s="36"/>
      <c r="J12" s="36"/>
      <c r="K12" s="36"/>
      <c r="L12" s="36"/>
      <c r="M12" s="36"/>
      <c r="N12" s="36"/>
      <c r="O12" s="36"/>
      <c r="P12" s="36"/>
      <c r="Q12" s="36"/>
      <c r="R12" s="36"/>
      <c r="S12" s="36"/>
      <c r="T12" s="36"/>
      <c r="U12" s="36"/>
      <c r="V12" s="36"/>
      <c r="W12" s="36"/>
      <c r="X12" s="36"/>
      <c r="Y12" s="36"/>
    </row>
    <row r="13" ht="14.25" customHeight="1">
      <c r="A13" s="36">
        <v>11.0</v>
      </c>
      <c r="B13" s="418" t="s">
        <v>1092</v>
      </c>
      <c r="C13" s="36" t="s">
        <v>62</v>
      </c>
      <c r="D13" s="36" t="s">
        <v>2020</v>
      </c>
      <c r="E13" s="36"/>
      <c r="F13" s="36"/>
      <c r="G13" s="36"/>
      <c r="H13" s="36"/>
      <c r="I13" s="36"/>
      <c r="J13" s="36"/>
      <c r="K13" s="36"/>
      <c r="L13" s="36"/>
      <c r="M13" s="36"/>
      <c r="N13" s="36"/>
      <c r="O13" s="36"/>
      <c r="P13" s="36"/>
      <c r="Q13" s="36"/>
      <c r="R13" s="36"/>
      <c r="S13" s="36"/>
      <c r="T13" s="36"/>
      <c r="U13" s="36"/>
      <c r="V13" s="36"/>
      <c r="W13" s="36"/>
      <c r="X13" s="36"/>
      <c r="Y13" s="36"/>
    </row>
    <row r="14" ht="14.25" customHeight="1">
      <c r="A14" s="36">
        <v>12.0</v>
      </c>
      <c r="B14" s="418" t="s">
        <v>1096</v>
      </c>
      <c r="C14" s="36" t="s">
        <v>62</v>
      </c>
      <c r="D14" s="36" t="s">
        <v>2020</v>
      </c>
      <c r="E14" s="36"/>
      <c r="F14" s="36"/>
      <c r="G14" s="36"/>
      <c r="H14" s="36"/>
      <c r="I14" s="36"/>
      <c r="J14" s="36"/>
      <c r="K14" s="36"/>
      <c r="L14" s="36"/>
      <c r="M14" s="36"/>
      <c r="N14" s="36"/>
      <c r="O14" s="36"/>
      <c r="P14" s="36"/>
      <c r="Q14" s="36"/>
      <c r="R14" s="36"/>
      <c r="S14" s="36"/>
      <c r="T14" s="36"/>
      <c r="U14" s="36"/>
      <c r="V14" s="36"/>
      <c r="W14" s="36"/>
      <c r="X14" s="36"/>
      <c r="Y14" s="36"/>
    </row>
    <row r="15" ht="14.25" customHeight="1">
      <c r="A15" s="36">
        <v>13.0</v>
      </c>
      <c r="B15" s="418" t="s">
        <v>1100</v>
      </c>
      <c r="C15" s="36" t="s">
        <v>62</v>
      </c>
      <c r="D15" s="36" t="s">
        <v>2020</v>
      </c>
      <c r="E15" s="36"/>
      <c r="F15" s="36"/>
      <c r="G15" s="36"/>
      <c r="H15" s="36"/>
      <c r="I15" s="36"/>
      <c r="J15" s="36"/>
      <c r="K15" s="36"/>
      <c r="L15" s="36"/>
      <c r="M15" s="36"/>
      <c r="N15" s="36"/>
      <c r="O15" s="36"/>
      <c r="P15" s="36"/>
      <c r="Q15" s="36"/>
      <c r="R15" s="36"/>
      <c r="S15" s="36"/>
      <c r="T15" s="36"/>
      <c r="U15" s="36"/>
      <c r="V15" s="36"/>
      <c r="W15" s="36"/>
      <c r="X15" s="36"/>
      <c r="Y15" s="36"/>
    </row>
    <row r="16" ht="14.25" customHeight="1">
      <c r="A16" s="36">
        <v>14.0</v>
      </c>
      <c r="B16" s="418" t="s">
        <v>1104</v>
      </c>
      <c r="C16" s="36" t="s">
        <v>62</v>
      </c>
      <c r="D16" s="36" t="s">
        <v>2020</v>
      </c>
      <c r="E16" s="36"/>
      <c r="F16" s="36"/>
      <c r="G16" s="36"/>
      <c r="H16" s="36"/>
      <c r="I16" s="36"/>
      <c r="J16" s="36"/>
      <c r="K16" s="36"/>
      <c r="L16" s="36"/>
      <c r="M16" s="36"/>
      <c r="N16" s="36"/>
      <c r="O16" s="36"/>
      <c r="P16" s="36"/>
      <c r="Q16" s="36"/>
      <c r="R16" s="36"/>
      <c r="S16" s="36"/>
      <c r="T16" s="36"/>
      <c r="U16" s="36"/>
      <c r="V16" s="36"/>
      <c r="W16" s="36"/>
      <c r="X16" s="36"/>
      <c r="Y16" s="36"/>
    </row>
    <row r="17" ht="14.25" customHeight="1">
      <c r="A17" s="36">
        <v>15.0</v>
      </c>
      <c r="B17" s="419" t="s">
        <v>1231</v>
      </c>
      <c r="C17" s="36" t="s">
        <v>2018</v>
      </c>
      <c r="D17" s="36" t="s">
        <v>2021</v>
      </c>
      <c r="E17" s="36"/>
      <c r="F17" s="36"/>
      <c r="G17" s="36"/>
      <c r="H17" s="36"/>
      <c r="I17" s="36"/>
      <c r="J17" s="36"/>
      <c r="K17" s="36"/>
      <c r="L17" s="36"/>
      <c r="M17" s="36"/>
      <c r="N17" s="36"/>
      <c r="O17" s="36"/>
      <c r="P17" s="36"/>
      <c r="Q17" s="36"/>
      <c r="R17" s="36"/>
      <c r="S17" s="36"/>
      <c r="T17" s="36"/>
      <c r="U17" s="36"/>
      <c r="V17" s="36"/>
      <c r="W17" s="36"/>
      <c r="X17" s="36"/>
      <c r="Y17" s="36"/>
    </row>
    <row r="18" ht="14.25" customHeight="1">
      <c r="A18" s="36">
        <v>16.0</v>
      </c>
      <c r="B18" s="419" t="s">
        <v>1254</v>
      </c>
      <c r="C18" s="36" t="s">
        <v>2018</v>
      </c>
      <c r="D18" s="36" t="s">
        <v>2021</v>
      </c>
      <c r="E18" s="36"/>
      <c r="F18" s="36"/>
      <c r="G18" s="36"/>
      <c r="H18" s="36"/>
      <c r="I18" s="36"/>
      <c r="J18" s="36"/>
      <c r="K18" s="36"/>
      <c r="L18" s="36"/>
      <c r="M18" s="36"/>
      <c r="N18" s="36"/>
      <c r="O18" s="36"/>
      <c r="P18" s="36"/>
      <c r="Q18" s="36"/>
      <c r="R18" s="36"/>
      <c r="S18" s="36"/>
      <c r="T18" s="36"/>
      <c r="U18" s="36"/>
      <c r="V18" s="36"/>
      <c r="W18" s="36"/>
      <c r="X18" s="36"/>
      <c r="Y18" s="36"/>
    </row>
    <row r="19" ht="14.25" customHeight="1">
      <c r="A19" s="36">
        <v>17.0</v>
      </c>
      <c r="B19" s="418" t="s">
        <v>929</v>
      </c>
      <c r="C19" s="36" t="s">
        <v>254</v>
      </c>
      <c r="D19" s="36" t="s">
        <v>479</v>
      </c>
      <c r="E19" s="36"/>
      <c r="F19" s="36"/>
      <c r="G19" s="36"/>
      <c r="H19" s="36"/>
      <c r="I19" s="36"/>
      <c r="J19" s="36"/>
      <c r="K19" s="36"/>
      <c r="L19" s="36"/>
      <c r="M19" s="36"/>
      <c r="N19" s="36"/>
      <c r="O19" s="36"/>
      <c r="P19" s="36"/>
      <c r="Q19" s="36"/>
      <c r="R19" s="36"/>
      <c r="S19" s="36"/>
      <c r="T19" s="36"/>
      <c r="U19" s="36"/>
      <c r="V19" s="36"/>
      <c r="W19" s="36"/>
      <c r="X19" s="36"/>
      <c r="Y19" s="36"/>
    </row>
    <row r="20" ht="14.25" customHeight="1">
      <c r="A20" s="36">
        <v>18.0</v>
      </c>
      <c r="B20" s="418" t="s">
        <v>898</v>
      </c>
      <c r="C20" s="36" t="s">
        <v>254</v>
      </c>
      <c r="D20" s="36" t="s">
        <v>479</v>
      </c>
      <c r="E20" s="36"/>
      <c r="F20" s="36"/>
      <c r="G20" s="36"/>
      <c r="H20" s="36"/>
      <c r="I20" s="36"/>
      <c r="J20" s="36"/>
      <c r="K20" s="36"/>
      <c r="L20" s="36"/>
      <c r="M20" s="36"/>
      <c r="N20" s="36"/>
      <c r="O20" s="36"/>
      <c r="P20" s="36"/>
      <c r="Q20" s="36"/>
      <c r="R20" s="36"/>
      <c r="S20" s="36"/>
      <c r="T20" s="36"/>
      <c r="U20" s="36"/>
      <c r="V20" s="36"/>
      <c r="W20" s="36"/>
      <c r="X20" s="36"/>
      <c r="Y20" s="36"/>
    </row>
    <row r="21" ht="14.25" customHeight="1">
      <c r="A21" s="36">
        <v>19.0</v>
      </c>
      <c r="B21" s="420" t="s">
        <v>783</v>
      </c>
      <c r="C21" s="36" t="s">
        <v>219</v>
      </c>
      <c r="D21" s="36" t="s">
        <v>1965</v>
      </c>
      <c r="E21" s="36" t="s">
        <v>476</v>
      </c>
      <c r="F21" s="36"/>
      <c r="G21" s="36"/>
      <c r="H21" s="36"/>
      <c r="I21" s="36"/>
      <c r="J21" s="36"/>
      <c r="K21" s="36"/>
      <c r="L21" s="36"/>
      <c r="M21" s="36"/>
      <c r="N21" s="36"/>
      <c r="O21" s="36"/>
      <c r="P21" s="36"/>
      <c r="Q21" s="36"/>
      <c r="R21" s="36"/>
      <c r="S21" s="36"/>
      <c r="T21" s="36"/>
      <c r="U21" s="36"/>
      <c r="V21" s="36"/>
      <c r="W21" s="36"/>
      <c r="X21" s="36"/>
      <c r="Y21" s="36"/>
    </row>
    <row r="22" ht="14.25" customHeight="1">
      <c r="A22" s="36">
        <v>20.0</v>
      </c>
      <c r="B22" s="36" t="s">
        <v>1670</v>
      </c>
      <c r="C22" s="36" t="s">
        <v>254</v>
      </c>
      <c r="D22" s="36" t="s">
        <v>2021</v>
      </c>
      <c r="E22" s="36"/>
      <c r="F22" s="36"/>
      <c r="G22" s="36"/>
      <c r="H22" s="36"/>
      <c r="I22" s="36"/>
      <c r="J22" s="36"/>
      <c r="K22" s="36"/>
      <c r="L22" s="36"/>
      <c r="M22" s="36"/>
      <c r="N22" s="36"/>
      <c r="O22" s="36"/>
      <c r="P22" s="36"/>
      <c r="Q22" s="36"/>
      <c r="R22" s="36"/>
      <c r="S22" s="36"/>
      <c r="T22" s="36"/>
      <c r="U22" s="36"/>
      <c r="V22" s="36"/>
      <c r="W22" s="36"/>
      <c r="X22" s="36"/>
      <c r="Y22" s="36"/>
    </row>
    <row r="23" ht="14.25" customHeight="1">
      <c r="A23" s="36">
        <v>21.0</v>
      </c>
      <c r="B23" s="36" t="s">
        <v>1678</v>
      </c>
      <c r="C23" s="36" t="s">
        <v>254</v>
      </c>
      <c r="D23" s="36" t="s">
        <v>2021</v>
      </c>
      <c r="E23" s="36"/>
      <c r="F23" s="36"/>
      <c r="G23" s="36"/>
      <c r="H23" s="36"/>
      <c r="I23" s="36"/>
      <c r="J23" s="36"/>
      <c r="K23" s="36"/>
      <c r="L23" s="36"/>
      <c r="M23" s="36"/>
      <c r="N23" s="36"/>
      <c r="O23" s="36"/>
      <c r="P23" s="36"/>
      <c r="Q23" s="36"/>
      <c r="R23" s="36"/>
      <c r="S23" s="36"/>
      <c r="T23" s="36"/>
      <c r="U23" s="36"/>
      <c r="V23" s="36"/>
      <c r="W23" s="36"/>
      <c r="X23" s="36"/>
      <c r="Y23" s="36"/>
    </row>
    <row r="24" ht="14.25" customHeight="1">
      <c r="A24" s="36"/>
      <c r="B24" s="36"/>
      <c r="C24" s="36"/>
      <c r="D24" s="36"/>
      <c r="E24" s="36"/>
      <c r="F24" s="36"/>
      <c r="G24" s="36"/>
      <c r="H24" s="36"/>
      <c r="I24" s="36"/>
      <c r="J24" s="36"/>
      <c r="K24" s="36"/>
      <c r="L24" s="36"/>
      <c r="M24" s="36"/>
      <c r="N24" s="36"/>
      <c r="O24" s="36"/>
      <c r="P24" s="36"/>
      <c r="Q24" s="36"/>
      <c r="R24" s="36"/>
      <c r="S24" s="36"/>
      <c r="T24" s="36"/>
      <c r="U24" s="36"/>
      <c r="V24" s="36"/>
      <c r="W24" s="36"/>
      <c r="X24" s="36"/>
      <c r="Y24" s="36"/>
    </row>
    <row r="25" ht="14.25" customHeight="1">
      <c r="A25" s="36"/>
      <c r="B25" s="36"/>
      <c r="C25" s="36"/>
      <c r="D25" s="36"/>
      <c r="E25" s="36"/>
      <c r="F25" s="36"/>
      <c r="G25" s="36"/>
      <c r="H25" s="36"/>
      <c r="I25" s="36"/>
      <c r="J25" s="36"/>
      <c r="K25" s="36"/>
      <c r="L25" s="36"/>
      <c r="M25" s="36"/>
      <c r="N25" s="36"/>
      <c r="O25" s="36"/>
      <c r="P25" s="36"/>
      <c r="Q25" s="36"/>
      <c r="R25" s="36"/>
      <c r="S25" s="36"/>
      <c r="T25" s="36"/>
      <c r="U25" s="36"/>
      <c r="V25" s="36"/>
      <c r="W25" s="36"/>
      <c r="X25" s="36"/>
      <c r="Y25" s="36"/>
    </row>
    <row r="26" ht="14.25" customHeight="1">
      <c r="A26" s="36"/>
      <c r="B26" s="36"/>
      <c r="C26" s="36"/>
      <c r="D26" s="36"/>
      <c r="E26" s="36"/>
      <c r="F26" s="36"/>
      <c r="G26" s="36"/>
      <c r="H26" s="36"/>
      <c r="I26" s="36"/>
      <c r="J26" s="36"/>
      <c r="K26" s="36"/>
      <c r="L26" s="36"/>
      <c r="M26" s="36"/>
      <c r="N26" s="36"/>
      <c r="O26" s="36"/>
      <c r="P26" s="36"/>
      <c r="Q26" s="36"/>
      <c r="R26" s="36"/>
      <c r="S26" s="36"/>
      <c r="T26" s="36"/>
      <c r="U26" s="36"/>
      <c r="V26" s="36"/>
      <c r="W26" s="36"/>
      <c r="X26" s="36"/>
      <c r="Y26" s="36"/>
    </row>
    <row r="27" ht="14.25" customHeight="1">
      <c r="A27" s="36"/>
      <c r="B27" s="36"/>
      <c r="C27" s="36"/>
      <c r="D27" s="36"/>
      <c r="E27" s="36"/>
      <c r="F27" s="36"/>
      <c r="G27" s="36"/>
      <c r="H27" s="36"/>
      <c r="I27" s="36"/>
      <c r="J27" s="36"/>
      <c r="K27" s="36"/>
      <c r="L27" s="36"/>
      <c r="M27" s="36"/>
      <c r="N27" s="36"/>
      <c r="O27" s="36"/>
      <c r="P27" s="36"/>
      <c r="Q27" s="36"/>
      <c r="R27" s="36"/>
      <c r="S27" s="36"/>
      <c r="T27" s="36"/>
      <c r="U27" s="36"/>
      <c r="V27" s="36"/>
      <c r="W27" s="36"/>
      <c r="X27" s="36"/>
      <c r="Y27" s="36"/>
    </row>
    <row r="28" ht="14.25" customHeight="1">
      <c r="A28" s="36"/>
      <c r="B28" s="36"/>
      <c r="C28" s="36"/>
      <c r="D28" s="36"/>
      <c r="E28" s="36"/>
      <c r="F28" s="36"/>
      <c r="G28" s="36"/>
      <c r="H28" s="36"/>
      <c r="I28" s="36"/>
      <c r="J28" s="36"/>
      <c r="K28" s="36"/>
      <c r="L28" s="36"/>
      <c r="M28" s="36"/>
      <c r="N28" s="36"/>
      <c r="O28" s="36"/>
      <c r="P28" s="36"/>
      <c r="Q28" s="36"/>
      <c r="R28" s="36"/>
      <c r="S28" s="36"/>
      <c r="T28" s="36"/>
      <c r="U28" s="36"/>
      <c r="V28" s="36"/>
      <c r="W28" s="36"/>
      <c r="X28" s="36"/>
      <c r="Y28" s="36"/>
    </row>
    <row r="29" ht="14.25" customHeight="1">
      <c r="A29" s="36"/>
      <c r="B29" s="36"/>
      <c r="C29" s="36"/>
      <c r="D29" s="36"/>
      <c r="E29" s="36"/>
      <c r="F29" s="36"/>
      <c r="G29" s="36"/>
      <c r="H29" s="36"/>
      <c r="I29" s="36"/>
      <c r="J29" s="36"/>
      <c r="K29" s="36"/>
      <c r="L29" s="36"/>
      <c r="M29" s="36"/>
      <c r="N29" s="36"/>
      <c r="O29" s="36"/>
      <c r="P29" s="36"/>
      <c r="Q29" s="36"/>
      <c r="R29" s="36"/>
      <c r="S29" s="36"/>
      <c r="T29" s="36"/>
      <c r="U29" s="36"/>
      <c r="V29" s="36"/>
      <c r="W29" s="36"/>
      <c r="X29" s="36"/>
      <c r="Y29" s="36"/>
    </row>
    <row r="30" ht="14.25" customHeight="1">
      <c r="A30" s="36"/>
      <c r="B30" s="36"/>
      <c r="C30" s="36"/>
      <c r="D30" s="36"/>
      <c r="E30" s="36"/>
      <c r="F30" s="36"/>
      <c r="G30" s="36"/>
      <c r="H30" s="36"/>
      <c r="I30" s="36"/>
      <c r="J30" s="36"/>
      <c r="K30" s="36"/>
      <c r="L30" s="36"/>
      <c r="M30" s="36"/>
      <c r="N30" s="36"/>
      <c r="O30" s="36"/>
      <c r="P30" s="36"/>
      <c r="Q30" s="36"/>
      <c r="R30" s="36"/>
      <c r="S30" s="36"/>
      <c r="T30" s="36"/>
      <c r="U30" s="36"/>
      <c r="V30" s="36"/>
      <c r="W30" s="36"/>
      <c r="X30" s="36"/>
      <c r="Y30" s="36"/>
    </row>
    <row r="31" ht="14.25" customHeight="1">
      <c r="A31" s="36"/>
      <c r="B31" s="36"/>
      <c r="C31" s="36"/>
      <c r="D31" s="36"/>
      <c r="E31" s="36"/>
      <c r="F31" s="36"/>
      <c r="G31" s="36"/>
      <c r="H31" s="36"/>
      <c r="I31" s="36"/>
      <c r="J31" s="36"/>
      <c r="K31" s="36"/>
      <c r="L31" s="36"/>
      <c r="M31" s="36"/>
      <c r="N31" s="36"/>
      <c r="O31" s="36"/>
      <c r="P31" s="36"/>
      <c r="Q31" s="36"/>
      <c r="R31" s="36"/>
      <c r="S31" s="36"/>
      <c r="T31" s="36"/>
      <c r="U31" s="36"/>
      <c r="V31" s="36"/>
      <c r="W31" s="36"/>
      <c r="X31" s="36"/>
      <c r="Y31" s="36"/>
    </row>
    <row r="32" ht="14.25" customHeight="1">
      <c r="A32" s="36"/>
      <c r="B32" s="36"/>
      <c r="C32" s="36"/>
      <c r="D32" s="36"/>
      <c r="E32" s="36"/>
      <c r="F32" s="36"/>
      <c r="G32" s="36"/>
      <c r="H32" s="36"/>
      <c r="I32" s="36"/>
      <c r="J32" s="36"/>
      <c r="K32" s="36"/>
      <c r="L32" s="36"/>
      <c r="M32" s="36"/>
      <c r="N32" s="36"/>
      <c r="O32" s="36"/>
      <c r="P32" s="36"/>
      <c r="Q32" s="36"/>
      <c r="R32" s="36"/>
      <c r="S32" s="36"/>
      <c r="T32" s="36"/>
      <c r="U32" s="36"/>
      <c r="V32" s="36"/>
      <c r="W32" s="36"/>
      <c r="X32" s="36"/>
      <c r="Y32" s="36"/>
    </row>
    <row r="33" ht="14.25" customHeight="1">
      <c r="A33" s="36"/>
      <c r="B33" s="36"/>
      <c r="C33" s="36"/>
      <c r="D33" s="36"/>
      <c r="E33" s="36"/>
      <c r="F33" s="36"/>
      <c r="G33" s="36"/>
      <c r="H33" s="36"/>
      <c r="I33" s="36"/>
      <c r="J33" s="36"/>
      <c r="K33" s="36"/>
      <c r="L33" s="36"/>
      <c r="M33" s="36"/>
      <c r="N33" s="36"/>
      <c r="O33" s="36"/>
      <c r="P33" s="36"/>
      <c r="Q33" s="36"/>
      <c r="R33" s="36"/>
      <c r="S33" s="36"/>
      <c r="T33" s="36"/>
      <c r="U33" s="36"/>
      <c r="V33" s="36"/>
      <c r="W33" s="36"/>
      <c r="X33" s="36"/>
      <c r="Y33" s="36"/>
    </row>
    <row r="34" ht="14.25" customHeight="1">
      <c r="A34" s="36"/>
      <c r="B34" s="36"/>
      <c r="C34" s="36"/>
      <c r="D34" s="36"/>
      <c r="E34" s="36"/>
      <c r="F34" s="36"/>
      <c r="G34" s="36"/>
      <c r="H34" s="36"/>
      <c r="I34" s="36"/>
      <c r="J34" s="36"/>
      <c r="K34" s="36"/>
      <c r="L34" s="36"/>
      <c r="M34" s="36"/>
      <c r="N34" s="36"/>
      <c r="O34" s="36"/>
      <c r="P34" s="36"/>
      <c r="Q34" s="36"/>
      <c r="R34" s="36"/>
      <c r="S34" s="36"/>
      <c r="T34" s="36"/>
      <c r="U34" s="36"/>
      <c r="V34" s="36"/>
      <c r="W34" s="36"/>
      <c r="X34" s="36"/>
      <c r="Y34" s="36"/>
    </row>
    <row r="35" ht="14.25" customHeight="1">
      <c r="A35" s="36"/>
      <c r="B35" s="36"/>
      <c r="C35" s="36"/>
      <c r="D35" s="36"/>
      <c r="E35" s="36"/>
      <c r="F35" s="36"/>
      <c r="G35" s="36"/>
      <c r="H35" s="36"/>
      <c r="I35" s="36"/>
      <c r="J35" s="36"/>
      <c r="K35" s="36"/>
      <c r="L35" s="36"/>
      <c r="M35" s="36"/>
      <c r="N35" s="36"/>
      <c r="O35" s="36"/>
      <c r="P35" s="36"/>
      <c r="Q35" s="36"/>
      <c r="R35" s="36"/>
      <c r="S35" s="36"/>
      <c r="T35" s="36"/>
      <c r="U35" s="36"/>
      <c r="V35" s="36"/>
      <c r="W35" s="36"/>
      <c r="X35" s="36"/>
      <c r="Y35" s="36"/>
    </row>
    <row r="36" ht="14.25" customHeight="1">
      <c r="A36" s="36"/>
      <c r="B36" s="36"/>
      <c r="C36" s="36"/>
      <c r="D36" s="36"/>
      <c r="E36" s="36"/>
      <c r="F36" s="36"/>
      <c r="G36" s="36"/>
      <c r="H36" s="36"/>
      <c r="I36" s="36"/>
      <c r="J36" s="36"/>
      <c r="K36" s="36"/>
      <c r="L36" s="36"/>
      <c r="M36" s="36"/>
      <c r="N36" s="36"/>
      <c r="O36" s="36"/>
      <c r="P36" s="36"/>
      <c r="Q36" s="36"/>
      <c r="R36" s="36"/>
      <c r="S36" s="36"/>
      <c r="T36" s="36"/>
      <c r="U36" s="36"/>
      <c r="V36" s="36"/>
      <c r="W36" s="36"/>
      <c r="X36" s="36"/>
      <c r="Y36" s="36"/>
    </row>
    <row r="37" ht="14.25" customHeight="1">
      <c r="A37" s="36"/>
      <c r="B37" s="36"/>
      <c r="C37" s="36"/>
      <c r="D37" s="36"/>
      <c r="E37" s="36"/>
      <c r="F37" s="36"/>
      <c r="G37" s="36"/>
      <c r="H37" s="36"/>
      <c r="I37" s="36"/>
      <c r="J37" s="36"/>
      <c r="K37" s="36"/>
      <c r="L37" s="36"/>
      <c r="M37" s="36"/>
      <c r="N37" s="36"/>
      <c r="O37" s="36"/>
      <c r="P37" s="36"/>
      <c r="Q37" s="36"/>
      <c r="R37" s="36"/>
      <c r="S37" s="36"/>
      <c r="T37" s="36"/>
      <c r="U37" s="36"/>
      <c r="V37" s="36"/>
      <c r="W37" s="36"/>
      <c r="X37" s="36"/>
      <c r="Y37" s="36"/>
    </row>
    <row r="38" ht="14.25" customHeight="1">
      <c r="A38" s="36"/>
      <c r="B38" s="36"/>
      <c r="C38" s="36"/>
      <c r="D38" s="36"/>
      <c r="E38" s="36"/>
      <c r="F38" s="36"/>
      <c r="G38" s="36"/>
      <c r="H38" s="36"/>
      <c r="I38" s="36"/>
      <c r="J38" s="36"/>
      <c r="K38" s="36"/>
      <c r="L38" s="36"/>
      <c r="M38" s="36"/>
      <c r="N38" s="36"/>
      <c r="O38" s="36"/>
      <c r="P38" s="36"/>
      <c r="Q38" s="36"/>
      <c r="R38" s="36"/>
      <c r="S38" s="36"/>
      <c r="T38" s="36"/>
      <c r="U38" s="36"/>
      <c r="V38" s="36"/>
      <c r="W38" s="36"/>
      <c r="X38" s="36"/>
      <c r="Y38" s="36"/>
    </row>
    <row r="39" ht="14.25" customHeight="1">
      <c r="A39" s="36"/>
      <c r="B39" s="36"/>
      <c r="C39" s="36"/>
      <c r="D39" s="36"/>
      <c r="E39" s="36"/>
      <c r="F39" s="36"/>
      <c r="G39" s="36"/>
      <c r="H39" s="36"/>
      <c r="I39" s="36"/>
      <c r="J39" s="36"/>
      <c r="K39" s="36"/>
      <c r="L39" s="36"/>
      <c r="M39" s="36"/>
      <c r="N39" s="36"/>
      <c r="O39" s="36"/>
      <c r="P39" s="36"/>
      <c r="Q39" s="36"/>
      <c r="R39" s="36"/>
      <c r="S39" s="36"/>
      <c r="T39" s="36"/>
      <c r="U39" s="36"/>
      <c r="V39" s="36"/>
      <c r="W39" s="36"/>
      <c r="X39" s="36"/>
      <c r="Y39" s="36"/>
    </row>
    <row r="40" ht="14.25"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row>
    <row r="41" ht="14.25" customHeight="1">
      <c r="A41" s="36"/>
      <c r="B41" s="36"/>
      <c r="C41" s="36"/>
      <c r="D41" s="36"/>
      <c r="E41" s="36"/>
      <c r="F41" s="36"/>
      <c r="G41" s="36"/>
      <c r="H41" s="36"/>
      <c r="I41" s="36"/>
      <c r="J41" s="36"/>
      <c r="K41" s="36"/>
      <c r="L41" s="36"/>
      <c r="M41" s="36"/>
      <c r="N41" s="36"/>
      <c r="O41" s="36"/>
      <c r="P41" s="36"/>
      <c r="Q41" s="36"/>
      <c r="R41" s="36"/>
      <c r="S41" s="36"/>
      <c r="T41" s="36"/>
      <c r="U41" s="36"/>
      <c r="V41" s="36"/>
      <c r="W41" s="36"/>
      <c r="X41" s="36"/>
      <c r="Y41" s="36"/>
    </row>
    <row r="42" ht="14.25"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row>
    <row r="43" ht="14.25"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row>
    <row r="44" ht="14.25"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row>
    <row r="45" ht="14.25"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row>
    <row r="46" ht="14.25"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row>
    <row r="47" ht="14.25" customHeight="1">
      <c r="A47" s="36"/>
      <c r="B47" s="36"/>
      <c r="C47" s="36"/>
      <c r="D47" s="36"/>
      <c r="E47" s="36"/>
      <c r="F47" s="36"/>
      <c r="G47" s="36"/>
      <c r="H47" s="36"/>
      <c r="I47" s="36"/>
      <c r="J47" s="36"/>
      <c r="K47" s="36"/>
      <c r="L47" s="36"/>
      <c r="M47" s="36"/>
      <c r="N47" s="36"/>
      <c r="O47" s="36"/>
      <c r="P47" s="36"/>
      <c r="Q47" s="36"/>
      <c r="R47" s="36"/>
      <c r="S47" s="36"/>
      <c r="T47" s="36"/>
      <c r="U47" s="36"/>
      <c r="V47" s="36"/>
      <c r="W47" s="36"/>
      <c r="X47" s="36"/>
      <c r="Y47" s="36"/>
    </row>
    <row r="48" ht="14.25" customHeight="1">
      <c r="A48" s="36"/>
      <c r="B48" s="36"/>
      <c r="C48" s="36"/>
      <c r="D48" s="36"/>
      <c r="E48" s="36"/>
      <c r="F48" s="36"/>
      <c r="G48" s="36"/>
      <c r="H48" s="36"/>
      <c r="I48" s="36"/>
      <c r="J48" s="36"/>
      <c r="K48" s="36"/>
      <c r="L48" s="36"/>
      <c r="M48" s="36"/>
      <c r="N48" s="36"/>
      <c r="O48" s="36"/>
      <c r="P48" s="36"/>
      <c r="Q48" s="36"/>
      <c r="R48" s="36"/>
      <c r="S48" s="36"/>
      <c r="T48" s="36"/>
      <c r="U48" s="36"/>
      <c r="V48" s="36"/>
      <c r="W48" s="36"/>
      <c r="X48" s="36"/>
      <c r="Y48" s="36"/>
    </row>
    <row r="49" ht="14.25" customHeight="1">
      <c r="A49" s="36"/>
      <c r="B49" s="36"/>
      <c r="C49" s="36"/>
      <c r="D49" s="36"/>
      <c r="E49" s="36"/>
      <c r="F49" s="36"/>
      <c r="G49" s="36"/>
      <c r="H49" s="36"/>
      <c r="I49" s="36"/>
      <c r="J49" s="36"/>
      <c r="K49" s="36"/>
      <c r="L49" s="36"/>
      <c r="M49" s="36"/>
      <c r="N49" s="36"/>
      <c r="O49" s="36"/>
      <c r="P49" s="36"/>
      <c r="Q49" s="36"/>
      <c r="R49" s="36"/>
      <c r="S49" s="36"/>
      <c r="T49" s="36"/>
      <c r="U49" s="36"/>
      <c r="V49" s="36"/>
      <c r="W49" s="36"/>
      <c r="X49" s="36"/>
      <c r="Y49" s="36"/>
    </row>
    <row r="50" ht="14.25" customHeight="1">
      <c r="A50" s="36"/>
      <c r="B50" s="36"/>
      <c r="C50" s="36"/>
      <c r="D50" s="36"/>
      <c r="E50" s="36"/>
      <c r="F50" s="36"/>
      <c r="G50" s="36"/>
      <c r="H50" s="36"/>
      <c r="I50" s="36"/>
      <c r="J50" s="36"/>
      <c r="K50" s="36"/>
      <c r="L50" s="36"/>
      <c r="M50" s="36"/>
      <c r="N50" s="36"/>
      <c r="O50" s="36"/>
      <c r="P50" s="36"/>
      <c r="Q50" s="36"/>
      <c r="R50" s="36"/>
      <c r="S50" s="36"/>
      <c r="T50" s="36"/>
      <c r="U50" s="36"/>
      <c r="V50" s="36"/>
      <c r="W50" s="36"/>
      <c r="X50" s="36"/>
      <c r="Y50" s="36"/>
    </row>
    <row r="51" ht="14.25" customHeight="1">
      <c r="A51" s="36"/>
      <c r="B51" s="36"/>
      <c r="C51" s="36"/>
      <c r="D51" s="36"/>
      <c r="E51" s="36"/>
      <c r="F51" s="36"/>
      <c r="G51" s="36"/>
      <c r="H51" s="36"/>
      <c r="I51" s="36"/>
      <c r="J51" s="36"/>
      <c r="K51" s="36"/>
      <c r="L51" s="36"/>
      <c r="M51" s="36"/>
      <c r="N51" s="36"/>
      <c r="O51" s="36"/>
      <c r="P51" s="36"/>
      <c r="Q51" s="36"/>
      <c r="R51" s="36"/>
      <c r="S51" s="36"/>
      <c r="T51" s="36"/>
      <c r="U51" s="36"/>
      <c r="V51" s="36"/>
      <c r="W51" s="36"/>
      <c r="X51" s="36"/>
      <c r="Y51" s="36"/>
    </row>
    <row r="52" ht="14.25" customHeight="1">
      <c r="A52" s="36"/>
      <c r="B52" s="36"/>
      <c r="C52" s="36"/>
      <c r="D52" s="36"/>
      <c r="E52" s="36"/>
      <c r="F52" s="36"/>
      <c r="G52" s="36"/>
      <c r="H52" s="36"/>
      <c r="I52" s="36"/>
      <c r="J52" s="36"/>
      <c r="K52" s="36"/>
      <c r="L52" s="36"/>
      <c r="M52" s="36"/>
      <c r="N52" s="36"/>
      <c r="O52" s="36"/>
      <c r="P52" s="36"/>
      <c r="Q52" s="36"/>
      <c r="R52" s="36"/>
      <c r="S52" s="36"/>
      <c r="T52" s="36"/>
      <c r="U52" s="36"/>
      <c r="V52" s="36"/>
      <c r="W52" s="36"/>
      <c r="X52" s="36"/>
      <c r="Y52" s="36"/>
    </row>
    <row r="53" ht="14.25" customHeight="1">
      <c r="A53" s="36"/>
      <c r="B53" s="36"/>
      <c r="C53" s="36"/>
      <c r="D53" s="36"/>
      <c r="E53" s="36"/>
      <c r="F53" s="36"/>
      <c r="G53" s="36"/>
      <c r="H53" s="36"/>
      <c r="I53" s="36"/>
      <c r="J53" s="36"/>
      <c r="K53" s="36"/>
      <c r="L53" s="36"/>
      <c r="M53" s="36"/>
      <c r="N53" s="36"/>
      <c r="O53" s="36"/>
      <c r="P53" s="36"/>
      <c r="Q53" s="36"/>
      <c r="R53" s="36"/>
      <c r="S53" s="36"/>
      <c r="T53" s="36"/>
      <c r="U53" s="36"/>
      <c r="V53" s="36"/>
      <c r="W53" s="36"/>
      <c r="X53" s="36"/>
      <c r="Y53" s="36"/>
    </row>
    <row r="54" ht="14.25" customHeight="1">
      <c r="A54" s="36"/>
      <c r="B54" s="36"/>
      <c r="C54" s="36"/>
      <c r="D54" s="36"/>
      <c r="E54" s="36"/>
      <c r="F54" s="36"/>
      <c r="G54" s="36"/>
      <c r="H54" s="36"/>
      <c r="I54" s="36"/>
      <c r="J54" s="36"/>
      <c r="K54" s="36"/>
      <c r="L54" s="36"/>
      <c r="M54" s="36"/>
      <c r="N54" s="36"/>
      <c r="O54" s="36"/>
      <c r="P54" s="36"/>
      <c r="Q54" s="36"/>
      <c r="R54" s="36"/>
      <c r="S54" s="36"/>
      <c r="T54" s="36"/>
      <c r="U54" s="36"/>
      <c r="V54" s="36"/>
      <c r="W54" s="36"/>
      <c r="X54" s="36"/>
      <c r="Y54" s="36"/>
    </row>
    <row r="55" ht="14.25" customHeight="1">
      <c r="A55" s="36"/>
      <c r="B55" s="36"/>
      <c r="C55" s="36"/>
      <c r="D55" s="36"/>
      <c r="E55" s="36"/>
      <c r="F55" s="36"/>
      <c r="G55" s="36"/>
      <c r="H55" s="36"/>
      <c r="I55" s="36"/>
      <c r="J55" s="36"/>
      <c r="K55" s="36"/>
      <c r="L55" s="36"/>
      <c r="M55" s="36"/>
      <c r="N55" s="36"/>
      <c r="O55" s="36"/>
      <c r="P55" s="36"/>
      <c r="Q55" s="36"/>
      <c r="R55" s="36"/>
      <c r="S55" s="36"/>
      <c r="T55" s="36"/>
      <c r="U55" s="36"/>
      <c r="V55" s="36"/>
      <c r="W55" s="36"/>
      <c r="X55" s="36"/>
      <c r="Y55" s="36"/>
    </row>
    <row r="56" ht="14.25" customHeight="1">
      <c r="A56" s="36"/>
      <c r="B56" s="36"/>
      <c r="C56" s="36"/>
      <c r="D56" s="36"/>
      <c r="E56" s="36"/>
      <c r="F56" s="36"/>
      <c r="G56" s="36"/>
      <c r="H56" s="36"/>
      <c r="I56" s="36"/>
      <c r="J56" s="36"/>
      <c r="K56" s="36"/>
      <c r="L56" s="36"/>
      <c r="M56" s="36"/>
      <c r="N56" s="36"/>
      <c r="O56" s="36"/>
      <c r="P56" s="36"/>
      <c r="Q56" s="36"/>
      <c r="R56" s="36"/>
      <c r="S56" s="36"/>
      <c r="T56" s="36"/>
      <c r="U56" s="36"/>
      <c r="V56" s="36"/>
      <c r="W56" s="36"/>
      <c r="X56" s="36"/>
      <c r="Y56" s="36"/>
    </row>
    <row r="57" ht="14.25" customHeight="1">
      <c r="A57" s="36"/>
      <c r="B57" s="36"/>
      <c r="C57" s="36"/>
      <c r="D57" s="36"/>
      <c r="E57" s="36"/>
      <c r="F57" s="36"/>
      <c r="G57" s="36"/>
      <c r="H57" s="36"/>
      <c r="I57" s="36"/>
      <c r="J57" s="36"/>
      <c r="K57" s="36"/>
      <c r="L57" s="36"/>
      <c r="M57" s="36"/>
      <c r="N57" s="36"/>
      <c r="O57" s="36"/>
      <c r="P57" s="36"/>
      <c r="Q57" s="36"/>
      <c r="R57" s="36"/>
      <c r="S57" s="36"/>
      <c r="T57" s="36"/>
      <c r="U57" s="36"/>
      <c r="V57" s="36"/>
      <c r="W57" s="36"/>
      <c r="X57" s="36"/>
      <c r="Y57" s="36"/>
    </row>
    <row r="58" ht="14.25" customHeight="1">
      <c r="A58" s="36"/>
      <c r="B58" s="36"/>
      <c r="C58" s="36"/>
      <c r="D58" s="36"/>
      <c r="E58" s="36"/>
      <c r="F58" s="36"/>
      <c r="G58" s="36"/>
      <c r="H58" s="36"/>
      <c r="I58" s="36"/>
      <c r="J58" s="36"/>
      <c r="K58" s="36"/>
      <c r="L58" s="36"/>
      <c r="M58" s="36"/>
      <c r="N58" s="36"/>
      <c r="O58" s="36"/>
      <c r="P58" s="36"/>
      <c r="Q58" s="36"/>
      <c r="R58" s="36"/>
      <c r="S58" s="36"/>
      <c r="T58" s="36"/>
      <c r="U58" s="36"/>
      <c r="V58" s="36"/>
      <c r="W58" s="36"/>
      <c r="X58" s="36"/>
      <c r="Y58" s="36"/>
    </row>
    <row r="59" ht="14.25" customHeight="1">
      <c r="A59" s="36"/>
      <c r="B59" s="36"/>
      <c r="C59" s="36"/>
      <c r="D59" s="36"/>
      <c r="E59" s="36"/>
      <c r="F59" s="36"/>
      <c r="G59" s="36"/>
      <c r="H59" s="36"/>
      <c r="I59" s="36"/>
      <c r="J59" s="36"/>
      <c r="K59" s="36"/>
      <c r="L59" s="36"/>
      <c r="M59" s="36"/>
      <c r="N59" s="36"/>
      <c r="O59" s="36"/>
      <c r="P59" s="36"/>
      <c r="Q59" s="36"/>
      <c r="R59" s="36"/>
      <c r="S59" s="36"/>
      <c r="T59" s="36"/>
      <c r="U59" s="36"/>
      <c r="V59" s="36"/>
      <c r="W59" s="36"/>
      <c r="X59" s="36"/>
      <c r="Y59" s="36"/>
    </row>
    <row r="60" ht="14.25" customHeight="1">
      <c r="A60" s="36"/>
      <c r="B60" s="36"/>
      <c r="C60" s="36"/>
      <c r="D60" s="36"/>
      <c r="E60" s="36"/>
      <c r="F60" s="36"/>
      <c r="G60" s="36"/>
      <c r="H60" s="36"/>
      <c r="I60" s="36"/>
      <c r="J60" s="36"/>
      <c r="K60" s="36"/>
      <c r="L60" s="36"/>
      <c r="M60" s="36"/>
      <c r="N60" s="36"/>
      <c r="O60" s="36"/>
      <c r="P60" s="36"/>
      <c r="Q60" s="36"/>
      <c r="R60" s="36"/>
      <c r="S60" s="36"/>
      <c r="T60" s="36"/>
      <c r="U60" s="36"/>
      <c r="V60" s="36"/>
      <c r="W60" s="36"/>
      <c r="X60" s="36"/>
      <c r="Y60" s="36"/>
    </row>
    <row r="61" ht="14.25" customHeight="1">
      <c r="A61" s="36"/>
      <c r="B61" s="36"/>
      <c r="C61" s="36"/>
      <c r="D61" s="36"/>
      <c r="E61" s="36"/>
      <c r="F61" s="36"/>
      <c r="G61" s="36"/>
      <c r="H61" s="36"/>
      <c r="I61" s="36"/>
      <c r="J61" s="36"/>
      <c r="K61" s="36"/>
      <c r="L61" s="36"/>
      <c r="M61" s="36"/>
      <c r="N61" s="36"/>
      <c r="O61" s="36"/>
      <c r="P61" s="36"/>
      <c r="Q61" s="36"/>
      <c r="R61" s="36"/>
      <c r="S61" s="36"/>
      <c r="T61" s="36"/>
      <c r="U61" s="36"/>
      <c r="V61" s="36"/>
      <c r="W61" s="36"/>
      <c r="X61" s="36"/>
      <c r="Y61" s="36"/>
    </row>
    <row r="62" ht="14.25" customHeight="1">
      <c r="A62" s="36"/>
      <c r="B62" s="36"/>
      <c r="C62" s="36"/>
      <c r="D62" s="36"/>
      <c r="E62" s="36"/>
      <c r="F62" s="36"/>
      <c r="G62" s="36"/>
      <c r="H62" s="36"/>
      <c r="I62" s="36"/>
      <c r="J62" s="36"/>
      <c r="K62" s="36"/>
      <c r="L62" s="36"/>
      <c r="M62" s="36"/>
      <c r="N62" s="36"/>
      <c r="O62" s="36"/>
      <c r="P62" s="36"/>
      <c r="Q62" s="36"/>
      <c r="R62" s="36"/>
      <c r="S62" s="36"/>
      <c r="T62" s="36"/>
      <c r="U62" s="36"/>
      <c r="V62" s="36"/>
      <c r="W62" s="36"/>
      <c r="X62" s="36"/>
      <c r="Y62" s="36"/>
    </row>
    <row r="63" ht="14.25" customHeight="1">
      <c r="A63" s="36"/>
      <c r="B63" s="36"/>
      <c r="C63" s="36"/>
      <c r="D63" s="36"/>
      <c r="E63" s="36"/>
      <c r="F63" s="36"/>
      <c r="G63" s="36"/>
      <c r="H63" s="36"/>
      <c r="I63" s="36"/>
      <c r="J63" s="36"/>
      <c r="K63" s="36"/>
      <c r="L63" s="36"/>
      <c r="M63" s="36"/>
      <c r="N63" s="36"/>
      <c r="O63" s="36"/>
      <c r="P63" s="36"/>
      <c r="Q63" s="36"/>
      <c r="R63" s="36"/>
      <c r="S63" s="36"/>
      <c r="T63" s="36"/>
      <c r="U63" s="36"/>
      <c r="V63" s="36"/>
      <c r="W63" s="36"/>
      <c r="X63" s="36"/>
      <c r="Y63" s="36"/>
    </row>
    <row r="64" ht="14.25" customHeight="1">
      <c r="A64" s="36"/>
      <c r="B64" s="36"/>
      <c r="C64" s="36"/>
      <c r="D64" s="36"/>
      <c r="E64" s="36"/>
      <c r="F64" s="36"/>
      <c r="G64" s="36"/>
      <c r="H64" s="36"/>
      <c r="I64" s="36"/>
      <c r="J64" s="36"/>
      <c r="K64" s="36"/>
      <c r="L64" s="36"/>
      <c r="M64" s="36"/>
      <c r="N64" s="36"/>
      <c r="O64" s="36"/>
      <c r="P64" s="36"/>
      <c r="Q64" s="36"/>
      <c r="R64" s="36"/>
      <c r="S64" s="36"/>
      <c r="T64" s="36"/>
      <c r="U64" s="36"/>
      <c r="V64" s="36"/>
      <c r="W64" s="36"/>
      <c r="X64" s="36"/>
      <c r="Y64" s="36"/>
    </row>
    <row r="65" ht="14.25" customHeight="1">
      <c r="A65" s="36"/>
      <c r="B65" s="36"/>
      <c r="C65" s="36"/>
      <c r="D65" s="36"/>
      <c r="E65" s="36"/>
      <c r="F65" s="36"/>
      <c r="G65" s="36"/>
      <c r="H65" s="36"/>
      <c r="I65" s="36"/>
      <c r="J65" s="36"/>
      <c r="K65" s="36"/>
      <c r="L65" s="36"/>
      <c r="M65" s="36"/>
      <c r="N65" s="36"/>
      <c r="O65" s="36"/>
      <c r="P65" s="36"/>
      <c r="Q65" s="36"/>
      <c r="R65" s="36"/>
      <c r="S65" s="36"/>
      <c r="T65" s="36"/>
      <c r="U65" s="36"/>
      <c r="V65" s="36"/>
      <c r="W65" s="36"/>
      <c r="X65" s="36"/>
      <c r="Y65" s="36"/>
    </row>
    <row r="66" ht="14.25" customHeight="1">
      <c r="A66" s="36"/>
      <c r="B66" s="36"/>
      <c r="C66" s="36"/>
      <c r="D66" s="36"/>
      <c r="E66" s="36"/>
      <c r="F66" s="36"/>
      <c r="G66" s="36"/>
      <c r="H66" s="36"/>
      <c r="I66" s="36"/>
      <c r="J66" s="36"/>
      <c r="K66" s="36"/>
      <c r="L66" s="36"/>
      <c r="M66" s="36"/>
      <c r="N66" s="36"/>
      <c r="O66" s="36"/>
      <c r="P66" s="36"/>
      <c r="Q66" s="36"/>
      <c r="R66" s="36"/>
      <c r="S66" s="36"/>
      <c r="T66" s="36"/>
      <c r="U66" s="36"/>
      <c r="V66" s="36"/>
      <c r="W66" s="36"/>
      <c r="X66" s="36"/>
      <c r="Y66" s="36"/>
    </row>
    <row r="67" ht="14.25" customHeight="1">
      <c r="A67" s="36"/>
      <c r="B67" s="36"/>
      <c r="C67" s="36"/>
      <c r="D67" s="36"/>
      <c r="E67" s="36"/>
      <c r="F67" s="36"/>
      <c r="G67" s="36"/>
      <c r="H67" s="36"/>
      <c r="I67" s="36"/>
      <c r="J67" s="36"/>
      <c r="K67" s="36"/>
      <c r="L67" s="36"/>
      <c r="M67" s="36"/>
      <c r="N67" s="36"/>
      <c r="O67" s="36"/>
      <c r="P67" s="36"/>
      <c r="Q67" s="36"/>
      <c r="R67" s="36"/>
      <c r="S67" s="36"/>
      <c r="T67" s="36"/>
      <c r="U67" s="36"/>
      <c r="V67" s="36"/>
      <c r="W67" s="36"/>
      <c r="X67" s="36"/>
      <c r="Y67" s="36"/>
    </row>
    <row r="68" ht="14.25" customHeight="1">
      <c r="A68" s="36"/>
      <c r="B68" s="36"/>
      <c r="C68" s="36"/>
      <c r="D68" s="36"/>
      <c r="E68" s="36"/>
      <c r="F68" s="36"/>
      <c r="G68" s="36"/>
      <c r="H68" s="36"/>
      <c r="I68" s="36"/>
      <c r="J68" s="36"/>
      <c r="K68" s="36"/>
      <c r="L68" s="36"/>
      <c r="M68" s="36"/>
      <c r="N68" s="36"/>
      <c r="O68" s="36"/>
      <c r="P68" s="36"/>
      <c r="Q68" s="36"/>
      <c r="R68" s="36"/>
      <c r="S68" s="36"/>
      <c r="T68" s="36"/>
      <c r="U68" s="36"/>
      <c r="V68" s="36"/>
      <c r="W68" s="36"/>
      <c r="X68" s="36"/>
      <c r="Y68" s="36"/>
    </row>
    <row r="69" ht="14.25" customHeight="1">
      <c r="A69" s="36"/>
      <c r="B69" s="36"/>
      <c r="C69" s="36"/>
      <c r="D69" s="36"/>
      <c r="E69" s="36"/>
      <c r="F69" s="36"/>
      <c r="G69" s="36"/>
      <c r="H69" s="36"/>
      <c r="I69" s="36"/>
      <c r="J69" s="36"/>
      <c r="K69" s="36"/>
      <c r="L69" s="36"/>
      <c r="M69" s="36"/>
      <c r="N69" s="36"/>
      <c r="O69" s="36"/>
      <c r="P69" s="36"/>
      <c r="Q69" s="36"/>
      <c r="R69" s="36"/>
      <c r="S69" s="36"/>
      <c r="T69" s="36"/>
      <c r="U69" s="36"/>
      <c r="V69" s="36"/>
      <c r="W69" s="36"/>
      <c r="X69" s="36"/>
      <c r="Y69" s="36"/>
    </row>
    <row r="70" ht="14.25" customHeight="1">
      <c r="A70" s="36"/>
      <c r="B70" s="36"/>
      <c r="C70" s="36"/>
      <c r="D70" s="36"/>
      <c r="E70" s="36"/>
      <c r="F70" s="36"/>
      <c r="G70" s="36"/>
      <c r="H70" s="36"/>
      <c r="I70" s="36"/>
      <c r="J70" s="36"/>
      <c r="K70" s="36"/>
      <c r="L70" s="36"/>
      <c r="M70" s="36"/>
      <c r="N70" s="36"/>
      <c r="O70" s="36"/>
      <c r="P70" s="36"/>
      <c r="Q70" s="36"/>
      <c r="R70" s="36"/>
      <c r="S70" s="36"/>
      <c r="T70" s="36"/>
      <c r="U70" s="36"/>
      <c r="V70" s="36"/>
      <c r="W70" s="36"/>
      <c r="X70" s="36"/>
      <c r="Y70" s="36"/>
    </row>
    <row r="71" ht="14.25" customHeight="1">
      <c r="A71" s="36"/>
      <c r="B71" s="36"/>
      <c r="C71" s="36"/>
      <c r="D71" s="36"/>
      <c r="E71" s="36"/>
      <c r="F71" s="36"/>
      <c r="G71" s="36"/>
      <c r="H71" s="36"/>
      <c r="I71" s="36"/>
      <c r="J71" s="36"/>
      <c r="K71" s="36"/>
      <c r="L71" s="36"/>
      <c r="M71" s="36"/>
      <c r="N71" s="36"/>
      <c r="O71" s="36"/>
      <c r="P71" s="36"/>
      <c r="Q71" s="36"/>
      <c r="R71" s="36"/>
      <c r="S71" s="36"/>
      <c r="T71" s="36"/>
      <c r="U71" s="36"/>
      <c r="V71" s="36"/>
      <c r="W71" s="36"/>
      <c r="X71" s="36"/>
      <c r="Y71" s="36"/>
    </row>
    <row r="72" ht="14.25" customHeight="1">
      <c r="A72" s="36"/>
      <c r="B72" s="36"/>
      <c r="C72" s="36"/>
      <c r="D72" s="36"/>
      <c r="E72" s="36"/>
      <c r="F72" s="36"/>
      <c r="G72" s="36"/>
      <c r="H72" s="36"/>
      <c r="I72" s="36"/>
      <c r="J72" s="36"/>
      <c r="K72" s="36"/>
      <c r="L72" s="36"/>
      <c r="M72" s="36"/>
      <c r="N72" s="36"/>
      <c r="O72" s="36"/>
      <c r="P72" s="36"/>
      <c r="Q72" s="36"/>
      <c r="R72" s="36"/>
      <c r="S72" s="36"/>
      <c r="T72" s="36"/>
      <c r="U72" s="36"/>
      <c r="V72" s="36"/>
      <c r="W72" s="36"/>
      <c r="X72" s="36"/>
      <c r="Y72" s="36"/>
    </row>
    <row r="73" ht="14.25" customHeight="1">
      <c r="A73" s="36"/>
      <c r="B73" s="36"/>
      <c r="C73" s="36"/>
      <c r="D73" s="36"/>
      <c r="E73" s="36"/>
      <c r="F73" s="36"/>
      <c r="G73" s="36"/>
      <c r="H73" s="36"/>
      <c r="I73" s="36"/>
      <c r="J73" s="36"/>
      <c r="K73" s="36"/>
      <c r="L73" s="36"/>
      <c r="M73" s="36"/>
      <c r="N73" s="36"/>
      <c r="O73" s="36"/>
      <c r="P73" s="36"/>
      <c r="Q73" s="36"/>
      <c r="R73" s="36"/>
      <c r="S73" s="36"/>
      <c r="T73" s="36"/>
      <c r="U73" s="36"/>
      <c r="V73" s="36"/>
      <c r="W73" s="36"/>
      <c r="X73" s="36"/>
      <c r="Y73" s="36"/>
    </row>
    <row r="74" ht="14.25" customHeight="1">
      <c r="A74" s="36"/>
      <c r="B74" s="36"/>
      <c r="C74" s="36"/>
      <c r="D74" s="36"/>
      <c r="E74" s="36"/>
      <c r="F74" s="36"/>
      <c r="G74" s="36"/>
      <c r="H74" s="36"/>
      <c r="I74" s="36"/>
      <c r="J74" s="36"/>
      <c r="K74" s="36"/>
      <c r="L74" s="36"/>
      <c r="M74" s="36"/>
      <c r="N74" s="36"/>
      <c r="O74" s="36"/>
      <c r="P74" s="36"/>
      <c r="Q74" s="36"/>
      <c r="R74" s="36"/>
      <c r="S74" s="36"/>
      <c r="T74" s="36"/>
      <c r="U74" s="36"/>
      <c r="V74" s="36"/>
      <c r="W74" s="36"/>
      <c r="X74" s="36"/>
      <c r="Y74" s="36"/>
    </row>
    <row r="75" ht="14.25" customHeight="1">
      <c r="A75" s="36"/>
      <c r="B75" s="36"/>
      <c r="C75" s="36"/>
      <c r="D75" s="36"/>
      <c r="E75" s="36"/>
      <c r="F75" s="36"/>
      <c r="G75" s="36"/>
      <c r="H75" s="36"/>
      <c r="I75" s="36"/>
      <c r="J75" s="36"/>
      <c r="K75" s="36"/>
      <c r="L75" s="36"/>
      <c r="M75" s="36"/>
      <c r="N75" s="36"/>
      <c r="O75" s="36"/>
      <c r="P75" s="36"/>
      <c r="Q75" s="36"/>
      <c r="R75" s="36"/>
      <c r="S75" s="36"/>
      <c r="T75" s="36"/>
      <c r="U75" s="36"/>
      <c r="V75" s="36"/>
      <c r="W75" s="36"/>
      <c r="X75" s="36"/>
      <c r="Y75" s="36"/>
    </row>
    <row r="76" ht="14.25" customHeight="1">
      <c r="A76" s="36"/>
      <c r="B76" s="36"/>
      <c r="C76" s="36"/>
      <c r="D76" s="36"/>
      <c r="E76" s="36"/>
      <c r="F76" s="36"/>
      <c r="G76" s="36"/>
      <c r="H76" s="36"/>
      <c r="I76" s="36"/>
      <c r="J76" s="36"/>
      <c r="K76" s="36"/>
      <c r="L76" s="36"/>
      <c r="M76" s="36"/>
      <c r="N76" s="36"/>
      <c r="O76" s="36"/>
      <c r="P76" s="36"/>
      <c r="Q76" s="36"/>
      <c r="R76" s="36"/>
      <c r="S76" s="36"/>
      <c r="T76" s="36"/>
      <c r="U76" s="36"/>
      <c r="V76" s="36"/>
      <c r="W76" s="36"/>
      <c r="X76" s="36"/>
      <c r="Y76" s="36"/>
    </row>
    <row r="77" ht="14.25" customHeight="1">
      <c r="A77" s="36"/>
      <c r="B77" s="36"/>
      <c r="C77" s="36"/>
      <c r="D77" s="36"/>
      <c r="E77" s="36"/>
      <c r="F77" s="36"/>
      <c r="G77" s="36"/>
      <c r="H77" s="36"/>
      <c r="I77" s="36"/>
      <c r="J77" s="36"/>
      <c r="K77" s="36"/>
      <c r="L77" s="36"/>
      <c r="M77" s="36"/>
      <c r="N77" s="36"/>
      <c r="O77" s="36"/>
      <c r="P77" s="36"/>
      <c r="Q77" s="36"/>
      <c r="R77" s="36"/>
      <c r="S77" s="36"/>
      <c r="T77" s="36"/>
      <c r="U77" s="36"/>
      <c r="V77" s="36"/>
      <c r="W77" s="36"/>
      <c r="X77" s="36"/>
      <c r="Y77" s="36"/>
    </row>
    <row r="78" ht="14.25" customHeight="1">
      <c r="A78" s="36"/>
      <c r="B78" s="36"/>
      <c r="C78" s="36"/>
      <c r="D78" s="36"/>
      <c r="E78" s="36"/>
      <c r="F78" s="36"/>
      <c r="G78" s="36"/>
      <c r="H78" s="36"/>
      <c r="I78" s="36"/>
      <c r="J78" s="36"/>
      <c r="K78" s="36"/>
      <c r="L78" s="36"/>
      <c r="M78" s="36"/>
      <c r="N78" s="36"/>
      <c r="O78" s="36"/>
      <c r="P78" s="36"/>
      <c r="Q78" s="36"/>
      <c r="R78" s="36"/>
      <c r="S78" s="36"/>
      <c r="T78" s="36"/>
      <c r="U78" s="36"/>
      <c r="V78" s="36"/>
      <c r="W78" s="36"/>
      <c r="X78" s="36"/>
      <c r="Y78" s="36"/>
    </row>
    <row r="79" ht="14.25" customHeight="1">
      <c r="A79" s="36"/>
      <c r="B79" s="36"/>
      <c r="C79" s="36"/>
      <c r="D79" s="36"/>
      <c r="E79" s="36"/>
      <c r="F79" s="36"/>
      <c r="G79" s="36"/>
      <c r="H79" s="36"/>
      <c r="I79" s="36"/>
      <c r="J79" s="36"/>
      <c r="K79" s="36"/>
      <c r="L79" s="36"/>
      <c r="M79" s="36"/>
      <c r="N79" s="36"/>
      <c r="O79" s="36"/>
      <c r="P79" s="36"/>
      <c r="Q79" s="36"/>
      <c r="R79" s="36"/>
      <c r="S79" s="36"/>
      <c r="T79" s="36"/>
      <c r="U79" s="36"/>
      <c r="V79" s="36"/>
      <c r="W79" s="36"/>
      <c r="X79" s="36"/>
      <c r="Y79" s="36"/>
    </row>
    <row r="80" ht="14.25" customHeight="1">
      <c r="A80" s="36"/>
      <c r="B80" s="36"/>
      <c r="C80" s="36"/>
      <c r="D80" s="36"/>
      <c r="E80" s="36"/>
      <c r="F80" s="36"/>
      <c r="G80" s="36"/>
      <c r="H80" s="36"/>
      <c r="I80" s="36"/>
      <c r="J80" s="36"/>
      <c r="K80" s="36"/>
      <c r="L80" s="36"/>
      <c r="M80" s="36"/>
      <c r="N80" s="36"/>
      <c r="O80" s="36"/>
      <c r="P80" s="36"/>
      <c r="Q80" s="36"/>
      <c r="R80" s="36"/>
      <c r="S80" s="36"/>
      <c r="T80" s="36"/>
      <c r="U80" s="36"/>
      <c r="V80" s="36"/>
      <c r="W80" s="36"/>
      <c r="X80" s="36"/>
      <c r="Y80" s="36"/>
    </row>
    <row r="81" ht="14.25" customHeight="1">
      <c r="A81" s="36"/>
      <c r="B81" s="36"/>
      <c r="C81" s="36"/>
      <c r="D81" s="36"/>
      <c r="E81" s="36"/>
      <c r="F81" s="36"/>
      <c r="G81" s="36"/>
      <c r="H81" s="36"/>
      <c r="I81" s="36"/>
      <c r="J81" s="36"/>
      <c r="K81" s="36"/>
      <c r="L81" s="36"/>
      <c r="M81" s="36"/>
      <c r="N81" s="36"/>
      <c r="O81" s="36"/>
      <c r="P81" s="36"/>
      <c r="Q81" s="36"/>
      <c r="R81" s="36"/>
      <c r="S81" s="36"/>
      <c r="T81" s="36"/>
      <c r="U81" s="36"/>
      <c r="V81" s="36"/>
      <c r="W81" s="36"/>
      <c r="X81" s="36"/>
      <c r="Y81" s="36"/>
    </row>
    <row r="82" ht="14.25" customHeight="1">
      <c r="A82" s="36"/>
      <c r="B82" s="36"/>
      <c r="C82" s="36"/>
      <c r="D82" s="36"/>
      <c r="E82" s="36"/>
      <c r="F82" s="36"/>
      <c r="G82" s="36"/>
      <c r="H82" s="36"/>
      <c r="I82" s="36"/>
      <c r="J82" s="36"/>
      <c r="K82" s="36"/>
      <c r="L82" s="36"/>
      <c r="M82" s="36"/>
      <c r="N82" s="36"/>
      <c r="O82" s="36"/>
      <c r="P82" s="36"/>
      <c r="Q82" s="36"/>
      <c r="R82" s="36"/>
      <c r="S82" s="36"/>
      <c r="T82" s="36"/>
      <c r="U82" s="36"/>
      <c r="V82" s="36"/>
      <c r="W82" s="36"/>
      <c r="X82" s="36"/>
      <c r="Y82" s="36"/>
    </row>
    <row r="83" ht="14.25" customHeight="1">
      <c r="A83" s="36"/>
      <c r="B83" s="36"/>
      <c r="C83" s="36"/>
      <c r="D83" s="36"/>
      <c r="E83" s="36"/>
      <c r="F83" s="36"/>
      <c r="G83" s="36"/>
      <c r="H83" s="36"/>
      <c r="I83" s="36"/>
      <c r="J83" s="36"/>
      <c r="K83" s="36"/>
      <c r="L83" s="36"/>
      <c r="M83" s="36"/>
      <c r="N83" s="36"/>
      <c r="O83" s="36"/>
      <c r="P83" s="36"/>
      <c r="Q83" s="36"/>
      <c r="R83" s="36"/>
      <c r="S83" s="36"/>
      <c r="T83" s="36"/>
      <c r="U83" s="36"/>
      <c r="V83" s="36"/>
      <c r="W83" s="36"/>
      <c r="X83" s="36"/>
      <c r="Y83" s="36"/>
    </row>
    <row r="84" ht="14.25" customHeight="1">
      <c r="A84" s="36"/>
      <c r="B84" s="36"/>
      <c r="C84" s="36"/>
      <c r="D84" s="36"/>
      <c r="E84" s="36"/>
      <c r="F84" s="36"/>
      <c r="G84" s="36"/>
      <c r="H84" s="36"/>
      <c r="I84" s="36"/>
      <c r="J84" s="36"/>
      <c r="K84" s="36"/>
      <c r="L84" s="36"/>
      <c r="M84" s="36"/>
      <c r="N84" s="36"/>
      <c r="O84" s="36"/>
      <c r="P84" s="36"/>
      <c r="Q84" s="36"/>
      <c r="R84" s="36"/>
      <c r="S84" s="36"/>
      <c r="T84" s="36"/>
      <c r="U84" s="36"/>
      <c r="V84" s="36"/>
      <c r="W84" s="36"/>
      <c r="X84" s="36"/>
      <c r="Y84" s="36"/>
    </row>
    <row r="85" ht="14.25" customHeight="1">
      <c r="A85" s="36"/>
      <c r="B85" s="36"/>
      <c r="C85" s="36"/>
      <c r="D85" s="36"/>
      <c r="E85" s="36"/>
      <c r="F85" s="36"/>
      <c r="G85" s="36"/>
      <c r="H85" s="36"/>
      <c r="I85" s="36"/>
      <c r="J85" s="36"/>
      <c r="K85" s="36"/>
      <c r="L85" s="36"/>
      <c r="M85" s="36"/>
      <c r="N85" s="36"/>
      <c r="O85" s="36"/>
      <c r="P85" s="36"/>
      <c r="Q85" s="36"/>
      <c r="R85" s="36"/>
      <c r="S85" s="36"/>
      <c r="T85" s="36"/>
      <c r="U85" s="36"/>
      <c r="V85" s="36"/>
      <c r="W85" s="36"/>
      <c r="X85" s="36"/>
      <c r="Y85" s="36"/>
    </row>
    <row r="86" ht="14.25" customHeight="1">
      <c r="A86" s="36"/>
      <c r="B86" s="36"/>
      <c r="C86" s="36"/>
      <c r="D86" s="36"/>
      <c r="E86" s="36"/>
      <c r="F86" s="36"/>
      <c r="G86" s="36"/>
      <c r="H86" s="36"/>
      <c r="I86" s="36"/>
      <c r="J86" s="36"/>
      <c r="K86" s="36"/>
      <c r="L86" s="36"/>
      <c r="M86" s="36"/>
      <c r="N86" s="36"/>
      <c r="O86" s="36"/>
      <c r="P86" s="36"/>
      <c r="Q86" s="36"/>
      <c r="R86" s="36"/>
      <c r="S86" s="36"/>
      <c r="T86" s="36"/>
      <c r="U86" s="36"/>
      <c r="V86" s="36"/>
      <c r="W86" s="36"/>
      <c r="X86" s="36"/>
      <c r="Y86" s="36"/>
    </row>
    <row r="87" ht="14.25" customHeight="1">
      <c r="A87" s="36"/>
      <c r="B87" s="36"/>
      <c r="C87" s="36"/>
      <c r="D87" s="36"/>
      <c r="E87" s="36"/>
      <c r="F87" s="36"/>
      <c r="G87" s="36"/>
      <c r="H87" s="36"/>
      <c r="I87" s="36"/>
      <c r="J87" s="36"/>
      <c r="K87" s="36"/>
      <c r="L87" s="36"/>
      <c r="M87" s="36"/>
      <c r="N87" s="36"/>
      <c r="O87" s="36"/>
      <c r="P87" s="36"/>
      <c r="Q87" s="36"/>
      <c r="R87" s="36"/>
      <c r="S87" s="36"/>
      <c r="T87" s="36"/>
      <c r="U87" s="36"/>
      <c r="V87" s="36"/>
      <c r="W87" s="36"/>
      <c r="X87" s="36"/>
      <c r="Y87" s="36"/>
    </row>
    <row r="88" ht="14.25" customHeight="1">
      <c r="A88" s="36"/>
      <c r="B88" s="36"/>
      <c r="C88" s="36"/>
      <c r="D88" s="36"/>
      <c r="E88" s="36"/>
      <c r="F88" s="36"/>
      <c r="G88" s="36"/>
      <c r="H88" s="36"/>
      <c r="I88" s="36"/>
      <c r="J88" s="36"/>
      <c r="K88" s="36"/>
      <c r="L88" s="36"/>
      <c r="M88" s="36"/>
      <c r="N88" s="36"/>
      <c r="O88" s="36"/>
      <c r="P88" s="36"/>
      <c r="Q88" s="36"/>
      <c r="R88" s="36"/>
      <c r="S88" s="36"/>
      <c r="T88" s="36"/>
      <c r="U88" s="36"/>
      <c r="V88" s="36"/>
      <c r="W88" s="36"/>
      <c r="X88" s="36"/>
      <c r="Y88" s="36"/>
    </row>
    <row r="89" ht="14.25" customHeight="1">
      <c r="A89" s="36"/>
      <c r="B89" s="36"/>
      <c r="C89" s="36"/>
      <c r="D89" s="36"/>
      <c r="E89" s="36"/>
      <c r="F89" s="36"/>
      <c r="G89" s="36"/>
      <c r="H89" s="36"/>
      <c r="I89" s="36"/>
      <c r="J89" s="36"/>
      <c r="K89" s="36"/>
      <c r="L89" s="36"/>
      <c r="M89" s="36"/>
      <c r="N89" s="36"/>
      <c r="O89" s="36"/>
      <c r="P89" s="36"/>
      <c r="Q89" s="36"/>
      <c r="R89" s="36"/>
      <c r="S89" s="36"/>
      <c r="T89" s="36"/>
      <c r="U89" s="36"/>
      <c r="V89" s="36"/>
      <c r="W89" s="36"/>
      <c r="X89" s="36"/>
      <c r="Y89" s="36"/>
    </row>
    <row r="90" ht="14.25" customHeight="1">
      <c r="A90" s="36"/>
      <c r="B90" s="36"/>
      <c r="C90" s="36"/>
      <c r="D90" s="36"/>
      <c r="E90" s="36"/>
      <c r="F90" s="36"/>
      <c r="G90" s="36"/>
      <c r="H90" s="36"/>
      <c r="I90" s="36"/>
      <c r="J90" s="36"/>
      <c r="K90" s="36"/>
      <c r="L90" s="36"/>
      <c r="M90" s="36"/>
      <c r="N90" s="36"/>
      <c r="O90" s="36"/>
      <c r="P90" s="36"/>
      <c r="Q90" s="36"/>
      <c r="R90" s="36"/>
      <c r="S90" s="36"/>
      <c r="T90" s="36"/>
      <c r="U90" s="36"/>
      <c r="V90" s="36"/>
      <c r="W90" s="36"/>
      <c r="X90" s="36"/>
      <c r="Y90" s="36"/>
    </row>
    <row r="91" ht="14.25" customHeight="1">
      <c r="A91" s="36"/>
      <c r="B91" s="36"/>
      <c r="C91" s="36"/>
      <c r="D91" s="36"/>
      <c r="E91" s="36"/>
      <c r="F91" s="36"/>
      <c r="G91" s="36"/>
      <c r="H91" s="36"/>
      <c r="I91" s="36"/>
      <c r="J91" s="36"/>
      <c r="K91" s="36"/>
      <c r="L91" s="36"/>
      <c r="M91" s="36"/>
      <c r="N91" s="36"/>
      <c r="O91" s="36"/>
      <c r="P91" s="36"/>
      <c r="Q91" s="36"/>
      <c r="R91" s="36"/>
      <c r="S91" s="36"/>
      <c r="T91" s="36"/>
      <c r="U91" s="36"/>
      <c r="V91" s="36"/>
      <c r="W91" s="36"/>
      <c r="X91" s="36"/>
      <c r="Y91" s="36"/>
    </row>
    <row r="92" ht="14.25" customHeight="1">
      <c r="A92" s="36"/>
      <c r="B92" s="36"/>
      <c r="C92" s="36"/>
      <c r="D92" s="36"/>
      <c r="E92" s="36"/>
      <c r="F92" s="36"/>
      <c r="G92" s="36"/>
      <c r="H92" s="36"/>
      <c r="I92" s="36"/>
      <c r="J92" s="36"/>
      <c r="K92" s="36"/>
      <c r="L92" s="36"/>
      <c r="M92" s="36"/>
      <c r="N92" s="36"/>
      <c r="O92" s="36"/>
      <c r="P92" s="36"/>
      <c r="Q92" s="36"/>
      <c r="R92" s="36"/>
      <c r="S92" s="36"/>
      <c r="T92" s="36"/>
      <c r="U92" s="36"/>
      <c r="V92" s="36"/>
      <c r="W92" s="36"/>
      <c r="X92" s="36"/>
      <c r="Y92" s="36"/>
    </row>
    <row r="93" ht="14.25" customHeight="1">
      <c r="A93" s="36"/>
      <c r="B93" s="36"/>
      <c r="C93" s="36"/>
      <c r="D93" s="36"/>
      <c r="E93" s="36"/>
      <c r="F93" s="36"/>
      <c r="G93" s="36"/>
      <c r="H93" s="36"/>
      <c r="I93" s="36"/>
      <c r="J93" s="36"/>
      <c r="K93" s="36"/>
      <c r="L93" s="36"/>
      <c r="M93" s="36"/>
      <c r="N93" s="36"/>
      <c r="O93" s="36"/>
      <c r="P93" s="36"/>
      <c r="Q93" s="36"/>
      <c r="R93" s="36"/>
      <c r="S93" s="36"/>
      <c r="T93" s="36"/>
      <c r="U93" s="36"/>
      <c r="V93" s="36"/>
      <c r="W93" s="36"/>
      <c r="X93" s="36"/>
      <c r="Y93" s="36"/>
    </row>
    <row r="94" ht="14.25" customHeight="1">
      <c r="A94" s="36"/>
      <c r="B94" s="36"/>
      <c r="C94" s="36"/>
      <c r="D94" s="36"/>
      <c r="E94" s="36"/>
      <c r="F94" s="36"/>
      <c r="G94" s="36"/>
      <c r="H94" s="36"/>
      <c r="I94" s="36"/>
      <c r="J94" s="36"/>
      <c r="K94" s="36"/>
      <c r="L94" s="36"/>
      <c r="M94" s="36"/>
      <c r="N94" s="36"/>
      <c r="O94" s="36"/>
      <c r="P94" s="36"/>
      <c r="Q94" s="36"/>
      <c r="R94" s="36"/>
      <c r="S94" s="36"/>
      <c r="T94" s="36"/>
      <c r="U94" s="36"/>
      <c r="V94" s="36"/>
      <c r="W94" s="36"/>
      <c r="X94" s="36"/>
      <c r="Y94" s="36"/>
    </row>
    <row r="95" ht="14.25" customHeight="1">
      <c r="A95" s="36"/>
      <c r="B95" s="36"/>
      <c r="C95" s="36"/>
      <c r="D95" s="36"/>
      <c r="E95" s="36"/>
      <c r="F95" s="36"/>
      <c r="G95" s="36"/>
      <c r="H95" s="36"/>
      <c r="I95" s="36"/>
      <c r="J95" s="36"/>
      <c r="K95" s="36"/>
      <c r="L95" s="36"/>
      <c r="M95" s="36"/>
      <c r="N95" s="36"/>
      <c r="O95" s="36"/>
      <c r="P95" s="36"/>
      <c r="Q95" s="36"/>
      <c r="R95" s="36"/>
      <c r="S95" s="36"/>
      <c r="T95" s="36"/>
      <c r="U95" s="36"/>
      <c r="V95" s="36"/>
      <c r="W95" s="36"/>
      <c r="X95" s="36"/>
      <c r="Y95" s="36"/>
    </row>
    <row r="96" ht="14.25" customHeight="1">
      <c r="A96" s="36"/>
      <c r="B96" s="36"/>
      <c r="C96" s="36"/>
      <c r="D96" s="36"/>
      <c r="E96" s="36"/>
      <c r="F96" s="36"/>
      <c r="G96" s="36"/>
      <c r="H96" s="36"/>
      <c r="I96" s="36"/>
      <c r="J96" s="36"/>
      <c r="K96" s="36"/>
      <c r="L96" s="36"/>
      <c r="M96" s="36"/>
      <c r="N96" s="36"/>
      <c r="O96" s="36"/>
      <c r="P96" s="36"/>
      <c r="Q96" s="36"/>
      <c r="R96" s="36"/>
      <c r="S96" s="36"/>
      <c r="T96" s="36"/>
      <c r="U96" s="36"/>
      <c r="V96" s="36"/>
      <c r="W96" s="36"/>
      <c r="X96" s="36"/>
      <c r="Y96" s="36"/>
    </row>
    <row r="97" ht="14.25" customHeight="1">
      <c r="A97" s="36"/>
      <c r="B97" s="36"/>
      <c r="C97" s="36"/>
      <c r="D97" s="36"/>
      <c r="E97" s="36"/>
      <c r="F97" s="36"/>
      <c r="G97" s="36"/>
      <c r="H97" s="36"/>
      <c r="I97" s="36"/>
      <c r="J97" s="36"/>
      <c r="K97" s="36"/>
      <c r="L97" s="36"/>
      <c r="M97" s="36"/>
      <c r="N97" s="36"/>
      <c r="O97" s="36"/>
      <c r="P97" s="36"/>
      <c r="Q97" s="36"/>
      <c r="R97" s="36"/>
      <c r="S97" s="36"/>
      <c r="T97" s="36"/>
      <c r="U97" s="36"/>
      <c r="V97" s="36"/>
      <c r="W97" s="36"/>
      <c r="X97" s="36"/>
      <c r="Y97" s="36"/>
    </row>
    <row r="98" ht="14.25" customHeight="1">
      <c r="A98" s="36"/>
      <c r="B98" s="36"/>
      <c r="C98" s="36"/>
      <c r="D98" s="36"/>
      <c r="E98" s="36"/>
      <c r="F98" s="36"/>
      <c r="G98" s="36"/>
      <c r="H98" s="36"/>
      <c r="I98" s="36"/>
      <c r="J98" s="36"/>
      <c r="K98" s="36"/>
      <c r="L98" s="36"/>
      <c r="M98" s="36"/>
      <c r="N98" s="36"/>
      <c r="O98" s="36"/>
      <c r="P98" s="36"/>
      <c r="Q98" s="36"/>
      <c r="R98" s="36"/>
      <c r="S98" s="36"/>
      <c r="T98" s="36"/>
      <c r="U98" s="36"/>
      <c r="V98" s="36"/>
      <c r="W98" s="36"/>
      <c r="X98" s="36"/>
      <c r="Y98" s="36"/>
    </row>
    <row r="99" ht="14.25" customHeight="1">
      <c r="A99" s="36"/>
      <c r="B99" s="36"/>
      <c r="C99" s="36"/>
      <c r="D99" s="36"/>
      <c r="E99" s="36"/>
      <c r="F99" s="36"/>
      <c r="G99" s="36"/>
      <c r="H99" s="36"/>
      <c r="I99" s="36"/>
      <c r="J99" s="36"/>
      <c r="K99" s="36"/>
      <c r="L99" s="36"/>
      <c r="M99" s="36"/>
      <c r="N99" s="36"/>
      <c r="O99" s="36"/>
      <c r="P99" s="36"/>
      <c r="Q99" s="36"/>
      <c r="R99" s="36"/>
      <c r="S99" s="36"/>
      <c r="T99" s="36"/>
      <c r="U99" s="36"/>
      <c r="V99" s="36"/>
      <c r="W99" s="36"/>
      <c r="X99" s="36"/>
      <c r="Y99" s="36"/>
    </row>
    <row r="100" ht="14.25" customHeight="1">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row>
    <row r="101" ht="14.25" customHeight="1">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row>
    <row r="102" ht="14.25" customHeight="1">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row>
    <row r="103" ht="14.25" customHeight="1">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row>
    <row r="104" ht="14.25" customHeight="1">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row>
    <row r="105" ht="14.25" customHeight="1">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row>
    <row r="106" ht="14.25" customHeight="1">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row>
    <row r="107" ht="14.25" customHeight="1">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row>
    <row r="108" ht="14.25" customHeight="1">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row>
    <row r="109" ht="14.25" customHeight="1">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row>
    <row r="110" ht="14.25" customHeight="1">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row>
    <row r="111" ht="14.25" customHeight="1">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row>
    <row r="112" ht="14.25" customHeight="1">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row>
    <row r="113" ht="14.25" customHeight="1">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row>
    <row r="114" ht="14.25" customHeight="1">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row>
    <row r="115" ht="14.25" customHeight="1">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row>
    <row r="116" ht="14.25" customHeight="1">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row>
    <row r="117" ht="14.25" customHeight="1">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row>
    <row r="118" ht="14.25" customHeight="1">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row>
    <row r="119" ht="14.25" customHeight="1">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row>
    <row r="120" ht="14.25" customHeight="1">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row>
    <row r="121" ht="14.25" customHeight="1">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row>
    <row r="122" ht="14.25" customHeight="1">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row>
    <row r="123" ht="14.25" customHeight="1">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row>
    <row r="124" ht="14.25" customHeight="1">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row>
    <row r="125" ht="14.25" customHeight="1">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row>
    <row r="126" ht="14.25" customHeight="1">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row>
    <row r="127" ht="14.25" customHeight="1">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row>
    <row r="128" ht="14.25" customHeight="1">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row>
    <row r="129" ht="14.25" customHeight="1">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row>
    <row r="130" ht="14.25" customHeight="1">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row>
    <row r="131" ht="14.25" customHeight="1">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row>
    <row r="132" ht="14.25" customHeight="1">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row>
    <row r="133" ht="14.25" customHeight="1">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row>
    <row r="134" ht="14.25" customHeight="1">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row>
    <row r="135" ht="14.25" customHeight="1">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row>
    <row r="136" ht="14.25" customHeight="1">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row>
    <row r="137" ht="14.25" customHeight="1">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row>
    <row r="138" ht="14.25" customHeight="1">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row>
    <row r="139" ht="14.25" customHeight="1">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row>
    <row r="140" ht="14.25" customHeight="1">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row>
    <row r="141" ht="14.25" customHeight="1">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row>
    <row r="142" ht="14.25" customHeight="1">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row>
    <row r="143" ht="14.25" customHeight="1">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row>
    <row r="144" ht="14.25" customHeight="1">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row>
    <row r="145" ht="14.25" customHeight="1">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row>
    <row r="146" ht="14.25" customHeight="1">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row>
    <row r="147" ht="14.25" customHeight="1">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row>
    <row r="148" ht="14.25" customHeight="1">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row>
    <row r="149" ht="14.25" customHeight="1">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row>
    <row r="150" ht="14.25" customHeight="1">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row>
    <row r="151" ht="14.25" customHeight="1">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row>
    <row r="152" ht="14.25" customHeight="1">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row>
    <row r="153" ht="14.25" customHeight="1">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row>
    <row r="154" ht="14.25" customHeight="1">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row>
    <row r="155" ht="14.25" customHeight="1">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row>
    <row r="156" ht="14.25" customHeight="1">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row>
    <row r="157" ht="14.25" customHeight="1">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row>
    <row r="158" ht="14.25" customHeight="1">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row>
    <row r="159" ht="14.25" customHeight="1">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row>
    <row r="160" ht="14.25" customHeight="1">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row>
    <row r="161" ht="14.25" customHeight="1">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row>
    <row r="162" ht="14.25" customHeight="1">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row>
    <row r="163" ht="14.25" customHeight="1">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row>
    <row r="164" ht="14.25" customHeight="1">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row>
    <row r="165" ht="14.25" customHeight="1">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row>
    <row r="166" ht="14.25" customHeight="1">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row>
    <row r="167" ht="14.25" customHeight="1">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row>
    <row r="168" ht="14.25" customHeight="1">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row>
    <row r="169" ht="14.25" customHeight="1">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row>
    <row r="170" ht="14.25" customHeight="1">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row>
    <row r="171" ht="14.25" customHeight="1">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row>
    <row r="172" ht="14.25" customHeight="1">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row>
    <row r="173" ht="14.25" customHeight="1">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row>
    <row r="174" ht="14.25" customHeight="1">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row>
    <row r="175" ht="14.25" customHeight="1">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row>
    <row r="176" ht="14.25" customHeight="1">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row>
    <row r="177" ht="14.25" customHeight="1">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row>
    <row r="178" ht="14.25" customHeight="1">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row>
    <row r="179" ht="14.25" customHeight="1">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row>
    <row r="180" ht="14.25" customHeight="1">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row>
    <row r="181" ht="14.25" customHeight="1">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row>
    <row r="182" ht="14.25" customHeight="1">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row>
    <row r="183" ht="14.25" customHeight="1">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row>
    <row r="184" ht="14.25" customHeight="1">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row>
    <row r="185" ht="14.25" customHeight="1">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row>
    <row r="186" ht="14.25" customHeight="1">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row>
    <row r="187" ht="14.25" customHeight="1">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row>
    <row r="188" ht="14.25" customHeight="1">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row>
    <row r="189" ht="14.25" customHeight="1">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row>
    <row r="190" ht="14.25" customHeight="1">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row>
    <row r="191" ht="14.25" customHeight="1">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row>
    <row r="192" ht="14.25" customHeight="1">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row>
    <row r="193" ht="14.25" customHeight="1">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row>
    <row r="194" ht="14.25" customHeight="1">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row>
    <row r="195" ht="14.25" customHeight="1">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row>
    <row r="196" ht="14.25" customHeight="1">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row>
    <row r="197" ht="14.25" customHeight="1">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row>
    <row r="198" ht="14.25" customHeight="1">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row>
    <row r="199" ht="14.25" customHeight="1">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row>
    <row r="200" ht="14.25" customHeight="1">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row>
    <row r="201" ht="14.25" customHeight="1">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row>
    <row r="202" ht="14.25" customHeight="1">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row>
    <row r="203" ht="14.25" customHeight="1">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row>
    <row r="204" ht="14.25" customHeight="1">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row>
    <row r="205" ht="14.25" customHeight="1">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row>
    <row r="206" ht="14.25" customHeight="1">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row>
    <row r="207" ht="14.25" customHeight="1">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row>
    <row r="208" ht="14.25" customHeight="1">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row>
    <row r="209" ht="14.25" customHeight="1">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row>
    <row r="210" ht="14.25" customHeight="1">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row>
    <row r="211" ht="14.25" customHeight="1">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row>
    <row r="212" ht="14.25" customHeight="1">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row>
    <row r="213" ht="14.25" customHeight="1">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row>
    <row r="214" ht="14.25" customHeight="1">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row>
    <row r="215" ht="14.25" customHeight="1">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row>
    <row r="216" ht="14.25" customHeight="1">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row>
    <row r="217" ht="14.25" customHeight="1">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row>
    <row r="218" ht="14.25" customHeight="1">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row>
    <row r="219" ht="14.25" customHeight="1">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row>
    <row r="220" ht="14.25" customHeight="1">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row>
    <row r="221" ht="14.25" customHeight="1">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row>
    <row r="222" ht="14.25" customHeight="1">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row>
    <row r="223" ht="14.25" customHeight="1">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8"/>
    <col customWidth="1" min="2" max="2" width="6.63"/>
    <col customWidth="1" min="3" max="4" width="7.63"/>
    <col customWidth="1" min="5" max="5" width="8.63"/>
    <col customWidth="1" min="6" max="6" width="7.63"/>
    <col customWidth="1" min="7" max="7" width="7.88"/>
    <col customWidth="1" min="8" max="15" width="8.63"/>
    <col customWidth="1" min="16" max="16" width="11.88"/>
    <col customWidth="1" min="17" max="17" width="8.63"/>
    <col customWidth="1" min="18" max="18" width="9.5"/>
    <col customWidth="1" min="19" max="29" width="8.63"/>
  </cols>
  <sheetData>
    <row r="1">
      <c r="A1" s="421" t="s">
        <v>2022</v>
      </c>
      <c r="B1" s="421" t="s">
        <v>112</v>
      </c>
      <c r="C1" s="421" t="s">
        <v>113</v>
      </c>
      <c r="D1" s="421" t="s">
        <v>114</v>
      </c>
      <c r="E1" s="421" t="s">
        <v>86</v>
      </c>
      <c r="F1" s="421" t="s">
        <v>115</v>
      </c>
      <c r="G1" s="421" t="s">
        <v>116</v>
      </c>
      <c r="H1" s="421" t="s">
        <v>117</v>
      </c>
      <c r="I1" s="421" t="s">
        <v>118</v>
      </c>
      <c r="J1" s="421" t="s">
        <v>119</v>
      </c>
      <c r="K1" s="36"/>
      <c r="L1" s="36"/>
      <c r="M1" s="36"/>
      <c r="N1" s="36"/>
      <c r="O1" s="36"/>
      <c r="P1" s="36"/>
      <c r="Q1" s="36"/>
      <c r="R1" s="36"/>
      <c r="S1" s="36"/>
      <c r="T1" s="36"/>
      <c r="U1" s="36"/>
      <c r="V1" s="36"/>
      <c r="W1" s="36"/>
      <c r="X1" s="36"/>
      <c r="Y1" s="36"/>
      <c r="Z1" s="36"/>
      <c r="AA1" s="36"/>
      <c r="AB1" s="36"/>
      <c r="AC1" s="36"/>
    </row>
    <row r="2">
      <c r="A2" s="421" t="s">
        <v>1975</v>
      </c>
      <c r="B2" s="421" t="s">
        <v>1976</v>
      </c>
      <c r="C2" s="421" t="s">
        <v>1977</v>
      </c>
      <c r="D2" s="421" t="s">
        <v>1978</v>
      </c>
      <c r="E2" s="421" t="s">
        <v>1979</v>
      </c>
      <c r="F2" s="421" t="s">
        <v>1980</v>
      </c>
      <c r="G2" s="421" t="s">
        <v>1981</v>
      </c>
      <c r="H2" s="421" t="s">
        <v>1982</v>
      </c>
      <c r="I2" s="421" t="s">
        <v>1983</v>
      </c>
      <c r="J2" s="421" t="s">
        <v>1984</v>
      </c>
      <c r="K2" s="36" t="s">
        <v>2023</v>
      </c>
      <c r="L2" s="36"/>
      <c r="M2" s="36"/>
      <c r="N2" s="36"/>
      <c r="O2" s="36"/>
      <c r="P2" s="36"/>
      <c r="Q2" s="422">
        <v>44376.0</v>
      </c>
      <c r="R2" s="192">
        <f>EDATE(Q2,-48)</f>
        <v>42915</v>
      </c>
      <c r="S2" s="36" t="s">
        <v>2024</v>
      </c>
      <c r="T2" s="36"/>
      <c r="U2" s="36"/>
      <c r="V2" s="36"/>
      <c r="W2" s="36"/>
      <c r="X2" s="36"/>
      <c r="Y2" s="36"/>
      <c r="Z2" s="36"/>
      <c r="AA2" s="36"/>
      <c r="AB2" s="36"/>
      <c r="AC2" s="36"/>
    </row>
    <row r="3">
      <c r="A3" s="423">
        <v>42551.0</v>
      </c>
      <c r="B3" s="424">
        <v>10.7606</v>
      </c>
      <c r="C3" s="171"/>
      <c r="D3" s="171"/>
      <c r="E3" s="425">
        <v>12.0568</v>
      </c>
      <c r="F3" s="425">
        <v>11.9614</v>
      </c>
      <c r="G3" s="425">
        <v>11.8513</v>
      </c>
      <c r="H3" s="171"/>
      <c r="I3" s="171"/>
      <c r="J3" s="171"/>
      <c r="K3" s="182">
        <v>8287.75</v>
      </c>
      <c r="L3" s="36"/>
      <c r="M3" s="36"/>
      <c r="N3" s="36"/>
      <c r="O3" s="36"/>
      <c r="P3" s="421" t="s">
        <v>112</v>
      </c>
      <c r="Q3" s="36">
        <f>VLOOKUP(Q$2,$A$3:$K$2236,2,1)</f>
        <v>20.7486</v>
      </c>
      <c r="R3" s="36">
        <f>VLOOKUP(R2,$A$3:$B$2236,2,1)</f>
        <v>12.5033</v>
      </c>
      <c r="S3" s="184">
        <f t="shared" ref="S3:S7" si="2">((Q3/R3)^0.25)-1</f>
        <v>0.1349873906</v>
      </c>
      <c r="T3" s="36"/>
      <c r="U3" s="36"/>
      <c r="V3" s="36"/>
      <c r="W3" s="36"/>
      <c r="X3" s="36"/>
      <c r="Y3" s="36"/>
      <c r="Z3" s="36"/>
      <c r="AA3" s="36"/>
      <c r="AB3" s="36"/>
      <c r="AC3" s="36"/>
    </row>
    <row r="4">
      <c r="A4" s="423">
        <v>42552.0</v>
      </c>
      <c r="B4" s="424">
        <v>10.8125</v>
      </c>
      <c r="C4" s="171"/>
      <c r="D4" s="171"/>
      <c r="E4" s="425">
        <v>12.0704</v>
      </c>
      <c r="F4" s="425">
        <v>12.0286</v>
      </c>
      <c r="G4" s="425">
        <v>11.8629</v>
      </c>
      <c r="H4" s="171"/>
      <c r="I4" s="171"/>
      <c r="J4" s="171"/>
      <c r="K4" s="182">
        <v>8328.35</v>
      </c>
      <c r="L4" s="36"/>
      <c r="M4" s="36"/>
      <c r="N4" s="36"/>
      <c r="O4" s="36"/>
      <c r="P4" s="421" t="s">
        <v>86</v>
      </c>
      <c r="Q4" s="36">
        <f t="shared" ref="Q4:R4" si="1">VLOOKUP(Q$2,$A$3:$K$2236,5,1)</f>
        <v>17.0774</v>
      </c>
      <c r="R4" s="36">
        <f t="shared" si="1"/>
        <v>13.2939</v>
      </c>
      <c r="S4" s="184">
        <f t="shared" si="2"/>
        <v>0.06461439922</v>
      </c>
      <c r="T4" s="36"/>
      <c r="U4" s="36"/>
      <c r="V4" s="36"/>
      <c r="W4" s="36"/>
      <c r="X4" s="36"/>
      <c r="Y4" s="36"/>
      <c r="Z4" s="36"/>
      <c r="AA4" s="36"/>
      <c r="AB4" s="36"/>
      <c r="AC4" s="36"/>
    </row>
    <row r="5">
      <c r="A5" s="423">
        <v>42555.0</v>
      </c>
      <c r="B5" s="424">
        <v>10.86</v>
      </c>
      <c r="C5" s="171"/>
      <c r="D5" s="171"/>
      <c r="E5" s="425">
        <v>12.0744</v>
      </c>
      <c r="F5" s="425">
        <v>12.0461</v>
      </c>
      <c r="G5" s="425">
        <v>11.8692</v>
      </c>
      <c r="H5" s="171"/>
      <c r="I5" s="171"/>
      <c r="J5" s="171"/>
      <c r="K5" s="182">
        <v>8370.7</v>
      </c>
      <c r="L5" s="36"/>
      <c r="M5" s="36"/>
      <c r="N5" s="36"/>
      <c r="O5" s="36"/>
      <c r="P5" s="421" t="s">
        <v>115</v>
      </c>
      <c r="Q5" s="36">
        <f t="shared" ref="Q5:R5" si="3">VLOOKUP(Q$2,$A$3:$K$2236,6,1)</f>
        <v>25.458</v>
      </c>
      <c r="R5" s="36">
        <f t="shared" si="3"/>
        <v>14.3756</v>
      </c>
      <c r="S5" s="184">
        <f t="shared" si="2"/>
        <v>0.1535849342</v>
      </c>
      <c r="T5" s="36"/>
      <c r="U5" s="36"/>
      <c r="V5" s="36"/>
      <c r="W5" s="36"/>
      <c r="X5" s="36"/>
      <c r="Y5" s="36"/>
      <c r="Z5" s="36"/>
      <c r="AA5" s="36"/>
      <c r="AB5" s="36"/>
      <c r="AC5" s="36"/>
    </row>
    <row r="6">
      <c r="A6" s="423">
        <v>42556.0</v>
      </c>
      <c r="B6" s="424">
        <v>10.8266</v>
      </c>
      <c r="C6" s="171"/>
      <c r="D6" s="171"/>
      <c r="E6" s="425">
        <v>12.0816</v>
      </c>
      <c r="F6" s="425">
        <v>12.0102</v>
      </c>
      <c r="G6" s="425">
        <v>11.8928</v>
      </c>
      <c r="H6" s="171"/>
      <c r="I6" s="171"/>
      <c r="J6" s="171"/>
      <c r="K6" s="182">
        <v>8335.95</v>
      </c>
      <c r="L6" s="36"/>
      <c r="M6" s="36"/>
      <c r="N6" s="36"/>
      <c r="O6" s="36"/>
      <c r="P6" s="421" t="s">
        <v>116</v>
      </c>
      <c r="Q6" s="36">
        <f t="shared" ref="Q6:R6" si="4">VLOOKUP(Q$2,$A$3:$K$2236,7,1)</f>
        <v>16.2592</v>
      </c>
      <c r="R6" s="36">
        <f t="shared" si="4"/>
        <v>12.7207</v>
      </c>
      <c r="S6" s="184">
        <f t="shared" si="2"/>
        <v>0.06327852046</v>
      </c>
      <c r="T6" s="36"/>
      <c r="U6" s="36"/>
      <c r="V6" s="36"/>
      <c r="W6" s="36"/>
      <c r="X6" s="36"/>
      <c r="Y6" s="36"/>
      <c r="Z6" s="36"/>
      <c r="AA6" s="36"/>
      <c r="AB6" s="36"/>
      <c r="AC6" s="36"/>
    </row>
    <row r="7">
      <c r="A7" s="423">
        <v>42558.0</v>
      </c>
      <c r="B7" s="424">
        <v>10.8135</v>
      </c>
      <c r="C7" s="171"/>
      <c r="D7" s="171"/>
      <c r="E7" s="425">
        <v>12.0935</v>
      </c>
      <c r="F7" s="425">
        <v>12.0001</v>
      </c>
      <c r="G7" s="425">
        <v>11.9031</v>
      </c>
      <c r="H7" s="171"/>
      <c r="I7" s="171"/>
      <c r="J7" s="171"/>
      <c r="K7" s="182">
        <v>8337.9</v>
      </c>
      <c r="L7" s="36"/>
      <c r="M7" s="36"/>
      <c r="N7" s="36"/>
      <c r="O7" s="36"/>
      <c r="P7" s="421" t="s">
        <v>2023</v>
      </c>
      <c r="Q7" s="182">
        <f t="shared" ref="Q7:R7" si="5">VLOOKUP(Q2,$A$3:$K$2236,11,1)</f>
        <v>15748.45</v>
      </c>
      <c r="R7" s="182">
        <f t="shared" si="5"/>
        <v>9504.1</v>
      </c>
      <c r="S7" s="184">
        <f t="shared" si="2"/>
        <v>0.134571068</v>
      </c>
      <c r="T7" s="36"/>
      <c r="U7" s="36"/>
      <c r="V7" s="36"/>
      <c r="W7" s="36"/>
      <c r="X7" s="36"/>
      <c r="Y7" s="36"/>
      <c r="Z7" s="36"/>
      <c r="AA7" s="36"/>
      <c r="AB7" s="36"/>
      <c r="AC7" s="36"/>
    </row>
    <row r="8">
      <c r="A8" s="423">
        <v>42559.0</v>
      </c>
      <c r="B8" s="424">
        <v>10.8023</v>
      </c>
      <c r="C8" s="171"/>
      <c r="D8" s="171"/>
      <c r="E8" s="425">
        <v>12.0983</v>
      </c>
      <c r="F8" s="425">
        <v>11.994</v>
      </c>
      <c r="G8" s="425">
        <v>11.9082</v>
      </c>
      <c r="H8" s="171"/>
      <c r="I8" s="171"/>
      <c r="J8" s="171"/>
      <c r="K8" s="182">
        <v>8323.2</v>
      </c>
      <c r="L8" s="36"/>
      <c r="M8" s="36"/>
      <c r="N8" s="36"/>
      <c r="O8" s="36"/>
      <c r="P8" s="36"/>
      <c r="Q8" s="36"/>
      <c r="R8" s="36"/>
      <c r="S8" s="36"/>
      <c r="T8" s="36"/>
      <c r="U8" s="36"/>
      <c r="V8" s="36"/>
      <c r="W8" s="36"/>
      <c r="X8" s="36"/>
      <c r="Y8" s="36"/>
      <c r="Z8" s="36"/>
      <c r="AA8" s="36"/>
      <c r="AB8" s="36"/>
      <c r="AC8" s="36"/>
    </row>
    <row r="9">
      <c r="A9" s="423">
        <v>42562.0</v>
      </c>
      <c r="B9" s="424">
        <v>10.9506</v>
      </c>
      <c r="C9" s="171"/>
      <c r="D9" s="171"/>
      <c r="E9" s="425">
        <v>12.1083</v>
      </c>
      <c r="F9" s="425">
        <v>12.1637</v>
      </c>
      <c r="G9" s="425">
        <v>11.9149</v>
      </c>
      <c r="H9" s="171"/>
      <c r="I9" s="171"/>
      <c r="J9" s="171"/>
      <c r="K9" s="182">
        <v>8467.9</v>
      </c>
      <c r="L9" s="36"/>
      <c r="M9" s="36"/>
      <c r="N9" s="36"/>
      <c r="O9" s="36"/>
      <c r="P9" s="36"/>
      <c r="Q9" s="36"/>
      <c r="R9" s="36"/>
      <c r="S9" s="36"/>
      <c r="T9" s="36"/>
      <c r="U9" s="36"/>
      <c r="V9" s="36"/>
      <c r="W9" s="36"/>
      <c r="X9" s="36"/>
      <c r="Y9" s="36"/>
      <c r="Z9" s="36"/>
      <c r="AA9" s="36"/>
      <c r="AB9" s="36"/>
      <c r="AC9" s="36"/>
    </row>
    <row r="10">
      <c r="A10" s="423">
        <v>42563.0</v>
      </c>
      <c r="B10" s="424">
        <v>10.9926</v>
      </c>
      <c r="C10" s="171"/>
      <c r="D10" s="171"/>
      <c r="E10" s="425">
        <v>12.1343</v>
      </c>
      <c r="F10" s="425">
        <v>12.1933</v>
      </c>
      <c r="G10" s="425">
        <v>11.9419</v>
      </c>
      <c r="H10" s="171"/>
      <c r="I10" s="171"/>
      <c r="J10" s="171"/>
      <c r="K10" s="182">
        <v>8521.05</v>
      </c>
      <c r="L10" s="36"/>
      <c r="M10" s="36"/>
      <c r="N10" s="36"/>
      <c r="O10" s="36"/>
      <c r="P10" s="36"/>
      <c r="Q10" s="36"/>
      <c r="R10" s="36"/>
      <c r="S10" s="36"/>
      <c r="T10" s="36"/>
      <c r="U10" s="36"/>
      <c r="V10" s="36"/>
      <c r="W10" s="36"/>
      <c r="X10" s="36"/>
      <c r="Y10" s="36"/>
      <c r="Z10" s="36"/>
      <c r="AA10" s="36"/>
      <c r="AB10" s="36"/>
      <c r="AC10" s="36"/>
    </row>
    <row r="11">
      <c r="A11" s="423">
        <v>42564.0</v>
      </c>
      <c r="B11" s="424">
        <v>10.9794</v>
      </c>
      <c r="C11" s="171"/>
      <c r="D11" s="171"/>
      <c r="E11" s="425">
        <v>12.1477</v>
      </c>
      <c r="F11" s="425">
        <v>12.2025</v>
      </c>
      <c r="G11" s="425">
        <v>11.9632</v>
      </c>
      <c r="H11" s="171"/>
      <c r="I11" s="171"/>
      <c r="J11" s="171"/>
      <c r="K11" s="182">
        <v>8519.5</v>
      </c>
      <c r="L11" s="36"/>
      <c r="M11" s="36"/>
      <c r="N11" s="36"/>
      <c r="O11" s="36"/>
      <c r="P11" s="36"/>
      <c r="Q11" s="36"/>
      <c r="R11" s="36"/>
      <c r="S11" s="36"/>
      <c r="T11" s="36"/>
      <c r="U11" s="36"/>
      <c r="V11" s="36"/>
      <c r="W11" s="36"/>
      <c r="X11" s="36"/>
      <c r="Y11" s="36"/>
      <c r="Z11" s="36"/>
      <c r="AA11" s="36"/>
      <c r="AB11" s="36"/>
      <c r="AC11" s="36"/>
    </row>
    <row r="12">
      <c r="A12" s="423">
        <v>42565.0</v>
      </c>
      <c r="B12" s="424">
        <v>11.0242</v>
      </c>
      <c r="C12" s="171"/>
      <c r="D12" s="171"/>
      <c r="E12" s="425">
        <v>12.1516</v>
      </c>
      <c r="F12" s="425">
        <v>12.227</v>
      </c>
      <c r="G12" s="425">
        <v>11.9684</v>
      </c>
      <c r="H12" s="171"/>
      <c r="I12" s="171"/>
      <c r="J12" s="171"/>
      <c r="K12" s="182">
        <v>8565.0</v>
      </c>
      <c r="L12" s="36"/>
      <c r="M12" s="36"/>
      <c r="N12" s="36"/>
      <c r="O12" s="36"/>
      <c r="P12" s="36"/>
      <c r="Q12" s="36"/>
      <c r="R12" s="36"/>
      <c r="S12" s="36"/>
      <c r="T12" s="36"/>
      <c r="U12" s="36"/>
      <c r="V12" s="36"/>
      <c r="W12" s="36"/>
      <c r="X12" s="36"/>
      <c r="Y12" s="36"/>
      <c r="Z12" s="36"/>
      <c r="AA12" s="36"/>
      <c r="AB12" s="36"/>
      <c r="AC12" s="36"/>
    </row>
    <row r="13">
      <c r="A13" s="423">
        <v>42566.0</v>
      </c>
      <c r="B13" s="424">
        <v>10.9885</v>
      </c>
      <c r="C13" s="171"/>
      <c r="D13" s="171"/>
      <c r="E13" s="425">
        <v>12.1647</v>
      </c>
      <c r="F13" s="425">
        <v>12.0958</v>
      </c>
      <c r="G13" s="425">
        <v>11.9729</v>
      </c>
      <c r="H13" s="171"/>
      <c r="I13" s="171"/>
      <c r="J13" s="171"/>
      <c r="K13" s="182">
        <v>8541.4</v>
      </c>
      <c r="L13" s="36"/>
      <c r="M13" s="36"/>
      <c r="N13" s="36"/>
      <c r="O13" s="36"/>
      <c r="P13" s="36"/>
      <c r="Q13" s="36"/>
      <c r="R13" s="36"/>
      <c r="S13" s="36"/>
      <c r="T13" s="36"/>
      <c r="U13" s="36"/>
      <c r="V13" s="36"/>
      <c r="W13" s="36"/>
      <c r="X13" s="36"/>
      <c r="Y13" s="36"/>
      <c r="Z13" s="36"/>
      <c r="AA13" s="36"/>
      <c r="AB13" s="36"/>
      <c r="AC13" s="36"/>
    </row>
    <row r="14">
      <c r="A14" s="423">
        <v>42569.0</v>
      </c>
      <c r="B14" s="424">
        <v>10.9692</v>
      </c>
      <c r="C14" s="171"/>
      <c r="D14" s="171"/>
      <c r="E14" s="425">
        <v>12.1617</v>
      </c>
      <c r="F14" s="425">
        <v>12.1002</v>
      </c>
      <c r="G14" s="425">
        <v>11.9697</v>
      </c>
      <c r="H14" s="171"/>
      <c r="I14" s="171"/>
      <c r="J14" s="171"/>
      <c r="K14" s="182">
        <v>8508.7</v>
      </c>
      <c r="L14" s="36"/>
      <c r="M14" s="36"/>
      <c r="N14" s="36"/>
      <c r="O14" s="36"/>
      <c r="P14" s="36"/>
      <c r="Q14" s="36"/>
      <c r="R14" s="36"/>
      <c r="S14" s="36"/>
      <c r="T14" s="36"/>
      <c r="U14" s="36"/>
      <c r="V14" s="36"/>
      <c r="W14" s="36"/>
      <c r="X14" s="36"/>
      <c r="Y14" s="36"/>
      <c r="Z14" s="36"/>
      <c r="AA14" s="36"/>
      <c r="AB14" s="36"/>
      <c r="AC14" s="36"/>
    </row>
    <row r="15">
      <c r="A15" s="423">
        <v>42570.0</v>
      </c>
      <c r="B15" s="424">
        <v>10.9992</v>
      </c>
      <c r="C15" s="171"/>
      <c r="D15" s="171"/>
      <c r="E15" s="425">
        <v>12.1659</v>
      </c>
      <c r="F15" s="425">
        <v>12.1282</v>
      </c>
      <c r="G15" s="425">
        <v>11.9789</v>
      </c>
      <c r="H15" s="171"/>
      <c r="I15" s="171"/>
      <c r="J15" s="171"/>
      <c r="K15" s="182">
        <v>8528.55</v>
      </c>
      <c r="L15" s="36"/>
      <c r="M15" s="36"/>
      <c r="N15" s="36"/>
      <c r="O15" s="36"/>
      <c r="P15" s="36"/>
      <c r="Q15" s="36"/>
      <c r="R15" s="36"/>
      <c r="S15" s="36"/>
      <c r="T15" s="36"/>
      <c r="U15" s="36"/>
      <c r="V15" s="36"/>
      <c r="W15" s="36"/>
      <c r="X15" s="36"/>
      <c r="Y15" s="36"/>
      <c r="Z15" s="36"/>
      <c r="AA15" s="36"/>
      <c r="AB15" s="36"/>
      <c r="AC15" s="36"/>
    </row>
    <row r="16">
      <c r="A16" s="423">
        <v>42571.0</v>
      </c>
      <c r="B16" s="424">
        <v>11.0523</v>
      </c>
      <c r="C16" s="171"/>
      <c r="D16" s="171"/>
      <c r="E16" s="425">
        <v>12.1854</v>
      </c>
      <c r="F16" s="425">
        <v>12.1997</v>
      </c>
      <c r="G16" s="425">
        <v>11.9885</v>
      </c>
      <c r="H16" s="171"/>
      <c r="I16" s="171"/>
      <c r="J16" s="171"/>
      <c r="K16" s="182">
        <v>8565.85</v>
      </c>
      <c r="L16" s="36"/>
      <c r="M16" s="36"/>
      <c r="N16" s="36"/>
      <c r="O16" s="36"/>
      <c r="P16" s="36"/>
      <c r="Q16" s="36"/>
      <c r="R16" s="36"/>
      <c r="S16" s="36"/>
      <c r="T16" s="36"/>
      <c r="U16" s="36"/>
      <c r="V16" s="36"/>
      <c r="W16" s="36"/>
      <c r="X16" s="36"/>
      <c r="Y16" s="36"/>
      <c r="Z16" s="36"/>
      <c r="AA16" s="36"/>
      <c r="AB16" s="36"/>
      <c r="AC16" s="36"/>
    </row>
    <row r="17">
      <c r="A17" s="423">
        <v>42572.0</v>
      </c>
      <c r="B17" s="424">
        <v>10.9905</v>
      </c>
      <c r="C17" s="171"/>
      <c r="D17" s="171"/>
      <c r="E17" s="425">
        <v>12.1996</v>
      </c>
      <c r="F17" s="425">
        <v>12.1531</v>
      </c>
      <c r="G17" s="425">
        <v>11.9951</v>
      </c>
      <c r="H17" s="171"/>
      <c r="I17" s="171"/>
      <c r="J17" s="171"/>
      <c r="K17" s="182">
        <v>8510.1</v>
      </c>
      <c r="L17" s="36"/>
      <c r="M17" s="36"/>
      <c r="N17" s="36"/>
      <c r="O17" s="36"/>
      <c r="P17" s="36"/>
      <c r="Q17" s="36"/>
      <c r="R17" s="36"/>
      <c r="S17" s="36"/>
      <c r="T17" s="36"/>
      <c r="U17" s="36"/>
      <c r="V17" s="36"/>
      <c r="W17" s="36"/>
      <c r="X17" s="36"/>
      <c r="Y17" s="36"/>
      <c r="Z17" s="36"/>
      <c r="AA17" s="36"/>
      <c r="AB17" s="36"/>
      <c r="AC17" s="36"/>
    </row>
    <row r="18">
      <c r="A18" s="423">
        <v>42573.0</v>
      </c>
      <c r="B18" s="424">
        <v>11.0377</v>
      </c>
      <c r="C18" s="171"/>
      <c r="D18" s="171"/>
      <c r="E18" s="425">
        <v>12.2175</v>
      </c>
      <c r="F18" s="425">
        <v>12.2198</v>
      </c>
      <c r="G18" s="425">
        <v>12.0059</v>
      </c>
      <c r="H18" s="171"/>
      <c r="I18" s="171"/>
      <c r="J18" s="171"/>
      <c r="K18" s="182">
        <v>8541.2</v>
      </c>
      <c r="L18" s="36"/>
      <c r="M18" s="36"/>
      <c r="N18" s="36"/>
      <c r="O18" s="36"/>
      <c r="P18" s="36"/>
      <c r="Q18" s="36"/>
      <c r="R18" s="36"/>
      <c r="S18" s="36"/>
      <c r="T18" s="36"/>
      <c r="U18" s="36"/>
      <c r="V18" s="36"/>
      <c r="W18" s="36"/>
      <c r="X18" s="36"/>
      <c r="Y18" s="36"/>
      <c r="Z18" s="36"/>
      <c r="AA18" s="36"/>
      <c r="AB18" s="36"/>
      <c r="AC18" s="36"/>
    </row>
    <row r="19">
      <c r="A19" s="423">
        <v>42576.0</v>
      </c>
      <c r="B19" s="424">
        <v>11.146</v>
      </c>
      <c r="C19" s="171"/>
      <c r="D19" s="171"/>
      <c r="E19" s="425">
        <v>12.2329</v>
      </c>
      <c r="F19" s="425">
        <v>12.3663</v>
      </c>
      <c r="G19" s="425">
        <v>12.0138</v>
      </c>
      <c r="H19" s="171"/>
      <c r="I19" s="171"/>
      <c r="J19" s="171"/>
      <c r="K19" s="182">
        <v>8635.65</v>
      </c>
      <c r="L19" s="36"/>
      <c r="M19" s="36"/>
      <c r="N19" s="36"/>
      <c r="O19" s="36"/>
      <c r="P19" s="36"/>
      <c r="Q19" s="36"/>
      <c r="R19" s="36"/>
      <c r="S19" s="36"/>
      <c r="T19" s="36"/>
      <c r="U19" s="36"/>
      <c r="V19" s="36"/>
      <c r="W19" s="36"/>
      <c r="X19" s="36"/>
      <c r="Y19" s="36"/>
      <c r="Z19" s="36"/>
      <c r="AA19" s="36"/>
      <c r="AB19" s="36"/>
      <c r="AC19" s="36"/>
    </row>
    <row r="20">
      <c r="A20" s="423">
        <v>42577.0</v>
      </c>
      <c r="B20" s="424">
        <v>11.1134</v>
      </c>
      <c r="C20" s="171"/>
      <c r="D20" s="171"/>
      <c r="E20" s="425">
        <v>12.2381</v>
      </c>
      <c r="F20" s="425">
        <v>12.2728</v>
      </c>
      <c r="G20" s="425">
        <v>12.0216</v>
      </c>
      <c r="H20" s="171"/>
      <c r="I20" s="171"/>
      <c r="J20" s="171"/>
      <c r="K20" s="182">
        <v>8590.65</v>
      </c>
      <c r="L20" s="36"/>
      <c r="M20" s="36"/>
      <c r="N20" s="36"/>
      <c r="O20" s="36"/>
      <c r="P20" s="36"/>
      <c r="Q20" s="36"/>
      <c r="R20" s="36"/>
      <c r="S20" s="36"/>
      <c r="T20" s="36"/>
      <c r="U20" s="36"/>
      <c r="V20" s="36"/>
      <c r="W20" s="36"/>
      <c r="X20" s="36"/>
      <c r="Y20" s="36"/>
      <c r="Z20" s="36"/>
      <c r="AA20" s="36"/>
      <c r="AB20" s="36"/>
      <c r="AC20" s="36"/>
    </row>
    <row r="21" ht="15.75" customHeight="1">
      <c r="A21" s="423">
        <v>42578.0</v>
      </c>
      <c r="B21" s="424">
        <v>11.1413</v>
      </c>
      <c r="C21" s="171"/>
      <c r="D21" s="171"/>
      <c r="E21" s="425">
        <v>12.2454</v>
      </c>
      <c r="F21" s="425">
        <v>12.3023</v>
      </c>
      <c r="G21" s="425">
        <v>12.0229</v>
      </c>
      <c r="H21" s="171"/>
      <c r="I21" s="171"/>
      <c r="J21" s="171"/>
      <c r="K21" s="182">
        <v>8615.8</v>
      </c>
      <c r="L21" s="36"/>
      <c r="M21" s="36"/>
      <c r="N21" s="36"/>
      <c r="O21" s="36"/>
      <c r="P21" s="36"/>
      <c r="Q21" s="36"/>
      <c r="R21" s="36"/>
      <c r="S21" s="36"/>
      <c r="T21" s="36"/>
      <c r="U21" s="36"/>
      <c r="V21" s="36"/>
      <c r="W21" s="36"/>
      <c r="X21" s="36"/>
      <c r="Y21" s="36"/>
      <c r="Z21" s="36"/>
      <c r="AA21" s="36"/>
      <c r="AB21" s="36"/>
      <c r="AC21" s="36"/>
    </row>
    <row r="22" ht="15.75" customHeight="1">
      <c r="A22" s="423">
        <v>42579.0</v>
      </c>
      <c r="B22" s="424">
        <v>11.2273</v>
      </c>
      <c r="C22" s="171"/>
      <c r="D22" s="171"/>
      <c r="E22" s="425">
        <v>12.2961</v>
      </c>
      <c r="F22" s="425">
        <v>12.379</v>
      </c>
      <c r="G22" s="425">
        <v>12.0497</v>
      </c>
      <c r="H22" s="171"/>
      <c r="I22" s="171"/>
      <c r="J22" s="171"/>
      <c r="K22" s="182">
        <v>8666.3</v>
      </c>
      <c r="L22" s="36"/>
      <c r="M22" s="36"/>
      <c r="N22" s="36"/>
      <c r="O22" s="36"/>
      <c r="P22" s="36"/>
      <c r="Q22" s="36"/>
      <c r="R22" s="36"/>
      <c r="S22" s="36"/>
      <c r="T22" s="36"/>
      <c r="U22" s="36"/>
      <c r="V22" s="36"/>
      <c r="W22" s="36"/>
      <c r="X22" s="36"/>
      <c r="Y22" s="36"/>
      <c r="Z22" s="36"/>
      <c r="AA22" s="36"/>
      <c r="AB22" s="36"/>
      <c r="AC22" s="36"/>
    </row>
    <row r="23" ht="15.75" customHeight="1">
      <c r="A23" s="423">
        <v>42580.0</v>
      </c>
      <c r="B23" s="424">
        <v>11.2055</v>
      </c>
      <c r="C23" s="171"/>
      <c r="D23" s="171"/>
      <c r="E23" s="425">
        <v>12.3092</v>
      </c>
      <c r="F23" s="425">
        <v>12.3731</v>
      </c>
      <c r="G23" s="425">
        <v>12.0587</v>
      </c>
      <c r="H23" s="171"/>
      <c r="I23" s="171"/>
      <c r="J23" s="171"/>
      <c r="K23" s="182">
        <v>8638.5</v>
      </c>
      <c r="L23" s="36"/>
      <c r="M23" s="36"/>
      <c r="N23" s="36"/>
      <c r="O23" s="36"/>
      <c r="P23" s="36"/>
      <c r="Q23" s="36"/>
      <c r="R23" s="36"/>
      <c r="S23" s="36"/>
      <c r="T23" s="36"/>
      <c r="U23" s="36"/>
      <c r="V23" s="36"/>
      <c r="W23" s="36"/>
      <c r="X23" s="36"/>
      <c r="Y23" s="36"/>
      <c r="Z23" s="36"/>
      <c r="AA23" s="36"/>
      <c r="AB23" s="36"/>
      <c r="AC23" s="36"/>
    </row>
    <row r="24" ht="15.75" customHeight="1">
      <c r="A24" s="423">
        <v>42583.0</v>
      </c>
      <c r="B24" s="424">
        <v>11.2125</v>
      </c>
      <c r="C24" s="171"/>
      <c r="D24" s="171"/>
      <c r="E24" s="425">
        <v>12.3378</v>
      </c>
      <c r="F24" s="425">
        <v>12.3902</v>
      </c>
      <c r="G24" s="425">
        <v>12.0756</v>
      </c>
      <c r="H24" s="171"/>
      <c r="I24" s="171"/>
      <c r="J24" s="171"/>
      <c r="K24" s="182">
        <v>8636.55</v>
      </c>
      <c r="L24" s="36"/>
      <c r="M24" s="36"/>
      <c r="N24" s="36"/>
      <c r="O24" s="36"/>
      <c r="P24" s="36"/>
      <c r="Q24" s="36"/>
      <c r="R24" s="36"/>
      <c r="S24" s="36"/>
      <c r="T24" s="36"/>
      <c r="U24" s="36"/>
      <c r="V24" s="36"/>
      <c r="W24" s="36"/>
      <c r="X24" s="36"/>
      <c r="Y24" s="36"/>
      <c r="Z24" s="36"/>
      <c r="AA24" s="36"/>
      <c r="AB24" s="36"/>
      <c r="AC24" s="36"/>
    </row>
    <row r="25" ht="15.75" customHeight="1">
      <c r="A25" s="423">
        <v>42584.0</v>
      </c>
      <c r="B25" s="424">
        <v>11.1944</v>
      </c>
      <c r="C25" s="171"/>
      <c r="D25" s="171"/>
      <c r="E25" s="425">
        <v>12.3275</v>
      </c>
      <c r="F25" s="425">
        <v>12.3931</v>
      </c>
      <c r="G25" s="425">
        <v>12.0629</v>
      </c>
      <c r="H25" s="171"/>
      <c r="I25" s="171"/>
      <c r="J25" s="171"/>
      <c r="K25" s="182">
        <v>8622.9</v>
      </c>
      <c r="L25" s="36"/>
      <c r="M25" s="36"/>
      <c r="N25" s="36"/>
      <c r="O25" s="36"/>
      <c r="P25" s="36"/>
      <c r="Q25" s="36"/>
      <c r="R25" s="36"/>
      <c r="S25" s="36"/>
      <c r="T25" s="36"/>
      <c r="U25" s="36"/>
      <c r="V25" s="36"/>
      <c r="W25" s="36"/>
      <c r="X25" s="36"/>
      <c r="Y25" s="36"/>
      <c r="Z25" s="36"/>
      <c r="AA25" s="36"/>
      <c r="AB25" s="36"/>
      <c r="AC25" s="36"/>
    </row>
    <row r="26" ht="15.75" customHeight="1">
      <c r="A26" s="423">
        <v>42585.0</v>
      </c>
      <c r="B26" s="424">
        <v>11.0912</v>
      </c>
      <c r="C26" s="171"/>
      <c r="D26" s="171"/>
      <c r="E26" s="425">
        <v>12.3161</v>
      </c>
      <c r="F26" s="425">
        <v>12.2869</v>
      </c>
      <c r="G26" s="425">
        <v>12.054</v>
      </c>
      <c r="H26" s="171"/>
      <c r="I26" s="171"/>
      <c r="J26" s="171"/>
      <c r="K26" s="182">
        <v>8544.85</v>
      </c>
      <c r="L26" s="36"/>
      <c r="M26" s="36"/>
      <c r="N26" s="36"/>
      <c r="O26" s="36"/>
      <c r="P26" s="36"/>
      <c r="Q26" s="36"/>
      <c r="R26" s="36"/>
      <c r="S26" s="36"/>
      <c r="T26" s="36"/>
      <c r="U26" s="36"/>
      <c r="V26" s="36"/>
      <c r="W26" s="36"/>
      <c r="X26" s="36"/>
      <c r="Y26" s="36"/>
      <c r="Z26" s="36"/>
      <c r="AA26" s="36"/>
      <c r="AB26" s="36"/>
      <c r="AC26" s="36"/>
    </row>
    <row r="27" ht="15.75" customHeight="1">
      <c r="A27" s="423">
        <v>42586.0</v>
      </c>
      <c r="B27" s="424">
        <v>11.0923</v>
      </c>
      <c r="C27" s="171"/>
      <c r="D27" s="171"/>
      <c r="E27" s="425">
        <v>12.3257</v>
      </c>
      <c r="F27" s="425">
        <v>12.3037</v>
      </c>
      <c r="G27" s="425">
        <v>12.068</v>
      </c>
      <c r="H27" s="171"/>
      <c r="I27" s="171"/>
      <c r="J27" s="171"/>
      <c r="K27" s="182">
        <v>8551.1</v>
      </c>
      <c r="L27" s="36"/>
      <c r="M27" s="36"/>
      <c r="N27" s="36"/>
      <c r="O27" s="36"/>
      <c r="P27" s="36"/>
      <c r="Q27" s="36"/>
      <c r="R27" s="36"/>
      <c r="S27" s="36"/>
      <c r="T27" s="36"/>
      <c r="U27" s="36"/>
      <c r="V27" s="36"/>
      <c r="W27" s="36"/>
      <c r="X27" s="36"/>
      <c r="Y27" s="36"/>
      <c r="Z27" s="36"/>
      <c r="AA27" s="36"/>
      <c r="AB27" s="36"/>
      <c r="AC27" s="36"/>
    </row>
    <row r="28" ht="15.75" customHeight="1">
      <c r="A28" s="423">
        <v>42587.0</v>
      </c>
      <c r="B28" s="424">
        <v>11.252</v>
      </c>
      <c r="C28" s="171"/>
      <c r="D28" s="171"/>
      <c r="E28" s="425">
        <v>12.3311</v>
      </c>
      <c r="F28" s="425">
        <v>12.4609</v>
      </c>
      <c r="G28" s="425">
        <v>12.0708</v>
      </c>
      <c r="H28" s="171"/>
      <c r="I28" s="171"/>
      <c r="J28" s="171"/>
      <c r="K28" s="182">
        <v>8683.15</v>
      </c>
      <c r="L28" s="36"/>
      <c r="M28" s="36"/>
      <c r="N28" s="36"/>
      <c r="O28" s="36"/>
      <c r="P28" s="36"/>
      <c r="Q28" s="36"/>
      <c r="R28" s="36"/>
      <c r="S28" s="36"/>
      <c r="T28" s="36"/>
      <c r="U28" s="36"/>
      <c r="V28" s="36"/>
      <c r="W28" s="36"/>
      <c r="X28" s="36"/>
      <c r="Y28" s="36"/>
      <c r="Z28" s="36"/>
      <c r="AA28" s="36"/>
      <c r="AB28" s="36"/>
      <c r="AC28" s="36"/>
    </row>
    <row r="29" ht="15.75" customHeight="1">
      <c r="A29" s="423">
        <v>42590.0</v>
      </c>
      <c r="B29" s="424">
        <v>11.2732</v>
      </c>
      <c r="C29" s="171"/>
      <c r="D29" s="171"/>
      <c r="E29" s="425">
        <v>12.3378</v>
      </c>
      <c r="F29" s="425">
        <v>12.5119</v>
      </c>
      <c r="G29" s="425">
        <v>12.0785</v>
      </c>
      <c r="H29" s="171"/>
      <c r="I29" s="171"/>
      <c r="J29" s="171"/>
      <c r="K29" s="182">
        <v>8711.35</v>
      </c>
      <c r="L29" s="36"/>
      <c r="M29" s="36"/>
      <c r="N29" s="36"/>
      <c r="O29" s="36"/>
      <c r="P29" s="36"/>
      <c r="Q29" s="36"/>
      <c r="R29" s="36"/>
      <c r="S29" s="36"/>
      <c r="T29" s="36"/>
      <c r="U29" s="36"/>
      <c r="V29" s="36"/>
      <c r="W29" s="36"/>
      <c r="X29" s="36"/>
      <c r="Y29" s="36"/>
      <c r="Z29" s="36"/>
      <c r="AA29" s="36"/>
      <c r="AB29" s="36"/>
      <c r="AC29" s="36"/>
    </row>
    <row r="30" ht="15.75" customHeight="1">
      <c r="A30" s="423">
        <v>42591.0</v>
      </c>
      <c r="B30" s="424">
        <v>11.238</v>
      </c>
      <c r="C30" s="171"/>
      <c r="D30" s="171"/>
      <c r="E30" s="425">
        <v>12.3733</v>
      </c>
      <c r="F30" s="425">
        <v>12.491</v>
      </c>
      <c r="G30" s="425">
        <v>12.101</v>
      </c>
      <c r="H30" s="171"/>
      <c r="I30" s="171"/>
      <c r="J30" s="171"/>
      <c r="K30" s="182">
        <v>8678.25</v>
      </c>
      <c r="L30" s="36"/>
      <c r="M30" s="36"/>
      <c r="N30" s="36"/>
      <c r="O30" s="36"/>
      <c r="P30" s="36"/>
      <c r="Q30" s="36"/>
      <c r="R30" s="36"/>
      <c r="S30" s="36"/>
      <c r="T30" s="36"/>
      <c r="U30" s="36"/>
      <c r="V30" s="36"/>
      <c r="W30" s="36"/>
      <c r="X30" s="36"/>
      <c r="Y30" s="36"/>
      <c r="Z30" s="36"/>
      <c r="AA30" s="36"/>
      <c r="AB30" s="36"/>
      <c r="AC30" s="36"/>
    </row>
    <row r="31" ht="15.75" customHeight="1">
      <c r="A31" s="423">
        <v>42592.0</v>
      </c>
      <c r="B31" s="424">
        <v>11.1147</v>
      </c>
      <c r="C31" s="171"/>
      <c r="D31" s="171"/>
      <c r="E31" s="425">
        <v>12.4044</v>
      </c>
      <c r="F31" s="425">
        <v>12.3706</v>
      </c>
      <c r="G31" s="425">
        <v>12.1157</v>
      </c>
      <c r="H31" s="171"/>
      <c r="I31" s="171"/>
      <c r="J31" s="171"/>
      <c r="K31" s="182">
        <v>8575.3</v>
      </c>
      <c r="L31" s="36"/>
      <c r="M31" s="36"/>
      <c r="N31" s="36"/>
      <c r="O31" s="36"/>
      <c r="P31" s="36"/>
      <c r="Q31" s="36"/>
      <c r="R31" s="36"/>
      <c r="S31" s="36"/>
      <c r="T31" s="36"/>
      <c r="U31" s="36"/>
      <c r="V31" s="36"/>
      <c r="W31" s="36"/>
      <c r="X31" s="36"/>
      <c r="Y31" s="36"/>
      <c r="Z31" s="36"/>
      <c r="AA31" s="36"/>
      <c r="AB31" s="36"/>
      <c r="AC31" s="36"/>
    </row>
    <row r="32" ht="15.75" customHeight="1">
      <c r="A32" s="423">
        <v>42593.0</v>
      </c>
      <c r="B32" s="424">
        <v>11.1246</v>
      </c>
      <c r="C32" s="171"/>
      <c r="D32" s="171"/>
      <c r="E32" s="425">
        <v>12.4241</v>
      </c>
      <c r="F32" s="425">
        <v>12.3993</v>
      </c>
      <c r="G32" s="425">
        <v>12.1308</v>
      </c>
      <c r="H32" s="171"/>
      <c r="I32" s="171"/>
      <c r="J32" s="171"/>
      <c r="K32" s="182">
        <v>8592.15</v>
      </c>
      <c r="L32" s="36"/>
      <c r="M32" s="36"/>
      <c r="N32" s="36"/>
      <c r="O32" s="36"/>
      <c r="P32" s="36"/>
      <c r="Q32" s="36"/>
      <c r="R32" s="36"/>
      <c r="S32" s="36"/>
      <c r="T32" s="36"/>
      <c r="U32" s="36"/>
      <c r="V32" s="36"/>
      <c r="W32" s="36"/>
      <c r="X32" s="36"/>
      <c r="Y32" s="36"/>
      <c r="Z32" s="36"/>
      <c r="AA32" s="36"/>
      <c r="AB32" s="36"/>
      <c r="AC32" s="36"/>
    </row>
    <row r="33" ht="15.75" customHeight="1">
      <c r="A33" s="423">
        <v>42594.0</v>
      </c>
      <c r="B33" s="424">
        <v>11.2126</v>
      </c>
      <c r="C33" s="171"/>
      <c r="D33" s="171"/>
      <c r="E33" s="425">
        <v>12.4266</v>
      </c>
      <c r="F33" s="425">
        <v>12.488</v>
      </c>
      <c r="G33" s="425">
        <v>12.1319</v>
      </c>
      <c r="H33" s="171"/>
      <c r="I33" s="171"/>
      <c r="J33" s="171"/>
      <c r="K33" s="182">
        <v>8672.15</v>
      </c>
      <c r="L33" s="36"/>
      <c r="M33" s="36"/>
      <c r="N33" s="36"/>
      <c r="O33" s="36"/>
      <c r="P33" s="36"/>
      <c r="Q33" s="36"/>
      <c r="R33" s="36"/>
      <c r="S33" s="36"/>
      <c r="T33" s="36"/>
      <c r="U33" s="36"/>
      <c r="V33" s="36"/>
      <c r="W33" s="36"/>
      <c r="X33" s="36"/>
      <c r="Y33" s="36"/>
      <c r="Z33" s="36"/>
      <c r="AA33" s="36"/>
      <c r="AB33" s="36"/>
      <c r="AC33" s="36"/>
    </row>
    <row r="34" ht="15.75" customHeight="1">
      <c r="A34" s="423">
        <v>42598.0</v>
      </c>
      <c r="B34" s="424">
        <v>11.1956</v>
      </c>
      <c r="C34" s="171"/>
      <c r="D34" s="171"/>
      <c r="E34" s="425">
        <v>12.4301</v>
      </c>
      <c r="F34" s="425">
        <v>12.5283</v>
      </c>
      <c r="G34" s="425">
        <v>12.1353</v>
      </c>
      <c r="H34" s="171"/>
      <c r="I34" s="171"/>
      <c r="J34" s="171"/>
      <c r="K34" s="182">
        <v>8642.55</v>
      </c>
      <c r="L34" s="36"/>
      <c r="M34" s="36"/>
      <c r="N34" s="36"/>
      <c r="O34" s="36"/>
      <c r="P34" s="36"/>
      <c r="Q34" s="36"/>
      <c r="R34" s="36"/>
      <c r="S34" s="36"/>
      <c r="T34" s="36"/>
      <c r="U34" s="36"/>
      <c r="V34" s="36"/>
      <c r="W34" s="36"/>
      <c r="X34" s="36"/>
      <c r="Y34" s="36"/>
      <c r="Z34" s="36"/>
      <c r="AA34" s="36"/>
      <c r="AB34" s="36"/>
      <c r="AC34" s="36"/>
    </row>
    <row r="35" ht="15.75" customHeight="1">
      <c r="A35" s="423">
        <v>42599.0</v>
      </c>
      <c r="B35" s="424">
        <v>11.1596</v>
      </c>
      <c r="C35" s="171"/>
      <c r="D35" s="171"/>
      <c r="E35" s="425">
        <v>12.4319</v>
      </c>
      <c r="F35" s="425">
        <v>12.515</v>
      </c>
      <c r="G35" s="425">
        <v>12.1372</v>
      </c>
      <c r="H35" s="171"/>
      <c r="I35" s="171"/>
      <c r="J35" s="171"/>
      <c r="K35" s="182">
        <v>8624.05</v>
      </c>
      <c r="L35" s="36"/>
      <c r="M35" s="36"/>
      <c r="N35" s="36"/>
      <c r="O35" s="36"/>
      <c r="P35" s="36"/>
      <c r="Q35" s="36"/>
      <c r="R35" s="36"/>
      <c r="S35" s="36"/>
      <c r="T35" s="36"/>
      <c r="U35" s="36"/>
      <c r="V35" s="36"/>
      <c r="W35" s="36"/>
      <c r="X35" s="36"/>
      <c r="Y35" s="36"/>
      <c r="Z35" s="36"/>
      <c r="AA35" s="36"/>
      <c r="AB35" s="36"/>
      <c r="AC35" s="36"/>
    </row>
    <row r="36" ht="15.75" customHeight="1">
      <c r="A36" s="423">
        <v>42600.0</v>
      </c>
      <c r="B36" s="424">
        <v>11.2326</v>
      </c>
      <c r="C36" s="171"/>
      <c r="D36" s="171"/>
      <c r="E36" s="425">
        <v>12.4058</v>
      </c>
      <c r="F36" s="425">
        <v>12.6176</v>
      </c>
      <c r="G36" s="425">
        <v>12.1219</v>
      </c>
      <c r="H36" s="171"/>
      <c r="I36" s="171"/>
      <c r="J36" s="171"/>
      <c r="K36" s="182">
        <v>8673.25</v>
      </c>
      <c r="L36" s="36"/>
      <c r="M36" s="36"/>
      <c r="N36" s="36"/>
      <c r="O36" s="36"/>
      <c r="P36" s="36"/>
      <c r="Q36" s="36"/>
      <c r="R36" s="36"/>
      <c r="S36" s="36"/>
      <c r="T36" s="36"/>
      <c r="U36" s="36"/>
      <c r="V36" s="36"/>
      <c r="W36" s="36"/>
      <c r="X36" s="36"/>
      <c r="Y36" s="36"/>
      <c r="Z36" s="36"/>
      <c r="AA36" s="36"/>
      <c r="AB36" s="36"/>
      <c r="AC36" s="36"/>
    </row>
    <row r="37" ht="15.75" customHeight="1">
      <c r="A37" s="423">
        <v>42601.0</v>
      </c>
      <c r="B37" s="424">
        <v>11.2302</v>
      </c>
      <c r="C37" s="171"/>
      <c r="D37" s="171"/>
      <c r="E37" s="425">
        <v>12.4171</v>
      </c>
      <c r="F37" s="425">
        <v>12.6462</v>
      </c>
      <c r="G37" s="425">
        <v>12.1284</v>
      </c>
      <c r="H37" s="171"/>
      <c r="I37" s="171"/>
      <c r="J37" s="171"/>
      <c r="K37" s="182">
        <v>8666.9</v>
      </c>
      <c r="L37" s="36"/>
      <c r="M37" s="36"/>
      <c r="N37" s="36"/>
      <c r="O37" s="36"/>
      <c r="P37" s="36"/>
      <c r="Q37" s="36"/>
      <c r="R37" s="36"/>
      <c r="S37" s="36"/>
      <c r="T37" s="36"/>
      <c r="U37" s="36"/>
      <c r="V37" s="36"/>
      <c r="W37" s="36"/>
      <c r="X37" s="36"/>
      <c r="Y37" s="36"/>
      <c r="Z37" s="36"/>
      <c r="AA37" s="36"/>
      <c r="AB37" s="36"/>
      <c r="AC37" s="36"/>
    </row>
    <row r="38" ht="15.75" customHeight="1">
      <c r="A38" s="423">
        <v>42604.0</v>
      </c>
      <c r="B38" s="424">
        <v>11.1892</v>
      </c>
      <c r="C38" s="171"/>
      <c r="D38" s="171"/>
      <c r="E38" s="425">
        <v>12.4003</v>
      </c>
      <c r="F38" s="425">
        <v>12.6034</v>
      </c>
      <c r="G38" s="425">
        <v>12.1184</v>
      </c>
      <c r="H38" s="171"/>
      <c r="I38" s="171"/>
      <c r="J38" s="171"/>
      <c r="K38" s="182">
        <v>8629.15</v>
      </c>
      <c r="L38" s="36"/>
      <c r="M38" s="36"/>
      <c r="N38" s="36"/>
      <c r="O38" s="36"/>
      <c r="P38" s="36"/>
      <c r="Q38" s="36"/>
      <c r="R38" s="36"/>
      <c r="S38" s="36"/>
      <c r="T38" s="36"/>
      <c r="U38" s="36"/>
      <c r="V38" s="36"/>
      <c r="W38" s="36"/>
      <c r="X38" s="36"/>
      <c r="Y38" s="36"/>
      <c r="Z38" s="36"/>
      <c r="AA38" s="36"/>
      <c r="AB38" s="36"/>
      <c r="AC38" s="36"/>
    </row>
    <row r="39" ht="15.75" customHeight="1">
      <c r="A39" s="423">
        <v>42605.0</v>
      </c>
      <c r="B39" s="424">
        <v>11.1797</v>
      </c>
      <c r="C39" s="171"/>
      <c r="D39" s="171"/>
      <c r="E39" s="425">
        <v>12.3977</v>
      </c>
      <c r="F39" s="425">
        <v>12.5842</v>
      </c>
      <c r="G39" s="425">
        <v>12.1172</v>
      </c>
      <c r="H39" s="171"/>
      <c r="I39" s="171"/>
      <c r="J39" s="171"/>
      <c r="K39" s="182">
        <v>8632.6</v>
      </c>
      <c r="L39" s="36"/>
      <c r="M39" s="36"/>
      <c r="N39" s="36"/>
      <c r="O39" s="36"/>
      <c r="P39" s="36"/>
      <c r="Q39" s="36"/>
      <c r="R39" s="36"/>
      <c r="S39" s="36"/>
      <c r="T39" s="36"/>
      <c r="U39" s="36"/>
      <c r="V39" s="36"/>
      <c r="W39" s="36"/>
      <c r="X39" s="36"/>
      <c r="Y39" s="36"/>
      <c r="Z39" s="36"/>
      <c r="AA39" s="36"/>
      <c r="AB39" s="36"/>
      <c r="AC39" s="36"/>
    </row>
    <row r="40" ht="15.75" customHeight="1">
      <c r="A40" s="423">
        <v>42606.0</v>
      </c>
      <c r="B40" s="424">
        <v>11.2</v>
      </c>
      <c r="C40" s="171"/>
      <c r="D40" s="171"/>
      <c r="E40" s="425">
        <v>12.4108</v>
      </c>
      <c r="F40" s="425">
        <v>12.629</v>
      </c>
      <c r="G40" s="425">
        <v>12.1314</v>
      </c>
      <c r="H40" s="171"/>
      <c r="I40" s="171"/>
      <c r="J40" s="171"/>
      <c r="K40" s="182">
        <v>8650.3</v>
      </c>
      <c r="L40" s="36"/>
      <c r="M40" s="36"/>
      <c r="N40" s="36"/>
      <c r="O40" s="36"/>
      <c r="P40" s="36"/>
      <c r="Q40" s="36"/>
      <c r="R40" s="36"/>
      <c r="S40" s="36"/>
      <c r="T40" s="36"/>
      <c r="U40" s="36"/>
      <c r="V40" s="36"/>
      <c r="W40" s="36"/>
      <c r="X40" s="36"/>
      <c r="Y40" s="36"/>
      <c r="Z40" s="36"/>
      <c r="AA40" s="36"/>
      <c r="AB40" s="36"/>
      <c r="AC40" s="36"/>
    </row>
    <row r="41" ht="15.75" customHeight="1">
      <c r="A41" s="423">
        <v>42607.0</v>
      </c>
      <c r="B41" s="424">
        <v>11.1534</v>
      </c>
      <c r="C41" s="171"/>
      <c r="D41" s="171"/>
      <c r="E41" s="425">
        <v>12.421</v>
      </c>
      <c r="F41" s="425">
        <v>12.5652</v>
      </c>
      <c r="G41" s="425">
        <v>12.1396</v>
      </c>
      <c r="H41" s="171"/>
      <c r="I41" s="171"/>
      <c r="J41" s="171"/>
      <c r="K41" s="182">
        <v>8592.2</v>
      </c>
      <c r="L41" s="36"/>
      <c r="M41" s="36"/>
      <c r="N41" s="36"/>
      <c r="O41" s="36"/>
      <c r="P41" s="36"/>
      <c r="Q41" s="36"/>
      <c r="R41" s="36"/>
      <c r="S41" s="36"/>
      <c r="T41" s="36"/>
      <c r="U41" s="36"/>
      <c r="V41" s="36"/>
      <c r="W41" s="36"/>
      <c r="X41" s="36"/>
      <c r="Y41" s="36"/>
      <c r="Z41" s="36"/>
      <c r="AA41" s="36"/>
      <c r="AB41" s="36"/>
      <c r="AC41" s="36"/>
    </row>
    <row r="42" ht="15.75" customHeight="1">
      <c r="A42" s="423">
        <v>42608.0</v>
      </c>
      <c r="B42" s="424">
        <v>11.1297</v>
      </c>
      <c r="C42" s="171"/>
      <c r="D42" s="171"/>
      <c r="E42" s="425">
        <v>12.4263</v>
      </c>
      <c r="F42" s="425">
        <v>12.5262</v>
      </c>
      <c r="G42" s="425">
        <v>12.1379</v>
      </c>
      <c r="H42" s="171"/>
      <c r="I42" s="171"/>
      <c r="J42" s="171"/>
      <c r="K42" s="182">
        <v>8572.55</v>
      </c>
      <c r="L42" s="36"/>
      <c r="M42" s="36"/>
      <c r="N42" s="36"/>
      <c r="O42" s="36"/>
      <c r="P42" s="36"/>
      <c r="Q42" s="36"/>
      <c r="R42" s="36"/>
      <c r="S42" s="36"/>
      <c r="T42" s="36"/>
      <c r="U42" s="36"/>
      <c r="V42" s="36"/>
      <c r="W42" s="36"/>
      <c r="X42" s="36"/>
      <c r="Y42" s="36"/>
      <c r="Z42" s="36"/>
      <c r="AA42" s="36"/>
      <c r="AB42" s="36"/>
      <c r="AC42" s="36"/>
    </row>
    <row r="43" ht="15.75" customHeight="1">
      <c r="A43" s="423">
        <v>42611.0</v>
      </c>
      <c r="B43" s="424">
        <v>11.162</v>
      </c>
      <c r="C43" s="171"/>
      <c r="D43" s="171"/>
      <c r="E43" s="425">
        <v>12.4294</v>
      </c>
      <c r="F43" s="425">
        <v>12.5412</v>
      </c>
      <c r="G43" s="425">
        <v>12.1513</v>
      </c>
      <c r="H43" s="171"/>
      <c r="I43" s="171"/>
      <c r="J43" s="171"/>
      <c r="K43" s="182">
        <v>8607.45</v>
      </c>
      <c r="L43" s="36"/>
      <c r="M43" s="36"/>
      <c r="N43" s="36"/>
      <c r="O43" s="36"/>
      <c r="P43" s="36"/>
      <c r="Q43" s="36"/>
      <c r="R43" s="36"/>
      <c r="S43" s="36"/>
      <c r="T43" s="36"/>
      <c r="U43" s="36"/>
      <c r="V43" s="36"/>
      <c r="W43" s="36"/>
      <c r="X43" s="36"/>
      <c r="Y43" s="36"/>
      <c r="Z43" s="36"/>
      <c r="AA43" s="36"/>
      <c r="AB43" s="36"/>
      <c r="AC43" s="36"/>
    </row>
    <row r="44" ht="15.75" customHeight="1">
      <c r="A44" s="423">
        <v>42612.0</v>
      </c>
      <c r="B44" s="424">
        <v>11.3057</v>
      </c>
      <c r="C44" s="171"/>
      <c r="D44" s="171"/>
      <c r="E44" s="425">
        <v>12.448</v>
      </c>
      <c r="F44" s="425">
        <v>12.713</v>
      </c>
      <c r="G44" s="425">
        <v>12.1587</v>
      </c>
      <c r="H44" s="171"/>
      <c r="I44" s="171"/>
      <c r="J44" s="171"/>
      <c r="K44" s="182">
        <v>8744.35</v>
      </c>
      <c r="L44" s="36"/>
      <c r="M44" s="36"/>
      <c r="N44" s="36"/>
      <c r="O44" s="36"/>
      <c r="P44" s="36"/>
      <c r="Q44" s="36"/>
      <c r="R44" s="36"/>
      <c r="S44" s="36"/>
      <c r="T44" s="36"/>
      <c r="U44" s="36"/>
      <c r="V44" s="36"/>
      <c r="W44" s="36"/>
      <c r="X44" s="36"/>
      <c r="Y44" s="36"/>
      <c r="Z44" s="36"/>
      <c r="AA44" s="36"/>
      <c r="AB44" s="36"/>
      <c r="AC44" s="36"/>
    </row>
    <row r="45" ht="15.75" customHeight="1">
      <c r="A45" s="423">
        <v>42613.0</v>
      </c>
      <c r="B45" s="424">
        <v>11.3627</v>
      </c>
      <c r="C45" s="171"/>
      <c r="D45" s="171"/>
      <c r="E45" s="425">
        <v>12.4547</v>
      </c>
      <c r="F45" s="425">
        <v>12.7835</v>
      </c>
      <c r="G45" s="425">
        <v>12.1619</v>
      </c>
      <c r="H45" s="171"/>
      <c r="I45" s="171"/>
      <c r="J45" s="171"/>
      <c r="K45" s="182">
        <v>8786.2</v>
      </c>
      <c r="L45" s="36"/>
      <c r="M45" s="36"/>
      <c r="N45" s="36"/>
      <c r="O45" s="36"/>
      <c r="P45" s="36"/>
      <c r="Q45" s="36"/>
      <c r="R45" s="36"/>
      <c r="S45" s="36"/>
      <c r="T45" s="36"/>
      <c r="U45" s="36"/>
      <c r="V45" s="36"/>
      <c r="W45" s="36"/>
      <c r="X45" s="36"/>
      <c r="Y45" s="36"/>
      <c r="Z45" s="36"/>
      <c r="AA45" s="36"/>
      <c r="AB45" s="36"/>
      <c r="AC45" s="36"/>
    </row>
    <row r="46" ht="15.75" customHeight="1">
      <c r="A46" s="423">
        <v>42614.0</v>
      </c>
      <c r="B46" s="424">
        <v>11.3458</v>
      </c>
      <c r="C46" s="171"/>
      <c r="D46" s="171"/>
      <c r="E46" s="425">
        <v>12.4524</v>
      </c>
      <c r="F46" s="425">
        <v>12.7761</v>
      </c>
      <c r="G46" s="425">
        <v>12.1619</v>
      </c>
      <c r="H46" s="171"/>
      <c r="I46" s="171"/>
      <c r="J46" s="171"/>
      <c r="K46" s="182">
        <v>8774.65</v>
      </c>
      <c r="L46" s="36"/>
      <c r="M46" s="36"/>
      <c r="N46" s="36"/>
      <c r="O46" s="36"/>
      <c r="P46" s="36"/>
      <c r="Q46" s="36"/>
      <c r="R46" s="36"/>
      <c r="S46" s="36"/>
      <c r="T46" s="36"/>
      <c r="U46" s="36"/>
      <c r="V46" s="36"/>
      <c r="W46" s="36"/>
      <c r="X46" s="36"/>
      <c r="Y46" s="36"/>
      <c r="Z46" s="36"/>
      <c r="AA46" s="36"/>
      <c r="AB46" s="36"/>
      <c r="AC46" s="36"/>
    </row>
    <row r="47" ht="15.75" customHeight="1">
      <c r="A47" s="423">
        <v>42615.0</v>
      </c>
      <c r="B47" s="424">
        <v>11.3827</v>
      </c>
      <c r="C47" s="171"/>
      <c r="D47" s="171"/>
      <c r="E47" s="425">
        <v>12.4492</v>
      </c>
      <c r="F47" s="425">
        <v>12.8264</v>
      </c>
      <c r="G47" s="425">
        <v>12.1586</v>
      </c>
      <c r="H47" s="171"/>
      <c r="I47" s="171"/>
      <c r="J47" s="171"/>
      <c r="K47" s="182">
        <v>8809.65</v>
      </c>
      <c r="L47" s="36"/>
      <c r="M47" s="36"/>
      <c r="N47" s="36"/>
      <c r="O47" s="36"/>
      <c r="P47" s="36"/>
      <c r="Q47" s="36"/>
      <c r="R47" s="36"/>
      <c r="S47" s="36"/>
      <c r="T47" s="36"/>
      <c r="U47" s="36"/>
      <c r="V47" s="36"/>
      <c r="W47" s="36"/>
      <c r="X47" s="36"/>
      <c r="Y47" s="36"/>
      <c r="Z47" s="36"/>
      <c r="AA47" s="36"/>
      <c r="AB47" s="36"/>
      <c r="AC47" s="36"/>
    </row>
    <row r="48" ht="15.75" customHeight="1">
      <c r="A48" s="423">
        <v>42619.0</v>
      </c>
      <c r="B48" s="424">
        <v>11.5225</v>
      </c>
      <c r="C48" s="171"/>
      <c r="D48" s="171"/>
      <c r="E48" s="425">
        <v>12.4563</v>
      </c>
      <c r="F48" s="425">
        <v>13.0083</v>
      </c>
      <c r="G48" s="425">
        <v>12.1701</v>
      </c>
      <c r="H48" s="171"/>
      <c r="I48" s="171"/>
      <c r="J48" s="171"/>
      <c r="K48" s="182">
        <v>8943.0</v>
      </c>
      <c r="L48" s="36"/>
      <c r="M48" s="36"/>
      <c r="N48" s="36"/>
      <c r="O48" s="36"/>
      <c r="P48" s="36"/>
      <c r="Q48" s="36"/>
      <c r="R48" s="36"/>
      <c r="S48" s="36"/>
      <c r="T48" s="36"/>
      <c r="U48" s="36"/>
      <c r="V48" s="36"/>
      <c r="W48" s="36"/>
      <c r="X48" s="36"/>
      <c r="Y48" s="36"/>
      <c r="Z48" s="36"/>
      <c r="AA48" s="36"/>
      <c r="AB48" s="36"/>
      <c r="AC48" s="36"/>
    </row>
    <row r="49" ht="15.75" customHeight="1">
      <c r="A49" s="423">
        <v>42620.0</v>
      </c>
      <c r="B49" s="424">
        <v>11.4997</v>
      </c>
      <c r="C49" s="171"/>
      <c r="D49" s="171"/>
      <c r="E49" s="425">
        <v>12.4888</v>
      </c>
      <c r="F49" s="425">
        <v>13.0102</v>
      </c>
      <c r="G49" s="425">
        <v>12.1871</v>
      </c>
      <c r="H49" s="171"/>
      <c r="I49" s="171"/>
      <c r="J49" s="171"/>
      <c r="K49" s="182">
        <v>8917.95</v>
      </c>
      <c r="L49" s="36"/>
      <c r="M49" s="36"/>
      <c r="N49" s="36"/>
      <c r="O49" s="36"/>
      <c r="P49" s="36"/>
      <c r="Q49" s="36"/>
      <c r="R49" s="36"/>
      <c r="S49" s="36"/>
      <c r="T49" s="36"/>
      <c r="U49" s="36"/>
      <c r="V49" s="36"/>
      <c r="W49" s="36"/>
      <c r="X49" s="36"/>
      <c r="Y49" s="36"/>
      <c r="Z49" s="36"/>
      <c r="AA49" s="36"/>
      <c r="AB49" s="36"/>
      <c r="AC49" s="36"/>
    </row>
    <row r="50" ht="15.75" customHeight="1">
      <c r="A50" s="423">
        <v>42621.0</v>
      </c>
      <c r="B50" s="424">
        <v>11.5514</v>
      </c>
      <c r="C50" s="171"/>
      <c r="D50" s="171"/>
      <c r="E50" s="425">
        <v>12.4874</v>
      </c>
      <c r="F50" s="425">
        <v>13.0519</v>
      </c>
      <c r="G50" s="425">
        <v>12.1913</v>
      </c>
      <c r="H50" s="171"/>
      <c r="I50" s="171"/>
      <c r="J50" s="171"/>
      <c r="K50" s="182">
        <v>8952.5</v>
      </c>
      <c r="L50" s="36"/>
      <c r="M50" s="36"/>
      <c r="N50" s="36"/>
      <c r="O50" s="36"/>
      <c r="P50" s="36"/>
      <c r="Q50" s="36"/>
      <c r="R50" s="36"/>
      <c r="S50" s="36"/>
      <c r="T50" s="36"/>
      <c r="U50" s="36"/>
      <c r="V50" s="36"/>
      <c r="W50" s="36"/>
      <c r="X50" s="36"/>
      <c r="Y50" s="36"/>
      <c r="Z50" s="36"/>
      <c r="AA50" s="36"/>
      <c r="AB50" s="36"/>
      <c r="AC50" s="36"/>
    </row>
    <row r="51" ht="15.75" customHeight="1">
      <c r="A51" s="423">
        <v>42622.0</v>
      </c>
      <c r="B51" s="424">
        <v>11.4632</v>
      </c>
      <c r="C51" s="171"/>
      <c r="D51" s="171"/>
      <c r="E51" s="425">
        <v>12.4886</v>
      </c>
      <c r="F51" s="425">
        <v>12.9507</v>
      </c>
      <c r="G51" s="425">
        <v>12.1937</v>
      </c>
      <c r="H51" s="171"/>
      <c r="I51" s="171"/>
      <c r="J51" s="171"/>
      <c r="K51" s="182">
        <v>8866.7</v>
      </c>
      <c r="L51" s="36"/>
      <c r="M51" s="36"/>
      <c r="N51" s="36"/>
      <c r="O51" s="36"/>
      <c r="P51" s="36"/>
      <c r="Q51" s="36"/>
      <c r="R51" s="36"/>
      <c r="S51" s="36"/>
      <c r="T51" s="36"/>
      <c r="U51" s="36"/>
      <c r="V51" s="36"/>
      <c r="W51" s="36"/>
      <c r="X51" s="36"/>
      <c r="Y51" s="36"/>
      <c r="Z51" s="36"/>
      <c r="AA51" s="36"/>
      <c r="AB51" s="36"/>
      <c r="AC51" s="36"/>
    </row>
    <row r="52" ht="15.75" customHeight="1">
      <c r="A52" s="423">
        <v>42625.0</v>
      </c>
      <c r="B52" s="424">
        <v>11.275</v>
      </c>
      <c r="C52" s="171"/>
      <c r="D52" s="171"/>
      <c r="E52" s="425">
        <v>12.4751</v>
      </c>
      <c r="F52" s="425">
        <v>12.7326</v>
      </c>
      <c r="G52" s="425">
        <v>12.1897</v>
      </c>
      <c r="H52" s="171"/>
      <c r="I52" s="171"/>
      <c r="J52" s="171"/>
      <c r="K52" s="182">
        <v>8715.6</v>
      </c>
      <c r="L52" s="36"/>
      <c r="M52" s="36"/>
      <c r="N52" s="36"/>
      <c r="O52" s="36"/>
      <c r="P52" s="36"/>
      <c r="Q52" s="36"/>
      <c r="R52" s="36"/>
      <c r="S52" s="36"/>
      <c r="T52" s="36"/>
      <c r="U52" s="36"/>
      <c r="V52" s="36"/>
      <c r="W52" s="36"/>
      <c r="X52" s="36"/>
      <c r="Y52" s="36"/>
      <c r="Z52" s="36"/>
      <c r="AA52" s="36"/>
      <c r="AB52" s="36"/>
      <c r="AC52" s="36"/>
    </row>
    <row r="53" ht="15.75" customHeight="1">
      <c r="A53" s="423">
        <v>42627.0</v>
      </c>
      <c r="B53" s="424">
        <v>11.2914</v>
      </c>
      <c r="C53" s="171"/>
      <c r="D53" s="171"/>
      <c r="E53" s="425">
        <v>12.476</v>
      </c>
      <c r="F53" s="425">
        <v>12.7582</v>
      </c>
      <c r="G53" s="425">
        <v>12.1877</v>
      </c>
      <c r="H53" s="171"/>
      <c r="I53" s="171"/>
      <c r="J53" s="171"/>
      <c r="K53" s="182">
        <v>8726.6</v>
      </c>
      <c r="L53" s="36"/>
      <c r="M53" s="36"/>
      <c r="N53" s="36"/>
      <c r="O53" s="36"/>
      <c r="P53" s="36"/>
      <c r="Q53" s="36"/>
      <c r="R53" s="36"/>
      <c r="S53" s="36"/>
      <c r="T53" s="36"/>
      <c r="U53" s="36"/>
      <c r="V53" s="36"/>
      <c r="W53" s="36"/>
      <c r="X53" s="36"/>
      <c r="Y53" s="36"/>
      <c r="Z53" s="36"/>
      <c r="AA53" s="36"/>
      <c r="AB53" s="36"/>
      <c r="AC53" s="36"/>
    </row>
    <row r="54" ht="15.75" customHeight="1">
      <c r="A54" s="423">
        <v>42628.0</v>
      </c>
      <c r="B54" s="424">
        <v>11.3109</v>
      </c>
      <c r="C54" s="171"/>
      <c r="D54" s="171"/>
      <c r="E54" s="425">
        <v>12.4856</v>
      </c>
      <c r="F54" s="425">
        <v>12.795</v>
      </c>
      <c r="G54" s="425">
        <v>12.19</v>
      </c>
      <c r="H54" s="171"/>
      <c r="I54" s="171"/>
      <c r="J54" s="171"/>
      <c r="K54" s="182">
        <v>8742.55</v>
      </c>
      <c r="L54" s="36"/>
      <c r="M54" s="36"/>
      <c r="N54" s="36"/>
      <c r="O54" s="36"/>
      <c r="P54" s="36"/>
      <c r="Q54" s="36"/>
      <c r="R54" s="36"/>
      <c r="S54" s="36"/>
      <c r="T54" s="36"/>
      <c r="U54" s="36"/>
      <c r="V54" s="36"/>
      <c r="W54" s="36"/>
      <c r="X54" s="36"/>
      <c r="Y54" s="36"/>
      <c r="Z54" s="36"/>
      <c r="AA54" s="36"/>
      <c r="AB54" s="36"/>
      <c r="AC54" s="36"/>
    </row>
    <row r="55" ht="15.75" customHeight="1">
      <c r="A55" s="423">
        <v>42629.0</v>
      </c>
      <c r="B55" s="424">
        <v>11.3519</v>
      </c>
      <c r="C55" s="171"/>
      <c r="D55" s="171"/>
      <c r="E55" s="425">
        <v>12.4859</v>
      </c>
      <c r="F55" s="425">
        <v>12.8544</v>
      </c>
      <c r="G55" s="425">
        <v>12.1964</v>
      </c>
      <c r="H55" s="171"/>
      <c r="I55" s="171"/>
      <c r="J55" s="171"/>
      <c r="K55" s="182">
        <v>8779.85</v>
      </c>
      <c r="L55" s="36"/>
      <c r="M55" s="36"/>
      <c r="N55" s="36"/>
      <c r="O55" s="36"/>
      <c r="P55" s="36"/>
      <c r="Q55" s="36"/>
      <c r="R55" s="36"/>
      <c r="S55" s="36"/>
      <c r="T55" s="36"/>
      <c r="U55" s="36"/>
      <c r="V55" s="36"/>
      <c r="W55" s="36"/>
      <c r="X55" s="36"/>
      <c r="Y55" s="36"/>
      <c r="Z55" s="36"/>
      <c r="AA55" s="36"/>
      <c r="AB55" s="36"/>
      <c r="AC55" s="36"/>
    </row>
    <row r="56" ht="15.75" customHeight="1">
      <c r="A56" s="423">
        <v>42632.0</v>
      </c>
      <c r="B56" s="424">
        <v>11.383</v>
      </c>
      <c r="C56" s="171"/>
      <c r="D56" s="171"/>
      <c r="E56" s="425">
        <v>12.4842</v>
      </c>
      <c r="F56" s="425">
        <v>12.8612</v>
      </c>
      <c r="G56" s="425">
        <v>12.202</v>
      </c>
      <c r="H56" s="171"/>
      <c r="I56" s="171"/>
      <c r="J56" s="171"/>
      <c r="K56" s="182">
        <v>8808.4</v>
      </c>
      <c r="L56" s="36"/>
      <c r="M56" s="36"/>
      <c r="N56" s="36"/>
      <c r="O56" s="36"/>
      <c r="P56" s="36"/>
      <c r="Q56" s="36"/>
      <c r="R56" s="36"/>
      <c r="S56" s="36"/>
      <c r="T56" s="36"/>
      <c r="U56" s="36"/>
      <c r="V56" s="36"/>
      <c r="W56" s="36"/>
      <c r="X56" s="36"/>
      <c r="Y56" s="36"/>
      <c r="Z56" s="36"/>
      <c r="AA56" s="36"/>
      <c r="AB56" s="36"/>
      <c r="AC56" s="36"/>
    </row>
    <row r="57" ht="15.75" customHeight="1">
      <c r="A57" s="423">
        <v>42633.0</v>
      </c>
      <c r="B57" s="424">
        <v>11.346</v>
      </c>
      <c r="C57" s="171"/>
      <c r="D57" s="171"/>
      <c r="E57" s="425">
        <v>12.4829</v>
      </c>
      <c r="F57" s="425">
        <v>12.8211</v>
      </c>
      <c r="G57" s="425">
        <v>12.1997</v>
      </c>
      <c r="H57" s="171"/>
      <c r="I57" s="171"/>
      <c r="J57" s="171"/>
      <c r="K57" s="182">
        <v>8775.9</v>
      </c>
      <c r="L57" s="36"/>
      <c r="M57" s="36"/>
      <c r="N57" s="36"/>
      <c r="O57" s="36"/>
      <c r="P57" s="36"/>
      <c r="Q57" s="36"/>
      <c r="R57" s="36"/>
      <c r="S57" s="36"/>
      <c r="T57" s="36"/>
      <c r="U57" s="36"/>
      <c r="V57" s="36"/>
      <c r="W57" s="36"/>
      <c r="X57" s="36"/>
      <c r="Y57" s="36"/>
      <c r="Z57" s="36"/>
      <c r="AA57" s="36"/>
      <c r="AB57" s="36"/>
      <c r="AC57" s="36"/>
    </row>
    <row r="58" ht="15.75" customHeight="1">
      <c r="A58" s="423">
        <v>42634.0</v>
      </c>
      <c r="B58" s="424">
        <v>11.3502</v>
      </c>
      <c r="C58" s="171"/>
      <c r="D58" s="171"/>
      <c r="E58" s="425">
        <v>12.4877</v>
      </c>
      <c r="F58" s="425">
        <v>12.8136</v>
      </c>
      <c r="G58" s="425">
        <v>12.2058</v>
      </c>
      <c r="H58" s="171"/>
      <c r="I58" s="171"/>
      <c r="J58" s="171"/>
      <c r="K58" s="182">
        <v>8777.15</v>
      </c>
      <c r="L58" s="36"/>
      <c r="M58" s="36"/>
      <c r="N58" s="36"/>
      <c r="O58" s="36"/>
      <c r="P58" s="36"/>
      <c r="Q58" s="36"/>
      <c r="R58" s="36"/>
      <c r="S58" s="36"/>
      <c r="T58" s="36"/>
      <c r="U58" s="36"/>
      <c r="V58" s="36"/>
      <c r="W58" s="36"/>
      <c r="X58" s="36"/>
      <c r="Y58" s="36"/>
      <c r="Z58" s="36"/>
      <c r="AA58" s="36"/>
      <c r="AB58" s="36"/>
      <c r="AC58" s="36"/>
    </row>
    <row r="59" ht="15.75" customHeight="1">
      <c r="A59" s="423">
        <v>42635.0</v>
      </c>
      <c r="B59" s="424">
        <v>11.4654</v>
      </c>
      <c r="C59" s="171"/>
      <c r="D59" s="171"/>
      <c r="E59" s="425">
        <v>12.5162</v>
      </c>
      <c r="F59" s="425">
        <v>12.9452</v>
      </c>
      <c r="G59" s="425">
        <v>12.2278</v>
      </c>
      <c r="H59" s="171"/>
      <c r="I59" s="171"/>
      <c r="J59" s="171"/>
      <c r="K59" s="182">
        <v>8867.45</v>
      </c>
      <c r="L59" s="36"/>
      <c r="M59" s="36"/>
      <c r="N59" s="36"/>
      <c r="O59" s="36"/>
      <c r="P59" s="36"/>
      <c r="Q59" s="36"/>
      <c r="R59" s="36"/>
      <c r="S59" s="36"/>
      <c r="T59" s="36"/>
      <c r="U59" s="36"/>
      <c r="V59" s="36"/>
      <c r="W59" s="36"/>
      <c r="X59" s="36"/>
      <c r="Y59" s="36"/>
      <c r="Z59" s="36"/>
      <c r="AA59" s="36"/>
      <c r="AB59" s="36"/>
      <c r="AC59" s="36"/>
    </row>
    <row r="60" ht="15.75" customHeight="1">
      <c r="A60" s="423">
        <v>42636.0</v>
      </c>
      <c r="B60" s="424">
        <v>11.4268</v>
      </c>
      <c r="C60" s="171"/>
      <c r="D60" s="171"/>
      <c r="E60" s="425">
        <v>12.5307</v>
      </c>
      <c r="F60" s="425">
        <v>12.9242</v>
      </c>
      <c r="G60" s="425">
        <v>12.2351</v>
      </c>
      <c r="H60" s="171"/>
      <c r="I60" s="171"/>
      <c r="J60" s="171"/>
      <c r="K60" s="182">
        <v>8831.55</v>
      </c>
      <c r="L60" s="36"/>
      <c r="M60" s="36"/>
      <c r="N60" s="36"/>
      <c r="O60" s="36"/>
      <c r="P60" s="36"/>
      <c r="Q60" s="36"/>
      <c r="R60" s="36"/>
      <c r="S60" s="36"/>
      <c r="T60" s="36"/>
      <c r="U60" s="36"/>
      <c r="V60" s="36"/>
      <c r="W60" s="36"/>
      <c r="X60" s="36"/>
      <c r="Y60" s="36"/>
      <c r="Z60" s="36"/>
      <c r="AA60" s="36"/>
      <c r="AB60" s="36"/>
      <c r="AC60" s="36"/>
    </row>
    <row r="61" ht="15.75" customHeight="1">
      <c r="A61" s="423">
        <v>42639.0</v>
      </c>
      <c r="B61" s="424">
        <v>11.3205</v>
      </c>
      <c r="C61" s="171"/>
      <c r="D61" s="171"/>
      <c r="E61" s="425">
        <v>12.5518</v>
      </c>
      <c r="F61" s="425">
        <v>12.8018</v>
      </c>
      <c r="G61" s="425">
        <v>12.2579</v>
      </c>
      <c r="H61" s="171"/>
      <c r="I61" s="171"/>
      <c r="J61" s="171"/>
      <c r="K61" s="182">
        <v>8723.05</v>
      </c>
      <c r="L61" s="36"/>
      <c r="M61" s="36"/>
      <c r="N61" s="36"/>
      <c r="O61" s="36"/>
      <c r="P61" s="36"/>
      <c r="Q61" s="36"/>
      <c r="R61" s="36"/>
      <c r="S61" s="36"/>
      <c r="T61" s="36"/>
      <c r="U61" s="36"/>
      <c r="V61" s="36"/>
      <c r="W61" s="36"/>
      <c r="X61" s="36"/>
      <c r="Y61" s="36"/>
      <c r="Z61" s="36"/>
      <c r="AA61" s="36"/>
      <c r="AB61" s="36"/>
      <c r="AC61" s="36"/>
    </row>
    <row r="62" ht="15.75" customHeight="1">
      <c r="A62" s="423">
        <v>42640.0</v>
      </c>
      <c r="B62" s="424">
        <v>11.2905</v>
      </c>
      <c r="C62" s="171"/>
      <c r="D62" s="171"/>
      <c r="E62" s="425">
        <v>12.5561</v>
      </c>
      <c r="F62" s="425">
        <v>12.7744</v>
      </c>
      <c r="G62" s="425">
        <v>12.2676</v>
      </c>
      <c r="H62" s="171"/>
      <c r="I62" s="171"/>
      <c r="J62" s="171"/>
      <c r="K62" s="182">
        <v>8706.4</v>
      </c>
      <c r="L62" s="36"/>
      <c r="M62" s="36"/>
      <c r="N62" s="36"/>
      <c r="O62" s="36"/>
      <c r="P62" s="36"/>
      <c r="Q62" s="36"/>
      <c r="R62" s="36"/>
      <c r="S62" s="36"/>
      <c r="T62" s="36"/>
      <c r="U62" s="36"/>
      <c r="V62" s="36"/>
      <c r="W62" s="36"/>
      <c r="X62" s="36"/>
      <c r="Y62" s="36"/>
      <c r="Z62" s="36"/>
      <c r="AA62" s="36"/>
      <c r="AB62" s="36"/>
      <c r="AC62" s="36"/>
    </row>
    <row r="63" ht="15.75" customHeight="1">
      <c r="A63" s="423">
        <v>42641.0</v>
      </c>
      <c r="B63" s="424">
        <v>11.332</v>
      </c>
      <c r="C63" s="171"/>
      <c r="D63" s="171"/>
      <c r="E63" s="425">
        <v>12.5622</v>
      </c>
      <c r="F63" s="425">
        <v>12.8164</v>
      </c>
      <c r="G63" s="425">
        <v>12.2717</v>
      </c>
      <c r="H63" s="171"/>
      <c r="I63" s="171"/>
      <c r="J63" s="171"/>
      <c r="K63" s="182">
        <v>8745.15</v>
      </c>
      <c r="L63" s="36"/>
      <c r="M63" s="36"/>
      <c r="N63" s="36"/>
      <c r="O63" s="36"/>
      <c r="P63" s="36"/>
      <c r="Q63" s="36"/>
      <c r="R63" s="36"/>
      <c r="S63" s="36"/>
      <c r="T63" s="36"/>
      <c r="U63" s="36"/>
      <c r="V63" s="36"/>
      <c r="W63" s="36"/>
      <c r="X63" s="36"/>
      <c r="Y63" s="36"/>
      <c r="Z63" s="36"/>
      <c r="AA63" s="36"/>
      <c r="AB63" s="36"/>
      <c r="AC63" s="36"/>
    </row>
    <row r="64" ht="15.75" customHeight="1">
      <c r="A64" s="423">
        <v>42642.0</v>
      </c>
      <c r="B64" s="424">
        <v>11.1566</v>
      </c>
      <c r="C64" s="171"/>
      <c r="D64" s="171"/>
      <c r="E64" s="425">
        <v>12.5311</v>
      </c>
      <c r="F64" s="425">
        <v>12.669</v>
      </c>
      <c r="G64" s="425">
        <v>12.2504</v>
      </c>
      <c r="H64" s="171"/>
      <c r="I64" s="171"/>
      <c r="J64" s="171"/>
      <c r="K64" s="182">
        <v>8591.25</v>
      </c>
      <c r="L64" s="36"/>
      <c r="M64" s="36"/>
      <c r="N64" s="36"/>
      <c r="O64" s="36"/>
      <c r="P64" s="36"/>
      <c r="Q64" s="36"/>
      <c r="R64" s="36"/>
      <c r="S64" s="36"/>
      <c r="T64" s="36"/>
      <c r="U64" s="36"/>
      <c r="V64" s="36"/>
      <c r="W64" s="36"/>
      <c r="X64" s="36"/>
      <c r="Y64" s="36"/>
      <c r="Z64" s="36"/>
      <c r="AA64" s="36"/>
      <c r="AB64" s="36"/>
      <c r="AC64" s="36"/>
    </row>
    <row r="65" ht="15.75" customHeight="1">
      <c r="A65" s="423">
        <v>42643.0</v>
      </c>
      <c r="B65" s="424">
        <v>11.1946</v>
      </c>
      <c r="C65" s="171"/>
      <c r="D65" s="171"/>
      <c r="E65" s="425">
        <v>12.5491</v>
      </c>
      <c r="F65" s="425">
        <v>12.7325</v>
      </c>
      <c r="G65" s="425">
        <v>12.2484</v>
      </c>
      <c r="H65" s="171"/>
      <c r="I65" s="171"/>
      <c r="J65" s="171"/>
      <c r="K65" s="182">
        <v>8611.15</v>
      </c>
      <c r="L65" s="36"/>
      <c r="M65" s="36"/>
      <c r="N65" s="36"/>
      <c r="O65" s="36"/>
      <c r="P65" s="36"/>
      <c r="Q65" s="36"/>
      <c r="R65" s="36"/>
      <c r="S65" s="36"/>
      <c r="T65" s="36"/>
      <c r="U65" s="36"/>
      <c r="V65" s="36"/>
      <c r="W65" s="36"/>
      <c r="X65" s="36"/>
      <c r="Y65" s="36"/>
      <c r="Z65" s="36"/>
      <c r="AA65" s="36"/>
      <c r="AB65" s="36"/>
      <c r="AC65" s="36"/>
    </row>
    <row r="66" ht="15.75" customHeight="1">
      <c r="A66" s="423">
        <v>42646.0</v>
      </c>
      <c r="B66" s="424">
        <v>11.3498</v>
      </c>
      <c r="C66" s="171"/>
      <c r="D66" s="171"/>
      <c r="E66" s="425">
        <v>12.5851</v>
      </c>
      <c r="F66" s="425">
        <v>12.9092</v>
      </c>
      <c r="G66" s="425">
        <v>12.2826</v>
      </c>
      <c r="H66" s="171"/>
      <c r="I66" s="171"/>
      <c r="J66" s="171"/>
      <c r="K66" s="182">
        <v>8738.1</v>
      </c>
      <c r="L66" s="36"/>
      <c r="M66" s="36"/>
      <c r="N66" s="36"/>
      <c r="O66" s="36"/>
      <c r="P66" s="36"/>
      <c r="Q66" s="36"/>
      <c r="R66" s="36"/>
      <c r="S66" s="36"/>
      <c r="T66" s="36"/>
      <c r="U66" s="36"/>
      <c r="V66" s="36"/>
      <c r="W66" s="36"/>
      <c r="X66" s="36"/>
      <c r="Y66" s="36"/>
      <c r="Z66" s="36"/>
      <c r="AA66" s="36"/>
      <c r="AB66" s="36"/>
      <c r="AC66" s="36"/>
    </row>
    <row r="67" ht="15.75" customHeight="1">
      <c r="A67" s="423">
        <v>42647.0</v>
      </c>
      <c r="B67" s="424">
        <v>11.4042</v>
      </c>
      <c r="C67" s="171"/>
      <c r="D67" s="171"/>
      <c r="E67" s="425">
        <v>12.5995</v>
      </c>
      <c r="F67" s="425">
        <v>13.0219</v>
      </c>
      <c r="G67" s="425">
        <v>12.2996</v>
      </c>
      <c r="H67" s="171"/>
      <c r="I67" s="171"/>
      <c r="J67" s="171"/>
      <c r="K67" s="182">
        <v>8769.15</v>
      </c>
      <c r="L67" s="36"/>
      <c r="M67" s="36"/>
      <c r="N67" s="36"/>
      <c r="O67" s="36"/>
      <c r="P67" s="36"/>
      <c r="Q67" s="36"/>
      <c r="R67" s="36"/>
      <c r="S67" s="36"/>
      <c r="T67" s="36"/>
      <c r="U67" s="36"/>
      <c r="V67" s="36"/>
      <c r="W67" s="36"/>
      <c r="X67" s="36"/>
      <c r="Y67" s="36"/>
      <c r="Z67" s="36"/>
      <c r="AA67" s="36"/>
      <c r="AB67" s="36"/>
      <c r="AC67" s="36"/>
    </row>
    <row r="68" ht="15.75" customHeight="1">
      <c r="A68" s="423">
        <v>42648.0</v>
      </c>
      <c r="B68" s="424">
        <v>11.3913</v>
      </c>
      <c r="C68" s="171"/>
      <c r="D68" s="171"/>
      <c r="E68" s="425">
        <v>12.6275</v>
      </c>
      <c r="F68" s="425">
        <v>13.0236</v>
      </c>
      <c r="G68" s="425">
        <v>12.3278</v>
      </c>
      <c r="H68" s="171"/>
      <c r="I68" s="171"/>
      <c r="J68" s="171"/>
      <c r="K68" s="182">
        <v>8743.95</v>
      </c>
      <c r="L68" s="36"/>
      <c r="M68" s="36"/>
      <c r="N68" s="36"/>
      <c r="O68" s="36"/>
      <c r="P68" s="36"/>
      <c r="Q68" s="36"/>
      <c r="R68" s="36"/>
      <c r="S68" s="36"/>
      <c r="T68" s="36"/>
      <c r="U68" s="36"/>
      <c r="V68" s="36"/>
      <c r="W68" s="36"/>
      <c r="X68" s="36"/>
      <c r="Y68" s="36"/>
      <c r="Z68" s="36"/>
      <c r="AA68" s="36"/>
      <c r="AB68" s="36"/>
      <c r="AC68" s="36"/>
    </row>
    <row r="69" ht="15.75" customHeight="1">
      <c r="A69" s="423">
        <v>42649.0</v>
      </c>
      <c r="B69" s="424">
        <v>11.3585</v>
      </c>
      <c r="C69" s="171"/>
      <c r="D69" s="171"/>
      <c r="E69" s="425">
        <v>12.611</v>
      </c>
      <c r="F69" s="425">
        <v>12.9878</v>
      </c>
      <c r="G69" s="425">
        <v>12.3156</v>
      </c>
      <c r="H69" s="171"/>
      <c r="I69" s="171"/>
      <c r="J69" s="171"/>
      <c r="K69" s="182">
        <v>8709.55</v>
      </c>
      <c r="L69" s="36"/>
      <c r="M69" s="36"/>
      <c r="N69" s="36"/>
      <c r="O69" s="36"/>
      <c r="P69" s="36"/>
      <c r="Q69" s="36"/>
      <c r="R69" s="36"/>
      <c r="S69" s="36"/>
      <c r="T69" s="36"/>
      <c r="U69" s="36"/>
      <c r="V69" s="36"/>
      <c r="W69" s="36"/>
      <c r="X69" s="36"/>
      <c r="Y69" s="36"/>
      <c r="Z69" s="36"/>
      <c r="AA69" s="36"/>
      <c r="AB69" s="36"/>
      <c r="AC69" s="36"/>
    </row>
    <row r="70" ht="15.75" customHeight="1">
      <c r="A70" s="423">
        <v>42650.0</v>
      </c>
      <c r="B70" s="424">
        <v>11.3581</v>
      </c>
      <c r="C70" s="171"/>
      <c r="D70" s="171"/>
      <c r="E70" s="425">
        <v>12.5885</v>
      </c>
      <c r="F70" s="425">
        <v>13.0016</v>
      </c>
      <c r="G70" s="425">
        <v>12.2956</v>
      </c>
      <c r="H70" s="171"/>
      <c r="I70" s="171"/>
      <c r="J70" s="171"/>
      <c r="K70" s="182">
        <v>8697.6</v>
      </c>
      <c r="L70" s="36"/>
      <c r="M70" s="36"/>
      <c r="N70" s="36"/>
      <c r="O70" s="36"/>
      <c r="P70" s="36"/>
      <c r="Q70" s="36"/>
      <c r="R70" s="36"/>
      <c r="S70" s="36"/>
      <c r="T70" s="36"/>
      <c r="U70" s="36"/>
      <c r="V70" s="36"/>
      <c r="W70" s="36"/>
      <c r="X70" s="36"/>
      <c r="Y70" s="36"/>
      <c r="Z70" s="36"/>
      <c r="AA70" s="36"/>
      <c r="AB70" s="36"/>
      <c r="AC70" s="36"/>
    </row>
    <row r="71" ht="15.75" customHeight="1">
      <c r="A71" s="423">
        <v>42653.0</v>
      </c>
      <c r="B71" s="424">
        <v>11.3778</v>
      </c>
      <c r="C71" s="171"/>
      <c r="D71" s="171"/>
      <c r="E71" s="425">
        <v>12.6181</v>
      </c>
      <c r="F71" s="425">
        <v>13.0641</v>
      </c>
      <c r="G71" s="425">
        <v>12.3163</v>
      </c>
      <c r="H71" s="171"/>
      <c r="I71" s="171"/>
      <c r="J71" s="171"/>
      <c r="K71" s="182">
        <v>8708.8</v>
      </c>
      <c r="L71" s="36"/>
      <c r="M71" s="36"/>
      <c r="N71" s="36"/>
      <c r="O71" s="36"/>
      <c r="P71" s="36"/>
      <c r="Q71" s="36"/>
      <c r="R71" s="36"/>
      <c r="S71" s="36"/>
      <c r="T71" s="36"/>
      <c r="U71" s="36"/>
      <c r="V71" s="36"/>
      <c r="W71" s="36"/>
      <c r="X71" s="36"/>
      <c r="Y71" s="36"/>
      <c r="Z71" s="36"/>
      <c r="AA71" s="36"/>
      <c r="AB71" s="36"/>
      <c r="AC71" s="36"/>
    </row>
    <row r="72" ht="15.75" customHeight="1">
      <c r="A72" s="423">
        <v>42656.0</v>
      </c>
      <c r="B72" s="424">
        <v>11.2515</v>
      </c>
      <c r="C72" s="171"/>
      <c r="D72" s="171"/>
      <c r="E72" s="425">
        <v>12.6089</v>
      </c>
      <c r="F72" s="425">
        <v>12.9233</v>
      </c>
      <c r="G72" s="425">
        <v>12.3115</v>
      </c>
      <c r="H72" s="171"/>
      <c r="I72" s="171"/>
      <c r="J72" s="171"/>
      <c r="K72" s="182">
        <v>8573.35</v>
      </c>
      <c r="L72" s="36"/>
      <c r="M72" s="36"/>
      <c r="N72" s="36"/>
      <c r="O72" s="36"/>
      <c r="P72" s="36"/>
      <c r="Q72" s="36"/>
      <c r="R72" s="36"/>
      <c r="S72" s="36"/>
      <c r="T72" s="36"/>
      <c r="U72" s="36"/>
      <c r="V72" s="36"/>
      <c r="W72" s="36"/>
      <c r="X72" s="36"/>
      <c r="Y72" s="36"/>
      <c r="Z72" s="36"/>
      <c r="AA72" s="36"/>
      <c r="AB72" s="36"/>
      <c r="AC72" s="36"/>
    </row>
    <row r="73" ht="15.75" customHeight="1">
      <c r="A73" s="423">
        <v>42657.0</v>
      </c>
      <c r="B73" s="424">
        <v>11.285</v>
      </c>
      <c r="C73" s="171"/>
      <c r="D73" s="171"/>
      <c r="E73" s="425">
        <v>12.58</v>
      </c>
      <c r="F73" s="425">
        <v>12.962</v>
      </c>
      <c r="G73" s="425">
        <v>12.3027</v>
      </c>
      <c r="H73" s="171"/>
      <c r="I73" s="171"/>
      <c r="J73" s="171"/>
      <c r="K73" s="182">
        <v>8583.4</v>
      </c>
      <c r="L73" s="36"/>
      <c r="M73" s="36"/>
      <c r="N73" s="36"/>
      <c r="O73" s="36"/>
      <c r="P73" s="36"/>
      <c r="Q73" s="36"/>
      <c r="R73" s="36"/>
      <c r="S73" s="36"/>
      <c r="T73" s="36"/>
      <c r="U73" s="36"/>
      <c r="V73" s="36"/>
      <c r="W73" s="36"/>
      <c r="X73" s="36"/>
      <c r="Y73" s="36"/>
      <c r="Z73" s="36"/>
      <c r="AA73" s="36"/>
      <c r="AB73" s="36"/>
      <c r="AC73" s="36"/>
    </row>
    <row r="74" ht="15.75" customHeight="1">
      <c r="A74" s="423">
        <v>42660.0</v>
      </c>
      <c r="B74" s="424">
        <v>11.2141</v>
      </c>
      <c r="C74" s="171"/>
      <c r="D74" s="171"/>
      <c r="E74" s="425">
        <v>12.5955</v>
      </c>
      <c r="F74" s="425">
        <v>12.8751</v>
      </c>
      <c r="G74" s="425">
        <v>12.3075</v>
      </c>
      <c r="H74" s="171"/>
      <c r="I74" s="171"/>
      <c r="J74" s="171"/>
      <c r="K74" s="182">
        <v>8520.4</v>
      </c>
      <c r="L74" s="36"/>
      <c r="M74" s="36"/>
      <c r="N74" s="36"/>
      <c r="O74" s="36"/>
      <c r="P74" s="36"/>
      <c r="Q74" s="36"/>
      <c r="R74" s="36"/>
      <c r="S74" s="36"/>
      <c r="T74" s="36"/>
      <c r="U74" s="36"/>
      <c r="V74" s="36"/>
      <c r="W74" s="36"/>
      <c r="X74" s="36"/>
      <c r="Y74" s="36"/>
      <c r="Z74" s="36"/>
      <c r="AA74" s="36"/>
      <c r="AB74" s="36"/>
      <c r="AC74" s="36"/>
    </row>
    <row r="75" ht="15.75" customHeight="1">
      <c r="A75" s="423">
        <v>42661.0</v>
      </c>
      <c r="B75" s="424">
        <v>11.3658</v>
      </c>
      <c r="C75" s="171"/>
      <c r="D75" s="171"/>
      <c r="E75" s="425">
        <v>12.6102</v>
      </c>
      <c r="F75" s="425">
        <v>13.0297</v>
      </c>
      <c r="G75" s="425">
        <v>12.316</v>
      </c>
      <c r="H75" s="171"/>
      <c r="I75" s="171"/>
      <c r="J75" s="171"/>
      <c r="K75" s="182">
        <v>8677.9</v>
      </c>
      <c r="L75" s="36"/>
      <c r="M75" s="36"/>
      <c r="N75" s="36"/>
      <c r="O75" s="36"/>
      <c r="P75" s="36"/>
      <c r="Q75" s="36"/>
      <c r="R75" s="36"/>
      <c r="S75" s="36"/>
      <c r="T75" s="36"/>
      <c r="U75" s="36"/>
      <c r="V75" s="36"/>
      <c r="W75" s="36"/>
      <c r="X75" s="36"/>
      <c r="Y75" s="36"/>
      <c r="Z75" s="36"/>
      <c r="AA75" s="36"/>
      <c r="AB75" s="36"/>
      <c r="AC75" s="36"/>
    </row>
    <row r="76" ht="15.75" customHeight="1">
      <c r="A76" s="423">
        <v>42662.0</v>
      </c>
      <c r="B76" s="424">
        <v>11.5191</v>
      </c>
      <c r="C76" s="171"/>
      <c r="D76" s="171"/>
      <c r="E76" s="425">
        <v>12.6051</v>
      </c>
      <c r="F76" s="425">
        <v>13.0516</v>
      </c>
      <c r="G76" s="425">
        <v>12.3135</v>
      </c>
      <c r="H76" s="171"/>
      <c r="I76" s="171"/>
      <c r="J76" s="171"/>
      <c r="K76" s="182">
        <v>8659.1</v>
      </c>
      <c r="L76" s="36"/>
      <c r="M76" s="36"/>
      <c r="N76" s="36"/>
      <c r="O76" s="36"/>
      <c r="P76" s="36"/>
      <c r="Q76" s="36"/>
      <c r="R76" s="36"/>
      <c r="S76" s="36"/>
      <c r="T76" s="36"/>
      <c r="U76" s="36"/>
      <c r="V76" s="36"/>
      <c r="W76" s="36"/>
      <c r="X76" s="36"/>
      <c r="Y76" s="36"/>
      <c r="Z76" s="36"/>
      <c r="AA76" s="36"/>
      <c r="AB76" s="36"/>
      <c r="AC76" s="36"/>
    </row>
    <row r="77" ht="15.75" customHeight="1">
      <c r="A77" s="423">
        <v>42663.0</v>
      </c>
      <c r="B77" s="424">
        <v>11.5228</v>
      </c>
      <c r="C77" s="171"/>
      <c r="D77" s="171"/>
      <c r="E77" s="425">
        <v>12.5968</v>
      </c>
      <c r="F77" s="425">
        <v>13.0648</v>
      </c>
      <c r="G77" s="425">
        <v>12.3148</v>
      </c>
      <c r="H77" s="171"/>
      <c r="I77" s="171"/>
      <c r="J77" s="171"/>
      <c r="K77" s="182">
        <v>8699.4</v>
      </c>
      <c r="L77" s="36"/>
      <c r="M77" s="36"/>
      <c r="N77" s="36"/>
      <c r="O77" s="36"/>
      <c r="P77" s="36"/>
      <c r="Q77" s="36"/>
      <c r="R77" s="36"/>
      <c r="S77" s="36"/>
      <c r="T77" s="36"/>
      <c r="U77" s="36"/>
      <c r="V77" s="36"/>
      <c r="W77" s="36"/>
      <c r="X77" s="36"/>
      <c r="Y77" s="36"/>
      <c r="Z77" s="36"/>
      <c r="AA77" s="36"/>
      <c r="AB77" s="36"/>
      <c r="AC77" s="36"/>
    </row>
    <row r="78" ht="15.75" customHeight="1">
      <c r="A78" s="423">
        <v>42664.0</v>
      </c>
      <c r="B78" s="424">
        <v>11.5498</v>
      </c>
      <c r="C78" s="171"/>
      <c r="D78" s="171"/>
      <c r="E78" s="425">
        <v>12.6033</v>
      </c>
      <c r="F78" s="425">
        <v>13.099</v>
      </c>
      <c r="G78" s="425">
        <v>12.3192</v>
      </c>
      <c r="H78" s="171"/>
      <c r="I78" s="171"/>
      <c r="J78" s="171"/>
      <c r="K78" s="182">
        <v>8693.05</v>
      </c>
      <c r="L78" s="36"/>
      <c r="M78" s="36"/>
      <c r="N78" s="36"/>
      <c r="O78" s="36"/>
      <c r="P78" s="36"/>
      <c r="Q78" s="36"/>
      <c r="R78" s="36"/>
      <c r="S78" s="36"/>
      <c r="T78" s="36"/>
      <c r="U78" s="36"/>
      <c r="V78" s="36"/>
      <c r="W78" s="36"/>
      <c r="X78" s="36"/>
      <c r="Y78" s="36"/>
      <c r="Z78" s="36"/>
      <c r="AA78" s="36"/>
      <c r="AB78" s="36"/>
      <c r="AC78" s="36"/>
    </row>
    <row r="79" ht="15.75" customHeight="1">
      <c r="A79" s="423">
        <v>42667.0</v>
      </c>
      <c r="B79" s="424">
        <v>11.5758</v>
      </c>
      <c r="C79" s="171"/>
      <c r="D79" s="171"/>
      <c r="E79" s="425">
        <v>12.6106</v>
      </c>
      <c r="F79" s="425">
        <v>13.1302</v>
      </c>
      <c r="G79" s="425">
        <v>12.3216</v>
      </c>
      <c r="H79" s="171"/>
      <c r="I79" s="171"/>
      <c r="J79" s="171"/>
      <c r="K79" s="182">
        <v>8708.95</v>
      </c>
      <c r="L79" s="36"/>
      <c r="M79" s="36"/>
      <c r="N79" s="36"/>
      <c r="O79" s="36"/>
      <c r="P79" s="36"/>
      <c r="Q79" s="36"/>
      <c r="R79" s="36"/>
      <c r="S79" s="36"/>
      <c r="T79" s="36"/>
      <c r="U79" s="36"/>
      <c r="V79" s="36"/>
      <c r="W79" s="36"/>
      <c r="X79" s="36"/>
      <c r="Y79" s="36"/>
      <c r="Z79" s="36"/>
      <c r="AA79" s="36"/>
      <c r="AB79" s="36"/>
      <c r="AC79" s="36"/>
    </row>
    <row r="80" ht="15.75" customHeight="1">
      <c r="A80" s="423">
        <v>42668.0</v>
      </c>
      <c r="B80" s="424">
        <v>11.5583</v>
      </c>
      <c r="C80" s="171"/>
      <c r="D80" s="171"/>
      <c r="E80" s="425">
        <v>12.5996</v>
      </c>
      <c r="F80" s="425">
        <v>13.1111</v>
      </c>
      <c r="G80" s="425">
        <v>12.3135</v>
      </c>
      <c r="H80" s="171"/>
      <c r="I80" s="171"/>
      <c r="J80" s="171"/>
      <c r="K80" s="182">
        <v>8691.3</v>
      </c>
      <c r="L80" s="36"/>
      <c r="M80" s="36"/>
      <c r="N80" s="36"/>
      <c r="O80" s="36"/>
      <c r="P80" s="36"/>
      <c r="Q80" s="36"/>
      <c r="R80" s="36"/>
      <c r="S80" s="36"/>
      <c r="T80" s="36"/>
      <c r="U80" s="36"/>
      <c r="V80" s="36"/>
      <c r="W80" s="36"/>
      <c r="X80" s="36"/>
      <c r="Y80" s="36"/>
      <c r="Z80" s="36"/>
      <c r="AA80" s="36"/>
      <c r="AB80" s="36"/>
      <c r="AC80" s="36"/>
    </row>
    <row r="81" ht="15.75" customHeight="1">
      <c r="A81" s="423">
        <v>42669.0</v>
      </c>
      <c r="B81" s="424">
        <v>11.4617</v>
      </c>
      <c r="C81" s="171"/>
      <c r="D81" s="171"/>
      <c r="E81" s="425">
        <v>12.6308</v>
      </c>
      <c r="F81" s="425">
        <v>13.0182</v>
      </c>
      <c r="G81" s="425">
        <v>12.316</v>
      </c>
      <c r="H81" s="171"/>
      <c r="I81" s="171"/>
      <c r="J81" s="171"/>
      <c r="K81" s="182">
        <v>8615.25</v>
      </c>
      <c r="L81" s="36"/>
      <c r="M81" s="36"/>
      <c r="N81" s="36"/>
      <c r="O81" s="36"/>
      <c r="P81" s="36"/>
      <c r="Q81" s="36"/>
      <c r="R81" s="36"/>
      <c r="S81" s="36"/>
      <c r="T81" s="36"/>
      <c r="U81" s="36"/>
      <c r="V81" s="36"/>
      <c r="W81" s="36"/>
      <c r="X81" s="36"/>
      <c r="Y81" s="36"/>
      <c r="Z81" s="36"/>
      <c r="AA81" s="36"/>
      <c r="AB81" s="36"/>
      <c r="AC81" s="36"/>
    </row>
    <row r="82" ht="15.75" customHeight="1">
      <c r="A82" s="423">
        <v>42670.0</v>
      </c>
      <c r="B82" s="424">
        <v>11.4361</v>
      </c>
      <c r="C82" s="171"/>
      <c r="D82" s="171"/>
      <c r="E82" s="425">
        <v>12.6196</v>
      </c>
      <c r="F82" s="425">
        <v>12.9758</v>
      </c>
      <c r="G82" s="425">
        <v>12.3157</v>
      </c>
      <c r="H82" s="171"/>
      <c r="I82" s="171"/>
      <c r="J82" s="171"/>
      <c r="K82" s="182">
        <v>8615.25</v>
      </c>
      <c r="L82" s="36"/>
      <c r="M82" s="36"/>
      <c r="N82" s="36"/>
      <c r="O82" s="36"/>
      <c r="P82" s="36"/>
      <c r="Q82" s="36"/>
      <c r="R82" s="36"/>
      <c r="S82" s="36"/>
      <c r="T82" s="36"/>
      <c r="U82" s="36"/>
      <c r="V82" s="36"/>
      <c r="W82" s="36"/>
      <c r="X82" s="36"/>
      <c r="Y82" s="36"/>
      <c r="Z82" s="36"/>
      <c r="AA82" s="36"/>
      <c r="AB82" s="36"/>
      <c r="AC82" s="36"/>
    </row>
    <row r="83" ht="15.75" customHeight="1">
      <c r="A83" s="423">
        <v>42671.0</v>
      </c>
      <c r="B83" s="424">
        <v>11.484</v>
      </c>
      <c r="C83" s="171"/>
      <c r="D83" s="171"/>
      <c r="E83" s="425">
        <v>12.6993</v>
      </c>
      <c r="F83" s="425">
        <v>13.0399</v>
      </c>
      <c r="G83" s="425">
        <v>12.3157</v>
      </c>
      <c r="H83" s="171"/>
      <c r="I83" s="171"/>
      <c r="J83" s="171"/>
      <c r="K83" s="182">
        <v>8638.0</v>
      </c>
      <c r="L83" s="36"/>
      <c r="M83" s="36"/>
      <c r="N83" s="36"/>
      <c r="O83" s="36"/>
      <c r="P83" s="36"/>
      <c r="Q83" s="36"/>
      <c r="R83" s="36"/>
      <c r="S83" s="36"/>
      <c r="T83" s="36"/>
      <c r="U83" s="36"/>
      <c r="V83" s="36"/>
      <c r="W83" s="36"/>
      <c r="X83" s="36"/>
      <c r="Y83" s="36"/>
      <c r="Z83" s="36"/>
      <c r="AA83" s="36"/>
      <c r="AB83" s="36"/>
      <c r="AC83" s="36"/>
    </row>
    <row r="84" ht="15.75" customHeight="1">
      <c r="A84" s="423">
        <v>42675.0</v>
      </c>
      <c r="B84" s="424">
        <v>11.4651</v>
      </c>
      <c r="C84" s="171"/>
      <c r="D84" s="171"/>
      <c r="E84" s="425">
        <v>12.6913</v>
      </c>
      <c r="F84" s="425">
        <v>13.0632</v>
      </c>
      <c r="G84" s="425">
        <v>12.3208</v>
      </c>
      <c r="H84" s="171"/>
      <c r="I84" s="171"/>
      <c r="J84" s="171"/>
      <c r="K84" s="182">
        <v>8626.25</v>
      </c>
      <c r="L84" s="36"/>
      <c r="M84" s="36"/>
      <c r="N84" s="36"/>
      <c r="O84" s="36"/>
      <c r="P84" s="36"/>
      <c r="Q84" s="36"/>
      <c r="R84" s="36"/>
      <c r="S84" s="36"/>
      <c r="T84" s="36"/>
      <c r="U84" s="36"/>
      <c r="V84" s="36"/>
      <c r="W84" s="36"/>
      <c r="X84" s="36"/>
      <c r="Y84" s="36"/>
      <c r="Z84" s="36"/>
      <c r="AA84" s="36"/>
      <c r="AB84" s="36"/>
      <c r="AC84" s="36"/>
    </row>
    <row r="85" ht="15.75" customHeight="1">
      <c r="A85" s="423">
        <v>42676.0</v>
      </c>
      <c r="B85" s="424">
        <v>11.3179</v>
      </c>
      <c r="C85" s="171"/>
      <c r="D85" s="171"/>
      <c r="E85" s="425">
        <v>12.6993</v>
      </c>
      <c r="F85" s="425">
        <v>12.9334</v>
      </c>
      <c r="G85" s="425">
        <v>12.318</v>
      </c>
      <c r="H85" s="171"/>
      <c r="I85" s="171"/>
      <c r="J85" s="171"/>
      <c r="K85" s="182">
        <v>8514.0</v>
      </c>
      <c r="L85" s="36"/>
      <c r="M85" s="36"/>
      <c r="N85" s="36"/>
      <c r="O85" s="36"/>
      <c r="P85" s="36"/>
      <c r="Q85" s="36"/>
      <c r="R85" s="36"/>
      <c r="S85" s="36"/>
      <c r="T85" s="36"/>
      <c r="U85" s="36"/>
      <c r="V85" s="36"/>
      <c r="W85" s="36"/>
      <c r="X85" s="36"/>
      <c r="Y85" s="36"/>
      <c r="Z85" s="36"/>
      <c r="AA85" s="36"/>
      <c r="AB85" s="36"/>
      <c r="AC85" s="36"/>
    </row>
    <row r="86" ht="15.75" customHeight="1">
      <c r="A86" s="423">
        <v>42677.0</v>
      </c>
      <c r="B86" s="424">
        <v>11.2864</v>
      </c>
      <c r="C86" s="171"/>
      <c r="D86" s="171"/>
      <c r="E86" s="425">
        <v>12.6947</v>
      </c>
      <c r="F86" s="425">
        <v>12.8976</v>
      </c>
      <c r="G86" s="425">
        <v>12.3097</v>
      </c>
      <c r="H86" s="171"/>
      <c r="I86" s="171"/>
      <c r="J86" s="171"/>
      <c r="K86" s="182">
        <v>8484.95</v>
      </c>
      <c r="L86" s="36"/>
      <c r="M86" s="36"/>
      <c r="N86" s="36"/>
      <c r="O86" s="36"/>
      <c r="P86" s="36"/>
      <c r="Q86" s="36"/>
      <c r="R86" s="36"/>
      <c r="S86" s="36"/>
      <c r="T86" s="36"/>
      <c r="U86" s="36"/>
      <c r="V86" s="36"/>
      <c r="W86" s="36"/>
      <c r="X86" s="36"/>
      <c r="Y86" s="36"/>
      <c r="Z86" s="36"/>
      <c r="AA86" s="36"/>
      <c r="AB86" s="36"/>
      <c r="AC86" s="36"/>
    </row>
    <row r="87" ht="15.75" customHeight="1">
      <c r="A87" s="423">
        <v>42678.0</v>
      </c>
      <c r="B87" s="424">
        <v>11.211</v>
      </c>
      <c r="C87" s="171"/>
      <c r="D87" s="171"/>
      <c r="E87" s="425">
        <v>12.6727</v>
      </c>
      <c r="F87" s="425">
        <v>12.8148</v>
      </c>
      <c r="G87" s="425">
        <v>12.3115</v>
      </c>
      <c r="H87" s="171"/>
      <c r="I87" s="171"/>
      <c r="J87" s="171"/>
      <c r="K87" s="182">
        <v>8433.75</v>
      </c>
      <c r="L87" s="36"/>
      <c r="M87" s="36"/>
      <c r="N87" s="36"/>
      <c r="O87" s="36"/>
      <c r="P87" s="36"/>
      <c r="Q87" s="36"/>
      <c r="R87" s="36"/>
      <c r="S87" s="36"/>
      <c r="T87" s="36"/>
      <c r="U87" s="36"/>
      <c r="V87" s="36"/>
      <c r="W87" s="36"/>
      <c r="X87" s="36"/>
      <c r="Y87" s="36"/>
      <c r="Z87" s="36"/>
      <c r="AA87" s="36"/>
      <c r="AB87" s="36"/>
      <c r="AC87" s="36"/>
    </row>
    <row r="88" ht="15.75" customHeight="1">
      <c r="A88" s="423">
        <v>42681.0</v>
      </c>
      <c r="B88" s="424">
        <v>11.3089</v>
      </c>
      <c r="C88" s="171"/>
      <c r="D88" s="171"/>
      <c r="E88" s="425">
        <v>12.6855</v>
      </c>
      <c r="F88" s="425">
        <v>12.885</v>
      </c>
      <c r="G88" s="425">
        <v>12.3176</v>
      </c>
      <c r="H88" s="171"/>
      <c r="I88" s="171"/>
      <c r="J88" s="171"/>
      <c r="K88" s="182">
        <v>8497.05</v>
      </c>
      <c r="L88" s="36"/>
      <c r="M88" s="36"/>
      <c r="N88" s="36"/>
      <c r="O88" s="36"/>
      <c r="P88" s="36"/>
      <c r="Q88" s="36"/>
      <c r="R88" s="36"/>
      <c r="S88" s="36"/>
      <c r="T88" s="36"/>
      <c r="U88" s="36"/>
      <c r="V88" s="36"/>
      <c r="W88" s="36"/>
      <c r="X88" s="36"/>
      <c r="Y88" s="36"/>
      <c r="Z88" s="36"/>
      <c r="AA88" s="36"/>
      <c r="AB88" s="36"/>
      <c r="AC88" s="36"/>
    </row>
    <row r="89" ht="15.75" customHeight="1">
      <c r="A89" s="423">
        <v>42682.0</v>
      </c>
      <c r="B89" s="424">
        <v>11.3737</v>
      </c>
      <c r="C89" s="171"/>
      <c r="D89" s="171"/>
      <c r="E89" s="425">
        <v>12.7104</v>
      </c>
      <c r="F89" s="425">
        <v>12.9374</v>
      </c>
      <c r="G89" s="425">
        <v>12.3246</v>
      </c>
      <c r="H89" s="171"/>
      <c r="I89" s="171"/>
      <c r="J89" s="171"/>
      <c r="K89" s="182">
        <v>8543.55</v>
      </c>
      <c r="L89" s="36"/>
      <c r="M89" s="36"/>
      <c r="N89" s="36"/>
      <c r="O89" s="36"/>
      <c r="P89" s="36"/>
      <c r="Q89" s="36"/>
      <c r="R89" s="36"/>
      <c r="S89" s="36"/>
      <c r="T89" s="36"/>
      <c r="U89" s="36"/>
      <c r="V89" s="36"/>
      <c r="W89" s="36"/>
      <c r="X89" s="36"/>
      <c r="Y89" s="36"/>
      <c r="Z89" s="36"/>
      <c r="AA89" s="36"/>
      <c r="AB89" s="36"/>
      <c r="AC89" s="36"/>
    </row>
    <row r="90" ht="15.75" customHeight="1">
      <c r="A90" s="423">
        <v>42683.0</v>
      </c>
      <c r="B90" s="424">
        <v>11.269</v>
      </c>
      <c r="C90" s="171"/>
      <c r="D90" s="171"/>
      <c r="E90" s="425">
        <v>12.8209</v>
      </c>
      <c r="F90" s="425">
        <v>12.7382</v>
      </c>
      <c r="G90" s="425">
        <v>12.3655</v>
      </c>
      <c r="H90" s="171"/>
      <c r="I90" s="171"/>
      <c r="J90" s="171"/>
      <c r="K90" s="182">
        <v>8432.0</v>
      </c>
      <c r="L90" s="36"/>
      <c r="M90" s="36"/>
      <c r="N90" s="36"/>
      <c r="O90" s="36"/>
      <c r="P90" s="36"/>
      <c r="Q90" s="36"/>
      <c r="R90" s="36"/>
      <c r="S90" s="36"/>
      <c r="T90" s="36"/>
      <c r="U90" s="36"/>
      <c r="V90" s="36"/>
      <c r="W90" s="36"/>
      <c r="X90" s="36"/>
      <c r="Y90" s="36"/>
      <c r="Z90" s="36"/>
      <c r="AA90" s="36"/>
      <c r="AB90" s="36"/>
      <c r="AC90" s="36"/>
    </row>
    <row r="91" ht="15.75" customHeight="1">
      <c r="A91" s="423">
        <v>42684.0</v>
      </c>
      <c r="B91" s="424">
        <v>11.3884</v>
      </c>
      <c r="C91" s="171"/>
      <c r="D91" s="171"/>
      <c r="E91" s="425">
        <v>12.8406</v>
      </c>
      <c r="F91" s="425">
        <v>12.8074</v>
      </c>
      <c r="G91" s="425">
        <v>12.383</v>
      </c>
      <c r="H91" s="171"/>
      <c r="I91" s="171"/>
      <c r="J91" s="171"/>
      <c r="K91" s="182">
        <v>8525.75</v>
      </c>
      <c r="L91" s="36"/>
      <c r="M91" s="36"/>
      <c r="N91" s="36"/>
      <c r="O91" s="36"/>
      <c r="P91" s="36"/>
      <c r="Q91" s="36"/>
      <c r="R91" s="36"/>
      <c r="S91" s="36"/>
      <c r="T91" s="36"/>
      <c r="U91" s="36"/>
      <c r="V91" s="36"/>
      <c r="W91" s="36"/>
      <c r="X91" s="36"/>
      <c r="Y91" s="36"/>
      <c r="Z91" s="36"/>
      <c r="AA91" s="36"/>
      <c r="AB91" s="36"/>
      <c r="AC91" s="36"/>
    </row>
    <row r="92" ht="15.75" customHeight="1">
      <c r="A92" s="423">
        <v>42685.0</v>
      </c>
      <c r="B92" s="424">
        <v>11.0995</v>
      </c>
      <c r="C92" s="171"/>
      <c r="D92" s="171"/>
      <c r="E92" s="425">
        <v>12.8038</v>
      </c>
      <c r="F92" s="425">
        <v>12.4262</v>
      </c>
      <c r="G92" s="425">
        <v>12.3648</v>
      </c>
      <c r="H92" s="171"/>
      <c r="I92" s="171"/>
      <c r="J92" s="171"/>
      <c r="K92" s="182">
        <v>8296.3</v>
      </c>
      <c r="L92" s="36"/>
      <c r="M92" s="36"/>
      <c r="N92" s="36"/>
      <c r="O92" s="36"/>
      <c r="P92" s="36"/>
      <c r="Q92" s="36"/>
      <c r="R92" s="36"/>
      <c r="S92" s="36"/>
      <c r="T92" s="36"/>
      <c r="U92" s="36"/>
      <c r="V92" s="36"/>
      <c r="W92" s="36"/>
      <c r="X92" s="36"/>
      <c r="Y92" s="36"/>
      <c r="Z92" s="36"/>
      <c r="AA92" s="36"/>
      <c r="AB92" s="36"/>
      <c r="AC92" s="36"/>
    </row>
    <row r="93" ht="15.75" customHeight="1">
      <c r="A93" s="423">
        <v>42689.0</v>
      </c>
      <c r="B93" s="424">
        <v>10.8216</v>
      </c>
      <c r="C93" s="171"/>
      <c r="D93" s="171"/>
      <c r="E93" s="425">
        <v>12.9547</v>
      </c>
      <c r="F93" s="425">
        <v>12.0517</v>
      </c>
      <c r="G93" s="425">
        <v>12.4468</v>
      </c>
      <c r="H93" s="171"/>
      <c r="I93" s="171"/>
      <c r="J93" s="171"/>
      <c r="K93" s="182">
        <v>8108.45</v>
      </c>
      <c r="L93" s="36"/>
      <c r="M93" s="36"/>
      <c r="N93" s="36"/>
      <c r="O93" s="36"/>
      <c r="P93" s="36"/>
      <c r="Q93" s="36"/>
      <c r="R93" s="36"/>
      <c r="S93" s="36"/>
      <c r="T93" s="36"/>
      <c r="U93" s="36"/>
      <c r="V93" s="36"/>
      <c r="W93" s="36"/>
      <c r="X93" s="36"/>
      <c r="Y93" s="36"/>
      <c r="Z93" s="36"/>
      <c r="AA93" s="36"/>
      <c r="AB93" s="36"/>
      <c r="AC93" s="36"/>
    </row>
    <row r="94" ht="15.75" customHeight="1">
      <c r="A94" s="423">
        <v>42690.0</v>
      </c>
      <c r="B94" s="424">
        <v>10.7909</v>
      </c>
      <c r="C94" s="171"/>
      <c r="D94" s="171"/>
      <c r="E94" s="425">
        <v>13.0789</v>
      </c>
      <c r="F94" s="425">
        <v>12.0566</v>
      </c>
      <c r="G94" s="425">
        <v>12.4761</v>
      </c>
      <c r="H94" s="171"/>
      <c r="I94" s="171"/>
      <c r="J94" s="171"/>
      <c r="K94" s="182">
        <v>8111.6</v>
      </c>
      <c r="L94" s="36"/>
      <c r="M94" s="36"/>
      <c r="N94" s="36"/>
      <c r="O94" s="36"/>
      <c r="P94" s="36"/>
      <c r="Q94" s="36"/>
      <c r="R94" s="36"/>
      <c r="S94" s="36"/>
      <c r="T94" s="36"/>
      <c r="U94" s="36"/>
      <c r="V94" s="36"/>
      <c r="W94" s="36"/>
      <c r="X94" s="36"/>
      <c r="Y94" s="36"/>
      <c r="Z94" s="36"/>
      <c r="AA94" s="36"/>
      <c r="AB94" s="36"/>
      <c r="AC94" s="36"/>
    </row>
    <row r="95" ht="15.75" customHeight="1">
      <c r="A95" s="423">
        <v>42691.0</v>
      </c>
      <c r="B95" s="424">
        <v>10.7576</v>
      </c>
      <c r="C95" s="171"/>
      <c r="D95" s="171"/>
      <c r="E95" s="425">
        <v>13.0836</v>
      </c>
      <c r="F95" s="425">
        <v>11.9886</v>
      </c>
      <c r="G95" s="425">
        <v>12.4702</v>
      </c>
      <c r="H95" s="171"/>
      <c r="I95" s="171"/>
      <c r="J95" s="171"/>
      <c r="K95" s="182">
        <v>8079.95</v>
      </c>
      <c r="L95" s="36"/>
      <c r="M95" s="36"/>
      <c r="N95" s="36"/>
      <c r="O95" s="36"/>
      <c r="P95" s="36"/>
      <c r="Q95" s="36"/>
      <c r="R95" s="36"/>
      <c r="S95" s="36"/>
      <c r="T95" s="36"/>
      <c r="U95" s="36"/>
      <c r="V95" s="36"/>
      <c r="W95" s="36"/>
      <c r="X95" s="36"/>
      <c r="Y95" s="36"/>
      <c r="Z95" s="36"/>
      <c r="AA95" s="36"/>
      <c r="AB95" s="36"/>
      <c r="AC95" s="36"/>
    </row>
    <row r="96" ht="15.75" customHeight="1">
      <c r="A96" s="423">
        <v>42692.0</v>
      </c>
      <c r="B96" s="424">
        <v>10.7442</v>
      </c>
      <c r="C96" s="171"/>
      <c r="D96" s="171"/>
      <c r="E96" s="425">
        <v>13.067</v>
      </c>
      <c r="F96" s="425">
        <v>11.9875</v>
      </c>
      <c r="G96" s="425">
        <v>12.4649</v>
      </c>
      <c r="H96" s="171"/>
      <c r="I96" s="171"/>
      <c r="J96" s="171"/>
      <c r="K96" s="182">
        <v>8074.1</v>
      </c>
      <c r="L96" s="36"/>
      <c r="M96" s="36"/>
      <c r="N96" s="36"/>
      <c r="O96" s="36"/>
      <c r="P96" s="36"/>
      <c r="Q96" s="36"/>
      <c r="R96" s="36"/>
      <c r="S96" s="36"/>
      <c r="T96" s="36"/>
      <c r="U96" s="36"/>
      <c r="V96" s="36"/>
      <c r="W96" s="36"/>
      <c r="X96" s="36"/>
      <c r="Y96" s="36"/>
      <c r="Z96" s="36"/>
      <c r="AA96" s="36"/>
      <c r="AB96" s="36"/>
      <c r="AC96" s="36"/>
    </row>
    <row r="97" ht="15.75" customHeight="1">
      <c r="A97" s="423">
        <v>42695.0</v>
      </c>
      <c r="B97" s="424">
        <v>10.5595</v>
      </c>
      <c r="C97" s="171"/>
      <c r="D97" s="171"/>
      <c r="E97" s="425">
        <v>13.2092</v>
      </c>
      <c r="F97" s="425">
        <v>11.7546</v>
      </c>
      <c r="G97" s="425">
        <v>12.5212</v>
      </c>
      <c r="H97" s="171"/>
      <c r="I97" s="171"/>
      <c r="J97" s="171"/>
      <c r="K97" s="182">
        <v>7929.1</v>
      </c>
      <c r="L97" s="36"/>
      <c r="M97" s="36"/>
      <c r="N97" s="36"/>
      <c r="O97" s="36"/>
      <c r="P97" s="36"/>
      <c r="Q97" s="36"/>
      <c r="R97" s="36"/>
      <c r="S97" s="36"/>
      <c r="T97" s="36"/>
      <c r="U97" s="36"/>
      <c r="V97" s="36"/>
      <c r="W97" s="36"/>
      <c r="X97" s="36"/>
      <c r="Y97" s="36"/>
      <c r="Z97" s="36"/>
      <c r="AA97" s="36"/>
      <c r="AB97" s="36"/>
      <c r="AC97" s="36"/>
    </row>
    <row r="98" ht="15.75" customHeight="1">
      <c r="A98" s="423">
        <v>42696.0</v>
      </c>
      <c r="B98" s="424">
        <v>10.6467</v>
      </c>
      <c r="C98" s="171"/>
      <c r="D98" s="171"/>
      <c r="E98" s="425">
        <v>13.2764</v>
      </c>
      <c r="F98" s="425">
        <v>11.8678</v>
      </c>
      <c r="G98" s="425">
        <v>12.5301</v>
      </c>
      <c r="H98" s="171"/>
      <c r="I98" s="171"/>
      <c r="J98" s="171"/>
      <c r="K98" s="182">
        <v>8002.3</v>
      </c>
      <c r="L98" s="36"/>
      <c r="M98" s="36"/>
      <c r="N98" s="36"/>
      <c r="O98" s="36"/>
      <c r="P98" s="36"/>
      <c r="Q98" s="36"/>
      <c r="R98" s="36"/>
      <c r="S98" s="36"/>
      <c r="T98" s="36"/>
      <c r="U98" s="36"/>
      <c r="V98" s="36"/>
      <c r="W98" s="36"/>
      <c r="X98" s="36"/>
      <c r="Y98" s="36"/>
      <c r="Z98" s="36"/>
      <c r="AA98" s="36"/>
      <c r="AB98" s="36"/>
      <c r="AC98" s="36"/>
    </row>
    <row r="99" ht="15.75" customHeight="1">
      <c r="A99" s="423">
        <v>42697.0</v>
      </c>
      <c r="B99" s="424">
        <v>10.6998</v>
      </c>
      <c r="C99" s="171"/>
      <c r="D99" s="171"/>
      <c r="E99" s="425">
        <v>13.3289</v>
      </c>
      <c r="F99" s="425">
        <v>11.9932</v>
      </c>
      <c r="G99" s="425">
        <v>12.5679</v>
      </c>
      <c r="H99" s="171"/>
      <c r="I99" s="171"/>
      <c r="J99" s="171"/>
      <c r="K99" s="182">
        <v>8033.3</v>
      </c>
      <c r="L99" s="36"/>
      <c r="M99" s="36"/>
      <c r="N99" s="36"/>
      <c r="O99" s="36"/>
      <c r="P99" s="36"/>
      <c r="Q99" s="36"/>
      <c r="R99" s="36"/>
      <c r="S99" s="36"/>
      <c r="T99" s="36"/>
      <c r="U99" s="36"/>
      <c r="V99" s="36"/>
      <c r="W99" s="36"/>
      <c r="X99" s="36"/>
      <c r="Y99" s="36"/>
      <c r="Z99" s="36"/>
      <c r="AA99" s="36"/>
      <c r="AB99" s="36"/>
      <c r="AC99" s="36"/>
    </row>
    <row r="100" ht="15.75" customHeight="1">
      <c r="A100" s="423">
        <v>42698.0</v>
      </c>
      <c r="B100" s="424">
        <v>10.6155</v>
      </c>
      <c r="C100" s="171"/>
      <c r="D100" s="171"/>
      <c r="E100" s="425">
        <v>13.4288</v>
      </c>
      <c r="F100" s="425">
        <v>11.8658</v>
      </c>
      <c r="G100" s="425">
        <v>12.6136</v>
      </c>
      <c r="H100" s="171"/>
      <c r="I100" s="171"/>
      <c r="J100" s="171"/>
      <c r="K100" s="182">
        <v>7965.5</v>
      </c>
      <c r="L100" s="36"/>
      <c r="M100" s="36"/>
      <c r="N100" s="36"/>
      <c r="O100" s="36"/>
      <c r="P100" s="36"/>
      <c r="Q100" s="36"/>
      <c r="R100" s="36"/>
      <c r="S100" s="36"/>
      <c r="T100" s="36"/>
      <c r="U100" s="36"/>
      <c r="V100" s="36"/>
      <c r="W100" s="36"/>
      <c r="X100" s="36"/>
      <c r="Y100" s="36"/>
      <c r="Z100" s="36"/>
      <c r="AA100" s="36"/>
      <c r="AB100" s="36"/>
      <c r="AC100" s="36"/>
    </row>
    <row r="101" ht="15.75" customHeight="1">
      <c r="A101" s="423">
        <v>42699.0</v>
      </c>
      <c r="B101" s="424">
        <v>10.7643</v>
      </c>
      <c r="C101" s="171"/>
      <c r="D101" s="171"/>
      <c r="E101" s="425">
        <v>13.3887</v>
      </c>
      <c r="F101" s="425">
        <v>12.0387</v>
      </c>
      <c r="G101" s="425">
        <v>12.6049</v>
      </c>
      <c r="H101" s="171"/>
      <c r="I101" s="171"/>
      <c r="J101" s="171"/>
      <c r="K101" s="182">
        <v>8114.3</v>
      </c>
      <c r="L101" s="36"/>
      <c r="M101" s="36"/>
      <c r="N101" s="36"/>
      <c r="O101" s="36"/>
      <c r="P101" s="36"/>
      <c r="Q101" s="36"/>
      <c r="R101" s="36"/>
      <c r="S101" s="36"/>
      <c r="T101" s="36"/>
      <c r="U101" s="36"/>
      <c r="V101" s="36"/>
      <c r="W101" s="36"/>
      <c r="X101" s="36"/>
      <c r="Y101" s="36"/>
      <c r="Z101" s="36"/>
      <c r="AA101" s="36"/>
      <c r="AB101" s="36"/>
      <c r="AC101" s="36"/>
    </row>
    <row r="102" ht="15.75" customHeight="1">
      <c r="A102" s="423">
        <v>42702.0</v>
      </c>
      <c r="B102" s="424">
        <v>10.7929</v>
      </c>
      <c r="C102" s="171"/>
      <c r="D102" s="171"/>
      <c r="E102" s="425">
        <v>13.318</v>
      </c>
      <c r="F102" s="425">
        <v>12.0961</v>
      </c>
      <c r="G102" s="425">
        <v>12.5715</v>
      </c>
      <c r="H102" s="171"/>
      <c r="I102" s="171"/>
      <c r="J102" s="171"/>
      <c r="K102" s="182">
        <v>8126.9</v>
      </c>
      <c r="L102" s="36"/>
      <c r="M102" s="36"/>
      <c r="N102" s="36"/>
      <c r="O102" s="36"/>
      <c r="P102" s="36"/>
      <c r="Q102" s="36"/>
      <c r="R102" s="36"/>
      <c r="S102" s="36"/>
      <c r="T102" s="36"/>
      <c r="U102" s="36"/>
      <c r="V102" s="36"/>
      <c r="W102" s="36"/>
      <c r="X102" s="36"/>
      <c r="Y102" s="36"/>
      <c r="Z102" s="36"/>
      <c r="AA102" s="36"/>
      <c r="AB102" s="36"/>
      <c r="AC102" s="36"/>
    </row>
    <row r="103" ht="15.75" customHeight="1">
      <c r="A103" s="423">
        <v>42703.0</v>
      </c>
      <c r="B103" s="424">
        <v>10.8156</v>
      </c>
      <c r="C103" s="171"/>
      <c r="D103" s="171"/>
      <c r="E103" s="425">
        <v>13.2843</v>
      </c>
      <c r="F103" s="425">
        <v>12.1321</v>
      </c>
      <c r="G103" s="425">
        <v>12.5531</v>
      </c>
      <c r="H103" s="171"/>
      <c r="I103" s="171"/>
      <c r="J103" s="171"/>
      <c r="K103" s="182">
        <v>8142.15</v>
      </c>
      <c r="L103" s="36"/>
      <c r="M103" s="36"/>
      <c r="N103" s="36"/>
      <c r="O103" s="36"/>
      <c r="P103" s="36"/>
      <c r="Q103" s="36"/>
      <c r="R103" s="36"/>
      <c r="S103" s="36"/>
      <c r="T103" s="36"/>
      <c r="U103" s="36"/>
      <c r="V103" s="36"/>
      <c r="W103" s="36"/>
      <c r="X103" s="36"/>
      <c r="Y103" s="36"/>
      <c r="Z103" s="36"/>
      <c r="AA103" s="36"/>
      <c r="AB103" s="36"/>
      <c r="AC103" s="36"/>
    </row>
    <row r="104" ht="15.75" customHeight="1">
      <c r="A104" s="423">
        <v>42704.0</v>
      </c>
      <c r="B104" s="424">
        <v>10.9181</v>
      </c>
      <c r="C104" s="171"/>
      <c r="D104" s="171"/>
      <c r="E104" s="425">
        <v>13.3311</v>
      </c>
      <c r="F104" s="425">
        <v>12.2739</v>
      </c>
      <c r="G104" s="425">
        <v>12.5652</v>
      </c>
      <c r="H104" s="171"/>
      <c r="I104" s="171"/>
      <c r="J104" s="171"/>
      <c r="K104" s="182">
        <v>8224.5</v>
      </c>
      <c r="L104" s="36"/>
      <c r="M104" s="36"/>
      <c r="N104" s="36"/>
      <c r="O104" s="36"/>
      <c r="P104" s="36"/>
      <c r="Q104" s="36"/>
      <c r="R104" s="36"/>
      <c r="S104" s="36"/>
      <c r="T104" s="36"/>
      <c r="U104" s="36"/>
      <c r="V104" s="36"/>
      <c r="W104" s="36"/>
      <c r="X104" s="36"/>
      <c r="Y104" s="36"/>
      <c r="Z104" s="36"/>
      <c r="AA104" s="36"/>
      <c r="AB104" s="36"/>
      <c r="AC104" s="36"/>
    </row>
    <row r="105" ht="15.75" customHeight="1">
      <c r="A105" s="423">
        <v>42705.0</v>
      </c>
      <c r="B105" s="424">
        <v>10.8733</v>
      </c>
      <c r="C105" s="171"/>
      <c r="D105" s="171"/>
      <c r="E105" s="425">
        <v>13.3673</v>
      </c>
      <c r="F105" s="425">
        <v>12.2325</v>
      </c>
      <c r="G105" s="425">
        <v>12.5808</v>
      </c>
      <c r="H105" s="171"/>
      <c r="I105" s="171"/>
      <c r="J105" s="171"/>
      <c r="K105" s="182">
        <v>8192.9</v>
      </c>
      <c r="L105" s="36"/>
      <c r="M105" s="36"/>
      <c r="N105" s="36"/>
      <c r="O105" s="36"/>
      <c r="P105" s="36"/>
      <c r="Q105" s="36"/>
      <c r="R105" s="36"/>
      <c r="S105" s="36"/>
      <c r="T105" s="36"/>
      <c r="U105" s="36"/>
      <c r="V105" s="36"/>
      <c r="W105" s="36"/>
      <c r="X105" s="36"/>
      <c r="Y105" s="36"/>
      <c r="Z105" s="36"/>
      <c r="AA105" s="36"/>
      <c r="AB105" s="36"/>
      <c r="AC105" s="36"/>
    </row>
    <row r="106" ht="15.75" customHeight="1">
      <c r="A106" s="423">
        <v>42706.0</v>
      </c>
      <c r="B106" s="424">
        <v>10.7517</v>
      </c>
      <c r="C106" s="171"/>
      <c r="D106" s="171"/>
      <c r="E106" s="425">
        <v>13.3445</v>
      </c>
      <c r="F106" s="425">
        <v>12.0998</v>
      </c>
      <c r="G106" s="425">
        <v>12.568</v>
      </c>
      <c r="H106" s="171"/>
      <c r="I106" s="171"/>
      <c r="J106" s="171"/>
      <c r="K106" s="182">
        <v>8086.8</v>
      </c>
      <c r="L106" s="36"/>
      <c r="M106" s="36"/>
      <c r="N106" s="36"/>
      <c r="O106" s="36"/>
      <c r="P106" s="36"/>
      <c r="Q106" s="36"/>
      <c r="R106" s="36"/>
      <c r="S106" s="36"/>
      <c r="T106" s="36"/>
      <c r="U106" s="36"/>
      <c r="V106" s="36"/>
      <c r="W106" s="36"/>
      <c r="X106" s="36"/>
      <c r="Y106" s="36"/>
      <c r="Z106" s="36"/>
      <c r="AA106" s="36"/>
      <c r="AB106" s="36"/>
      <c r="AC106" s="36"/>
    </row>
    <row r="107" ht="15.75" customHeight="1">
      <c r="A107" s="423">
        <v>42709.0</v>
      </c>
      <c r="B107" s="424">
        <v>10.8188</v>
      </c>
      <c r="C107" s="171"/>
      <c r="D107" s="171"/>
      <c r="E107" s="425">
        <v>13.3557</v>
      </c>
      <c r="F107" s="425">
        <v>12.1695</v>
      </c>
      <c r="G107" s="425">
        <v>12.5826</v>
      </c>
      <c r="H107" s="171"/>
      <c r="I107" s="171"/>
      <c r="J107" s="171"/>
      <c r="K107" s="182">
        <v>8128.75</v>
      </c>
      <c r="L107" s="36"/>
      <c r="M107" s="36"/>
      <c r="N107" s="36"/>
      <c r="O107" s="36"/>
      <c r="P107" s="36"/>
      <c r="Q107" s="36"/>
      <c r="R107" s="36"/>
      <c r="S107" s="36"/>
      <c r="T107" s="36"/>
      <c r="U107" s="36"/>
      <c r="V107" s="36"/>
      <c r="W107" s="36"/>
      <c r="X107" s="36"/>
      <c r="Y107" s="36"/>
      <c r="Z107" s="36"/>
      <c r="AA107" s="36"/>
      <c r="AB107" s="36"/>
      <c r="AC107" s="36"/>
    </row>
    <row r="108" ht="15.75" customHeight="1">
      <c r="A108" s="423">
        <v>42710.0</v>
      </c>
      <c r="B108" s="424">
        <v>10.8208</v>
      </c>
      <c r="C108" s="171"/>
      <c r="D108" s="171"/>
      <c r="E108" s="425">
        <v>13.37</v>
      </c>
      <c r="F108" s="425">
        <v>12.2002</v>
      </c>
      <c r="G108" s="425">
        <v>12.5938</v>
      </c>
      <c r="H108" s="171"/>
      <c r="I108" s="171"/>
      <c r="J108" s="171"/>
      <c r="K108" s="182">
        <v>8143.15</v>
      </c>
      <c r="L108" s="36"/>
      <c r="M108" s="36"/>
      <c r="N108" s="36"/>
      <c r="O108" s="36"/>
      <c r="P108" s="36"/>
      <c r="Q108" s="36"/>
      <c r="R108" s="36"/>
      <c r="S108" s="36"/>
      <c r="T108" s="36"/>
      <c r="U108" s="36"/>
      <c r="V108" s="36"/>
      <c r="W108" s="36"/>
      <c r="X108" s="36"/>
      <c r="Y108" s="36"/>
      <c r="Z108" s="36"/>
      <c r="AA108" s="36"/>
      <c r="AB108" s="36"/>
      <c r="AC108" s="36"/>
    </row>
    <row r="109" ht="15.75" customHeight="1">
      <c r="A109" s="423">
        <v>42711.0</v>
      </c>
      <c r="B109" s="424">
        <v>10.7771</v>
      </c>
      <c r="C109" s="171"/>
      <c r="D109" s="171"/>
      <c r="E109" s="425">
        <v>13.1622</v>
      </c>
      <c r="F109" s="425">
        <v>12.1739</v>
      </c>
      <c r="G109" s="425">
        <v>12.5159</v>
      </c>
      <c r="H109" s="171"/>
      <c r="I109" s="171"/>
      <c r="J109" s="171"/>
      <c r="K109" s="182">
        <v>8102.05</v>
      </c>
      <c r="L109" s="36"/>
      <c r="M109" s="36"/>
      <c r="N109" s="36"/>
      <c r="O109" s="36"/>
      <c r="P109" s="36"/>
      <c r="Q109" s="36"/>
      <c r="R109" s="36"/>
      <c r="S109" s="36"/>
      <c r="T109" s="36"/>
      <c r="U109" s="36"/>
      <c r="V109" s="36"/>
      <c r="W109" s="36"/>
      <c r="X109" s="36"/>
      <c r="Y109" s="36"/>
      <c r="Z109" s="36"/>
      <c r="AA109" s="36"/>
      <c r="AB109" s="36"/>
      <c r="AC109" s="36"/>
    </row>
    <row r="110" ht="15.75" customHeight="1">
      <c r="A110" s="423">
        <v>42712.0</v>
      </c>
      <c r="B110" s="424">
        <v>10.9508</v>
      </c>
      <c r="C110" s="171"/>
      <c r="D110" s="171"/>
      <c r="E110" s="425">
        <v>13.1194</v>
      </c>
      <c r="F110" s="425">
        <v>12.337</v>
      </c>
      <c r="G110" s="425">
        <v>12.5119</v>
      </c>
      <c r="H110" s="171"/>
      <c r="I110" s="171"/>
      <c r="J110" s="171"/>
      <c r="K110" s="182">
        <v>8246.85</v>
      </c>
      <c r="L110" s="36"/>
      <c r="M110" s="36"/>
      <c r="N110" s="36"/>
      <c r="O110" s="36"/>
      <c r="P110" s="36"/>
      <c r="Q110" s="36"/>
      <c r="R110" s="36"/>
      <c r="S110" s="36"/>
      <c r="T110" s="36"/>
      <c r="U110" s="36"/>
      <c r="V110" s="36"/>
      <c r="W110" s="36"/>
      <c r="X110" s="36"/>
      <c r="Y110" s="36"/>
      <c r="Z110" s="36"/>
      <c r="AA110" s="36"/>
      <c r="AB110" s="36"/>
      <c r="AC110" s="36"/>
    </row>
    <row r="111" ht="15.75" customHeight="1">
      <c r="A111" s="423">
        <v>42713.0</v>
      </c>
      <c r="B111" s="424">
        <v>10.9624</v>
      </c>
      <c r="C111" s="171"/>
      <c r="D111" s="171"/>
      <c r="E111" s="425">
        <v>13.1005</v>
      </c>
      <c r="F111" s="425">
        <v>12.3192</v>
      </c>
      <c r="G111" s="425">
        <v>12.5007</v>
      </c>
      <c r="H111" s="171"/>
      <c r="I111" s="171"/>
      <c r="J111" s="171"/>
      <c r="K111" s="182">
        <v>8261.75</v>
      </c>
      <c r="L111" s="36"/>
      <c r="M111" s="36"/>
      <c r="N111" s="36"/>
      <c r="O111" s="36"/>
      <c r="P111" s="36"/>
      <c r="Q111" s="36"/>
      <c r="R111" s="36"/>
      <c r="S111" s="36"/>
      <c r="T111" s="36"/>
      <c r="U111" s="36"/>
      <c r="V111" s="36"/>
      <c r="W111" s="36"/>
      <c r="X111" s="36"/>
      <c r="Y111" s="36"/>
      <c r="Z111" s="36"/>
      <c r="AA111" s="36"/>
      <c r="AB111" s="36"/>
      <c r="AC111" s="36"/>
    </row>
    <row r="112" ht="15.75" customHeight="1">
      <c r="A112" s="423">
        <v>42716.0</v>
      </c>
      <c r="B112" s="424">
        <v>10.8367</v>
      </c>
      <c r="C112" s="171"/>
      <c r="D112" s="171"/>
      <c r="E112" s="425">
        <v>13.1063</v>
      </c>
      <c r="F112" s="425">
        <v>12.1877</v>
      </c>
      <c r="G112" s="425">
        <v>12.5061</v>
      </c>
      <c r="H112" s="171"/>
      <c r="I112" s="171"/>
      <c r="J112" s="171"/>
      <c r="K112" s="182">
        <v>8170.8</v>
      </c>
      <c r="L112" s="36"/>
      <c r="M112" s="36"/>
      <c r="N112" s="36"/>
      <c r="O112" s="36"/>
      <c r="P112" s="36"/>
      <c r="Q112" s="36"/>
      <c r="R112" s="36"/>
      <c r="S112" s="36"/>
      <c r="T112" s="36"/>
      <c r="U112" s="36"/>
      <c r="V112" s="36"/>
      <c r="W112" s="36"/>
      <c r="X112" s="36"/>
      <c r="Y112" s="36"/>
      <c r="Z112" s="36"/>
      <c r="AA112" s="36"/>
      <c r="AB112" s="36"/>
      <c r="AC112" s="36"/>
    </row>
    <row r="113" ht="15.75" customHeight="1">
      <c r="A113" s="423">
        <v>42717.0</v>
      </c>
      <c r="B113" s="424">
        <v>10.8856</v>
      </c>
      <c r="C113" s="171"/>
      <c r="D113" s="171"/>
      <c r="E113" s="425">
        <v>13.1139</v>
      </c>
      <c r="F113" s="425">
        <v>12.2215</v>
      </c>
      <c r="G113" s="425">
        <v>12.5122</v>
      </c>
      <c r="H113" s="171"/>
      <c r="I113" s="171"/>
      <c r="J113" s="171"/>
      <c r="K113" s="182">
        <v>8221.8</v>
      </c>
      <c r="L113" s="36"/>
      <c r="M113" s="36"/>
      <c r="N113" s="36"/>
      <c r="O113" s="36"/>
      <c r="P113" s="36"/>
      <c r="Q113" s="36"/>
      <c r="R113" s="36"/>
      <c r="S113" s="36"/>
      <c r="T113" s="36"/>
      <c r="U113" s="36"/>
      <c r="V113" s="36"/>
      <c r="W113" s="36"/>
      <c r="X113" s="36"/>
      <c r="Y113" s="36"/>
      <c r="Z113" s="36"/>
      <c r="AA113" s="36"/>
      <c r="AB113" s="36"/>
      <c r="AC113" s="36"/>
    </row>
    <row r="114" ht="15.75" customHeight="1">
      <c r="A114" s="423">
        <v>42718.0</v>
      </c>
      <c r="B114" s="424">
        <v>10.8325</v>
      </c>
      <c r="C114" s="171"/>
      <c r="D114" s="171"/>
      <c r="E114" s="425">
        <v>13.1159</v>
      </c>
      <c r="F114" s="425">
        <v>12.1502</v>
      </c>
      <c r="G114" s="425">
        <v>12.5194</v>
      </c>
      <c r="H114" s="171"/>
      <c r="I114" s="171"/>
      <c r="J114" s="171"/>
      <c r="K114" s="182">
        <v>8182.45</v>
      </c>
      <c r="L114" s="36"/>
      <c r="M114" s="36"/>
      <c r="N114" s="36"/>
      <c r="O114" s="36"/>
      <c r="P114" s="36"/>
      <c r="Q114" s="36"/>
      <c r="R114" s="36"/>
      <c r="S114" s="36"/>
      <c r="T114" s="36"/>
      <c r="U114" s="36"/>
      <c r="V114" s="36"/>
      <c r="W114" s="36"/>
      <c r="X114" s="36"/>
      <c r="Y114" s="36"/>
      <c r="Z114" s="36"/>
      <c r="AA114" s="36"/>
      <c r="AB114" s="36"/>
      <c r="AC114" s="36"/>
    </row>
    <row r="115" ht="15.75" customHeight="1">
      <c r="A115" s="423">
        <v>42719.0</v>
      </c>
      <c r="B115" s="424">
        <v>10.7971</v>
      </c>
      <c r="C115" s="171"/>
      <c r="D115" s="171"/>
      <c r="E115" s="425">
        <v>13.0204</v>
      </c>
      <c r="F115" s="425">
        <v>12.083</v>
      </c>
      <c r="G115" s="425">
        <v>12.4831</v>
      </c>
      <c r="H115" s="171"/>
      <c r="I115" s="171"/>
      <c r="J115" s="171"/>
      <c r="K115" s="182">
        <v>8153.6</v>
      </c>
      <c r="L115" s="36"/>
      <c r="M115" s="36"/>
      <c r="N115" s="36"/>
      <c r="O115" s="36"/>
      <c r="P115" s="36"/>
      <c r="Q115" s="36"/>
      <c r="R115" s="36"/>
      <c r="S115" s="36"/>
      <c r="T115" s="36"/>
      <c r="U115" s="36"/>
      <c r="V115" s="36"/>
      <c r="W115" s="36"/>
      <c r="X115" s="36"/>
      <c r="Y115" s="36"/>
      <c r="Z115" s="36"/>
      <c r="AA115" s="36"/>
      <c r="AB115" s="36"/>
      <c r="AC115" s="36"/>
    </row>
    <row r="116" ht="15.75" customHeight="1">
      <c r="A116" s="423">
        <v>42720.0</v>
      </c>
      <c r="B116" s="424">
        <v>10.7784</v>
      </c>
      <c r="C116" s="171"/>
      <c r="D116" s="171"/>
      <c r="E116" s="425">
        <v>13.0026</v>
      </c>
      <c r="F116" s="425">
        <v>12.0609</v>
      </c>
      <c r="G116" s="425">
        <v>12.4841</v>
      </c>
      <c r="H116" s="171"/>
      <c r="I116" s="171"/>
      <c r="J116" s="171"/>
      <c r="K116" s="182">
        <v>8139.45</v>
      </c>
      <c r="L116" s="36"/>
      <c r="M116" s="36"/>
      <c r="N116" s="36"/>
      <c r="O116" s="36"/>
      <c r="P116" s="36"/>
      <c r="Q116" s="36"/>
      <c r="R116" s="36"/>
      <c r="S116" s="36"/>
      <c r="T116" s="36"/>
      <c r="U116" s="36"/>
      <c r="V116" s="36"/>
      <c r="W116" s="36"/>
      <c r="X116" s="36"/>
      <c r="Y116" s="36"/>
      <c r="Z116" s="36"/>
      <c r="AA116" s="36"/>
      <c r="AB116" s="36"/>
      <c r="AC116" s="36"/>
    </row>
    <row r="117" ht="15.75" customHeight="1">
      <c r="A117" s="423">
        <v>42723.0</v>
      </c>
      <c r="B117" s="424">
        <v>10.7571</v>
      </c>
      <c r="C117" s="171"/>
      <c r="D117" s="171"/>
      <c r="E117" s="425">
        <v>13.0018</v>
      </c>
      <c r="F117" s="425">
        <v>12.025</v>
      </c>
      <c r="G117" s="425">
        <v>12.4859</v>
      </c>
      <c r="H117" s="171"/>
      <c r="I117" s="171"/>
      <c r="J117" s="171"/>
      <c r="K117" s="182">
        <v>8104.35</v>
      </c>
      <c r="L117" s="36"/>
      <c r="M117" s="36"/>
      <c r="N117" s="36"/>
      <c r="O117" s="36"/>
      <c r="P117" s="36"/>
      <c r="Q117" s="36"/>
      <c r="R117" s="36"/>
      <c r="S117" s="36"/>
      <c r="T117" s="36"/>
      <c r="U117" s="36"/>
      <c r="V117" s="36"/>
      <c r="W117" s="36"/>
      <c r="X117" s="36"/>
      <c r="Y117" s="36"/>
      <c r="Z117" s="36"/>
      <c r="AA117" s="36"/>
      <c r="AB117" s="36"/>
      <c r="AC117" s="36"/>
    </row>
    <row r="118" ht="15.75" customHeight="1">
      <c r="A118" s="423">
        <v>42724.0</v>
      </c>
      <c r="B118" s="424">
        <v>10.7285</v>
      </c>
      <c r="C118" s="171"/>
      <c r="D118" s="171"/>
      <c r="E118" s="425">
        <v>13.0306</v>
      </c>
      <c r="F118" s="425">
        <v>11.9942</v>
      </c>
      <c r="G118" s="425">
        <v>12.4873</v>
      </c>
      <c r="H118" s="171"/>
      <c r="I118" s="171"/>
      <c r="J118" s="171"/>
      <c r="K118" s="182">
        <v>8082.4</v>
      </c>
      <c r="L118" s="36"/>
      <c r="M118" s="36"/>
      <c r="N118" s="36"/>
      <c r="O118" s="36"/>
      <c r="P118" s="36"/>
      <c r="Q118" s="36"/>
      <c r="R118" s="36"/>
      <c r="S118" s="36"/>
      <c r="T118" s="36"/>
      <c r="U118" s="36"/>
      <c r="V118" s="36"/>
      <c r="W118" s="36"/>
      <c r="X118" s="36"/>
      <c r="Y118" s="36"/>
      <c r="Z118" s="36"/>
      <c r="AA118" s="36"/>
      <c r="AB118" s="36"/>
      <c r="AC118" s="36"/>
    </row>
    <row r="119" ht="15.75" customHeight="1">
      <c r="A119" s="423">
        <v>42725.0</v>
      </c>
      <c r="B119" s="424">
        <v>10.71</v>
      </c>
      <c r="C119" s="171"/>
      <c r="D119" s="171"/>
      <c r="E119" s="425">
        <v>13.0446</v>
      </c>
      <c r="F119" s="425">
        <v>11.973</v>
      </c>
      <c r="G119" s="425">
        <v>12.4905</v>
      </c>
      <c r="H119" s="171"/>
      <c r="I119" s="171"/>
      <c r="J119" s="171"/>
      <c r="K119" s="182">
        <v>8061.3</v>
      </c>
      <c r="L119" s="36"/>
      <c r="M119" s="36"/>
      <c r="N119" s="36"/>
      <c r="O119" s="36"/>
      <c r="P119" s="36"/>
      <c r="Q119" s="36"/>
      <c r="R119" s="36"/>
      <c r="S119" s="36"/>
      <c r="T119" s="36"/>
      <c r="U119" s="36"/>
      <c r="V119" s="36"/>
      <c r="W119" s="36"/>
      <c r="X119" s="36"/>
      <c r="Y119" s="36"/>
      <c r="Z119" s="36"/>
      <c r="AA119" s="36"/>
      <c r="AB119" s="36"/>
      <c r="AC119" s="36"/>
    </row>
    <row r="120" ht="15.75" customHeight="1">
      <c r="A120" s="423">
        <v>42726.0</v>
      </c>
      <c r="B120" s="424">
        <v>10.6164</v>
      </c>
      <c r="C120" s="171"/>
      <c r="D120" s="171"/>
      <c r="E120" s="425">
        <v>12.9986</v>
      </c>
      <c r="F120" s="425">
        <v>11.8593</v>
      </c>
      <c r="G120" s="425">
        <v>12.483</v>
      </c>
      <c r="H120" s="171"/>
      <c r="I120" s="171"/>
      <c r="J120" s="171"/>
      <c r="K120" s="182">
        <v>7979.1</v>
      </c>
      <c r="L120" s="36"/>
      <c r="M120" s="36"/>
      <c r="N120" s="36"/>
      <c r="O120" s="36"/>
      <c r="P120" s="36"/>
      <c r="Q120" s="36"/>
      <c r="R120" s="36"/>
      <c r="S120" s="36"/>
      <c r="T120" s="36"/>
      <c r="U120" s="36"/>
      <c r="V120" s="36"/>
      <c r="W120" s="36"/>
      <c r="X120" s="36"/>
      <c r="Y120" s="36"/>
      <c r="Z120" s="36"/>
      <c r="AA120" s="36"/>
      <c r="AB120" s="36"/>
      <c r="AC120" s="36"/>
    </row>
    <row r="121" ht="15.75" customHeight="1">
      <c r="A121" s="423">
        <v>42727.0</v>
      </c>
      <c r="B121" s="424">
        <v>10.6313</v>
      </c>
      <c r="C121" s="171"/>
      <c r="D121" s="171"/>
      <c r="E121" s="425">
        <v>12.9838</v>
      </c>
      <c r="F121" s="425">
        <v>11.8538</v>
      </c>
      <c r="G121" s="425">
        <v>12.4759</v>
      </c>
      <c r="H121" s="171"/>
      <c r="I121" s="171"/>
      <c r="J121" s="171"/>
      <c r="K121" s="182">
        <v>7985.75</v>
      </c>
      <c r="L121" s="36"/>
      <c r="M121" s="36"/>
      <c r="N121" s="36"/>
      <c r="O121" s="36"/>
      <c r="P121" s="36"/>
      <c r="Q121" s="36"/>
      <c r="R121" s="36"/>
      <c r="S121" s="36"/>
      <c r="T121" s="36"/>
      <c r="U121" s="36"/>
      <c r="V121" s="36"/>
      <c r="W121" s="36"/>
      <c r="X121" s="36"/>
      <c r="Y121" s="36"/>
      <c r="Z121" s="36"/>
      <c r="AA121" s="36"/>
      <c r="AB121" s="36"/>
      <c r="AC121" s="36"/>
    </row>
    <row r="122" ht="15.75" customHeight="1">
      <c r="A122" s="423">
        <v>42730.0</v>
      </c>
      <c r="B122" s="424">
        <v>10.5185</v>
      </c>
      <c r="C122" s="171"/>
      <c r="D122" s="171"/>
      <c r="E122" s="425">
        <v>12.943</v>
      </c>
      <c r="F122" s="425">
        <v>11.7224</v>
      </c>
      <c r="G122" s="425">
        <v>12.4718</v>
      </c>
      <c r="H122" s="171"/>
      <c r="I122" s="171"/>
      <c r="J122" s="171"/>
      <c r="K122" s="182">
        <v>7908.25</v>
      </c>
      <c r="L122" s="36"/>
      <c r="M122" s="36"/>
      <c r="N122" s="36"/>
      <c r="O122" s="36"/>
      <c r="P122" s="36"/>
      <c r="Q122" s="36"/>
      <c r="R122" s="36"/>
      <c r="S122" s="36"/>
      <c r="T122" s="36"/>
      <c r="U122" s="36"/>
      <c r="V122" s="36"/>
      <c r="W122" s="36"/>
      <c r="X122" s="36"/>
      <c r="Y122" s="36"/>
      <c r="Z122" s="36"/>
      <c r="AA122" s="36"/>
      <c r="AB122" s="36"/>
      <c r="AC122" s="36"/>
    </row>
    <row r="123" ht="15.75" customHeight="1">
      <c r="A123" s="423">
        <v>42731.0</v>
      </c>
      <c r="B123" s="424">
        <v>10.674</v>
      </c>
      <c r="C123" s="171"/>
      <c r="D123" s="171"/>
      <c r="E123" s="425">
        <v>12.9065</v>
      </c>
      <c r="F123" s="425">
        <v>11.8841</v>
      </c>
      <c r="G123" s="425">
        <v>12.4642</v>
      </c>
      <c r="H123" s="171"/>
      <c r="I123" s="171"/>
      <c r="J123" s="171"/>
      <c r="K123" s="182">
        <v>8032.85</v>
      </c>
      <c r="L123" s="36"/>
      <c r="M123" s="36"/>
      <c r="N123" s="36"/>
      <c r="O123" s="36"/>
      <c r="P123" s="36"/>
      <c r="Q123" s="36"/>
      <c r="R123" s="36"/>
      <c r="S123" s="36"/>
      <c r="T123" s="36"/>
      <c r="U123" s="36"/>
      <c r="V123" s="36"/>
      <c r="W123" s="36"/>
      <c r="X123" s="36"/>
      <c r="Y123" s="36"/>
      <c r="Z123" s="36"/>
      <c r="AA123" s="36"/>
      <c r="AB123" s="36"/>
      <c r="AC123" s="36"/>
    </row>
    <row r="124" ht="15.75" customHeight="1">
      <c r="A124" s="423">
        <v>42732.0</v>
      </c>
      <c r="B124" s="424">
        <v>10.6862</v>
      </c>
      <c r="C124" s="171"/>
      <c r="D124" s="171"/>
      <c r="E124" s="425">
        <v>12.8863</v>
      </c>
      <c r="F124" s="425">
        <v>11.9052</v>
      </c>
      <c r="G124" s="425">
        <v>12.471</v>
      </c>
      <c r="H124" s="171"/>
      <c r="I124" s="171"/>
      <c r="J124" s="171"/>
      <c r="K124" s="182">
        <v>8034.85</v>
      </c>
      <c r="L124" s="36"/>
      <c r="M124" s="36"/>
      <c r="N124" s="36"/>
      <c r="O124" s="36"/>
      <c r="P124" s="36"/>
      <c r="Q124" s="36"/>
      <c r="R124" s="36"/>
      <c r="S124" s="36"/>
      <c r="T124" s="36"/>
      <c r="U124" s="36"/>
      <c r="V124" s="36"/>
      <c r="W124" s="36"/>
      <c r="X124" s="36"/>
      <c r="Y124" s="36"/>
      <c r="Z124" s="36"/>
      <c r="AA124" s="36"/>
      <c r="AB124" s="36"/>
      <c r="AC124" s="36"/>
    </row>
    <row r="125" ht="15.75" customHeight="1">
      <c r="A125" s="423">
        <v>42733.0</v>
      </c>
      <c r="B125" s="424">
        <v>10.7605</v>
      </c>
      <c r="C125" s="171"/>
      <c r="D125" s="171"/>
      <c r="E125" s="425">
        <v>12.9499</v>
      </c>
      <c r="F125" s="425">
        <v>11.998</v>
      </c>
      <c r="G125" s="425">
        <v>12.4924</v>
      </c>
      <c r="H125" s="171"/>
      <c r="I125" s="171"/>
      <c r="J125" s="171"/>
      <c r="K125" s="182">
        <v>8103.6</v>
      </c>
      <c r="L125" s="36"/>
      <c r="M125" s="36"/>
      <c r="N125" s="36"/>
      <c r="O125" s="36"/>
      <c r="P125" s="36"/>
      <c r="Q125" s="36"/>
      <c r="R125" s="36"/>
      <c r="S125" s="36"/>
      <c r="T125" s="36"/>
      <c r="U125" s="36"/>
      <c r="V125" s="36"/>
      <c r="W125" s="36"/>
      <c r="X125" s="36"/>
      <c r="Y125" s="36"/>
      <c r="Z125" s="36"/>
      <c r="AA125" s="36"/>
      <c r="AB125" s="36"/>
      <c r="AC125" s="36"/>
    </row>
    <row r="126" ht="15.75" customHeight="1">
      <c r="A126" s="423">
        <v>42734.0</v>
      </c>
      <c r="B126" s="424">
        <v>10.8505</v>
      </c>
      <c r="C126" s="171"/>
      <c r="D126" s="171"/>
      <c r="E126" s="425">
        <v>12.9909</v>
      </c>
      <c r="F126" s="425">
        <v>12.1064</v>
      </c>
      <c r="G126" s="425">
        <v>12.5067</v>
      </c>
      <c r="H126" s="171"/>
      <c r="I126" s="171"/>
      <c r="J126" s="171"/>
      <c r="K126" s="182">
        <v>8185.8</v>
      </c>
      <c r="L126" s="36"/>
      <c r="M126" s="36"/>
      <c r="N126" s="36"/>
      <c r="O126" s="36"/>
      <c r="P126" s="36"/>
      <c r="Q126" s="36"/>
      <c r="R126" s="36"/>
      <c r="S126" s="36"/>
      <c r="T126" s="36"/>
      <c r="U126" s="36"/>
      <c r="V126" s="36"/>
      <c r="W126" s="36"/>
      <c r="X126" s="36"/>
      <c r="Y126" s="36"/>
      <c r="Z126" s="36"/>
      <c r="AA126" s="36"/>
      <c r="AB126" s="36"/>
      <c r="AC126" s="36"/>
    </row>
    <row r="127" ht="15.75" customHeight="1">
      <c r="A127" s="423">
        <v>42735.0</v>
      </c>
      <c r="B127" s="424">
        <v>10.8503</v>
      </c>
      <c r="C127" s="171"/>
      <c r="D127" s="171"/>
      <c r="E127" s="425">
        <v>12.9929</v>
      </c>
      <c r="F127" s="425">
        <v>12.1061</v>
      </c>
      <c r="G127" s="425">
        <v>12.5084</v>
      </c>
      <c r="H127" s="171"/>
      <c r="I127" s="171"/>
      <c r="J127" s="171"/>
      <c r="K127" s="182">
        <v>8185.8</v>
      </c>
      <c r="L127" s="36"/>
      <c r="M127" s="36"/>
      <c r="N127" s="36"/>
      <c r="O127" s="36"/>
      <c r="P127" s="36"/>
      <c r="Q127" s="36"/>
      <c r="R127" s="36"/>
      <c r="S127" s="36"/>
      <c r="T127" s="36"/>
      <c r="U127" s="36"/>
      <c r="V127" s="36"/>
      <c r="W127" s="36"/>
      <c r="X127" s="36"/>
      <c r="Y127" s="36"/>
      <c r="Z127" s="36"/>
      <c r="AA127" s="36"/>
      <c r="AB127" s="36"/>
      <c r="AC127" s="36"/>
    </row>
    <row r="128" ht="15.75" customHeight="1">
      <c r="A128" s="423">
        <v>42737.0</v>
      </c>
      <c r="B128" s="424">
        <v>10.8814</v>
      </c>
      <c r="C128" s="171"/>
      <c r="D128" s="171"/>
      <c r="E128" s="425">
        <v>13.1202</v>
      </c>
      <c r="F128" s="425">
        <v>12.1344</v>
      </c>
      <c r="G128" s="425">
        <v>12.5344</v>
      </c>
      <c r="H128" s="171"/>
      <c r="I128" s="171"/>
      <c r="J128" s="171"/>
      <c r="K128" s="182">
        <v>8179.5</v>
      </c>
      <c r="L128" s="36"/>
      <c r="M128" s="36"/>
      <c r="N128" s="36"/>
      <c r="O128" s="36"/>
      <c r="P128" s="36"/>
      <c r="Q128" s="36"/>
      <c r="R128" s="36"/>
      <c r="S128" s="36"/>
      <c r="T128" s="36"/>
      <c r="U128" s="36"/>
      <c r="V128" s="36"/>
      <c r="W128" s="36"/>
      <c r="X128" s="36"/>
      <c r="Y128" s="36"/>
      <c r="Z128" s="36"/>
      <c r="AA128" s="36"/>
      <c r="AB128" s="36"/>
      <c r="AC128" s="36"/>
    </row>
    <row r="129" ht="15.75" customHeight="1">
      <c r="A129" s="423">
        <v>42738.0</v>
      </c>
      <c r="B129" s="424">
        <v>10.9018</v>
      </c>
      <c r="C129" s="171"/>
      <c r="D129" s="171"/>
      <c r="E129" s="425">
        <v>13.0957</v>
      </c>
      <c r="F129" s="425">
        <v>12.1583</v>
      </c>
      <c r="G129" s="425">
        <v>12.5238</v>
      </c>
      <c r="H129" s="171"/>
      <c r="I129" s="171"/>
      <c r="J129" s="171"/>
      <c r="K129" s="182">
        <v>8192.25</v>
      </c>
      <c r="L129" s="36"/>
      <c r="M129" s="36"/>
      <c r="N129" s="36"/>
      <c r="O129" s="36"/>
      <c r="P129" s="36"/>
      <c r="Q129" s="36"/>
      <c r="R129" s="36"/>
      <c r="S129" s="36"/>
      <c r="T129" s="36"/>
      <c r="U129" s="36"/>
      <c r="V129" s="36"/>
      <c r="W129" s="36"/>
      <c r="X129" s="36"/>
      <c r="Y129" s="36"/>
      <c r="Z129" s="36"/>
      <c r="AA129" s="36"/>
      <c r="AB129" s="36"/>
      <c r="AC129" s="36"/>
    </row>
    <row r="130" ht="15.75" customHeight="1">
      <c r="A130" s="423">
        <v>42739.0</v>
      </c>
      <c r="B130" s="424">
        <v>10.8919</v>
      </c>
      <c r="C130" s="171"/>
      <c r="D130" s="171"/>
      <c r="E130" s="425">
        <v>13.1325</v>
      </c>
      <c r="F130" s="425">
        <v>12.1441</v>
      </c>
      <c r="G130" s="425">
        <v>12.537</v>
      </c>
      <c r="H130" s="171"/>
      <c r="I130" s="171"/>
      <c r="J130" s="171"/>
      <c r="K130" s="182">
        <v>8190.5</v>
      </c>
      <c r="L130" s="36"/>
      <c r="M130" s="36"/>
      <c r="N130" s="36"/>
      <c r="O130" s="36"/>
      <c r="P130" s="36"/>
      <c r="Q130" s="36"/>
      <c r="R130" s="36"/>
      <c r="S130" s="36"/>
      <c r="T130" s="36"/>
      <c r="U130" s="36"/>
      <c r="V130" s="36"/>
      <c r="W130" s="36"/>
      <c r="X130" s="36"/>
      <c r="Y130" s="36"/>
      <c r="Z130" s="36"/>
      <c r="AA130" s="36"/>
      <c r="AB130" s="36"/>
      <c r="AC130" s="36"/>
    </row>
    <row r="131" ht="15.75" customHeight="1">
      <c r="A131" s="423">
        <v>42740.0</v>
      </c>
      <c r="B131" s="424">
        <v>11.0049</v>
      </c>
      <c r="C131" s="171"/>
      <c r="D131" s="171"/>
      <c r="E131" s="425">
        <v>13.1319</v>
      </c>
      <c r="F131" s="425">
        <v>12.2569</v>
      </c>
      <c r="G131" s="425">
        <v>12.5482</v>
      </c>
      <c r="H131" s="171"/>
      <c r="I131" s="171"/>
      <c r="J131" s="171"/>
      <c r="K131" s="182">
        <v>8273.8</v>
      </c>
      <c r="L131" s="36"/>
      <c r="M131" s="36"/>
      <c r="N131" s="36"/>
      <c r="O131" s="36"/>
      <c r="P131" s="36"/>
      <c r="Q131" s="36"/>
      <c r="R131" s="36"/>
      <c r="S131" s="36"/>
      <c r="T131" s="36"/>
      <c r="U131" s="36"/>
      <c r="V131" s="36"/>
      <c r="W131" s="36"/>
      <c r="X131" s="36"/>
      <c r="Y131" s="36"/>
      <c r="Z131" s="36"/>
      <c r="AA131" s="36"/>
      <c r="AB131" s="36"/>
      <c r="AC131" s="36"/>
    </row>
    <row r="132" ht="15.75" customHeight="1">
      <c r="A132" s="423">
        <v>42741.0</v>
      </c>
      <c r="B132" s="424">
        <v>10.9681</v>
      </c>
      <c r="C132" s="171"/>
      <c r="D132" s="171"/>
      <c r="E132" s="425">
        <v>13.1249</v>
      </c>
      <c r="F132" s="425">
        <v>12.223</v>
      </c>
      <c r="G132" s="425">
        <v>12.5407</v>
      </c>
      <c r="H132" s="171"/>
      <c r="I132" s="171"/>
      <c r="J132" s="171"/>
      <c r="K132" s="182">
        <v>8243.8</v>
      </c>
      <c r="L132" s="36"/>
      <c r="M132" s="36"/>
      <c r="N132" s="36"/>
      <c r="O132" s="36"/>
      <c r="P132" s="36"/>
      <c r="Q132" s="36"/>
      <c r="R132" s="36"/>
      <c r="S132" s="36"/>
      <c r="T132" s="36"/>
      <c r="U132" s="36"/>
      <c r="V132" s="36"/>
      <c r="W132" s="36"/>
      <c r="X132" s="36"/>
      <c r="Y132" s="36"/>
      <c r="Z132" s="36"/>
      <c r="AA132" s="36"/>
      <c r="AB132" s="36"/>
      <c r="AC132" s="36"/>
    </row>
    <row r="133" ht="15.75" customHeight="1">
      <c r="A133" s="423">
        <v>42744.0</v>
      </c>
      <c r="B133" s="424">
        <v>10.9633</v>
      </c>
      <c r="C133" s="171"/>
      <c r="D133" s="171"/>
      <c r="E133" s="425">
        <v>13.1339</v>
      </c>
      <c r="F133" s="425">
        <v>12.216</v>
      </c>
      <c r="G133" s="425">
        <v>12.5454</v>
      </c>
      <c r="H133" s="171"/>
      <c r="I133" s="171"/>
      <c r="J133" s="171"/>
      <c r="K133" s="182">
        <v>8236.05</v>
      </c>
      <c r="L133" s="36"/>
      <c r="M133" s="36"/>
      <c r="N133" s="36"/>
      <c r="O133" s="36"/>
      <c r="P133" s="36"/>
      <c r="Q133" s="36"/>
      <c r="R133" s="36"/>
      <c r="S133" s="36"/>
      <c r="T133" s="36"/>
      <c r="U133" s="36"/>
      <c r="V133" s="36"/>
      <c r="W133" s="36"/>
      <c r="X133" s="36"/>
      <c r="Y133" s="36"/>
      <c r="Z133" s="36"/>
      <c r="AA133" s="36"/>
      <c r="AB133" s="36"/>
      <c r="AC133" s="36"/>
    </row>
    <row r="134" ht="15.75" customHeight="1">
      <c r="A134" s="423">
        <v>42745.0</v>
      </c>
      <c r="B134" s="424">
        <v>11.0308</v>
      </c>
      <c r="C134" s="171"/>
      <c r="D134" s="171"/>
      <c r="E134" s="425">
        <v>13.1336</v>
      </c>
      <c r="F134" s="425">
        <v>12.2969</v>
      </c>
      <c r="G134" s="425">
        <v>12.5463</v>
      </c>
      <c r="H134" s="171"/>
      <c r="I134" s="171"/>
      <c r="J134" s="171"/>
      <c r="K134" s="182">
        <v>8288.6</v>
      </c>
      <c r="L134" s="36"/>
      <c r="M134" s="36"/>
      <c r="N134" s="36"/>
      <c r="O134" s="36"/>
      <c r="P134" s="36"/>
      <c r="Q134" s="36"/>
      <c r="R134" s="36"/>
      <c r="S134" s="36"/>
      <c r="T134" s="36"/>
      <c r="U134" s="36"/>
      <c r="V134" s="36"/>
      <c r="W134" s="36"/>
      <c r="X134" s="36"/>
      <c r="Y134" s="36"/>
      <c r="Z134" s="36"/>
      <c r="AA134" s="36"/>
      <c r="AB134" s="36"/>
      <c r="AC134" s="36"/>
    </row>
    <row r="135" ht="15.75" customHeight="1">
      <c r="A135" s="423">
        <v>42746.0</v>
      </c>
      <c r="B135" s="424">
        <v>11.1466</v>
      </c>
      <c r="C135" s="171"/>
      <c r="D135" s="171"/>
      <c r="E135" s="425">
        <v>13.1266</v>
      </c>
      <c r="F135" s="425">
        <v>12.4484</v>
      </c>
      <c r="G135" s="425">
        <v>12.544</v>
      </c>
      <c r="H135" s="171"/>
      <c r="I135" s="171"/>
      <c r="J135" s="171"/>
      <c r="K135" s="182">
        <v>8380.65</v>
      </c>
      <c r="L135" s="36"/>
      <c r="M135" s="36"/>
      <c r="N135" s="36"/>
      <c r="O135" s="36"/>
      <c r="P135" s="36"/>
      <c r="Q135" s="36"/>
      <c r="R135" s="36"/>
      <c r="S135" s="36"/>
      <c r="T135" s="36"/>
      <c r="U135" s="36"/>
      <c r="V135" s="36"/>
      <c r="W135" s="36"/>
      <c r="X135" s="36"/>
      <c r="Y135" s="36"/>
      <c r="Z135" s="36"/>
      <c r="AA135" s="36"/>
      <c r="AB135" s="36"/>
      <c r="AC135" s="36"/>
    </row>
    <row r="136" ht="15.75" customHeight="1">
      <c r="A136" s="423">
        <v>42747.0</v>
      </c>
      <c r="B136" s="424">
        <v>11.1824</v>
      </c>
      <c r="C136" s="171"/>
      <c r="D136" s="171"/>
      <c r="E136" s="425">
        <v>13.1539</v>
      </c>
      <c r="F136" s="425">
        <v>12.5041</v>
      </c>
      <c r="G136" s="425">
        <v>12.5558</v>
      </c>
      <c r="H136" s="171"/>
      <c r="I136" s="171"/>
      <c r="J136" s="171"/>
      <c r="K136" s="182">
        <v>8407.2</v>
      </c>
      <c r="L136" s="36"/>
      <c r="M136" s="36"/>
      <c r="N136" s="36"/>
      <c r="O136" s="36"/>
      <c r="P136" s="36"/>
      <c r="Q136" s="36"/>
      <c r="R136" s="36"/>
      <c r="S136" s="36"/>
      <c r="T136" s="36"/>
      <c r="U136" s="36"/>
      <c r="V136" s="36"/>
      <c r="W136" s="36"/>
      <c r="X136" s="36"/>
      <c r="Y136" s="36"/>
      <c r="Z136" s="36"/>
      <c r="AA136" s="36"/>
      <c r="AB136" s="36"/>
      <c r="AC136" s="36"/>
    </row>
    <row r="137" ht="15.75" customHeight="1">
      <c r="A137" s="423">
        <v>42748.0</v>
      </c>
      <c r="B137" s="424">
        <v>11.17</v>
      </c>
      <c r="C137" s="171"/>
      <c r="D137" s="171"/>
      <c r="E137" s="425">
        <v>13.1295</v>
      </c>
      <c r="F137" s="425">
        <v>12.4741</v>
      </c>
      <c r="G137" s="425">
        <v>12.5436</v>
      </c>
      <c r="H137" s="171"/>
      <c r="I137" s="171"/>
      <c r="J137" s="171"/>
      <c r="K137" s="182">
        <v>8400.35</v>
      </c>
      <c r="L137" s="36"/>
      <c r="M137" s="36"/>
      <c r="N137" s="36"/>
      <c r="O137" s="36"/>
      <c r="P137" s="36"/>
      <c r="Q137" s="36"/>
      <c r="R137" s="36"/>
      <c r="S137" s="36"/>
      <c r="T137" s="36"/>
      <c r="U137" s="36"/>
      <c r="V137" s="36"/>
      <c r="W137" s="36"/>
      <c r="X137" s="36"/>
      <c r="Y137" s="36"/>
      <c r="Z137" s="36"/>
      <c r="AA137" s="36"/>
      <c r="AB137" s="36"/>
      <c r="AC137" s="36"/>
    </row>
    <row r="138" ht="15.75" customHeight="1">
      <c r="A138" s="423">
        <v>42751.0</v>
      </c>
      <c r="B138" s="424">
        <v>11.1887</v>
      </c>
      <c r="C138" s="171"/>
      <c r="D138" s="171"/>
      <c r="E138" s="425">
        <v>13.1223</v>
      </c>
      <c r="F138" s="425">
        <v>12.5011</v>
      </c>
      <c r="G138" s="425">
        <v>12.5423</v>
      </c>
      <c r="H138" s="171"/>
      <c r="I138" s="171"/>
      <c r="J138" s="171"/>
      <c r="K138" s="182">
        <v>8412.8</v>
      </c>
      <c r="L138" s="36"/>
      <c r="M138" s="36"/>
      <c r="N138" s="36"/>
      <c r="O138" s="36"/>
      <c r="P138" s="36"/>
      <c r="Q138" s="36"/>
      <c r="R138" s="36"/>
      <c r="S138" s="36"/>
      <c r="T138" s="36"/>
      <c r="U138" s="36"/>
      <c r="V138" s="36"/>
      <c r="W138" s="36"/>
      <c r="X138" s="36"/>
      <c r="Y138" s="36"/>
      <c r="Z138" s="36"/>
      <c r="AA138" s="36"/>
      <c r="AB138" s="36"/>
      <c r="AC138" s="36"/>
    </row>
    <row r="139" ht="15.75" customHeight="1">
      <c r="A139" s="423">
        <v>42752.0</v>
      </c>
      <c r="B139" s="424">
        <v>11.1726</v>
      </c>
      <c r="C139" s="171"/>
      <c r="D139" s="171"/>
      <c r="E139" s="425">
        <v>13.1297</v>
      </c>
      <c r="F139" s="425">
        <v>12.4759</v>
      </c>
      <c r="G139" s="425">
        <v>12.5497</v>
      </c>
      <c r="H139" s="171"/>
      <c r="I139" s="171"/>
      <c r="J139" s="171"/>
      <c r="K139" s="182">
        <v>8398.0</v>
      </c>
      <c r="L139" s="36"/>
      <c r="M139" s="36"/>
      <c r="N139" s="36"/>
      <c r="O139" s="36"/>
      <c r="P139" s="36"/>
      <c r="Q139" s="36"/>
      <c r="R139" s="36"/>
      <c r="S139" s="36"/>
      <c r="T139" s="36"/>
      <c r="U139" s="36"/>
      <c r="V139" s="36"/>
      <c r="W139" s="36"/>
      <c r="X139" s="36"/>
      <c r="Y139" s="36"/>
      <c r="Z139" s="36"/>
      <c r="AA139" s="36"/>
      <c r="AB139" s="36"/>
      <c r="AC139" s="36"/>
    </row>
    <row r="140" ht="15.75" customHeight="1">
      <c r="A140" s="423">
        <v>42753.0</v>
      </c>
      <c r="B140" s="424">
        <v>11.2093</v>
      </c>
      <c r="C140" s="171"/>
      <c r="D140" s="171"/>
      <c r="E140" s="425">
        <v>13.1203</v>
      </c>
      <c r="F140" s="425">
        <v>12.5312</v>
      </c>
      <c r="G140" s="425">
        <v>12.5408</v>
      </c>
      <c r="H140" s="171"/>
      <c r="I140" s="171"/>
      <c r="J140" s="171"/>
      <c r="K140" s="182">
        <v>8417.0</v>
      </c>
      <c r="L140" s="36"/>
      <c r="M140" s="36"/>
      <c r="N140" s="36"/>
      <c r="O140" s="36"/>
      <c r="P140" s="36"/>
      <c r="Q140" s="36"/>
      <c r="R140" s="36"/>
      <c r="S140" s="36"/>
      <c r="T140" s="36"/>
      <c r="U140" s="36"/>
      <c r="V140" s="36"/>
      <c r="W140" s="36"/>
      <c r="X140" s="36"/>
      <c r="Y140" s="36"/>
      <c r="Z140" s="36"/>
      <c r="AA140" s="36"/>
      <c r="AB140" s="36"/>
      <c r="AC140" s="36"/>
    </row>
    <row r="141" ht="15.75" customHeight="1">
      <c r="A141" s="423">
        <v>42754.0</v>
      </c>
      <c r="B141" s="424">
        <v>11.2388</v>
      </c>
      <c r="C141" s="171"/>
      <c r="D141" s="171"/>
      <c r="E141" s="425">
        <v>13.0979</v>
      </c>
      <c r="F141" s="425">
        <v>12.5536</v>
      </c>
      <c r="G141" s="425">
        <v>12.5367</v>
      </c>
      <c r="H141" s="171"/>
      <c r="I141" s="171"/>
      <c r="J141" s="171"/>
      <c r="K141" s="182">
        <v>8435.1</v>
      </c>
      <c r="L141" s="36"/>
      <c r="M141" s="36"/>
      <c r="N141" s="36"/>
      <c r="O141" s="36"/>
      <c r="P141" s="36"/>
      <c r="Q141" s="36"/>
      <c r="R141" s="36"/>
      <c r="S141" s="36"/>
      <c r="T141" s="36"/>
      <c r="U141" s="36"/>
      <c r="V141" s="36"/>
      <c r="W141" s="36"/>
      <c r="X141" s="36"/>
      <c r="Y141" s="36"/>
      <c r="Z141" s="36"/>
      <c r="AA141" s="36"/>
      <c r="AB141" s="36"/>
      <c r="AC141" s="36"/>
    </row>
    <row r="142" ht="15.75" customHeight="1">
      <c r="A142" s="423">
        <v>42755.0</v>
      </c>
      <c r="B142" s="424">
        <v>11.1463</v>
      </c>
      <c r="C142" s="171"/>
      <c r="D142" s="171"/>
      <c r="E142" s="425">
        <v>13.0944</v>
      </c>
      <c r="F142" s="425">
        <v>12.4452</v>
      </c>
      <c r="G142" s="425">
        <v>12.5398</v>
      </c>
      <c r="H142" s="171"/>
      <c r="I142" s="171"/>
      <c r="J142" s="171"/>
      <c r="K142" s="182">
        <v>8349.35</v>
      </c>
      <c r="L142" s="36"/>
      <c r="M142" s="36"/>
      <c r="N142" s="36"/>
      <c r="O142" s="36"/>
      <c r="P142" s="36"/>
      <c r="Q142" s="36"/>
      <c r="R142" s="36"/>
      <c r="S142" s="36"/>
      <c r="T142" s="36"/>
      <c r="U142" s="36"/>
      <c r="V142" s="36"/>
      <c r="W142" s="36"/>
      <c r="X142" s="36"/>
      <c r="Y142" s="36"/>
      <c r="Z142" s="36"/>
      <c r="AA142" s="36"/>
      <c r="AB142" s="36"/>
      <c r="AC142" s="36"/>
    </row>
    <row r="143" ht="15.75" customHeight="1">
      <c r="A143" s="423">
        <v>42758.0</v>
      </c>
      <c r="B143" s="424">
        <v>11.1978</v>
      </c>
      <c r="C143" s="171"/>
      <c r="D143" s="171"/>
      <c r="E143" s="425">
        <v>13.108</v>
      </c>
      <c r="F143" s="425">
        <v>12.4856</v>
      </c>
      <c r="G143" s="425">
        <v>12.5516</v>
      </c>
      <c r="H143" s="171"/>
      <c r="I143" s="171"/>
      <c r="J143" s="171"/>
      <c r="K143" s="182">
        <v>8391.5</v>
      </c>
      <c r="L143" s="36"/>
      <c r="M143" s="36"/>
      <c r="N143" s="36"/>
      <c r="O143" s="36"/>
      <c r="P143" s="36"/>
      <c r="Q143" s="36"/>
      <c r="R143" s="36"/>
      <c r="S143" s="36"/>
      <c r="T143" s="36"/>
      <c r="U143" s="36"/>
      <c r="V143" s="36"/>
      <c r="W143" s="36"/>
      <c r="X143" s="36"/>
      <c r="Y143" s="36"/>
      <c r="Z143" s="36"/>
      <c r="AA143" s="36"/>
      <c r="AB143" s="36"/>
      <c r="AC143" s="36"/>
    </row>
    <row r="144" ht="15.75" customHeight="1">
      <c r="A144" s="423">
        <v>42759.0</v>
      </c>
      <c r="B144" s="424">
        <v>11.2952</v>
      </c>
      <c r="C144" s="171"/>
      <c r="D144" s="171"/>
      <c r="E144" s="425">
        <v>13.1106</v>
      </c>
      <c r="F144" s="425">
        <v>12.6037</v>
      </c>
      <c r="G144" s="425">
        <v>12.5468</v>
      </c>
      <c r="H144" s="171"/>
      <c r="I144" s="171"/>
      <c r="J144" s="171"/>
      <c r="K144" s="182">
        <v>8475.8</v>
      </c>
      <c r="L144" s="36"/>
      <c r="M144" s="36"/>
      <c r="N144" s="36"/>
      <c r="O144" s="36"/>
      <c r="P144" s="36"/>
      <c r="Q144" s="36"/>
      <c r="R144" s="36"/>
      <c r="S144" s="36"/>
      <c r="T144" s="36"/>
      <c r="U144" s="36"/>
      <c r="V144" s="36"/>
      <c r="W144" s="36"/>
      <c r="X144" s="36"/>
      <c r="Y144" s="36"/>
      <c r="Z144" s="36"/>
      <c r="AA144" s="36"/>
      <c r="AB144" s="36"/>
      <c r="AC144" s="36"/>
    </row>
    <row r="145" ht="15.75" customHeight="1">
      <c r="A145" s="423">
        <v>42760.0</v>
      </c>
      <c r="B145" s="424">
        <v>11.4458</v>
      </c>
      <c r="C145" s="171"/>
      <c r="D145" s="171"/>
      <c r="E145" s="425">
        <v>13.1192</v>
      </c>
      <c r="F145" s="425">
        <v>12.801</v>
      </c>
      <c r="G145" s="425">
        <v>12.553</v>
      </c>
      <c r="H145" s="171"/>
      <c r="I145" s="171"/>
      <c r="J145" s="171"/>
      <c r="K145" s="182">
        <v>8602.75</v>
      </c>
      <c r="L145" s="36"/>
      <c r="M145" s="36"/>
      <c r="N145" s="36"/>
      <c r="O145" s="36"/>
      <c r="P145" s="36"/>
      <c r="Q145" s="36"/>
      <c r="R145" s="36"/>
      <c r="S145" s="36"/>
      <c r="T145" s="36"/>
      <c r="U145" s="36"/>
      <c r="V145" s="36"/>
      <c r="W145" s="36"/>
      <c r="X145" s="36"/>
      <c r="Y145" s="36"/>
      <c r="Z145" s="36"/>
      <c r="AA145" s="36"/>
      <c r="AB145" s="36"/>
      <c r="AC145" s="36"/>
    </row>
    <row r="146" ht="15.75" customHeight="1">
      <c r="A146" s="423">
        <v>42762.0</v>
      </c>
      <c r="B146" s="424">
        <v>11.4526</v>
      </c>
      <c r="C146" s="171"/>
      <c r="D146" s="171"/>
      <c r="E146" s="425">
        <v>13.1264</v>
      </c>
      <c r="F146" s="425">
        <v>12.8319</v>
      </c>
      <c r="G146" s="425">
        <v>12.5578</v>
      </c>
      <c r="H146" s="171"/>
      <c r="I146" s="171"/>
      <c r="J146" s="171"/>
      <c r="K146" s="182">
        <v>8641.25</v>
      </c>
      <c r="L146" s="36"/>
      <c r="M146" s="36"/>
      <c r="N146" s="36"/>
      <c r="O146" s="36"/>
      <c r="P146" s="36"/>
      <c r="Q146" s="36"/>
      <c r="R146" s="36"/>
      <c r="S146" s="36"/>
      <c r="T146" s="36"/>
      <c r="U146" s="36"/>
      <c r="V146" s="36"/>
      <c r="W146" s="36"/>
      <c r="X146" s="36"/>
      <c r="Y146" s="36"/>
      <c r="Z146" s="36"/>
      <c r="AA146" s="36"/>
      <c r="AB146" s="36"/>
      <c r="AC146" s="36"/>
    </row>
    <row r="147" ht="15.75" customHeight="1">
      <c r="A147" s="423">
        <v>42765.0</v>
      </c>
      <c r="B147" s="424">
        <v>11.437</v>
      </c>
      <c r="C147" s="171"/>
      <c r="D147" s="171"/>
      <c r="E147" s="425">
        <v>13.1229</v>
      </c>
      <c r="F147" s="425">
        <v>12.8193</v>
      </c>
      <c r="G147" s="425">
        <v>12.562</v>
      </c>
      <c r="H147" s="171"/>
      <c r="I147" s="171"/>
      <c r="J147" s="171"/>
      <c r="K147" s="182">
        <v>8632.75</v>
      </c>
      <c r="L147" s="36"/>
      <c r="M147" s="36"/>
      <c r="N147" s="36"/>
      <c r="O147" s="36"/>
      <c r="P147" s="36"/>
      <c r="Q147" s="36"/>
      <c r="R147" s="36"/>
      <c r="S147" s="36"/>
      <c r="T147" s="36"/>
      <c r="U147" s="36"/>
      <c r="V147" s="36"/>
      <c r="W147" s="36"/>
      <c r="X147" s="36"/>
      <c r="Y147" s="36"/>
      <c r="Z147" s="36"/>
      <c r="AA147" s="36"/>
      <c r="AB147" s="36"/>
      <c r="AC147" s="36"/>
    </row>
    <row r="148" ht="15.75" customHeight="1">
      <c r="A148" s="423">
        <v>42766.0</v>
      </c>
      <c r="B148" s="424">
        <v>11.3604</v>
      </c>
      <c r="C148" s="171"/>
      <c r="D148" s="171"/>
      <c r="E148" s="425">
        <v>13.1188</v>
      </c>
      <c r="F148" s="425">
        <v>12.7287</v>
      </c>
      <c r="G148" s="425">
        <v>12.5677</v>
      </c>
      <c r="H148" s="171"/>
      <c r="I148" s="171"/>
      <c r="J148" s="171"/>
      <c r="K148" s="182">
        <v>8561.3</v>
      </c>
      <c r="L148" s="36"/>
      <c r="M148" s="36"/>
      <c r="N148" s="36"/>
      <c r="O148" s="36"/>
      <c r="P148" s="36"/>
      <c r="Q148" s="36"/>
      <c r="R148" s="36"/>
      <c r="S148" s="36"/>
      <c r="T148" s="36"/>
      <c r="U148" s="36"/>
      <c r="V148" s="36"/>
      <c r="W148" s="36"/>
      <c r="X148" s="36"/>
      <c r="Y148" s="36"/>
      <c r="Z148" s="36"/>
      <c r="AA148" s="36"/>
      <c r="AB148" s="36"/>
      <c r="AC148" s="36"/>
    </row>
    <row r="149" ht="15.75" customHeight="1">
      <c r="A149" s="423">
        <v>42767.0</v>
      </c>
      <c r="B149" s="424">
        <v>11.5552</v>
      </c>
      <c r="C149" s="171"/>
      <c r="D149" s="171"/>
      <c r="E149" s="425">
        <v>13.1169</v>
      </c>
      <c r="F149" s="425">
        <v>12.9929</v>
      </c>
      <c r="G149" s="425">
        <v>12.5605</v>
      </c>
      <c r="H149" s="171"/>
      <c r="I149" s="171"/>
      <c r="J149" s="171"/>
      <c r="K149" s="182">
        <v>8716.4</v>
      </c>
      <c r="L149" s="36"/>
      <c r="M149" s="36"/>
      <c r="N149" s="36"/>
      <c r="O149" s="36"/>
      <c r="P149" s="36"/>
      <c r="Q149" s="36"/>
      <c r="R149" s="36"/>
      <c r="S149" s="36"/>
      <c r="T149" s="36"/>
      <c r="U149" s="36"/>
      <c r="V149" s="36"/>
      <c r="W149" s="36"/>
      <c r="X149" s="36"/>
      <c r="Y149" s="36"/>
      <c r="Z149" s="36"/>
      <c r="AA149" s="36"/>
      <c r="AB149" s="36"/>
      <c r="AC149" s="36"/>
    </row>
    <row r="150" ht="15.75" customHeight="1">
      <c r="A150" s="423">
        <v>42768.0</v>
      </c>
      <c r="B150" s="424">
        <v>11.585</v>
      </c>
      <c r="C150" s="171"/>
      <c r="D150" s="171"/>
      <c r="E150" s="425">
        <v>13.1332</v>
      </c>
      <c r="F150" s="425">
        <v>13.0302</v>
      </c>
      <c r="G150" s="425">
        <v>12.5713</v>
      </c>
      <c r="H150" s="171"/>
      <c r="I150" s="171"/>
      <c r="J150" s="171"/>
      <c r="K150" s="182">
        <v>8734.25</v>
      </c>
      <c r="L150" s="36"/>
      <c r="M150" s="36"/>
      <c r="N150" s="36"/>
      <c r="O150" s="36"/>
      <c r="P150" s="36"/>
      <c r="Q150" s="36"/>
      <c r="R150" s="36"/>
      <c r="S150" s="36"/>
      <c r="T150" s="36"/>
      <c r="U150" s="36"/>
      <c r="V150" s="36"/>
      <c r="W150" s="36"/>
      <c r="X150" s="36"/>
      <c r="Y150" s="36"/>
      <c r="Z150" s="36"/>
      <c r="AA150" s="36"/>
      <c r="AB150" s="36"/>
      <c r="AC150" s="36"/>
    </row>
    <row r="151" ht="15.75" customHeight="1">
      <c r="A151" s="423">
        <v>42769.0</v>
      </c>
      <c r="B151" s="424">
        <v>11.5898</v>
      </c>
      <c r="C151" s="171"/>
      <c r="D151" s="171"/>
      <c r="E151" s="425">
        <v>13.1299</v>
      </c>
      <c r="F151" s="425">
        <v>13.0078</v>
      </c>
      <c r="G151" s="425">
        <v>12.5677</v>
      </c>
      <c r="H151" s="171"/>
      <c r="I151" s="171"/>
      <c r="J151" s="171"/>
      <c r="K151" s="182">
        <v>8740.95</v>
      </c>
      <c r="L151" s="36"/>
      <c r="M151" s="36"/>
      <c r="N151" s="36"/>
      <c r="O151" s="36"/>
      <c r="P151" s="36"/>
      <c r="Q151" s="36"/>
      <c r="R151" s="36"/>
      <c r="S151" s="36"/>
      <c r="T151" s="36"/>
      <c r="U151" s="36"/>
      <c r="V151" s="36"/>
      <c r="W151" s="36"/>
      <c r="X151" s="36"/>
      <c r="Y151" s="36"/>
      <c r="Z151" s="36"/>
      <c r="AA151" s="36"/>
      <c r="AB151" s="36"/>
      <c r="AC151" s="36"/>
    </row>
    <row r="152" ht="15.75" customHeight="1">
      <c r="A152" s="423">
        <v>42772.0</v>
      </c>
      <c r="B152" s="424">
        <v>11.6758</v>
      </c>
      <c r="C152" s="171"/>
      <c r="D152" s="171"/>
      <c r="E152" s="425">
        <v>13.1301</v>
      </c>
      <c r="F152" s="425">
        <v>13.093</v>
      </c>
      <c r="G152" s="425">
        <v>12.5671</v>
      </c>
      <c r="H152" s="171"/>
      <c r="I152" s="171"/>
      <c r="J152" s="171"/>
      <c r="K152" s="182">
        <v>8801.05</v>
      </c>
      <c r="L152" s="36"/>
      <c r="M152" s="36"/>
      <c r="N152" s="36"/>
      <c r="O152" s="36"/>
      <c r="P152" s="36"/>
      <c r="Q152" s="36"/>
      <c r="R152" s="36"/>
      <c r="S152" s="36"/>
      <c r="T152" s="36"/>
      <c r="U152" s="36"/>
      <c r="V152" s="36"/>
      <c r="W152" s="36"/>
      <c r="X152" s="36"/>
      <c r="Y152" s="36"/>
      <c r="Z152" s="36"/>
      <c r="AA152" s="36"/>
      <c r="AB152" s="36"/>
      <c r="AC152" s="36"/>
    </row>
    <row r="153" ht="15.75" customHeight="1">
      <c r="A153" s="423">
        <v>42773.0</v>
      </c>
      <c r="B153" s="424">
        <v>11.6399</v>
      </c>
      <c r="C153" s="171"/>
      <c r="D153" s="171"/>
      <c r="E153" s="425">
        <v>13.1189</v>
      </c>
      <c r="F153" s="425">
        <v>13.0616</v>
      </c>
      <c r="G153" s="425">
        <v>12.5671</v>
      </c>
      <c r="H153" s="171"/>
      <c r="I153" s="171"/>
      <c r="J153" s="171"/>
      <c r="K153" s="182">
        <v>8768.3</v>
      </c>
      <c r="L153" s="36"/>
      <c r="M153" s="36"/>
      <c r="N153" s="36"/>
      <c r="O153" s="36"/>
      <c r="P153" s="36"/>
      <c r="Q153" s="36"/>
      <c r="R153" s="36"/>
      <c r="S153" s="36"/>
      <c r="T153" s="36"/>
      <c r="U153" s="36"/>
      <c r="V153" s="36"/>
      <c r="W153" s="36"/>
      <c r="X153" s="36"/>
      <c r="Y153" s="36"/>
      <c r="Z153" s="36"/>
      <c r="AA153" s="36"/>
      <c r="AB153" s="36"/>
      <c r="AC153" s="36"/>
    </row>
    <row r="154" ht="15.75" customHeight="1">
      <c r="A154" s="423">
        <v>42774.0</v>
      </c>
      <c r="B154" s="424">
        <v>11.6596</v>
      </c>
      <c r="C154" s="171"/>
      <c r="D154" s="171"/>
      <c r="E154" s="425">
        <v>12.9085</v>
      </c>
      <c r="F154" s="425">
        <v>13.0853</v>
      </c>
      <c r="G154" s="425">
        <v>12.4874</v>
      </c>
      <c r="H154" s="171"/>
      <c r="I154" s="171"/>
      <c r="J154" s="171"/>
      <c r="K154" s="182">
        <v>8769.05</v>
      </c>
      <c r="L154" s="36"/>
      <c r="M154" s="36"/>
      <c r="N154" s="36"/>
      <c r="O154" s="36"/>
      <c r="P154" s="36"/>
      <c r="Q154" s="36"/>
      <c r="R154" s="36"/>
      <c r="S154" s="36"/>
      <c r="T154" s="36"/>
      <c r="U154" s="36"/>
      <c r="V154" s="36"/>
      <c r="W154" s="36"/>
      <c r="X154" s="36"/>
      <c r="Y154" s="36"/>
      <c r="Z154" s="36"/>
      <c r="AA154" s="36"/>
      <c r="AB154" s="36"/>
      <c r="AC154" s="36"/>
    </row>
    <row r="155" ht="15.75" customHeight="1">
      <c r="A155" s="423">
        <v>42775.0</v>
      </c>
      <c r="B155" s="424">
        <v>11.67</v>
      </c>
      <c r="C155" s="171"/>
      <c r="D155" s="171"/>
      <c r="E155" s="425">
        <v>12.824</v>
      </c>
      <c r="F155" s="425">
        <v>13.089</v>
      </c>
      <c r="G155" s="425">
        <v>12.4653</v>
      </c>
      <c r="H155" s="171"/>
      <c r="I155" s="171"/>
      <c r="J155" s="171"/>
      <c r="K155" s="182">
        <v>8778.4</v>
      </c>
      <c r="L155" s="36"/>
      <c r="M155" s="36"/>
      <c r="N155" s="36"/>
      <c r="O155" s="36"/>
      <c r="P155" s="36"/>
      <c r="Q155" s="36"/>
      <c r="R155" s="36"/>
      <c r="S155" s="36"/>
      <c r="T155" s="36"/>
      <c r="U155" s="36"/>
      <c r="V155" s="36"/>
      <c r="W155" s="36"/>
      <c r="X155" s="36"/>
      <c r="Y155" s="36"/>
      <c r="Z155" s="36"/>
      <c r="AA155" s="36"/>
      <c r="AB155" s="36"/>
      <c r="AC155" s="36"/>
    </row>
    <row r="156" ht="15.75" customHeight="1">
      <c r="A156" s="423">
        <v>42776.0</v>
      </c>
      <c r="B156" s="424">
        <v>11.6747</v>
      </c>
      <c r="C156" s="171"/>
      <c r="D156" s="171"/>
      <c r="E156" s="425">
        <v>12.8534</v>
      </c>
      <c r="F156" s="425">
        <v>13.0825</v>
      </c>
      <c r="G156" s="425">
        <v>12.4821</v>
      </c>
      <c r="H156" s="171"/>
      <c r="I156" s="171"/>
      <c r="J156" s="171"/>
      <c r="K156" s="182">
        <v>8793.55</v>
      </c>
      <c r="L156" s="36"/>
      <c r="M156" s="36"/>
      <c r="N156" s="36"/>
      <c r="O156" s="36"/>
      <c r="P156" s="36"/>
      <c r="Q156" s="36"/>
      <c r="R156" s="36"/>
      <c r="S156" s="36"/>
      <c r="T156" s="36"/>
      <c r="U156" s="36"/>
      <c r="V156" s="36"/>
      <c r="W156" s="36"/>
      <c r="X156" s="36"/>
      <c r="Y156" s="36"/>
      <c r="Z156" s="36"/>
      <c r="AA156" s="36"/>
      <c r="AB156" s="36"/>
      <c r="AC156" s="36"/>
    </row>
    <row r="157" ht="15.75" customHeight="1">
      <c r="A157" s="423">
        <v>42779.0</v>
      </c>
      <c r="B157" s="424">
        <v>11.6906</v>
      </c>
      <c r="C157" s="171"/>
      <c r="D157" s="171"/>
      <c r="E157" s="425">
        <v>12.8568</v>
      </c>
      <c r="F157" s="425">
        <v>13.1221</v>
      </c>
      <c r="G157" s="425">
        <v>12.4849</v>
      </c>
      <c r="H157" s="171"/>
      <c r="I157" s="171"/>
      <c r="J157" s="171"/>
      <c r="K157" s="182">
        <v>8805.05</v>
      </c>
      <c r="L157" s="36"/>
      <c r="M157" s="36"/>
      <c r="N157" s="36"/>
      <c r="O157" s="36"/>
      <c r="P157" s="36"/>
      <c r="Q157" s="36"/>
      <c r="R157" s="36"/>
      <c r="S157" s="36"/>
      <c r="T157" s="36"/>
      <c r="U157" s="36"/>
      <c r="V157" s="36"/>
      <c r="W157" s="36"/>
      <c r="X157" s="36"/>
      <c r="Y157" s="36"/>
      <c r="Z157" s="36"/>
      <c r="AA157" s="36"/>
      <c r="AB157" s="36"/>
      <c r="AC157" s="36"/>
    </row>
    <row r="158" ht="15.75" customHeight="1">
      <c r="A158" s="423">
        <v>42780.0</v>
      </c>
      <c r="B158" s="424">
        <v>11.6522</v>
      </c>
      <c r="C158" s="171"/>
      <c r="D158" s="171"/>
      <c r="E158" s="425">
        <v>12.831</v>
      </c>
      <c r="F158" s="425">
        <v>13.0494</v>
      </c>
      <c r="G158" s="425">
        <v>12.4806</v>
      </c>
      <c r="H158" s="171"/>
      <c r="I158" s="171"/>
      <c r="J158" s="171"/>
      <c r="K158" s="182">
        <v>8792.3</v>
      </c>
      <c r="L158" s="36"/>
      <c r="M158" s="36"/>
      <c r="N158" s="36"/>
      <c r="O158" s="36"/>
      <c r="P158" s="36"/>
      <c r="Q158" s="36"/>
      <c r="R158" s="36"/>
      <c r="S158" s="36"/>
      <c r="T158" s="36"/>
      <c r="U158" s="36"/>
      <c r="V158" s="36"/>
      <c r="W158" s="36"/>
      <c r="X158" s="36"/>
      <c r="Y158" s="36"/>
      <c r="Z158" s="36"/>
      <c r="AA158" s="36"/>
      <c r="AB158" s="36"/>
      <c r="AC158" s="36"/>
    </row>
    <row r="159" ht="15.75" customHeight="1">
      <c r="A159" s="423">
        <v>42781.0</v>
      </c>
      <c r="B159" s="424">
        <v>11.5567</v>
      </c>
      <c r="C159" s="171"/>
      <c r="D159" s="171"/>
      <c r="E159" s="425">
        <v>12.8347</v>
      </c>
      <c r="F159" s="425">
        <v>12.9368</v>
      </c>
      <c r="G159" s="425">
        <v>12.4852</v>
      </c>
      <c r="H159" s="171"/>
      <c r="I159" s="171"/>
      <c r="J159" s="171"/>
      <c r="K159" s="182">
        <v>8724.7</v>
      </c>
      <c r="L159" s="36"/>
      <c r="M159" s="36"/>
      <c r="N159" s="36"/>
      <c r="O159" s="36"/>
      <c r="P159" s="36"/>
      <c r="Q159" s="36"/>
      <c r="R159" s="36"/>
      <c r="S159" s="36"/>
      <c r="T159" s="36"/>
      <c r="U159" s="36"/>
      <c r="V159" s="36"/>
      <c r="W159" s="36"/>
      <c r="X159" s="36"/>
      <c r="Y159" s="36"/>
      <c r="Z159" s="36"/>
      <c r="AA159" s="36"/>
      <c r="AB159" s="36"/>
      <c r="AC159" s="36"/>
    </row>
    <row r="160" ht="15.75" customHeight="1">
      <c r="A160" s="423">
        <v>42782.0</v>
      </c>
      <c r="B160" s="424">
        <v>11.6418</v>
      </c>
      <c r="C160" s="171"/>
      <c r="D160" s="171"/>
      <c r="E160" s="425">
        <v>12.8393</v>
      </c>
      <c r="F160" s="425">
        <v>13.2028</v>
      </c>
      <c r="G160" s="425">
        <v>12.4874</v>
      </c>
      <c r="H160" s="171"/>
      <c r="I160" s="171"/>
      <c r="J160" s="171"/>
      <c r="K160" s="182">
        <v>8778.0</v>
      </c>
      <c r="L160" s="36"/>
      <c r="M160" s="36"/>
      <c r="N160" s="36"/>
      <c r="O160" s="36"/>
      <c r="P160" s="36"/>
      <c r="Q160" s="36"/>
      <c r="R160" s="36"/>
      <c r="S160" s="36"/>
      <c r="T160" s="36"/>
      <c r="U160" s="36"/>
      <c r="V160" s="36"/>
      <c r="W160" s="36"/>
      <c r="X160" s="36"/>
      <c r="Y160" s="36"/>
      <c r="Z160" s="36"/>
      <c r="AA160" s="36"/>
      <c r="AB160" s="36"/>
      <c r="AC160" s="36"/>
    </row>
    <row r="161" ht="15.75" customHeight="1">
      <c r="A161" s="423">
        <v>42783.0</v>
      </c>
      <c r="B161" s="424">
        <v>11.6963</v>
      </c>
      <c r="C161" s="171"/>
      <c r="D161" s="171"/>
      <c r="E161" s="425">
        <v>12.8245</v>
      </c>
      <c r="F161" s="425">
        <v>13.3627</v>
      </c>
      <c r="G161" s="425">
        <v>12.4865</v>
      </c>
      <c r="H161" s="171"/>
      <c r="I161" s="171"/>
      <c r="J161" s="171"/>
      <c r="K161" s="182">
        <v>8821.7</v>
      </c>
      <c r="L161" s="36"/>
      <c r="M161" s="36"/>
      <c r="N161" s="36"/>
      <c r="O161" s="36"/>
      <c r="P161" s="36"/>
      <c r="Q161" s="36"/>
      <c r="R161" s="36"/>
      <c r="S161" s="36"/>
      <c r="T161" s="36"/>
      <c r="U161" s="36"/>
      <c r="V161" s="36"/>
      <c r="W161" s="36"/>
      <c r="X161" s="36"/>
      <c r="Y161" s="36"/>
      <c r="Z161" s="36"/>
      <c r="AA161" s="36"/>
      <c r="AB161" s="36"/>
      <c r="AC161" s="36"/>
    </row>
    <row r="162" ht="15.75" customHeight="1">
      <c r="A162" s="423">
        <v>42786.0</v>
      </c>
      <c r="B162" s="424">
        <v>11.7713</v>
      </c>
      <c r="C162" s="171"/>
      <c r="D162" s="171"/>
      <c r="E162" s="425">
        <v>12.8111</v>
      </c>
      <c r="F162" s="425">
        <v>13.4258</v>
      </c>
      <c r="G162" s="425">
        <v>12.4848</v>
      </c>
      <c r="H162" s="171"/>
      <c r="I162" s="171"/>
      <c r="J162" s="171"/>
      <c r="K162" s="182">
        <v>8879.2</v>
      </c>
      <c r="L162" s="36"/>
      <c r="M162" s="36"/>
      <c r="N162" s="36"/>
      <c r="O162" s="36"/>
      <c r="P162" s="36"/>
      <c r="Q162" s="36"/>
      <c r="R162" s="36"/>
      <c r="S162" s="36"/>
      <c r="T162" s="36"/>
      <c r="U162" s="36"/>
      <c r="V162" s="36"/>
      <c r="W162" s="36"/>
      <c r="X162" s="36"/>
      <c r="Y162" s="36"/>
      <c r="Z162" s="36"/>
      <c r="AA162" s="36"/>
      <c r="AB162" s="36"/>
      <c r="AC162" s="36"/>
    </row>
    <row r="163" ht="15.75" customHeight="1">
      <c r="A163" s="423">
        <v>42787.0</v>
      </c>
      <c r="B163" s="424">
        <v>11.7925</v>
      </c>
      <c r="C163" s="171"/>
      <c r="D163" s="171"/>
      <c r="E163" s="425">
        <v>12.8131</v>
      </c>
      <c r="F163" s="425">
        <v>13.4395</v>
      </c>
      <c r="G163" s="425">
        <v>12.4866</v>
      </c>
      <c r="H163" s="171"/>
      <c r="I163" s="171"/>
      <c r="J163" s="171"/>
      <c r="K163" s="182">
        <v>8907.85</v>
      </c>
      <c r="L163" s="36"/>
      <c r="M163" s="36"/>
      <c r="N163" s="36"/>
      <c r="O163" s="36"/>
      <c r="P163" s="36"/>
      <c r="Q163" s="36"/>
      <c r="R163" s="36"/>
      <c r="S163" s="36"/>
      <c r="T163" s="36"/>
      <c r="U163" s="36"/>
      <c r="V163" s="36"/>
      <c r="W163" s="36"/>
      <c r="X163" s="36"/>
      <c r="Y163" s="36"/>
      <c r="Z163" s="36"/>
      <c r="AA163" s="36"/>
      <c r="AB163" s="36"/>
      <c r="AC163" s="36"/>
    </row>
    <row r="164" ht="15.75" customHeight="1">
      <c r="A164" s="423">
        <v>42788.0</v>
      </c>
      <c r="B164" s="424">
        <v>11.815</v>
      </c>
      <c r="C164" s="171"/>
      <c r="D164" s="171"/>
      <c r="E164" s="425">
        <v>12.7935</v>
      </c>
      <c r="F164" s="425">
        <v>13.4662</v>
      </c>
      <c r="G164" s="425">
        <v>12.4777</v>
      </c>
      <c r="H164" s="171"/>
      <c r="I164" s="171"/>
      <c r="J164" s="171"/>
      <c r="K164" s="182">
        <v>8926.9</v>
      </c>
      <c r="L164" s="36"/>
      <c r="M164" s="36"/>
      <c r="N164" s="36"/>
      <c r="O164" s="36"/>
      <c r="P164" s="36"/>
      <c r="Q164" s="36"/>
      <c r="R164" s="36"/>
      <c r="S164" s="36"/>
      <c r="T164" s="36"/>
      <c r="U164" s="36"/>
      <c r="V164" s="36"/>
      <c r="W164" s="36"/>
      <c r="X164" s="36"/>
      <c r="Y164" s="36"/>
      <c r="Z164" s="36"/>
      <c r="AA164" s="36"/>
      <c r="AB164" s="36"/>
      <c r="AC164" s="36"/>
    </row>
    <row r="165" ht="15.75" customHeight="1">
      <c r="A165" s="423">
        <v>42789.0</v>
      </c>
      <c r="B165" s="424">
        <v>11.8383</v>
      </c>
      <c r="C165" s="171"/>
      <c r="D165" s="171"/>
      <c r="E165" s="425">
        <v>12.7928</v>
      </c>
      <c r="F165" s="425">
        <v>13.492</v>
      </c>
      <c r="G165" s="425">
        <v>12.4828</v>
      </c>
      <c r="H165" s="171"/>
      <c r="I165" s="171"/>
      <c r="J165" s="171"/>
      <c r="K165" s="182">
        <v>8939.5</v>
      </c>
      <c r="L165" s="36"/>
      <c r="M165" s="36"/>
      <c r="N165" s="36"/>
      <c r="O165" s="36"/>
      <c r="P165" s="36"/>
      <c r="Q165" s="36"/>
      <c r="R165" s="36"/>
      <c r="S165" s="36"/>
      <c r="T165" s="36"/>
      <c r="U165" s="36"/>
      <c r="V165" s="36"/>
      <c r="W165" s="36"/>
      <c r="X165" s="36"/>
      <c r="Y165" s="36"/>
      <c r="Z165" s="36"/>
      <c r="AA165" s="36"/>
      <c r="AB165" s="36"/>
      <c r="AC165" s="36"/>
    </row>
    <row r="166" ht="15.75" customHeight="1">
      <c r="A166" s="423">
        <v>42793.0</v>
      </c>
      <c r="B166" s="424">
        <v>11.7891</v>
      </c>
      <c r="C166" s="171"/>
      <c r="D166" s="171"/>
      <c r="E166" s="425">
        <v>12.8146</v>
      </c>
      <c r="F166" s="425">
        <v>13.4266</v>
      </c>
      <c r="G166" s="425">
        <v>12.4932</v>
      </c>
      <c r="H166" s="171"/>
      <c r="I166" s="171"/>
      <c r="J166" s="171"/>
      <c r="K166" s="182">
        <v>8896.7</v>
      </c>
      <c r="L166" s="36"/>
      <c r="M166" s="36"/>
      <c r="N166" s="36"/>
      <c r="O166" s="36"/>
      <c r="P166" s="36"/>
      <c r="Q166" s="36"/>
      <c r="R166" s="36"/>
      <c r="S166" s="36"/>
      <c r="T166" s="36"/>
      <c r="U166" s="36"/>
      <c r="V166" s="36"/>
      <c r="W166" s="36"/>
      <c r="X166" s="36"/>
      <c r="Y166" s="36"/>
      <c r="Z166" s="36"/>
      <c r="AA166" s="36"/>
      <c r="AB166" s="36"/>
      <c r="AC166" s="36"/>
    </row>
    <row r="167" ht="15.75" customHeight="1">
      <c r="A167" s="423">
        <v>42794.0</v>
      </c>
      <c r="B167" s="424">
        <v>11.7678</v>
      </c>
      <c r="C167" s="171"/>
      <c r="D167" s="171"/>
      <c r="E167" s="425">
        <v>12.8187</v>
      </c>
      <c r="F167" s="425">
        <v>13.4051</v>
      </c>
      <c r="G167" s="425">
        <v>12.4948</v>
      </c>
      <c r="H167" s="171"/>
      <c r="I167" s="171"/>
      <c r="J167" s="171"/>
      <c r="K167" s="182">
        <v>8879.6</v>
      </c>
      <c r="L167" s="36"/>
      <c r="M167" s="36"/>
      <c r="N167" s="36"/>
      <c r="O167" s="36"/>
      <c r="P167" s="36"/>
      <c r="Q167" s="36"/>
      <c r="R167" s="36"/>
      <c r="S167" s="36"/>
      <c r="T167" s="36"/>
      <c r="U167" s="36"/>
      <c r="V167" s="36"/>
      <c r="W167" s="36"/>
      <c r="X167" s="36"/>
      <c r="Y167" s="36"/>
      <c r="Z167" s="36"/>
      <c r="AA167" s="36"/>
      <c r="AB167" s="36"/>
      <c r="AC167" s="36"/>
    </row>
    <row r="168" ht="15.75" customHeight="1">
      <c r="A168" s="423">
        <v>42795.0</v>
      </c>
      <c r="B168" s="424">
        <v>11.8317</v>
      </c>
      <c r="C168" s="171"/>
      <c r="D168" s="171"/>
      <c r="E168" s="425">
        <v>12.7825</v>
      </c>
      <c r="F168" s="425">
        <v>13.4862</v>
      </c>
      <c r="G168" s="425">
        <v>12.4894</v>
      </c>
      <c r="H168" s="171"/>
      <c r="I168" s="171"/>
      <c r="J168" s="171"/>
      <c r="K168" s="182">
        <v>8945.8</v>
      </c>
      <c r="L168" s="36"/>
      <c r="M168" s="36"/>
      <c r="N168" s="36"/>
      <c r="O168" s="36"/>
      <c r="P168" s="36"/>
      <c r="Q168" s="36"/>
      <c r="R168" s="36"/>
      <c r="S168" s="36"/>
      <c r="T168" s="36"/>
      <c r="U168" s="36"/>
      <c r="V168" s="36"/>
      <c r="W168" s="36"/>
      <c r="X168" s="36"/>
      <c r="Y168" s="36"/>
      <c r="Z168" s="36"/>
      <c r="AA168" s="36"/>
      <c r="AB168" s="36"/>
      <c r="AC168" s="36"/>
    </row>
    <row r="169" ht="15.75" customHeight="1">
      <c r="A169" s="423">
        <v>42796.0</v>
      </c>
      <c r="B169" s="424">
        <v>11.7776</v>
      </c>
      <c r="C169" s="171"/>
      <c r="D169" s="171"/>
      <c r="E169" s="425">
        <v>12.781</v>
      </c>
      <c r="F169" s="425">
        <v>13.4056</v>
      </c>
      <c r="G169" s="425">
        <v>12.4921</v>
      </c>
      <c r="H169" s="171"/>
      <c r="I169" s="171"/>
      <c r="J169" s="171"/>
      <c r="K169" s="182">
        <v>8899.75</v>
      </c>
      <c r="L169" s="36"/>
      <c r="M169" s="36"/>
      <c r="N169" s="36"/>
      <c r="O169" s="36"/>
      <c r="P169" s="36"/>
      <c r="Q169" s="36"/>
      <c r="R169" s="36"/>
      <c r="S169" s="36"/>
      <c r="T169" s="36"/>
      <c r="U169" s="36"/>
      <c r="V169" s="36"/>
      <c r="W169" s="36"/>
      <c r="X169" s="36"/>
      <c r="Y169" s="36"/>
      <c r="Z169" s="36"/>
      <c r="AA169" s="36"/>
      <c r="AB169" s="36"/>
      <c r="AC169" s="36"/>
    </row>
    <row r="170" ht="15.75" customHeight="1">
      <c r="A170" s="423">
        <v>42797.0</v>
      </c>
      <c r="B170" s="424">
        <v>11.7854</v>
      </c>
      <c r="C170" s="171"/>
      <c r="D170" s="171"/>
      <c r="E170" s="425">
        <v>12.7956</v>
      </c>
      <c r="F170" s="425">
        <v>13.4269</v>
      </c>
      <c r="G170" s="425">
        <v>12.4966</v>
      </c>
      <c r="H170" s="171"/>
      <c r="I170" s="171"/>
      <c r="J170" s="171"/>
      <c r="K170" s="182">
        <v>8897.55</v>
      </c>
      <c r="L170" s="36"/>
      <c r="M170" s="36"/>
      <c r="N170" s="36"/>
      <c r="O170" s="36"/>
      <c r="P170" s="36"/>
      <c r="Q170" s="36"/>
      <c r="R170" s="36"/>
      <c r="S170" s="36"/>
      <c r="T170" s="36"/>
      <c r="U170" s="36"/>
      <c r="V170" s="36"/>
      <c r="W170" s="36"/>
      <c r="X170" s="36"/>
      <c r="Y170" s="36"/>
      <c r="Z170" s="36"/>
      <c r="AA170" s="36"/>
      <c r="AB170" s="36"/>
      <c r="AC170" s="36"/>
    </row>
    <row r="171" ht="15.75" customHeight="1">
      <c r="A171" s="423">
        <v>42800.0</v>
      </c>
      <c r="B171" s="424">
        <v>11.875</v>
      </c>
      <c r="C171" s="171"/>
      <c r="D171" s="171"/>
      <c r="E171" s="425">
        <v>12.7779</v>
      </c>
      <c r="F171" s="425">
        <v>13.5027</v>
      </c>
      <c r="G171" s="425">
        <v>12.4854</v>
      </c>
      <c r="H171" s="171"/>
      <c r="I171" s="171"/>
      <c r="J171" s="171"/>
      <c r="K171" s="182">
        <v>8963.45</v>
      </c>
      <c r="L171" s="36"/>
      <c r="M171" s="36"/>
      <c r="N171" s="36"/>
      <c r="O171" s="36"/>
      <c r="P171" s="36"/>
      <c r="Q171" s="36"/>
      <c r="R171" s="36"/>
      <c r="S171" s="36"/>
      <c r="T171" s="36"/>
      <c r="U171" s="36"/>
      <c r="V171" s="36"/>
      <c r="W171" s="36"/>
      <c r="X171" s="36"/>
      <c r="Y171" s="36"/>
      <c r="Z171" s="36"/>
      <c r="AA171" s="36"/>
      <c r="AB171" s="36"/>
      <c r="AC171" s="36"/>
    </row>
    <row r="172" ht="15.75" customHeight="1">
      <c r="A172" s="423">
        <v>42801.0</v>
      </c>
      <c r="B172" s="424">
        <v>11.8536</v>
      </c>
      <c r="C172" s="171"/>
      <c r="D172" s="171"/>
      <c r="E172" s="425">
        <v>12.7614</v>
      </c>
      <c r="F172" s="425">
        <v>13.4472</v>
      </c>
      <c r="G172" s="425">
        <v>12.4876</v>
      </c>
      <c r="H172" s="171"/>
      <c r="I172" s="171"/>
      <c r="J172" s="171"/>
      <c r="K172" s="182">
        <v>8946.9</v>
      </c>
      <c r="L172" s="36"/>
      <c r="M172" s="36"/>
      <c r="N172" s="36"/>
      <c r="O172" s="36"/>
      <c r="P172" s="36"/>
      <c r="Q172" s="36"/>
      <c r="R172" s="36"/>
      <c r="S172" s="36"/>
      <c r="T172" s="36"/>
      <c r="U172" s="36"/>
      <c r="V172" s="36"/>
      <c r="W172" s="36"/>
      <c r="X172" s="36"/>
      <c r="Y172" s="36"/>
      <c r="Z172" s="36"/>
      <c r="AA172" s="36"/>
      <c r="AB172" s="36"/>
      <c r="AC172" s="36"/>
    </row>
    <row r="173" ht="15.75" customHeight="1">
      <c r="A173" s="423">
        <v>42802.0</v>
      </c>
      <c r="B173" s="424">
        <v>11.813</v>
      </c>
      <c r="C173" s="171"/>
      <c r="D173" s="171"/>
      <c r="E173" s="425">
        <v>12.7546</v>
      </c>
      <c r="F173" s="425">
        <v>13.4161</v>
      </c>
      <c r="G173" s="425">
        <v>12.4861</v>
      </c>
      <c r="H173" s="171"/>
      <c r="I173" s="171"/>
      <c r="J173" s="171"/>
      <c r="K173" s="182">
        <v>8924.3</v>
      </c>
      <c r="L173" s="36"/>
      <c r="M173" s="36"/>
      <c r="N173" s="36"/>
      <c r="O173" s="36"/>
      <c r="P173" s="36"/>
      <c r="Q173" s="36"/>
      <c r="R173" s="36"/>
      <c r="S173" s="36"/>
      <c r="T173" s="36"/>
      <c r="U173" s="36"/>
      <c r="V173" s="36"/>
      <c r="W173" s="36"/>
      <c r="X173" s="36"/>
      <c r="Y173" s="36"/>
      <c r="Z173" s="36"/>
      <c r="AA173" s="36"/>
      <c r="AB173" s="36"/>
      <c r="AC173" s="36"/>
    </row>
    <row r="174" ht="15.75" customHeight="1">
      <c r="A174" s="423">
        <v>42803.0</v>
      </c>
      <c r="B174" s="424">
        <v>11.8192</v>
      </c>
      <c r="C174" s="171"/>
      <c r="D174" s="171"/>
      <c r="E174" s="425">
        <v>12.747</v>
      </c>
      <c r="F174" s="425">
        <v>13.4156</v>
      </c>
      <c r="G174" s="425">
        <v>12.4856</v>
      </c>
      <c r="H174" s="171"/>
      <c r="I174" s="171"/>
      <c r="J174" s="171"/>
      <c r="K174" s="182">
        <v>8927.0</v>
      </c>
      <c r="L174" s="36"/>
      <c r="M174" s="36"/>
      <c r="N174" s="36"/>
      <c r="O174" s="36"/>
      <c r="P174" s="36"/>
      <c r="Q174" s="36"/>
      <c r="R174" s="36"/>
      <c r="S174" s="36"/>
      <c r="T174" s="36"/>
      <c r="U174" s="36"/>
      <c r="V174" s="36"/>
      <c r="W174" s="36"/>
      <c r="X174" s="36"/>
      <c r="Y174" s="36"/>
      <c r="Z174" s="36"/>
      <c r="AA174" s="36"/>
      <c r="AB174" s="36"/>
      <c r="AC174" s="36"/>
    </row>
    <row r="175" ht="15.75" customHeight="1">
      <c r="A175" s="423">
        <v>42804.0</v>
      </c>
      <c r="B175" s="424">
        <v>11.8182</v>
      </c>
      <c r="C175" s="171"/>
      <c r="D175" s="171"/>
      <c r="E175" s="425">
        <v>12.7166</v>
      </c>
      <c r="F175" s="425">
        <v>13.3887</v>
      </c>
      <c r="G175" s="425">
        <v>12.4815</v>
      </c>
      <c r="H175" s="171"/>
      <c r="I175" s="171"/>
      <c r="J175" s="171"/>
      <c r="K175" s="182">
        <v>8934.55</v>
      </c>
      <c r="L175" s="36"/>
      <c r="M175" s="36"/>
      <c r="N175" s="36"/>
      <c r="O175" s="36"/>
      <c r="P175" s="36"/>
      <c r="Q175" s="36"/>
      <c r="R175" s="36"/>
      <c r="S175" s="36"/>
      <c r="T175" s="36"/>
      <c r="U175" s="36"/>
      <c r="V175" s="36"/>
      <c r="W175" s="36"/>
      <c r="X175" s="36"/>
      <c r="Y175" s="36"/>
      <c r="Z175" s="36"/>
      <c r="AA175" s="36"/>
      <c r="AB175" s="36"/>
      <c r="AC175" s="36"/>
    </row>
    <row r="176" ht="15.75" customHeight="1">
      <c r="A176" s="423">
        <v>42808.0</v>
      </c>
      <c r="B176" s="424">
        <v>12.0055</v>
      </c>
      <c r="C176" s="171"/>
      <c r="D176" s="171"/>
      <c r="E176" s="425">
        <v>12.7327</v>
      </c>
      <c r="F176" s="425">
        <v>13.6214</v>
      </c>
      <c r="G176" s="425">
        <v>12.4882</v>
      </c>
      <c r="H176" s="171"/>
      <c r="I176" s="171"/>
      <c r="J176" s="171"/>
      <c r="K176" s="182">
        <v>9087.0</v>
      </c>
      <c r="L176" s="36"/>
      <c r="M176" s="36"/>
      <c r="N176" s="36"/>
      <c r="O176" s="36"/>
      <c r="P176" s="36"/>
      <c r="Q176" s="36"/>
      <c r="R176" s="36"/>
      <c r="S176" s="36"/>
      <c r="T176" s="36"/>
      <c r="U176" s="36"/>
      <c r="V176" s="36"/>
      <c r="W176" s="36"/>
      <c r="X176" s="36"/>
      <c r="Y176" s="36"/>
      <c r="Z176" s="36"/>
      <c r="AA176" s="36"/>
      <c r="AB176" s="36"/>
      <c r="AC176" s="36"/>
    </row>
    <row r="177" ht="15.75" customHeight="1">
      <c r="A177" s="423">
        <v>42809.0</v>
      </c>
      <c r="B177" s="424">
        <v>12.002</v>
      </c>
      <c r="C177" s="171"/>
      <c r="D177" s="171"/>
      <c r="E177" s="425">
        <v>12.7715</v>
      </c>
      <c r="F177" s="425">
        <v>13.6782</v>
      </c>
      <c r="G177" s="425">
        <v>12.5081</v>
      </c>
      <c r="H177" s="171"/>
      <c r="I177" s="171"/>
      <c r="J177" s="171"/>
      <c r="K177" s="182">
        <v>9084.8</v>
      </c>
      <c r="L177" s="36"/>
      <c r="M177" s="36"/>
      <c r="N177" s="36"/>
      <c r="O177" s="36"/>
      <c r="P177" s="36"/>
      <c r="Q177" s="36"/>
      <c r="R177" s="36"/>
      <c r="S177" s="36"/>
      <c r="T177" s="36"/>
      <c r="U177" s="36"/>
      <c r="V177" s="36"/>
      <c r="W177" s="36"/>
      <c r="X177" s="36"/>
      <c r="Y177" s="36"/>
      <c r="Z177" s="36"/>
      <c r="AA177" s="36"/>
      <c r="AB177" s="36"/>
      <c r="AC177" s="36"/>
    </row>
    <row r="178" ht="15.75" customHeight="1">
      <c r="A178" s="423">
        <v>42810.0</v>
      </c>
      <c r="B178" s="424">
        <v>12.0975</v>
      </c>
      <c r="C178" s="171"/>
      <c r="D178" s="171"/>
      <c r="E178" s="425">
        <v>12.8011</v>
      </c>
      <c r="F178" s="425">
        <v>13.7638</v>
      </c>
      <c r="G178" s="425">
        <v>12.5096</v>
      </c>
      <c r="H178" s="171"/>
      <c r="I178" s="171"/>
      <c r="J178" s="171"/>
      <c r="K178" s="182">
        <v>9153.7</v>
      </c>
      <c r="L178" s="36"/>
      <c r="M178" s="36"/>
      <c r="N178" s="36"/>
      <c r="O178" s="36"/>
      <c r="P178" s="36"/>
      <c r="Q178" s="36"/>
      <c r="R178" s="36"/>
      <c r="S178" s="36"/>
      <c r="T178" s="36"/>
      <c r="U178" s="36"/>
      <c r="V178" s="36"/>
      <c r="W178" s="36"/>
      <c r="X178" s="36"/>
      <c r="Y178" s="36"/>
      <c r="Z178" s="36"/>
      <c r="AA178" s="36"/>
      <c r="AB178" s="36"/>
      <c r="AC178" s="36"/>
    </row>
    <row r="179" ht="15.75" customHeight="1">
      <c r="A179" s="423">
        <v>42811.0</v>
      </c>
      <c r="B179" s="424">
        <v>12.1364</v>
      </c>
      <c r="C179" s="171"/>
      <c r="D179" s="171"/>
      <c r="E179" s="425">
        <v>12.7946</v>
      </c>
      <c r="F179" s="425">
        <v>13.8206</v>
      </c>
      <c r="G179" s="425">
        <v>12.5093</v>
      </c>
      <c r="H179" s="171"/>
      <c r="I179" s="171"/>
      <c r="J179" s="171"/>
      <c r="K179" s="182">
        <v>9160.05</v>
      </c>
      <c r="L179" s="36"/>
      <c r="M179" s="36"/>
      <c r="N179" s="36"/>
      <c r="O179" s="36"/>
      <c r="P179" s="36"/>
      <c r="Q179" s="36"/>
      <c r="R179" s="36"/>
      <c r="S179" s="36"/>
      <c r="T179" s="36"/>
      <c r="U179" s="36"/>
      <c r="V179" s="36"/>
      <c r="W179" s="36"/>
      <c r="X179" s="36"/>
      <c r="Y179" s="36"/>
      <c r="Z179" s="36"/>
      <c r="AA179" s="36"/>
      <c r="AB179" s="36"/>
      <c r="AC179" s="36"/>
    </row>
    <row r="180" ht="15.75" customHeight="1">
      <c r="A180" s="423">
        <v>42814.0</v>
      </c>
      <c r="B180" s="424">
        <v>12.0884</v>
      </c>
      <c r="C180" s="171"/>
      <c r="D180" s="171"/>
      <c r="E180" s="425">
        <v>12.7964</v>
      </c>
      <c r="F180" s="425">
        <v>13.7831</v>
      </c>
      <c r="G180" s="425">
        <v>12.5113</v>
      </c>
      <c r="H180" s="171"/>
      <c r="I180" s="171"/>
      <c r="J180" s="171"/>
      <c r="K180" s="182">
        <v>9126.85</v>
      </c>
      <c r="L180" s="36"/>
      <c r="M180" s="36"/>
      <c r="N180" s="36"/>
      <c r="O180" s="36"/>
      <c r="P180" s="36"/>
      <c r="Q180" s="36"/>
      <c r="R180" s="36"/>
      <c r="S180" s="36"/>
      <c r="T180" s="36"/>
      <c r="U180" s="36"/>
      <c r="V180" s="36"/>
      <c r="W180" s="36"/>
      <c r="X180" s="36"/>
      <c r="Y180" s="36"/>
      <c r="Z180" s="36"/>
      <c r="AA180" s="36"/>
      <c r="AB180" s="36"/>
      <c r="AC180" s="36"/>
    </row>
    <row r="181" ht="15.75" customHeight="1">
      <c r="A181" s="423">
        <v>42815.0</v>
      </c>
      <c r="B181" s="424">
        <v>12.0685</v>
      </c>
      <c r="C181" s="171"/>
      <c r="D181" s="171"/>
      <c r="E181" s="425">
        <v>12.8068</v>
      </c>
      <c r="F181" s="425">
        <v>13.7458</v>
      </c>
      <c r="G181" s="425">
        <v>12.5163</v>
      </c>
      <c r="H181" s="171"/>
      <c r="I181" s="171"/>
      <c r="J181" s="171"/>
      <c r="K181" s="182">
        <v>9121.5</v>
      </c>
      <c r="L181" s="36"/>
      <c r="M181" s="36"/>
      <c r="N181" s="36"/>
      <c r="O181" s="36"/>
      <c r="P181" s="36"/>
      <c r="Q181" s="36"/>
      <c r="R181" s="36"/>
      <c r="S181" s="36"/>
      <c r="T181" s="36"/>
      <c r="U181" s="36"/>
      <c r="V181" s="36"/>
      <c r="W181" s="36"/>
      <c r="X181" s="36"/>
      <c r="Y181" s="36"/>
      <c r="Z181" s="36"/>
      <c r="AA181" s="36"/>
      <c r="AB181" s="36"/>
      <c r="AC181" s="36"/>
    </row>
    <row r="182" ht="15.75" customHeight="1">
      <c r="A182" s="423">
        <v>42816.0</v>
      </c>
      <c r="B182" s="424">
        <v>11.9727</v>
      </c>
      <c r="C182" s="171"/>
      <c r="D182" s="171"/>
      <c r="E182" s="425">
        <v>12.8619</v>
      </c>
      <c r="F182" s="425">
        <v>13.6456</v>
      </c>
      <c r="G182" s="425">
        <v>12.5328</v>
      </c>
      <c r="H182" s="171"/>
      <c r="I182" s="171"/>
      <c r="J182" s="171"/>
      <c r="K182" s="182">
        <v>9030.45</v>
      </c>
      <c r="L182" s="36"/>
      <c r="M182" s="36"/>
      <c r="N182" s="36"/>
      <c r="O182" s="36"/>
      <c r="P182" s="36"/>
      <c r="Q182" s="36"/>
      <c r="R182" s="36"/>
      <c r="S182" s="36"/>
      <c r="T182" s="36"/>
      <c r="U182" s="36"/>
      <c r="V182" s="36"/>
      <c r="W182" s="36"/>
      <c r="X182" s="36"/>
      <c r="Y182" s="36"/>
      <c r="Z182" s="36"/>
      <c r="AA182" s="36"/>
      <c r="AB182" s="36"/>
      <c r="AC182" s="36"/>
    </row>
    <row r="183" ht="15.75" customHeight="1">
      <c r="A183" s="423">
        <v>42817.0</v>
      </c>
      <c r="B183" s="424">
        <v>12.0446</v>
      </c>
      <c r="C183" s="171"/>
      <c r="D183" s="171"/>
      <c r="E183" s="425">
        <v>12.8798</v>
      </c>
      <c r="F183" s="425">
        <v>13.7177</v>
      </c>
      <c r="G183" s="425">
        <v>12.5374</v>
      </c>
      <c r="H183" s="171"/>
      <c r="I183" s="171"/>
      <c r="J183" s="171"/>
      <c r="K183" s="182">
        <v>9086.3</v>
      </c>
      <c r="L183" s="36"/>
      <c r="M183" s="36"/>
      <c r="N183" s="36"/>
      <c r="O183" s="36"/>
      <c r="P183" s="36"/>
      <c r="Q183" s="36"/>
      <c r="R183" s="36"/>
      <c r="S183" s="36"/>
      <c r="T183" s="36"/>
      <c r="U183" s="36"/>
      <c r="V183" s="36"/>
      <c r="W183" s="36"/>
      <c r="X183" s="36"/>
      <c r="Y183" s="36"/>
      <c r="Z183" s="36"/>
      <c r="AA183" s="36"/>
      <c r="AB183" s="36"/>
      <c r="AC183" s="36"/>
    </row>
    <row r="184" ht="15.75" customHeight="1">
      <c r="A184" s="423">
        <v>42818.0</v>
      </c>
      <c r="B184" s="424">
        <v>12.0765</v>
      </c>
      <c r="C184" s="171"/>
      <c r="D184" s="171"/>
      <c r="E184" s="425">
        <v>12.8858</v>
      </c>
      <c r="F184" s="425">
        <v>13.7616</v>
      </c>
      <c r="G184" s="425">
        <v>12.5372</v>
      </c>
      <c r="H184" s="171"/>
      <c r="I184" s="171"/>
      <c r="J184" s="171"/>
      <c r="K184" s="182">
        <v>9108.0</v>
      </c>
      <c r="L184" s="36"/>
      <c r="M184" s="36"/>
      <c r="N184" s="36"/>
      <c r="O184" s="36"/>
      <c r="P184" s="36"/>
      <c r="Q184" s="36"/>
      <c r="R184" s="36"/>
      <c r="S184" s="36"/>
      <c r="T184" s="36"/>
      <c r="U184" s="36"/>
      <c r="V184" s="36"/>
      <c r="W184" s="36"/>
      <c r="X184" s="36"/>
      <c r="Y184" s="36"/>
      <c r="Z184" s="36"/>
      <c r="AA184" s="36"/>
      <c r="AB184" s="36"/>
      <c r="AC184" s="36"/>
    </row>
    <row r="185" ht="15.75" customHeight="1">
      <c r="A185" s="423">
        <v>42821.0</v>
      </c>
      <c r="B185" s="424">
        <v>11.9934</v>
      </c>
      <c r="C185" s="171"/>
      <c r="D185" s="171"/>
      <c r="E185" s="425">
        <v>12.9356</v>
      </c>
      <c r="F185" s="425">
        <v>13.7232</v>
      </c>
      <c r="G185" s="425">
        <v>12.5605</v>
      </c>
      <c r="H185" s="171"/>
      <c r="I185" s="171"/>
      <c r="J185" s="171"/>
      <c r="K185" s="182">
        <v>9045.2</v>
      </c>
      <c r="L185" s="36"/>
      <c r="M185" s="36"/>
      <c r="N185" s="36"/>
      <c r="O185" s="36"/>
      <c r="P185" s="36"/>
      <c r="Q185" s="36"/>
      <c r="R185" s="36"/>
      <c r="S185" s="36"/>
      <c r="T185" s="36"/>
      <c r="U185" s="36"/>
      <c r="V185" s="36"/>
      <c r="W185" s="36"/>
      <c r="X185" s="36"/>
      <c r="Y185" s="36"/>
      <c r="Z185" s="36"/>
      <c r="AA185" s="36"/>
      <c r="AB185" s="36"/>
      <c r="AC185" s="36"/>
    </row>
    <row r="186" ht="15.75" customHeight="1">
      <c r="A186" s="423">
        <v>42822.0</v>
      </c>
      <c r="B186" s="424">
        <v>12.0409</v>
      </c>
      <c r="C186" s="171"/>
      <c r="D186" s="171"/>
      <c r="E186" s="425">
        <v>12.9375</v>
      </c>
      <c r="F186" s="425">
        <v>13.764</v>
      </c>
      <c r="G186" s="425">
        <v>12.5622</v>
      </c>
      <c r="H186" s="171"/>
      <c r="I186" s="171"/>
      <c r="J186" s="171"/>
      <c r="K186" s="182">
        <v>9100.8</v>
      </c>
      <c r="L186" s="36"/>
      <c r="M186" s="36"/>
      <c r="N186" s="36"/>
      <c r="O186" s="36"/>
      <c r="P186" s="36"/>
      <c r="Q186" s="36"/>
      <c r="R186" s="36"/>
      <c r="S186" s="36"/>
      <c r="T186" s="36"/>
      <c r="U186" s="36"/>
      <c r="V186" s="36"/>
      <c r="W186" s="36"/>
      <c r="X186" s="36"/>
      <c r="Y186" s="36"/>
      <c r="Z186" s="36"/>
      <c r="AA186" s="36"/>
      <c r="AB186" s="36"/>
      <c r="AC186" s="36"/>
    </row>
    <row r="187" ht="15.75" customHeight="1">
      <c r="A187" s="423">
        <v>42823.0</v>
      </c>
      <c r="B187" s="424">
        <v>12.0877</v>
      </c>
      <c r="C187" s="171"/>
      <c r="D187" s="171"/>
      <c r="E187" s="425">
        <v>12.9295</v>
      </c>
      <c r="F187" s="425">
        <v>13.8079</v>
      </c>
      <c r="G187" s="425">
        <v>12.5585</v>
      </c>
      <c r="H187" s="171"/>
      <c r="I187" s="171"/>
      <c r="J187" s="171"/>
      <c r="K187" s="182">
        <v>9143.8</v>
      </c>
      <c r="L187" s="36"/>
      <c r="M187" s="36"/>
      <c r="N187" s="36"/>
      <c r="O187" s="36"/>
      <c r="P187" s="36"/>
      <c r="Q187" s="36"/>
      <c r="R187" s="36"/>
      <c r="S187" s="36"/>
      <c r="T187" s="36"/>
      <c r="U187" s="36"/>
      <c r="V187" s="36"/>
      <c r="W187" s="36"/>
      <c r="X187" s="36"/>
      <c r="Y187" s="36"/>
      <c r="Z187" s="36"/>
      <c r="AA187" s="36"/>
      <c r="AB187" s="36"/>
      <c r="AC187" s="36"/>
    </row>
    <row r="188" ht="15.75" customHeight="1">
      <c r="A188" s="423">
        <v>42824.0</v>
      </c>
      <c r="B188" s="424">
        <v>12.1372</v>
      </c>
      <c r="C188" s="171"/>
      <c r="D188" s="171"/>
      <c r="E188" s="425">
        <v>12.9381</v>
      </c>
      <c r="F188" s="425">
        <v>13.867</v>
      </c>
      <c r="G188" s="425">
        <v>12.5624</v>
      </c>
      <c r="H188" s="171"/>
      <c r="I188" s="171"/>
      <c r="J188" s="171"/>
      <c r="K188" s="182">
        <v>9173.75</v>
      </c>
      <c r="L188" s="36"/>
      <c r="M188" s="36"/>
      <c r="N188" s="36"/>
      <c r="O188" s="36"/>
      <c r="P188" s="36"/>
      <c r="Q188" s="36"/>
      <c r="R188" s="36"/>
      <c r="S188" s="36"/>
      <c r="T188" s="36"/>
      <c r="U188" s="36"/>
      <c r="V188" s="36"/>
      <c r="W188" s="36"/>
      <c r="X188" s="36"/>
      <c r="Y188" s="36"/>
      <c r="Z188" s="36"/>
      <c r="AA188" s="36"/>
      <c r="AB188" s="36"/>
      <c r="AC188" s="36"/>
    </row>
    <row r="189" ht="15.75" customHeight="1">
      <c r="A189" s="423">
        <v>42825.0</v>
      </c>
      <c r="B189" s="424">
        <v>12.1812</v>
      </c>
      <c r="C189" s="171"/>
      <c r="D189" s="171"/>
      <c r="E189" s="425">
        <v>12.942</v>
      </c>
      <c r="F189" s="425">
        <v>13.9313</v>
      </c>
      <c r="G189" s="425">
        <v>12.5621</v>
      </c>
      <c r="H189" s="171"/>
      <c r="I189" s="171"/>
      <c r="J189" s="171"/>
      <c r="K189" s="182">
        <v>9173.75</v>
      </c>
      <c r="L189" s="36"/>
      <c r="M189" s="36"/>
      <c r="N189" s="36"/>
      <c r="O189" s="36"/>
      <c r="P189" s="36"/>
      <c r="Q189" s="36"/>
      <c r="R189" s="36"/>
      <c r="S189" s="36"/>
      <c r="T189" s="36"/>
      <c r="U189" s="36"/>
      <c r="V189" s="36"/>
      <c r="W189" s="36"/>
      <c r="X189" s="36"/>
      <c r="Y189" s="36"/>
      <c r="Z189" s="36"/>
      <c r="AA189" s="36"/>
      <c r="AB189" s="36"/>
      <c r="AC189" s="36"/>
    </row>
    <row r="190" ht="15.75" customHeight="1">
      <c r="A190" s="423">
        <v>42828.0</v>
      </c>
      <c r="B190" s="424">
        <v>12.2455</v>
      </c>
      <c r="C190" s="171"/>
      <c r="D190" s="171"/>
      <c r="E190" s="425">
        <v>12.947</v>
      </c>
      <c r="F190" s="425">
        <v>13.9893</v>
      </c>
      <c r="G190" s="425">
        <v>12.5677</v>
      </c>
      <c r="H190" s="171"/>
      <c r="I190" s="171"/>
      <c r="J190" s="171"/>
      <c r="K190" s="182">
        <v>9237.85</v>
      </c>
      <c r="L190" s="36"/>
      <c r="M190" s="36"/>
      <c r="N190" s="36"/>
      <c r="O190" s="36"/>
      <c r="P190" s="36"/>
      <c r="Q190" s="36"/>
      <c r="R190" s="36"/>
      <c r="S190" s="36"/>
      <c r="T190" s="36"/>
      <c r="U190" s="36"/>
      <c r="V190" s="36"/>
      <c r="W190" s="36"/>
      <c r="X190" s="36"/>
      <c r="Y190" s="36"/>
      <c r="Z190" s="36"/>
      <c r="AA190" s="36"/>
      <c r="AB190" s="36"/>
      <c r="AC190" s="36"/>
    </row>
    <row r="191" ht="15.75" customHeight="1">
      <c r="A191" s="423">
        <v>42830.0</v>
      </c>
      <c r="B191" s="424">
        <v>12.309</v>
      </c>
      <c r="C191" s="171"/>
      <c r="D191" s="171"/>
      <c r="E191" s="425">
        <v>12.9446</v>
      </c>
      <c r="F191" s="425">
        <v>14.034</v>
      </c>
      <c r="G191" s="425">
        <v>12.5636</v>
      </c>
      <c r="H191" s="171"/>
      <c r="I191" s="171"/>
      <c r="J191" s="171"/>
      <c r="K191" s="182">
        <v>9265.15</v>
      </c>
      <c r="L191" s="36"/>
      <c r="M191" s="36"/>
      <c r="N191" s="36"/>
      <c r="O191" s="36"/>
      <c r="P191" s="36"/>
      <c r="Q191" s="36"/>
      <c r="R191" s="36"/>
      <c r="S191" s="36"/>
      <c r="T191" s="36"/>
      <c r="U191" s="36"/>
      <c r="V191" s="36"/>
      <c r="W191" s="36"/>
      <c r="X191" s="36"/>
      <c r="Y191" s="36"/>
      <c r="Z191" s="36"/>
      <c r="AA191" s="36"/>
      <c r="AB191" s="36"/>
      <c r="AC191" s="36"/>
    </row>
    <row r="192" ht="15.75" customHeight="1">
      <c r="A192" s="423">
        <v>42831.0</v>
      </c>
      <c r="B192" s="424">
        <v>12.3032</v>
      </c>
      <c r="C192" s="171"/>
      <c r="D192" s="171"/>
      <c r="E192" s="425">
        <v>12.902</v>
      </c>
      <c r="F192" s="425">
        <v>14.0094</v>
      </c>
      <c r="G192" s="425">
        <v>12.5426</v>
      </c>
      <c r="H192" s="171"/>
      <c r="I192" s="171"/>
      <c r="J192" s="171"/>
      <c r="K192" s="182">
        <v>9261.95</v>
      </c>
      <c r="L192" s="36"/>
      <c r="M192" s="36"/>
      <c r="N192" s="36"/>
      <c r="O192" s="36"/>
      <c r="P192" s="36"/>
      <c r="Q192" s="36"/>
      <c r="R192" s="36"/>
      <c r="S192" s="36"/>
      <c r="T192" s="36"/>
      <c r="U192" s="36"/>
      <c r="V192" s="36"/>
      <c r="W192" s="36"/>
      <c r="X192" s="36"/>
      <c r="Y192" s="36"/>
      <c r="Z192" s="36"/>
      <c r="AA192" s="36"/>
      <c r="AB192" s="36"/>
      <c r="AC192" s="36"/>
    </row>
    <row r="193" ht="15.75" customHeight="1">
      <c r="A193" s="423">
        <v>42832.0</v>
      </c>
      <c r="B193" s="424">
        <v>12.2251</v>
      </c>
      <c r="C193" s="171"/>
      <c r="D193" s="171"/>
      <c r="E193" s="425">
        <v>12.8891</v>
      </c>
      <c r="F193" s="425">
        <v>13.9386</v>
      </c>
      <c r="G193" s="425">
        <v>12.5376</v>
      </c>
      <c r="H193" s="171"/>
      <c r="I193" s="171"/>
      <c r="J193" s="171"/>
      <c r="K193" s="182">
        <v>9198.3</v>
      </c>
      <c r="L193" s="36"/>
      <c r="M193" s="36"/>
      <c r="N193" s="36"/>
      <c r="O193" s="36"/>
      <c r="P193" s="36"/>
      <c r="Q193" s="36"/>
      <c r="R193" s="36"/>
      <c r="S193" s="36"/>
      <c r="T193" s="36"/>
      <c r="U193" s="36"/>
      <c r="V193" s="36"/>
      <c r="W193" s="36"/>
      <c r="X193" s="36"/>
      <c r="Y193" s="36"/>
      <c r="Z193" s="36"/>
      <c r="AA193" s="36"/>
      <c r="AB193" s="36"/>
      <c r="AC193" s="36"/>
    </row>
    <row r="194" ht="15.75" customHeight="1">
      <c r="A194" s="423">
        <v>42835.0</v>
      </c>
      <c r="B194" s="424">
        <v>12.2053</v>
      </c>
      <c r="C194" s="171"/>
      <c r="D194" s="171"/>
      <c r="E194" s="425">
        <v>12.8976</v>
      </c>
      <c r="F194" s="425">
        <v>13.9659</v>
      </c>
      <c r="G194" s="425">
        <v>12.5451</v>
      </c>
      <c r="H194" s="171"/>
      <c r="I194" s="171"/>
      <c r="J194" s="171"/>
      <c r="K194" s="182">
        <v>9181.45</v>
      </c>
      <c r="L194" s="36"/>
      <c r="M194" s="36"/>
      <c r="N194" s="36"/>
      <c r="O194" s="36"/>
      <c r="P194" s="36"/>
      <c r="Q194" s="36"/>
      <c r="R194" s="36"/>
      <c r="S194" s="36"/>
      <c r="T194" s="36"/>
      <c r="U194" s="36"/>
      <c r="V194" s="36"/>
      <c r="W194" s="36"/>
      <c r="X194" s="36"/>
      <c r="Y194" s="36"/>
      <c r="Z194" s="36"/>
      <c r="AA194" s="36"/>
      <c r="AB194" s="36"/>
      <c r="AC194" s="36"/>
    </row>
    <row r="195" ht="15.75" customHeight="1">
      <c r="A195" s="423">
        <v>42836.0</v>
      </c>
      <c r="B195" s="424">
        <v>12.262</v>
      </c>
      <c r="C195" s="171"/>
      <c r="D195" s="171"/>
      <c r="E195" s="425">
        <v>12.919</v>
      </c>
      <c r="F195" s="425">
        <v>14.0399</v>
      </c>
      <c r="G195" s="425">
        <v>12.5527</v>
      </c>
      <c r="H195" s="171"/>
      <c r="I195" s="171"/>
      <c r="J195" s="171"/>
      <c r="K195" s="182">
        <v>9237.0</v>
      </c>
      <c r="L195" s="36"/>
      <c r="M195" s="36"/>
      <c r="N195" s="36"/>
      <c r="O195" s="36"/>
      <c r="P195" s="36"/>
      <c r="Q195" s="36"/>
      <c r="R195" s="36"/>
      <c r="S195" s="36"/>
      <c r="T195" s="36"/>
      <c r="U195" s="36"/>
      <c r="V195" s="36"/>
      <c r="W195" s="36"/>
      <c r="X195" s="36"/>
      <c r="Y195" s="36"/>
      <c r="Z195" s="36"/>
      <c r="AA195" s="36"/>
      <c r="AB195" s="36"/>
      <c r="AC195" s="36"/>
    </row>
    <row r="196" ht="15.75" customHeight="1">
      <c r="A196" s="423">
        <v>42837.0</v>
      </c>
      <c r="B196" s="424">
        <v>12.2322</v>
      </c>
      <c r="C196" s="171"/>
      <c r="D196" s="171"/>
      <c r="E196" s="425">
        <v>12.9341</v>
      </c>
      <c r="F196" s="425">
        <v>14.0076</v>
      </c>
      <c r="G196" s="425">
        <v>12.5562</v>
      </c>
      <c r="H196" s="171"/>
      <c r="I196" s="171"/>
      <c r="J196" s="171"/>
      <c r="K196" s="182">
        <v>9203.45</v>
      </c>
      <c r="L196" s="36"/>
      <c r="M196" s="36"/>
      <c r="N196" s="36"/>
      <c r="O196" s="36"/>
      <c r="P196" s="36"/>
      <c r="Q196" s="36"/>
      <c r="R196" s="36"/>
      <c r="S196" s="36"/>
      <c r="T196" s="36"/>
      <c r="U196" s="36"/>
      <c r="V196" s="36"/>
      <c r="W196" s="36"/>
      <c r="X196" s="36"/>
      <c r="Y196" s="36"/>
      <c r="Z196" s="36"/>
      <c r="AA196" s="36"/>
      <c r="AB196" s="36"/>
      <c r="AC196" s="36"/>
    </row>
    <row r="197" ht="15.75" customHeight="1">
      <c r="A197" s="423">
        <v>42838.0</v>
      </c>
      <c r="B197" s="424">
        <v>12.1661</v>
      </c>
      <c r="C197" s="171"/>
      <c r="D197" s="171"/>
      <c r="E197" s="425">
        <v>12.944</v>
      </c>
      <c r="F197" s="425">
        <v>13.9468</v>
      </c>
      <c r="G197" s="425">
        <v>12.5609</v>
      </c>
      <c r="H197" s="171"/>
      <c r="I197" s="171"/>
      <c r="J197" s="171"/>
      <c r="K197" s="182">
        <v>9150.8</v>
      </c>
      <c r="L197" s="36"/>
      <c r="M197" s="36"/>
      <c r="N197" s="36"/>
      <c r="O197" s="36"/>
      <c r="P197" s="36"/>
      <c r="Q197" s="36"/>
      <c r="R197" s="36"/>
      <c r="S197" s="36"/>
      <c r="T197" s="36"/>
      <c r="U197" s="36"/>
      <c r="V197" s="36"/>
      <c r="W197" s="36"/>
      <c r="X197" s="36"/>
      <c r="Y197" s="36"/>
      <c r="Z197" s="36"/>
      <c r="AA197" s="36"/>
      <c r="AB197" s="36"/>
      <c r="AC197" s="36"/>
    </row>
    <row r="198" ht="15.75" customHeight="1">
      <c r="A198" s="423">
        <v>42842.0</v>
      </c>
      <c r="B198" s="424">
        <v>12.1382</v>
      </c>
      <c r="C198" s="171"/>
      <c r="D198" s="171"/>
      <c r="E198" s="425">
        <v>12.9448</v>
      </c>
      <c r="F198" s="425">
        <v>13.9172</v>
      </c>
      <c r="G198" s="425">
        <v>12.5652</v>
      </c>
      <c r="H198" s="171"/>
      <c r="I198" s="171"/>
      <c r="J198" s="171"/>
      <c r="K198" s="182">
        <v>9139.3</v>
      </c>
      <c r="L198" s="36"/>
      <c r="M198" s="36"/>
      <c r="N198" s="36"/>
      <c r="O198" s="36"/>
      <c r="P198" s="36"/>
      <c r="Q198" s="36"/>
      <c r="R198" s="36"/>
      <c r="S198" s="36"/>
      <c r="T198" s="36"/>
      <c r="U198" s="36"/>
      <c r="V198" s="36"/>
      <c r="W198" s="36"/>
      <c r="X198" s="36"/>
      <c r="Y198" s="36"/>
      <c r="Z198" s="36"/>
      <c r="AA198" s="36"/>
      <c r="AB198" s="36"/>
      <c r="AC198" s="36"/>
    </row>
    <row r="199" ht="15.75" customHeight="1">
      <c r="A199" s="423">
        <v>42843.0</v>
      </c>
      <c r="B199" s="424">
        <v>12.0793</v>
      </c>
      <c r="C199" s="171"/>
      <c r="D199" s="171"/>
      <c r="E199" s="425">
        <v>12.9468</v>
      </c>
      <c r="F199" s="425">
        <v>13.8373</v>
      </c>
      <c r="G199" s="425">
        <v>12.5682</v>
      </c>
      <c r="H199" s="171"/>
      <c r="I199" s="171"/>
      <c r="J199" s="171"/>
      <c r="K199" s="182">
        <v>9105.15</v>
      </c>
      <c r="L199" s="36"/>
      <c r="M199" s="36"/>
      <c r="N199" s="36"/>
      <c r="O199" s="36"/>
      <c r="P199" s="36"/>
      <c r="Q199" s="36"/>
      <c r="R199" s="36"/>
      <c r="S199" s="36"/>
      <c r="T199" s="36"/>
      <c r="U199" s="36"/>
      <c r="V199" s="36"/>
      <c r="W199" s="36"/>
      <c r="X199" s="36"/>
      <c r="Y199" s="36"/>
      <c r="Z199" s="36"/>
      <c r="AA199" s="36"/>
      <c r="AB199" s="36"/>
      <c r="AC199" s="36"/>
    </row>
    <row r="200" ht="15.75" customHeight="1">
      <c r="A200" s="423">
        <v>42844.0</v>
      </c>
      <c r="B200" s="424">
        <v>12.0828</v>
      </c>
      <c r="C200" s="171"/>
      <c r="D200" s="171"/>
      <c r="E200" s="425">
        <v>12.9513</v>
      </c>
      <c r="F200" s="425">
        <v>13.8341</v>
      </c>
      <c r="G200" s="425">
        <v>12.5719</v>
      </c>
      <c r="H200" s="171"/>
      <c r="I200" s="171"/>
      <c r="J200" s="171"/>
      <c r="K200" s="182">
        <v>9103.5</v>
      </c>
      <c r="L200" s="36"/>
      <c r="M200" s="36"/>
      <c r="N200" s="36"/>
      <c r="O200" s="36"/>
      <c r="P200" s="36"/>
      <c r="Q200" s="36"/>
      <c r="R200" s="36"/>
      <c r="S200" s="36"/>
      <c r="T200" s="36"/>
      <c r="U200" s="36"/>
      <c r="V200" s="36"/>
      <c r="W200" s="36"/>
      <c r="X200" s="36"/>
      <c r="Y200" s="36"/>
      <c r="Z200" s="36"/>
      <c r="AA200" s="36"/>
      <c r="AB200" s="36"/>
      <c r="AC200" s="36"/>
    </row>
    <row r="201" ht="15.75" customHeight="1">
      <c r="A201" s="423">
        <v>42845.0</v>
      </c>
      <c r="B201" s="424">
        <v>12.1266</v>
      </c>
      <c r="C201" s="171"/>
      <c r="D201" s="171"/>
      <c r="E201" s="425">
        <v>12.9571</v>
      </c>
      <c r="F201" s="425">
        <v>13.8782</v>
      </c>
      <c r="G201" s="425">
        <v>12.5752</v>
      </c>
      <c r="H201" s="171"/>
      <c r="I201" s="171"/>
      <c r="J201" s="171"/>
      <c r="K201" s="182">
        <v>9136.4</v>
      </c>
      <c r="L201" s="36"/>
      <c r="M201" s="36"/>
      <c r="N201" s="36"/>
      <c r="O201" s="36"/>
      <c r="P201" s="36"/>
      <c r="Q201" s="36"/>
      <c r="R201" s="36"/>
      <c r="S201" s="36"/>
      <c r="T201" s="36"/>
      <c r="U201" s="36"/>
      <c r="V201" s="36"/>
      <c r="W201" s="36"/>
      <c r="X201" s="36"/>
      <c r="Y201" s="36"/>
      <c r="Z201" s="36"/>
      <c r="AA201" s="36"/>
      <c r="AB201" s="36"/>
      <c r="AC201" s="36"/>
    </row>
    <row r="202" ht="15.75" customHeight="1">
      <c r="A202" s="423">
        <v>42846.0</v>
      </c>
      <c r="B202" s="424">
        <v>12.1105</v>
      </c>
      <c r="C202" s="171"/>
      <c r="D202" s="171"/>
      <c r="E202" s="425">
        <v>12.9415</v>
      </c>
      <c r="F202" s="425">
        <v>13.8737</v>
      </c>
      <c r="G202" s="425">
        <v>12.5729</v>
      </c>
      <c r="H202" s="171"/>
      <c r="I202" s="171"/>
      <c r="J202" s="171"/>
      <c r="K202" s="182">
        <v>9119.4</v>
      </c>
      <c r="L202" s="36"/>
      <c r="M202" s="36"/>
      <c r="N202" s="36"/>
      <c r="O202" s="36"/>
      <c r="P202" s="36"/>
      <c r="Q202" s="36"/>
      <c r="R202" s="36"/>
      <c r="S202" s="36"/>
      <c r="T202" s="36"/>
      <c r="U202" s="36"/>
      <c r="V202" s="36"/>
      <c r="W202" s="36"/>
      <c r="X202" s="36"/>
      <c r="Y202" s="36"/>
      <c r="Z202" s="36"/>
      <c r="AA202" s="36"/>
      <c r="AB202" s="36"/>
      <c r="AC202" s="36"/>
    </row>
    <row r="203" ht="15.75" customHeight="1">
      <c r="A203" s="423">
        <v>42849.0</v>
      </c>
      <c r="B203" s="424">
        <v>12.2056</v>
      </c>
      <c r="C203" s="171"/>
      <c r="D203" s="171"/>
      <c r="E203" s="425">
        <v>12.9461</v>
      </c>
      <c r="F203" s="425">
        <v>13.9806</v>
      </c>
      <c r="G203" s="425">
        <v>12.5775</v>
      </c>
      <c r="H203" s="171"/>
      <c r="I203" s="171"/>
      <c r="J203" s="171"/>
      <c r="K203" s="182">
        <v>9217.95</v>
      </c>
      <c r="L203" s="36"/>
      <c r="M203" s="36"/>
      <c r="N203" s="36"/>
      <c r="O203" s="36"/>
      <c r="P203" s="36"/>
      <c r="Q203" s="36"/>
      <c r="R203" s="36"/>
      <c r="S203" s="36"/>
      <c r="T203" s="36"/>
      <c r="U203" s="36"/>
      <c r="V203" s="36"/>
      <c r="W203" s="36"/>
      <c r="X203" s="36"/>
      <c r="Y203" s="36"/>
      <c r="Z203" s="36"/>
      <c r="AA203" s="36"/>
      <c r="AB203" s="36"/>
      <c r="AC203" s="36"/>
    </row>
    <row r="204" ht="15.75" customHeight="1">
      <c r="A204" s="423">
        <v>42850.0</v>
      </c>
      <c r="B204" s="424">
        <v>12.298</v>
      </c>
      <c r="C204" s="171"/>
      <c r="D204" s="171"/>
      <c r="E204" s="425">
        <v>12.9547</v>
      </c>
      <c r="F204" s="425">
        <v>14.0736</v>
      </c>
      <c r="G204" s="425">
        <v>12.5792</v>
      </c>
      <c r="H204" s="171"/>
      <c r="I204" s="171"/>
      <c r="J204" s="171"/>
      <c r="K204" s="182">
        <v>9306.6</v>
      </c>
      <c r="L204" s="36"/>
      <c r="M204" s="36"/>
      <c r="N204" s="36"/>
      <c r="O204" s="36"/>
      <c r="P204" s="36"/>
      <c r="Q204" s="36"/>
      <c r="R204" s="36"/>
      <c r="S204" s="36"/>
      <c r="T204" s="36"/>
      <c r="U204" s="36"/>
      <c r="V204" s="36"/>
      <c r="W204" s="36"/>
      <c r="X204" s="36"/>
      <c r="Y204" s="36"/>
      <c r="Z204" s="36"/>
      <c r="AA204" s="36"/>
      <c r="AB204" s="36"/>
      <c r="AC204" s="36"/>
    </row>
    <row r="205" ht="15.75" customHeight="1">
      <c r="A205" s="423">
        <v>42851.0</v>
      </c>
      <c r="B205" s="424">
        <v>12.3231</v>
      </c>
      <c r="C205" s="171"/>
      <c r="D205" s="171"/>
      <c r="E205" s="425">
        <v>12.9367</v>
      </c>
      <c r="F205" s="425">
        <v>14.1094</v>
      </c>
      <c r="G205" s="425">
        <v>12.5747</v>
      </c>
      <c r="H205" s="171"/>
      <c r="I205" s="171"/>
      <c r="J205" s="171"/>
      <c r="K205" s="182">
        <v>9351.85</v>
      </c>
      <c r="L205" s="36"/>
      <c r="M205" s="36"/>
      <c r="N205" s="36"/>
      <c r="O205" s="36"/>
      <c r="P205" s="36"/>
      <c r="Q205" s="36"/>
      <c r="R205" s="36"/>
      <c r="S205" s="36"/>
      <c r="T205" s="36"/>
      <c r="U205" s="36"/>
      <c r="V205" s="36"/>
      <c r="W205" s="36"/>
      <c r="X205" s="36"/>
      <c r="Y205" s="36"/>
      <c r="Z205" s="36"/>
      <c r="AA205" s="36"/>
      <c r="AB205" s="36"/>
      <c r="AC205" s="36"/>
    </row>
    <row r="206" ht="15.75" customHeight="1">
      <c r="A206" s="423">
        <v>42852.0</v>
      </c>
      <c r="B206" s="424">
        <v>12.3231</v>
      </c>
      <c r="C206" s="171"/>
      <c r="D206" s="171"/>
      <c r="E206" s="425">
        <v>12.9379</v>
      </c>
      <c r="F206" s="425">
        <v>14.0984</v>
      </c>
      <c r="G206" s="425">
        <v>12.5763</v>
      </c>
      <c r="H206" s="171"/>
      <c r="I206" s="171"/>
      <c r="J206" s="171"/>
      <c r="K206" s="182">
        <v>9342.15</v>
      </c>
      <c r="L206" s="36"/>
      <c r="M206" s="36"/>
      <c r="N206" s="36"/>
      <c r="O206" s="36"/>
      <c r="P206" s="36"/>
      <c r="Q206" s="36"/>
      <c r="R206" s="36"/>
      <c r="S206" s="36"/>
      <c r="T206" s="36"/>
      <c r="U206" s="36"/>
      <c r="V206" s="36"/>
      <c r="W206" s="36"/>
      <c r="X206" s="36"/>
      <c r="Y206" s="36"/>
      <c r="Z206" s="36"/>
      <c r="AA206" s="36"/>
      <c r="AB206" s="36"/>
      <c r="AC206" s="36"/>
    </row>
    <row r="207" ht="15.75" customHeight="1">
      <c r="A207" s="423">
        <v>42853.0</v>
      </c>
      <c r="B207" s="424">
        <v>12.2995</v>
      </c>
      <c r="C207" s="171"/>
      <c r="D207" s="171"/>
      <c r="E207" s="425">
        <v>12.9447</v>
      </c>
      <c r="F207" s="425">
        <v>14.089</v>
      </c>
      <c r="G207" s="425">
        <v>12.5763</v>
      </c>
      <c r="H207" s="171"/>
      <c r="I207" s="171"/>
      <c r="J207" s="171"/>
      <c r="K207" s="182">
        <v>9304.05</v>
      </c>
      <c r="L207" s="36"/>
      <c r="M207" s="36"/>
      <c r="N207" s="36"/>
      <c r="O207" s="36"/>
      <c r="P207" s="36"/>
      <c r="Q207" s="36"/>
      <c r="R207" s="36"/>
      <c r="S207" s="36"/>
      <c r="T207" s="36"/>
      <c r="U207" s="36"/>
      <c r="V207" s="36"/>
      <c r="W207" s="36"/>
      <c r="X207" s="36"/>
      <c r="Y207" s="36"/>
      <c r="Z207" s="36"/>
      <c r="AA207" s="36"/>
      <c r="AB207" s="36"/>
      <c r="AC207" s="36"/>
    </row>
    <row r="208" ht="15.75" customHeight="1">
      <c r="A208" s="423">
        <v>42857.0</v>
      </c>
      <c r="B208" s="424">
        <v>12.2804</v>
      </c>
      <c r="C208" s="171"/>
      <c r="D208" s="171"/>
      <c r="E208" s="425">
        <v>12.9358</v>
      </c>
      <c r="F208" s="425">
        <v>14.0821</v>
      </c>
      <c r="G208" s="425">
        <v>12.5804</v>
      </c>
      <c r="H208" s="171"/>
      <c r="I208" s="171"/>
      <c r="J208" s="171"/>
      <c r="K208" s="182">
        <v>9313.8</v>
      </c>
      <c r="L208" s="36"/>
      <c r="M208" s="36"/>
      <c r="N208" s="36"/>
      <c r="O208" s="36"/>
      <c r="P208" s="36"/>
      <c r="Q208" s="36"/>
      <c r="R208" s="36"/>
      <c r="S208" s="36"/>
      <c r="T208" s="36"/>
      <c r="U208" s="36"/>
      <c r="V208" s="36"/>
      <c r="W208" s="36"/>
      <c r="X208" s="36"/>
      <c r="Y208" s="36"/>
      <c r="Z208" s="36"/>
      <c r="AA208" s="36"/>
      <c r="AB208" s="36"/>
      <c r="AC208" s="36"/>
    </row>
    <row r="209" ht="15.75" customHeight="1">
      <c r="A209" s="423">
        <v>42858.0</v>
      </c>
      <c r="B209" s="424">
        <v>12.2827</v>
      </c>
      <c r="C209" s="171"/>
      <c r="D209" s="171"/>
      <c r="E209" s="425">
        <v>12.9396</v>
      </c>
      <c r="F209" s="425">
        <v>14.0822</v>
      </c>
      <c r="G209" s="425">
        <v>12.5831</v>
      </c>
      <c r="H209" s="171"/>
      <c r="I209" s="171"/>
      <c r="J209" s="171"/>
      <c r="K209" s="182">
        <v>9311.95</v>
      </c>
      <c r="L209" s="36"/>
      <c r="M209" s="36"/>
      <c r="N209" s="36"/>
      <c r="O209" s="36"/>
      <c r="P209" s="36"/>
      <c r="Q209" s="36"/>
      <c r="R209" s="36"/>
      <c r="S209" s="36"/>
      <c r="T209" s="36"/>
      <c r="U209" s="36"/>
      <c r="V209" s="36"/>
      <c r="W209" s="36"/>
      <c r="X209" s="36"/>
      <c r="Y209" s="36"/>
      <c r="Z209" s="36"/>
      <c r="AA209" s="36"/>
      <c r="AB209" s="36"/>
      <c r="AC209" s="36"/>
    </row>
    <row r="210" ht="15.75" customHeight="1">
      <c r="A210" s="423">
        <v>42859.0</v>
      </c>
      <c r="B210" s="424">
        <v>12.3298</v>
      </c>
      <c r="C210" s="171"/>
      <c r="D210" s="171"/>
      <c r="E210" s="425">
        <v>12.9366</v>
      </c>
      <c r="F210" s="425">
        <v>14.1378</v>
      </c>
      <c r="G210" s="425">
        <v>12.5835</v>
      </c>
      <c r="H210" s="171"/>
      <c r="I210" s="171"/>
      <c r="J210" s="171"/>
      <c r="K210" s="182">
        <v>9359.9</v>
      </c>
      <c r="L210" s="36"/>
      <c r="M210" s="36"/>
      <c r="N210" s="36"/>
      <c r="O210" s="36"/>
      <c r="P210" s="36"/>
      <c r="Q210" s="36"/>
      <c r="R210" s="36"/>
      <c r="S210" s="36"/>
      <c r="T210" s="36"/>
      <c r="U210" s="36"/>
      <c r="V210" s="36"/>
      <c r="W210" s="36"/>
      <c r="X210" s="36"/>
      <c r="Y210" s="36"/>
      <c r="Z210" s="36"/>
      <c r="AA210" s="36"/>
      <c r="AB210" s="36"/>
      <c r="AC210" s="36"/>
    </row>
    <row r="211" ht="15.75" customHeight="1">
      <c r="A211" s="423">
        <v>42860.0</v>
      </c>
      <c r="B211" s="424">
        <v>12.2345</v>
      </c>
      <c r="C211" s="171"/>
      <c r="D211" s="171"/>
      <c r="E211" s="425">
        <v>12.9403</v>
      </c>
      <c r="F211" s="425">
        <v>14.0542</v>
      </c>
      <c r="G211" s="425">
        <v>12.5861</v>
      </c>
      <c r="H211" s="171"/>
      <c r="I211" s="171"/>
      <c r="J211" s="171"/>
      <c r="K211" s="182">
        <v>9285.3</v>
      </c>
      <c r="L211" s="36"/>
      <c r="M211" s="36"/>
      <c r="N211" s="36"/>
      <c r="O211" s="36"/>
      <c r="P211" s="36"/>
      <c r="Q211" s="36"/>
      <c r="R211" s="36"/>
      <c r="S211" s="36"/>
      <c r="T211" s="36"/>
      <c r="U211" s="36"/>
      <c r="V211" s="36"/>
      <c r="W211" s="36"/>
      <c r="X211" s="36"/>
      <c r="Y211" s="36"/>
      <c r="Z211" s="36"/>
      <c r="AA211" s="36"/>
      <c r="AB211" s="36"/>
      <c r="AC211" s="36"/>
    </row>
    <row r="212" ht="15.75" customHeight="1">
      <c r="A212" s="423">
        <v>42863.0</v>
      </c>
      <c r="B212" s="424">
        <v>12.2737</v>
      </c>
      <c r="C212" s="171"/>
      <c r="D212" s="171"/>
      <c r="E212" s="425">
        <v>12.9507</v>
      </c>
      <c r="F212" s="425">
        <v>14.0944</v>
      </c>
      <c r="G212" s="425">
        <v>12.5965</v>
      </c>
      <c r="H212" s="171"/>
      <c r="I212" s="171"/>
      <c r="J212" s="171"/>
      <c r="K212" s="182">
        <v>9314.05</v>
      </c>
      <c r="L212" s="36"/>
      <c r="M212" s="36"/>
      <c r="N212" s="36"/>
      <c r="O212" s="36"/>
      <c r="P212" s="36"/>
      <c r="Q212" s="36"/>
      <c r="R212" s="36"/>
      <c r="S212" s="36"/>
      <c r="T212" s="36"/>
      <c r="U212" s="36"/>
      <c r="V212" s="36"/>
      <c r="W212" s="36"/>
      <c r="X212" s="36"/>
      <c r="Y212" s="36"/>
      <c r="Z212" s="36"/>
      <c r="AA212" s="36"/>
      <c r="AB212" s="36"/>
      <c r="AC212" s="36"/>
    </row>
    <row r="213" ht="15.75" customHeight="1">
      <c r="A213" s="423">
        <v>42864.0</v>
      </c>
      <c r="B213" s="424">
        <v>12.2873</v>
      </c>
      <c r="C213" s="171"/>
      <c r="D213" s="171"/>
      <c r="E213" s="425">
        <v>12.9548</v>
      </c>
      <c r="F213" s="425">
        <v>14.119</v>
      </c>
      <c r="G213" s="425">
        <v>12.5956</v>
      </c>
      <c r="H213" s="171"/>
      <c r="I213" s="171"/>
      <c r="J213" s="171"/>
      <c r="K213" s="182">
        <v>9316.85</v>
      </c>
      <c r="L213" s="36"/>
      <c r="M213" s="36"/>
      <c r="N213" s="36"/>
      <c r="O213" s="36"/>
      <c r="P213" s="36"/>
      <c r="Q213" s="36"/>
      <c r="R213" s="36"/>
      <c r="S213" s="36"/>
      <c r="T213" s="36"/>
      <c r="U213" s="36"/>
      <c r="V213" s="36"/>
      <c r="W213" s="36"/>
      <c r="X213" s="36"/>
      <c r="Y213" s="36"/>
      <c r="Z213" s="36"/>
      <c r="AA213" s="36"/>
      <c r="AB213" s="36"/>
      <c r="AC213" s="36"/>
    </row>
    <row r="214" ht="15.75" customHeight="1">
      <c r="A214" s="423">
        <v>42865.0</v>
      </c>
      <c r="B214" s="424">
        <v>12.3703</v>
      </c>
      <c r="C214" s="171"/>
      <c r="D214" s="171"/>
      <c r="E214" s="425">
        <v>12.9568</v>
      </c>
      <c r="F214" s="425">
        <v>14.258</v>
      </c>
      <c r="G214" s="425">
        <v>12.5973</v>
      </c>
      <c r="H214" s="171"/>
      <c r="I214" s="171"/>
      <c r="J214" s="171"/>
      <c r="K214" s="182">
        <v>9407.3</v>
      </c>
      <c r="L214" s="36"/>
      <c r="M214" s="36"/>
      <c r="N214" s="36"/>
      <c r="O214" s="36"/>
      <c r="P214" s="36"/>
      <c r="Q214" s="36"/>
      <c r="R214" s="36"/>
      <c r="S214" s="36"/>
      <c r="T214" s="36"/>
      <c r="U214" s="36"/>
      <c r="V214" s="36"/>
      <c r="W214" s="36"/>
      <c r="X214" s="36"/>
      <c r="Y214" s="36"/>
      <c r="Z214" s="36"/>
      <c r="AA214" s="36"/>
      <c r="AB214" s="36"/>
      <c r="AC214" s="36"/>
    </row>
    <row r="215" ht="15.75" customHeight="1">
      <c r="A215" s="423">
        <v>42866.0</v>
      </c>
      <c r="B215" s="424">
        <v>12.399</v>
      </c>
      <c r="C215" s="171"/>
      <c r="D215" s="171"/>
      <c r="E215" s="425">
        <v>12.9594</v>
      </c>
      <c r="F215" s="425">
        <v>14.2872</v>
      </c>
      <c r="G215" s="425">
        <v>12.598</v>
      </c>
      <c r="H215" s="171"/>
      <c r="I215" s="171"/>
      <c r="J215" s="171"/>
      <c r="K215" s="182">
        <v>9422.4</v>
      </c>
      <c r="L215" s="36"/>
      <c r="M215" s="36"/>
      <c r="N215" s="36"/>
      <c r="O215" s="36"/>
      <c r="P215" s="36"/>
      <c r="Q215" s="36"/>
      <c r="R215" s="36"/>
      <c r="S215" s="36"/>
      <c r="T215" s="36"/>
      <c r="U215" s="36"/>
      <c r="V215" s="36"/>
      <c r="W215" s="36"/>
      <c r="X215" s="36"/>
      <c r="Y215" s="36"/>
      <c r="Z215" s="36"/>
      <c r="AA215" s="36"/>
      <c r="AB215" s="36"/>
      <c r="AC215" s="36"/>
    </row>
    <row r="216" ht="15.75" customHeight="1">
      <c r="A216" s="423">
        <v>42867.0</v>
      </c>
      <c r="B216" s="424">
        <v>12.3852</v>
      </c>
      <c r="C216" s="171"/>
      <c r="D216" s="171"/>
      <c r="E216" s="425">
        <v>12.9772</v>
      </c>
      <c r="F216" s="425">
        <v>14.2467</v>
      </c>
      <c r="G216" s="425">
        <v>12.6016</v>
      </c>
      <c r="H216" s="171"/>
      <c r="I216" s="171"/>
      <c r="J216" s="171"/>
      <c r="K216" s="182">
        <v>9400.9</v>
      </c>
      <c r="L216" s="36"/>
      <c r="M216" s="36"/>
      <c r="N216" s="36"/>
      <c r="O216" s="36"/>
      <c r="P216" s="36"/>
      <c r="Q216" s="36"/>
      <c r="R216" s="36"/>
      <c r="S216" s="36"/>
      <c r="T216" s="36"/>
      <c r="U216" s="36"/>
      <c r="V216" s="36"/>
      <c r="W216" s="36"/>
      <c r="X216" s="36"/>
      <c r="Y216" s="36"/>
      <c r="Z216" s="36"/>
      <c r="AA216" s="36"/>
      <c r="AB216" s="36"/>
      <c r="AC216" s="36"/>
    </row>
    <row r="217" ht="15.75" customHeight="1">
      <c r="A217" s="423">
        <v>42870.0</v>
      </c>
      <c r="B217" s="424">
        <v>12.4398</v>
      </c>
      <c r="C217" s="171"/>
      <c r="D217" s="171"/>
      <c r="E217" s="425">
        <v>13.0247</v>
      </c>
      <c r="F217" s="425">
        <v>14.3303</v>
      </c>
      <c r="G217" s="425">
        <v>12.6198</v>
      </c>
      <c r="H217" s="171"/>
      <c r="I217" s="171"/>
      <c r="J217" s="171"/>
      <c r="K217" s="182">
        <v>9445.4</v>
      </c>
      <c r="L217" s="36"/>
      <c r="M217" s="36"/>
      <c r="N217" s="36"/>
      <c r="O217" s="36"/>
      <c r="P217" s="36"/>
      <c r="Q217" s="36"/>
      <c r="R217" s="36"/>
      <c r="S217" s="36"/>
      <c r="T217" s="36"/>
      <c r="U217" s="36"/>
      <c r="V217" s="36"/>
      <c r="W217" s="36"/>
      <c r="X217" s="36"/>
      <c r="Y217" s="36"/>
      <c r="Z217" s="36"/>
      <c r="AA217" s="36"/>
      <c r="AB217" s="36"/>
      <c r="AC217" s="36"/>
    </row>
    <row r="218" ht="15.75" customHeight="1">
      <c r="A218" s="423">
        <v>42871.0</v>
      </c>
      <c r="B218" s="424">
        <v>12.5105</v>
      </c>
      <c r="C218" s="171"/>
      <c r="D218" s="171"/>
      <c r="E218" s="425">
        <v>13.0165</v>
      </c>
      <c r="F218" s="425">
        <v>14.4336</v>
      </c>
      <c r="G218" s="425">
        <v>12.6185</v>
      </c>
      <c r="H218" s="171"/>
      <c r="I218" s="171"/>
      <c r="J218" s="171"/>
      <c r="K218" s="182">
        <v>9512.25</v>
      </c>
      <c r="L218" s="36"/>
      <c r="M218" s="36"/>
      <c r="N218" s="36"/>
      <c r="O218" s="36"/>
      <c r="P218" s="36"/>
      <c r="Q218" s="36"/>
      <c r="R218" s="36"/>
      <c r="S218" s="36"/>
      <c r="T218" s="36"/>
      <c r="U218" s="36"/>
      <c r="V218" s="36"/>
      <c r="W218" s="36"/>
      <c r="X218" s="36"/>
      <c r="Y218" s="36"/>
      <c r="Z218" s="36"/>
      <c r="AA218" s="36"/>
      <c r="AB218" s="36"/>
      <c r="AC218" s="36"/>
    </row>
    <row r="219" ht="15.75" customHeight="1">
      <c r="A219" s="423">
        <v>42872.0</v>
      </c>
      <c r="B219" s="424">
        <v>12.5302</v>
      </c>
      <c r="C219" s="171"/>
      <c r="D219" s="171"/>
      <c r="E219" s="425">
        <v>13.0177</v>
      </c>
      <c r="F219" s="425">
        <v>14.4995</v>
      </c>
      <c r="G219" s="425">
        <v>12.6195</v>
      </c>
      <c r="H219" s="171"/>
      <c r="I219" s="171"/>
      <c r="J219" s="171"/>
      <c r="K219" s="182">
        <v>9525.75</v>
      </c>
      <c r="L219" s="36"/>
      <c r="M219" s="36"/>
      <c r="N219" s="36"/>
      <c r="O219" s="36"/>
      <c r="P219" s="36"/>
      <c r="Q219" s="36"/>
      <c r="R219" s="36"/>
      <c r="S219" s="36"/>
      <c r="T219" s="36"/>
      <c r="U219" s="36"/>
      <c r="V219" s="36"/>
      <c r="W219" s="36"/>
      <c r="X219" s="36"/>
      <c r="Y219" s="36"/>
      <c r="Z219" s="36"/>
      <c r="AA219" s="36"/>
      <c r="AB219" s="36"/>
      <c r="AC219" s="36"/>
    </row>
    <row r="220" ht="15.75" customHeight="1">
      <c r="A220" s="423">
        <v>42873.0</v>
      </c>
      <c r="B220" s="424">
        <v>12.3955</v>
      </c>
      <c r="C220" s="171"/>
      <c r="D220" s="171"/>
      <c r="E220" s="425">
        <v>13.0274</v>
      </c>
      <c r="F220" s="425">
        <v>14.3062</v>
      </c>
      <c r="G220" s="425">
        <v>12.6214</v>
      </c>
      <c r="H220" s="171"/>
      <c r="I220" s="171"/>
      <c r="J220" s="171"/>
      <c r="K220" s="182">
        <v>9429.45</v>
      </c>
      <c r="L220" s="36"/>
      <c r="M220" s="36"/>
      <c r="N220" s="36"/>
      <c r="O220" s="36"/>
      <c r="P220" s="36"/>
      <c r="Q220" s="36"/>
      <c r="R220" s="36"/>
      <c r="S220" s="36"/>
      <c r="T220" s="36"/>
      <c r="U220" s="36"/>
      <c r="V220" s="36"/>
      <c r="W220" s="36"/>
      <c r="X220" s="36"/>
      <c r="Y220" s="36"/>
      <c r="Z220" s="36"/>
      <c r="AA220" s="36"/>
      <c r="AB220" s="36"/>
      <c r="AC220" s="36"/>
    </row>
    <row r="221" ht="15.75" customHeight="1">
      <c r="A221" s="423">
        <v>42874.0</v>
      </c>
      <c r="B221" s="424">
        <v>12.3784</v>
      </c>
      <c r="C221" s="171"/>
      <c r="D221" s="171"/>
      <c r="E221" s="425">
        <v>13.0261</v>
      </c>
      <c r="F221" s="425">
        <v>14.2896</v>
      </c>
      <c r="G221" s="425">
        <v>12.6222</v>
      </c>
      <c r="H221" s="171"/>
      <c r="I221" s="171"/>
      <c r="J221" s="171"/>
      <c r="K221" s="182">
        <v>9427.9</v>
      </c>
      <c r="L221" s="36"/>
      <c r="M221" s="36"/>
      <c r="N221" s="36"/>
      <c r="O221" s="36"/>
      <c r="P221" s="36"/>
      <c r="Q221" s="36"/>
      <c r="R221" s="36"/>
      <c r="S221" s="36"/>
      <c r="T221" s="36"/>
      <c r="U221" s="36"/>
      <c r="V221" s="36"/>
      <c r="W221" s="36"/>
      <c r="X221" s="36"/>
      <c r="Y221" s="36"/>
      <c r="Z221" s="36"/>
      <c r="AA221" s="36"/>
      <c r="AB221" s="36"/>
      <c r="AC221" s="36"/>
    </row>
    <row r="222" ht="15.75" customHeight="1">
      <c r="A222" s="423">
        <v>42877.0</v>
      </c>
      <c r="B222" s="424">
        <v>12.3875</v>
      </c>
      <c r="C222" s="171"/>
      <c r="D222" s="171"/>
      <c r="E222" s="425">
        <v>13.0574</v>
      </c>
      <c r="F222" s="425">
        <v>14.287</v>
      </c>
      <c r="G222" s="425">
        <v>12.6345</v>
      </c>
      <c r="H222" s="171"/>
      <c r="I222" s="171"/>
      <c r="J222" s="171"/>
      <c r="K222" s="182">
        <v>9438.25</v>
      </c>
      <c r="L222" s="36"/>
      <c r="M222" s="36"/>
      <c r="N222" s="36"/>
      <c r="O222" s="36"/>
      <c r="P222" s="36"/>
      <c r="Q222" s="36"/>
      <c r="R222" s="36"/>
      <c r="S222" s="36"/>
      <c r="T222" s="36"/>
      <c r="U222" s="36"/>
      <c r="V222" s="36"/>
      <c r="W222" s="36"/>
      <c r="X222" s="36"/>
      <c r="Y222" s="36"/>
      <c r="Z222" s="36"/>
      <c r="AA222" s="36"/>
      <c r="AB222" s="36"/>
      <c r="AC222" s="36"/>
    </row>
    <row r="223" ht="15.75" customHeight="1">
      <c r="A223" s="423">
        <v>42878.0</v>
      </c>
      <c r="B223" s="424">
        <v>12.3165</v>
      </c>
      <c r="C223" s="171"/>
      <c r="D223" s="171"/>
      <c r="E223" s="425">
        <v>13.0653</v>
      </c>
      <c r="F223" s="425">
        <v>14.2124</v>
      </c>
      <c r="G223" s="425">
        <v>12.6357</v>
      </c>
      <c r="H223" s="171"/>
      <c r="I223" s="171"/>
      <c r="J223" s="171"/>
      <c r="K223" s="182">
        <v>9386.15</v>
      </c>
      <c r="L223" s="36"/>
      <c r="M223" s="36"/>
      <c r="N223" s="36"/>
      <c r="O223" s="36"/>
      <c r="P223" s="36"/>
      <c r="Q223" s="36"/>
      <c r="R223" s="36"/>
      <c r="S223" s="36"/>
      <c r="T223" s="36"/>
      <c r="U223" s="36"/>
      <c r="V223" s="36"/>
      <c r="W223" s="36"/>
      <c r="X223" s="36"/>
      <c r="Y223" s="36"/>
      <c r="Z223" s="36"/>
      <c r="AA223" s="36"/>
      <c r="AB223" s="36"/>
      <c r="AC223" s="36"/>
    </row>
    <row r="224" ht="15.75" customHeight="1">
      <c r="A224" s="423">
        <v>42879.0</v>
      </c>
      <c r="B224" s="424">
        <v>12.2801</v>
      </c>
      <c r="C224" s="171"/>
      <c r="D224" s="171"/>
      <c r="E224" s="425">
        <v>13.065</v>
      </c>
      <c r="F224" s="425">
        <v>14.1588</v>
      </c>
      <c r="G224" s="425">
        <v>12.6395</v>
      </c>
      <c r="H224" s="171"/>
      <c r="I224" s="171"/>
      <c r="J224" s="171"/>
      <c r="K224" s="182">
        <v>9360.55</v>
      </c>
      <c r="L224" s="36"/>
      <c r="M224" s="36"/>
      <c r="N224" s="36"/>
      <c r="O224" s="36"/>
      <c r="P224" s="36"/>
      <c r="Q224" s="36"/>
      <c r="R224" s="36"/>
      <c r="S224" s="36"/>
      <c r="T224" s="36"/>
      <c r="U224" s="36"/>
      <c r="V224" s="36"/>
      <c r="W224" s="36"/>
      <c r="X224" s="36"/>
      <c r="Y224" s="36"/>
      <c r="Z224" s="36"/>
      <c r="AA224" s="36"/>
      <c r="AB224" s="36"/>
      <c r="AC224" s="36"/>
    </row>
    <row r="225" ht="15.75" customHeight="1">
      <c r="A225" s="423">
        <v>42880.0</v>
      </c>
      <c r="B225" s="424">
        <v>12.4381</v>
      </c>
      <c r="C225" s="171"/>
      <c r="D225" s="171"/>
      <c r="E225" s="425">
        <v>13.0795</v>
      </c>
      <c r="F225" s="425">
        <v>14.3329</v>
      </c>
      <c r="G225" s="425">
        <v>12.6431</v>
      </c>
      <c r="H225" s="171"/>
      <c r="I225" s="171"/>
      <c r="J225" s="171"/>
      <c r="K225" s="182">
        <v>9509.75</v>
      </c>
      <c r="L225" s="36"/>
      <c r="M225" s="36"/>
      <c r="N225" s="36"/>
      <c r="O225" s="36"/>
      <c r="P225" s="36"/>
      <c r="Q225" s="36"/>
      <c r="R225" s="36"/>
      <c r="S225" s="36"/>
      <c r="T225" s="36"/>
      <c r="U225" s="36"/>
      <c r="V225" s="36"/>
      <c r="W225" s="36"/>
      <c r="X225" s="36"/>
      <c r="Y225" s="36"/>
      <c r="Z225" s="36"/>
      <c r="AA225" s="36"/>
      <c r="AB225" s="36"/>
      <c r="AC225" s="36"/>
    </row>
    <row r="226" ht="15.75" customHeight="1">
      <c r="A226" s="423">
        <v>42881.0</v>
      </c>
      <c r="B226" s="424">
        <v>12.5599</v>
      </c>
      <c r="C226" s="171"/>
      <c r="D226" s="171"/>
      <c r="E226" s="425">
        <v>13.0913</v>
      </c>
      <c r="F226" s="425">
        <v>14.4668</v>
      </c>
      <c r="G226" s="425">
        <v>12.6472</v>
      </c>
      <c r="H226" s="171"/>
      <c r="I226" s="171"/>
      <c r="J226" s="171"/>
      <c r="K226" s="182">
        <v>9595.1</v>
      </c>
      <c r="L226" s="36"/>
      <c r="M226" s="36"/>
      <c r="N226" s="36"/>
      <c r="O226" s="36"/>
      <c r="P226" s="36"/>
      <c r="Q226" s="36"/>
      <c r="R226" s="36"/>
      <c r="S226" s="36"/>
      <c r="T226" s="36"/>
      <c r="U226" s="36"/>
      <c r="V226" s="36"/>
      <c r="W226" s="36"/>
      <c r="X226" s="36"/>
      <c r="Y226" s="36"/>
      <c r="Z226" s="36"/>
      <c r="AA226" s="36"/>
      <c r="AB226" s="36"/>
      <c r="AC226" s="36"/>
    </row>
    <row r="227" ht="15.75" customHeight="1">
      <c r="A227" s="423">
        <v>42884.0</v>
      </c>
      <c r="B227" s="424">
        <v>12.5478</v>
      </c>
      <c r="C227" s="171"/>
      <c r="D227" s="171"/>
      <c r="E227" s="425">
        <v>13.0879</v>
      </c>
      <c r="F227" s="425">
        <v>14.4387</v>
      </c>
      <c r="G227" s="425">
        <v>12.6505</v>
      </c>
      <c r="H227" s="171"/>
      <c r="I227" s="171"/>
      <c r="J227" s="171"/>
      <c r="K227" s="182">
        <v>9604.9</v>
      </c>
      <c r="L227" s="36"/>
      <c r="M227" s="36"/>
      <c r="N227" s="36"/>
      <c r="O227" s="36"/>
      <c r="P227" s="36"/>
      <c r="Q227" s="36"/>
      <c r="R227" s="36"/>
      <c r="S227" s="36"/>
      <c r="T227" s="36"/>
      <c r="U227" s="36"/>
      <c r="V227" s="36"/>
      <c r="W227" s="36"/>
      <c r="X227" s="36"/>
      <c r="Y227" s="36"/>
      <c r="Z227" s="36"/>
      <c r="AA227" s="36"/>
      <c r="AB227" s="36"/>
      <c r="AC227" s="36"/>
    </row>
    <row r="228" ht="15.75" customHeight="1">
      <c r="A228" s="423">
        <v>42885.0</v>
      </c>
      <c r="B228" s="424">
        <v>12.5828</v>
      </c>
      <c r="C228" s="171"/>
      <c r="D228" s="171"/>
      <c r="E228" s="425">
        <v>13.0948</v>
      </c>
      <c r="F228" s="425">
        <v>14.471</v>
      </c>
      <c r="G228" s="425">
        <v>12.6486</v>
      </c>
      <c r="H228" s="171"/>
      <c r="I228" s="171"/>
      <c r="J228" s="171"/>
      <c r="K228" s="182">
        <v>9624.55</v>
      </c>
      <c r="L228" s="36"/>
      <c r="M228" s="36"/>
      <c r="N228" s="36"/>
      <c r="O228" s="36"/>
      <c r="P228" s="36"/>
      <c r="Q228" s="36"/>
      <c r="R228" s="36"/>
      <c r="S228" s="36"/>
      <c r="T228" s="36"/>
      <c r="U228" s="36"/>
      <c r="V228" s="36"/>
      <c r="W228" s="36"/>
      <c r="X228" s="36"/>
      <c r="Y228" s="36"/>
      <c r="Z228" s="36"/>
      <c r="AA228" s="36"/>
      <c r="AB228" s="36"/>
      <c r="AC228" s="36"/>
    </row>
    <row r="229" ht="15.75" customHeight="1">
      <c r="A229" s="423">
        <v>42886.0</v>
      </c>
      <c r="B229" s="424">
        <v>12.6063</v>
      </c>
      <c r="C229" s="171"/>
      <c r="D229" s="171"/>
      <c r="E229" s="425">
        <v>13.0995</v>
      </c>
      <c r="F229" s="425">
        <v>14.5783</v>
      </c>
      <c r="G229" s="425">
        <v>12.6498</v>
      </c>
      <c r="H229" s="171"/>
      <c r="I229" s="171"/>
      <c r="J229" s="171"/>
      <c r="K229" s="182">
        <v>9621.25</v>
      </c>
      <c r="L229" s="36"/>
      <c r="M229" s="36"/>
      <c r="N229" s="36"/>
      <c r="O229" s="36"/>
      <c r="P229" s="36"/>
      <c r="Q229" s="36"/>
      <c r="R229" s="36"/>
      <c r="S229" s="36"/>
      <c r="T229" s="36"/>
      <c r="U229" s="36"/>
      <c r="V229" s="36"/>
      <c r="W229" s="36"/>
      <c r="X229" s="36"/>
      <c r="Y229" s="36"/>
      <c r="Z229" s="36"/>
      <c r="AA229" s="36"/>
      <c r="AB229" s="36"/>
      <c r="AC229" s="36"/>
    </row>
    <row r="230" ht="15.75" customHeight="1">
      <c r="A230" s="423">
        <v>42887.0</v>
      </c>
      <c r="B230" s="424">
        <v>12.594</v>
      </c>
      <c r="C230" s="171"/>
      <c r="D230" s="171"/>
      <c r="E230" s="425">
        <v>13.1385</v>
      </c>
      <c r="F230" s="425">
        <v>14.5726</v>
      </c>
      <c r="G230" s="425">
        <v>12.6613</v>
      </c>
      <c r="H230" s="171"/>
      <c r="I230" s="171"/>
      <c r="J230" s="171"/>
      <c r="K230" s="182">
        <v>9616.1</v>
      </c>
      <c r="L230" s="36"/>
      <c r="M230" s="36"/>
      <c r="N230" s="36"/>
      <c r="O230" s="36"/>
      <c r="P230" s="36"/>
      <c r="Q230" s="36"/>
      <c r="R230" s="36"/>
      <c r="S230" s="36"/>
      <c r="T230" s="36"/>
      <c r="U230" s="36"/>
      <c r="V230" s="36"/>
      <c r="W230" s="36"/>
      <c r="X230" s="36"/>
      <c r="Y230" s="36"/>
      <c r="Z230" s="36"/>
      <c r="AA230" s="36"/>
      <c r="AB230" s="36"/>
      <c r="AC230" s="36"/>
    </row>
    <row r="231" ht="15.75" customHeight="1">
      <c r="A231" s="423">
        <v>42888.0</v>
      </c>
      <c r="B231" s="424">
        <v>12.6392</v>
      </c>
      <c r="C231" s="171"/>
      <c r="D231" s="171"/>
      <c r="E231" s="425">
        <v>13.1433</v>
      </c>
      <c r="F231" s="425">
        <v>14.6105</v>
      </c>
      <c r="G231" s="425">
        <v>12.6607</v>
      </c>
      <c r="H231" s="171"/>
      <c r="I231" s="171"/>
      <c r="J231" s="171"/>
      <c r="K231" s="182">
        <v>9653.5</v>
      </c>
      <c r="L231" s="36"/>
      <c r="M231" s="36"/>
      <c r="N231" s="36"/>
      <c r="O231" s="36"/>
      <c r="P231" s="36"/>
      <c r="Q231" s="36"/>
      <c r="R231" s="36"/>
      <c r="S231" s="36"/>
      <c r="T231" s="36"/>
      <c r="U231" s="36"/>
      <c r="V231" s="36"/>
      <c r="W231" s="36"/>
      <c r="X231" s="36"/>
      <c r="Y231" s="36"/>
      <c r="Z231" s="36"/>
      <c r="AA231" s="36"/>
      <c r="AB231" s="36"/>
      <c r="AC231" s="36"/>
    </row>
    <row r="232" ht="15.75" customHeight="1">
      <c r="A232" s="423">
        <v>42891.0</v>
      </c>
      <c r="B232" s="424">
        <v>12.6721</v>
      </c>
      <c r="C232" s="171"/>
      <c r="D232" s="171"/>
      <c r="E232" s="425">
        <v>13.1398</v>
      </c>
      <c r="F232" s="425">
        <v>14.6488</v>
      </c>
      <c r="G232" s="425">
        <v>12.6655</v>
      </c>
      <c r="H232" s="171"/>
      <c r="I232" s="171"/>
      <c r="J232" s="171"/>
      <c r="K232" s="182">
        <v>9675.1</v>
      </c>
      <c r="L232" s="36"/>
      <c r="M232" s="36"/>
      <c r="N232" s="36"/>
      <c r="O232" s="36"/>
      <c r="P232" s="36"/>
      <c r="Q232" s="36"/>
      <c r="R232" s="36"/>
      <c r="S232" s="36"/>
      <c r="T232" s="36"/>
      <c r="U232" s="36"/>
      <c r="V232" s="36"/>
      <c r="W232" s="36"/>
      <c r="X232" s="36"/>
      <c r="Y232" s="36"/>
      <c r="Z232" s="36"/>
      <c r="AA232" s="36"/>
      <c r="AB232" s="36"/>
      <c r="AC232" s="36"/>
    </row>
    <row r="233" ht="15.75" customHeight="1">
      <c r="A233" s="423">
        <v>42892.0</v>
      </c>
      <c r="B233" s="424">
        <v>12.6211</v>
      </c>
      <c r="C233" s="171"/>
      <c r="D233" s="171"/>
      <c r="E233" s="425">
        <v>13.1454</v>
      </c>
      <c r="F233" s="425">
        <v>14.5803</v>
      </c>
      <c r="G233" s="425">
        <v>12.6685</v>
      </c>
      <c r="H233" s="171"/>
      <c r="I233" s="171"/>
      <c r="J233" s="171"/>
      <c r="K233" s="182">
        <v>9637.15</v>
      </c>
      <c r="L233" s="36"/>
      <c r="M233" s="36"/>
      <c r="N233" s="36"/>
      <c r="O233" s="36"/>
      <c r="P233" s="36"/>
      <c r="Q233" s="36"/>
      <c r="R233" s="36"/>
      <c r="S233" s="36"/>
      <c r="T233" s="36"/>
      <c r="U233" s="36"/>
      <c r="V233" s="36"/>
      <c r="W233" s="36"/>
      <c r="X233" s="36"/>
      <c r="Y233" s="36"/>
      <c r="Z233" s="36"/>
      <c r="AA233" s="36"/>
      <c r="AB233" s="36"/>
      <c r="AC233" s="36"/>
    </row>
    <row r="234" ht="15.75" customHeight="1">
      <c r="A234" s="423">
        <v>42893.0</v>
      </c>
      <c r="B234" s="424">
        <v>12.6686</v>
      </c>
      <c r="C234" s="171"/>
      <c r="D234" s="171"/>
      <c r="E234" s="425">
        <v>13.2109</v>
      </c>
      <c r="F234" s="425">
        <v>14.6364</v>
      </c>
      <c r="G234" s="425">
        <v>12.6868</v>
      </c>
      <c r="H234" s="171"/>
      <c r="I234" s="171"/>
      <c r="J234" s="171"/>
      <c r="K234" s="182">
        <v>9663.9</v>
      </c>
      <c r="L234" s="36"/>
      <c r="M234" s="36"/>
      <c r="N234" s="36"/>
      <c r="O234" s="36"/>
      <c r="P234" s="36"/>
      <c r="Q234" s="36"/>
      <c r="R234" s="36"/>
      <c r="S234" s="36"/>
      <c r="T234" s="36"/>
      <c r="U234" s="36"/>
      <c r="V234" s="36"/>
      <c r="W234" s="36"/>
      <c r="X234" s="36"/>
      <c r="Y234" s="36"/>
      <c r="Z234" s="36"/>
      <c r="AA234" s="36"/>
      <c r="AB234" s="36"/>
      <c r="AC234" s="36"/>
    </row>
    <row r="235" ht="15.75" customHeight="1">
      <c r="A235" s="423">
        <v>42894.0</v>
      </c>
      <c r="B235" s="424">
        <v>12.6484</v>
      </c>
      <c r="C235" s="171"/>
      <c r="D235" s="171"/>
      <c r="E235" s="425">
        <v>13.2655</v>
      </c>
      <c r="F235" s="425">
        <v>14.6087</v>
      </c>
      <c r="G235" s="425">
        <v>12.6869</v>
      </c>
      <c r="H235" s="171"/>
      <c r="I235" s="171"/>
      <c r="J235" s="171"/>
      <c r="K235" s="182">
        <v>9647.25</v>
      </c>
      <c r="L235" s="36"/>
      <c r="M235" s="36"/>
      <c r="N235" s="36"/>
      <c r="O235" s="36"/>
      <c r="P235" s="36"/>
      <c r="Q235" s="36"/>
      <c r="R235" s="36"/>
      <c r="S235" s="36"/>
      <c r="T235" s="36"/>
      <c r="U235" s="36"/>
      <c r="V235" s="36"/>
      <c r="W235" s="36"/>
      <c r="X235" s="36"/>
      <c r="Y235" s="36"/>
      <c r="Z235" s="36"/>
      <c r="AA235" s="36"/>
      <c r="AB235" s="36"/>
      <c r="AC235" s="36"/>
    </row>
    <row r="236" ht="15.75" customHeight="1">
      <c r="A236" s="423">
        <v>42895.0</v>
      </c>
      <c r="B236" s="424">
        <v>12.6774</v>
      </c>
      <c r="C236" s="171"/>
      <c r="D236" s="171"/>
      <c r="E236" s="425">
        <v>13.2896</v>
      </c>
      <c r="F236" s="425">
        <v>14.6329</v>
      </c>
      <c r="G236" s="425">
        <v>12.6913</v>
      </c>
      <c r="H236" s="171"/>
      <c r="I236" s="171"/>
      <c r="J236" s="171"/>
      <c r="K236" s="182">
        <v>9668.25</v>
      </c>
      <c r="L236" s="36"/>
      <c r="M236" s="36"/>
      <c r="N236" s="36"/>
      <c r="O236" s="36"/>
      <c r="P236" s="36"/>
      <c r="Q236" s="36"/>
      <c r="R236" s="36"/>
      <c r="S236" s="36"/>
      <c r="T236" s="36"/>
      <c r="U236" s="36"/>
      <c r="V236" s="36"/>
      <c r="W236" s="36"/>
      <c r="X236" s="36"/>
      <c r="Y236" s="36"/>
      <c r="Z236" s="36"/>
      <c r="AA236" s="36"/>
      <c r="AB236" s="36"/>
      <c r="AC236" s="36"/>
    </row>
    <row r="237" ht="15.75" customHeight="1">
      <c r="A237" s="423">
        <v>42898.0</v>
      </c>
      <c r="B237" s="424">
        <v>12.6126</v>
      </c>
      <c r="C237" s="171"/>
      <c r="D237" s="171"/>
      <c r="E237" s="425">
        <v>13.2914</v>
      </c>
      <c r="F237" s="425">
        <v>14.5545</v>
      </c>
      <c r="G237" s="425">
        <v>12.6923</v>
      </c>
      <c r="H237" s="171"/>
      <c r="I237" s="171"/>
      <c r="J237" s="171"/>
      <c r="K237" s="182">
        <v>9616.4</v>
      </c>
      <c r="L237" s="36"/>
      <c r="M237" s="36"/>
      <c r="N237" s="36"/>
      <c r="O237" s="36"/>
      <c r="P237" s="36"/>
      <c r="Q237" s="36"/>
      <c r="R237" s="36"/>
      <c r="S237" s="36"/>
      <c r="T237" s="36"/>
      <c r="U237" s="36"/>
      <c r="V237" s="36"/>
      <c r="W237" s="36"/>
      <c r="X237" s="36"/>
      <c r="Y237" s="36"/>
      <c r="Z237" s="36"/>
      <c r="AA237" s="36"/>
      <c r="AB237" s="36"/>
      <c r="AC237" s="36"/>
    </row>
    <row r="238" ht="15.75" customHeight="1">
      <c r="A238" s="423">
        <v>42899.0</v>
      </c>
      <c r="B238" s="424">
        <v>12.6025</v>
      </c>
      <c r="C238" s="171"/>
      <c r="D238" s="171"/>
      <c r="E238" s="425">
        <v>13.3102</v>
      </c>
      <c r="F238" s="425">
        <v>14.5541</v>
      </c>
      <c r="G238" s="425">
        <v>12.6956</v>
      </c>
      <c r="H238" s="171"/>
      <c r="I238" s="171"/>
      <c r="J238" s="171"/>
      <c r="K238" s="182">
        <v>9606.9</v>
      </c>
      <c r="L238" s="36"/>
      <c r="M238" s="36"/>
      <c r="N238" s="36"/>
      <c r="O238" s="36"/>
      <c r="P238" s="36"/>
      <c r="Q238" s="36"/>
      <c r="R238" s="36"/>
      <c r="S238" s="36"/>
      <c r="T238" s="36"/>
      <c r="U238" s="36"/>
      <c r="V238" s="36"/>
      <c r="W238" s="36"/>
      <c r="X238" s="36"/>
      <c r="Y238" s="36"/>
      <c r="Z238" s="36"/>
      <c r="AA238" s="36"/>
      <c r="AB238" s="36"/>
      <c r="AC238" s="36"/>
    </row>
    <row r="239" ht="15.75" customHeight="1">
      <c r="A239" s="423">
        <v>42900.0</v>
      </c>
      <c r="B239" s="424">
        <v>12.6121</v>
      </c>
      <c r="C239" s="171"/>
      <c r="D239" s="171"/>
      <c r="E239" s="425">
        <v>13.3166</v>
      </c>
      <c r="F239" s="425">
        <v>14.5579</v>
      </c>
      <c r="G239" s="425">
        <v>12.7068</v>
      </c>
      <c r="H239" s="171"/>
      <c r="I239" s="171"/>
      <c r="J239" s="171"/>
      <c r="K239" s="182">
        <v>9618.15</v>
      </c>
      <c r="L239" s="36"/>
      <c r="M239" s="36"/>
      <c r="N239" s="36"/>
      <c r="O239" s="36"/>
      <c r="P239" s="36"/>
      <c r="Q239" s="36"/>
      <c r="R239" s="36"/>
      <c r="S239" s="36"/>
      <c r="T239" s="36"/>
      <c r="U239" s="36"/>
      <c r="V239" s="36"/>
      <c r="W239" s="36"/>
      <c r="X239" s="36"/>
      <c r="Y239" s="36"/>
      <c r="Z239" s="36"/>
      <c r="AA239" s="36"/>
      <c r="AB239" s="36"/>
      <c r="AC239" s="36"/>
    </row>
    <row r="240" ht="15.75" customHeight="1">
      <c r="A240" s="423">
        <v>42901.0</v>
      </c>
      <c r="B240" s="424">
        <v>12.5749</v>
      </c>
      <c r="C240" s="171"/>
      <c r="D240" s="171"/>
      <c r="E240" s="425">
        <v>13.3128</v>
      </c>
      <c r="F240" s="425">
        <v>14.5227</v>
      </c>
      <c r="G240" s="425">
        <v>12.7079</v>
      </c>
      <c r="H240" s="171"/>
      <c r="I240" s="171"/>
      <c r="J240" s="171"/>
      <c r="K240" s="182">
        <v>9578.05</v>
      </c>
      <c r="L240" s="36"/>
      <c r="M240" s="36"/>
      <c r="N240" s="36"/>
      <c r="O240" s="36"/>
      <c r="P240" s="36"/>
      <c r="Q240" s="36"/>
      <c r="R240" s="36"/>
      <c r="S240" s="36"/>
      <c r="T240" s="36"/>
      <c r="U240" s="36"/>
      <c r="V240" s="36"/>
      <c r="W240" s="36"/>
      <c r="X240" s="36"/>
      <c r="Y240" s="36"/>
      <c r="Z240" s="36"/>
      <c r="AA240" s="36"/>
      <c r="AB240" s="36"/>
      <c r="AC240" s="36"/>
    </row>
    <row r="241" ht="15.75" customHeight="1">
      <c r="A241" s="423">
        <v>42902.0</v>
      </c>
      <c r="B241" s="424">
        <v>12.5994</v>
      </c>
      <c r="C241" s="171"/>
      <c r="D241" s="171"/>
      <c r="E241" s="425">
        <v>13.3044</v>
      </c>
      <c r="F241" s="425">
        <v>14.5692</v>
      </c>
      <c r="G241" s="425">
        <v>12.7063</v>
      </c>
      <c r="H241" s="171"/>
      <c r="I241" s="171"/>
      <c r="J241" s="171"/>
      <c r="K241" s="182">
        <v>9588.05</v>
      </c>
      <c r="L241" s="36"/>
      <c r="M241" s="36"/>
      <c r="N241" s="36"/>
      <c r="O241" s="36"/>
      <c r="P241" s="36"/>
      <c r="Q241" s="36"/>
      <c r="R241" s="36"/>
      <c r="S241" s="36"/>
      <c r="T241" s="36"/>
      <c r="U241" s="36"/>
      <c r="V241" s="36"/>
      <c r="W241" s="36"/>
      <c r="X241" s="36"/>
      <c r="Y241" s="36"/>
      <c r="Z241" s="36"/>
      <c r="AA241" s="36"/>
      <c r="AB241" s="36"/>
      <c r="AC241" s="36"/>
    </row>
    <row r="242" ht="15.75" customHeight="1">
      <c r="A242" s="423">
        <v>42905.0</v>
      </c>
      <c r="B242" s="424">
        <v>12.6629</v>
      </c>
      <c r="C242" s="171"/>
      <c r="D242" s="171"/>
      <c r="E242" s="425">
        <v>13.3133</v>
      </c>
      <c r="F242" s="425">
        <v>14.6078</v>
      </c>
      <c r="G242" s="425">
        <v>12.713</v>
      </c>
      <c r="H242" s="171"/>
      <c r="I242" s="171"/>
      <c r="J242" s="171"/>
      <c r="K242" s="182">
        <v>9657.55</v>
      </c>
      <c r="L242" s="36"/>
      <c r="M242" s="36"/>
      <c r="N242" s="36"/>
      <c r="O242" s="36"/>
      <c r="P242" s="36"/>
      <c r="Q242" s="36"/>
      <c r="R242" s="36"/>
      <c r="S242" s="36"/>
      <c r="T242" s="36"/>
      <c r="U242" s="36"/>
      <c r="V242" s="36"/>
      <c r="W242" s="36"/>
      <c r="X242" s="36"/>
      <c r="Y242" s="36"/>
      <c r="Z242" s="36"/>
      <c r="AA242" s="36"/>
      <c r="AB242" s="36"/>
      <c r="AC242" s="36"/>
    </row>
    <row r="243" ht="15.75" customHeight="1">
      <c r="A243" s="423">
        <v>42906.0</v>
      </c>
      <c r="B243" s="424">
        <v>12.6741</v>
      </c>
      <c r="C243" s="171"/>
      <c r="D243" s="171"/>
      <c r="E243" s="425">
        <v>13.3231</v>
      </c>
      <c r="F243" s="425">
        <v>14.6307</v>
      </c>
      <c r="G243" s="425">
        <v>12.7148</v>
      </c>
      <c r="H243" s="171"/>
      <c r="I243" s="171"/>
      <c r="J243" s="171"/>
      <c r="K243" s="182">
        <v>9653.5</v>
      </c>
      <c r="L243" s="36"/>
      <c r="M243" s="36"/>
      <c r="N243" s="36"/>
      <c r="O243" s="36"/>
      <c r="P243" s="36"/>
      <c r="Q243" s="36"/>
      <c r="R243" s="36"/>
      <c r="S243" s="36"/>
      <c r="T243" s="36"/>
      <c r="U243" s="36"/>
      <c r="V243" s="36"/>
      <c r="W243" s="36"/>
      <c r="X243" s="36"/>
      <c r="Y243" s="36"/>
      <c r="Z243" s="36"/>
      <c r="AA243" s="36"/>
      <c r="AB243" s="36"/>
      <c r="AC243" s="36"/>
    </row>
    <row r="244" ht="15.75" customHeight="1">
      <c r="A244" s="423">
        <v>42907.0</v>
      </c>
      <c r="B244" s="424">
        <v>12.6567</v>
      </c>
      <c r="C244" s="171"/>
      <c r="D244" s="171"/>
      <c r="E244" s="425">
        <v>13.3326</v>
      </c>
      <c r="F244" s="425">
        <v>14.6164</v>
      </c>
      <c r="G244" s="425">
        <v>12.7195</v>
      </c>
      <c r="H244" s="171"/>
      <c r="I244" s="171"/>
      <c r="J244" s="171"/>
      <c r="K244" s="182">
        <v>9633.6</v>
      </c>
      <c r="L244" s="36"/>
      <c r="M244" s="36"/>
      <c r="N244" s="36"/>
      <c r="O244" s="36"/>
      <c r="P244" s="36"/>
      <c r="Q244" s="36"/>
      <c r="R244" s="36"/>
      <c r="S244" s="36"/>
      <c r="T244" s="36"/>
      <c r="U244" s="36"/>
      <c r="V244" s="36"/>
      <c r="W244" s="36"/>
      <c r="X244" s="36"/>
      <c r="Y244" s="36"/>
      <c r="Z244" s="36"/>
      <c r="AA244" s="36"/>
      <c r="AB244" s="36"/>
      <c r="AC244" s="36"/>
    </row>
    <row r="245" ht="15.75" customHeight="1">
      <c r="A245" s="423">
        <v>42908.0</v>
      </c>
      <c r="B245" s="424">
        <v>12.6419</v>
      </c>
      <c r="C245" s="171"/>
      <c r="D245" s="171"/>
      <c r="E245" s="425">
        <v>13.3234</v>
      </c>
      <c r="F245" s="425">
        <v>14.5939</v>
      </c>
      <c r="G245" s="425">
        <v>12.7195</v>
      </c>
      <c r="H245" s="171"/>
      <c r="I245" s="171"/>
      <c r="J245" s="171"/>
      <c r="K245" s="182">
        <v>9630.0</v>
      </c>
      <c r="L245" s="36"/>
      <c r="M245" s="36"/>
      <c r="N245" s="36"/>
      <c r="O245" s="36"/>
      <c r="P245" s="36"/>
      <c r="Q245" s="36"/>
      <c r="R245" s="36"/>
      <c r="S245" s="36"/>
      <c r="T245" s="36"/>
      <c r="U245" s="36"/>
      <c r="V245" s="36"/>
      <c r="W245" s="36"/>
      <c r="X245" s="36"/>
      <c r="Y245" s="36"/>
      <c r="Z245" s="36"/>
      <c r="AA245" s="36"/>
      <c r="AB245" s="36"/>
      <c r="AC245" s="36"/>
    </row>
    <row r="246" ht="15.75" customHeight="1">
      <c r="A246" s="423">
        <v>42909.0</v>
      </c>
      <c r="B246" s="424">
        <v>12.5742</v>
      </c>
      <c r="C246" s="171"/>
      <c r="D246" s="171"/>
      <c r="E246" s="425">
        <v>13.3218</v>
      </c>
      <c r="F246" s="425">
        <v>14.4834</v>
      </c>
      <c r="G246" s="425">
        <v>12.7186</v>
      </c>
      <c r="H246" s="171"/>
      <c r="I246" s="171"/>
      <c r="J246" s="171"/>
      <c r="K246" s="182">
        <v>9574.95</v>
      </c>
      <c r="L246" s="36"/>
      <c r="M246" s="36"/>
      <c r="N246" s="36"/>
      <c r="O246" s="36"/>
      <c r="P246" s="36"/>
      <c r="Q246" s="36"/>
      <c r="R246" s="36"/>
      <c r="S246" s="36"/>
      <c r="T246" s="36"/>
      <c r="U246" s="36"/>
      <c r="V246" s="36"/>
      <c r="W246" s="36"/>
      <c r="X246" s="36"/>
      <c r="Y246" s="36"/>
      <c r="Z246" s="36"/>
      <c r="AA246" s="36"/>
      <c r="AB246" s="36"/>
      <c r="AC246" s="36"/>
    </row>
    <row r="247" ht="15.75" customHeight="1">
      <c r="A247" s="423">
        <v>42913.0</v>
      </c>
      <c r="B247" s="424">
        <v>12.4969</v>
      </c>
      <c r="C247" s="171"/>
      <c r="D247" s="171"/>
      <c r="E247" s="425">
        <v>13.324</v>
      </c>
      <c r="F247" s="425">
        <v>14.3778</v>
      </c>
      <c r="G247" s="425">
        <v>12.7245</v>
      </c>
      <c r="H247" s="171"/>
      <c r="I247" s="171"/>
      <c r="J247" s="171"/>
      <c r="K247" s="182">
        <v>9511.4</v>
      </c>
      <c r="L247" s="36"/>
      <c r="M247" s="36"/>
      <c r="N247" s="36"/>
      <c r="O247" s="36"/>
      <c r="P247" s="36"/>
      <c r="Q247" s="36"/>
      <c r="R247" s="36"/>
      <c r="S247" s="36"/>
      <c r="T247" s="36"/>
      <c r="U247" s="36"/>
      <c r="V247" s="36"/>
      <c r="W247" s="36"/>
      <c r="X247" s="36"/>
      <c r="Y247" s="36"/>
      <c r="Z247" s="36"/>
      <c r="AA247" s="36"/>
      <c r="AB247" s="36"/>
      <c r="AC247" s="36"/>
    </row>
    <row r="248" ht="15.75" customHeight="1">
      <c r="A248" s="423">
        <v>42914.0</v>
      </c>
      <c r="B248" s="424">
        <v>12.4902</v>
      </c>
      <c r="C248" s="171"/>
      <c r="D248" s="171"/>
      <c r="E248" s="425">
        <v>13.2943</v>
      </c>
      <c r="F248" s="425">
        <v>14.3687</v>
      </c>
      <c r="G248" s="425">
        <v>12.7222</v>
      </c>
      <c r="H248" s="171"/>
      <c r="I248" s="171"/>
      <c r="J248" s="171"/>
      <c r="K248" s="182">
        <v>9491.25</v>
      </c>
      <c r="L248" s="36"/>
      <c r="M248" s="36"/>
      <c r="N248" s="36"/>
      <c r="O248" s="36"/>
      <c r="P248" s="36"/>
      <c r="Q248" s="36"/>
      <c r="R248" s="36"/>
      <c r="S248" s="36"/>
      <c r="T248" s="36"/>
      <c r="U248" s="36"/>
      <c r="V248" s="36"/>
      <c r="W248" s="36"/>
      <c r="X248" s="36"/>
      <c r="Y248" s="36"/>
      <c r="Z248" s="36"/>
      <c r="AA248" s="36"/>
      <c r="AB248" s="36"/>
      <c r="AC248" s="36"/>
    </row>
    <row r="249" ht="15.75" customHeight="1">
      <c r="A249" s="423">
        <v>42915.0</v>
      </c>
      <c r="B249" s="424">
        <v>12.5033</v>
      </c>
      <c r="C249" s="171"/>
      <c r="D249" s="171"/>
      <c r="E249" s="425">
        <v>13.2939</v>
      </c>
      <c r="F249" s="425">
        <v>14.3756</v>
      </c>
      <c r="G249" s="425">
        <v>12.7207</v>
      </c>
      <c r="H249" s="171"/>
      <c r="I249" s="171"/>
      <c r="J249" s="171"/>
      <c r="K249" s="182">
        <v>9504.1</v>
      </c>
      <c r="L249" s="36"/>
      <c r="M249" s="36"/>
      <c r="N249" s="36"/>
      <c r="O249" s="36"/>
      <c r="P249" s="36"/>
      <c r="Q249" s="36"/>
      <c r="R249" s="36"/>
      <c r="S249" s="36"/>
      <c r="T249" s="36"/>
      <c r="U249" s="36"/>
      <c r="V249" s="36"/>
      <c r="W249" s="36"/>
      <c r="X249" s="36"/>
      <c r="Y249" s="36"/>
      <c r="Z249" s="36"/>
      <c r="AA249" s="36"/>
      <c r="AB249" s="36"/>
      <c r="AC249" s="36"/>
    </row>
    <row r="250" ht="15.75" customHeight="1">
      <c r="A250" s="423">
        <v>42916.0</v>
      </c>
      <c r="B250" s="424">
        <v>12.5344</v>
      </c>
      <c r="C250" s="171"/>
      <c r="D250" s="171"/>
      <c r="E250" s="425">
        <v>13.2941</v>
      </c>
      <c r="F250" s="425">
        <v>14.6982</v>
      </c>
      <c r="G250" s="425">
        <v>12.7242</v>
      </c>
      <c r="H250" s="171"/>
      <c r="I250" s="171"/>
      <c r="J250" s="171"/>
      <c r="K250" s="182">
        <v>9520.9</v>
      </c>
      <c r="L250" s="36"/>
      <c r="M250" s="36"/>
      <c r="N250" s="36"/>
      <c r="O250" s="36"/>
      <c r="P250" s="36"/>
      <c r="Q250" s="36"/>
      <c r="R250" s="36"/>
      <c r="S250" s="36"/>
      <c r="T250" s="36"/>
      <c r="U250" s="36"/>
      <c r="V250" s="36"/>
      <c r="W250" s="36"/>
      <c r="X250" s="36"/>
      <c r="Y250" s="36"/>
      <c r="Z250" s="36"/>
      <c r="AA250" s="36"/>
      <c r="AB250" s="36"/>
      <c r="AC250" s="36"/>
    </row>
    <row r="251" ht="15.75" customHeight="1">
      <c r="A251" s="423">
        <v>42919.0</v>
      </c>
      <c r="B251" s="424">
        <v>12.65</v>
      </c>
      <c r="C251" s="171"/>
      <c r="D251" s="171"/>
      <c r="E251" s="425">
        <v>13.2552</v>
      </c>
      <c r="F251" s="425">
        <v>14.8321</v>
      </c>
      <c r="G251" s="425">
        <v>12.7189</v>
      </c>
      <c r="H251" s="171"/>
      <c r="I251" s="171"/>
      <c r="J251" s="171"/>
      <c r="K251" s="182">
        <v>9615.0</v>
      </c>
      <c r="L251" s="36"/>
      <c r="M251" s="36"/>
      <c r="N251" s="36"/>
      <c r="O251" s="36"/>
      <c r="P251" s="36"/>
      <c r="Q251" s="36"/>
      <c r="R251" s="36"/>
      <c r="S251" s="36"/>
      <c r="T251" s="36"/>
      <c r="U251" s="36"/>
      <c r="V251" s="36"/>
      <c r="W251" s="36"/>
      <c r="X251" s="36"/>
      <c r="Y251" s="36"/>
      <c r="Z251" s="36"/>
      <c r="AA251" s="36"/>
      <c r="AB251" s="36"/>
      <c r="AC251" s="36"/>
    </row>
    <row r="252" ht="15.75" customHeight="1">
      <c r="A252" s="423">
        <v>42920.0</v>
      </c>
      <c r="B252" s="424">
        <v>12.6545</v>
      </c>
      <c r="C252" s="171"/>
      <c r="D252" s="171"/>
      <c r="E252" s="425">
        <v>13.2611</v>
      </c>
      <c r="F252" s="425">
        <v>14.8348</v>
      </c>
      <c r="G252" s="425">
        <v>12.7263</v>
      </c>
      <c r="H252" s="171"/>
      <c r="I252" s="171"/>
      <c r="J252" s="171"/>
      <c r="K252" s="182">
        <v>9613.3</v>
      </c>
      <c r="L252" s="36"/>
      <c r="M252" s="36"/>
      <c r="N252" s="36"/>
      <c r="O252" s="36"/>
      <c r="P252" s="36"/>
      <c r="Q252" s="36"/>
      <c r="R252" s="36"/>
      <c r="S252" s="36"/>
      <c r="T252" s="36"/>
      <c r="U252" s="36"/>
      <c r="V252" s="36"/>
      <c r="W252" s="36"/>
      <c r="X252" s="36"/>
      <c r="Y252" s="36"/>
      <c r="Z252" s="36"/>
      <c r="AA252" s="36"/>
      <c r="AB252" s="36"/>
      <c r="AC252" s="36"/>
    </row>
    <row r="253" ht="15.75" customHeight="1">
      <c r="A253" s="423">
        <v>42921.0</v>
      </c>
      <c r="B253" s="424">
        <v>12.6925</v>
      </c>
      <c r="C253" s="171"/>
      <c r="D253" s="171"/>
      <c r="E253" s="425">
        <v>13.276</v>
      </c>
      <c r="F253" s="425">
        <v>14.8839</v>
      </c>
      <c r="G253" s="425">
        <v>12.726</v>
      </c>
      <c r="H253" s="171"/>
      <c r="I253" s="171"/>
      <c r="J253" s="171"/>
      <c r="K253" s="182">
        <v>9637.6</v>
      </c>
      <c r="L253" s="36"/>
      <c r="M253" s="36"/>
      <c r="N253" s="36"/>
      <c r="O253" s="36"/>
      <c r="P253" s="36"/>
      <c r="Q253" s="36"/>
      <c r="R253" s="36"/>
      <c r="S253" s="36"/>
      <c r="T253" s="36"/>
      <c r="U253" s="36"/>
      <c r="V253" s="36"/>
      <c r="W253" s="36"/>
      <c r="X253" s="36"/>
      <c r="Y253" s="36"/>
      <c r="Z253" s="36"/>
      <c r="AA253" s="36"/>
      <c r="AB253" s="36"/>
      <c r="AC253" s="36"/>
    </row>
    <row r="254" ht="15.75" customHeight="1">
      <c r="A254" s="423">
        <v>42922.0</v>
      </c>
      <c r="B254" s="424">
        <v>12.7156</v>
      </c>
      <c r="C254" s="171"/>
      <c r="D254" s="171"/>
      <c r="E254" s="425">
        <v>13.2911</v>
      </c>
      <c r="F254" s="425">
        <v>14.9926</v>
      </c>
      <c r="G254" s="425">
        <v>12.7296</v>
      </c>
      <c r="H254" s="171"/>
      <c r="I254" s="171"/>
      <c r="J254" s="171"/>
      <c r="K254" s="182">
        <v>9674.55</v>
      </c>
      <c r="L254" s="36"/>
      <c r="M254" s="36"/>
      <c r="N254" s="36"/>
      <c r="O254" s="36"/>
      <c r="P254" s="36"/>
      <c r="Q254" s="36"/>
      <c r="R254" s="36"/>
      <c r="S254" s="36"/>
      <c r="T254" s="36"/>
      <c r="U254" s="36"/>
      <c r="V254" s="36"/>
      <c r="W254" s="36"/>
      <c r="X254" s="36"/>
      <c r="Y254" s="36"/>
      <c r="Z254" s="36"/>
      <c r="AA254" s="36"/>
      <c r="AB254" s="36"/>
      <c r="AC254" s="36"/>
    </row>
    <row r="255" ht="15.75" customHeight="1">
      <c r="A255" s="423">
        <v>42923.0</v>
      </c>
      <c r="B255" s="424">
        <v>12.7163</v>
      </c>
      <c r="C255" s="171"/>
      <c r="D255" s="171"/>
      <c r="E255" s="425">
        <v>13.2961</v>
      </c>
      <c r="F255" s="425">
        <v>15.0869</v>
      </c>
      <c r="G255" s="425">
        <v>12.7355</v>
      </c>
      <c r="H255" s="171"/>
      <c r="I255" s="171"/>
      <c r="J255" s="171"/>
      <c r="K255" s="182">
        <v>9665.8</v>
      </c>
      <c r="L255" s="36"/>
      <c r="M255" s="36"/>
      <c r="N255" s="36"/>
      <c r="O255" s="36"/>
      <c r="P255" s="36"/>
      <c r="Q255" s="36"/>
      <c r="R255" s="36"/>
      <c r="S255" s="36"/>
      <c r="T255" s="36"/>
      <c r="U255" s="36"/>
      <c r="V255" s="36"/>
      <c r="W255" s="36"/>
      <c r="X255" s="36"/>
      <c r="Y255" s="36"/>
      <c r="Z255" s="36"/>
      <c r="AA255" s="36"/>
      <c r="AB255" s="36"/>
      <c r="AC255" s="36"/>
    </row>
    <row r="256" ht="15.75" customHeight="1">
      <c r="A256" s="423">
        <v>42926.0</v>
      </c>
      <c r="B256" s="424">
        <v>12.8121</v>
      </c>
      <c r="C256" s="171"/>
      <c r="D256" s="171"/>
      <c r="E256" s="425">
        <v>13.3256</v>
      </c>
      <c r="F256" s="425">
        <v>15.228</v>
      </c>
      <c r="G256" s="425">
        <v>12.7486</v>
      </c>
      <c r="H256" s="171"/>
      <c r="I256" s="171"/>
      <c r="J256" s="171"/>
      <c r="K256" s="182">
        <v>9771.05</v>
      </c>
      <c r="L256" s="36"/>
      <c r="M256" s="36"/>
      <c r="N256" s="36"/>
      <c r="O256" s="36"/>
      <c r="P256" s="36"/>
      <c r="Q256" s="36"/>
      <c r="R256" s="36"/>
      <c r="S256" s="36"/>
      <c r="T256" s="36"/>
      <c r="U256" s="36"/>
      <c r="V256" s="36"/>
      <c r="W256" s="36"/>
      <c r="X256" s="36"/>
      <c r="Y256" s="36"/>
      <c r="Z256" s="36"/>
      <c r="AA256" s="36"/>
      <c r="AB256" s="36"/>
      <c r="AC256" s="36"/>
    </row>
    <row r="257" ht="15.75" customHeight="1">
      <c r="A257" s="423">
        <v>42927.0</v>
      </c>
      <c r="B257" s="424">
        <v>12.8281</v>
      </c>
      <c r="C257" s="171"/>
      <c r="D257" s="171"/>
      <c r="E257" s="425">
        <v>13.3297</v>
      </c>
      <c r="F257" s="425">
        <v>15.3229</v>
      </c>
      <c r="G257" s="425">
        <v>12.7505</v>
      </c>
      <c r="H257" s="171"/>
      <c r="I257" s="171"/>
      <c r="J257" s="171"/>
      <c r="K257" s="182">
        <v>9786.05</v>
      </c>
      <c r="L257" s="36"/>
      <c r="M257" s="36"/>
      <c r="N257" s="36"/>
      <c r="O257" s="36"/>
      <c r="P257" s="36"/>
      <c r="Q257" s="36"/>
      <c r="R257" s="36"/>
      <c r="S257" s="36"/>
      <c r="T257" s="36"/>
      <c r="U257" s="36"/>
      <c r="V257" s="36"/>
      <c r="W257" s="36"/>
      <c r="X257" s="36"/>
      <c r="Y257" s="36"/>
      <c r="Z257" s="36"/>
      <c r="AA257" s="36"/>
      <c r="AB257" s="36"/>
      <c r="AC257" s="36"/>
    </row>
    <row r="258" ht="15.75" customHeight="1">
      <c r="A258" s="423">
        <v>42928.0</v>
      </c>
      <c r="B258" s="424">
        <v>12.8832</v>
      </c>
      <c r="C258" s="171"/>
      <c r="D258" s="171"/>
      <c r="E258" s="425">
        <v>13.3336</v>
      </c>
      <c r="F258" s="425">
        <v>15.419</v>
      </c>
      <c r="G258" s="425">
        <v>12.7518</v>
      </c>
      <c r="H258" s="171"/>
      <c r="I258" s="171"/>
      <c r="J258" s="171"/>
      <c r="K258" s="182">
        <v>9816.1</v>
      </c>
      <c r="L258" s="36"/>
      <c r="M258" s="36"/>
      <c r="N258" s="36"/>
      <c r="O258" s="36"/>
      <c r="P258" s="36"/>
      <c r="Q258" s="36"/>
      <c r="R258" s="36"/>
      <c r="S258" s="36"/>
      <c r="T258" s="36"/>
      <c r="U258" s="36"/>
      <c r="V258" s="36"/>
      <c r="W258" s="36"/>
      <c r="X258" s="36"/>
      <c r="Y258" s="36"/>
      <c r="Z258" s="36"/>
      <c r="AA258" s="36"/>
      <c r="AB258" s="36"/>
      <c r="AC258" s="36"/>
    </row>
    <row r="259" ht="15.75" customHeight="1">
      <c r="A259" s="423">
        <v>42929.0</v>
      </c>
      <c r="B259" s="424">
        <v>12.9659</v>
      </c>
      <c r="C259" s="171"/>
      <c r="D259" s="171"/>
      <c r="E259" s="425">
        <v>13.3497</v>
      </c>
      <c r="F259" s="425">
        <v>15.6313</v>
      </c>
      <c r="G259" s="425">
        <v>12.754</v>
      </c>
      <c r="H259" s="171"/>
      <c r="I259" s="171"/>
      <c r="J259" s="171"/>
      <c r="K259" s="182">
        <v>9891.7</v>
      </c>
      <c r="L259" s="36"/>
      <c r="M259" s="36"/>
      <c r="N259" s="36"/>
      <c r="O259" s="36"/>
      <c r="P259" s="36"/>
      <c r="Q259" s="36"/>
      <c r="R259" s="36"/>
      <c r="S259" s="36"/>
      <c r="T259" s="36"/>
      <c r="U259" s="36"/>
      <c r="V259" s="36"/>
      <c r="W259" s="36"/>
      <c r="X259" s="36"/>
      <c r="Y259" s="36"/>
      <c r="Z259" s="36"/>
      <c r="AA259" s="36"/>
      <c r="AB259" s="36"/>
      <c r="AC259" s="36"/>
    </row>
    <row r="260" ht="15.75" customHeight="1">
      <c r="A260" s="423">
        <v>42930.0</v>
      </c>
      <c r="B260" s="424">
        <v>12.9525</v>
      </c>
      <c r="C260" s="171"/>
      <c r="D260" s="171"/>
      <c r="E260" s="425">
        <v>13.3454</v>
      </c>
      <c r="F260" s="425">
        <v>15.5062</v>
      </c>
      <c r="G260" s="425">
        <v>12.7538</v>
      </c>
      <c r="H260" s="171"/>
      <c r="I260" s="171"/>
      <c r="J260" s="171"/>
      <c r="K260" s="182">
        <v>9886.35</v>
      </c>
      <c r="L260" s="36"/>
      <c r="M260" s="36"/>
      <c r="N260" s="36"/>
      <c r="O260" s="36"/>
      <c r="P260" s="36"/>
      <c r="Q260" s="36"/>
      <c r="R260" s="36"/>
      <c r="S260" s="36"/>
      <c r="T260" s="36"/>
      <c r="U260" s="36"/>
      <c r="V260" s="36"/>
      <c r="W260" s="36"/>
      <c r="X260" s="36"/>
      <c r="Y260" s="36"/>
      <c r="Z260" s="36"/>
      <c r="AA260" s="36"/>
      <c r="AB260" s="36"/>
      <c r="AC260" s="36"/>
    </row>
    <row r="261" ht="15.75" customHeight="1">
      <c r="A261" s="423">
        <v>42933.0</v>
      </c>
      <c r="B261" s="424">
        <v>12.9959</v>
      </c>
      <c r="C261" s="171"/>
      <c r="D261" s="171"/>
      <c r="E261" s="425">
        <v>13.3544</v>
      </c>
      <c r="F261" s="425">
        <v>15.4699</v>
      </c>
      <c r="G261" s="425">
        <v>12.7613</v>
      </c>
      <c r="H261" s="171"/>
      <c r="I261" s="171"/>
      <c r="J261" s="171"/>
      <c r="K261" s="182">
        <v>9915.95</v>
      </c>
      <c r="L261" s="36"/>
      <c r="M261" s="36"/>
      <c r="N261" s="36"/>
      <c r="O261" s="36"/>
      <c r="P261" s="36"/>
      <c r="Q261" s="36"/>
      <c r="R261" s="36"/>
      <c r="S261" s="36"/>
      <c r="T261" s="36"/>
      <c r="U261" s="36"/>
      <c r="V261" s="36"/>
      <c r="W261" s="36"/>
      <c r="X261" s="36"/>
      <c r="Y261" s="36"/>
      <c r="Z261" s="36"/>
      <c r="AA261" s="36"/>
      <c r="AB261" s="36"/>
      <c r="AC261" s="36"/>
    </row>
    <row r="262" ht="15.75" customHeight="1">
      <c r="A262" s="423">
        <v>42934.0</v>
      </c>
      <c r="B262" s="424">
        <v>12.8785</v>
      </c>
      <c r="C262" s="171"/>
      <c r="D262" s="171"/>
      <c r="E262" s="425">
        <v>13.3608</v>
      </c>
      <c r="F262" s="425">
        <v>15.37</v>
      </c>
      <c r="G262" s="425">
        <v>12.7654</v>
      </c>
      <c r="H262" s="171"/>
      <c r="I262" s="171"/>
      <c r="J262" s="171"/>
      <c r="K262" s="182">
        <v>9827.15</v>
      </c>
      <c r="L262" s="36"/>
      <c r="M262" s="36"/>
      <c r="N262" s="36"/>
      <c r="O262" s="36"/>
      <c r="P262" s="36"/>
      <c r="Q262" s="36"/>
      <c r="R262" s="36"/>
      <c r="S262" s="36"/>
      <c r="T262" s="36"/>
      <c r="U262" s="36"/>
      <c r="V262" s="36"/>
      <c r="W262" s="36"/>
      <c r="X262" s="36"/>
      <c r="Y262" s="36"/>
      <c r="Z262" s="36"/>
      <c r="AA262" s="36"/>
      <c r="AB262" s="36"/>
      <c r="AC262" s="36"/>
    </row>
    <row r="263" ht="15.75" customHeight="1">
      <c r="A263" s="423">
        <v>42935.0</v>
      </c>
      <c r="B263" s="424">
        <v>12.9789</v>
      </c>
      <c r="C263" s="171"/>
      <c r="D263" s="171"/>
      <c r="E263" s="425">
        <v>13.3772</v>
      </c>
      <c r="F263" s="425">
        <v>15.4917</v>
      </c>
      <c r="G263" s="425">
        <v>12.7698</v>
      </c>
      <c r="H263" s="171"/>
      <c r="I263" s="171"/>
      <c r="J263" s="171"/>
      <c r="K263" s="182">
        <v>9899.6</v>
      </c>
      <c r="L263" s="36"/>
      <c r="M263" s="36"/>
      <c r="N263" s="36"/>
      <c r="O263" s="36"/>
      <c r="P263" s="36"/>
      <c r="Q263" s="36"/>
      <c r="R263" s="36"/>
      <c r="S263" s="36"/>
      <c r="T263" s="36"/>
      <c r="U263" s="36"/>
      <c r="V263" s="36"/>
      <c r="W263" s="36"/>
      <c r="X263" s="36"/>
      <c r="Y263" s="36"/>
      <c r="Z263" s="36"/>
      <c r="AA263" s="36"/>
      <c r="AB263" s="36"/>
      <c r="AC263" s="36"/>
    </row>
    <row r="264" ht="15.75" customHeight="1">
      <c r="A264" s="423">
        <v>42936.0</v>
      </c>
      <c r="B264" s="424">
        <v>12.9437</v>
      </c>
      <c r="C264" s="171"/>
      <c r="D264" s="171"/>
      <c r="E264" s="425">
        <v>13.3796</v>
      </c>
      <c r="F264" s="425">
        <v>15.4381</v>
      </c>
      <c r="G264" s="425">
        <v>12.774</v>
      </c>
      <c r="H264" s="171"/>
      <c r="I264" s="171"/>
      <c r="J264" s="171"/>
      <c r="K264" s="182">
        <v>9873.3</v>
      </c>
      <c r="L264" s="36"/>
      <c r="M264" s="36"/>
      <c r="N264" s="36"/>
      <c r="O264" s="36"/>
      <c r="P264" s="36"/>
      <c r="Q264" s="36"/>
      <c r="R264" s="36"/>
      <c r="S264" s="36"/>
      <c r="T264" s="36"/>
      <c r="U264" s="36"/>
      <c r="V264" s="36"/>
      <c r="W264" s="36"/>
      <c r="X264" s="36"/>
      <c r="Y264" s="36"/>
      <c r="Z264" s="36"/>
      <c r="AA264" s="36"/>
      <c r="AB264" s="36"/>
      <c r="AC264" s="36"/>
    </row>
    <row r="265" ht="15.75" customHeight="1">
      <c r="A265" s="423">
        <v>42937.0</v>
      </c>
      <c r="B265" s="424">
        <v>12.9974</v>
      </c>
      <c r="C265" s="171"/>
      <c r="D265" s="171"/>
      <c r="E265" s="425">
        <v>13.4039</v>
      </c>
      <c r="F265" s="425">
        <v>15.4499</v>
      </c>
      <c r="G265" s="425">
        <v>12.7805</v>
      </c>
      <c r="H265" s="171"/>
      <c r="I265" s="171"/>
      <c r="J265" s="171"/>
      <c r="K265" s="182">
        <v>9915.25</v>
      </c>
      <c r="L265" s="36"/>
      <c r="M265" s="36"/>
      <c r="N265" s="36"/>
      <c r="O265" s="36"/>
      <c r="P265" s="36"/>
      <c r="Q265" s="36"/>
      <c r="R265" s="36"/>
      <c r="S265" s="36"/>
      <c r="T265" s="36"/>
      <c r="U265" s="36"/>
      <c r="V265" s="36"/>
      <c r="W265" s="36"/>
      <c r="X265" s="36"/>
      <c r="Y265" s="36"/>
      <c r="Z265" s="36"/>
      <c r="AA265" s="36"/>
      <c r="AB265" s="36"/>
      <c r="AC265" s="36"/>
    </row>
    <row r="266" ht="15.75" customHeight="1">
      <c r="A266" s="423">
        <v>42940.0</v>
      </c>
      <c r="B266" s="424">
        <v>13.0621</v>
      </c>
      <c r="C266" s="171"/>
      <c r="D266" s="171"/>
      <c r="E266" s="425">
        <v>13.4244</v>
      </c>
      <c r="F266" s="425">
        <v>15.4978</v>
      </c>
      <c r="G266" s="425">
        <v>12.7903</v>
      </c>
      <c r="H266" s="171"/>
      <c r="I266" s="171"/>
      <c r="J266" s="171"/>
      <c r="K266" s="182">
        <v>9966.4</v>
      </c>
      <c r="L266" s="36"/>
      <c r="M266" s="36"/>
      <c r="N266" s="36"/>
      <c r="O266" s="36"/>
      <c r="P266" s="36"/>
      <c r="Q266" s="36"/>
      <c r="R266" s="36"/>
      <c r="S266" s="36"/>
      <c r="T266" s="36"/>
      <c r="U266" s="36"/>
      <c r="V266" s="36"/>
      <c r="W266" s="36"/>
      <c r="X266" s="36"/>
      <c r="Y266" s="36"/>
      <c r="Z266" s="36"/>
      <c r="AA266" s="36"/>
      <c r="AB266" s="36"/>
      <c r="AC266" s="36"/>
    </row>
    <row r="267" ht="15.75" customHeight="1">
      <c r="A267" s="423">
        <v>42941.0</v>
      </c>
      <c r="B267" s="424">
        <v>13.05</v>
      </c>
      <c r="C267" s="171"/>
      <c r="D267" s="171"/>
      <c r="E267" s="425">
        <v>13.4164</v>
      </c>
      <c r="F267" s="425">
        <v>15.5002</v>
      </c>
      <c r="G267" s="425">
        <v>12.7852</v>
      </c>
      <c r="H267" s="171"/>
      <c r="I267" s="171"/>
      <c r="J267" s="171"/>
      <c r="K267" s="182">
        <v>9964.55</v>
      </c>
      <c r="L267" s="36"/>
      <c r="M267" s="36"/>
      <c r="N267" s="36"/>
      <c r="O267" s="36"/>
      <c r="P267" s="36"/>
      <c r="Q267" s="36"/>
      <c r="R267" s="36"/>
      <c r="S267" s="36"/>
      <c r="T267" s="36"/>
      <c r="U267" s="36"/>
      <c r="V267" s="36"/>
      <c r="W267" s="36"/>
      <c r="X267" s="36"/>
      <c r="Y267" s="36"/>
      <c r="Z267" s="36"/>
      <c r="AA267" s="36"/>
      <c r="AB267" s="36"/>
      <c r="AC267" s="36"/>
    </row>
    <row r="268" ht="15.75" customHeight="1">
      <c r="A268" s="423">
        <v>42942.0</v>
      </c>
      <c r="B268" s="424">
        <v>13.1283</v>
      </c>
      <c r="C268" s="171"/>
      <c r="D268" s="171"/>
      <c r="E268" s="425">
        <v>13.4079</v>
      </c>
      <c r="F268" s="425">
        <v>15.5774</v>
      </c>
      <c r="G268" s="425">
        <v>12.7861</v>
      </c>
      <c r="H268" s="171"/>
      <c r="I268" s="171"/>
      <c r="J268" s="171"/>
      <c r="K268" s="182">
        <v>10020.65</v>
      </c>
      <c r="L268" s="36"/>
      <c r="M268" s="36"/>
      <c r="N268" s="36"/>
      <c r="O268" s="36"/>
      <c r="P268" s="36"/>
      <c r="Q268" s="36"/>
      <c r="R268" s="36"/>
      <c r="S268" s="36"/>
      <c r="T268" s="36"/>
      <c r="U268" s="36"/>
      <c r="V268" s="36"/>
      <c r="W268" s="36"/>
      <c r="X268" s="36"/>
      <c r="Y268" s="36"/>
      <c r="Z268" s="36"/>
      <c r="AA268" s="36"/>
      <c r="AB268" s="36"/>
      <c r="AC268" s="36"/>
    </row>
    <row r="269" ht="15.75" customHeight="1">
      <c r="A269" s="423">
        <v>42943.0</v>
      </c>
      <c r="B269" s="424">
        <v>13.0904</v>
      </c>
      <c r="C269" s="171"/>
      <c r="D269" s="171"/>
      <c r="E269" s="425">
        <v>13.4121</v>
      </c>
      <c r="F269" s="425">
        <v>15.5352</v>
      </c>
      <c r="G269" s="425">
        <v>12.787</v>
      </c>
      <c r="H269" s="171"/>
      <c r="I269" s="171"/>
      <c r="J269" s="171"/>
      <c r="K269" s="182">
        <v>10020.55</v>
      </c>
      <c r="L269" s="36"/>
      <c r="M269" s="36"/>
      <c r="N269" s="36"/>
      <c r="O269" s="36"/>
      <c r="P269" s="36"/>
      <c r="Q269" s="36"/>
      <c r="R269" s="36"/>
      <c r="S269" s="36"/>
      <c r="T269" s="36"/>
      <c r="U269" s="36"/>
      <c r="V269" s="36"/>
      <c r="W269" s="36"/>
      <c r="X269" s="36"/>
      <c r="Y269" s="36"/>
      <c r="Z269" s="36"/>
      <c r="AA269" s="36"/>
      <c r="AB269" s="36"/>
      <c r="AC269" s="36"/>
    </row>
    <row r="270" ht="15.75" customHeight="1">
      <c r="A270" s="423">
        <v>42944.0</v>
      </c>
      <c r="B270" s="424">
        <v>13.0522</v>
      </c>
      <c r="C270" s="171"/>
      <c r="D270" s="171"/>
      <c r="E270" s="425">
        <v>13.4074</v>
      </c>
      <c r="F270" s="425">
        <v>15.589</v>
      </c>
      <c r="G270" s="425">
        <v>12.7887</v>
      </c>
      <c r="H270" s="171"/>
      <c r="I270" s="171"/>
      <c r="J270" s="171"/>
      <c r="K270" s="182">
        <v>10014.5</v>
      </c>
      <c r="L270" s="36"/>
      <c r="M270" s="36"/>
      <c r="N270" s="36"/>
      <c r="O270" s="36"/>
      <c r="P270" s="36"/>
      <c r="Q270" s="36"/>
      <c r="R270" s="36"/>
      <c r="S270" s="36"/>
      <c r="T270" s="36"/>
      <c r="U270" s="36"/>
      <c r="V270" s="36"/>
      <c r="W270" s="36"/>
      <c r="X270" s="36"/>
      <c r="Y270" s="36"/>
      <c r="Z270" s="36"/>
      <c r="AA270" s="36"/>
      <c r="AB270" s="36"/>
      <c r="AC270" s="36"/>
    </row>
    <row r="271" ht="15.75" customHeight="1">
      <c r="A271" s="423">
        <v>42947.0</v>
      </c>
      <c r="B271" s="424">
        <v>13.1308</v>
      </c>
      <c r="C271" s="171"/>
      <c r="D271" s="171"/>
      <c r="E271" s="425">
        <v>13.4009</v>
      </c>
      <c r="F271" s="425">
        <v>15.6072</v>
      </c>
      <c r="G271" s="425">
        <v>12.7894</v>
      </c>
      <c r="H271" s="171"/>
      <c r="I271" s="171"/>
      <c r="J271" s="171"/>
      <c r="K271" s="182">
        <v>10077.1</v>
      </c>
      <c r="L271" s="36"/>
      <c r="M271" s="36"/>
      <c r="N271" s="36"/>
      <c r="O271" s="36"/>
      <c r="P271" s="36"/>
      <c r="Q271" s="36"/>
      <c r="R271" s="36"/>
      <c r="S271" s="36"/>
      <c r="T271" s="36"/>
      <c r="U271" s="36"/>
      <c r="V271" s="36"/>
      <c r="W271" s="36"/>
      <c r="X271" s="36"/>
      <c r="Y271" s="36"/>
      <c r="Z271" s="36"/>
      <c r="AA271" s="36"/>
      <c r="AB271" s="36"/>
      <c r="AC271" s="36"/>
    </row>
    <row r="272" ht="15.75" customHeight="1">
      <c r="A272" s="423">
        <v>42948.0</v>
      </c>
      <c r="B272" s="424">
        <v>13.1844</v>
      </c>
      <c r="C272" s="171"/>
      <c r="D272" s="171"/>
      <c r="E272" s="425">
        <v>13.4096</v>
      </c>
      <c r="F272" s="425">
        <v>15.6517</v>
      </c>
      <c r="G272" s="425">
        <v>12.7934</v>
      </c>
      <c r="H272" s="171"/>
      <c r="I272" s="171"/>
      <c r="J272" s="171"/>
      <c r="K272" s="182">
        <v>10114.65</v>
      </c>
      <c r="L272" s="36"/>
      <c r="M272" s="36"/>
      <c r="N272" s="36"/>
      <c r="O272" s="36"/>
      <c r="P272" s="36"/>
      <c r="Q272" s="36"/>
      <c r="R272" s="36"/>
      <c r="S272" s="36"/>
      <c r="T272" s="36"/>
      <c r="U272" s="36"/>
      <c r="V272" s="36"/>
      <c r="W272" s="36"/>
      <c r="X272" s="36"/>
      <c r="Y272" s="36"/>
      <c r="Z272" s="36"/>
      <c r="AA272" s="36"/>
      <c r="AB272" s="36"/>
      <c r="AC272" s="36"/>
    </row>
    <row r="273" ht="15.75" customHeight="1">
      <c r="A273" s="423">
        <v>42949.0</v>
      </c>
      <c r="B273" s="424">
        <v>13.151</v>
      </c>
      <c r="C273" s="171"/>
      <c r="D273" s="171"/>
      <c r="E273" s="425">
        <v>13.4149</v>
      </c>
      <c r="F273" s="425">
        <v>15.6102</v>
      </c>
      <c r="G273" s="425">
        <v>12.7992</v>
      </c>
      <c r="H273" s="171"/>
      <c r="I273" s="171"/>
      <c r="J273" s="171"/>
      <c r="K273" s="182">
        <v>10081.5</v>
      </c>
      <c r="L273" s="36"/>
      <c r="M273" s="36"/>
      <c r="N273" s="36"/>
      <c r="O273" s="36"/>
      <c r="P273" s="36"/>
      <c r="Q273" s="36"/>
      <c r="R273" s="36"/>
      <c r="S273" s="36"/>
      <c r="T273" s="36"/>
      <c r="U273" s="36"/>
      <c r="V273" s="36"/>
      <c r="W273" s="36"/>
      <c r="X273" s="36"/>
      <c r="Y273" s="36"/>
      <c r="Z273" s="36"/>
      <c r="AA273" s="36"/>
      <c r="AB273" s="36"/>
      <c r="AC273" s="36"/>
    </row>
    <row r="274" ht="15.75" customHeight="1">
      <c r="A274" s="423">
        <v>42950.0</v>
      </c>
      <c r="B274" s="424">
        <v>13.0673</v>
      </c>
      <c r="C274" s="171"/>
      <c r="D274" s="171"/>
      <c r="E274" s="425">
        <v>13.4521</v>
      </c>
      <c r="F274" s="425">
        <v>15.5218</v>
      </c>
      <c r="G274" s="425">
        <v>12.8086</v>
      </c>
      <c r="H274" s="171"/>
      <c r="I274" s="171"/>
      <c r="J274" s="171"/>
      <c r="K274" s="182">
        <v>10013.65</v>
      </c>
      <c r="L274" s="36"/>
      <c r="M274" s="36"/>
      <c r="N274" s="36"/>
      <c r="O274" s="36"/>
      <c r="P274" s="36"/>
      <c r="Q274" s="36"/>
      <c r="R274" s="36"/>
      <c r="S274" s="36"/>
      <c r="T274" s="36"/>
      <c r="U274" s="36"/>
      <c r="V274" s="36"/>
      <c r="W274" s="36"/>
      <c r="X274" s="36"/>
      <c r="Y274" s="36"/>
      <c r="Z274" s="36"/>
      <c r="AA274" s="36"/>
      <c r="AB274" s="36"/>
      <c r="AC274" s="36"/>
    </row>
    <row r="275" ht="15.75" customHeight="1">
      <c r="A275" s="423">
        <v>42951.0</v>
      </c>
      <c r="B275" s="424">
        <v>13.1518</v>
      </c>
      <c r="C275" s="171"/>
      <c r="D275" s="171"/>
      <c r="E275" s="425">
        <v>13.4531</v>
      </c>
      <c r="F275" s="425">
        <v>15.6035</v>
      </c>
      <c r="G275" s="425">
        <v>12.8121</v>
      </c>
      <c r="H275" s="171"/>
      <c r="I275" s="171"/>
      <c r="J275" s="171"/>
      <c r="K275" s="182">
        <v>10066.4</v>
      </c>
      <c r="L275" s="36"/>
      <c r="M275" s="36"/>
      <c r="N275" s="36"/>
      <c r="O275" s="36"/>
      <c r="P275" s="36"/>
      <c r="Q275" s="36"/>
      <c r="R275" s="36"/>
      <c r="S275" s="36"/>
      <c r="T275" s="36"/>
      <c r="U275" s="36"/>
      <c r="V275" s="36"/>
      <c r="W275" s="36"/>
      <c r="X275" s="36"/>
      <c r="Y275" s="36"/>
      <c r="Z275" s="36"/>
      <c r="AA275" s="36"/>
      <c r="AB275" s="36"/>
      <c r="AC275" s="36"/>
    </row>
    <row r="276" ht="15.75" customHeight="1">
      <c r="A276" s="423">
        <v>42954.0</v>
      </c>
      <c r="B276" s="424">
        <v>13.1569</v>
      </c>
      <c r="C276" s="171"/>
      <c r="D276" s="171"/>
      <c r="E276" s="425">
        <v>13.4511</v>
      </c>
      <c r="F276" s="425">
        <v>15.6066</v>
      </c>
      <c r="G276" s="425">
        <v>12.812</v>
      </c>
      <c r="H276" s="171"/>
      <c r="I276" s="171"/>
      <c r="J276" s="171"/>
      <c r="K276" s="182">
        <v>10057.4</v>
      </c>
      <c r="L276" s="36"/>
      <c r="M276" s="36"/>
      <c r="N276" s="36"/>
      <c r="O276" s="36"/>
      <c r="P276" s="36"/>
      <c r="Q276" s="36"/>
      <c r="R276" s="36"/>
      <c r="S276" s="36"/>
      <c r="T276" s="36"/>
      <c r="U276" s="36"/>
      <c r="V276" s="36"/>
      <c r="W276" s="36"/>
      <c r="X276" s="36"/>
      <c r="Y276" s="36"/>
      <c r="Z276" s="36"/>
      <c r="AA276" s="36"/>
      <c r="AB276" s="36"/>
      <c r="AC276" s="36"/>
    </row>
    <row r="277" ht="15.75" customHeight="1">
      <c r="A277" s="423">
        <v>42955.0</v>
      </c>
      <c r="B277" s="424">
        <v>13.0591</v>
      </c>
      <c r="C277" s="171"/>
      <c r="D277" s="171"/>
      <c r="E277" s="425">
        <v>13.4506</v>
      </c>
      <c r="F277" s="425">
        <v>15.473</v>
      </c>
      <c r="G277" s="425">
        <v>12.8143</v>
      </c>
      <c r="H277" s="171"/>
      <c r="I277" s="171"/>
      <c r="J277" s="171"/>
      <c r="K277" s="182">
        <v>9978.55</v>
      </c>
      <c r="L277" s="36"/>
      <c r="M277" s="36"/>
      <c r="N277" s="36"/>
      <c r="O277" s="36"/>
      <c r="P277" s="36"/>
      <c r="Q277" s="36"/>
      <c r="R277" s="36"/>
      <c r="S277" s="36"/>
      <c r="T277" s="36"/>
      <c r="U277" s="36"/>
      <c r="V277" s="36"/>
      <c r="W277" s="36"/>
      <c r="X277" s="36"/>
      <c r="Y277" s="36"/>
      <c r="Z277" s="36"/>
      <c r="AA277" s="36"/>
      <c r="AB277" s="36"/>
      <c r="AC277" s="36"/>
    </row>
    <row r="278" ht="15.75" customHeight="1">
      <c r="A278" s="423">
        <v>42956.0</v>
      </c>
      <c r="B278" s="424">
        <v>12.9654</v>
      </c>
      <c r="C278" s="171"/>
      <c r="D278" s="171"/>
      <c r="E278" s="425">
        <v>13.4501</v>
      </c>
      <c r="F278" s="425">
        <v>15.34</v>
      </c>
      <c r="G278" s="425">
        <v>12.8176</v>
      </c>
      <c r="H278" s="171"/>
      <c r="I278" s="171"/>
      <c r="J278" s="171"/>
      <c r="K278" s="182">
        <v>9908.05</v>
      </c>
      <c r="L278" s="36"/>
      <c r="M278" s="36"/>
      <c r="N278" s="36"/>
      <c r="O278" s="36"/>
      <c r="P278" s="36"/>
      <c r="Q278" s="36"/>
      <c r="R278" s="36"/>
      <c r="S278" s="36"/>
      <c r="T278" s="36"/>
      <c r="U278" s="36"/>
      <c r="V278" s="36"/>
      <c r="W278" s="36"/>
      <c r="X278" s="36"/>
      <c r="Y278" s="36"/>
      <c r="Z278" s="36"/>
      <c r="AA278" s="36"/>
      <c r="AB278" s="36"/>
      <c r="AC278" s="36"/>
    </row>
    <row r="279" ht="15.75" customHeight="1">
      <c r="A279" s="423">
        <v>42957.0</v>
      </c>
      <c r="B279" s="424">
        <v>12.8311</v>
      </c>
      <c r="C279" s="171"/>
      <c r="D279" s="171"/>
      <c r="E279" s="425">
        <v>13.4374</v>
      </c>
      <c r="F279" s="425">
        <v>15.1673</v>
      </c>
      <c r="G279" s="425">
        <v>12.8157</v>
      </c>
      <c r="H279" s="171"/>
      <c r="I279" s="171"/>
      <c r="J279" s="171"/>
      <c r="K279" s="182">
        <v>9820.25</v>
      </c>
      <c r="L279" s="36"/>
      <c r="M279" s="36"/>
      <c r="N279" s="36"/>
      <c r="O279" s="36"/>
      <c r="P279" s="36"/>
      <c r="Q279" s="36"/>
      <c r="R279" s="36"/>
      <c r="S279" s="36"/>
      <c r="T279" s="36"/>
      <c r="U279" s="36"/>
      <c r="V279" s="36"/>
      <c r="W279" s="36"/>
      <c r="X279" s="36"/>
      <c r="Y279" s="36"/>
      <c r="Z279" s="36"/>
      <c r="AA279" s="36"/>
      <c r="AB279" s="36"/>
      <c r="AC279" s="36"/>
    </row>
    <row r="280" ht="15.75" customHeight="1">
      <c r="A280" s="423">
        <v>42958.0</v>
      </c>
      <c r="B280" s="424">
        <v>12.708</v>
      </c>
      <c r="C280" s="171"/>
      <c r="D280" s="171"/>
      <c r="E280" s="425">
        <v>13.4249</v>
      </c>
      <c r="F280" s="425">
        <v>15.0348</v>
      </c>
      <c r="G280" s="425">
        <v>12.818</v>
      </c>
      <c r="H280" s="171"/>
      <c r="I280" s="171"/>
      <c r="J280" s="171"/>
      <c r="K280" s="182">
        <v>9710.8</v>
      </c>
      <c r="L280" s="36"/>
      <c r="M280" s="36"/>
      <c r="N280" s="36"/>
      <c r="O280" s="36"/>
      <c r="P280" s="36"/>
      <c r="Q280" s="36"/>
      <c r="R280" s="36"/>
      <c r="S280" s="36"/>
      <c r="T280" s="36"/>
      <c r="U280" s="36"/>
      <c r="V280" s="36"/>
      <c r="W280" s="36"/>
      <c r="X280" s="36"/>
      <c r="Y280" s="36"/>
      <c r="Z280" s="36"/>
      <c r="AA280" s="36"/>
      <c r="AB280" s="36"/>
      <c r="AC280" s="36"/>
    </row>
    <row r="281" ht="15.75" customHeight="1">
      <c r="A281" s="423">
        <v>42961.0</v>
      </c>
      <c r="B281" s="424">
        <v>12.8423</v>
      </c>
      <c r="C281" s="171"/>
      <c r="D281" s="171"/>
      <c r="E281" s="425">
        <v>13.4289</v>
      </c>
      <c r="F281" s="425">
        <v>15.1876</v>
      </c>
      <c r="G281" s="425">
        <v>12.8206</v>
      </c>
      <c r="H281" s="171"/>
      <c r="I281" s="171"/>
      <c r="J281" s="171"/>
      <c r="K281" s="182">
        <v>9794.15</v>
      </c>
      <c r="L281" s="36"/>
      <c r="M281" s="36"/>
      <c r="N281" s="36"/>
      <c r="O281" s="36"/>
      <c r="P281" s="36"/>
      <c r="Q281" s="36"/>
      <c r="R281" s="36"/>
      <c r="S281" s="36"/>
      <c r="T281" s="36"/>
      <c r="U281" s="36"/>
      <c r="V281" s="36"/>
      <c r="W281" s="36"/>
      <c r="X281" s="36"/>
      <c r="Y281" s="36"/>
      <c r="Z281" s="36"/>
      <c r="AA281" s="36"/>
      <c r="AB281" s="36"/>
      <c r="AC281" s="36"/>
    </row>
    <row r="282" ht="15.75" customHeight="1">
      <c r="A282" s="423">
        <v>42963.0</v>
      </c>
      <c r="B282" s="424">
        <v>12.9659</v>
      </c>
      <c r="C282" s="171"/>
      <c r="D282" s="171"/>
      <c r="E282" s="425">
        <v>13.4264</v>
      </c>
      <c r="F282" s="425">
        <v>15.3203</v>
      </c>
      <c r="G282" s="425">
        <v>12.8231</v>
      </c>
      <c r="H282" s="171"/>
      <c r="I282" s="171"/>
      <c r="J282" s="171"/>
      <c r="K282" s="182">
        <v>9897.3</v>
      </c>
      <c r="L282" s="36"/>
      <c r="M282" s="36"/>
      <c r="N282" s="36"/>
      <c r="O282" s="36"/>
      <c r="P282" s="36"/>
      <c r="Q282" s="36"/>
      <c r="R282" s="36"/>
      <c r="S282" s="36"/>
      <c r="T282" s="36"/>
      <c r="U282" s="36"/>
      <c r="V282" s="36"/>
      <c r="W282" s="36"/>
      <c r="X282" s="36"/>
      <c r="Y282" s="36"/>
      <c r="Z282" s="36"/>
      <c r="AA282" s="36"/>
      <c r="AB282" s="36"/>
      <c r="AC282" s="36"/>
    </row>
    <row r="283" ht="15.75" customHeight="1">
      <c r="A283" s="423">
        <v>42964.0</v>
      </c>
      <c r="B283" s="424">
        <v>12.9622</v>
      </c>
      <c r="C283" s="171"/>
      <c r="D283" s="171"/>
      <c r="E283" s="425">
        <v>13.4284</v>
      </c>
      <c r="F283" s="425">
        <v>15.3099</v>
      </c>
      <c r="G283" s="425">
        <v>12.8249</v>
      </c>
      <c r="H283" s="171"/>
      <c r="I283" s="171"/>
      <c r="J283" s="171"/>
      <c r="K283" s="182">
        <v>9904.15</v>
      </c>
      <c r="L283" s="36"/>
      <c r="M283" s="36"/>
      <c r="N283" s="36"/>
      <c r="O283" s="36"/>
      <c r="P283" s="36"/>
      <c r="Q283" s="36"/>
      <c r="R283" s="36"/>
      <c r="S283" s="36"/>
      <c r="T283" s="36"/>
      <c r="U283" s="36"/>
      <c r="V283" s="36"/>
      <c r="W283" s="36"/>
      <c r="X283" s="36"/>
      <c r="Y283" s="36"/>
      <c r="Z283" s="36"/>
      <c r="AA283" s="36"/>
      <c r="AB283" s="36"/>
      <c r="AC283" s="36"/>
    </row>
    <row r="284" ht="15.75" customHeight="1">
      <c r="A284" s="423">
        <v>42965.0</v>
      </c>
      <c r="B284" s="424">
        <v>12.8937</v>
      </c>
      <c r="C284" s="171"/>
      <c r="D284" s="171"/>
      <c r="E284" s="425">
        <v>13.4391</v>
      </c>
      <c r="F284" s="425">
        <v>15.2289</v>
      </c>
      <c r="G284" s="425">
        <v>12.83</v>
      </c>
      <c r="H284" s="171"/>
      <c r="I284" s="171"/>
      <c r="J284" s="171"/>
      <c r="K284" s="182">
        <v>9837.4</v>
      </c>
      <c r="L284" s="36"/>
      <c r="M284" s="36"/>
      <c r="N284" s="36"/>
      <c r="O284" s="36"/>
      <c r="P284" s="36"/>
      <c r="Q284" s="36"/>
      <c r="R284" s="36"/>
      <c r="S284" s="36"/>
      <c r="T284" s="36"/>
      <c r="U284" s="36"/>
      <c r="V284" s="36"/>
      <c r="W284" s="36"/>
      <c r="X284" s="36"/>
      <c r="Y284" s="36"/>
      <c r="Z284" s="36"/>
      <c r="AA284" s="36"/>
      <c r="AB284" s="36"/>
      <c r="AC284" s="36"/>
    </row>
    <row r="285" ht="15.75" customHeight="1">
      <c r="A285" s="423">
        <v>42968.0</v>
      </c>
      <c r="B285" s="424">
        <v>12.7745</v>
      </c>
      <c r="C285" s="171"/>
      <c r="D285" s="171"/>
      <c r="E285" s="425">
        <v>13.4399</v>
      </c>
      <c r="F285" s="425">
        <v>15.136</v>
      </c>
      <c r="G285" s="425">
        <v>12.8338</v>
      </c>
      <c r="H285" s="171"/>
      <c r="I285" s="171"/>
      <c r="J285" s="171"/>
      <c r="K285" s="182">
        <v>9754.35</v>
      </c>
      <c r="L285" s="36"/>
      <c r="M285" s="36"/>
      <c r="N285" s="36"/>
      <c r="O285" s="36"/>
      <c r="P285" s="36"/>
      <c r="Q285" s="36"/>
      <c r="R285" s="36"/>
      <c r="S285" s="36"/>
      <c r="T285" s="36"/>
      <c r="U285" s="36"/>
      <c r="V285" s="36"/>
      <c r="W285" s="36"/>
      <c r="X285" s="36"/>
      <c r="Y285" s="36"/>
      <c r="Z285" s="36"/>
      <c r="AA285" s="36"/>
      <c r="AB285" s="36"/>
      <c r="AC285" s="36"/>
    </row>
    <row r="286" ht="15.75" customHeight="1">
      <c r="A286" s="423">
        <v>42969.0</v>
      </c>
      <c r="B286" s="424">
        <v>12.7757</v>
      </c>
      <c r="C286" s="171"/>
      <c r="D286" s="171"/>
      <c r="E286" s="425">
        <v>13.4368</v>
      </c>
      <c r="F286" s="425">
        <v>15.1447</v>
      </c>
      <c r="G286" s="425">
        <v>12.8351</v>
      </c>
      <c r="H286" s="171"/>
      <c r="I286" s="171"/>
      <c r="J286" s="171"/>
      <c r="K286" s="182">
        <v>9765.55</v>
      </c>
      <c r="L286" s="36"/>
      <c r="M286" s="36"/>
      <c r="N286" s="36"/>
      <c r="O286" s="36"/>
      <c r="P286" s="36"/>
      <c r="Q286" s="36"/>
      <c r="R286" s="36"/>
      <c r="S286" s="36"/>
      <c r="T286" s="36"/>
      <c r="U286" s="36"/>
      <c r="V286" s="36"/>
      <c r="W286" s="36"/>
      <c r="X286" s="36"/>
      <c r="Y286" s="36"/>
      <c r="Z286" s="36"/>
      <c r="AA286" s="36"/>
      <c r="AB286" s="36"/>
      <c r="AC286" s="36"/>
    </row>
    <row r="287" ht="15.75" customHeight="1">
      <c r="A287" s="423">
        <v>42970.0</v>
      </c>
      <c r="B287" s="424">
        <v>12.8748</v>
      </c>
      <c r="C287" s="171"/>
      <c r="D287" s="171"/>
      <c r="E287" s="425">
        <v>13.4326</v>
      </c>
      <c r="F287" s="425">
        <v>15.2611</v>
      </c>
      <c r="G287" s="425">
        <v>12.8362</v>
      </c>
      <c r="H287" s="171"/>
      <c r="I287" s="171"/>
      <c r="J287" s="171"/>
      <c r="K287" s="182">
        <v>9852.5</v>
      </c>
      <c r="L287" s="36"/>
      <c r="M287" s="36"/>
      <c r="N287" s="36"/>
      <c r="O287" s="36"/>
      <c r="P287" s="36"/>
      <c r="Q287" s="36"/>
      <c r="R287" s="36"/>
      <c r="S287" s="36"/>
      <c r="T287" s="36"/>
      <c r="U287" s="36"/>
      <c r="V287" s="36"/>
      <c r="W287" s="36"/>
      <c r="X287" s="36"/>
      <c r="Y287" s="36"/>
      <c r="Z287" s="36"/>
      <c r="AA287" s="36"/>
      <c r="AB287" s="36"/>
      <c r="AC287" s="36"/>
    </row>
    <row r="288" ht="15.75" customHeight="1">
      <c r="A288" s="423">
        <v>42971.0</v>
      </c>
      <c r="B288" s="424">
        <v>12.8929</v>
      </c>
      <c r="C288" s="171"/>
      <c r="D288" s="171"/>
      <c r="E288" s="425">
        <v>13.4321</v>
      </c>
      <c r="F288" s="425">
        <v>15.2641</v>
      </c>
      <c r="G288" s="425">
        <v>12.838</v>
      </c>
      <c r="H288" s="171"/>
      <c r="I288" s="171"/>
      <c r="J288" s="171"/>
      <c r="K288" s="182">
        <v>9857.05</v>
      </c>
      <c r="L288" s="36"/>
      <c r="M288" s="36"/>
      <c r="N288" s="36"/>
      <c r="O288" s="36"/>
      <c r="P288" s="36"/>
      <c r="Q288" s="36"/>
      <c r="R288" s="36"/>
      <c r="S288" s="36"/>
      <c r="T288" s="36"/>
      <c r="U288" s="36"/>
      <c r="V288" s="36"/>
      <c r="W288" s="36"/>
      <c r="X288" s="36"/>
      <c r="Y288" s="36"/>
      <c r="Z288" s="36"/>
      <c r="AA288" s="36"/>
      <c r="AB288" s="36"/>
      <c r="AC288" s="36"/>
    </row>
    <row r="289" ht="15.75" customHeight="1">
      <c r="A289" s="423">
        <v>42975.0</v>
      </c>
      <c r="B289" s="424">
        <v>12.9649</v>
      </c>
      <c r="C289" s="171"/>
      <c r="D289" s="171"/>
      <c r="E289" s="425">
        <v>13.4306</v>
      </c>
      <c r="F289" s="425">
        <v>15.3593</v>
      </c>
      <c r="G289" s="425">
        <v>12.8429</v>
      </c>
      <c r="H289" s="171"/>
      <c r="I289" s="171"/>
      <c r="J289" s="171"/>
      <c r="K289" s="182">
        <v>9912.8</v>
      </c>
      <c r="L289" s="36"/>
      <c r="M289" s="36"/>
      <c r="N289" s="36"/>
      <c r="O289" s="36"/>
      <c r="P289" s="36"/>
      <c r="Q289" s="36"/>
      <c r="R289" s="36"/>
      <c r="S289" s="36"/>
      <c r="T289" s="36"/>
      <c r="U289" s="36"/>
      <c r="V289" s="36"/>
      <c r="W289" s="36"/>
      <c r="X289" s="36"/>
      <c r="Y289" s="36"/>
      <c r="Z289" s="36"/>
      <c r="AA289" s="36"/>
      <c r="AB289" s="36"/>
      <c r="AC289" s="36"/>
    </row>
    <row r="290" ht="15.75" customHeight="1">
      <c r="A290" s="423">
        <v>42976.0</v>
      </c>
      <c r="B290" s="424">
        <v>12.8409</v>
      </c>
      <c r="C290" s="171"/>
      <c r="D290" s="171"/>
      <c r="E290" s="425">
        <v>13.4479</v>
      </c>
      <c r="F290" s="425">
        <v>15.212</v>
      </c>
      <c r="G290" s="425">
        <v>12.848</v>
      </c>
      <c r="H290" s="171"/>
      <c r="I290" s="171"/>
      <c r="J290" s="171"/>
      <c r="K290" s="182">
        <v>9796.05</v>
      </c>
      <c r="L290" s="36"/>
      <c r="M290" s="36"/>
      <c r="N290" s="36"/>
      <c r="O290" s="36"/>
      <c r="P290" s="36"/>
      <c r="Q290" s="36"/>
      <c r="R290" s="36"/>
      <c r="S290" s="36"/>
      <c r="T290" s="36"/>
      <c r="U290" s="36"/>
      <c r="V290" s="36"/>
      <c r="W290" s="36"/>
      <c r="X290" s="36"/>
      <c r="Y290" s="36"/>
      <c r="Z290" s="36"/>
      <c r="AA290" s="36"/>
      <c r="AB290" s="36"/>
      <c r="AC290" s="36"/>
    </row>
    <row r="291" ht="15.75" customHeight="1">
      <c r="A291" s="423">
        <v>42977.0</v>
      </c>
      <c r="B291" s="424">
        <v>12.9513</v>
      </c>
      <c r="C291" s="171"/>
      <c r="D291" s="171"/>
      <c r="E291" s="425">
        <v>13.4413</v>
      </c>
      <c r="F291" s="425">
        <v>15.329</v>
      </c>
      <c r="G291" s="425">
        <v>12.8459</v>
      </c>
      <c r="H291" s="171"/>
      <c r="I291" s="171"/>
      <c r="J291" s="171"/>
      <c r="K291" s="182">
        <v>9884.4</v>
      </c>
      <c r="L291" s="36"/>
      <c r="M291" s="36"/>
      <c r="N291" s="36"/>
      <c r="O291" s="36"/>
      <c r="P291" s="36"/>
      <c r="Q291" s="36"/>
      <c r="R291" s="36"/>
      <c r="S291" s="36"/>
      <c r="T291" s="36"/>
      <c r="U291" s="36"/>
      <c r="V291" s="36"/>
      <c r="W291" s="36"/>
      <c r="X291" s="36"/>
      <c r="Y291" s="36"/>
      <c r="Z291" s="36"/>
      <c r="AA291" s="36"/>
      <c r="AB291" s="36"/>
      <c r="AC291" s="36"/>
    </row>
    <row r="292" ht="15.75" customHeight="1">
      <c r="A292" s="423">
        <v>42978.0</v>
      </c>
      <c r="B292" s="424">
        <v>12.9873</v>
      </c>
      <c r="C292" s="171"/>
      <c r="D292" s="171"/>
      <c r="E292" s="425">
        <v>13.4502</v>
      </c>
      <c r="F292" s="425">
        <v>15.3778</v>
      </c>
      <c r="G292" s="425">
        <v>12.8495</v>
      </c>
      <c r="H292" s="171"/>
      <c r="I292" s="171"/>
      <c r="J292" s="171"/>
      <c r="K292" s="182">
        <v>9917.9</v>
      </c>
      <c r="L292" s="36"/>
      <c r="M292" s="36"/>
      <c r="N292" s="36"/>
      <c r="O292" s="36"/>
      <c r="P292" s="36"/>
      <c r="Q292" s="36"/>
      <c r="R292" s="36"/>
      <c r="S292" s="36"/>
      <c r="T292" s="36"/>
      <c r="U292" s="36"/>
      <c r="V292" s="36"/>
      <c r="W292" s="36"/>
      <c r="X292" s="36"/>
      <c r="Y292" s="36"/>
      <c r="Z292" s="36"/>
      <c r="AA292" s="36"/>
      <c r="AB292" s="36"/>
      <c r="AC292" s="36"/>
    </row>
    <row r="293" ht="15.75" customHeight="1">
      <c r="A293" s="423">
        <v>42979.0</v>
      </c>
      <c r="B293" s="424">
        <v>13.0595</v>
      </c>
      <c r="C293" s="171"/>
      <c r="D293" s="171"/>
      <c r="E293" s="425">
        <v>13.4739</v>
      </c>
      <c r="F293" s="425">
        <v>15.4705</v>
      </c>
      <c r="G293" s="425">
        <v>12.8566</v>
      </c>
      <c r="H293" s="171"/>
      <c r="I293" s="171"/>
      <c r="J293" s="171"/>
      <c r="K293" s="182">
        <v>9974.4</v>
      </c>
      <c r="L293" s="36"/>
      <c r="M293" s="36"/>
      <c r="N293" s="36"/>
      <c r="O293" s="36"/>
      <c r="P293" s="36"/>
      <c r="Q293" s="36"/>
      <c r="R293" s="36"/>
      <c r="S293" s="36"/>
      <c r="T293" s="36"/>
      <c r="U293" s="36"/>
      <c r="V293" s="36"/>
      <c r="W293" s="36"/>
      <c r="X293" s="36"/>
      <c r="Y293" s="36"/>
      <c r="Z293" s="36"/>
      <c r="AA293" s="36"/>
      <c r="AB293" s="36"/>
      <c r="AC293" s="36"/>
    </row>
    <row r="294" ht="15.75" customHeight="1">
      <c r="A294" s="423">
        <v>42982.0</v>
      </c>
      <c r="B294" s="424">
        <v>12.9824</v>
      </c>
      <c r="C294" s="171"/>
      <c r="D294" s="171"/>
      <c r="E294" s="425">
        <v>13.4704</v>
      </c>
      <c r="F294" s="425">
        <v>15.3614</v>
      </c>
      <c r="G294" s="425">
        <v>12.8616</v>
      </c>
      <c r="H294" s="171"/>
      <c r="I294" s="171"/>
      <c r="J294" s="171"/>
      <c r="K294" s="182">
        <v>9912.85</v>
      </c>
      <c r="L294" s="36"/>
      <c r="M294" s="36"/>
      <c r="N294" s="36"/>
      <c r="O294" s="36"/>
      <c r="P294" s="36"/>
      <c r="Q294" s="36"/>
      <c r="R294" s="36"/>
      <c r="S294" s="36"/>
      <c r="T294" s="36"/>
      <c r="U294" s="36"/>
      <c r="V294" s="36"/>
      <c r="W294" s="36"/>
      <c r="X294" s="36"/>
      <c r="Y294" s="36"/>
      <c r="Z294" s="36"/>
      <c r="AA294" s="36"/>
      <c r="AB294" s="36"/>
      <c r="AC294" s="36"/>
    </row>
    <row r="295" ht="15.75" customHeight="1">
      <c r="A295" s="423">
        <v>42983.0</v>
      </c>
      <c r="B295" s="424">
        <v>13.0272</v>
      </c>
      <c r="C295" s="171"/>
      <c r="D295" s="171"/>
      <c r="E295" s="425">
        <v>13.4734</v>
      </c>
      <c r="F295" s="425">
        <v>15.4145</v>
      </c>
      <c r="G295" s="425">
        <v>12.8643</v>
      </c>
      <c r="H295" s="171"/>
      <c r="I295" s="171"/>
      <c r="J295" s="171"/>
      <c r="K295" s="182">
        <v>9952.2</v>
      </c>
      <c r="L295" s="36"/>
      <c r="M295" s="36"/>
      <c r="N295" s="36"/>
      <c r="O295" s="36"/>
      <c r="P295" s="36"/>
      <c r="Q295" s="36"/>
      <c r="R295" s="36"/>
      <c r="S295" s="36"/>
      <c r="T295" s="36"/>
      <c r="U295" s="36"/>
      <c r="V295" s="36"/>
      <c r="W295" s="36"/>
      <c r="X295" s="36"/>
      <c r="Y295" s="36"/>
      <c r="Z295" s="36"/>
      <c r="AA295" s="36"/>
      <c r="AB295" s="36"/>
      <c r="AC295" s="36"/>
    </row>
    <row r="296" ht="15.75" customHeight="1">
      <c r="A296" s="423">
        <v>42984.0</v>
      </c>
      <c r="B296" s="424">
        <v>12.9888</v>
      </c>
      <c r="C296" s="171"/>
      <c r="D296" s="171"/>
      <c r="E296" s="425">
        <v>13.4774</v>
      </c>
      <c r="F296" s="425">
        <v>15.3794</v>
      </c>
      <c r="G296" s="425">
        <v>12.8657</v>
      </c>
      <c r="H296" s="171"/>
      <c r="I296" s="171"/>
      <c r="J296" s="171"/>
      <c r="K296" s="182">
        <v>9916.2</v>
      </c>
      <c r="L296" s="36"/>
      <c r="M296" s="36"/>
      <c r="N296" s="36"/>
      <c r="O296" s="36"/>
      <c r="P296" s="36"/>
      <c r="Q296" s="36"/>
      <c r="R296" s="36"/>
      <c r="S296" s="36"/>
      <c r="T296" s="36"/>
      <c r="U296" s="36"/>
      <c r="V296" s="36"/>
      <c r="W296" s="36"/>
      <c r="X296" s="36"/>
      <c r="Y296" s="36"/>
      <c r="Z296" s="36"/>
      <c r="AA296" s="36"/>
      <c r="AB296" s="36"/>
      <c r="AC296" s="36"/>
    </row>
    <row r="297" ht="15.75" customHeight="1">
      <c r="A297" s="423">
        <v>42985.0</v>
      </c>
      <c r="B297" s="424">
        <v>13.0115</v>
      </c>
      <c r="C297" s="171"/>
      <c r="D297" s="171"/>
      <c r="E297" s="425">
        <v>13.4745</v>
      </c>
      <c r="F297" s="425">
        <v>15.4129</v>
      </c>
      <c r="G297" s="425">
        <v>12.8672</v>
      </c>
      <c r="H297" s="171"/>
      <c r="I297" s="171"/>
      <c r="J297" s="171"/>
      <c r="K297" s="182">
        <v>9929.9</v>
      </c>
      <c r="L297" s="36"/>
      <c r="M297" s="36"/>
      <c r="N297" s="36"/>
      <c r="O297" s="36"/>
      <c r="P297" s="36"/>
      <c r="Q297" s="36"/>
      <c r="R297" s="36"/>
      <c r="S297" s="36"/>
      <c r="T297" s="36"/>
      <c r="U297" s="36"/>
      <c r="V297" s="36"/>
      <c r="W297" s="36"/>
      <c r="X297" s="36"/>
      <c r="Y297" s="36"/>
      <c r="Z297" s="36"/>
      <c r="AA297" s="36"/>
      <c r="AB297" s="36"/>
      <c r="AC297" s="36"/>
    </row>
    <row r="298" ht="15.75" customHeight="1">
      <c r="A298" s="423">
        <v>42986.0</v>
      </c>
      <c r="B298" s="424">
        <v>13.0053</v>
      </c>
      <c r="C298" s="171"/>
      <c r="D298" s="171"/>
      <c r="E298" s="425">
        <v>13.4704</v>
      </c>
      <c r="F298" s="425">
        <v>15.4125</v>
      </c>
      <c r="G298" s="425">
        <v>12.8652</v>
      </c>
      <c r="H298" s="171"/>
      <c r="I298" s="171"/>
      <c r="J298" s="171"/>
      <c r="K298" s="182">
        <v>9934.8</v>
      </c>
      <c r="L298" s="36"/>
      <c r="M298" s="36"/>
      <c r="N298" s="36"/>
      <c r="O298" s="36"/>
      <c r="P298" s="36"/>
      <c r="Q298" s="36"/>
      <c r="R298" s="36"/>
      <c r="S298" s="36"/>
      <c r="T298" s="36"/>
      <c r="U298" s="36"/>
      <c r="V298" s="36"/>
      <c r="W298" s="36"/>
      <c r="X298" s="36"/>
      <c r="Y298" s="36"/>
      <c r="Z298" s="36"/>
      <c r="AA298" s="36"/>
      <c r="AB298" s="36"/>
      <c r="AC298" s="36"/>
    </row>
    <row r="299" ht="15.75" customHeight="1">
      <c r="A299" s="423">
        <v>42989.0</v>
      </c>
      <c r="B299" s="424">
        <v>13.0994</v>
      </c>
      <c r="C299" s="171"/>
      <c r="D299" s="171"/>
      <c r="E299" s="425">
        <v>13.4733</v>
      </c>
      <c r="F299" s="425">
        <v>15.5765</v>
      </c>
      <c r="G299" s="425">
        <v>12.8713</v>
      </c>
      <c r="H299" s="171"/>
      <c r="I299" s="171"/>
      <c r="J299" s="171"/>
      <c r="K299" s="182">
        <v>10006.05</v>
      </c>
      <c r="L299" s="36"/>
      <c r="M299" s="36"/>
      <c r="N299" s="36"/>
      <c r="O299" s="36"/>
      <c r="P299" s="36"/>
      <c r="Q299" s="36"/>
      <c r="R299" s="36"/>
      <c r="S299" s="36"/>
      <c r="T299" s="36"/>
      <c r="U299" s="36"/>
      <c r="V299" s="36"/>
      <c r="W299" s="36"/>
      <c r="X299" s="36"/>
      <c r="Y299" s="36"/>
      <c r="Z299" s="36"/>
      <c r="AA299" s="36"/>
      <c r="AB299" s="36"/>
      <c r="AC299" s="36"/>
    </row>
    <row r="300" ht="15.75" customHeight="1">
      <c r="A300" s="423">
        <v>42990.0</v>
      </c>
      <c r="B300" s="424">
        <v>13.2056</v>
      </c>
      <c r="C300" s="171"/>
      <c r="D300" s="171"/>
      <c r="E300" s="425">
        <v>13.4716</v>
      </c>
      <c r="F300" s="425">
        <v>15.7028</v>
      </c>
      <c r="G300" s="425">
        <v>12.8692</v>
      </c>
      <c r="H300" s="171"/>
      <c r="I300" s="171"/>
      <c r="J300" s="171"/>
      <c r="K300" s="182">
        <v>10093.05</v>
      </c>
      <c r="L300" s="36"/>
      <c r="M300" s="36"/>
      <c r="N300" s="36"/>
      <c r="O300" s="36"/>
      <c r="P300" s="36"/>
      <c r="Q300" s="36"/>
      <c r="R300" s="36"/>
      <c r="S300" s="36"/>
      <c r="T300" s="36"/>
      <c r="U300" s="36"/>
      <c r="V300" s="36"/>
      <c r="W300" s="36"/>
      <c r="X300" s="36"/>
      <c r="Y300" s="36"/>
      <c r="Z300" s="36"/>
      <c r="AA300" s="36"/>
      <c r="AB300" s="36"/>
      <c r="AC300" s="36"/>
    </row>
    <row r="301" ht="15.75" customHeight="1">
      <c r="A301" s="423">
        <v>42991.0</v>
      </c>
      <c r="B301" s="424">
        <v>13.1884</v>
      </c>
      <c r="C301" s="171"/>
      <c r="D301" s="171"/>
      <c r="E301" s="425">
        <v>13.464</v>
      </c>
      <c r="F301" s="425">
        <v>15.6759</v>
      </c>
      <c r="G301" s="425">
        <v>12.8689</v>
      </c>
      <c r="H301" s="171"/>
      <c r="I301" s="171"/>
      <c r="J301" s="171"/>
      <c r="K301" s="182">
        <v>10079.3</v>
      </c>
      <c r="L301" s="36"/>
      <c r="M301" s="36"/>
      <c r="N301" s="36"/>
      <c r="O301" s="36"/>
      <c r="P301" s="36"/>
      <c r="Q301" s="36"/>
      <c r="R301" s="36"/>
      <c r="S301" s="36"/>
      <c r="T301" s="36"/>
      <c r="U301" s="36"/>
      <c r="V301" s="36"/>
      <c r="W301" s="36"/>
      <c r="X301" s="36"/>
      <c r="Y301" s="36"/>
      <c r="Z301" s="36"/>
      <c r="AA301" s="36"/>
      <c r="AB301" s="36"/>
      <c r="AC301" s="36"/>
    </row>
    <row r="302" ht="15.75" customHeight="1">
      <c r="A302" s="423">
        <v>42992.0</v>
      </c>
      <c r="B302" s="424">
        <v>13.1968</v>
      </c>
      <c r="C302" s="171"/>
      <c r="D302" s="171"/>
      <c r="E302" s="425">
        <v>13.464</v>
      </c>
      <c r="F302" s="425">
        <v>15.689</v>
      </c>
      <c r="G302" s="425">
        <v>12.8693</v>
      </c>
      <c r="H302" s="171"/>
      <c r="I302" s="171"/>
      <c r="J302" s="171"/>
      <c r="K302" s="182">
        <v>10086.6</v>
      </c>
      <c r="L302" s="36"/>
      <c r="M302" s="36"/>
      <c r="N302" s="36"/>
      <c r="O302" s="36"/>
      <c r="P302" s="36"/>
      <c r="Q302" s="36"/>
      <c r="R302" s="36"/>
      <c r="S302" s="36"/>
      <c r="T302" s="36"/>
      <c r="U302" s="36"/>
      <c r="V302" s="36"/>
      <c r="W302" s="36"/>
      <c r="X302" s="36"/>
      <c r="Y302" s="36"/>
      <c r="Z302" s="36"/>
      <c r="AA302" s="36"/>
      <c r="AB302" s="36"/>
      <c r="AC302" s="36"/>
    </row>
    <row r="303" ht="15.75" customHeight="1">
      <c r="A303" s="423">
        <v>42993.0</v>
      </c>
      <c r="B303" s="424">
        <v>13.197</v>
      </c>
      <c r="C303" s="171"/>
      <c r="D303" s="171"/>
      <c r="E303" s="425">
        <v>13.4505</v>
      </c>
      <c r="F303" s="425">
        <v>15.6732</v>
      </c>
      <c r="G303" s="425">
        <v>12.8691</v>
      </c>
      <c r="H303" s="171"/>
      <c r="I303" s="171"/>
      <c r="J303" s="171"/>
      <c r="K303" s="182">
        <v>10085.4</v>
      </c>
      <c r="L303" s="36"/>
      <c r="M303" s="36"/>
      <c r="N303" s="36"/>
      <c r="O303" s="36"/>
      <c r="P303" s="36"/>
      <c r="Q303" s="36"/>
      <c r="R303" s="36"/>
      <c r="S303" s="36"/>
      <c r="T303" s="36"/>
      <c r="U303" s="36"/>
      <c r="V303" s="36"/>
      <c r="W303" s="36"/>
      <c r="X303" s="36"/>
      <c r="Y303" s="36"/>
      <c r="Z303" s="36"/>
      <c r="AA303" s="36"/>
      <c r="AB303" s="36"/>
      <c r="AC303" s="36"/>
    </row>
    <row r="304" ht="15.75" customHeight="1">
      <c r="A304" s="423">
        <v>42996.0</v>
      </c>
      <c r="B304" s="424">
        <v>13.2795</v>
      </c>
      <c r="C304" s="171"/>
      <c r="D304" s="171"/>
      <c r="E304" s="425">
        <v>13.4487</v>
      </c>
      <c r="F304" s="425">
        <v>15.7657</v>
      </c>
      <c r="G304" s="425">
        <v>12.8728</v>
      </c>
      <c r="H304" s="171"/>
      <c r="I304" s="171"/>
      <c r="J304" s="171"/>
      <c r="K304" s="182">
        <v>10153.1</v>
      </c>
      <c r="L304" s="36"/>
      <c r="M304" s="36"/>
      <c r="N304" s="36"/>
      <c r="O304" s="36"/>
      <c r="P304" s="36"/>
      <c r="Q304" s="36"/>
      <c r="R304" s="36"/>
      <c r="S304" s="36"/>
      <c r="T304" s="36"/>
      <c r="U304" s="36"/>
      <c r="V304" s="36"/>
      <c r="W304" s="36"/>
      <c r="X304" s="36"/>
      <c r="Y304" s="36"/>
      <c r="Z304" s="36"/>
      <c r="AA304" s="36"/>
      <c r="AB304" s="36"/>
      <c r="AC304" s="36"/>
    </row>
    <row r="305" ht="15.75" customHeight="1">
      <c r="A305" s="423">
        <v>42997.0</v>
      </c>
      <c r="B305" s="424">
        <v>13.2888</v>
      </c>
      <c r="C305" s="171"/>
      <c r="D305" s="171"/>
      <c r="E305" s="425">
        <v>13.4504</v>
      </c>
      <c r="F305" s="425">
        <v>15.7856</v>
      </c>
      <c r="G305" s="425">
        <v>12.8723</v>
      </c>
      <c r="H305" s="171"/>
      <c r="I305" s="171"/>
      <c r="J305" s="171"/>
      <c r="K305" s="182">
        <v>10147.55</v>
      </c>
      <c r="L305" s="36"/>
      <c r="M305" s="36"/>
      <c r="N305" s="36"/>
      <c r="O305" s="36"/>
      <c r="P305" s="36"/>
      <c r="Q305" s="36"/>
      <c r="R305" s="36"/>
      <c r="S305" s="36"/>
      <c r="T305" s="36"/>
      <c r="U305" s="36"/>
      <c r="V305" s="36"/>
      <c r="W305" s="36"/>
      <c r="X305" s="36"/>
      <c r="Y305" s="36"/>
      <c r="Z305" s="36"/>
      <c r="AA305" s="36"/>
      <c r="AB305" s="36"/>
      <c r="AC305" s="36"/>
    </row>
    <row r="306" ht="15.75" customHeight="1">
      <c r="A306" s="423">
        <v>42998.0</v>
      </c>
      <c r="B306" s="424">
        <v>13.2622</v>
      </c>
      <c r="C306" s="171"/>
      <c r="D306" s="171"/>
      <c r="E306" s="425">
        <v>13.4574</v>
      </c>
      <c r="F306" s="425">
        <v>15.7677</v>
      </c>
      <c r="G306" s="425">
        <v>12.8761</v>
      </c>
      <c r="H306" s="171"/>
      <c r="I306" s="171"/>
      <c r="J306" s="171"/>
      <c r="K306" s="182">
        <v>10141.15</v>
      </c>
      <c r="L306" s="36"/>
      <c r="M306" s="36"/>
      <c r="N306" s="36"/>
      <c r="O306" s="36"/>
      <c r="P306" s="36"/>
      <c r="Q306" s="36"/>
      <c r="R306" s="36"/>
      <c r="S306" s="36"/>
      <c r="T306" s="36"/>
      <c r="U306" s="36"/>
      <c r="V306" s="36"/>
      <c r="W306" s="36"/>
      <c r="X306" s="36"/>
      <c r="Y306" s="36"/>
      <c r="Z306" s="36"/>
      <c r="AA306" s="36"/>
      <c r="AB306" s="36"/>
      <c r="AC306" s="36"/>
    </row>
    <row r="307" ht="15.75" customHeight="1">
      <c r="A307" s="423">
        <v>42999.0</v>
      </c>
      <c r="B307" s="424">
        <v>13.221</v>
      </c>
      <c r="C307" s="171"/>
      <c r="D307" s="171"/>
      <c r="E307" s="425">
        <v>13.4253</v>
      </c>
      <c r="F307" s="425">
        <v>15.725</v>
      </c>
      <c r="G307" s="425">
        <v>12.8701</v>
      </c>
      <c r="H307" s="171"/>
      <c r="I307" s="171"/>
      <c r="J307" s="171"/>
      <c r="K307" s="182">
        <v>10121.9</v>
      </c>
      <c r="L307" s="36"/>
      <c r="M307" s="36"/>
      <c r="N307" s="36"/>
      <c r="O307" s="36"/>
      <c r="P307" s="36"/>
      <c r="Q307" s="36"/>
      <c r="R307" s="36"/>
      <c r="S307" s="36"/>
      <c r="T307" s="36"/>
      <c r="U307" s="36"/>
      <c r="V307" s="36"/>
      <c r="W307" s="36"/>
      <c r="X307" s="36"/>
      <c r="Y307" s="36"/>
      <c r="Z307" s="36"/>
      <c r="AA307" s="36"/>
      <c r="AB307" s="36"/>
      <c r="AC307" s="36"/>
    </row>
    <row r="308" ht="15.75" customHeight="1">
      <c r="A308" s="423">
        <v>43000.0</v>
      </c>
      <c r="B308" s="424">
        <v>13.0256</v>
      </c>
      <c r="C308" s="171"/>
      <c r="D308" s="171"/>
      <c r="E308" s="425">
        <v>13.4232</v>
      </c>
      <c r="F308" s="425">
        <v>15.4518</v>
      </c>
      <c r="G308" s="425">
        <v>12.8697</v>
      </c>
      <c r="H308" s="171"/>
      <c r="I308" s="171"/>
      <c r="J308" s="171"/>
      <c r="K308" s="182">
        <v>9964.4</v>
      </c>
      <c r="L308" s="36"/>
      <c r="M308" s="36"/>
      <c r="N308" s="36"/>
      <c r="O308" s="36"/>
      <c r="P308" s="36"/>
      <c r="Q308" s="36"/>
      <c r="R308" s="36"/>
      <c r="S308" s="36"/>
      <c r="T308" s="36"/>
      <c r="U308" s="36"/>
      <c r="V308" s="36"/>
      <c r="W308" s="36"/>
      <c r="X308" s="36"/>
      <c r="Y308" s="36"/>
      <c r="Z308" s="36"/>
      <c r="AA308" s="36"/>
      <c r="AB308" s="36"/>
      <c r="AC308" s="36"/>
    </row>
    <row r="309" ht="15.75" customHeight="1">
      <c r="A309" s="423">
        <v>43003.0</v>
      </c>
      <c r="B309" s="424">
        <v>12.9172</v>
      </c>
      <c r="C309" s="171"/>
      <c r="D309" s="171"/>
      <c r="E309" s="425">
        <v>13.4409</v>
      </c>
      <c r="F309" s="425">
        <v>15.4417</v>
      </c>
      <c r="G309" s="425">
        <v>12.8771</v>
      </c>
      <c r="H309" s="171"/>
      <c r="I309" s="171"/>
      <c r="J309" s="171"/>
      <c r="K309" s="182">
        <v>9872.6</v>
      </c>
      <c r="L309" s="36"/>
      <c r="M309" s="36"/>
      <c r="N309" s="36"/>
      <c r="O309" s="36"/>
      <c r="P309" s="36"/>
      <c r="Q309" s="36"/>
      <c r="R309" s="36"/>
      <c r="S309" s="36"/>
      <c r="T309" s="36"/>
      <c r="U309" s="36"/>
      <c r="V309" s="36"/>
      <c r="W309" s="36"/>
      <c r="X309" s="36"/>
      <c r="Y309" s="36"/>
      <c r="Z309" s="36"/>
      <c r="AA309" s="36"/>
      <c r="AB309" s="36"/>
      <c r="AC309" s="36"/>
    </row>
    <row r="310" ht="15.75" customHeight="1">
      <c r="A310" s="423">
        <v>43004.0</v>
      </c>
      <c r="B310" s="424">
        <v>12.9223</v>
      </c>
      <c r="C310" s="171"/>
      <c r="D310" s="171"/>
      <c r="E310" s="425">
        <v>13.4304</v>
      </c>
      <c r="F310" s="425">
        <v>15.446</v>
      </c>
      <c r="G310" s="425">
        <v>12.8764</v>
      </c>
      <c r="H310" s="171"/>
      <c r="I310" s="171"/>
      <c r="J310" s="171"/>
      <c r="K310" s="182">
        <v>9871.5</v>
      </c>
      <c r="L310" s="36"/>
      <c r="M310" s="36"/>
      <c r="N310" s="36"/>
      <c r="O310" s="36"/>
      <c r="P310" s="36"/>
      <c r="Q310" s="36"/>
      <c r="R310" s="36"/>
      <c r="S310" s="36"/>
      <c r="T310" s="36"/>
      <c r="U310" s="36"/>
      <c r="V310" s="36"/>
      <c r="W310" s="36"/>
      <c r="X310" s="36"/>
      <c r="Y310" s="36"/>
      <c r="Z310" s="36"/>
      <c r="AA310" s="36"/>
      <c r="AB310" s="36"/>
      <c r="AC310" s="36"/>
    </row>
    <row r="311" ht="15.75" customHeight="1">
      <c r="A311" s="423">
        <v>43005.0</v>
      </c>
      <c r="B311" s="424">
        <v>12.7555</v>
      </c>
      <c r="C311" s="171"/>
      <c r="D311" s="171"/>
      <c r="E311" s="425">
        <v>13.4279</v>
      </c>
      <c r="F311" s="425">
        <v>15.2679</v>
      </c>
      <c r="G311" s="425">
        <v>12.8762</v>
      </c>
      <c r="H311" s="171"/>
      <c r="I311" s="171"/>
      <c r="J311" s="171"/>
      <c r="K311" s="182">
        <v>9735.75</v>
      </c>
      <c r="L311" s="36"/>
      <c r="M311" s="36"/>
      <c r="N311" s="36"/>
      <c r="O311" s="36"/>
      <c r="P311" s="36"/>
      <c r="Q311" s="36"/>
      <c r="R311" s="36"/>
      <c r="S311" s="36"/>
      <c r="T311" s="36"/>
      <c r="U311" s="36"/>
      <c r="V311" s="36"/>
      <c r="W311" s="36"/>
      <c r="X311" s="36"/>
      <c r="Y311" s="36"/>
      <c r="Z311" s="36"/>
      <c r="AA311" s="36"/>
      <c r="AB311" s="36"/>
      <c r="AC311" s="36"/>
    </row>
    <row r="312" ht="15.75" customHeight="1">
      <c r="A312" s="423">
        <v>43006.0</v>
      </c>
      <c r="B312" s="424">
        <v>12.792</v>
      </c>
      <c r="C312" s="171"/>
      <c r="D312" s="171"/>
      <c r="E312" s="425">
        <v>13.4414</v>
      </c>
      <c r="F312" s="425">
        <v>15.32</v>
      </c>
      <c r="G312" s="425">
        <v>12.8826</v>
      </c>
      <c r="H312" s="171"/>
      <c r="I312" s="171"/>
      <c r="J312" s="171"/>
      <c r="K312" s="182">
        <v>9768.95</v>
      </c>
      <c r="L312" s="36"/>
      <c r="M312" s="36"/>
      <c r="N312" s="36"/>
      <c r="O312" s="36"/>
      <c r="P312" s="36"/>
      <c r="Q312" s="36"/>
      <c r="R312" s="36"/>
      <c r="S312" s="36"/>
      <c r="T312" s="36"/>
      <c r="U312" s="36"/>
      <c r="V312" s="36"/>
      <c r="W312" s="36"/>
      <c r="X312" s="36"/>
      <c r="Y312" s="36"/>
      <c r="Z312" s="36"/>
      <c r="AA312" s="36"/>
      <c r="AB312" s="36"/>
      <c r="AC312" s="36"/>
    </row>
    <row r="313" ht="15.75" customHeight="1">
      <c r="A313" s="423">
        <v>43007.0</v>
      </c>
      <c r="B313" s="424">
        <v>12.8275</v>
      </c>
      <c r="C313" s="171"/>
      <c r="D313" s="171"/>
      <c r="E313" s="425">
        <v>13.4389</v>
      </c>
      <c r="F313" s="425">
        <v>15.3681</v>
      </c>
      <c r="G313" s="425">
        <v>12.883</v>
      </c>
      <c r="H313" s="171"/>
      <c r="I313" s="171"/>
      <c r="J313" s="171"/>
      <c r="K313" s="182">
        <v>9788.6</v>
      </c>
      <c r="L313" s="36"/>
      <c r="M313" s="36"/>
      <c r="N313" s="36"/>
      <c r="O313" s="36"/>
      <c r="P313" s="36"/>
      <c r="Q313" s="36"/>
      <c r="R313" s="36"/>
      <c r="S313" s="36"/>
      <c r="T313" s="36"/>
      <c r="U313" s="36"/>
      <c r="V313" s="36"/>
      <c r="W313" s="36"/>
      <c r="X313" s="36"/>
      <c r="Y313" s="36"/>
      <c r="Z313" s="36"/>
      <c r="AA313" s="36"/>
      <c r="AB313" s="36"/>
      <c r="AC313" s="36"/>
    </row>
    <row r="314" ht="15.75" customHeight="1">
      <c r="A314" s="423">
        <v>43008.0</v>
      </c>
      <c r="B314" s="424">
        <v>12.8272</v>
      </c>
      <c r="C314" s="171"/>
      <c r="D314" s="171"/>
      <c r="E314" s="425">
        <v>13.4408</v>
      </c>
      <c r="F314" s="425">
        <v>15.3677</v>
      </c>
      <c r="G314" s="425">
        <v>12.8849</v>
      </c>
      <c r="H314" s="171"/>
      <c r="I314" s="171"/>
      <c r="J314" s="171"/>
      <c r="K314" s="182">
        <v>9788.6</v>
      </c>
      <c r="L314" s="36"/>
      <c r="M314" s="36"/>
      <c r="N314" s="36"/>
      <c r="O314" s="36"/>
      <c r="P314" s="36"/>
      <c r="Q314" s="36"/>
      <c r="R314" s="36"/>
      <c r="S314" s="36"/>
      <c r="T314" s="36"/>
      <c r="U314" s="36"/>
      <c r="V314" s="36"/>
      <c r="W314" s="36"/>
      <c r="X314" s="36"/>
      <c r="Y314" s="36"/>
      <c r="Z314" s="36"/>
      <c r="AA314" s="36"/>
      <c r="AB314" s="36"/>
      <c r="AC314" s="36"/>
    </row>
    <row r="315" ht="15.75" customHeight="1">
      <c r="A315" s="423">
        <v>43011.0</v>
      </c>
      <c r="B315" s="424">
        <v>12.9054</v>
      </c>
      <c r="C315" s="171"/>
      <c r="D315" s="171"/>
      <c r="E315" s="425">
        <v>13.4642</v>
      </c>
      <c r="F315" s="425">
        <v>15.4333</v>
      </c>
      <c r="G315" s="425">
        <v>12.8955</v>
      </c>
      <c r="H315" s="171"/>
      <c r="I315" s="171"/>
      <c r="J315" s="171"/>
      <c r="K315" s="182">
        <v>9859.5</v>
      </c>
      <c r="L315" s="36"/>
      <c r="M315" s="36"/>
      <c r="N315" s="36"/>
      <c r="O315" s="36"/>
      <c r="P315" s="36"/>
      <c r="Q315" s="36"/>
      <c r="R315" s="36"/>
      <c r="S315" s="36"/>
      <c r="T315" s="36"/>
      <c r="U315" s="36"/>
      <c r="V315" s="36"/>
      <c r="W315" s="36"/>
      <c r="X315" s="36"/>
      <c r="Y315" s="36"/>
      <c r="Z315" s="36"/>
      <c r="AA315" s="36"/>
      <c r="AB315" s="36"/>
      <c r="AC315" s="36"/>
    </row>
    <row r="316" ht="15.75" customHeight="1">
      <c r="A316" s="423">
        <v>43012.0</v>
      </c>
      <c r="B316" s="424">
        <v>12.9588</v>
      </c>
      <c r="C316" s="171"/>
      <c r="D316" s="171"/>
      <c r="E316" s="425">
        <v>13.4456</v>
      </c>
      <c r="F316" s="425">
        <v>15.5042</v>
      </c>
      <c r="G316" s="425">
        <v>12.8932</v>
      </c>
      <c r="H316" s="171"/>
      <c r="I316" s="171"/>
      <c r="J316" s="171"/>
      <c r="K316" s="182">
        <v>9914.9</v>
      </c>
      <c r="L316" s="36"/>
      <c r="M316" s="36"/>
      <c r="N316" s="36"/>
      <c r="O316" s="36"/>
      <c r="P316" s="36"/>
      <c r="Q316" s="36"/>
      <c r="R316" s="36"/>
      <c r="S316" s="36"/>
      <c r="T316" s="36"/>
      <c r="U316" s="36"/>
      <c r="V316" s="36"/>
      <c r="W316" s="36"/>
      <c r="X316" s="36"/>
      <c r="Y316" s="36"/>
      <c r="Z316" s="36"/>
      <c r="AA316" s="36"/>
      <c r="AB316" s="36"/>
      <c r="AC316" s="36"/>
    </row>
    <row r="317" ht="15.75" customHeight="1">
      <c r="A317" s="423">
        <v>43013.0</v>
      </c>
      <c r="B317" s="424">
        <v>12.9697</v>
      </c>
      <c r="C317" s="171"/>
      <c r="D317" s="171"/>
      <c r="E317" s="425">
        <v>13.4344</v>
      </c>
      <c r="F317" s="425">
        <v>15.5003</v>
      </c>
      <c r="G317" s="425">
        <v>12.893</v>
      </c>
      <c r="H317" s="171"/>
      <c r="I317" s="171"/>
      <c r="J317" s="171"/>
      <c r="K317" s="182">
        <v>9888.7</v>
      </c>
      <c r="L317" s="36"/>
      <c r="M317" s="36"/>
      <c r="N317" s="36"/>
      <c r="O317" s="36"/>
      <c r="P317" s="36"/>
      <c r="Q317" s="36"/>
      <c r="R317" s="36"/>
      <c r="S317" s="36"/>
      <c r="T317" s="36"/>
      <c r="U317" s="36"/>
      <c r="V317" s="36"/>
      <c r="W317" s="36"/>
      <c r="X317" s="36"/>
      <c r="Y317" s="36"/>
      <c r="Z317" s="36"/>
      <c r="AA317" s="36"/>
      <c r="AB317" s="36"/>
      <c r="AC317" s="36"/>
    </row>
    <row r="318" ht="15.75" customHeight="1">
      <c r="A318" s="423">
        <v>43014.0</v>
      </c>
      <c r="B318" s="424">
        <v>13.091</v>
      </c>
      <c r="C318" s="171"/>
      <c r="D318" s="171"/>
      <c r="E318" s="425">
        <v>13.4287</v>
      </c>
      <c r="F318" s="425">
        <v>15.6375</v>
      </c>
      <c r="G318" s="425">
        <v>12.8925</v>
      </c>
      <c r="H318" s="171"/>
      <c r="I318" s="171"/>
      <c r="J318" s="171"/>
      <c r="K318" s="182">
        <v>9979.7</v>
      </c>
      <c r="L318" s="36"/>
      <c r="M318" s="36"/>
      <c r="N318" s="36"/>
      <c r="O318" s="36"/>
      <c r="P318" s="36"/>
      <c r="Q318" s="36"/>
      <c r="R318" s="36"/>
      <c r="S318" s="36"/>
      <c r="T318" s="36"/>
      <c r="U318" s="36"/>
      <c r="V318" s="36"/>
      <c r="W318" s="36"/>
      <c r="X318" s="36"/>
      <c r="Y318" s="36"/>
      <c r="Z318" s="36"/>
      <c r="AA318" s="36"/>
      <c r="AB318" s="36"/>
      <c r="AC318" s="36"/>
    </row>
    <row r="319" ht="15.75" customHeight="1">
      <c r="A319" s="423">
        <v>43017.0</v>
      </c>
      <c r="B319" s="424">
        <v>13.0853</v>
      </c>
      <c r="C319" s="171"/>
      <c r="D319" s="171"/>
      <c r="E319" s="425">
        <v>13.426</v>
      </c>
      <c r="F319" s="425">
        <v>15.6395</v>
      </c>
      <c r="G319" s="425">
        <v>12.8954</v>
      </c>
      <c r="H319" s="171"/>
      <c r="I319" s="171"/>
      <c r="J319" s="171"/>
      <c r="K319" s="182">
        <v>9988.75</v>
      </c>
      <c r="L319" s="36"/>
      <c r="M319" s="36"/>
      <c r="N319" s="36"/>
      <c r="O319" s="36"/>
      <c r="P319" s="36"/>
      <c r="Q319" s="36"/>
      <c r="R319" s="36"/>
      <c r="S319" s="36"/>
      <c r="T319" s="36"/>
      <c r="U319" s="36"/>
      <c r="V319" s="36"/>
      <c r="W319" s="36"/>
      <c r="X319" s="36"/>
      <c r="Y319" s="36"/>
      <c r="Z319" s="36"/>
      <c r="AA319" s="36"/>
      <c r="AB319" s="36"/>
      <c r="AC319" s="36"/>
    </row>
    <row r="320" ht="15.75" customHeight="1">
      <c r="A320" s="423">
        <v>43018.0</v>
      </c>
      <c r="B320" s="424">
        <v>13.1098</v>
      </c>
      <c r="C320" s="171"/>
      <c r="D320" s="171"/>
      <c r="E320" s="425">
        <v>13.4358</v>
      </c>
      <c r="F320" s="425">
        <v>15.673</v>
      </c>
      <c r="G320" s="425">
        <v>12.9013</v>
      </c>
      <c r="H320" s="171"/>
      <c r="I320" s="171"/>
      <c r="J320" s="171"/>
      <c r="K320" s="182">
        <v>10016.95</v>
      </c>
      <c r="L320" s="36"/>
      <c r="M320" s="36"/>
      <c r="N320" s="36"/>
      <c r="O320" s="36"/>
      <c r="P320" s="36"/>
      <c r="Q320" s="36"/>
      <c r="R320" s="36"/>
      <c r="S320" s="36"/>
      <c r="T320" s="36"/>
      <c r="U320" s="36"/>
      <c r="V320" s="36"/>
      <c r="W320" s="36"/>
      <c r="X320" s="36"/>
      <c r="Y320" s="36"/>
      <c r="Z320" s="36"/>
      <c r="AA320" s="36"/>
      <c r="AB320" s="36"/>
      <c r="AC320" s="36"/>
    </row>
    <row r="321" ht="15.75" customHeight="1">
      <c r="A321" s="423">
        <v>43019.0</v>
      </c>
      <c r="B321" s="424">
        <v>13.052</v>
      </c>
      <c r="C321" s="171"/>
      <c r="D321" s="171"/>
      <c r="E321" s="425">
        <v>13.435</v>
      </c>
      <c r="F321" s="425">
        <v>15.6006</v>
      </c>
      <c r="G321" s="425">
        <v>12.9017</v>
      </c>
      <c r="H321" s="171"/>
      <c r="I321" s="171"/>
      <c r="J321" s="171"/>
      <c r="K321" s="182">
        <v>9984.8</v>
      </c>
      <c r="L321" s="36"/>
      <c r="M321" s="36"/>
      <c r="N321" s="36"/>
      <c r="O321" s="36"/>
      <c r="P321" s="36"/>
      <c r="Q321" s="36"/>
      <c r="R321" s="36"/>
      <c r="S321" s="36"/>
      <c r="T321" s="36"/>
      <c r="U321" s="36"/>
      <c r="V321" s="36"/>
      <c r="W321" s="36"/>
      <c r="X321" s="36"/>
      <c r="Y321" s="36"/>
      <c r="Z321" s="36"/>
      <c r="AA321" s="36"/>
      <c r="AB321" s="36"/>
      <c r="AC321" s="36"/>
    </row>
    <row r="322" ht="15.75" customHeight="1">
      <c r="A322" s="423">
        <v>43020.0</v>
      </c>
      <c r="B322" s="424">
        <v>13.1747</v>
      </c>
      <c r="C322" s="171"/>
      <c r="D322" s="171"/>
      <c r="E322" s="425">
        <v>13.4358</v>
      </c>
      <c r="F322" s="425">
        <v>15.7515</v>
      </c>
      <c r="G322" s="425">
        <v>12.9011</v>
      </c>
      <c r="H322" s="171"/>
      <c r="I322" s="171"/>
      <c r="J322" s="171"/>
      <c r="K322" s="182">
        <v>10096.4</v>
      </c>
      <c r="L322" s="36"/>
      <c r="M322" s="36"/>
      <c r="N322" s="36"/>
      <c r="O322" s="36"/>
      <c r="P322" s="36"/>
      <c r="Q322" s="36"/>
      <c r="R322" s="36"/>
      <c r="S322" s="36"/>
      <c r="T322" s="36"/>
      <c r="U322" s="36"/>
      <c r="V322" s="36"/>
      <c r="W322" s="36"/>
      <c r="X322" s="36"/>
      <c r="Y322" s="36"/>
      <c r="Z322" s="36"/>
      <c r="AA322" s="36"/>
      <c r="AB322" s="36"/>
      <c r="AC322" s="36"/>
    </row>
    <row r="323" ht="15.75" customHeight="1">
      <c r="A323" s="423">
        <v>43021.0</v>
      </c>
      <c r="B323" s="424">
        <v>13.2546</v>
      </c>
      <c r="C323" s="171"/>
      <c r="D323" s="171"/>
      <c r="E323" s="425">
        <v>13.4525</v>
      </c>
      <c r="F323" s="425">
        <v>15.7965</v>
      </c>
      <c r="G323" s="425">
        <v>12.9053</v>
      </c>
      <c r="H323" s="171"/>
      <c r="I323" s="171"/>
      <c r="J323" s="171"/>
      <c r="K323" s="182">
        <v>10167.45</v>
      </c>
      <c r="L323" s="36"/>
      <c r="M323" s="36"/>
      <c r="N323" s="36"/>
      <c r="O323" s="36"/>
      <c r="P323" s="36"/>
      <c r="Q323" s="36"/>
      <c r="R323" s="36"/>
      <c r="S323" s="36"/>
      <c r="T323" s="36"/>
      <c r="U323" s="36"/>
      <c r="V323" s="36"/>
      <c r="W323" s="36"/>
      <c r="X323" s="36"/>
      <c r="Y323" s="36"/>
      <c r="Z323" s="36"/>
      <c r="AA323" s="36"/>
      <c r="AB323" s="36"/>
      <c r="AC323" s="36"/>
    </row>
    <row r="324" ht="15.75" customHeight="1">
      <c r="A324" s="423">
        <v>43024.0</v>
      </c>
      <c r="B324" s="424">
        <v>13.3397</v>
      </c>
      <c r="C324" s="171"/>
      <c r="D324" s="171"/>
      <c r="E324" s="425">
        <v>13.4576</v>
      </c>
      <c r="F324" s="425">
        <v>15.876</v>
      </c>
      <c r="G324" s="425">
        <v>12.9127</v>
      </c>
      <c r="H324" s="171"/>
      <c r="I324" s="171"/>
      <c r="J324" s="171"/>
      <c r="K324" s="182">
        <v>10230.85</v>
      </c>
      <c r="L324" s="36"/>
      <c r="M324" s="36"/>
      <c r="N324" s="36"/>
      <c r="O324" s="36"/>
      <c r="P324" s="36"/>
      <c r="Q324" s="36"/>
      <c r="R324" s="36"/>
      <c r="S324" s="36"/>
      <c r="T324" s="36"/>
      <c r="U324" s="36"/>
      <c r="V324" s="36"/>
      <c r="W324" s="36"/>
      <c r="X324" s="36"/>
      <c r="Y324" s="36"/>
      <c r="Z324" s="36"/>
      <c r="AA324" s="36"/>
      <c r="AB324" s="36"/>
      <c r="AC324" s="36"/>
    </row>
    <row r="325" ht="15.75" customHeight="1">
      <c r="A325" s="423">
        <v>43025.0</v>
      </c>
      <c r="B325" s="424">
        <v>13.3441</v>
      </c>
      <c r="C325" s="171"/>
      <c r="D325" s="171"/>
      <c r="E325" s="425">
        <v>13.4559</v>
      </c>
      <c r="F325" s="425">
        <v>15.8743</v>
      </c>
      <c r="G325" s="425">
        <v>12.9121</v>
      </c>
      <c r="H325" s="171"/>
      <c r="I325" s="171"/>
      <c r="J325" s="171"/>
      <c r="K325" s="182">
        <v>10234.45</v>
      </c>
      <c r="L325" s="36"/>
      <c r="M325" s="36"/>
      <c r="N325" s="36"/>
      <c r="O325" s="36"/>
      <c r="P325" s="36"/>
      <c r="Q325" s="36"/>
      <c r="R325" s="36"/>
      <c r="S325" s="36"/>
      <c r="T325" s="36"/>
      <c r="U325" s="36"/>
      <c r="V325" s="36"/>
      <c r="W325" s="36"/>
      <c r="X325" s="36"/>
      <c r="Y325" s="36"/>
      <c r="Z325" s="36"/>
      <c r="AA325" s="36"/>
      <c r="AB325" s="36"/>
      <c r="AC325" s="36"/>
    </row>
    <row r="326" ht="15.75" customHeight="1">
      <c r="A326" s="423">
        <v>43026.0</v>
      </c>
      <c r="B326" s="424">
        <v>13.3198</v>
      </c>
      <c r="C326" s="171"/>
      <c r="D326" s="171"/>
      <c r="E326" s="425">
        <v>13.4598</v>
      </c>
      <c r="F326" s="425">
        <v>15.8465</v>
      </c>
      <c r="G326" s="425">
        <v>12.9136</v>
      </c>
      <c r="H326" s="171"/>
      <c r="I326" s="171"/>
      <c r="J326" s="171"/>
      <c r="K326" s="182">
        <v>10210.85</v>
      </c>
      <c r="L326" s="36"/>
      <c r="M326" s="36"/>
      <c r="N326" s="36"/>
      <c r="O326" s="36"/>
      <c r="P326" s="36"/>
      <c r="Q326" s="36"/>
      <c r="R326" s="36"/>
      <c r="S326" s="36"/>
      <c r="T326" s="36"/>
      <c r="U326" s="36"/>
      <c r="V326" s="36"/>
      <c r="W326" s="36"/>
      <c r="X326" s="36"/>
      <c r="Y326" s="36"/>
      <c r="Z326" s="36"/>
      <c r="AA326" s="36"/>
      <c r="AB326" s="36"/>
      <c r="AC326" s="36"/>
    </row>
    <row r="327" ht="15.75" customHeight="1">
      <c r="A327" s="423">
        <v>43031.0</v>
      </c>
      <c r="B327" s="424">
        <v>13.2948</v>
      </c>
      <c r="C327" s="171"/>
      <c r="D327" s="171"/>
      <c r="E327" s="425">
        <v>13.4489</v>
      </c>
      <c r="F327" s="425">
        <v>15.8316</v>
      </c>
      <c r="G327" s="425">
        <v>12.9218</v>
      </c>
      <c r="H327" s="171"/>
      <c r="I327" s="171"/>
      <c r="J327" s="171"/>
      <c r="K327" s="182">
        <v>10184.85</v>
      </c>
      <c r="L327" s="36"/>
      <c r="M327" s="36"/>
      <c r="N327" s="36"/>
      <c r="O327" s="36"/>
      <c r="P327" s="36"/>
      <c r="Q327" s="36"/>
      <c r="R327" s="36"/>
      <c r="S327" s="36"/>
      <c r="T327" s="36"/>
      <c r="U327" s="36"/>
      <c r="V327" s="36"/>
      <c r="W327" s="36"/>
      <c r="X327" s="36"/>
      <c r="Y327" s="36"/>
      <c r="Z327" s="36"/>
      <c r="AA327" s="36"/>
      <c r="AB327" s="36"/>
      <c r="AC327" s="36"/>
    </row>
    <row r="328" ht="15.75" customHeight="1">
      <c r="A328" s="423">
        <v>43032.0</v>
      </c>
      <c r="B328" s="424">
        <v>13.3145</v>
      </c>
      <c r="C328" s="171"/>
      <c r="D328" s="171"/>
      <c r="E328" s="425">
        <v>13.454</v>
      </c>
      <c r="F328" s="425">
        <v>15.8625</v>
      </c>
      <c r="G328" s="425">
        <v>12.9216</v>
      </c>
      <c r="H328" s="171"/>
      <c r="I328" s="171"/>
      <c r="J328" s="171"/>
      <c r="K328" s="182">
        <v>10207.7</v>
      </c>
      <c r="L328" s="36"/>
      <c r="M328" s="36"/>
      <c r="N328" s="36"/>
      <c r="O328" s="36"/>
      <c r="P328" s="36"/>
      <c r="Q328" s="36"/>
      <c r="R328" s="36"/>
      <c r="S328" s="36"/>
      <c r="T328" s="36"/>
      <c r="U328" s="36"/>
      <c r="V328" s="36"/>
      <c r="W328" s="36"/>
      <c r="X328" s="36"/>
      <c r="Y328" s="36"/>
      <c r="Z328" s="36"/>
      <c r="AA328" s="36"/>
      <c r="AB328" s="36"/>
      <c r="AC328" s="36"/>
    </row>
    <row r="329" ht="15.75" customHeight="1">
      <c r="A329" s="423">
        <v>43035.0</v>
      </c>
      <c r="B329" s="424">
        <v>13.4531</v>
      </c>
      <c r="C329" s="171"/>
      <c r="D329" s="171"/>
      <c r="E329" s="425">
        <v>13.4466</v>
      </c>
      <c r="F329" s="425">
        <v>16.0026</v>
      </c>
      <c r="G329" s="425">
        <v>12.9257</v>
      </c>
      <c r="H329" s="171"/>
      <c r="I329" s="171"/>
      <c r="J329" s="171"/>
      <c r="K329" s="182">
        <v>10323.05</v>
      </c>
      <c r="L329" s="36"/>
      <c r="M329" s="36"/>
      <c r="N329" s="36"/>
      <c r="O329" s="36"/>
      <c r="P329" s="36"/>
      <c r="Q329" s="36"/>
      <c r="R329" s="36"/>
      <c r="S329" s="36"/>
      <c r="T329" s="36"/>
      <c r="U329" s="36"/>
      <c r="V329" s="36"/>
      <c r="W329" s="36"/>
      <c r="X329" s="36"/>
      <c r="Y329" s="36"/>
      <c r="Z329" s="36"/>
      <c r="AA329" s="36"/>
      <c r="AB329" s="36"/>
      <c r="AC329" s="36"/>
    </row>
    <row r="330" ht="15.75" customHeight="1">
      <c r="A330" s="423">
        <v>43035.0</v>
      </c>
      <c r="B330" s="424">
        <v>13.4531</v>
      </c>
      <c r="C330" s="171"/>
      <c r="D330" s="171"/>
      <c r="E330" s="425">
        <v>13.4466</v>
      </c>
      <c r="F330" s="425">
        <v>16.0026</v>
      </c>
      <c r="G330" s="425">
        <v>12.9257</v>
      </c>
      <c r="H330" s="171"/>
      <c r="I330" s="171"/>
      <c r="J330" s="171"/>
      <c r="K330" s="182">
        <v>10323.05</v>
      </c>
      <c r="L330" s="36"/>
      <c r="M330" s="36"/>
      <c r="N330" s="36"/>
      <c r="O330" s="36"/>
      <c r="P330" s="36"/>
      <c r="Q330" s="36"/>
      <c r="R330" s="36"/>
      <c r="S330" s="36"/>
      <c r="T330" s="36"/>
      <c r="U330" s="36"/>
      <c r="V330" s="36"/>
      <c r="W330" s="36"/>
      <c r="X330" s="36"/>
      <c r="Y330" s="36"/>
      <c r="Z330" s="36"/>
      <c r="AA330" s="36"/>
      <c r="AB330" s="36"/>
      <c r="AC330" s="36"/>
    </row>
    <row r="331" ht="15.75" customHeight="1">
      <c r="A331" s="423">
        <v>43035.0</v>
      </c>
      <c r="B331" s="424">
        <v>13.4531</v>
      </c>
      <c r="C331" s="171"/>
      <c r="D331" s="171"/>
      <c r="E331" s="425">
        <v>13.4466</v>
      </c>
      <c r="F331" s="425">
        <v>16.0026</v>
      </c>
      <c r="G331" s="425">
        <v>12.9257</v>
      </c>
      <c r="H331" s="171"/>
      <c r="I331" s="171"/>
      <c r="J331" s="171"/>
      <c r="K331" s="182">
        <v>10323.05</v>
      </c>
      <c r="L331" s="36"/>
      <c r="M331" s="36"/>
      <c r="N331" s="36"/>
      <c r="O331" s="36"/>
      <c r="P331" s="36"/>
      <c r="Q331" s="36"/>
      <c r="R331" s="36"/>
      <c r="S331" s="36"/>
      <c r="T331" s="36"/>
      <c r="U331" s="36"/>
      <c r="V331" s="36"/>
      <c r="W331" s="36"/>
      <c r="X331" s="36"/>
      <c r="Y331" s="36"/>
      <c r="Z331" s="36"/>
      <c r="AA331" s="36"/>
      <c r="AB331" s="36"/>
      <c r="AC331" s="36"/>
    </row>
    <row r="332" ht="15.75" customHeight="1">
      <c r="A332" s="423">
        <v>43035.0</v>
      </c>
      <c r="B332" s="424">
        <v>13.4531</v>
      </c>
      <c r="C332" s="171"/>
      <c r="D332" s="171"/>
      <c r="E332" s="425">
        <v>13.4466</v>
      </c>
      <c r="F332" s="425">
        <v>16.0026</v>
      </c>
      <c r="G332" s="425">
        <v>12.9257</v>
      </c>
      <c r="H332" s="171"/>
      <c r="I332" s="171"/>
      <c r="J332" s="171"/>
      <c r="K332" s="182">
        <v>10323.05</v>
      </c>
      <c r="L332" s="36"/>
      <c r="M332" s="36"/>
      <c r="N332" s="36"/>
      <c r="O332" s="36"/>
      <c r="P332" s="36"/>
      <c r="Q332" s="36"/>
      <c r="R332" s="36"/>
      <c r="S332" s="36"/>
      <c r="T332" s="36"/>
      <c r="U332" s="36"/>
      <c r="V332" s="36"/>
      <c r="W332" s="36"/>
      <c r="X332" s="36"/>
      <c r="Y332" s="36"/>
      <c r="Z332" s="36"/>
      <c r="AA332" s="36"/>
      <c r="AB332" s="36"/>
      <c r="AC332" s="36"/>
    </row>
    <row r="333" ht="15.75" customHeight="1">
      <c r="A333" s="423">
        <v>43038.0</v>
      </c>
      <c r="B333" s="424">
        <v>13.5106</v>
      </c>
      <c r="C333" s="171"/>
      <c r="D333" s="171"/>
      <c r="E333" s="425">
        <v>13.4372</v>
      </c>
      <c r="F333" s="425">
        <v>16.0746</v>
      </c>
      <c r="G333" s="425">
        <v>12.9287</v>
      </c>
      <c r="H333" s="171"/>
      <c r="I333" s="171"/>
      <c r="J333" s="171"/>
      <c r="K333" s="182">
        <v>10363.65</v>
      </c>
      <c r="L333" s="36"/>
      <c r="M333" s="36"/>
      <c r="N333" s="36"/>
      <c r="O333" s="36"/>
      <c r="P333" s="36"/>
      <c r="Q333" s="36"/>
      <c r="R333" s="36"/>
      <c r="S333" s="36"/>
      <c r="T333" s="36"/>
      <c r="U333" s="36"/>
      <c r="V333" s="36"/>
      <c r="W333" s="36"/>
      <c r="X333" s="36"/>
      <c r="Y333" s="36"/>
      <c r="Z333" s="36"/>
      <c r="AA333" s="36"/>
      <c r="AB333" s="36"/>
      <c r="AC333" s="36"/>
    </row>
    <row r="334" ht="15.75" customHeight="1">
      <c r="A334" s="423">
        <v>43038.0</v>
      </c>
      <c r="B334" s="424">
        <v>13.5106</v>
      </c>
      <c r="C334" s="171"/>
      <c r="D334" s="171"/>
      <c r="E334" s="425">
        <v>13.4372</v>
      </c>
      <c r="F334" s="425">
        <v>16.0746</v>
      </c>
      <c r="G334" s="425">
        <v>12.9287</v>
      </c>
      <c r="H334" s="171"/>
      <c r="I334" s="171"/>
      <c r="J334" s="171"/>
      <c r="K334" s="182">
        <v>10363.65</v>
      </c>
      <c r="L334" s="36"/>
      <c r="M334" s="36"/>
      <c r="N334" s="36"/>
      <c r="O334" s="36"/>
      <c r="P334" s="36"/>
      <c r="Q334" s="36"/>
      <c r="R334" s="36"/>
      <c r="S334" s="36"/>
      <c r="T334" s="36"/>
      <c r="U334" s="36"/>
      <c r="V334" s="36"/>
      <c r="W334" s="36"/>
      <c r="X334" s="36"/>
      <c r="Y334" s="36"/>
      <c r="Z334" s="36"/>
      <c r="AA334" s="36"/>
      <c r="AB334" s="36"/>
      <c r="AC334" s="36"/>
    </row>
    <row r="335" ht="15.75" customHeight="1">
      <c r="A335" s="423">
        <v>43038.0</v>
      </c>
      <c r="B335" s="424">
        <v>13.5106</v>
      </c>
      <c r="C335" s="171"/>
      <c r="D335" s="171"/>
      <c r="E335" s="425">
        <v>13.4372</v>
      </c>
      <c r="F335" s="425">
        <v>16.0746</v>
      </c>
      <c r="G335" s="425">
        <v>12.9287</v>
      </c>
      <c r="H335" s="171"/>
      <c r="I335" s="171"/>
      <c r="J335" s="171"/>
      <c r="K335" s="182">
        <v>10363.65</v>
      </c>
      <c r="L335" s="36"/>
      <c r="M335" s="36"/>
      <c r="N335" s="36"/>
      <c r="O335" s="36"/>
      <c r="P335" s="36"/>
      <c r="Q335" s="36"/>
      <c r="R335" s="36"/>
      <c r="S335" s="36"/>
      <c r="T335" s="36"/>
      <c r="U335" s="36"/>
      <c r="V335" s="36"/>
      <c r="W335" s="36"/>
      <c r="X335" s="36"/>
      <c r="Y335" s="36"/>
      <c r="Z335" s="36"/>
      <c r="AA335" s="36"/>
      <c r="AB335" s="36"/>
      <c r="AC335" s="36"/>
    </row>
    <row r="336" ht="15.75" customHeight="1">
      <c r="A336" s="423">
        <v>43038.0</v>
      </c>
      <c r="B336" s="424">
        <v>13.5106</v>
      </c>
      <c r="C336" s="171"/>
      <c r="D336" s="171"/>
      <c r="E336" s="425">
        <v>13.4372</v>
      </c>
      <c r="F336" s="425">
        <v>16.0746</v>
      </c>
      <c r="G336" s="425">
        <v>12.9287</v>
      </c>
      <c r="H336" s="171"/>
      <c r="I336" s="171"/>
      <c r="J336" s="171"/>
      <c r="K336" s="182">
        <v>10363.65</v>
      </c>
      <c r="L336" s="36"/>
      <c r="M336" s="36"/>
      <c r="N336" s="36"/>
      <c r="O336" s="36"/>
      <c r="P336" s="36"/>
      <c r="Q336" s="36"/>
      <c r="R336" s="36"/>
      <c r="S336" s="36"/>
      <c r="T336" s="36"/>
      <c r="U336" s="36"/>
      <c r="V336" s="36"/>
      <c r="W336" s="36"/>
      <c r="X336" s="36"/>
      <c r="Y336" s="36"/>
      <c r="Z336" s="36"/>
      <c r="AA336" s="36"/>
      <c r="AB336" s="36"/>
      <c r="AC336" s="36"/>
    </row>
    <row r="337" ht="15.75" customHeight="1">
      <c r="A337" s="423">
        <v>43039.0</v>
      </c>
      <c r="B337" s="424">
        <v>13.4928</v>
      </c>
      <c r="C337" s="171"/>
      <c r="D337" s="171"/>
      <c r="E337" s="425">
        <v>13.4444</v>
      </c>
      <c r="F337" s="425">
        <v>16.0213</v>
      </c>
      <c r="G337" s="425">
        <v>12.9308</v>
      </c>
      <c r="H337" s="171"/>
      <c r="I337" s="171"/>
      <c r="J337" s="171"/>
      <c r="K337" s="182">
        <v>10335.3</v>
      </c>
      <c r="L337" s="36"/>
      <c r="M337" s="36"/>
      <c r="N337" s="36"/>
      <c r="O337" s="36"/>
      <c r="P337" s="36"/>
      <c r="Q337" s="36"/>
      <c r="R337" s="36"/>
      <c r="S337" s="36"/>
      <c r="T337" s="36"/>
      <c r="U337" s="36"/>
      <c r="V337" s="36"/>
      <c r="W337" s="36"/>
      <c r="X337" s="36"/>
      <c r="Y337" s="36"/>
      <c r="Z337" s="36"/>
      <c r="AA337" s="36"/>
      <c r="AB337" s="36"/>
      <c r="AC337" s="36"/>
    </row>
    <row r="338" ht="15.75" customHeight="1">
      <c r="A338" s="423">
        <v>43039.0</v>
      </c>
      <c r="B338" s="424">
        <v>13.4928</v>
      </c>
      <c r="C338" s="171"/>
      <c r="D338" s="171"/>
      <c r="E338" s="425">
        <v>13.4444</v>
      </c>
      <c r="F338" s="425">
        <v>16.0213</v>
      </c>
      <c r="G338" s="425">
        <v>12.9308</v>
      </c>
      <c r="H338" s="171"/>
      <c r="I338" s="171"/>
      <c r="J338" s="171"/>
      <c r="K338" s="182">
        <v>10335.3</v>
      </c>
      <c r="L338" s="36"/>
      <c r="M338" s="36"/>
      <c r="N338" s="36"/>
      <c r="O338" s="36"/>
      <c r="P338" s="36"/>
      <c r="Q338" s="36"/>
      <c r="R338" s="36"/>
      <c r="S338" s="36"/>
      <c r="T338" s="36"/>
      <c r="U338" s="36"/>
      <c r="V338" s="36"/>
      <c r="W338" s="36"/>
      <c r="X338" s="36"/>
      <c r="Y338" s="36"/>
      <c r="Z338" s="36"/>
      <c r="AA338" s="36"/>
      <c r="AB338" s="36"/>
      <c r="AC338" s="36"/>
    </row>
    <row r="339" ht="15.75" customHeight="1">
      <c r="A339" s="423">
        <v>43039.0</v>
      </c>
      <c r="B339" s="424">
        <v>13.4928</v>
      </c>
      <c r="C339" s="171"/>
      <c r="D339" s="171"/>
      <c r="E339" s="425">
        <v>13.4444</v>
      </c>
      <c r="F339" s="425">
        <v>16.0213</v>
      </c>
      <c r="G339" s="425">
        <v>12.9308</v>
      </c>
      <c r="H339" s="171"/>
      <c r="I339" s="171"/>
      <c r="J339" s="171"/>
      <c r="K339" s="182">
        <v>10335.3</v>
      </c>
      <c r="L339" s="36"/>
      <c r="M339" s="36"/>
      <c r="N339" s="36"/>
      <c r="O339" s="36"/>
      <c r="P339" s="36"/>
      <c r="Q339" s="36"/>
      <c r="R339" s="36"/>
      <c r="S339" s="36"/>
      <c r="T339" s="36"/>
      <c r="U339" s="36"/>
      <c r="V339" s="36"/>
      <c r="W339" s="36"/>
      <c r="X339" s="36"/>
      <c r="Y339" s="36"/>
      <c r="Z339" s="36"/>
      <c r="AA339" s="36"/>
      <c r="AB339" s="36"/>
      <c r="AC339" s="36"/>
    </row>
    <row r="340" ht="15.75" customHeight="1">
      <c r="A340" s="423">
        <v>43039.0</v>
      </c>
      <c r="B340" s="424">
        <v>13.4928</v>
      </c>
      <c r="C340" s="171"/>
      <c r="D340" s="171"/>
      <c r="E340" s="425">
        <v>13.4444</v>
      </c>
      <c r="F340" s="425">
        <v>16.0213</v>
      </c>
      <c r="G340" s="425">
        <v>12.9308</v>
      </c>
      <c r="H340" s="171"/>
      <c r="I340" s="171"/>
      <c r="J340" s="171"/>
      <c r="K340" s="182">
        <v>10335.3</v>
      </c>
      <c r="L340" s="36"/>
      <c r="M340" s="36"/>
      <c r="N340" s="36"/>
      <c r="O340" s="36"/>
      <c r="P340" s="36"/>
      <c r="Q340" s="36"/>
      <c r="R340" s="36"/>
      <c r="S340" s="36"/>
      <c r="T340" s="36"/>
      <c r="U340" s="36"/>
      <c r="V340" s="36"/>
      <c r="W340" s="36"/>
      <c r="X340" s="36"/>
      <c r="Y340" s="36"/>
      <c r="Z340" s="36"/>
      <c r="AA340" s="36"/>
      <c r="AB340" s="36"/>
      <c r="AC340" s="36"/>
    </row>
    <row r="341" ht="15.75" customHeight="1">
      <c r="A341" s="423">
        <v>43040.0</v>
      </c>
      <c r="B341" s="424">
        <v>13.5823</v>
      </c>
      <c r="C341" s="425">
        <v>15.5337</v>
      </c>
      <c r="D341" s="171"/>
      <c r="E341" s="425">
        <v>13.4443</v>
      </c>
      <c r="F341" s="425">
        <v>16.1283</v>
      </c>
      <c r="G341" s="425">
        <v>12.9309</v>
      </c>
      <c r="H341" s="171"/>
      <c r="I341" s="171"/>
      <c r="J341" s="425">
        <v>16.087</v>
      </c>
      <c r="K341" s="182">
        <v>10440.5</v>
      </c>
      <c r="L341" s="36"/>
      <c r="M341" s="36"/>
      <c r="N341" s="36"/>
      <c r="O341" s="36"/>
      <c r="P341" s="36"/>
      <c r="Q341" s="36"/>
      <c r="R341" s="36"/>
      <c r="S341" s="36"/>
      <c r="T341" s="36"/>
      <c r="U341" s="36"/>
      <c r="V341" s="36"/>
      <c r="W341" s="36"/>
      <c r="X341" s="36"/>
      <c r="Y341" s="36"/>
      <c r="Z341" s="36"/>
      <c r="AA341" s="36"/>
      <c r="AB341" s="36"/>
      <c r="AC341" s="36"/>
    </row>
    <row r="342" ht="15.75" customHeight="1">
      <c r="A342" s="423">
        <v>43040.0</v>
      </c>
      <c r="B342" s="424">
        <v>13.5823</v>
      </c>
      <c r="C342" s="425">
        <v>15.5337</v>
      </c>
      <c r="D342" s="171"/>
      <c r="E342" s="425">
        <v>13.4443</v>
      </c>
      <c r="F342" s="425">
        <v>16.1283</v>
      </c>
      <c r="G342" s="425">
        <v>12.9309</v>
      </c>
      <c r="H342" s="171"/>
      <c r="I342" s="171"/>
      <c r="J342" s="425">
        <v>16.087</v>
      </c>
      <c r="K342" s="182">
        <v>10440.5</v>
      </c>
      <c r="L342" s="36"/>
      <c r="M342" s="36"/>
      <c r="N342" s="36"/>
      <c r="O342" s="36"/>
      <c r="P342" s="36"/>
      <c r="Q342" s="36"/>
      <c r="R342" s="36"/>
      <c r="S342" s="36"/>
      <c r="T342" s="36"/>
      <c r="U342" s="36"/>
      <c r="V342" s="36"/>
      <c r="W342" s="36"/>
      <c r="X342" s="36"/>
      <c r="Y342" s="36"/>
      <c r="Z342" s="36"/>
      <c r="AA342" s="36"/>
      <c r="AB342" s="36"/>
      <c r="AC342" s="36"/>
    </row>
    <row r="343" ht="15.75" customHeight="1">
      <c r="A343" s="423">
        <v>43040.0</v>
      </c>
      <c r="B343" s="424">
        <v>13.5823</v>
      </c>
      <c r="C343" s="425">
        <v>15.5311</v>
      </c>
      <c r="D343" s="171"/>
      <c r="E343" s="425">
        <v>13.4443</v>
      </c>
      <c r="F343" s="425">
        <v>16.1283</v>
      </c>
      <c r="G343" s="425">
        <v>12.9309</v>
      </c>
      <c r="H343" s="171"/>
      <c r="I343" s="171"/>
      <c r="J343" s="425">
        <v>16.0032</v>
      </c>
      <c r="K343" s="182">
        <v>10440.5</v>
      </c>
      <c r="L343" s="36"/>
      <c r="M343" s="36"/>
      <c r="N343" s="36"/>
      <c r="O343" s="36"/>
      <c r="P343" s="36"/>
      <c r="Q343" s="36"/>
      <c r="R343" s="36"/>
      <c r="S343" s="36"/>
      <c r="T343" s="36"/>
      <c r="U343" s="36"/>
      <c r="V343" s="36"/>
      <c r="W343" s="36"/>
      <c r="X343" s="36"/>
      <c r="Y343" s="36"/>
      <c r="Z343" s="36"/>
      <c r="AA343" s="36"/>
      <c r="AB343" s="36"/>
      <c r="AC343" s="36"/>
    </row>
    <row r="344" ht="15.75" customHeight="1">
      <c r="A344" s="423">
        <v>43040.0</v>
      </c>
      <c r="B344" s="424">
        <v>13.5823</v>
      </c>
      <c r="C344" s="425">
        <v>15.5311</v>
      </c>
      <c r="D344" s="171"/>
      <c r="E344" s="425">
        <v>13.4443</v>
      </c>
      <c r="F344" s="425">
        <v>16.1283</v>
      </c>
      <c r="G344" s="425">
        <v>12.9309</v>
      </c>
      <c r="H344" s="171"/>
      <c r="I344" s="171"/>
      <c r="J344" s="425">
        <v>16.0032</v>
      </c>
      <c r="K344" s="182">
        <v>10440.5</v>
      </c>
      <c r="L344" s="36"/>
      <c r="M344" s="36"/>
      <c r="N344" s="36"/>
      <c r="O344" s="36"/>
      <c r="P344" s="36"/>
      <c r="Q344" s="36"/>
      <c r="R344" s="36"/>
      <c r="S344" s="36"/>
      <c r="T344" s="36"/>
      <c r="U344" s="36"/>
      <c r="V344" s="36"/>
      <c r="W344" s="36"/>
      <c r="X344" s="36"/>
      <c r="Y344" s="36"/>
      <c r="Z344" s="36"/>
      <c r="AA344" s="36"/>
      <c r="AB344" s="36"/>
      <c r="AC344" s="36"/>
    </row>
    <row r="345" ht="15.75" customHeight="1">
      <c r="A345" s="423">
        <v>43041.0</v>
      </c>
      <c r="B345" s="424">
        <v>13.5664</v>
      </c>
      <c r="C345" s="425">
        <v>15.5549</v>
      </c>
      <c r="D345" s="171"/>
      <c r="E345" s="425">
        <v>13.4491</v>
      </c>
      <c r="F345" s="425">
        <v>16.1063</v>
      </c>
      <c r="G345" s="425">
        <v>12.9335</v>
      </c>
      <c r="H345" s="171"/>
      <c r="I345" s="171"/>
      <c r="J345" s="425">
        <v>16.1119</v>
      </c>
      <c r="K345" s="182">
        <v>10423.8</v>
      </c>
      <c r="L345" s="36"/>
      <c r="M345" s="36"/>
      <c r="N345" s="36"/>
      <c r="O345" s="36"/>
      <c r="P345" s="36"/>
      <c r="Q345" s="36"/>
      <c r="R345" s="36"/>
      <c r="S345" s="36"/>
      <c r="T345" s="36"/>
      <c r="U345" s="36"/>
      <c r="V345" s="36"/>
      <c r="W345" s="36"/>
      <c r="X345" s="36"/>
      <c r="Y345" s="36"/>
      <c r="Z345" s="36"/>
      <c r="AA345" s="36"/>
      <c r="AB345" s="36"/>
      <c r="AC345" s="36"/>
    </row>
    <row r="346" ht="15.75" customHeight="1">
      <c r="A346" s="423">
        <v>43041.0</v>
      </c>
      <c r="B346" s="424">
        <v>13.5664</v>
      </c>
      <c r="C346" s="425">
        <v>15.5549</v>
      </c>
      <c r="D346" s="171"/>
      <c r="E346" s="425">
        <v>13.4491</v>
      </c>
      <c r="F346" s="425">
        <v>16.1063</v>
      </c>
      <c r="G346" s="425">
        <v>12.9335</v>
      </c>
      <c r="H346" s="171"/>
      <c r="I346" s="171"/>
      <c r="J346" s="425">
        <v>16.1119</v>
      </c>
      <c r="K346" s="182">
        <v>10423.8</v>
      </c>
      <c r="L346" s="36"/>
      <c r="M346" s="36"/>
      <c r="N346" s="36"/>
      <c r="O346" s="36"/>
      <c r="P346" s="36"/>
      <c r="Q346" s="36"/>
      <c r="R346" s="36"/>
      <c r="S346" s="36"/>
      <c r="T346" s="36"/>
      <c r="U346" s="36"/>
      <c r="V346" s="36"/>
      <c r="W346" s="36"/>
      <c r="X346" s="36"/>
      <c r="Y346" s="36"/>
      <c r="Z346" s="36"/>
      <c r="AA346" s="36"/>
      <c r="AB346" s="36"/>
      <c r="AC346" s="36"/>
    </row>
    <row r="347" ht="15.75" customHeight="1">
      <c r="A347" s="423">
        <v>43041.0</v>
      </c>
      <c r="B347" s="424">
        <v>13.5664</v>
      </c>
      <c r="C347" s="425">
        <v>15.5478</v>
      </c>
      <c r="D347" s="171"/>
      <c r="E347" s="425">
        <v>13.4491</v>
      </c>
      <c r="F347" s="425">
        <v>16.1063</v>
      </c>
      <c r="G347" s="425">
        <v>12.9335</v>
      </c>
      <c r="H347" s="171"/>
      <c r="I347" s="171"/>
      <c r="J347" s="425">
        <v>16.1403</v>
      </c>
      <c r="K347" s="182">
        <v>10423.8</v>
      </c>
      <c r="L347" s="36"/>
      <c r="M347" s="36"/>
      <c r="N347" s="36"/>
      <c r="O347" s="36"/>
      <c r="P347" s="36"/>
      <c r="Q347" s="36"/>
      <c r="R347" s="36"/>
      <c r="S347" s="36"/>
      <c r="T347" s="36"/>
      <c r="U347" s="36"/>
      <c r="V347" s="36"/>
      <c r="W347" s="36"/>
      <c r="X347" s="36"/>
      <c r="Y347" s="36"/>
      <c r="Z347" s="36"/>
      <c r="AA347" s="36"/>
      <c r="AB347" s="36"/>
      <c r="AC347" s="36"/>
    </row>
    <row r="348" ht="15.75" customHeight="1">
      <c r="A348" s="423">
        <v>43041.0</v>
      </c>
      <c r="B348" s="424">
        <v>13.5664</v>
      </c>
      <c r="C348" s="425">
        <v>15.5478</v>
      </c>
      <c r="D348" s="171"/>
      <c r="E348" s="425">
        <v>13.4491</v>
      </c>
      <c r="F348" s="425">
        <v>16.1063</v>
      </c>
      <c r="G348" s="425">
        <v>12.9335</v>
      </c>
      <c r="H348" s="171"/>
      <c r="I348" s="171"/>
      <c r="J348" s="425">
        <v>16.1403</v>
      </c>
      <c r="K348" s="182">
        <v>10423.8</v>
      </c>
      <c r="L348" s="36"/>
      <c r="M348" s="36"/>
      <c r="N348" s="36"/>
      <c r="O348" s="36"/>
      <c r="P348" s="36"/>
      <c r="Q348" s="36"/>
      <c r="R348" s="36"/>
      <c r="S348" s="36"/>
      <c r="T348" s="36"/>
      <c r="U348" s="36"/>
      <c r="V348" s="36"/>
      <c r="W348" s="36"/>
      <c r="X348" s="36"/>
      <c r="Y348" s="36"/>
      <c r="Z348" s="36"/>
      <c r="AA348" s="36"/>
      <c r="AB348" s="36"/>
      <c r="AC348" s="36"/>
    </row>
    <row r="349" ht="15.75" customHeight="1">
      <c r="A349" s="423">
        <v>43042.0</v>
      </c>
      <c r="B349" s="424">
        <v>13.5928</v>
      </c>
      <c r="C349" s="425">
        <v>15.565</v>
      </c>
      <c r="D349" s="171"/>
      <c r="E349" s="425">
        <v>13.4538</v>
      </c>
      <c r="F349" s="425">
        <v>16.1572</v>
      </c>
      <c r="G349" s="425">
        <v>12.9363</v>
      </c>
      <c r="H349" s="171"/>
      <c r="I349" s="171"/>
      <c r="J349" s="425">
        <v>16.0939</v>
      </c>
      <c r="K349" s="182">
        <v>10452.5</v>
      </c>
      <c r="L349" s="36"/>
      <c r="M349" s="36"/>
      <c r="N349" s="36"/>
      <c r="O349" s="36"/>
      <c r="P349" s="36"/>
      <c r="Q349" s="36"/>
      <c r="R349" s="36"/>
      <c r="S349" s="36"/>
      <c r="T349" s="36"/>
      <c r="U349" s="36"/>
      <c r="V349" s="36"/>
      <c r="W349" s="36"/>
      <c r="X349" s="36"/>
      <c r="Y349" s="36"/>
      <c r="Z349" s="36"/>
      <c r="AA349" s="36"/>
      <c r="AB349" s="36"/>
      <c r="AC349" s="36"/>
    </row>
    <row r="350" ht="15.75" customHeight="1">
      <c r="A350" s="423">
        <v>43042.0</v>
      </c>
      <c r="B350" s="424">
        <v>13.5928</v>
      </c>
      <c r="C350" s="425">
        <v>15.565</v>
      </c>
      <c r="D350" s="171"/>
      <c r="E350" s="425">
        <v>13.4538</v>
      </c>
      <c r="F350" s="425">
        <v>16.1572</v>
      </c>
      <c r="G350" s="425">
        <v>12.9363</v>
      </c>
      <c r="H350" s="171"/>
      <c r="I350" s="171"/>
      <c r="J350" s="425">
        <v>16.0939</v>
      </c>
      <c r="K350" s="182">
        <v>10452.5</v>
      </c>
      <c r="L350" s="36"/>
      <c r="M350" s="36"/>
      <c r="N350" s="36"/>
      <c r="O350" s="36"/>
      <c r="P350" s="36"/>
      <c r="Q350" s="36"/>
      <c r="R350" s="36"/>
      <c r="S350" s="36"/>
      <c r="T350" s="36"/>
      <c r="U350" s="36"/>
      <c r="V350" s="36"/>
      <c r="W350" s="36"/>
      <c r="X350" s="36"/>
      <c r="Y350" s="36"/>
      <c r="Z350" s="36"/>
      <c r="AA350" s="36"/>
      <c r="AB350" s="36"/>
      <c r="AC350" s="36"/>
    </row>
    <row r="351" ht="15.75" customHeight="1">
      <c r="A351" s="423">
        <v>43042.0</v>
      </c>
      <c r="B351" s="424">
        <v>13.5928</v>
      </c>
      <c r="C351" s="425">
        <v>15.5595</v>
      </c>
      <c r="D351" s="171"/>
      <c r="E351" s="425">
        <v>13.4538</v>
      </c>
      <c r="F351" s="425">
        <v>16.1572</v>
      </c>
      <c r="G351" s="425">
        <v>12.9363</v>
      </c>
      <c r="H351" s="171"/>
      <c r="I351" s="171"/>
      <c r="J351" s="425">
        <v>16.1046</v>
      </c>
      <c r="K351" s="182">
        <v>10452.5</v>
      </c>
      <c r="L351" s="36"/>
      <c r="M351" s="36"/>
      <c r="N351" s="36"/>
      <c r="O351" s="36"/>
      <c r="P351" s="36"/>
      <c r="Q351" s="36"/>
      <c r="R351" s="36"/>
      <c r="S351" s="36"/>
      <c r="T351" s="36"/>
      <c r="U351" s="36"/>
      <c r="V351" s="36"/>
      <c r="W351" s="36"/>
      <c r="X351" s="36"/>
      <c r="Y351" s="36"/>
      <c r="Z351" s="36"/>
      <c r="AA351" s="36"/>
      <c r="AB351" s="36"/>
      <c r="AC351" s="36"/>
    </row>
    <row r="352" ht="15.75" customHeight="1">
      <c r="A352" s="423">
        <v>43042.0</v>
      </c>
      <c r="B352" s="424">
        <v>13.5928</v>
      </c>
      <c r="C352" s="425">
        <v>15.5595</v>
      </c>
      <c r="D352" s="171"/>
      <c r="E352" s="425">
        <v>13.4538</v>
      </c>
      <c r="F352" s="425">
        <v>16.1572</v>
      </c>
      <c r="G352" s="425">
        <v>12.9363</v>
      </c>
      <c r="H352" s="171"/>
      <c r="I352" s="171"/>
      <c r="J352" s="425">
        <v>16.1046</v>
      </c>
      <c r="K352" s="182">
        <v>10452.5</v>
      </c>
      <c r="L352" s="36"/>
      <c r="M352" s="36"/>
      <c r="N352" s="36"/>
      <c r="O352" s="36"/>
      <c r="P352" s="36"/>
      <c r="Q352" s="36"/>
      <c r="R352" s="36"/>
      <c r="S352" s="36"/>
      <c r="T352" s="36"/>
      <c r="U352" s="36"/>
      <c r="V352" s="36"/>
      <c r="W352" s="36"/>
      <c r="X352" s="36"/>
      <c r="Y352" s="36"/>
      <c r="Z352" s="36"/>
      <c r="AA352" s="36"/>
      <c r="AB352" s="36"/>
      <c r="AC352" s="36"/>
    </row>
    <row r="353" ht="15.75" customHeight="1">
      <c r="A353" s="423">
        <v>43045.0</v>
      </c>
      <c r="B353" s="424">
        <v>13.6081</v>
      </c>
      <c r="C353" s="425">
        <v>15.5859</v>
      </c>
      <c r="D353" s="171"/>
      <c r="E353" s="425">
        <v>13.4529</v>
      </c>
      <c r="F353" s="425">
        <v>16.1641</v>
      </c>
      <c r="G353" s="425">
        <v>12.9405</v>
      </c>
      <c r="H353" s="171"/>
      <c r="I353" s="171"/>
      <c r="J353" s="425">
        <v>16.3585</v>
      </c>
      <c r="K353" s="182">
        <v>10451.8</v>
      </c>
      <c r="L353" s="36"/>
      <c r="M353" s="36"/>
      <c r="N353" s="36"/>
      <c r="O353" s="36"/>
      <c r="P353" s="36"/>
      <c r="Q353" s="36"/>
      <c r="R353" s="36"/>
      <c r="S353" s="36"/>
      <c r="T353" s="36"/>
      <c r="U353" s="36"/>
      <c r="V353" s="36"/>
      <c r="W353" s="36"/>
      <c r="X353" s="36"/>
      <c r="Y353" s="36"/>
      <c r="Z353" s="36"/>
      <c r="AA353" s="36"/>
      <c r="AB353" s="36"/>
      <c r="AC353" s="36"/>
    </row>
    <row r="354" ht="15.75" customHeight="1">
      <c r="A354" s="423">
        <v>43045.0</v>
      </c>
      <c r="B354" s="424">
        <v>13.6081</v>
      </c>
      <c r="C354" s="425">
        <v>15.5859</v>
      </c>
      <c r="D354" s="171"/>
      <c r="E354" s="425">
        <v>13.4529</v>
      </c>
      <c r="F354" s="425">
        <v>16.1641</v>
      </c>
      <c r="G354" s="425">
        <v>12.9405</v>
      </c>
      <c r="H354" s="171"/>
      <c r="I354" s="171"/>
      <c r="J354" s="425">
        <v>16.3585</v>
      </c>
      <c r="K354" s="182">
        <v>10451.8</v>
      </c>
      <c r="L354" s="36"/>
      <c r="M354" s="36"/>
      <c r="N354" s="36"/>
      <c r="O354" s="36"/>
      <c r="P354" s="36"/>
      <c r="Q354" s="36"/>
      <c r="R354" s="36"/>
      <c r="S354" s="36"/>
      <c r="T354" s="36"/>
      <c r="U354" s="36"/>
      <c r="V354" s="36"/>
      <c r="W354" s="36"/>
      <c r="X354" s="36"/>
      <c r="Y354" s="36"/>
      <c r="Z354" s="36"/>
      <c r="AA354" s="36"/>
      <c r="AB354" s="36"/>
      <c r="AC354" s="36"/>
    </row>
    <row r="355" ht="15.75" customHeight="1">
      <c r="A355" s="423">
        <v>43045.0</v>
      </c>
      <c r="B355" s="424">
        <v>13.6081</v>
      </c>
      <c r="C355" s="425">
        <v>15.5737</v>
      </c>
      <c r="D355" s="171"/>
      <c r="E355" s="425">
        <v>13.4529</v>
      </c>
      <c r="F355" s="425">
        <v>16.1641</v>
      </c>
      <c r="G355" s="425">
        <v>12.9405</v>
      </c>
      <c r="H355" s="171"/>
      <c r="I355" s="171"/>
      <c r="J355" s="425">
        <v>16.2797</v>
      </c>
      <c r="K355" s="182">
        <v>10451.8</v>
      </c>
      <c r="L355" s="36"/>
      <c r="M355" s="36"/>
      <c r="N355" s="36"/>
      <c r="O355" s="36"/>
      <c r="P355" s="36"/>
      <c r="Q355" s="36"/>
      <c r="R355" s="36"/>
      <c r="S355" s="36"/>
      <c r="T355" s="36"/>
      <c r="U355" s="36"/>
      <c r="V355" s="36"/>
      <c r="W355" s="36"/>
      <c r="X355" s="36"/>
      <c r="Y355" s="36"/>
      <c r="Z355" s="36"/>
      <c r="AA355" s="36"/>
      <c r="AB355" s="36"/>
      <c r="AC355" s="36"/>
    </row>
    <row r="356" ht="15.75" customHeight="1">
      <c r="A356" s="423">
        <v>43045.0</v>
      </c>
      <c r="B356" s="424">
        <v>13.6081</v>
      </c>
      <c r="C356" s="425">
        <v>15.5737</v>
      </c>
      <c r="D356" s="171"/>
      <c r="E356" s="425">
        <v>13.4529</v>
      </c>
      <c r="F356" s="425">
        <v>16.1641</v>
      </c>
      <c r="G356" s="425">
        <v>12.9405</v>
      </c>
      <c r="H356" s="171"/>
      <c r="I356" s="171"/>
      <c r="J356" s="425">
        <v>16.2797</v>
      </c>
      <c r="K356" s="182">
        <v>10451.8</v>
      </c>
      <c r="L356" s="36"/>
      <c r="M356" s="36"/>
      <c r="N356" s="36"/>
      <c r="O356" s="36"/>
      <c r="P356" s="36"/>
      <c r="Q356" s="36"/>
      <c r="R356" s="36"/>
      <c r="S356" s="36"/>
      <c r="T356" s="36"/>
      <c r="U356" s="36"/>
      <c r="V356" s="36"/>
      <c r="W356" s="36"/>
      <c r="X356" s="36"/>
      <c r="Y356" s="36"/>
      <c r="Z356" s="36"/>
      <c r="AA356" s="36"/>
      <c r="AB356" s="36"/>
      <c r="AC356" s="36"/>
    </row>
    <row r="357" ht="15.75" customHeight="1">
      <c r="A357" s="423">
        <v>43046.0</v>
      </c>
      <c r="B357" s="424">
        <v>13.5123</v>
      </c>
      <c r="C357" s="425">
        <v>15.5941</v>
      </c>
      <c r="D357" s="171"/>
      <c r="E357" s="425">
        <v>13.4411</v>
      </c>
      <c r="F357" s="425">
        <v>16.0693</v>
      </c>
      <c r="G357" s="425">
        <v>12.9398</v>
      </c>
      <c r="H357" s="171"/>
      <c r="I357" s="171"/>
      <c r="J357" s="425">
        <v>16.3916</v>
      </c>
      <c r="K357" s="182">
        <v>10350.15</v>
      </c>
      <c r="L357" s="36"/>
      <c r="M357" s="36"/>
      <c r="N357" s="36"/>
      <c r="O357" s="36"/>
      <c r="P357" s="36"/>
      <c r="Q357" s="36"/>
      <c r="R357" s="36"/>
      <c r="S357" s="36"/>
      <c r="T357" s="36"/>
      <c r="U357" s="36"/>
      <c r="V357" s="36"/>
      <c r="W357" s="36"/>
      <c r="X357" s="36"/>
      <c r="Y357" s="36"/>
      <c r="Z357" s="36"/>
      <c r="AA357" s="36"/>
      <c r="AB357" s="36"/>
      <c r="AC357" s="36"/>
    </row>
    <row r="358" ht="15.75" customHeight="1">
      <c r="A358" s="423">
        <v>43046.0</v>
      </c>
      <c r="B358" s="424">
        <v>13.5123</v>
      </c>
      <c r="C358" s="425">
        <v>15.5941</v>
      </c>
      <c r="D358" s="171"/>
      <c r="E358" s="425">
        <v>13.4411</v>
      </c>
      <c r="F358" s="425">
        <v>16.0693</v>
      </c>
      <c r="G358" s="425">
        <v>12.9398</v>
      </c>
      <c r="H358" s="171"/>
      <c r="I358" s="171"/>
      <c r="J358" s="425">
        <v>16.3916</v>
      </c>
      <c r="K358" s="182">
        <v>10350.15</v>
      </c>
      <c r="L358" s="36"/>
      <c r="M358" s="36"/>
      <c r="N358" s="36"/>
      <c r="O358" s="36"/>
      <c r="P358" s="36"/>
      <c r="Q358" s="36"/>
      <c r="R358" s="36"/>
      <c r="S358" s="36"/>
      <c r="T358" s="36"/>
      <c r="U358" s="36"/>
      <c r="V358" s="36"/>
      <c r="W358" s="36"/>
      <c r="X358" s="36"/>
      <c r="Y358" s="36"/>
      <c r="Z358" s="36"/>
      <c r="AA358" s="36"/>
      <c r="AB358" s="36"/>
      <c r="AC358" s="36"/>
    </row>
    <row r="359" ht="15.75" customHeight="1">
      <c r="A359" s="423">
        <v>43046.0</v>
      </c>
      <c r="B359" s="424">
        <v>13.5123</v>
      </c>
      <c r="C359" s="425">
        <v>15.5902</v>
      </c>
      <c r="D359" s="171"/>
      <c r="E359" s="425">
        <v>13.4411</v>
      </c>
      <c r="F359" s="425">
        <v>16.0693</v>
      </c>
      <c r="G359" s="425">
        <v>12.9398</v>
      </c>
      <c r="H359" s="171"/>
      <c r="I359" s="171"/>
      <c r="J359" s="425">
        <v>16.3401</v>
      </c>
      <c r="K359" s="182">
        <v>10350.15</v>
      </c>
      <c r="L359" s="36"/>
      <c r="M359" s="36"/>
      <c r="N359" s="36"/>
      <c r="O359" s="36"/>
      <c r="P359" s="36"/>
      <c r="Q359" s="36"/>
      <c r="R359" s="36"/>
      <c r="S359" s="36"/>
      <c r="T359" s="36"/>
      <c r="U359" s="36"/>
      <c r="V359" s="36"/>
      <c r="W359" s="36"/>
      <c r="X359" s="36"/>
      <c r="Y359" s="36"/>
      <c r="Z359" s="36"/>
      <c r="AA359" s="36"/>
      <c r="AB359" s="36"/>
      <c r="AC359" s="36"/>
    </row>
    <row r="360" ht="15.75" customHeight="1">
      <c r="A360" s="423">
        <v>43046.0</v>
      </c>
      <c r="B360" s="424">
        <v>13.5123</v>
      </c>
      <c r="C360" s="425">
        <v>15.5902</v>
      </c>
      <c r="D360" s="171"/>
      <c r="E360" s="425">
        <v>13.4411</v>
      </c>
      <c r="F360" s="425">
        <v>16.0693</v>
      </c>
      <c r="G360" s="425">
        <v>12.9398</v>
      </c>
      <c r="H360" s="171"/>
      <c r="I360" s="171"/>
      <c r="J360" s="425">
        <v>16.3401</v>
      </c>
      <c r="K360" s="182">
        <v>10350.15</v>
      </c>
      <c r="L360" s="36"/>
      <c r="M360" s="36"/>
      <c r="N360" s="36"/>
      <c r="O360" s="36"/>
      <c r="P360" s="36"/>
      <c r="Q360" s="36"/>
      <c r="R360" s="36"/>
      <c r="S360" s="36"/>
      <c r="T360" s="36"/>
      <c r="U360" s="36"/>
      <c r="V360" s="36"/>
      <c r="W360" s="36"/>
      <c r="X360" s="36"/>
      <c r="Y360" s="36"/>
      <c r="Z360" s="36"/>
      <c r="AA360" s="36"/>
      <c r="AB360" s="36"/>
      <c r="AC360" s="36"/>
    </row>
    <row r="361" ht="15.75" customHeight="1">
      <c r="A361" s="423">
        <v>43047.0</v>
      </c>
      <c r="B361" s="424">
        <v>13.4549</v>
      </c>
      <c r="C361" s="425">
        <v>15.605</v>
      </c>
      <c r="D361" s="171"/>
      <c r="E361" s="425">
        <v>13.4414</v>
      </c>
      <c r="F361" s="425">
        <v>15.9994</v>
      </c>
      <c r="G361" s="425">
        <v>12.9399</v>
      </c>
      <c r="H361" s="171"/>
      <c r="I361" s="171"/>
      <c r="J361" s="425">
        <v>16.3268</v>
      </c>
      <c r="K361" s="182">
        <v>10303.15</v>
      </c>
      <c r="L361" s="36"/>
      <c r="M361" s="36"/>
      <c r="N361" s="36"/>
      <c r="O361" s="36"/>
      <c r="P361" s="36"/>
      <c r="Q361" s="36"/>
      <c r="R361" s="36"/>
      <c r="S361" s="36"/>
      <c r="T361" s="36"/>
      <c r="U361" s="36"/>
      <c r="V361" s="36"/>
      <c r="W361" s="36"/>
      <c r="X361" s="36"/>
      <c r="Y361" s="36"/>
      <c r="Z361" s="36"/>
      <c r="AA361" s="36"/>
      <c r="AB361" s="36"/>
      <c r="AC361" s="36"/>
    </row>
    <row r="362" ht="15.75" customHeight="1">
      <c r="A362" s="423">
        <v>43047.0</v>
      </c>
      <c r="B362" s="424">
        <v>13.4549</v>
      </c>
      <c r="C362" s="425">
        <v>15.605</v>
      </c>
      <c r="D362" s="171"/>
      <c r="E362" s="425">
        <v>13.4414</v>
      </c>
      <c r="F362" s="425">
        <v>15.9994</v>
      </c>
      <c r="G362" s="425">
        <v>12.9399</v>
      </c>
      <c r="H362" s="171"/>
      <c r="I362" s="171"/>
      <c r="J362" s="425">
        <v>16.3268</v>
      </c>
      <c r="K362" s="182">
        <v>10303.15</v>
      </c>
      <c r="L362" s="36"/>
      <c r="M362" s="36"/>
      <c r="N362" s="36"/>
      <c r="O362" s="36"/>
      <c r="P362" s="36"/>
      <c r="Q362" s="36"/>
      <c r="R362" s="36"/>
      <c r="S362" s="36"/>
      <c r="T362" s="36"/>
      <c r="U362" s="36"/>
      <c r="V362" s="36"/>
      <c r="W362" s="36"/>
      <c r="X362" s="36"/>
      <c r="Y362" s="36"/>
      <c r="Z362" s="36"/>
      <c r="AA362" s="36"/>
      <c r="AB362" s="36"/>
      <c r="AC362" s="36"/>
    </row>
    <row r="363" ht="15.75" customHeight="1">
      <c r="A363" s="423">
        <v>43047.0</v>
      </c>
      <c r="B363" s="424">
        <v>13.4549</v>
      </c>
      <c r="C363" s="425">
        <v>15.5967</v>
      </c>
      <c r="D363" s="171"/>
      <c r="E363" s="425">
        <v>13.4414</v>
      </c>
      <c r="F363" s="425">
        <v>15.9994</v>
      </c>
      <c r="G363" s="425">
        <v>12.9399</v>
      </c>
      <c r="H363" s="171"/>
      <c r="I363" s="171"/>
      <c r="J363" s="425">
        <v>16.3492</v>
      </c>
      <c r="K363" s="182">
        <v>10303.15</v>
      </c>
      <c r="L363" s="36"/>
      <c r="M363" s="36"/>
      <c r="N363" s="36"/>
      <c r="O363" s="36"/>
      <c r="P363" s="36"/>
      <c r="Q363" s="36"/>
      <c r="R363" s="36"/>
      <c r="S363" s="36"/>
      <c r="T363" s="36"/>
      <c r="U363" s="36"/>
      <c r="V363" s="36"/>
      <c r="W363" s="36"/>
      <c r="X363" s="36"/>
      <c r="Y363" s="36"/>
      <c r="Z363" s="36"/>
      <c r="AA363" s="36"/>
      <c r="AB363" s="36"/>
      <c r="AC363" s="36"/>
    </row>
    <row r="364" ht="15.75" customHeight="1">
      <c r="A364" s="423">
        <v>43047.0</v>
      </c>
      <c r="B364" s="424">
        <v>13.4549</v>
      </c>
      <c r="C364" s="425">
        <v>15.5967</v>
      </c>
      <c r="D364" s="171"/>
      <c r="E364" s="425">
        <v>13.4414</v>
      </c>
      <c r="F364" s="425">
        <v>15.9994</v>
      </c>
      <c r="G364" s="425">
        <v>12.9399</v>
      </c>
      <c r="H364" s="171"/>
      <c r="I364" s="171"/>
      <c r="J364" s="425">
        <v>16.3492</v>
      </c>
      <c r="K364" s="182">
        <v>10303.15</v>
      </c>
      <c r="L364" s="36"/>
      <c r="M364" s="36"/>
      <c r="N364" s="36"/>
      <c r="O364" s="36"/>
      <c r="P364" s="36"/>
      <c r="Q364" s="36"/>
      <c r="R364" s="36"/>
      <c r="S364" s="36"/>
      <c r="T364" s="36"/>
      <c r="U364" s="36"/>
      <c r="V364" s="36"/>
      <c r="W364" s="36"/>
      <c r="X364" s="36"/>
      <c r="Y364" s="36"/>
      <c r="Z364" s="36"/>
      <c r="AA364" s="36"/>
      <c r="AB364" s="36"/>
      <c r="AC364" s="36"/>
    </row>
    <row r="365" ht="15.75" customHeight="1">
      <c r="A365" s="423">
        <v>43048.0</v>
      </c>
      <c r="B365" s="424">
        <v>13.4752</v>
      </c>
      <c r="C365" s="425">
        <v>15.6117</v>
      </c>
      <c r="D365" s="171"/>
      <c r="E365" s="425">
        <v>13.4392</v>
      </c>
      <c r="F365" s="425">
        <v>16.0267</v>
      </c>
      <c r="G365" s="425">
        <v>12.9412</v>
      </c>
      <c r="H365" s="171"/>
      <c r="I365" s="171"/>
      <c r="J365" s="425">
        <v>16.4557</v>
      </c>
      <c r="K365" s="182">
        <v>10308.95</v>
      </c>
      <c r="L365" s="36"/>
      <c r="M365" s="36"/>
      <c r="N365" s="36"/>
      <c r="O365" s="36"/>
      <c r="P365" s="36"/>
      <c r="Q365" s="36"/>
      <c r="R365" s="36"/>
      <c r="S365" s="36"/>
      <c r="T365" s="36"/>
      <c r="U365" s="36"/>
      <c r="V365" s="36"/>
      <c r="W365" s="36"/>
      <c r="X365" s="36"/>
      <c r="Y365" s="36"/>
      <c r="Z365" s="36"/>
      <c r="AA365" s="36"/>
      <c r="AB365" s="36"/>
      <c r="AC365" s="36"/>
    </row>
    <row r="366" ht="15.75" customHeight="1">
      <c r="A366" s="423">
        <v>43048.0</v>
      </c>
      <c r="B366" s="424">
        <v>13.4752</v>
      </c>
      <c r="C366" s="425">
        <v>15.6117</v>
      </c>
      <c r="D366" s="171"/>
      <c r="E366" s="425">
        <v>13.4392</v>
      </c>
      <c r="F366" s="425">
        <v>16.0267</v>
      </c>
      <c r="G366" s="425">
        <v>12.9412</v>
      </c>
      <c r="H366" s="171"/>
      <c r="I366" s="171"/>
      <c r="J366" s="425">
        <v>16.4557</v>
      </c>
      <c r="K366" s="182">
        <v>10308.95</v>
      </c>
      <c r="L366" s="36"/>
      <c r="M366" s="36"/>
      <c r="N366" s="36"/>
      <c r="O366" s="36"/>
      <c r="P366" s="36"/>
      <c r="Q366" s="36"/>
      <c r="R366" s="36"/>
      <c r="S366" s="36"/>
      <c r="T366" s="36"/>
      <c r="U366" s="36"/>
      <c r="V366" s="36"/>
      <c r="W366" s="36"/>
      <c r="X366" s="36"/>
      <c r="Y366" s="36"/>
      <c r="Z366" s="36"/>
      <c r="AA366" s="36"/>
      <c r="AB366" s="36"/>
      <c r="AC366" s="36"/>
    </row>
    <row r="367" ht="15.75" customHeight="1">
      <c r="A367" s="423">
        <v>43048.0</v>
      </c>
      <c r="B367" s="424">
        <v>13.4752</v>
      </c>
      <c r="C367" s="425">
        <v>15.6074</v>
      </c>
      <c r="D367" s="171"/>
      <c r="E367" s="425">
        <v>13.4392</v>
      </c>
      <c r="F367" s="425">
        <v>16.0267</v>
      </c>
      <c r="G367" s="425">
        <v>12.9412</v>
      </c>
      <c r="H367" s="171"/>
      <c r="I367" s="171"/>
      <c r="J367" s="425">
        <v>16.3726</v>
      </c>
      <c r="K367" s="182">
        <v>10308.95</v>
      </c>
      <c r="L367" s="36"/>
      <c r="M367" s="36"/>
      <c r="N367" s="36"/>
      <c r="O367" s="36"/>
      <c r="P367" s="36"/>
      <c r="Q367" s="36"/>
      <c r="R367" s="36"/>
      <c r="S367" s="36"/>
      <c r="T367" s="36"/>
      <c r="U367" s="36"/>
      <c r="V367" s="36"/>
      <c r="W367" s="36"/>
      <c r="X367" s="36"/>
      <c r="Y367" s="36"/>
      <c r="Z367" s="36"/>
      <c r="AA367" s="36"/>
      <c r="AB367" s="36"/>
      <c r="AC367" s="36"/>
    </row>
    <row r="368" ht="15.75" customHeight="1">
      <c r="A368" s="423">
        <v>43048.0</v>
      </c>
      <c r="B368" s="424">
        <v>13.4752</v>
      </c>
      <c r="C368" s="425">
        <v>15.6074</v>
      </c>
      <c r="D368" s="171"/>
      <c r="E368" s="425">
        <v>13.4392</v>
      </c>
      <c r="F368" s="425">
        <v>16.0267</v>
      </c>
      <c r="G368" s="425">
        <v>12.9412</v>
      </c>
      <c r="H368" s="171"/>
      <c r="I368" s="171"/>
      <c r="J368" s="425">
        <v>16.3726</v>
      </c>
      <c r="K368" s="182">
        <v>10308.95</v>
      </c>
      <c r="L368" s="36"/>
      <c r="M368" s="36"/>
      <c r="N368" s="36"/>
      <c r="O368" s="36"/>
      <c r="P368" s="36"/>
      <c r="Q368" s="36"/>
      <c r="R368" s="36"/>
      <c r="S368" s="36"/>
      <c r="T368" s="36"/>
      <c r="U368" s="36"/>
      <c r="V368" s="36"/>
      <c r="W368" s="36"/>
      <c r="X368" s="36"/>
      <c r="Y368" s="36"/>
      <c r="Z368" s="36"/>
      <c r="AA368" s="36"/>
      <c r="AB368" s="36"/>
      <c r="AC368" s="36"/>
    </row>
    <row r="369" ht="15.75" customHeight="1">
      <c r="A369" s="423">
        <v>43049.0</v>
      </c>
      <c r="B369" s="424">
        <v>13.5084</v>
      </c>
      <c r="C369" s="425">
        <v>15.6161</v>
      </c>
      <c r="D369" s="171"/>
      <c r="E369" s="425">
        <v>13.4333</v>
      </c>
      <c r="F369" s="425">
        <v>16.0599</v>
      </c>
      <c r="G369" s="425">
        <v>12.9415</v>
      </c>
      <c r="H369" s="171"/>
      <c r="I369" s="171"/>
      <c r="J369" s="425">
        <v>16.4837</v>
      </c>
      <c r="K369" s="182">
        <v>10321.75</v>
      </c>
      <c r="L369" s="36"/>
      <c r="M369" s="36"/>
      <c r="N369" s="36"/>
      <c r="O369" s="36"/>
      <c r="P369" s="36"/>
      <c r="Q369" s="36"/>
      <c r="R369" s="36"/>
      <c r="S369" s="36"/>
      <c r="T369" s="36"/>
      <c r="U369" s="36"/>
      <c r="V369" s="36"/>
      <c r="W369" s="36"/>
      <c r="X369" s="36"/>
      <c r="Y369" s="36"/>
      <c r="Z369" s="36"/>
      <c r="AA369" s="36"/>
      <c r="AB369" s="36"/>
      <c r="AC369" s="36"/>
    </row>
    <row r="370" ht="15.75" customHeight="1">
      <c r="A370" s="423">
        <v>43049.0</v>
      </c>
      <c r="B370" s="424">
        <v>13.5084</v>
      </c>
      <c r="C370" s="425">
        <v>15.6161</v>
      </c>
      <c r="D370" s="171"/>
      <c r="E370" s="425">
        <v>13.4333</v>
      </c>
      <c r="F370" s="425">
        <v>16.0599</v>
      </c>
      <c r="G370" s="425">
        <v>12.9415</v>
      </c>
      <c r="H370" s="171"/>
      <c r="I370" s="171"/>
      <c r="J370" s="425">
        <v>16.4837</v>
      </c>
      <c r="K370" s="182">
        <v>10321.75</v>
      </c>
      <c r="L370" s="36"/>
      <c r="M370" s="36"/>
      <c r="N370" s="36"/>
      <c r="O370" s="36"/>
      <c r="P370" s="36"/>
      <c r="Q370" s="36"/>
      <c r="R370" s="36"/>
      <c r="S370" s="36"/>
      <c r="T370" s="36"/>
      <c r="U370" s="36"/>
      <c r="V370" s="36"/>
      <c r="W370" s="36"/>
      <c r="X370" s="36"/>
      <c r="Y370" s="36"/>
      <c r="Z370" s="36"/>
      <c r="AA370" s="36"/>
      <c r="AB370" s="36"/>
      <c r="AC370" s="36"/>
    </row>
    <row r="371" ht="15.75" customHeight="1">
      <c r="A371" s="423">
        <v>43049.0</v>
      </c>
      <c r="B371" s="424">
        <v>13.5084</v>
      </c>
      <c r="C371" s="425">
        <v>15.6137</v>
      </c>
      <c r="D371" s="171"/>
      <c r="E371" s="425">
        <v>13.4333</v>
      </c>
      <c r="F371" s="425">
        <v>16.0599</v>
      </c>
      <c r="G371" s="425">
        <v>12.9415</v>
      </c>
      <c r="H371" s="171"/>
      <c r="I371" s="171"/>
      <c r="J371" s="425">
        <v>16.4148</v>
      </c>
      <c r="K371" s="182">
        <v>10321.75</v>
      </c>
      <c r="L371" s="36"/>
      <c r="M371" s="36"/>
      <c r="N371" s="36"/>
      <c r="O371" s="36"/>
      <c r="P371" s="36"/>
      <c r="Q371" s="36"/>
      <c r="R371" s="36"/>
      <c r="S371" s="36"/>
      <c r="T371" s="36"/>
      <c r="U371" s="36"/>
      <c r="V371" s="36"/>
      <c r="W371" s="36"/>
      <c r="X371" s="36"/>
      <c r="Y371" s="36"/>
      <c r="Z371" s="36"/>
      <c r="AA371" s="36"/>
      <c r="AB371" s="36"/>
      <c r="AC371" s="36"/>
    </row>
    <row r="372" ht="15.75" customHeight="1">
      <c r="A372" s="423">
        <v>43049.0</v>
      </c>
      <c r="B372" s="424">
        <v>13.5084</v>
      </c>
      <c r="C372" s="425">
        <v>15.6137</v>
      </c>
      <c r="D372" s="171"/>
      <c r="E372" s="425">
        <v>13.4333</v>
      </c>
      <c r="F372" s="425">
        <v>16.0599</v>
      </c>
      <c r="G372" s="425">
        <v>12.9415</v>
      </c>
      <c r="H372" s="171"/>
      <c r="I372" s="171"/>
      <c r="J372" s="425">
        <v>16.4148</v>
      </c>
      <c r="K372" s="182">
        <v>10321.75</v>
      </c>
      <c r="L372" s="36"/>
      <c r="M372" s="36"/>
      <c r="N372" s="36"/>
      <c r="O372" s="36"/>
      <c r="P372" s="36"/>
      <c r="Q372" s="36"/>
      <c r="R372" s="36"/>
      <c r="S372" s="36"/>
      <c r="T372" s="36"/>
      <c r="U372" s="36"/>
      <c r="V372" s="36"/>
      <c r="W372" s="36"/>
      <c r="X372" s="36"/>
      <c r="Y372" s="36"/>
      <c r="Z372" s="36"/>
      <c r="AA372" s="36"/>
      <c r="AB372" s="36"/>
      <c r="AC372" s="36"/>
    </row>
    <row r="373" ht="15.75" customHeight="1">
      <c r="A373" s="423">
        <v>43052.0</v>
      </c>
      <c r="B373" s="424">
        <v>13.4073</v>
      </c>
      <c r="C373" s="425">
        <v>15.6295</v>
      </c>
      <c r="D373" s="171"/>
      <c r="E373" s="425">
        <v>13.4361</v>
      </c>
      <c r="F373" s="425">
        <v>15.9628</v>
      </c>
      <c r="G373" s="425">
        <v>12.9466</v>
      </c>
      <c r="H373" s="171"/>
      <c r="I373" s="171"/>
      <c r="J373" s="425">
        <v>16.5458</v>
      </c>
      <c r="K373" s="182">
        <v>10224.95</v>
      </c>
      <c r="L373" s="36"/>
      <c r="M373" s="36"/>
      <c r="N373" s="36"/>
      <c r="O373" s="36"/>
      <c r="P373" s="36"/>
      <c r="Q373" s="36"/>
      <c r="R373" s="36"/>
      <c r="S373" s="36"/>
      <c r="T373" s="36"/>
      <c r="U373" s="36"/>
      <c r="V373" s="36"/>
      <c r="W373" s="36"/>
      <c r="X373" s="36"/>
      <c r="Y373" s="36"/>
      <c r="Z373" s="36"/>
      <c r="AA373" s="36"/>
      <c r="AB373" s="36"/>
      <c r="AC373" s="36"/>
    </row>
    <row r="374" ht="15.75" customHeight="1">
      <c r="A374" s="423">
        <v>43052.0</v>
      </c>
      <c r="B374" s="424">
        <v>13.4073</v>
      </c>
      <c r="C374" s="425">
        <v>15.6295</v>
      </c>
      <c r="D374" s="171"/>
      <c r="E374" s="425">
        <v>13.4361</v>
      </c>
      <c r="F374" s="425">
        <v>15.9628</v>
      </c>
      <c r="G374" s="425">
        <v>12.9466</v>
      </c>
      <c r="H374" s="171"/>
      <c r="I374" s="171"/>
      <c r="J374" s="425">
        <v>16.5458</v>
      </c>
      <c r="K374" s="182">
        <v>10224.95</v>
      </c>
      <c r="L374" s="36"/>
      <c r="M374" s="36"/>
      <c r="N374" s="36"/>
      <c r="O374" s="36"/>
      <c r="P374" s="36"/>
      <c r="Q374" s="36"/>
      <c r="R374" s="36"/>
      <c r="S374" s="36"/>
      <c r="T374" s="36"/>
      <c r="U374" s="36"/>
      <c r="V374" s="36"/>
      <c r="W374" s="36"/>
      <c r="X374" s="36"/>
      <c r="Y374" s="36"/>
      <c r="Z374" s="36"/>
      <c r="AA374" s="36"/>
      <c r="AB374" s="36"/>
      <c r="AC374" s="36"/>
    </row>
    <row r="375" ht="15.75" customHeight="1">
      <c r="A375" s="423">
        <v>43052.0</v>
      </c>
      <c r="B375" s="424">
        <v>13.4073</v>
      </c>
      <c r="C375" s="425">
        <v>15.6237</v>
      </c>
      <c r="D375" s="171"/>
      <c r="E375" s="425">
        <v>13.4361</v>
      </c>
      <c r="F375" s="425">
        <v>15.9628</v>
      </c>
      <c r="G375" s="425">
        <v>12.9466</v>
      </c>
      <c r="H375" s="171"/>
      <c r="I375" s="171"/>
      <c r="J375" s="425">
        <v>16.5987</v>
      </c>
      <c r="K375" s="182">
        <v>10224.95</v>
      </c>
      <c r="L375" s="36"/>
      <c r="M375" s="36"/>
      <c r="N375" s="36"/>
      <c r="O375" s="36"/>
      <c r="P375" s="36"/>
      <c r="Q375" s="36"/>
      <c r="R375" s="36"/>
      <c r="S375" s="36"/>
      <c r="T375" s="36"/>
      <c r="U375" s="36"/>
      <c r="V375" s="36"/>
      <c r="W375" s="36"/>
      <c r="X375" s="36"/>
      <c r="Y375" s="36"/>
      <c r="Z375" s="36"/>
      <c r="AA375" s="36"/>
      <c r="AB375" s="36"/>
      <c r="AC375" s="36"/>
    </row>
    <row r="376" ht="15.75" customHeight="1">
      <c r="A376" s="423">
        <v>43052.0</v>
      </c>
      <c r="B376" s="424">
        <v>13.4073</v>
      </c>
      <c r="C376" s="425">
        <v>15.6237</v>
      </c>
      <c r="D376" s="171"/>
      <c r="E376" s="425">
        <v>13.4361</v>
      </c>
      <c r="F376" s="425">
        <v>15.9628</v>
      </c>
      <c r="G376" s="425">
        <v>12.9466</v>
      </c>
      <c r="H376" s="171"/>
      <c r="I376" s="171"/>
      <c r="J376" s="425">
        <v>16.5987</v>
      </c>
      <c r="K376" s="182">
        <v>10224.95</v>
      </c>
      <c r="L376" s="36"/>
      <c r="M376" s="36"/>
      <c r="N376" s="36"/>
      <c r="O376" s="36"/>
      <c r="P376" s="36"/>
      <c r="Q376" s="36"/>
      <c r="R376" s="36"/>
      <c r="S376" s="36"/>
      <c r="T376" s="36"/>
      <c r="U376" s="36"/>
      <c r="V376" s="36"/>
      <c r="W376" s="36"/>
      <c r="X376" s="36"/>
      <c r="Y376" s="36"/>
      <c r="Z376" s="36"/>
      <c r="AA376" s="36"/>
      <c r="AB376" s="36"/>
      <c r="AC376" s="36"/>
    </row>
    <row r="377" ht="15.75" customHeight="1">
      <c r="A377" s="423">
        <v>43053.0</v>
      </c>
      <c r="B377" s="424">
        <v>13.3563</v>
      </c>
      <c r="C377" s="425">
        <v>15.6414</v>
      </c>
      <c r="D377" s="171"/>
      <c r="E377" s="425">
        <v>13.4004</v>
      </c>
      <c r="F377" s="425">
        <v>15.9094</v>
      </c>
      <c r="G377" s="425">
        <v>12.9424</v>
      </c>
      <c r="H377" s="171"/>
      <c r="I377" s="171"/>
      <c r="J377" s="425">
        <v>16.6878</v>
      </c>
      <c r="K377" s="182">
        <v>10186.6</v>
      </c>
      <c r="L377" s="36"/>
      <c r="M377" s="36"/>
      <c r="N377" s="36"/>
      <c r="O377" s="36"/>
      <c r="P377" s="36"/>
      <c r="Q377" s="36"/>
      <c r="R377" s="36"/>
      <c r="S377" s="36"/>
      <c r="T377" s="36"/>
      <c r="U377" s="36"/>
      <c r="V377" s="36"/>
      <c r="W377" s="36"/>
      <c r="X377" s="36"/>
      <c r="Y377" s="36"/>
      <c r="Z377" s="36"/>
      <c r="AA377" s="36"/>
      <c r="AB377" s="36"/>
      <c r="AC377" s="36"/>
    </row>
    <row r="378" ht="15.75" customHeight="1">
      <c r="A378" s="423">
        <v>43053.0</v>
      </c>
      <c r="B378" s="424">
        <v>13.3563</v>
      </c>
      <c r="C378" s="425">
        <v>15.6414</v>
      </c>
      <c r="D378" s="171"/>
      <c r="E378" s="425">
        <v>13.4004</v>
      </c>
      <c r="F378" s="425">
        <v>15.9094</v>
      </c>
      <c r="G378" s="425">
        <v>12.9424</v>
      </c>
      <c r="H378" s="171"/>
      <c r="I378" s="171"/>
      <c r="J378" s="425">
        <v>16.6878</v>
      </c>
      <c r="K378" s="182">
        <v>10186.6</v>
      </c>
      <c r="L378" s="36"/>
      <c r="M378" s="36"/>
      <c r="N378" s="36"/>
      <c r="O378" s="36"/>
      <c r="P378" s="36"/>
      <c r="Q378" s="36"/>
      <c r="R378" s="36"/>
      <c r="S378" s="36"/>
      <c r="T378" s="36"/>
      <c r="U378" s="36"/>
      <c r="V378" s="36"/>
      <c r="W378" s="36"/>
      <c r="X378" s="36"/>
      <c r="Y378" s="36"/>
      <c r="Z378" s="36"/>
      <c r="AA378" s="36"/>
      <c r="AB378" s="36"/>
      <c r="AC378" s="36"/>
    </row>
    <row r="379" ht="15.75" customHeight="1">
      <c r="A379" s="423">
        <v>43053.0</v>
      </c>
      <c r="B379" s="424">
        <v>13.3563</v>
      </c>
      <c r="C379" s="425">
        <v>15.6319</v>
      </c>
      <c r="D379" s="171"/>
      <c r="E379" s="425">
        <v>13.4004</v>
      </c>
      <c r="F379" s="425">
        <v>15.9094</v>
      </c>
      <c r="G379" s="425">
        <v>12.9424</v>
      </c>
      <c r="H379" s="171"/>
      <c r="I379" s="171"/>
      <c r="J379" s="425">
        <v>16.5763</v>
      </c>
      <c r="K379" s="182">
        <v>10186.6</v>
      </c>
      <c r="L379" s="36"/>
      <c r="M379" s="36"/>
      <c r="N379" s="36"/>
      <c r="O379" s="36"/>
      <c r="P379" s="36"/>
      <c r="Q379" s="36"/>
      <c r="R379" s="36"/>
      <c r="S379" s="36"/>
      <c r="T379" s="36"/>
      <c r="U379" s="36"/>
      <c r="V379" s="36"/>
      <c r="W379" s="36"/>
      <c r="X379" s="36"/>
      <c r="Y379" s="36"/>
      <c r="Z379" s="36"/>
      <c r="AA379" s="36"/>
      <c r="AB379" s="36"/>
      <c r="AC379" s="36"/>
    </row>
    <row r="380" ht="15.75" customHeight="1">
      <c r="A380" s="423">
        <v>43053.0</v>
      </c>
      <c r="B380" s="424">
        <v>13.3563</v>
      </c>
      <c r="C380" s="425">
        <v>15.6319</v>
      </c>
      <c r="D380" s="171"/>
      <c r="E380" s="425">
        <v>13.4004</v>
      </c>
      <c r="F380" s="425">
        <v>15.9094</v>
      </c>
      <c r="G380" s="425">
        <v>12.9424</v>
      </c>
      <c r="H380" s="171"/>
      <c r="I380" s="171"/>
      <c r="J380" s="425">
        <v>16.5763</v>
      </c>
      <c r="K380" s="182">
        <v>10186.6</v>
      </c>
      <c r="L380" s="36"/>
      <c r="M380" s="36"/>
      <c r="N380" s="36"/>
      <c r="O380" s="36"/>
      <c r="P380" s="36"/>
      <c r="Q380" s="36"/>
      <c r="R380" s="36"/>
      <c r="S380" s="36"/>
      <c r="T380" s="36"/>
      <c r="U380" s="36"/>
      <c r="V380" s="36"/>
      <c r="W380" s="36"/>
      <c r="X380" s="36"/>
      <c r="Y380" s="36"/>
      <c r="Z380" s="36"/>
      <c r="AA380" s="36"/>
      <c r="AB380" s="36"/>
      <c r="AC380" s="36"/>
    </row>
    <row r="381" ht="15.75" customHeight="1">
      <c r="A381" s="423">
        <v>43054.0</v>
      </c>
      <c r="B381" s="424">
        <v>13.2675</v>
      </c>
      <c r="C381" s="425">
        <v>15.6587</v>
      </c>
      <c r="D381" s="171"/>
      <c r="E381" s="425">
        <v>13.4148</v>
      </c>
      <c r="F381" s="425">
        <v>15.81</v>
      </c>
      <c r="G381" s="425">
        <v>12.9418</v>
      </c>
      <c r="H381" s="171"/>
      <c r="I381" s="171"/>
      <c r="J381" s="425">
        <v>16.6853</v>
      </c>
      <c r="K381" s="182">
        <v>10118.05</v>
      </c>
      <c r="L381" s="36"/>
      <c r="M381" s="36"/>
      <c r="N381" s="36"/>
      <c r="O381" s="36"/>
      <c r="P381" s="36"/>
      <c r="Q381" s="36"/>
      <c r="R381" s="36"/>
      <c r="S381" s="36"/>
      <c r="T381" s="36"/>
      <c r="U381" s="36"/>
      <c r="V381" s="36"/>
      <c r="W381" s="36"/>
      <c r="X381" s="36"/>
      <c r="Y381" s="36"/>
      <c r="Z381" s="36"/>
      <c r="AA381" s="36"/>
      <c r="AB381" s="36"/>
      <c r="AC381" s="36"/>
    </row>
    <row r="382" ht="15.75" customHeight="1">
      <c r="A382" s="423">
        <v>43054.0</v>
      </c>
      <c r="B382" s="424">
        <v>13.2675</v>
      </c>
      <c r="C382" s="425">
        <v>15.6587</v>
      </c>
      <c r="D382" s="171"/>
      <c r="E382" s="425">
        <v>13.4148</v>
      </c>
      <c r="F382" s="425">
        <v>15.81</v>
      </c>
      <c r="G382" s="425">
        <v>12.9418</v>
      </c>
      <c r="H382" s="171"/>
      <c r="I382" s="171"/>
      <c r="J382" s="425">
        <v>16.6853</v>
      </c>
      <c r="K382" s="182">
        <v>10118.05</v>
      </c>
      <c r="L382" s="36"/>
      <c r="M382" s="36"/>
      <c r="N382" s="36"/>
      <c r="O382" s="36"/>
      <c r="P382" s="36"/>
      <c r="Q382" s="36"/>
      <c r="R382" s="36"/>
      <c r="S382" s="36"/>
      <c r="T382" s="36"/>
      <c r="U382" s="36"/>
      <c r="V382" s="36"/>
      <c r="W382" s="36"/>
      <c r="X382" s="36"/>
      <c r="Y382" s="36"/>
      <c r="Z382" s="36"/>
      <c r="AA382" s="36"/>
      <c r="AB382" s="36"/>
      <c r="AC382" s="36"/>
    </row>
    <row r="383" ht="15.75" customHeight="1">
      <c r="A383" s="423">
        <v>43054.0</v>
      </c>
      <c r="B383" s="424">
        <v>13.2675</v>
      </c>
      <c r="C383" s="425">
        <v>15.6508</v>
      </c>
      <c r="D383" s="171"/>
      <c r="E383" s="425">
        <v>13.4148</v>
      </c>
      <c r="F383" s="425">
        <v>15.81</v>
      </c>
      <c r="G383" s="425">
        <v>12.9418</v>
      </c>
      <c r="H383" s="171"/>
      <c r="I383" s="171"/>
      <c r="J383" s="425">
        <v>16.6802</v>
      </c>
      <c r="K383" s="182">
        <v>10118.05</v>
      </c>
      <c r="L383" s="36"/>
      <c r="M383" s="36"/>
      <c r="N383" s="36"/>
      <c r="O383" s="36"/>
      <c r="P383" s="36"/>
      <c r="Q383" s="36"/>
      <c r="R383" s="36"/>
      <c r="S383" s="36"/>
      <c r="T383" s="36"/>
      <c r="U383" s="36"/>
      <c r="V383" s="36"/>
      <c r="W383" s="36"/>
      <c r="X383" s="36"/>
      <c r="Y383" s="36"/>
      <c r="Z383" s="36"/>
      <c r="AA383" s="36"/>
      <c r="AB383" s="36"/>
      <c r="AC383" s="36"/>
    </row>
    <row r="384" ht="15.75" customHeight="1">
      <c r="A384" s="423">
        <v>43054.0</v>
      </c>
      <c r="B384" s="424">
        <v>13.2675</v>
      </c>
      <c r="C384" s="425">
        <v>15.6508</v>
      </c>
      <c r="D384" s="171"/>
      <c r="E384" s="425">
        <v>13.4148</v>
      </c>
      <c r="F384" s="425">
        <v>15.81</v>
      </c>
      <c r="G384" s="425">
        <v>12.9418</v>
      </c>
      <c r="H384" s="171"/>
      <c r="I384" s="171"/>
      <c r="J384" s="425">
        <v>16.6802</v>
      </c>
      <c r="K384" s="182">
        <v>10118.05</v>
      </c>
      <c r="L384" s="36"/>
      <c r="M384" s="36"/>
      <c r="N384" s="36"/>
      <c r="O384" s="36"/>
      <c r="P384" s="36"/>
      <c r="Q384" s="36"/>
      <c r="R384" s="36"/>
      <c r="S384" s="36"/>
      <c r="T384" s="36"/>
      <c r="U384" s="36"/>
      <c r="V384" s="36"/>
      <c r="W384" s="36"/>
      <c r="X384" s="36"/>
      <c r="Y384" s="36"/>
      <c r="Z384" s="36"/>
      <c r="AA384" s="36"/>
      <c r="AB384" s="36"/>
      <c r="AC384" s="36"/>
    </row>
    <row r="385" ht="15.75" customHeight="1">
      <c r="A385" s="423">
        <v>43055.0</v>
      </c>
      <c r="B385" s="424">
        <v>13.3631</v>
      </c>
      <c r="C385" s="425">
        <v>15.6606</v>
      </c>
      <c r="D385" s="171"/>
      <c r="E385" s="425">
        <v>13.3939</v>
      </c>
      <c r="F385" s="425">
        <v>15.9285</v>
      </c>
      <c r="G385" s="425">
        <v>12.9369</v>
      </c>
      <c r="H385" s="171"/>
      <c r="I385" s="171"/>
      <c r="J385" s="425">
        <v>16.5334</v>
      </c>
      <c r="K385" s="182">
        <v>10214.75</v>
      </c>
      <c r="L385" s="36"/>
      <c r="M385" s="36"/>
      <c r="N385" s="36"/>
      <c r="O385" s="36"/>
      <c r="P385" s="36"/>
      <c r="Q385" s="36"/>
      <c r="R385" s="36"/>
      <c r="S385" s="36"/>
      <c r="T385" s="36"/>
      <c r="U385" s="36"/>
      <c r="V385" s="36"/>
      <c r="W385" s="36"/>
      <c r="X385" s="36"/>
      <c r="Y385" s="36"/>
      <c r="Z385" s="36"/>
      <c r="AA385" s="36"/>
      <c r="AB385" s="36"/>
      <c r="AC385" s="36"/>
    </row>
    <row r="386" ht="15.75" customHeight="1">
      <c r="A386" s="423">
        <v>43055.0</v>
      </c>
      <c r="B386" s="424">
        <v>13.3631</v>
      </c>
      <c r="C386" s="425">
        <v>15.6606</v>
      </c>
      <c r="D386" s="171"/>
      <c r="E386" s="425">
        <v>13.3939</v>
      </c>
      <c r="F386" s="425">
        <v>15.9285</v>
      </c>
      <c r="G386" s="425">
        <v>12.9369</v>
      </c>
      <c r="H386" s="171"/>
      <c r="I386" s="171"/>
      <c r="J386" s="425">
        <v>16.5334</v>
      </c>
      <c r="K386" s="182">
        <v>10214.75</v>
      </c>
      <c r="L386" s="36"/>
      <c r="M386" s="36"/>
      <c r="N386" s="36"/>
      <c r="O386" s="36"/>
      <c r="P386" s="36"/>
      <c r="Q386" s="36"/>
      <c r="R386" s="36"/>
      <c r="S386" s="36"/>
      <c r="T386" s="36"/>
      <c r="U386" s="36"/>
      <c r="V386" s="36"/>
      <c r="W386" s="36"/>
      <c r="X386" s="36"/>
      <c r="Y386" s="36"/>
      <c r="Z386" s="36"/>
      <c r="AA386" s="36"/>
      <c r="AB386" s="36"/>
      <c r="AC386" s="36"/>
    </row>
    <row r="387" ht="15.75" customHeight="1">
      <c r="A387" s="423">
        <v>43055.0</v>
      </c>
      <c r="B387" s="424">
        <v>13.3631</v>
      </c>
      <c r="C387" s="425">
        <v>15.6611</v>
      </c>
      <c r="D387" s="171"/>
      <c r="E387" s="425">
        <v>13.3939</v>
      </c>
      <c r="F387" s="425">
        <v>15.9285</v>
      </c>
      <c r="G387" s="425">
        <v>12.9369</v>
      </c>
      <c r="H387" s="171"/>
      <c r="I387" s="171"/>
      <c r="J387" s="425">
        <v>16.6667</v>
      </c>
      <c r="K387" s="182">
        <v>10214.75</v>
      </c>
      <c r="L387" s="36"/>
      <c r="M387" s="36"/>
      <c r="N387" s="36"/>
      <c r="O387" s="36"/>
      <c r="P387" s="36"/>
      <c r="Q387" s="36"/>
      <c r="R387" s="36"/>
      <c r="S387" s="36"/>
      <c r="T387" s="36"/>
      <c r="U387" s="36"/>
      <c r="V387" s="36"/>
      <c r="W387" s="36"/>
      <c r="X387" s="36"/>
      <c r="Y387" s="36"/>
      <c r="Z387" s="36"/>
      <c r="AA387" s="36"/>
      <c r="AB387" s="36"/>
      <c r="AC387" s="36"/>
    </row>
    <row r="388" ht="15.75" customHeight="1">
      <c r="A388" s="423">
        <v>43055.0</v>
      </c>
      <c r="B388" s="424">
        <v>13.3631</v>
      </c>
      <c r="C388" s="425">
        <v>15.6611</v>
      </c>
      <c r="D388" s="171"/>
      <c r="E388" s="425">
        <v>13.3939</v>
      </c>
      <c r="F388" s="425">
        <v>15.9285</v>
      </c>
      <c r="G388" s="425">
        <v>12.9369</v>
      </c>
      <c r="H388" s="171"/>
      <c r="I388" s="171"/>
      <c r="J388" s="425">
        <v>16.6667</v>
      </c>
      <c r="K388" s="182">
        <v>10214.75</v>
      </c>
      <c r="L388" s="36"/>
      <c r="M388" s="36"/>
      <c r="N388" s="36"/>
      <c r="O388" s="36"/>
      <c r="P388" s="36"/>
      <c r="Q388" s="36"/>
      <c r="R388" s="36"/>
      <c r="S388" s="36"/>
      <c r="T388" s="36"/>
      <c r="U388" s="36"/>
      <c r="V388" s="36"/>
      <c r="W388" s="36"/>
      <c r="X388" s="36"/>
      <c r="Y388" s="36"/>
      <c r="Z388" s="36"/>
      <c r="AA388" s="36"/>
      <c r="AB388" s="36"/>
      <c r="AC388" s="36"/>
    </row>
    <row r="389" ht="15.75" customHeight="1">
      <c r="A389" s="423">
        <v>43056.0</v>
      </c>
      <c r="B389" s="424">
        <v>13.438</v>
      </c>
      <c r="C389" s="425">
        <v>15.6618</v>
      </c>
      <c r="D389" s="171"/>
      <c r="E389" s="425">
        <v>13.4063</v>
      </c>
      <c r="F389" s="425">
        <v>16.0244</v>
      </c>
      <c r="G389" s="425">
        <v>12.9397</v>
      </c>
      <c r="H389" s="171"/>
      <c r="I389" s="171"/>
      <c r="J389" s="425">
        <v>16.732</v>
      </c>
      <c r="K389" s="182">
        <v>10283.6</v>
      </c>
      <c r="L389" s="36"/>
      <c r="M389" s="36"/>
      <c r="N389" s="36"/>
      <c r="O389" s="36"/>
      <c r="P389" s="36"/>
      <c r="Q389" s="36"/>
      <c r="R389" s="36"/>
      <c r="S389" s="36"/>
      <c r="T389" s="36"/>
      <c r="U389" s="36"/>
      <c r="V389" s="36"/>
      <c r="W389" s="36"/>
      <c r="X389" s="36"/>
      <c r="Y389" s="36"/>
      <c r="Z389" s="36"/>
      <c r="AA389" s="36"/>
      <c r="AB389" s="36"/>
      <c r="AC389" s="36"/>
    </row>
    <row r="390" ht="15.75" customHeight="1">
      <c r="A390" s="423">
        <v>43056.0</v>
      </c>
      <c r="B390" s="424">
        <v>13.438</v>
      </c>
      <c r="C390" s="425">
        <v>15.6618</v>
      </c>
      <c r="D390" s="171"/>
      <c r="E390" s="425">
        <v>13.4063</v>
      </c>
      <c r="F390" s="425">
        <v>16.0244</v>
      </c>
      <c r="G390" s="425">
        <v>12.9397</v>
      </c>
      <c r="H390" s="171"/>
      <c r="I390" s="171"/>
      <c r="J390" s="425">
        <v>16.732</v>
      </c>
      <c r="K390" s="182">
        <v>10283.6</v>
      </c>
      <c r="L390" s="36"/>
      <c r="M390" s="36"/>
      <c r="N390" s="36"/>
      <c r="O390" s="36"/>
      <c r="P390" s="36"/>
      <c r="Q390" s="36"/>
      <c r="R390" s="36"/>
      <c r="S390" s="36"/>
      <c r="T390" s="36"/>
      <c r="U390" s="36"/>
      <c r="V390" s="36"/>
      <c r="W390" s="36"/>
      <c r="X390" s="36"/>
      <c r="Y390" s="36"/>
      <c r="Z390" s="36"/>
      <c r="AA390" s="36"/>
      <c r="AB390" s="36"/>
      <c r="AC390" s="36"/>
    </row>
    <row r="391" ht="15.75" customHeight="1">
      <c r="A391" s="423">
        <v>43056.0</v>
      </c>
      <c r="B391" s="424">
        <v>13.438</v>
      </c>
      <c r="C391" s="425">
        <v>15.659</v>
      </c>
      <c r="D391" s="171"/>
      <c r="E391" s="425">
        <v>13.4063</v>
      </c>
      <c r="F391" s="425">
        <v>16.0244</v>
      </c>
      <c r="G391" s="425">
        <v>12.9397</v>
      </c>
      <c r="H391" s="171"/>
      <c r="I391" s="171"/>
      <c r="J391" s="425">
        <v>16.5446</v>
      </c>
      <c r="K391" s="182">
        <v>10283.6</v>
      </c>
      <c r="L391" s="36"/>
      <c r="M391" s="36"/>
      <c r="N391" s="36"/>
      <c r="O391" s="36"/>
      <c r="P391" s="36"/>
      <c r="Q391" s="36"/>
      <c r="R391" s="36"/>
      <c r="S391" s="36"/>
      <c r="T391" s="36"/>
      <c r="U391" s="36"/>
      <c r="V391" s="36"/>
      <c r="W391" s="36"/>
      <c r="X391" s="36"/>
      <c r="Y391" s="36"/>
      <c r="Z391" s="36"/>
      <c r="AA391" s="36"/>
      <c r="AB391" s="36"/>
      <c r="AC391" s="36"/>
    </row>
    <row r="392" ht="15.75" customHeight="1">
      <c r="A392" s="423">
        <v>43056.0</v>
      </c>
      <c r="B392" s="424">
        <v>13.438</v>
      </c>
      <c r="C392" s="425">
        <v>15.659</v>
      </c>
      <c r="D392" s="171"/>
      <c r="E392" s="425">
        <v>13.4063</v>
      </c>
      <c r="F392" s="425">
        <v>16.0244</v>
      </c>
      <c r="G392" s="425">
        <v>12.9397</v>
      </c>
      <c r="H392" s="171"/>
      <c r="I392" s="171"/>
      <c r="J392" s="425">
        <v>16.5446</v>
      </c>
      <c r="K392" s="182">
        <v>10283.6</v>
      </c>
      <c r="L392" s="36"/>
      <c r="M392" s="36"/>
      <c r="N392" s="36"/>
      <c r="O392" s="36"/>
      <c r="P392" s="36"/>
      <c r="Q392" s="36"/>
      <c r="R392" s="36"/>
      <c r="S392" s="36"/>
      <c r="T392" s="36"/>
      <c r="U392" s="36"/>
      <c r="V392" s="36"/>
      <c r="W392" s="36"/>
      <c r="X392" s="36"/>
      <c r="Y392" s="36"/>
      <c r="Z392" s="36"/>
      <c r="AA392" s="36"/>
      <c r="AB392" s="36"/>
      <c r="AC392" s="36"/>
    </row>
    <row r="393" ht="15.75" customHeight="1">
      <c r="A393" s="423">
        <v>43059.0</v>
      </c>
      <c r="B393" s="424">
        <v>13.4705</v>
      </c>
      <c r="C393" s="425">
        <v>15.6818</v>
      </c>
      <c r="D393" s="171"/>
      <c r="E393" s="425">
        <v>13.4571</v>
      </c>
      <c r="F393" s="425">
        <v>16.0404</v>
      </c>
      <c r="G393" s="425">
        <v>12.9569</v>
      </c>
      <c r="H393" s="171"/>
      <c r="I393" s="171"/>
      <c r="J393" s="425">
        <v>16.7883</v>
      </c>
      <c r="K393" s="182">
        <v>10298.75</v>
      </c>
      <c r="L393" s="36"/>
      <c r="M393" s="36"/>
      <c r="N393" s="36"/>
      <c r="O393" s="36"/>
      <c r="P393" s="36"/>
      <c r="Q393" s="36"/>
      <c r="R393" s="36"/>
      <c r="S393" s="36"/>
      <c r="T393" s="36"/>
      <c r="U393" s="36"/>
      <c r="V393" s="36"/>
      <c r="W393" s="36"/>
      <c r="X393" s="36"/>
      <c r="Y393" s="36"/>
      <c r="Z393" s="36"/>
      <c r="AA393" s="36"/>
      <c r="AB393" s="36"/>
      <c r="AC393" s="36"/>
    </row>
    <row r="394" ht="15.75" customHeight="1">
      <c r="A394" s="423">
        <v>43059.0</v>
      </c>
      <c r="B394" s="424">
        <v>13.4705</v>
      </c>
      <c r="C394" s="425">
        <v>15.6818</v>
      </c>
      <c r="D394" s="171"/>
      <c r="E394" s="425">
        <v>13.4571</v>
      </c>
      <c r="F394" s="425">
        <v>16.0404</v>
      </c>
      <c r="G394" s="425">
        <v>12.9569</v>
      </c>
      <c r="H394" s="171"/>
      <c r="I394" s="171"/>
      <c r="J394" s="425">
        <v>16.7883</v>
      </c>
      <c r="K394" s="182">
        <v>10298.75</v>
      </c>
      <c r="L394" s="36"/>
      <c r="M394" s="36"/>
      <c r="N394" s="36"/>
      <c r="O394" s="36"/>
      <c r="P394" s="36"/>
      <c r="Q394" s="36"/>
      <c r="R394" s="36"/>
      <c r="S394" s="36"/>
      <c r="T394" s="36"/>
      <c r="U394" s="36"/>
      <c r="V394" s="36"/>
      <c r="W394" s="36"/>
      <c r="X394" s="36"/>
      <c r="Y394" s="36"/>
      <c r="Z394" s="36"/>
      <c r="AA394" s="36"/>
      <c r="AB394" s="36"/>
      <c r="AC394" s="36"/>
    </row>
    <row r="395" ht="15.75" customHeight="1">
      <c r="A395" s="423">
        <v>43059.0</v>
      </c>
      <c r="B395" s="424">
        <v>13.4705</v>
      </c>
      <c r="C395" s="425">
        <v>15.6746</v>
      </c>
      <c r="D395" s="171"/>
      <c r="E395" s="425">
        <v>13.4571</v>
      </c>
      <c r="F395" s="425">
        <v>16.0404</v>
      </c>
      <c r="G395" s="425">
        <v>12.9569</v>
      </c>
      <c r="H395" s="171"/>
      <c r="I395" s="171"/>
      <c r="J395" s="425">
        <v>16.8012</v>
      </c>
      <c r="K395" s="182">
        <v>10298.75</v>
      </c>
      <c r="L395" s="36"/>
      <c r="M395" s="36"/>
      <c r="N395" s="36"/>
      <c r="O395" s="36"/>
      <c r="P395" s="36"/>
      <c r="Q395" s="36"/>
      <c r="R395" s="36"/>
      <c r="S395" s="36"/>
      <c r="T395" s="36"/>
      <c r="U395" s="36"/>
      <c r="V395" s="36"/>
      <c r="W395" s="36"/>
      <c r="X395" s="36"/>
      <c r="Y395" s="36"/>
      <c r="Z395" s="36"/>
      <c r="AA395" s="36"/>
      <c r="AB395" s="36"/>
      <c r="AC395" s="36"/>
    </row>
    <row r="396" ht="15.75" customHeight="1">
      <c r="A396" s="423">
        <v>43059.0</v>
      </c>
      <c r="B396" s="424">
        <v>13.4705</v>
      </c>
      <c r="C396" s="425">
        <v>15.6746</v>
      </c>
      <c r="D396" s="171"/>
      <c r="E396" s="425">
        <v>13.4571</v>
      </c>
      <c r="F396" s="425">
        <v>16.0404</v>
      </c>
      <c r="G396" s="425">
        <v>12.9569</v>
      </c>
      <c r="H396" s="171"/>
      <c r="I396" s="171"/>
      <c r="J396" s="425">
        <v>16.8012</v>
      </c>
      <c r="K396" s="182">
        <v>10298.75</v>
      </c>
      <c r="L396" s="36"/>
      <c r="M396" s="36"/>
      <c r="N396" s="36"/>
      <c r="O396" s="36"/>
      <c r="P396" s="36"/>
      <c r="Q396" s="36"/>
      <c r="R396" s="36"/>
      <c r="S396" s="36"/>
      <c r="T396" s="36"/>
      <c r="U396" s="36"/>
      <c r="V396" s="36"/>
      <c r="W396" s="36"/>
      <c r="X396" s="36"/>
      <c r="Y396" s="36"/>
      <c r="Z396" s="36"/>
      <c r="AA396" s="36"/>
      <c r="AB396" s="36"/>
      <c r="AC396" s="36"/>
    </row>
    <row r="397" ht="15.75" customHeight="1">
      <c r="A397" s="423">
        <v>43060.0</v>
      </c>
      <c r="B397" s="424">
        <v>13.4895</v>
      </c>
      <c r="C397" s="425">
        <v>15.6891</v>
      </c>
      <c r="D397" s="171"/>
      <c r="E397" s="425">
        <v>13.4518</v>
      </c>
      <c r="F397" s="425">
        <v>16.071</v>
      </c>
      <c r="G397" s="425">
        <v>12.9579</v>
      </c>
      <c r="H397" s="171"/>
      <c r="I397" s="171"/>
      <c r="J397" s="425">
        <v>16.6969</v>
      </c>
      <c r="K397" s="182">
        <v>10326.9</v>
      </c>
      <c r="L397" s="36"/>
      <c r="M397" s="36"/>
      <c r="N397" s="36"/>
      <c r="O397" s="36"/>
      <c r="P397" s="36"/>
      <c r="Q397" s="36"/>
      <c r="R397" s="36"/>
      <c r="S397" s="36"/>
      <c r="T397" s="36"/>
      <c r="U397" s="36"/>
      <c r="V397" s="36"/>
      <c r="W397" s="36"/>
      <c r="X397" s="36"/>
      <c r="Y397" s="36"/>
      <c r="Z397" s="36"/>
      <c r="AA397" s="36"/>
      <c r="AB397" s="36"/>
      <c r="AC397" s="36"/>
    </row>
    <row r="398" ht="15.75" customHeight="1">
      <c r="A398" s="423">
        <v>43060.0</v>
      </c>
      <c r="B398" s="424">
        <v>13.4895</v>
      </c>
      <c r="C398" s="425">
        <v>15.6891</v>
      </c>
      <c r="D398" s="171"/>
      <c r="E398" s="425">
        <v>13.4518</v>
      </c>
      <c r="F398" s="425">
        <v>16.071</v>
      </c>
      <c r="G398" s="425">
        <v>12.9579</v>
      </c>
      <c r="H398" s="171"/>
      <c r="I398" s="171"/>
      <c r="J398" s="425">
        <v>16.6969</v>
      </c>
      <c r="K398" s="182">
        <v>10326.9</v>
      </c>
      <c r="L398" s="36"/>
      <c r="M398" s="36"/>
      <c r="N398" s="36"/>
      <c r="O398" s="36"/>
      <c r="P398" s="36"/>
      <c r="Q398" s="36"/>
      <c r="R398" s="36"/>
      <c r="S398" s="36"/>
      <c r="T398" s="36"/>
      <c r="U398" s="36"/>
      <c r="V398" s="36"/>
      <c r="W398" s="36"/>
      <c r="X398" s="36"/>
      <c r="Y398" s="36"/>
      <c r="Z398" s="36"/>
      <c r="AA398" s="36"/>
      <c r="AB398" s="36"/>
      <c r="AC398" s="36"/>
    </row>
    <row r="399" ht="15.75" customHeight="1">
      <c r="A399" s="423">
        <v>43060.0</v>
      </c>
      <c r="B399" s="424">
        <v>13.4895</v>
      </c>
      <c r="C399" s="425">
        <v>15.6864</v>
      </c>
      <c r="D399" s="171"/>
      <c r="E399" s="425">
        <v>13.4518</v>
      </c>
      <c r="F399" s="425">
        <v>16.071</v>
      </c>
      <c r="G399" s="425">
        <v>12.9579</v>
      </c>
      <c r="H399" s="171"/>
      <c r="I399" s="171"/>
      <c r="J399" s="425">
        <v>16.6609</v>
      </c>
      <c r="K399" s="182">
        <v>10326.9</v>
      </c>
      <c r="L399" s="36"/>
      <c r="M399" s="36"/>
      <c r="N399" s="36"/>
      <c r="O399" s="36"/>
      <c r="P399" s="36"/>
      <c r="Q399" s="36"/>
      <c r="R399" s="36"/>
      <c r="S399" s="36"/>
      <c r="T399" s="36"/>
      <c r="U399" s="36"/>
      <c r="V399" s="36"/>
      <c r="W399" s="36"/>
      <c r="X399" s="36"/>
      <c r="Y399" s="36"/>
      <c r="Z399" s="36"/>
      <c r="AA399" s="36"/>
      <c r="AB399" s="36"/>
      <c r="AC399" s="36"/>
    </row>
    <row r="400" ht="15.75" customHeight="1">
      <c r="A400" s="423">
        <v>43060.0</v>
      </c>
      <c r="B400" s="424">
        <v>13.4895</v>
      </c>
      <c r="C400" s="425">
        <v>15.6864</v>
      </c>
      <c r="D400" s="171"/>
      <c r="E400" s="425">
        <v>13.4518</v>
      </c>
      <c r="F400" s="425">
        <v>16.071</v>
      </c>
      <c r="G400" s="425">
        <v>12.9579</v>
      </c>
      <c r="H400" s="171"/>
      <c r="I400" s="171"/>
      <c r="J400" s="425">
        <v>16.6609</v>
      </c>
      <c r="K400" s="182">
        <v>10326.9</v>
      </c>
      <c r="L400" s="36"/>
      <c r="M400" s="36"/>
      <c r="N400" s="36"/>
      <c r="O400" s="36"/>
      <c r="P400" s="36"/>
      <c r="Q400" s="36"/>
      <c r="R400" s="36"/>
      <c r="S400" s="36"/>
      <c r="T400" s="36"/>
      <c r="U400" s="36"/>
      <c r="V400" s="36"/>
      <c r="W400" s="36"/>
      <c r="X400" s="36"/>
      <c r="Y400" s="36"/>
      <c r="Z400" s="36"/>
      <c r="AA400" s="36"/>
      <c r="AB400" s="36"/>
      <c r="AC400" s="36"/>
    </row>
    <row r="401" ht="15.75" customHeight="1">
      <c r="A401" s="423">
        <v>43061.0</v>
      </c>
      <c r="B401" s="424">
        <v>13.5106</v>
      </c>
      <c r="C401" s="425">
        <v>15.6988</v>
      </c>
      <c r="D401" s="171"/>
      <c r="E401" s="425">
        <v>13.4295</v>
      </c>
      <c r="F401" s="425">
        <v>16.1091</v>
      </c>
      <c r="G401" s="425">
        <v>12.9513</v>
      </c>
      <c r="H401" s="171"/>
      <c r="I401" s="171"/>
      <c r="J401" s="425">
        <v>16.7906</v>
      </c>
      <c r="K401" s="182">
        <v>10342.3</v>
      </c>
      <c r="L401" s="36"/>
      <c r="M401" s="36"/>
      <c r="N401" s="36"/>
      <c r="O401" s="36"/>
      <c r="P401" s="36"/>
      <c r="Q401" s="36"/>
      <c r="R401" s="36"/>
      <c r="S401" s="36"/>
      <c r="T401" s="36"/>
      <c r="U401" s="36"/>
      <c r="V401" s="36"/>
      <c r="W401" s="36"/>
      <c r="X401" s="36"/>
      <c r="Y401" s="36"/>
      <c r="Z401" s="36"/>
      <c r="AA401" s="36"/>
      <c r="AB401" s="36"/>
      <c r="AC401" s="36"/>
    </row>
    <row r="402" ht="15.75" customHeight="1">
      <c r="A402" s="423">
        <v>43061.0</v>
      </c>
      <c r="B402" s="424">
        <v>13.5106</v>
      </c>
      <c r="C402" s="425">
        <v>15.6988</v>
      </c>
      <c r="D402" s="171"/>
      <c r="E402" s="425">
        <v>13.4295</v>
      </c>
      <c r="F402" s="425">
        <v>16.1091</v>
      </c>
      <c r="G402" s="425">
        <v>12.9513</v>
      </c>
      <c r="H402" s="171"/>
      <c r="I402" s="171"/>
      <c r="J402" s="425">
        <v>16.7906</v>
      </c>
      <c r="K402" s="182">
        <v>10342.3</v>
      </c>
      <c r="L402" s="36"/>
      <c r="M402" s="36"/>
      <c r="N402" s="36"/>
      <c r="O402" s="36"/>
      <c r="P402" s="36"/>
      <c r="Q402" s="36"/>
      <c r="R402" s="36"/>
      <c r="S402" s="36"/>
      <c r="T402" s="36"/>
      <c r="U402" s="36"/>
      <c r="V402" s="36"/>
      <c r="W402" s="36"/>
      <c r="X402" s="36"/>
      <c r="Y402" s="36"/>
      <c r="Z402" s="36"/>
      <c r="AA402" s="36"/>
      <c r="AB402" s="36"/>
      <c r="AC402" s="36"/>
    </row>
    <row r="403" ht="15.75" customHeight="1">
      <c r="A403" s="423">
        <v>43061.0</v>
      </c>
      <c r="B403" s="424">
        <v>13.5106</v>
      </c>
      <c r="C403" s="425">
        <v>15.6885</v>
      </c>
      <c r="D403" s="171"/>
      <c r="E403" s="425">
        <v>13.4295</v>
      </c>
      <c r="F403" s="425">
        <v>16.1091</v>
      </c>
      <c r="G403" s="425">
        <v>12.9513</v>
      </c>
      <c r="H403" s="171"/>
      <c r="I403" s="171"/>
      <c r="J403" s="425">
        <v>16.785</v>
      </c>
      <c r="K403" s="182">
        <v>10342.3</v>
      </c>
      <c r="L403" s="36"/>
      <c r="M403" s="36"/>
      <c r="N403" s="36"/>
      <c r="O403" s="36"/>
      <c r="P403" s="36"/>
      <c r="Q403" s="36"/>
      <c r="R403" s="36"/>
      <c r="S403" s="36"/>
      <c r="T403" s="36"/>
      <c r="U403" s="36"/>
      <c r="V403" s="36"/>
      <c r="W403" s="36"/>
      <c r="X403" s="36"/>
      <c r="Y403" s="36"/>
      <c r="Z403" s="36"/>
      <c r="AA403" s="36"/>
      <c r="AB403" s="36"/>
      <c r="AC403" s="36"/>
    </row>
    <row r="404" ht="15.75" customHeight="1">
      <c r="A404" s="423">
        <v>43061.0</v>
      </c>
      <c r="B404" s="424">
        <v>13.5106</v>
      </c>
      <c r="C404" s="425">
        <v>15.6885</v>
      </c>
      <c r="D404" s="171"/>
      <c r="E404" s="425">
        <v>13.4295</v>
      </c>
      <c r="F404" s="425">
        <v>16.1091</v>
      </c>
      <c r="G404" s="425">
        <v>12.9513</v>
      </c>
      <c r="H404" s="171"/>
      <c r="I404" s="171"/>
      <c r="J404" s="425">
        <v>16.785</v>
      </c>
      <c r="K404" s="182">
        <v>10342.3</v>
      </c>
      <c r="L404" s="36"/>
      <c r="M404" s="36"/>
      <c r="N404" s="36"/>
      <c r="O404" s="36"/>
      <c r="P404" s="36"/>
      <c r="Q404" s="36"/>
      <c r="R404" s="36"/>
      <c r="S404" s="36"/>
      <c r="T404" s="36"/>
      <c r="U404" s="36"/>
      <c r="V404" s="36"/>
      <c r="W404" s="36"/>
      <c r="X404" s="36"/>
      <c r="Y404" s="36"/>
      <c r="Z404" s="36"/>
      <c r="AA404" s="36"/>
      <c r="AB404" s="36"/>
      <c r="AC404" s="36"/>
    </row>
    <row r="405" ht="15.75" customHeight="1">
      <c r="A405" s="423">
        <v>43062.0</v>
      </c>
      <c r="B405" s="424">
        <v>13.5237</v>
      </c>
      <c r="C405" s="425">
        <v>15.6984</v>
      </c>
      <c r="D405" s="171"/>
      <c r="E405" s="425">
        <v>13.4189</v>
      </c>
      <c r="F405" s="425">
        <v>16.1312</v>
      </c>
      <c r="G405" s="425">
        <v>12.9494</v>
      </c>
      <c r="H405" s="171"/>
      <c r="I405" s="171"/>
      <c r="J405" s="425">
        <v>16.8633</v>
      </c>
      <c r="K405" s="182">
        <v>10348.75</v>
      </c>
      <c r="L405" s="36"/>
      <c r="M405" s="36"/>
      <c r="N405" s="36"/>
      <c r="O405" s="36"/>
      <c r="P405" s="36"/>
      <c r="Q405" s="36"/>
      <c r="R405" s="36"/>
      <c r="S405" s="36"/>
      <c r="T405" s="36"/>
      <c r="U405" s="36"/>
      <c r="V405" s="36"/>
      <c r="W405" s="36"/>
      <c r="X405" s="36"/>
      <c r="Y405" s="36"/>
      <c r="Z405" s="36"/>
      <c r="AA405" s="36"/>
      <c r="AB405" s="36"/>
      <c r="AC405" s="36"/>
    </row>
    <row r="406" ht="15.75" customHeight="1">
      <c r="A406" s="423">
        <v>43062.0</v>
      </c>
      <c r="B406" s="424">
        <v>13.5237</v>
      </c>
      <c r="C406" s="425">
        <v>15.6984</v>
      </c>
      <c r="D406" s="171"/>
      <c r="E406" s="425">
        <v>13.4189</v>
      </c>
      <c r="F406" s="425">
        <v>16.1312</v>
      </c>
      <c r="G406" s="425">
        <v>12.9494</v>
      </c>
      <c r="H406" s="171"/>
      <c r="I406" s="171"/>
      <c r="J406" s="425">
        <v>16.8633</v>
      </c>
      <c r="K406" s="182">
        <v>10348.75</v>
      </c>
      <c r="L406" s="36"/>
      <c r="M406" s="36"/>
      <c r="N406" s="36"/>
      <c r="O406" s="36"/>
      <c r="P406" s="36"/>
      <c r="Q406" s="36"/>
      <c r="R406" s="36"/>
      <c r="S406" s="36"/>
      <c r="T406" s="36"/>
      <c r="U406" s="36"/>
      <c r="V406" s="36"/>
      <c r="W406" s="36"/>
      <c r="X406" s="36"/>
      <c r="Y406" s="36"/>
      <c r="Z406" s="36"/>
      <c r="AA406" s="36"/>
      <c r="AB406" s="36"/>
      <c r="AC406" s="36"/>
    </row>
    <row r="407" ht="15.75" customHeight="1">
      <c r="A407" s="423">
        <v>43062.0</v>
      </c>
      <c r="B407" s="424">
        <v>13.5237</v>
      </c>
      <c r="C407" s="425">
        <v>15.7012</v>
      </c>
      <c r="D407" s="171"/>
      <c r="E407" s="425">
        <v>13.4189</v>
      </c>
      <c r="F407" s="425">
        <v>16.1312</v>
      </c>
      <c r="G407" s="425">
        <v>12.9494</v>
      </c>
      <c r="H407" s="171"/>
      <c r="I407" s="171"/>
      <c r="J407" s="425">
        <v>16.7842</v>
      </c>
      <c r="K407" s="182">
        <v>10348.75</v>
      </c>
      <c r="L407" s="36"/>
      <c r="M407" s="36"/>
      <c r="N407" s="36"/>
      <c r="O407" s="36"/>
      <c r="P407" s="36"/>
      <c r="Q407" s="36"/>
      <c r="R407" s="36"/>
      <c r="S407" s="36"/>
      <c r="T407" s="36"/>
      <c r="U407" s="36"/>
      <c r="V407" s="36"/>
      <c r="W407" s="36"/>
      <c r="X407" s="36"/>
      <c r="Y407" s="36"/>
      <c r="Z407" s="36"/>
      <c r="AA407" s="36"/>
      <c r="AB407" s="36"/>
      <c r="AC407" s="36"/>
    </row>
    <row r="408" ht="15.75" customHeight="1">
      <c r="A408" s="423">
        <v>43062.0</v>
      </c>
      <c r="B408" s="424">
        <v>13.5237</v>
      </c>
      <c r="C408" s="425">
        <v>15.7012</v>
      </c>
      <c r="D408" s="171"/>
      <c r="E408" s="425">
        <v>13.4189</v>
      </c>
      <c r="F408" s="425">
        <v>16.1312</v>
      </c>
      <c r="G408" s="425">
        <v>12.9494</v>
      </c>
      <c r="H408" s="171"/>
      <c r="I408" s="171"/>
      <c r="J408" s="425">
        <v>16.7842</v>
      </c>
      <c r="K408" s="182">
        <v>10348.75</v>
      </c>
      <c r="L408" s="36"/>
      <c r="M408" s="36"/>
      <c r="N408" s="36"/>
      <c r="O408" s="36"/>
      <c r="P408" s="36"/>
      <c r="Q408" s="36"/>
      <c r="R408" s="36"/>
      <c r="S408" s="36"/>
      <c r="T408" s="36"/>
      <c r="U408" s="36"/>
      <c r="V408" s="36"/>
      <c r="W408" s="36"/>
      <c r="X408" s="36"/>
      <c r="Y408" s="36"/>
      <c r="Z408" s="36"/>
      <c r="AA408" s="36"/>
      <c r="AB408" s="36"/>
      <c r="AC408" s="36"/>
    </row>
    <row r="409" ht="15.75" customHeight="1">
      <c r="A409" s="423">
        <v>43063.0</v>
      </c>
      <c r="B409" s="424">
        <v>13.5698</v>
      </c>
      <c r="C409" s="425">
        <v>15.7027</v>
      </c>
      <c r="D409" s="171"/>
      <c r="E409" s="425">
        <v>13.4188</v>
      </c>
      <c r="F409" s="425">
        <v>16.1738</v>
      </c>
      <c r="G409" s="425">
        <v>12.9512</v>
      </c>
      <c r="H409" s="171"/>
      <c r="I409" s="171"/>
      <c r="J409" s="425">
        <v>16.8146</v>
      </c>
      <c r="K409" s="182">
        <v>10389.7</v>
      </c>
      <c r="L409" s="36"/>
      <c r="M409" s="36"/>
      <c r="N409" s="36"/>
      <c r="O409" s="36"/>
      <c r="P409" s="36"/>
      <c r="Q409" s="36"/>
      <c r="R409" s="36"/>
      <c r="S409" s="36"/>
      <c r="T409" s="36"/>
      <c r="U409" s="36"/>
      <c r="V409" s="36"/>
      <c r="W409" s="36"/>
      <c r="X409" s="36"/>
      <c r="Y409" s="36"/>
      <c r="Z409" s="36"/>
      <c r="AA409" s="36"/>
      <c r="AB409" s="36"/>
      <c r="AC409" s="36"/>
    </row>
    <row r="410" ht="15.75" customHeight="1">
      <c r="A410" s="423">
        <v>43063.0</v>
      </c>
      <c r="B410" s="424">
        <v>13.5698</v>
      </c>
      <c r="C410" s="425">
        <v>15.7027</v>
      </c>
      <c r="D410" s="171"/>
      <c r="E410" s="425">
        <v>13.4188</v>
      </c>
      <c r="F410" s="425">
        <v>16.1738</v>
      </c>
      <c r="G410" s="425">
        <v>12.9512</v>
      </c>
      <c r="H410" s="171"/>
      <c r="I410" s="171"/>
      <c r="J410" s="425">
        <v>16.8146</v>
      </c>
      <c r="K410" s="182">
        <v>10389.7</v>
      </c>
      <c r="L410" s="36"/>
      <c r="M410" s="36"/>
      <c r="N410" s="36"/>
      <c r="O410" s="36"/>
      <c r="P410" s="36"/>
      <c r="Q410" s="36"/>
      <c r="R410" s="36"/>
      <c r="S410" s="36"/>
      <c r="T410" s="36"/>
      <c r="U410" s="36"/>
      <c r="V410" s="36"/>
      <c r="W410" s="36"/>
      <c r="X410" s="36"/>
      <c r="Y410" s="36"/>
      <c r="Z410" s="36"/>
      <c r="AA410" s="36"/>
      <c r="AB410" s="36"/>
      <c r="AC410" s="36"/>
    </row>
    <row r="411" ht="15.75" customHeight="1">
      <c r="A411" s="423">
        <v>43063.0</v>
      </c>
      <c r="B411" s="424">
        <v>13.5698</v>
      </c>
      <c r="C411" s="425">
        <v>15.6967</v>
      </c>
      <c r="D411" s="171"/>
      <c r="E411" s="425">
        <v>13.4188</v>
      </c>
      <c r="F411" s="425">
        <v>16.1738</v>
      </c>
      <c r="G411" s="425">
        <v>12.9512</v>
      </c>
      <c r="H411" s="171"/>
      <c r="I411" s="171"/>
      <c r="J411" s="425">
        <v>16.8738</v>
      </c>
      <c r="K411" s="182">
        <v>10389.7</v>
      </c>
      <c r="L411" s="36"/>
      <c r="M411" s="36"/>
      <c r="N411" s="36"/>
      <c r="O411" s="36"/>
      <c r="P411" s="36"/>
      <c r="Q411" s="36"/>
      <c r="R411" s="36"/>
      <c r="S411" s="36"/>
      <c r="T411" s="36"/>
      <c r="U411" s="36"/>
      <c r="V411" s="36"/>
      <c r="W411" s="36"/>
      <c r="X411" s="36"/>
      <c r="Y411" s="36"/>
      <c r="Z411" s="36"/>
      <c r="AA411" s="36"/>
      <c r="AB411" s="36"/>
      <c r="AC411" s="36"/>
    </row>
    <row r="412" ht="15.75" customHeight="1">
      <c r="A412" s="423">
        <v>43063.0</v>
      </c>
      <c r="B412" s="424">
        <v>13.5698</v>
      </c>
      <c r="C412" s="425">
        <v>15.6967</v>
      </c>
      <c r="D412" s="171"/>
      <c r="E412" s="425">
        <v>13.4188</v>
      </c>
      <c r="F412" s="425">
        <v>16.1738</v>
      </c>
      <c r="G412" s="425">
        <v>12.9512</v>
      </c>
      <c r="H412" s="171"/>
      <c r="I412" s="171"/>
      <c r="J412" s="425">
        <v>16.8738</v>
      </c>
      <c r="K412" s="182">
        <v>10389.7</v>
      </c>
      <c r="L412" s="36"/>
      <c r="M412" s="36"/>
      <c r="N412" s="36"/>
      <c r="O412" s="36"/>
      <c r="P412" s="36"/>
      <c r="Q412" s="36"/>
      <c r="R412" s="36"/>
      <c r="S412" s="36"/>
      <c r="T412" s="36"/>
      <c r="U412" s="36"/>
      <c r="V412" s="36"/>
      <c r="W412" s="36"/>
      <c r="X412" s="36"/>
      <c r="Y412" s="36"/>
      <c r="Z412" s="36"/>
      <c r="AA412" s="36"/>
      <c r="AB412" s="36"/>
      <c r="AC412" s="36"/>
    </row>
    <row r="413" ht="15.75" customHeight="1">
      <c r="A413" s="423">
        <v>43066.0</v>
      </c>
      <c r="B413" s="424">
        <v>13.5715</v>
      </c>
      <c r="C413" s="425">
        <v>15.7066</v>
      </c>
      <c r="D413" s="171"/>
      <c r="E413" s="425">
        <v>13.4159</v>
      </c>
      <c r="F413" s="425">
        <v>16.1809</v>
      </c>
      <c r="G413" s="425">
        <v>12.9528</v>
      </c>
      <c r="H413" s="171"/>
      <c r="I413" s="171"/>
      <c r="J413" s="425">
        <v>16.8536</v>
      </c>
      <c r="K413" s="182">
        <v>10399.55</v>
      </c>
      <c r="L413" s="36"/>
      <c r="M413" s="36"/>
      <c r="N413" s="36"/>
      <c r="O413" s="36"/>
      <c r="P413" s="36"/>
      <c r="Q413" s="36"/>
      <c r="R413" s="36"/>
      <c r="S413" s="36"/>
      <c r="T413" s="36"/>
      <c r="U413" s="36"/>
      <c r="V413" s="36"/>
      <c r="W413" s="36"/>
      <c r="X413" s="36"/>
      <c r="Y413" s="36"/>
      <c r="Z413" s="36"/>
      <c r="AA413" s="36"/>
      <c r="AB413" s="36"/>
      <c r="AC413" s="36"/>
    </row>
    <row r="414" ht="15.75" customHeight="1">
      <c r="A414" s="423">
        <v>43066.0</v>
      </c>
      <c r="B414" s="424">
        <v>13.5715</v>
      </c>
      <c r="C414" s="425">
        <v>15.7066</v>
      </c>
      <c r="D414" s="171"/>
      <c r="E414" s="425">
        <v>13.4159</v>
      </c>
      <c r="F414" s="425">
        <v>16.1809</v>
      </c>
      <c r="G414" s="425">
        <v>12.9528</v>
      </c>
      <c r="H414" s="171"/>
      <c r="I414" s="171"/>
      <c r="J414" s="425">
        <v>16.8536</v>
      </c>
      <c r="K414" s="182">
        <v>10399.55</v>
      </c>
      <c r="L414" s="36"/>
      <c r="M414" s="36"/>
      <c r="N414" s="36"/>
      <c r="O414" s="36"/>
      <c r="P414" s="36"/>
      <c r="Q414" s="36"/>
      <c r="R414" s="36"/>
      <c r="S414" s="36"/>
      <c r="T414" s="36"/>
      <c r="U414" s="36"/>
      <c r="V414" s="36"/>
      <c r="W414" s="36"/>
      <c r="X414" s="36"/>
      <c r="Y414" s="36"/>
      <c r="Z414" s="36"/>
      <c r="AA414" s="36"/>
      <c r="AB414" s="36"/>
      <c r="AC414" s="36"/>
    </row>
    <row r="415" ht="15.75" customHeight="1">
      <c r="A415" s="423">
        <v>43066.0</v>
      </c>
      <c r="B415" s="424">
        <v>13.5715</v>
      </c>
      <c r="C415" s="425">
        <v>15.7036</v>
      </c>
      <c r="D415" s="171"/>
      <c r="E415" s="425">
        <v>13.4159</v>
      </c>
      <c r="F415" s="425">
        <v>16.1809</v>
      </c>
      <c r="G415" s="425">
        <v>12.9528</v>
      </c>
      <c r="H415" s="171"/>
      <c r="I415" s="171"/>
      <c r="J415" s="425">
        <v>16.7977</v>
      </c>
      <c r="K415" s="182">
        <v>10399.55</v>
      </c>
      <c r="L415" s="36"/>
      <c r="M415" s="36"/>
      <c r="N415" s="36"/>
      <c r="O415" s="36"/>
      <c r="P415" s="36"/>
      <c r="Q415" s="36"/>
      <c r="R415" s="36"/>
      <c r="S415" s="36"/>
      <c r="T415" s="36"/>
      <c r="U415" s="36"/>
      <c r="V415" s="36"/>
      <c r="W415" s="36"/>
      <c r="X415" s="36"/>
      <c r="Y415" s="36"/>
      <c r="Z415" s="36"/>
      <c r="AA415" s="36"/>
      <c r="AB415" s="36"/>
      <c r="AC415" s="36"/>
    </row>
    <row r="416" ht="15.75" customHeight="1">
      <c r="A416" s="423">
        <v>43066.0</v>
      </c>
      <c r="B416" s="424">
        <v>13.5715</v>
      </c>
      <c r="C416" s="425">
        <v>15.7036</v>
      </c>
      <c r="D416" s="171"/>
      <c r="E416" s="425">
        <v>13.4159</v>
      </c>
      <c r="F416" s="425">
        <v>16.1809</v>
      </c>
      <c r="G416" s="425">
        <v>12.9528</v>
      </c>
      <c r="H416" s="171"/>
      <c r="I416" s="171"/>
      <c r="J416" s="425">
        <v>16.7977</v>
      </c>
      <c r="K416" s="182">
        <v>10399.55</v>
      </c>
      <c r="L416" s="36"/>
      <c r="M416" s="36"/>
      <c r="N416" s="36"/>
      <c r="O416" s="36"/>
      <c r="P416" s="36"/>
      <c r="Q416" s="36"/>
      <c r="R416" s="36"/>
      <c r="S416" s="36"/>
      <c r="T416" s="36"/>
      <c r="U416" s="36"/>
      <c r="V416" s="36"/>
      <c r="W416" s="36"/>
      <c r="X416" s="36"/>
      <c r="Y416" s="36"/>
      <c r="Z416" s="36"/>
      <c r="AA416" s="36"/>
      <c r="AB416" s="36"/>
      <c r="AC416" s="36"/>
    </row>
    <row r="417" ht="15.75" customHeight="1">
      <c r="A417" s="423">
        <v>43067.0</v>
      </c>
      <c r="B417" s="424">
        <v>13.5248</v>
      </c>
      <c r="C417" s="425">
        <v>15.7181</v>
      </c>
      <c r="D417" s="171"/>
      <c r="E417" s="425">
        <v>13.4168</v>
      </c>
      <c r="F417" s="425">
        <v>16.1654</v>
      </c>
      <c r="G417" s="425">
        <v>12.9568</v>
      </c>
      <c r="H417" s="171"/>
      <c r="I417" s="171"/>
      <c r="J417" s="425">
        <v>16.8017</v>
      </c>
      <c r="K417" s="182">
        <v>10370.25</v>
      </c>
      <c r="L417" s="36"/>
      <c r="M417" s="36"/>
      <c r="N417" s="36"/>
      <c r="O417" s="36"/>
      <c r="P417" s="36"/>
      <c r="Q417" s="36"/>
      <c r="R417" s="36"/>
      <c r="S417" s="36"/>
      <c r="T417" s="36"/>
      <c r="U417" s="36"/>
      <c r="V417" s="36"/>
      <c r="W417" s="36"/>
      <c r="X417" s="36"/>
      <c r="Y417" s="36"/>
      <c r="Z417" s="36"/>
      <c r="AA417" s="36"/>
      <c r="AB417" s="36"/>
      <c r="AC417" s="36"/>
    </row>
    <row r="418" ht="15.75" customHeight="1">
      <c r="A418" s="423">
        <v>43067.0</v>
      </c>
      <c r="B418" s="424">
        <v>13.5248</v>
      </c>
      <c r="C418" s="425">
        <v>15.7181</v>
      </c>
      <c r="D418" s="171"/>
      <c r="E418" s="425">
        <v>13.4168</v>
      </c>
      <c r="F418" s="425">
        <v>16.1654</v>
      </c>
      <c r="G418" s="425">
        <v>12.9568</v>
      </c>
      <c r="H418" s="171"/>
      <c r="I418" s="171"/>
      <c r="J418" s="425">
        <v>16.8017</v>
      </c>
      <c r="K418" s="182">
        <v>10370.25</v>
      </c>
      <c r="L418" s="36"/>
      <c r="M418" s="36"/>
      <c r="N418" s="36"/>
      <c r="O418" s="36"/>
      <c r="P418" s="36"/>
      <c r="Q418" s="36"/>
      <c r="R418" s="36"/>
      <c r="S418" s="36"/>
      <c r="T418" s="36"/>
      <c r="U418" s="36"/>
      <c r="V418" s="36"/>
      <c r="W418" s="36"/>
      <c r="X418" s="36"/>
      <c r="Y418" s="36"/>
      <c r="Z418" s="36"/>
      <c r="AA418" s="36"/>
      <c r="AB418" s="36"/>
      <c r="AC418" s="36"/>
    </row>
    <row r="419" ht="15.75" customHeight="1">
      <c r="A419" s="423">
        <v>43067.0</v>
      </c>
      <c r="B419" s="424">
        <v>13.5248</v>
      </c>
      <c r="C419" s="425">
        <v>15.7148</v>
      </c>
      <c r="D419" s="171"/>
      <c r="E419" s="425">
        <v>13.4168</v>
      </c>
      <c r="F419" s="425">
        <v>16.1654</v>
      </c>
      <c r="G419" s="425">
        <v>12.9568</v>
      </c>
      <c r="H419" s="171"/>
      <c r="I419" s="171"/>
      <c r="J419" s="425">
        <v>16.8117</v>
      </c>
      <c r="K419" s="182">
        <v>10370.25</v>
      </c>
      <c r="L419" s="36"/>
      <c r="M419" s="36"/>
      <c r="N419" s="36"/>
      <c r="O419" s="36"/>
      <c r="P419" s="36"/>
      <c r="Q419" s="36"/>
      <c r="R419" s="36"/>
      <c r="S419" s="36"/>
      <c r="T419" s="36"/>
      <c r="U419" s="36"/>
      <c r="V419" s="36"/>
      <c r="W419" s="36"/>
      <c r="X419" s="36"/>
      <c r="Y419" s="36"/>
      <c r="Z419" s="36"/>
      <c r="AA419" s="36"/>
      <c r="AB419" s="36"/>
      <c r="AC419" s="36"/>
    </row>
    <row r="420" ht="15.75" customHeight="1">
      <c r="A420" s="423">
        <v>43067.0</v>
      </c>
      <c r="B420" s="424">
        <v>13.5248</v>
      </c>
      <c r="C420" s="425">
        <v>15.7148</v>
      </c>
      <c r="D420" s="171"/>
      <c r="E420" s="425">
        <v>13.4168</v>
      </c>
      <c r="F420" s="425">
        <v>16.1654</v>
      </c>
      <c r="G420" s="425">
        <v>12.9568</v>
      </c>
      <c r="H420" s="171"/>
      <c r="I420" s="171"/>
      <c r="J420" s="425">
        <v>16.8117</v>
      </c>
      <c r="K420" s="182">
        <v>10370.25</v>
      </c>
      <c r="L420" s="36"/>
      <c r="M420" s="36"/>
      <c r="N420" s="36"/>
      <c r="O420" s="36"/>
      <c r="P420" s="36"/>
      <c r="Q420" s="36"/>
      <c r="R420" s="36"/>
      <c r="S420" s="36"/>
      <c r="T420" s="36"/>
      <c r="U420" s="36"/>
      <c r="V420" s="36"/>
      <c r="W420" s="36"/>
      <c r="X420" s="36"/>
      <c r="Y420" s="36"/>
      <c r="Z420" s="36"/>
      <c r="AA420" s="36"/>
      <c r="AB420" s="36"/>
      <c r="AC420" s="36"/>
    </row>
    <row r="421" ht="15.75" customHeight="1">
      <c r="A421" s="423">
        <v>43068.0</v>
      </c>
      <c r="B421" s="424">
        <v>13.5385</v>
      </c>
      <c r="C421" s="425">
        <v>15.7278</v>
      </c>
      <c r="D421" s="171"/>
      <c r="E421" s="425">
        <v>13.4197</v>
      </c>
      <c r="F421" s="425">
        <v>16.1796</v>
      </c>
      <c r="G421" s="425">
        <v>12.9602</v>
      </c>
      <c r="H421" s="171"/>
      <c r="I421" s="171"/>
      <c r="J421" s="425">
        <v>16.9932</v>
      </c>
      <c r="K421" s="182">
        <v>10361.3</v>
      </c>
      <c r="L421" s="36"/>
      <c r="M421" s="36"/>
      <c r="N421" s="36"/>
      <c r="O421" s="36"/>
      <c r="P421" s="36"/>
      <c r="Q421" s="36"/>
      <c r="R421" s="36"/>
      <c r="S421" s="36"/>
      <c r="T421" s="36"/>
      <c r="U421" s="36"/>
      <c r="V421" s="36"/>
      <c r="W421" s="36"/>
      <c r="X421" s="36"/>
      <c r="Y421" s="36"/>
      <c r="Z421" s="36"/>
      <c r="AA421" s="36"/>
      <c r="AB421" s="36"/>
      <c r="AC421" s="36"/>
    </row>
    <row r="422" ht="15.75" customHeight="1">
      <c r="A422" s="423">
        <v>43068.0</v>
      </c>
      <c r="B422" s="424">
        <v>13.5385</v>
      </c>
      <c r="C422" s="425">
        <v>15.7278</v>
      </c>
      <c r="D422" s="171"/>
      <c r="E422" s="425">
        <v>13.4197</v>
      </c>
      <c r="F422" s="425">
        <v>16.1796</v>
      </c>
      <c r="G422" s="425">
        <v>12.9602</v>
      </c>
      <c r="H422" s="171"/>
      <c r="I422" s="171"/>
      <c r="J422" s="425">
        <v>16.9932</v>
      </c>
      <c r="K422" s="182">
        <v>10361.3</v>
      </c>
      <c r="L422" s="36"/>
      <c r="M422" s="36"/>
      <c r="N422" s="36"/>
      <c r="O422" s="36"/>
      <c r="P422" s="36"/>
      <c r="Q422" s="36"/>
      <c r="R422" s="36"/>
      <c r="S422" s="36"/>
      <c r="T422" s="36"/>
      <c r="U422" s="36"/>
      <c r="V422" s="36"/>
      <c r="W422" s="36"/>
      <c r="X422" s="36"/>
      <c r="Y422" s="36"/>
      <c r="Z422" s="36"/>
      <c r="AA422" s="36"/>
      <c r="AB422" s="36"/>
      <c r="AC422" s="36"/>
    </row>
    <row r="423" ht="15.75" customHeight="1">
      <c r="A423" s="423">
        <v>43068.0</v>
      </c>
      <c r="B423" s="424">
        <v>13.5385</v>
      </c>
      <c r="C423" s="425">
        <v>15.7261</v>
      </c>
      <c r="D423" s="171"/>
      <c r="E423" s="425">
        <v>13.4197</v>
      </c>
      <c r="F423" s="425">
        <v>16.1796</v>
      </c>
      <c r="G423" s="425">
        <v>12.9602</v>
      </c>
      <c r="H423" s="171"/>
      <c r="I423" s="171"/>
      <c r="J423" s="425">
        <v>16.8292</v>
      </c>
      <c r="K423" s="182">
        <v>10361.3</v>
      </c>
      <c r="L423" s="36"/>
      <c r="M423" s="36"/>
      <c r="N423" s="36"/>
      <c r="O423" s="36"/>
      <c r="P423" s="36"/>
      <c r="Q423" s="36"/>
      <c r="R423" s="36"/>
      <c r="S423" s="36"/>
      <c r="T423" s="36"/>
      <c r="U423" s="36"/>
      <c r="V423" s="36"/>
      <c r="W423" s="36"/>
      <c r="X423" s="36"/>
      <c r="Y423" s="36"/>
      <c r="Z423" s="36"/>
      <c r="AA423" s="36"/>
      <c r="AB423" s="36"/>
      <c r="AC423" s="36"/>
    </row>
    <row r="424" ht="15.75" customHeight="1">
      <c r="A424" s="423">
        <v>43068.0</v>
      </c>
      <c r="B424" s="424">
        <v>13.5385</v>
      </c>
      <c r="C424" s="425">
        <v>15.7261</v>
      </c>
      <c r="D424" s="171"/>
      <c r="E424" s="425">
        <v>13.4197</v>
      </c>
      <c r="F424" s="425">
        <v>16.1796</v>
      </c>
      <c r="G424" s="425">
        <v>12.9602</v>
      </c>
      <c r="H424" s="171"/>
      <c r="I424" s="171"/>
      <c r="J424" s="425">
        <v>16.8292</v>
      </c>
      <c r="K424" s="182">
        <v>10361.3</v>
      </c>
      <c r="L424" s="36"/>
      <c r="M424" s="36"/>
      <c r="N424" s="36"/>
      <c r="O424" s="36"/>
      <c r="P424" s="36"/>
      <c r="Q424" s="36"/>
      <c r="R424" s="36"/>
      <c r="S424" s="36"/>
      <c r="T424" s="36"/>
      <c r="U424" s="36"/>
      <c r="V424" s="36"/>
      <c r="W424" s="36"/>
      <c r="X424" s="36"/>
      <c r="Y424" s="36"/>
      <c r="Z424" s="36"/>
      <c r="AA424" s="36"/>
      <c r="AB424" s="36"/>
      <c r="AC424" s="36"/>
    </row>
    <row r="425" ht="15.75" customHeight="1">
      <c r="A425" s="423">
        <v>43069.0</v>
      </c>
      <c r="B425" s="424">
        <v>13.4095</v>
      </c>
      <c r="C425" s="425">
        <v>15.7326</v>
      </c>
      <c r="D425" s="171"/>
      <c r="E425" s="425">
        <v>13.4157</v>
      </c>
      <c r="F425" s="425">
        <v>16.0483</v>
      </c>
      <c r="G425" s="425">
        <v>12.9588</v>
      </c>
      <c r="H425" s="171"/>
      <c r="I425" s="171"/>
      <c r="J425" s="425">
        <v>17.0432</v>
      </c>
      <c r="K425" s="182">
        <v>10226.55</v>
      </c>
      <c r="L425" s="36"/>
      <c r="M425" s="36"/>
      <c r="N425" s="36"/>
      <c r="O425" s="36"/>
      <c r="P425" s="36"/>
      <c r="Q425" s="36"/>
      <c r="R425" s="36"/>
      <c r="S425" s="36"/>
      <c r="T425" s="36"/>
      <c r="U425" s="36"/>
      <c r="V425" s="36"/>
      <c r="W425" s="36"/>
      <c r="X425" s="36"/>
      <c r="Y425" s="36"/>
      <c r="Z425" s="36"/>
      <c r="AA425" s="36"/>
      <c r="AB425" s="36"/>
      <c r="AC425" s="36"/>
    </row>
    <row r="426" ht="15.75" customHeight="1">
      <c r="A426" s="423">
        <v>43069.0</v>
      </c>
      <c r="B426" s="424">
        <v>13.4095</v>
      </c>
      <c r="C426" s="425">
        <v>15.7326</v>
      </c>
      <c r="D426" s="171"/>
      <c r="E426" s="425">
        <v>13.4157</v>
      </c>
      <c r="F426" s="425">
        <v>16.0483</v>
      </c>
      <c r="G426" s="425">
        <v>12.9588</v>
      </c>
      <c r="H426" s="171"/>
      <c r="I426" s="171"/>
      <c r="J426" s="425">
        <v>17.0432</v>
      </c>
      <c r="K426" s="182">
        <v>10226.55</v>
      </c>
      <c r="L426" s="36"/>
      <c r="M426" s="36"/>
      <c r="N426" s="36"/>
      <c r="O426" s="36"/>
      <c r="P426" s="36"/>
      <c r="Q426" s="36"/>
      <c r="R426" s="36"/>
      <c r="S426" s="36"/>
      <c r="T426" s="36"/>
      <c r="U426" s="36"/>
      <c r="V426" s="36"/>
      <c r="W426" s="36"/>
      <c r="X426" s="36"/>
      <c r="Y426" s="36"/>
      <c r="Z426" s="36"/>
      <c r="AA426" s="36"/>
      <c r="AB426" s="36"/>
      <c r="AC426" s="36"/>
    </row>
    <row r="427" ht="15.75" customHeight="1">
      <c r="A427" s="423">
        <v>43069.0</v>
      </c>
      <c r="B427" s="424">
        <v>13.4095</v>
      </c>
      <c r="C427" s="425">
        <v>15.7304</v>
      </c>
      <c r="D427" s="171"/>
      <c r="E427" s="425">
        <v>13.4157</v>
      </c>
      <c r="F427" s="425">
        <v>16.0483</v>
      </c>
      <c r="G427" s="425">
        <v>12.9588</v>
      </c>
      <c r="H427" s="171"/>
      <c r="I427" s="171"/>
      <c r="J427" s="425">
        <v>17.0686</v>
      </c>
      <c r="K427" s="182">
        <v>10226.55</v>
      </c>
      <c r="L427" s="36"/>
      <c r="M427" s="36"/>
      <c r="N427" s="36"/>
      <c r="O427" s="36"/>
      <c r="P427" s="36"/>
      <c r="Q427" s="36"/>
      <c r="R427" s="36"/>
      <c r="S427" s="36"/>
      <c r="T427" s="36"/>
      <c r="U427" s="36"/>
      <c r="V427" s="36"/>
      <c r="W427" s="36"/>
      <c r="X427" s="36"/>
      <c r="Y427" s="36"/>
      <c r="Z427" s="36"/>
      <c r="AA427" s="36"/>
      <c r="AB427" s="36"/>
      <c r="AC427" s="36"/>
    </row>
    <row r="428" ht="15.75" customHeight="1">
      <c r="A428" s="423">
        <v>43069.0</v>
      </c>
      <c r="B428" s="424">
        <v>13.4095</v>
      </c>
      <c r="C428" s="425">
        <v>15.7304</v>
      </c>
      <c r="D428" s="171"/>
      <c r="E428" s="425">
        <v>13.4157</v>
      </c>
      <c r="F428" s="425">
        <v>16.0483</v>
      </c>
      <c r="G428" s="425">
        <v>12.9588</v>
      </c>
      <c r="H428" s="171"/>
      <c r="I428" s="171"/>
      <c r="J428" s="425">
        <v>17.0686</v>
      </c>
      <c r="K428" s="182">
        <v>10226.55</v>
      </c>
      <c r="L428" s="36"/>
      <c r="M428" s="36"/>
      <c r="N428" s="36"/>
      <c r="O428" s="36"/>
      <c r="P428" s="36"/>
      <c r="Q428" s="36"/>
      <c r="R428" s="36"/>
      <c r="S428" s="36"/>
      <c r="T428" s="36"/>
      <c r="U428" s="36"/>
      <c r="V428" s="36"/>
      <c r="W428" s="36"/>
      <c r="X428" s="36"/>
      <c r="Y428" s="36"/>
      <c r="Z428" s="36"/>
      <c r="AA428" s="36"/>
      <c r="AB428" s="36"/>
      <c r="AC428" s="36"/>
    </row>
    <row r="429" ht="15.75" customHeight="1">
      <c r="A429" s="423">
        <v>43070.0</v>
      </c>
      <c r="B429" s="424">
        <v>13.2955</v>
      </c>
      <c r="C429" s="425">
        <v>15.7489</v>
      </c>
      <c r="D429" s="171"/>
      <c r="E429" s="425">
        <v>13.4176</v>
      </c>
      <c r="F429" s="425">
        <v>15.9211</v>
      </c>
      <c r="G429" s="425">
        <v>12.9606</v>
      </c>
      <c r="H429" s="171"/>
      <c r="I429" s="171"/>
      <c r="J429" s="425">
        <v>17.2699</v>
      </c>
      <c r="K429" s="182">
        <v>10121.8</v>
      </c>
      <c r="L429" s="36"/>
      <c r="M429" s="36"/>
      <c r="N429" s="36"/>
      <c r="O429" s="36"/>
      <c r="P429" s="36"/>
      <c r="Q429" s="36"/>
      <c r="R429" s="36"/>
      <c r="S429" s="36"/>
      <c r="T429" s="36"/>
      <c r="U429" s="36"/>
      <c r="V429" s="36"/>
      <c r="W429" s="36"/>
      <c r="X429" s="36"/>
      <c r="Y429" s="36"/>
      <c r="Z429" s="36"/>
      <c r="AA429" s="36"/>
      <c r="AB429" s="36"/>
      <c r="AC429" s="36"/>
    </row>
    <row r="430" ht="15.75" customHeight="1">
      <c r="A430" s="423">
        <v>43070.0</v>
      </c>
      <c r="B430" s="424">
        <v>13.2955</v>
      </c>
      <c r="C430" s="425">
        <v>15.7489</v>
      </c>
      <c r="D430" s="171"/>
      <c r="E430" s="425">
        <v>13.4176</v>
      </c>
      <c r="F430" s="425">
        <v>15.9211</v>
      </c>
      <c r="G430" s="425">
        <v>12.9606</v>
      </c>
      <c r="H430" s="171"/>
      <c r="I430" s="171"/>
      <c r="J430" s="425">
        <v>17.2699</v>
      </c>
      <c r="K430" s="182">
        <v>10121.8</v>
      </c>
      <c r="L430" s="36"/>
      <c r="M430" s="36"/>
      <c r="N430" s="36"/>
      <c r="O430" s="36"/>
      <c r="P430" s="36"/>
      <c r="Q430" s="36"/>
      <c r="R430" s="36"/>
      <c r="S430" s="36"/>
      <c r="T430" s="36"/>
      <c r="U430" s="36"/>
      <c r="V430" s="36"/>
      <c r="W430" s="36"/>
      <c r="X430" s="36"/>
      <c r="Y430" s="36"/>
      <c r="Z430" s="36"/>
      <c r="AA430" s="36"/>
      <c r="AB430" s="36"/>
      <c r="AC430" s="36"/>
    </row>
    <row r="431" ht="15.75" customHeight="1">
      <c r="A431" s="423">
        <v>43070.0</v>
      </c>
      <c r="B431" s="424">
        <v>13.2955</v>
      </c>
      <c r="C431" s="425">
        <v>15.7355</v>
      </c>
      <c r="D431" s="171"/>
      <c r="E431" s="425">
        <v>13.4176</v>
      </c>
      <c r="F431" s="425">
        <v>15.9211</v>
      </c>
      <c r="G431" s="425">
        <v>12.9606</v>
      </c>
      <c r="H431" s="171"/>
      <c r="I431" s="171"/>
      <c r="J431" s="425">
        <v>17.0895</v>
      </c>
      <c r="K431" s="182">
        <v>10121.8</v>
      </c>
      <c r="L431" s="36"/>
      <c r="M431" s="36"/>
      <c r="N431" s="36"/>
      <c r="O431" s="36"/>
      <c r="P431" s="36"/>
      <c r="Q431" s="36"/>
      <c r="R431" s="36"/>
      <c r="S431" s="36"/>
      <c r="T431" s="36"/>
      <c r="U431" s="36"/>
      <c r="V431" s="36"/>
      <c r="W431" s="36"/>
      <c r="X431" s="36"/>
      <c r="Y431" s="36"/>
      <c r="Z431" s="36"/>
      <c r="AA431" s="36"/>
      <c r="AB431" s="36"/>
      <c r="AC431" s="36"/>
    </row>
    <row r="432" ht="15.75" customHeight="1">
      <c r="A432" s="423">
        <v>43070.0</v>
      </c>
      <c r="B432" s="424">
        <v>13.2955</v>
      </c>
      <c r="C432" s="425">
        <v>15.7355</v>
      </c>
      <c r="D432" s="171"/>
      <c r="E432" s="425">
        <v>13.4176</v>
      </c>
      <c r="F432" s="425">
        <v>15.9211</v>
      </c>
      <c r="G432" s="425">
        <v>12.9606</v>
      </c>
      <c r="H432" s="171"/>
      <c r="I432" s="171"/>
      <c r="J432" s="425">
        <v>17.0895</v>
      </c>
      <c r="K432" s="182">
        <v>10121.8</v>
      </c>
      <c r="L432" s="36"/>
      <c r="M432" s="36"/>
      <c r="N432" s="36"/>
      <c r="O432" s="36"/>
      <c r="P432" s="36"/>
      <c r="Q432" s="36"/>
      <c r="R432" s="36"/>
      <c r="S432" s="36"/>
      <c r="T432" s="36"/>
      <c r="U432" s="36"/>
      <c r="V432" s="36"/>
      <c r="W432" s="36"/>
      <c r="X432" s="36"/>
      <c r="Y432" s="36"/>
      <c r="Z432" s="36"/>
      <c r="AA432" s="36"/>
      <c r="AB432" s="36"/>
      <c r="AC432" s="36"/>
    </row>
    <row r="433" ht="15.75" customHeight="1">
      <c r="A433" s="423">
        <v>43073.0</v>
      </c>
      <c r="B433" s="424">
        <v>13.2966</v>
      </c>
      <c r="C433" s="425">
        <v>15.7599</v>
      </c>
      <c r="D433" s="171"/>
      <c r="E433" s="425">
        <v>13.4193</v>
      </c>
      <c r="F433" s="425">
        <v>15.9219</v>
      </c>
      <c r="G433" s="425">
        <v>12.965</v>
      </c>
      <c r="H433" s="171"/>
      <c r="I433" s="171"/>
      <c r="J433" s="425">
        <v>17.296</v>
      </c>
      <c r="K433" s="182">
        <v>10127.75</v>
      </c>
      <c r="L433" s="36"/>
      <c r="M433" s="36"/>
      <c r="N433" s="36"/>
      <c r="O433" s="36"/>
      <c r="P433" s="36"/>
      <c r="Q433" s="36"/>
      <c r="R433" s="36"/>
      <c r="S433" s="36"/>
      <c r="T433" s="36"/>
      <c r="U433" s="36"/>
      <c r="V433" s="36"/>
      <c r="W433" s="36"/>
      <c r="X433" s="36"/>
      <c r="Y433" s="36"/>
      <c r="Z433" s="36"/>
      <c r="AA433" s="36"/>
      <c r="AB433" s="36"/>
      <c r="AC433" s="36"/>
    </row>
    <row r="434" ht="15.75" customHeight="1">
      <c r="A434" s="423">
        <v>43073.0</v>
      </c>
      <c r="B434" s="424">
        <v>13.2966</v>
      </c>
      <c r="C434" s="425">
        <v>15.7599</v>
      </c>
      <c r="D434" s="171"/>
      <c r="E434" s="425">
        <v>13.4193</v>
      </c>
      <c r="F434" s="425">
        <v>15.9219</v>
      </c>
      <c r="G434" s="425">
        <v>12.965</v>
      </c>
      <c r="H434" s="171"/>
      <c r="I434" s="171"/>
      <c r="J434" s="425">
        <v>17.296</v>
      </c>
      <c r="K434" s="182">
        <v>10127.75</v>
      </c>
      <c r="L434" s="36"/>
      <c r="M434" s="36"/>
      <c r="N434" s="36"/>
      <c r="O434" s="36"/>
      <c r="P434" s="36"/>
      <c r="Q434" s="36"/>
      <c r="R434" s="36"/>
      <c r="S434" s="36"/>
      <c r="T434" s="36"/>
      <c r="U434" s="36"/>
      <c r="V434" s="36"/>
      <c r="W434" s="36"/>
      <c r="X434" s="36"/>
      <c r="Y434" s="36"/>
      <c r="Z434" s="36"/>
      <c r="AA434" s="36"/>
      <c r="AB434" s="36"/>
      <c r="AC434" s="36"/>
    </row>
    <row r="435" ht="15.75" customHeight="1">
      <c r="A435" s="423">
        <v>43073.0</v>
      </c>
      <c r="B435" s="424">
        <v>13.2966</v>
      </c>
      <c r="C435" s="425">
        <v>15.7551</v>
      </c>
      <c r="D435" s="171"/>
      <c r="E435" s="425">
        <v>13.4193</v>
      </c>
      <c r="F435" s="425">
        <v>15.9219</v>
      </c>
      <c r="G435" s="425">
        <v>12.965</v>
      </c>
      <c r="H435" s="171"/>
      <c r="I435" s="171"/>
      <c r="J435" s="425">
        <v>17.2595</v>
      </c>
      <c r="K435" s="182">
        <v>10127.75</v>
      </c>
      <c r="L435" s="36"/>
      <c r="M435" s="36"/>
      <c r="N435" s="36"/>
      <c r="O435" s="36"/>
      <c r="P435" s="36"/>
      <c r="Q435" s="36"/>
      <c r="R435" s="36"/>
      <c r="S435" s="36"/>
      <c r="T435" s="36"/>
      <c r="U435" s="36"/>
      <c r="V435" s="36"/>
      <c r="W435" s="36"/>
      <c r="X435" s="36"/>
      <c r="Y435" s="36"/>
      <c r="Z435" s="36"/>
      <c r="AA435" s="36"/>
      <c r="AB435" s="36"/>
      <c r="AC435" s="36"/>
    </row>
    <row r="436" ht="15.75" customHeight="1">
      <c r="A436" s="423">
        <v>43073.0</v>
      </c>
      <c r="B436" s="424">
        <v>13.2966</v>
      </c>
      <c r="C436" s="425">
        <v>15.7551</v>
      </c>
      <c r="D436" s="171"/>
      <c r="E436" s="425">
        <v>13.4193</v>
      </c>
      <c r="F436" s="425">
        <v>15.9219</v>
      </c>
      <c r="G436" s="425">
        <v>12.965</v>
      </c>
      <c r="H436" s="171"/>
      <c r="I436" s="171"/>
      <c r="J436" s="425">
        <v>17.2595</v>
      </c>
      <c r="K436" s="182">
        <v>10127.75</v>
      </c>
      <c r="L436" s="36"/>
      <c r="M436" s="36"/>
      <c r="N436" s="36"/>
      <c r="O436" s="36"/>
      <c r="P436" s="36"/>
      <c r="Q436" s="36"/>
      <c r="R436" s="36"/>
      <c r="S436" s="36"/>
      <c r="T436" s="36"/>
      <c r="U436" s="36"/>
      <c r="V436" s="36"/>
      <c r="W436" s="36"/>
      <c r="X436" s="36"/>
      <c r="Y436" s="36"/>
      <c r="Z436" s="36"/>
      <c r="AA436" s="36"/>
      <c r="AB436" s="36"/>
      <c r="AC436" s="36"/>
    </row>
    <row r="437" ht="15.75" customHeight="1">
      <c r="A437" s="423">
        <v>43074.0</v>
      </c>
      <c r="B437" s="424">
        <v>13.2736</v>
      </c>
      <c r="C437" s="425">
        <v>15.767</v>
      </c>
      <c r="D437" s="171"/>
      <c r="E437" s="425">
        <v>13.4274</v>
      </c>
      <c r="F437" s="425">
        <v>15.9178</v>
      </c>
      <c r="G437" s="425">
        <v>12.9679</v>
      </c>
      <c r="H437" s="171"/>
      <c r="I437" s="171"/>
      <c r="J437" s="425">
        <v>16.9737</v>
      </c>
      <c r="K437" s="182">
        <v>10118.25</v>
      </c>
      <c r="L437" s="36"/>
      <c r="M437" s="36"/>
      <c r="N437" s="36"/>
      <c r="O437" s="36"/>
      <c r="P437" s="36"/>
      <c r="Q437" s="36"/>
      <c r="R437" s="36"/>
      <c r="S437" s="36"/>
      <c r="T437" s="36"/>
      <c r="U437" s="36"/>
      <c r="V437" s="36"/>
      <c r="W437" s="36"/>
      <c r="X437" s="36"/>
      <c r="Y437" s="36"/>
      <c r="Z437" s="36"/>
      <c r="AA437" s="36"/>
      <c r="AB437" s="36"/>
      <c r="AC437" s="36"/>
    </row>
    <row r="438" ht="15.75" customHeight="1">
      <c r="A438" s="423">
        <v>43074.0</v>
      </c>
      <c r="B438" s="424">
        <v>13.2736</v>
      </c>
      <c r="C438" s="425">
        <v>15.767</v>
      </c>
      <c r="D438" s="171"/>
      <c r="E438" s="425">
        <v>13.4274</v>
      </c>
      <c r="F438" s="425">
        <v>15.9178</v>
      </c>
      <c r="G438" s="425">
        <v>12.9679</v>
      </c>
      <c r="H438" s="171"/>
      <c r="I438" s="171"/>
      <c r="J438" s="425">
        <v>16.9737</v>
      </c>
      <c r="K438" s="182">
        <v>10118.25</v>
      </c>
      <c r="L438" s="36"/>
      <c r="M438" s="36"/>
      <c r="N438" s="36"/>
      <c r="O438" s="36"/>
      <c r="P438" s="36"/>
      <c r="Q438" s="36"/>
      <c r="R438" s="36"/>
      <c r="S438" s="36"/>
      <c r="T438" s="36"/>
      <c r="U438" s="36"/>
      <c r="V438" s="36"/>
      <c r="W438" s="36"/>
      <c r="X438" s="36"/>
      <c r="Y438" s="36"/>
      <c r="Z438" s="36"/>
      <c r="AA438" s="36"/>
      <c r="AB438" s="36"/>
      <c r="AC438" s="36"/>
    </row>
    <row r="439" ht="15.75" customHeight="1">
      <c r="A439" s="423">
        <v>43074.0</v>
      </c>
      <c r="B439" s="424">
        <v>13.2736</v>
      </c>
      <c r="C439" s="425">
        <v>15.762</v>
      </c>
      <c r="D439" s="171"/>
      <c r="E439" s="425">
        <v>13.4274</v>
      </c>
      <c r="F439" s="425">
        <v>15.9178</v>
      </c>
      <c r="G439" s="425">
        <v>12.9679</v>
      </c>
      <c r="H439" s="171"/>
      <c r="I439" s="171"/>
      <c r="J439" s="425">
        <v>17.2063</v>
      </c>
      <c r="K439" s="182">
        <v>10118.25</v>
      </c>
      <c r="L439" s="36"/>
      <c r="M439" s="36"/>
      <c r="N439" s="36"/>
      <c r="O439" s="36"/>
      <c r="P439" s="36"/>
      <c r="Q439" s="36"/>
      <c r="R439" s="36"/>
      <c r="S439" s="36"/>
      <c r="T439" s="36"/>
      <c r="U439" s="36"/>
      <c r="V439" s="36"/>
      <c r="W439" s="36"/>
      <c r="X439" s="36"/>
      <c r="Y439" s="36"/>
      <c r="Z439" s="36"/>
      <c r="AA439" s="36"/>
      <c r="AB439" s="36"/>
      <c r="AC439" s="36"/>
    </row>
    <row r="440" ht="15.75" customHeight="1">
      <c r="A440" s="423">
        <v>43074.0</v>
      </c>
      <c r="B440" s="424">
        <v>13.2736</v>
      </c>
      <c r="C440" s="425">
        <v>15.762</v>
      </c>
      <c r="D440" s="171"/>
      <c r="E440" s="425">
        <v>13.4274</v>
      </c>
      <c r="F440" s="425">
        <v>15.9178</v>
      </c>
      <c r="G440" s="425">
        <v>12.9679</v>
      </c>
      <c r="H440" s="171"/>
      <c r="I440" s="171"/>
      <c r="J440" s="425">
        <v>17.2063</v>
      </c>
      <c r="K440" s="182">
        <v>10118.25</v>
      </c>
      <c r="L440" s="36"/>
      <c r="M440" s="36"/>
      <c r="N440" s="36"/>
      <c r="O440" s="36"/>
      <c r="P440" s="36"/>
      <c r="Q440" s="36"/>
      <c r="R440" s="36"/>
      <c r="S440" s="36"/>
      <c r="T440" s="36"/>
      <c r="U440" s="36"/>
      <c r="V440" s="36"/>
      <c r="W440" s="36"/>
      <c r="X440" s="36"/>
      <c r="Y440" s="36"/>
      <c r="Z440" s="36"/>
      <c r="AA440" s="36"/>
      <c r="AB440" s="36"/>
      <c r="AC440" s="36"/>
    </row>
    <row r="441" ht="15.75" customHeight="1">
      <c r="A441" s="423">
        <v>43075.0</v>
      </c>
      <c r="B441" s="424">
        <v>13.1939</v>
      </c>
      <c r="C441" s="425">
        <v>15.773</v>
      </c>
      <c r="D441" s="171"/>
      <c r="E441" s="425">
        <v>13.4332</v>
      </c>
      <c r="F441" s="425">
        <v>15.8449</v>
      </c>
      <c r="G441" s="425">
        <v>12.9713</v>
      </c>
      <c r="H441" s="171"/>
      <c r="I441" s="171"/>
      <c r="J441" s="425">
        <v>17.0298</v>
      </c>
      <c r="K441" s="182">
        <v>10044.1</v>
      </c>
      <c r="L441" s="36"/>
      <c r="M441" s="36"/>
      <c r="N441" s="36"/>
      <c r="O441" s="36"/>
      <c r="P441" s="36"/>
      <c r="Q441" s="36"/>
      <c r="R441" s="36"/>
      <c r="S441" s="36"/>
      <c r="T441" s="36"/>
      <c r="U441" s="36"/>
      <c r="V441" s="36"/>
      <c r="W441" s="36"/>
      <c r="X441" s="36"/>
      <c r="Y441" s="36"/>
      <c r="Z441" s="36"/>
      <c r="AA441" s="36"/>
      <c r="AB441" s="36"/>
      <c r="AC441" s="36"/>
    </row>
    <row r="442" ht="15.75" customHeight="1">
      <c r="A442" s="423">
        <v>43075.0</v>
      </c>
      <c r="B442" s="424">
        <v>13.1939</v>
      </c>
      <c r="C442" s="425">
        <v>15.773</v>
      </c>
      <c r="D442" s="171"/>
      <c r="E442" s="425">
        <v>13.4332</v>
      </c>
      <c r="F442" s="425">
        <v>15.8449</v>
      </c>
      <c r="G442" s="425">
        <v>12.9713</v>
      </c>
      <c r="H442" s="171"/>
      <c r="I442" s="171"/>
      <c r="J442" s="425">
        <v>17.0298</v>
      </c>
      <c r="K442" s="182">
        <v>10044.1</v>
      </c>
      <c r="L442" s="36"/>
      <c r="M442" s="36"/>
      <c r="N442" s="36"/>
      <c r="O442" s="36"/>
      <c r="P442" s="36"/>
      <c r="Q442" s="36"/>
      <c r="R442" s="36"/>
      <c r="S442" s="36"/>
      <c r="T442" s="36"/>
      <c r="U442" s="36"/>
      <c r="V442" s="36"/>
      <c r="W442" s="36"/>
      <c r="X442" s="36"/>
      <c r="Y442" s="36"/>
      <c r="Z442" s="36"/>
      <c r="AA442" s="36"/>
      <c r="AB442" s="36"/>
      <c r="AC442" s="36"/>
    </row>
    <row r="443" ht="15.75" customHeight="1">
      <c r="A443" s="423">
        <v>43075.0</v>
      </c>
      <c r="B443" s="424">
        <v>13.1939</v>
      </c>
      <c r="C443" s="425">
        <v>15.7698</v>
      </c>
      <c r="D443" s="171"/>
      <c r="E443" s="425">
        <v>13.4332</v>
      </c>
      <c r="F443" s="425">
        <v>15.8449</v>
      </c>
      <c r="G443" s="425">
        <v>12.9713</v>
      </c>
      <c r="H443" s="171"/>
      <c r="I443" s="171"/>
      <c r="J443" s="425">
        <v>17.0104</v>
      </c>
      <c r="K443" s="182">
        <v>10044.1</v>
      </c>
      <c r="L443" s="36"/>
      <c r="M443" s="36"/>
      <c r="N443" s="36"/>
      <c r="O443" s="36"/>
      <c r="P443" s="36"/>
      <c r="Q443" s="36"/>
      <c r="R443" s="36"/>
      <c r="S443" s="36"/>
      <c r="T443" s="36"/>
      <c r="U443" s="36"/>
      <c r="V443" s="36"/>
      <c r="W443" s="36"/>
      <c r="X443" s="36"/>
      <c r="Y443" s="36"/>
      <c r="Z443" s="36"/>
      <c r="AA443" s="36"/>
      <c r="AB443" s="36"/>
      <c r="AC443" s="36"/>
    </row>
    <row r="444" ht="15.75" customHeight="1">
      <c r="A444" s="423">
        <v>43075.0</v>
      </c>
      <c r="B444" s="424">
        <v>13.1939</v>
      </c>
      <c r="C444" s="425">
        <v>15.7698</v>
      </c>
      <c r="D444" s="171"/>
      <c r="E444" s="425">
        <v>13.4332</v>
      </c>
      <c r="F444" s="425">
        <v>15.8449</v>
      </c>
      <c r="G444" s="425">
        <v>12.9713</v>
      </c>
      <c r="H444" s="171"/>
      <c r="I444" s="171"/>
      <c r="J444" s="425">
        <v>17.0104</v>
      </c>
      <c r="K444" s="182">
        <v>10044.1</v>
      </c>
      <c r="L444" s="36"/>
      <c r="M444" s="36"/>
      <c r="N444" s="36"/>
      <c r="O444" s="36"/>
      <c r="P444" s="36"/>
      <c r="Q444" s="36"/>
      <c r="R444" s="36"/>
      <c r="S444" s="36"/>
      <c r="T444" s="36"/>
      <c r="U444" s="36"/>
      <c r="V444" s="36"/>
      <c r="W444" s="36"/>
      <c r="X444" s="36"/>
      <c r="Y444" s="36"/>
      <c r="Z444" s="36"/>
      <c r="AA444" s="36"/>
      <c r="AB444" s="36"/>
      <c r="AC444" s="36"/>
    </row>
    <row r="445" ht="15.75" customHeight="1">
      <c r="A445" s="423">
        <v>43076.0</v>
      </c>
      <c r="B445" s="424">
        <v>13.3419</v>
      </c>
      <c r="C445" s="425">
        <v>15.7861</v>
      </c>
      <c r="D445" s="171"/>
      <c r="E445" s="425">
        <v>13.4341</v>
      </c>
      <c r="F445" s="425">
        <v>15.9821</v>
      </c>
      <c r="G445" s="425">
        <v>12.9738</v>
      </c>
      <c r="H445" s="171"/>
      <c r="I445" s="171"/>
      <c r="J445" s="425">
        <v>17.1103</v>
      </c>
      <c r="K445" s="182">
        <v>10166.7</v>
      </c>
      <c r="L445" s="36"/>
      <c r="M445" s="36"/>
      <c r="N445" s="36"/>
      <c r="O445" s="36"/>
      <c r="P445" s="36"/>
      <c r="Q445" s="36"/>
      <c r="R445" s="36"/>
      <c r="S445" s="36"/>
      <c r="T445" s="36"/>
      <c r="U445" s="36"/>
      <c r="V445" s="36"/>
      <c r="W445" s="36"/>
      <c r="X445" s="36"/>
      <c r="Y445" s="36"/>
      <c r="Z445" s="36"/>
      <c r="AA445" s="36"/>
      <c r="AB445" s="36"/>
      <c r="AC445" s="36"/>
    </row>
    <row r="446" ht="15.75" customHeight="1">
      <c r="A446" s="423">
        <v>43076.0</v>
      </c>
      <c r="B446" s="424">
        <v>13.3419</v>
      </c>
      <c r="C446" s="425">
        <v>15.7861</v>
      </c>
      <c r="D446" s="171"/>
      <c r="E446" s="425">
        <v>13.4341</v>
      </c>
      <c r="F446" s="425">
        <v>15.9821</v>
      </c>
      <c r="G446" s="425">
        <v>12.9738</v>
      </c>
      <c r="H446" s="171"/>
      <c r="I446" s="171"/>
      <c r="J446" s="425">
        <v>17.1103</v>
      </c>
      <c r="K446" s="182">
        <v>10166.7</v>
      </c>
      <c r="L446" s="36"/>
      <c r="M446" s="36"/>
      <c r="N446" s="36"/>
      <c r="O446" s="36"/>
      <c r="P446" s="36"/>
      <c r="Q446" s="36"/>
      <c r="R446" s="36"/>
      <c r="S446" s="36"/>
      <c r="T446" s="36"/>
      <c r="U446" s="36"/>
      <c r="V446" s="36"/>
      <c r="W446" s="36"/>
      <c r="X446" s="36"/>
      <c r="Y446" s="36"/>
      <c r="Z446" s="36"/>
      <c r="AA446" s="36"/>
      <c r="AB446" s="36"/>
      <c r="AC446" s="36"/>
    </row>
    <row r="447" ht="15.75" customHeight="1">
      <c r="A447" s="423">
        <v>43076.0</v>
      </c>
      <c r="B447" s="424">
        <v>13.3419</v>
      </c>
      <c r="C447" s="425">
        <v>15.779</v>
      </c>
      <c r="D447" s="171"/>
      <c r="E447" s="425">
        <v>13.4341</v>
      </c>
      <c r="F447" s="425">
        <v>15.9821</v>
      </c>
      <c r="G447" s="425">
        <v>12.9738</v>
      </c>
      <c r="H447" s="171"/>
      <c r="I447" s="171"/>
      <c r="J447" s="425">
        <v>17.0792</v>
      </c>
      <c r="K447" s="182">
        <v>10166.7</v>
      </c>
      <c r="L447" s="36"/>
      <c r="M447" s="36"/>
      <c r="N447" s="36"/>
      <c r="O447" s="36"/>
      <c r="P447" s="36"/>
      <c r="Q447" s="36"/>
      <c r="R447" s="36"/>
      <c r="S447" s="36"/>
      <c r="T447" s="36"/>
      <c r="U447" s="36"/>
      <c r="V447" s="36"/>
      <c r="W447" s="36"/>
      <c r="X447" s="36"/>
      <c r="Y447" s="36"/>
      <c r="Z447" s="36"/>
      <c r="AA447" s="36"/>
      <c r="AB447" s="36"/>
      <c r="AC447" s="36"/>
    </row>
    <row r="448" ht="15.75" customHeight="1">
      <c r="A448" s="423">
        <v>43076.0</v>
      </c>
      <c r="B448" s="424">
        <v>13.3419</v>
      </c>
      <c r="C448" s="425">
        <v>15.779</v>
      </c>
      <c r="D448" s="171"/>
      <c r="E448" s="425">
        <v>13.4341</v>
      </c>
      <c r="F448" s="425">
        <v>15.9821</v>
      </c>
      <c r="G448" s="425">
        <v>12.9738</v>
      </c>
      <c r="H448" s="171"/>
      <c r="I448" s="171"/>
      <c r="J448" s="425">
        <v>17.0792</v>
      </c>
      <c r="K448" s="182">
        <v>10166.7</v>
      </c>
      <c r="L448" s="36"/>
      <c r="M448" s="36"/>
      <c r="N448" s="36"/>
      <c r="O448" s="36"/>
      <c r="P448" s="36"/>
      <c r="Q448" s="36"/>
      <c r="R448" s="36"/>
      <c r="S448" s="36"/>
      <c r="T448" s="36"/>
      <c r="U448" s="36"/>
      <c r="V448" s="36"/>
      <c r="W448" s="36"/>
      <c r="X448" s="36"/>
      <c r="Y448" s="36"/>
      <c r="Z448" s="36"/>
      <c r="AA448" s="36"/>
      <c r="AB448" s="36"/>
      <c r="AC448" s="36"/>
    </row>
    <row r="449" ht="15.75" customHeight="1">
      <c r="A449" s="423">
        <v>43077.0</v>
      </c>
      <c r="B449" s="424">
        <v>13.4617</v>
      </c>
      <c r="C449" s="425">
        <v>15.7804</v>
      </c>
      <c r="D449" s="171"/>
      <c r="E449" s="425">
        <v>13.4316</v>
      </c>
      <c r="F449" s="425">
        <v>16.095</v>
      </c>
      <c r="G449" s="425">
        <v>12.9721</v>
      </c>
      <c r="H449" s="171"/>
      <c r="I449" s="171"/>
      <c r="J449" s="425">
        <v>17.0711</v>
      </c>
      <c r="K449" s="182">
        <v>10265.65</v>
      </c>
      <c r="L449" s="36"/>
      <c r="M449" s="36"/>
      <c r="N449" s="36"/>
      <c r="O449" s="36"/>
      <c r="P449" s="36"/>
      <c r="Q449" s="36"/>
      <c r="R449" s="36"/>
      <c r="S449" s="36"/>
      <c r="T449" s="36"/>
      <c r="U449" s="36"/>
      <c r="V449" s="36"/>
      <c r="W449" s="36"/>
      <c r="X449" s="36"/>
      <c r="Y449" s="36"/>
      <c r="Z449" s="36"/>
      <c r="AA449" s="36"/>
      <c r="AB449" s="36"/>
      <c r="AC449" s="36"/>
    </row>
    <row r="450" ht="15.75" customHeight="1">
      <c r="A450" s="423">
        <v>43077.0</v>
      </c>
      <c r="B450" s="424">
        <v>13.4617</v>
      </c>
      <c r="C450" s="425">
        <v>15.7804</v>
      </c>
      <c r="D450" s="171"/>
      <c r="E450" s="425">
        <v>13.4316</v>
      </c>
      <c r="F450" s="425">
        <v>16.095</v>
      </c>
      <c r="G450" s="425">
        <v>12.9721</v>
      </c>
      <c r="H450" s="171"/>
      <c r="I450" s="171"/>
      <c r="J450" s="425">
        <v>17.0711</v>
      </c>
      <c r="K450" s="182">
        <v>10265.65</v>
      </c>
      <c r="L450" s="36"/>
      <c r="M450" s="36"/>
      <c r="N450" s="36"/>
      <c r="O450" s="36"/>
      <c r="P450" s="36"/>
      <c r="Q450" s="36"/>
      <c r="R450" s="36"/>
      <c r="S450" s="36"/>
      <c r="T450" s="36"/>
      <c r="U450" s="36"/>
      <c r="V450" s="36"/>
      <c r="W450" s="36"/>
      <c r="X450" s="36"/>
      <c r="Y450" s="36"/>
      <c r="Z450" s="36"/>
      <c r="AA450" s="36"/>
      <c r="AB450" s="36"/>
      <c r="AC450" s="36"/>
    </row>
    <row r="451" ht="15.75" customHeight="1">
      <c r="A451" s="423">
        <v>43077.0</v>
      </c>
      <c r="B451" s="424">
        <v>13.4617</v>
      </c>
      <c r="C451" s="425">
        <v>15.7827</v>
      </c>
      <c r="D451" s="171"/>
      <c r="E451" s="425">
        <v>13.4316</v>
      </c>
      <c r="F451" s="425">
        <v>16.095</v>
      </c>
      <c r="G451" s="425">
        <v>12.9721</v>
      </c>
      <c r="H451" s="171"/>
      <c r="I451" s="171"/>
      <c r="J451" s="425">
        <v>17.0705</v>
      </c>
      <c r="K451" s="182">
        <v>10265.65</v>
      </c>
      <c r="L451" s="36"/>
      <c r="M451" s="36"/>
      <c r="N451" s="36"/>
      <c r="O451" s="36"/>
      <c r="P451" s="36"/>
      <c r="Q451" s="36"/>
      <c r="R451" s="36"/>
      <c r="S451" s="36"/>
      <c r="T451" s="36"/>
      <c r="U451" s="36"/>
      <c r="V451" s="36"/>
      <c r="W451" s="36"/>
      <c r="X451" s="36"/>
      <c r="Y451" s="36"/>
      <c r="Z451" s="36"/>
      <c r="AA451" s="36"/>
      <c r="AB451" s="36"/>
      <c r="AC451" s="36"/>
    </row>
    <row r="452" ht="15.75" customHeight="1">
      <c r="A452" s="423">
        <v>43077.0</v>
      </c>
      <c r="B452" s="424">
        <v>13.4617</v>
      </c>
      <c r="C452" s="425">
        <v>15.7827</v>
      </c>
      <c r="D452" s="171"/>
      <c r="E452" s="425">
        <v>13.4316</v>
      </c>
      <c r="F452" s="425">
        <v>16.095</v>
      </c>
      <c r="G452" s="425">
        <v>12.9721</v>
      </c>
      <c r="H452" s="171"/>
      <c r="I452" s="171"/>
      <c r="J452" s="425">
        <v>17.0705</v>
      </c>
      <c r="K452" s="182">
        <v>10265.65</v>
      </c>
      <c r="L452" s="36"/>
      <c r="M452" s="36"/>
      <c r="N452" s="36"/>
      <c r="O452" s="36"/>
      <c r="P452" s="36"/>
      <c r="Q452" s="36"/>
      <c r="R452" s="36"/>
      <c r="S452" s="36"/>
      <c r="T452" s="36"/>
      <c r="U452" s="36"/>
      <c r="V452" s="36"/>
      <c r="W452" s="36"/>
      <c r="X452" s="36"/>
      <c r="Y452" s="36"/>
      <c r="Z452" s="36"/>
      <c r="AA452" s="36"/>
      <c r="AB452" s="36"/>
      <c r="AC452" s="36"/>
    </row>
    <row r="453" ht="15.75" customHeight="1">
      <c r="A453" s="423">
        <v>43080.0</v>
      </c>
      <c r="B453" s="424">
        <v>13.5034</v>
      </c>
      <c r="C453" s="425">
        <v>15.797</v>
      </c>
      <c r="D453" s="171"/>
      <c r="E453" s="425">
        <v>13.4158</v>
      </c>
      <c r="F453" s="425">
        <v>16.1303</v>
      </c>
      <c r="G453" s="425">
        <v>12.9741</v>
      </c>
      <c r="H453" s="171"/>
      <c r="I453" s="171"/>
      <c r="J453" s="425">
        <v>17.2071</v>
      </c>
      <c r="K453" s="182">
        <v>10322.25</v>
      </c>
      <c r="L453" s="36"/>
      <c r="M453" s="36"/>
      <c r="N453" s="36"/>
      <c r="O453" s="36"/>
      <c r="P453" s="36"/>
      <c r="Q453" s="36"/>
      <c r="R453" s="36"/>
      <c r="S453" s="36"/>
      <c r="T453" s="36"/>
      <c r="U453" s="36"/>
      <c r="V453" s="36"/>
      <c r="W453" s="36"/>
      <c r="X453" s="36"/>
      <c r="Y453" s="36"/>
      <c r="Z453" s="36"/>
      <c r="AA453" s="36"/>
      <c r="AB453" s="36"/>
      <c r="AC453" s="36"/>
    </row>
    <row r="454" ht="15.75" customHeight="1">
      <c r="A454" s="423">
        <v>43080.0</v>
      </c>
      <c r="B454" s="424">
        <v>13.5034</v>
      </c>
      <c r="C454" s="425">
        <v>15.797</v>
      </c>
      <c r="D454" s="171"/>
      <c r="E454" s="425">
        <v>13.4158</v>
      </c>
      <c r="F454" s="425">
        <v>16.1303</v>
      </c>
      <c r="G454" s="425">
        <v>12.9741</v>
      </c>
      <c r="H454" s="171"/>
      <c r="I454" s="171"/>
      <c r="J454" s="425">
        <v>17.2071</v>
      </c>
      <c r="K454" s="182">
        <v>10322.25</v>
      </c>
      <c r="L454" s="36"/>
      <c r="M454" s="36"/>
      <c r="N454" s="36"/>
      <c r="O454" s="36"/>
      <c r="P454" s="36"/>
      <c r="Q454" s="36"/>
      <c r="R454" s="36"/>
      <c r="S454" s="36"/>
      <c r="T454" s="36"/>
      <c r="U454" s="36"/>
      <c r="V454" s="36"/>
      <c r="W454" s="36"/>
      <c r="X454" s="36"/>
      <c r="Y454" s="36"/>
      <c r="Z454" s="36"/>
      <c r="AA454" s="36"/>
      <c r="AB454" s="36"/>
      <c r="AC454" s="36"/>
    </row>
    <row r="455" ht="15.75" customHeight="1">
      <c r="A455" s="423">
        <v>43080.0</v>
      </c>
      <c r="B455" s="424">
        <v>13.5034</v>
      </c>
      <c r="C455" s="425">
        <v>15.7912</v>
      </c>
      <c r="D455" s="171"/>
      <c r="E455" s="425">
        <v>13.4158</v>
      </c>
      <c r="F455" s="425">
        <v>16.1303</v>
      </c>
      <c r="G455" s="425">
        <v>12.9741</v>
      </c>
      <c r="H455" s="171"/>
      <c r="I455" s="171"/>
      <c r="J455" s="425">
        <v>17.2273</v>
      </c>
      <c r="K455" s="182">
        <v>10322.25</v>
      </c>
      <c r="L455" s="36"/>
      <c r="M455" s="36"/>
      <c r="N455" s="36"/>
      <c r="O455" s="36"/>
      <c r="P455" s="36"/>
      <c r="Q455" s="36"/>
      <c r="R455" s="36"/>
      <c r="S455" s="36"/>
      <c r="T455" s="36"/>
      <c r="U455" s="36"/>
      <c r="V455" s="36"/>
      <c r="W455" s="36"/>
      <c r="X455" s="36"/>
      <c r="Y455" s="36"/>
      <c r="Z455" s="36"/>
      <c r="AA455" s="36"/>
      <c r="AB455" s="36"/>
      <c r="AC455" s="36"/>
    </row>
    <row r="456" ht="15.75" customHeight="1">
      <c r="A456" s="423">
        <v>43080.0</v>
      </c>
      <c r="B456" s="424">
        <v>13.5034</v>
      </c>
      <c r="C456" s="425">
        <v>15.7912</v>
      </c>
      <c r="D456" s="171"/>
      <c r="E456" s="425">
        <v>13.4158</v>
      </c>
      <c r="F456" s="425">
        <v>16.1303</v>
      </c>
      <c r="G456" s="425">
        <v>12.9741</v>
      </c>
      <c r="H456" s="171"/>
      <c r="I456" s="171"/>
      <c r="J456" s="425">
        <v>17.2273</v>
      </c>
      <c r="K456" s="182">
        <v>10322.25</v>
      </c>
      <c r="L456" s="36"/>
      <c r="M456" s="36"/>
      <c r="N456" s="36"/>
      <c r="O456" s="36"/>
      <c r="P456" s="36"/>
      <c r="Q456" s="36"/>
      <c r="R456" s="36"/>
      <c r="S456" s="36"/>
      <c r="T456" s="36"/>
      <c r="U456" s="36"/>
      <c r="V456" s="36"/>
      <c r="W456" s="36"/>
      <c r="X456" s="36"/>
      <c r="Y456" s="36"/>
      <c r="Z456" s="36"/>
      <c r="AA456" s="36"/>
      <c r="AB456" s="36"/>
      <c r="AC456" s="36"/>
    </row>
    <row r="457" ht="15.75" customHeight="1">
      <c r="A457" s="423">
        <v>43081.0</v>
      </c>
      <c r="B457" s="424">
        <v>13.405</v>
      </c>
      <c r="C457" s="425">
        <v>15.8142</v>
      </c>
      <c r="D457" s="171"/>
      <c r="E457" s="425">
        <v>13.4046</v>
      </c>
      <c r="F457" s="425">
        <v>16.0363</v>
      </c>
      <c r="G457" s="425">
        <v>12.9718</v>
      </c>
      <c r="H457" s="171"/>
      <c r="I457" s="171"/>
      <c r="J457" s="425">
        <v>17.0765</v>
      </c>
      <c r="K457" s="182">
        <v>10240.15</v>
      </c>
      <c r="L457" s="36"/>
      <c r="M457" s="36"/>
      <c r="N457" s="36"/>
      <c r="O457" s="36"/>
      <c r="P457" s="36"/>
      <c r="Q457" s="36"/>
      <c r="R457" s="36"/>
      <c r="S457" s="36"/>
      <c r="T457" s="36"/>
      <c r="U457" s="36"/>
      <c r="V457" s="36"/>
      <c r="W457" s="36"/>
      <c r="X457" s="36"/>
      <c r="Y457" s="36"/>
      <c r="Z457" s="36"/>
      <c r="AA457" s="36"/>
      <c r="AB457" s="36"/>
      <c r="AC457" s="36"/>
    </row>
    <row r="458" ht="15.75" customHeight="1">
      <c r="A458" s="423">
        <v>43081.0</v>
      </c>
      <c r="B458" s="424">
        <v>13.405</v>
      </c>
      <c r="C458" s="425">
        <v>15.8142</v>
      </c>
      <c r="D458" s="171"/>
      <c r="E458" s="425">
        <v>13.4046</v>
      </c>
      <c r="F458" s="425">
        <v>16.0363</v>
      </c>
      <c r="G458" s="425">
        <v>12.9718</v>
      </c>
      <c r="H458" s="171"/>
      <c r="I458" s="171"/>
      <c r="J458" s="425">
        <v>17.0765</v>
      </c>
      <c r="K458" s="182">
        <v>10240.15</v>
      </c>
      <c r="L458" s="36"/>
      <c r="M458" s="36"/>
      <c r="N458" s="36"/>
      <c r="O458" s="36"/>
      <c r="P458" s="36"/>
      <c r="Q458" s="36"/>
      <c r="R458" s="36"/>
      <c r="S458" s="36"/>
      <c r="T458" s="36"/>
      <c r="U458" s="36"/>
      <c r="V458" s="36"/>
      <c r="W458" s="36"/>
      <c r="X458" s="36"/>
      <c r="Y458" s="36"/>
      <c r="Z458" s="36"/>
      <c r="AA458" s="36"/>
      <c r="AB458" s="36"/>
      <c r="AC458" s="36"/>
    </row>
    <row r="459" ht="15.75" customHeight="1">
      <c r="A459" s="423">
        <v>43081.0</v>
      </c>
      <c r="B459" s="424">
        <v>13.405</v>
      </c>
      <c r="C459" s="425">
        <v>15.8088</v>
      </c>
      <c r="D459" s="171"/>
      <c r="E459" s="425">
        <v>13.4046</v>
      </c>
      <c r="F459" s="425">
        <v>16.0363</v>
      </c>
      <c r="G459" s="425">
        <v>12.9718</v>
      </c>
      <c r="H459" s="171"/>
      <c r="I459" s="171"/>
      <c r="J459" s="425">
        <v>17.0999</v>
      </c>
      <c r="K459" s="182">
        <v>10240.15</v>
      </c>
      <c r="L459" s="36"/>
      <c r="M459" s="36"/>
      <c r="N459" s="36"/>
      <c r="O459" s="36"/>
      <c r="P459" s="36"/>
      <c r="Q459" s="36"/>
      <c r="R459" s="36"/>
      <c r="S459" s="36"/>
      <c r="T459" s="36"/>
      <c r="U459" s="36"/>
      <c r="V459" s="36"/>
      <c r="W459" s="36"/>
      <c r="X459" s="36"/>
      <c r="Y459" s="36"/>
      <c r="Z459" s="36"/>
      <c r="AA459" s="36"/>
      <c r="AB459" s="36"/>
      <c r="AC459" s="36"/>
    </row>
    <row r="460" ht="15.75" customHeight="1">
      <c r="A460" s="423">
        <v>43081.0</v>
      </c>
      <c r="B460" s="424">
        <v>13.405</v>
      </c>
      <c r="C460" s="425">
        <v>15.8088</v>
      </c>
      <c r="D460" s="171"/>
      <c r="E460" s="425">
        <v>13.4046</v>
      </c>
      <c r="F460" s="425">
        <v>16.0363</v>
      </c>
      <c r="G460" s="425">
        <v>12.9718</v>
      </c>
      <c r="H460" s="171"/>
      <c r="I460" s="171"/>
      <c r="J460" s="425">
        <v>17.0999</v>
      </c>
      <c r="K460" s="182">
        <v>10240.15</v>
      </c>
      <c r="L460" s="36"/>
      <c r="M460" s="36"/>
      <c r="N460" s="36"/>
      <c r="O460" s="36"/>
      <c r="P460" s="36"/>
      <c r="Q460" s="36"/>
      <c r="R460" s="36"/>
      <c r="S460" s="36"/>
      <c r="T460" s="36"/>
      <c r="U460" s="36"/>
      <c r="V460" s="36"/>
      <c r="W460" s="36"/>
      <c r="X460" s="36"/>
      <c r="Y460" s="36"/>
      <c r="Z460" s="36"/>
      <c r="AA460" s="36"/>
      <c r="AB460" s="36"/>
      <c r="AC460" s="36"/>
    </row>
    <row r="461" ht="15.75" customHeight="1">
      <c r="A461" s="423">
        <v>43082.0</v>
      </c>
      <c r="B461" s="424">
        <v>13.3519</v>
      </c>
      <c r="C461" s="425">
        <v>15.8095</v>
      </c>
      <c r="D461" s="171"/>
      <c r="E461" s="425">
        <v>13.3985</v>
      </c>
      <c r="F461" s="425">
        <v>16.0002</v>
      </c>
      <c r="G461" s="425">
        <v>12.972</v>
      </c>
      <c r="H461" s="171"/>
      <c r="I461" s="171"/>
      <c r="J461" s="425">
        <v>16.8945</v>
      </c>
      <c r="K461" s="182">
        <v>10192.95</v>
      </c>
      <c r="L461" s="36"/>
      <c r="M461" s="36"/>
      <c r="N461" s="36"/>
      <c r="O461" s="36"/>
      <c r="P461" s="36"/>
      <c r="Q461" s="36"/>
      <c r="R461" s="36"/>
      <c r="S461" s="36"/>
      <c r="T461" s="36"/>
      <c r="U461" s="36"/>
      <c r="V461" s="36"/>
      <c r="W461" s="36"/>
      <c r="X461" s="36"/>
      <c r="Y461" s="36"/>
      <c r="Z461" s="36"/>
      <c r="AA461" s="36"/>
      <c r="AB461" s="36"/>
      <c r="AC461" s="36"/>
    </row>
    <row r="462" ht="15.75" customHeight="1">
      <c r="A462" s="423">
        <v>43082.0</v>
      </c>
      <c r="B462" s="424">
        <v>13.3519</v>
      </c>
      <c r="C462" s="425">
        <v>15.8095</v>
      </c>
      <c r="D462" s="171"/>
      <c r="E462" s="425">
        <v>13.3985</v>
      </c>
      <c r="F462" s="425">
        <v>16.0002</v>
      </c>
      <c r="G462" s="425">
        <v>12.972</v>
      </c>
      <c r="H462" s="171"/>
      <c r="I462" s="171"/>
      <c r="J462" s="425">
        <v>16.8945</v>
      </c>
      <c r="K462" s="182">
        <v>10192.95</v>
      </c>
      <c r="L462" s="36"/>
      <c r="M462" s="36"/>
      <c r="N462" s="36"/>
      <c r="O462" s="36"/>
      <c r="P462" s="36"/>
      <c r="Q462" s="36"/>
      <c r="R462" s="36"/>
      <c r="S462" s="36"/>
      <c r="T462" s="36"/>
      <c r="U462" s="36"/>
      <c r="V462" s="36"/>
      <c r="W462" s="36"/>
      <c r="X462" s="36"/>
      <c r="Y462" s="36"/>
      <c r="Z462" s="36"/>
      <c r="AA462" s="36"/>
      <c r="AB462" s="36"/>
      <c r="AC462" s="36"/>
    </row>
    <row r="463" ht="15.75" customHeight="1">
      <c r="A463" s="423">
        <v>43082.0</v>
      </c>
      <c r="B463" s="424">
        <v>13.3519</v>
      </c>
      <c r="C463" s="425">
        <v>15.8163</v>
      </c>
      <c r="D463" s="171"/>
      <c r="E463" s="425">
        <v>13.3985</v>
      </c>
      <c r="F463" s="425">
        <v>16.0002</v>
      </c>
      <c r="G463" s="425">
        <v>12.972</v>
      </c>
      <c r="H463" s="171"/>
      <c r="I463" s="171"/>
      <c r="J463" s="425">
        <v>17.1402</v>
      </c>
      <c r="K463" s="182">
        <v>10192.95</v>
      </c>
      <c r="L463" s="36"/>
      <c r="M463" s="36"/>
      <c r="N463" s="36"/>
      <c r="O463" s="36"/>
      <c r="P463" s="36"/>
      <c r="Q463" s="36"/>
      <c r="R463" s="36"/>
      <c r="S463" s="36"/>
      <c r="T463" s="36"/>
      <c r="U463" s="36"/>
      <c r="V463" s="36"/>
      <c r="W463" s="36"/>
      <c r="X463" s="36"/>
      <c r="Y463" s="36"/>
      <c r="Z463" s="36"/>
      <c r="AA463" s="36"/>
      <c r="AB463" s="36"/>
      <c r="AC463" s="36"/>
    </row>
    <row r="464" ht="15.75" customHeight="1">
      <c r="A464" s="423">
        <v>43082.0</v>
      </c>
      <c r="B464" s="424">
        <v>13.3519</v>
      </c>
      <c r="C464" s="425">
        <v>15.8163</v>
      </c>
      <c r="D464" s="171"/>
      <c r="E464" s="425">
        <v>13.3985</v>
      </c>
      <c r="F464" s="425">
        <v>16.0002</v>
      </c>
      <c r="G464" s="425">
        <v>12.972</v>
      </c>
      <c r="H464" s="171"/>
      <c r="I464" s="171"/>
      <c r="J464" s="425">
        <v>17.1402</v>
      </c>
      <c r="K464" s="182">
        <v>10192.95</v>
      </c>
      <c r="L464" s="36"/>
      <c r="M464" s="36"/>
      <c r="N464" s="36"/>
      <c r="O464" s="36"/>
      <c r="P464" s="36"/>
      <c r="Q464" s="36"/>
      <c r="R464" s="36"/>
      <c r="S464" s="36"/>
      <c r="T464" s="36"/>
      <c r="U464" s="36"/>
      <c r="V464" s="36"/>
      <c r="W464" s="36"/>
      <c r="X464" s="36"/>
      <c r="Y464" s="36"/>
      <c r="Z464" s="36"/>
      <c r="AA464" s="36"/>
      <c r="AB464" s="36"/>
      <c r="AC464" s="36"/>
    </row>
    <row r="465" ht="15.75" customHeight="1">
      <c r="A465" s="423">
        <v>43083.0</v>
      </c>
      <c r="B465" s="424">
        <v>13.4282</v>
      </c>
      <c r="C465" s="425">
        <v>15.8328</v>
      </c>
      <c r="D465" s="171"/>
      <c r="E465" s="425">
        <v>13.4065</v>
      </c>
      <c r="F465" s="425">
        <v>16.0905</v>
      </c>
      <c r="G465" s="425">
        <v>12.9734</v>
      </c>
      <c r="H465" s="171"/>
      <c r="I465" s="171"/>
      <c r="J465" s="425">
        <v>17.2095</v>
      </c>
      <c r="K465" s="182">
        <v>10252.1</v>
      </c>
      <c r="L465" s="36"/>
      <c r="M465" s="36"/>
      <c r="N465" s="36"/>
      <c r="O465" s="36"/>
      <c r="P465" s="36"/>
      <c r="Q465" s="36"/>
      <c r="R465" s="36"/>
      <c r="S465" s="36"/>
      <c r="T465" s="36"/>
      <c r="U465" s="36"/>
      <c r="V465" s="36"/>
      <c r="W465" s="36"/>
      <c r="X465" s="36"/>
      <c r="Y465" s="36"/>
      <c r="Z465" s="36"/>
      <c r="AA465" s="36"/>
      <c r="AB465" s="36"/>
      <c r="AC465" s="36"/>
    </row>
    <row r="466" ht="15.75" customHeight="1">
      <c r="A466" s="423">
        <v>43083.0</v>
      </c>
      <c r="B466" s="424">
        <v>13.4282</v>
      </c>
      <c r="C466" s="425">
        <v>15.8328</v>
      </c>
      <c r="D466" s="171"/>
      <c r="E466" s="425">
        <v>13.4065</v>
      </c>
      <c r="F466" s="425">
        <v>16.0905</v>
      </c>
      <c r="G466" s="425">
        <v>12.9734</v>
      </c>
      <c r="H466" s="171"/>
      <c r="I466" s="171"/>
      <c r="J466" s="425">
        <v>17.2095</v>
      </c>
      <c r="K466" s="182">
        <v>10252.1</v>
      </c>
      <c r="L466" s="36"/>
      <c r="M466" s="36"/>
      <c r="N466" s="36"/>
      <c r="O466" s="36"/>
      <c r="P466" s="36"/>
      <c r="Q466" s="36"/>
      <c r="R466" s="36"/>
      <c r="S466" s="36"/>
      <c r="T466" s="36"/>
      <c r="U466" s="36"/>
      <c r="V466" s="36"/>
      <c r="W466" s="36"/>
      <c r="X466" s="36"/>
      <c r="Y466" s="36"/>
      <c r="Z466" s="36"/>
      <c r="AA466" s="36"/>
      <c r="AB466" s="36"/>
      <c r="AC466" s="36"/>
    </row>
    <row r="467" ht="15.75" customHeight="1">
      <c r="A467" s="423">
        <v>43083.0</v>
      </c>
      <c r="B467" s="424">
        <v>13.4282</v>
      </c>
      <c r="C467" s="425">
        <v>15.8148</v>
      </c>
      <c r="D467" s="171"/>
      <c r="E467" s="425">
        <v>13.4065</v>
      </c>
      <c r="F467" s="425">
        <v>16.0905</v>
      </c>
      <c r="G467" s="425">
        <v>12.9734</v>
      </c>
      <c r="H467" s="171"/>
      <c r="I467" s="171"/>
      <c r="J467" s="425">
        <v>16.9838</v>
      </c>
      <c r="K467" s="182">
        <v>10252.1</v>
      </c>
      <c r="L467" s="36"/>
      <c r="M467" s="36"/>
      <c r="N467" s="36"/>
      <c r="O467" s="36"/>
      <c r="P467" s="36"/>
      <c r="Q467" s="36"/>
      <c r="R467" s="36"/>
      <c r="S467" s="36"/>
      <c r="T467" s="36"/>
      <c r="U467" s="36"/>
      <c r="V467" s="36"/>
      <c r="W467" s="36"/>
      <c r="X467" s="36"/>
      <c r="Y467" s="36"/>
      <c r="Z467" s="36"/>
      <c r="AA467" s="36"/>
      <c r="AB467" s="36"/>
      <c r="AC467" s="36"/>
    </row>
    <row r="468" ht="15.75" customHeight="1">
      <c r="A468" s="423">
        <v>43083.0</v>
      </c>
      <c r="B468" s="424">
        <v>13.4282</v>
      </c>
      <c r="C468" s="425">
        <v>15.8148</v>
      </c>
      <c r="D468" s="171"/>
      <c r="E468" s="425">
        <v>13.4065</v>
      </c>
      <c r="F468" s="425">
        <v>16.0905</v>
      </c>
      <c r="G468" s="425">
        <v>12.9734</v>
      </c>
      <c r="H468" s="171"/>
      <c r="I468" s="171"/>
      <c r="J468" s="425">
        <v>16.9838</v>
      </c>
      <c r="K468" s="182">
        <v>10252.1</v>
      </c>
      <c r="L468" s="36"/>
      <c r="M468" s="36"/>
      <c r="N468" s="36"/>
      <c r="O468" s="36"/>
      <c r="P468" s="36"/>
      <c r="Q468" s="36"/>
      <c r="R468" s="36"/>
      <c r="S468" s="36"/>
      <c r="T468" s="36"/>
      <c r="U468" s="36"/>
      <c r="V468" s="36"/>
      <c r="W468" s="36"/>
      <c r="X468" s="36"/>
      <c r="Y468" s="36"/>
      <c r="Z468" s="36"/>
      <c r="AA468" s="36"/>
      <c r="AB468" s="36"/>
      <c r="AC468" s="36"/>
    </row>
    <row r="469" ht="15.75" customHeight="1">
      <c r="A469" s="423">
        <v>43084.0</v>
      </c>
      <c r="B469" s="424">
        <v>13.5346</v>
      </c>
      <c r="C469" s="425">
        <v>15.8633</v>
      </c>
      <c r="D469" s="171"/>
      <c r="E469" s="425">
        <v>13.4145</v>
      </c>
      <c r="F469" s="425">
        <v>16.2247</v>
      </c>
      <c r="G469" s="425">
        <v>12.9719</v>
      </c>
      <c r="H469" s="171"/>
      <c r="I469" s="171"/>
      <c r="J469" s="425">
        <v>17.2856</v>
      </c>
      <c r="K469" s="182">
        <v>10333.25</v>
      </c>
      <c r="L469" s="36"/>
      <c r="M469" s="36"/>
      <c r="N469" s="36"/>
      <c r="O469" s="36"/>
      <c r="P469" s="36"/>
      <c r="Q469" s="36"/>
      <c r="R469" s="36"/>
      <c r="S469" s="36"/>
      <c r="T469" s="36"/>
      <c r="U469" s="36"/>
      <c r="V469" s="36"/>
      <c r="W469" s="36"/>
      <c r="X469" s="36"/>
      <c r="Y469" s="36"/>
      <c r="Z469" s="36"/>
      <c r="AA469" s="36"/>
      <c r="AB469" s="36"/>
      <c r="AC469" s="36"/>
    </row>
    <row r="470" ht="15.75" customHeight="1">
      <c r="A470" s="423">
        <v>43084.0</v>
      </c>
      <c r="B470" s="424">
        <v>13.5346</v>
      </c>
      <c r="C470" s="425">
        <v>15.8633</v>
      </c>
      <c r="D470" s="171"/>
      <c r="E470" s="425">
        <v>13.4145</v>
      </c>
      <c r="F470" s="425">
        <v>16.2247</v>
      </c>
      <c r="G470" s="425">
        <v>12.9719</v>
      </c>
      <c r="H470" s="171"/>
      <c r="I470" s="171"/>
      <c r="J470" s="425">
        <v>17.2856</v>
      </c>
      <c r="K470" s="182">
        <v>10333.25</v>
      </c>
      <c r="L470" s="36"/>
      <c r="M470" s="36"/>
      <c r="N470" s="36"/>
      <c r="O470" s="36"/>
      <c r="P470" s="36"/>
      <c r="Q470" s="36"/>
      <c r="R470" s="36"/>
      <c r="S470" s="36"/>
      <c r="T470" s="36"/>
      <c r="U470" s="36"/>
      <c r="V470" s="36"/>
      <c r="W470" s="36"/>
      <c r="X470" s="36"/>
      <c r="Y470" s="36"/>
      <c r="Z470" s="36"/>
      <c r="AA470" s="36"/>
      <c r="AB470" s="36"/>
      <c r="AC470" s="36"/>
    </row>
    <row r="471" ht="15.75" customHeight="1">
      <c r="A471" s="423">
        <v>43084.0</v>
      </c>
      <c r="B471" s="424">
        <v>13.5346</v>
      </c>
      <c r="C471" s="425">
        <v>15.8373</v>
      </c>
      <c r="D471" s="171"/>
      <c r="E471" s="425">
        <v>13.4145</v>
      </c>
      <c r="F471" s="425">
        <v>16.2247</v>
      </c>
      <c r="G471" s="425">
        <v>12.9719</v>
      </c>
      <c r="H471" s="171"/>
      <c r="I471" s="171"/>
      <c r="J471" s="425">
        <v>17.2634</v>
      </c>
      <c r="K471" s="182">
        <v>10333.25</v>
      </c>
      <c r="L471" s="36"/>
      <c r="M471" s="36"/>
      <c r="N471" s="36"/>
      <c r="O471" s="36"/>
      <c r="P471" s="36"/>
      <c r="Q471" s="36"/>
      <c r="R471" s="36"/>
      <c r="S471" s="36"/>
      <c r="T471" s="36"/>
      <c r="U471" s="36"/>
      <c r="V471" s="36"/>
      <c r="W471" s="36"/>
      <c r="X471" s="36"/>
      <c r="Y471" s="36"/>
      <c r="Z471" s="36"/>
      <c r="AA471" s="36"/>
      <c r="AB471" s="36"/>
      <c r="AC471" s="36"/>
    </row>
    <row r="472" ht="15.75" customHeight="1">
      <c r="A472" s="423">
        <v>43084.0</v>
      </c>
      <c r="B472" s="424">
        <v>13.5346</v>
      </c>
      <c r="C472" s="425">
        <v>15.8373</v>
      </c>
      <c r="D472" s="171"/>
      <c r="E472" s="425">
        <v>13.4145</v>
      </c>
      <c r="F472" s="425">
        <v>16.2247</v>
      </c>
      <c r="G472" s="425">
        <v>12.9719</v>
      </c>
      <c r="H472" s="171"/>
      <c r="I472" s="171"/>
      <c r="J472" s="425">
        <v>17.2634</v>
      </c>
      <c r="K472" s="182">
        <v>10333.25</v>
      </c>
      <c r="L472" s="36"/>
      <c r="M472" s="36"/>
      <c r="N472" s="36"/>
      <c r="O472" s="36"/>
      <c r="P472" s="36"/>
      <c r="Q472" s="36"/>
      <c r="R472" s="36"/>
      <c r="S472" s="36"/>
      <c r="T472" s="36"/>
      <c r="U472" s="36"/>
      <c r="V472" s="36"/>
      <c r="W472" s="36"/>
      <c r="X472" s="36"/>
      <c r="Y472" s="36"/>
      <c r="Z472" s="36"/>
      <c r="AA472" s="36"/>
      <c r="AB472" s="36"/>
      <c r="AC472" s="36"/>
    </row>
    <row r="473" ht="15.75" customHeight="1">
      <c r="A473" s="423">
        <v>43087.0</v>
      </c>
      <c r="B473" s="424">
        <v>13.6131</v>
      </c>
      <c r="C473" s="425">
        <v>15.8713</v>
      </c>
      <c r="D473" s="171"/>
      <c r="E473" s="425">
        <v>13.4141</v>
      </c>
      <c r="F473" s="425">
        <v>16.3</v>
      </c>
      <c r="G473" s="425">
        <v>12.9762</v>
      </c>
      <c r="H473" s="171"/>
      <c r="I473" s="171"/>
      <c r="J473" s="425">
        <v>17.2246</v>
      </c>
      <c r="K473" s="182">
        <v>10388.75</v>
      </c>
      <c r="L473" s="36"/>
      <c r="M473" s="36"/>
      <c r="N473" s="36"/>
      <c r="O473" s="36"/>
      <c r="P473" s="36"/>
      <c r="Q473" s="36"/>
      <c r="R473" s="36"/>
      <c r="S473" s="36"/>
      <c r="T473" s="36"/>
      <c r="U473" s="36"/>
      <c r="V473" s="36"/>
      <c r="W473" s="36"/>
      <c r="X473" s="36"/>
      <c r="Y473" s="36"/>
      <c r="Z473" s="36"/>
      <c r="AA473" s="36"/>
      <c r="AB473" s="36"/>
      <c r="AC473" s="36"/>
    </row>
    <row r="474" ht="15.75" customHeight="1">
      <c r="A474" s="423">
        <v>43087.0</v>
      </c>
      <c r="B474" s="424">
        <v>13.6131</v>
      </c>
      <c r="C474" s="425">
        <v>15.8713</v>
      </c>
      <c r="D474" s="171"/>
      <c r="E474" s="425">
        <v>13.4141</v>
      </c>
      <c r="F474" s="425">
        <v>16.3</v>
      </c>
      <c r="G474" s="425">
        <v>12.9762</v>
      </c>
      <c r="H474" s="171"/>
      <c r="I474" s="171"/>
      <c r="J474" s="425">
        <v>17.2246</v>
      </c>
      <c r="K474" s="182">
        <v>10388.75</v>
      </c>
      <c r="L474" s="36"/>
      <c r="M474" s="36"/>
      <c r="N474" s="36"/>
      <c r="O474" s="36"/>
      <c r="P474" s="36"/>
      <c r="Q474" s="36"/>
      <c r="R474" s="36"/>
      <c r="S474" s="36"/>
      <c r="T474" s="36"/>
      <c r="U474" s="36"/>
      <c r="V474" s="36"/>
      <c r="W474" s="36"/>
      <c r="X474" s="36"/>
      <c r="Y474" s="36"/>
      <c r="Z474" s="36"/>
      <c r="AA474" s="36"/>
      <c r="AB474" s="36"/>
      <c r="AC474" s="36"/>
    </row>
    <row r="475" ht="15.75" customHeight="1">
      <c r="A475" s="423">
        <v>43087.0</v>
      </c>
      <c r="B475" s="424">
        <v>13.6131</v>
      </c>
      <c r="C475" s="425">
        <v>15.8717</v>
      </c>
      <c r="D475" s="171"/>
      <c r="E475" s="425">
        <v>13.4141</v>
      </c>
      <c r="F475" s="425">
        <v>16.3</v>
      </c>
      <c r="G475" s="425">
        <v>12.9762</v>
      </c>
      <c r="H475" s="171"/>
      <c r="I475" s="171"/>
      <c r="J475" s="425">
        <v>17.2462</v>
      </c>
      <c r="K475" s="182">
        <v>10388.75</v>
      </c>
      <c r="L475" s="36"/>
      <c r="M475" s="36"/>
      <c r="N475" s="36"/>
      <c r="O475" s="36"/>
      <c r="P475" s="36"/>
      <c r="Q475" s="36"/>
      <c r="R475" s="36"/>
      <c r="S475" s="36"/>
      <c r="T475" s="36"/>
      <c r="U475" s="36"/>
      <c r="V475" s="36"/>
      <c r="W475" s="36"/>
      <c r="X475" s="36"/>
      <c r="Y475" s="36"/>
      <c r="Z475" s="36"/>
      <c r="AA475" s="36"/>
      <c r="AB475" s="36"/>
      <c r="AC475" s="36"/>
    </row>
    <row r="476" ht="15.75" customHeight="1">
      <c r="A476" s="423">
        <v>43087.0</v>
      </c>
      <c r="B476" s="424">
        <v>13.6131</v>
      </c>
      <c r="C476" s="425">
        <v>15.8717</v>
      </c>
      <c r="D476" s="171"/>
      <c r="E476" s="425">
        <v>13.4141</v>
      </c>
      <c r="F476" s="425">
        <v>16.3</v>
      </c>
      <c r="G476" s="425">
        <v>12.9762</v>
      </c>
      <c r="H476" s="171"/>
      <c r="I476" s="171"/>
      <c r="J476" s="425">
        <v>17.2462</v>
      </c>
      <c r="K476" s="182">
        <v>10388.75</v>
      </c>
      <c r="L476" s="36"/>
      <c r="M476" s="36"/>
      <c r="N476" s="36"/>
      <c r="O476" s="36"/>
      <c r="P476" s="36"/>
      <c r="Q476" s="36"/>
      <c r="R476" s="36"/>
      <c r="S476" s="36"/>
      <c r="T476" s="36"/>
      <c r="U476" s="36"/>
      <c r="V476" s="36"/>
      <c r="W476" s="36"/>
      <c r="X476" s="36"/>
      <c r="Y476" s="36"/>
      <c r="Z476" s="36"/>
      <c r="AA476" s="36"/>
      <c r="AB476" s="36"/>
      <c r="AC476" s="36"/>
    </row>
    <row r="477" ht="15.75" customHeight="1">
      <c r="A477" s="423">
        <v>43088.0</v>
      </c>
      <c r="B477" s="424">
        <v>13.7205</v>
      </c>
      <c r="C477" s="425">
        <v>15.886</v>
      </c>
      <c r="D477" s="171"/>
      <c r="E477" s="425">
        <v>13.4155</v>
      </c>
      <c r="F477" s="425">
        <v>16.4298</v>
      </c>
      <c r="G477" s="425">
        <v>12.976</v>
      </c>
      <c r="H477" s="171"/>
      <c r="I477" s="171"/>
      <c r="J477" s="425">
        <v>17.0821</v>
      </c>
      <c r="K477" s="182">
        <v>10463.2</v>
      </c>
      <c r="L477" s="36"/>
      <c r="M477" s="36"/>
      <c r="N477" s="36"/>
      <c r="O477" s="36"/>
      <c r="P477" s="36"/>
      <c r="Q477" s="36"/>
      <c r="R477" s="36"/>
      <c r="S477" s="36"/>
      <c r="T477" s="36"/>
      <c r="U477" s="36"/>
      <c r="V477" s="36"/>
      <c r="W477" s="36"/>
      <c r="X477" s="36"/>
      <c r="Y477" s="36"/>
      <c r="Z477" s="36"/>
      <c r="AA477" s="36"/>
      <c r="AB477" s="36"/>
      <c r="AC477" s="36"/>
    </row>
    <row r="478" ht="15.75" customHeight="1">
      <c r="A478" s="423">
        <v>43088.0</v>
      </c>
      <c r="B478" s="424">
        <v>13.7205</v>
      </c>
      <c r="C478" s="425">
        <v>15.886</v>
      </c>
      <c r="D478" s="171"/>
      <c r="E478" s="425">
        <v>13.4155</v>
      </c>
      <c r="F478" s="425">
        <v>16.4298</v>
      </c>
      <c r="G478" s="425">
        <v>12.976</v>
      </c>
      <c r="H478" s="171"/>
      <c r="I478" s="171"/>
      <c r="J478" s="425">
        <v>17.0821</v>
      </c>
      <c r="K478" s="182">
        <v>10463.2</v>
      </c>
      <c r="L478" s="36"/>
      <c r="M478" s="36"/>
      <c r="N478" s="36"/>
      <c r="O478" s="36"/>
      <c r="P478" s="36"/>
      <c r="Q478" s="36"/>
      <c r="R478" s="36"/>
      <c r="S478" s="36"/>
      <c r="T478" s="36"/>
      <c r="U478" s="36"/>
      <c r="V478" s="36"/>
      <c r="W478" s="36"/>
      <c r="X478" s="36"/>
      <c r="Y478" s="36"/>
      <c r="Z478" s="36"/>
      <c r="AA478" s="36"/>
      <c r="AB478" s="36"/>
      <c r="AC478" s="36"/>
    </row>
    <row r="479" ht="15.75" customHeight="1">
      <c r="A479" s="423">
        <v>43088.0</v>
      </c>
      <c r="B479" s="424">
        <v>13.7205</v>
      </c>
      <c r="C479" s="425">
        <v>15.8834</v>
      </c>
      <c r="D479" s="171"/>
      <c r="E479" s="425">
        <v>13.4155</v>
      </c>
      <c r="F479" s="425">
        <v>16.4298</v>
      </c>
      <c r="G479" s="425">
        <v>12.976</v>
      </c>
      <c r="H479" s="171"/>
      <c r="I479" s="171"/>
      <c r="J479" s="425">
        <v>17.2476</v>
      </c>
      <c r="K479" s="182">
        <v>10463.2</v>
      </c>
      <c r="L479" s="36"/>
      <c r="M479" s="36"/>
      <c r="N479" s="36"/>
      <c r="O479" s="36"/>
      <c r="P479" s="36"/>
      <c r="Q479" s="36"/>
      <c r="R479" s="36"/>
      <c r="S479" s="36"/>
      <c r="T479" s="36"/>
      <c r="U479" s="36"/>
      <c r="V479" s="36"/>
      <c r="W479" s="36"/>
      <c r="X479" s="36"/>
      <c r="Y479" s="36"/>
      <c r="Z479" s="36"/>
      <c r="AA479" s="36"/>
      <c r="AB479" s="36"/>
      <c r="AC479" s="36"/>
    </row>
    <row r="480" ht="15.75" customHeight="1">
      <c r="A480" s="423">
        <v>43088.0</v>
      </c>
      <c r="B480" s="424">
        <v>13.7205</v>
      </c>
      <c r="C480" s="425">
        <v>15.8834</v>
      </c>
      <c r="D480" s="171"/>
      <c r="E480" s="425">
        <v>13.4155</v>
      </c>
      <c r="F480" s="425">
        <v>16.4298</v>
      </c>
      <c r="G480" s="425">
        <v>12.976</v>
      </c>
      <c r="H480" s="171"/>
      <c r="I480" s="171"/>
      <c r="J480" s="425">
        <v>17.2476</v>
      </c>
      <c r="K480" s="182">
        <v>10463.2</v>
      </c>
      <c r="L480" s="36"/>
      <c r="M480" s="36"/>
      <c r="N480" s="36"/>
      <c r="O480" s="36"/>
      <c r="P480" s="36"/>
      <c r="Q480" s="36"/>
      <c r="R480" s="36"/>
      <c r="S480" s="36"/>
      <c r="T480" s="36"/>
      <c r="U480" s="36"/>
      <c r="V480" s="36"/>
      <c r="W480" s="36"/>
      <c r="X480" s="36"/>
      <c r="Y480" s="36"/>
      <c r="Z480" s="36"/>
      <c r="AA480" s="36"/>
      <c r="AB480" s="36"/>
      <c r="AC480" s="36"/>
    </row>
    <row r="481" ht="15.75" customHeight="1">
      <c r="A481" s="423">
        <v>43089.0</v>
      </c>
      <c r="B481" s="424">
        <v>13.7113</v>
      </c>
      <c r="C481" s="425">
        <v>15.8834</v>
      </c>
      <c r="D481" s="171"/>
      <c r="E481" s="425">
        <v>13.4071</v>
      </c>
      <c r="F481" s="425">
        <v>16.4332</v>
      </c>
      <c r="G481" s="425">
        <v>12.9736</v>
      </c>
      <c r="H481" s="171"/>
      <c r="I481" s="171"/>
      <c r="J481" s="425">
        <v>17.0262</v>
      </c>
      <c r="K481" s="182">
        <v>10444.2</v>
      </c>
      <c r="L481" s="36"/>
      <c r="M481" s="36"/>
      <c r="N481" s="36"/>
      <c r="O481" s="36"/>
      <c r="P481" s="36"/>
      <c r="Q481" s="36"/>
      <c r="R481" s="36"/>
      <c r="S481" s="36"/>
      <c r="T481" s="36"/>
      <c r="U481" s="36"/>
      <c r="V481" s="36"/>
      <c r="W481" s="36"/>
      <c r="X481" s="36"/>
      <c r="Y481" s="36"/>
      <c r="Z481" s="36"/>
      <c r="AA481" s="36"/>
      <c r="AB481" s="36"/>
      <c r="AC481" s="36"/>
    </row>
    <row r="482" ht="15.75" customHeight="1">
      <c r="A482" s="423">
        <v>43089.0</v>
      </c>
      <c r="B482" s="424">
        <v>13.7113</v>
      </c>
      <c r="C482" s="425">
        <v>15.8834</v>
      </c>
      <c r="D482" s="171"/>
      <c r="E482" s="425">
        <v>13.4071</v>
      </c>
      <c r="F482" s="425">
        <v>16.4332</v>
      </c>
      <c r="G482" s="425">
        <v>12.9736</v>
      </c>
      <c r="H482" s="171"/>
      <c r="I482" s="171"/>
      <c r="J482" s="425">
        <v>17.0262</v>
      </c>
      <c r="K482" s="182">
        <v>10444.2</v>
      </c>
      <c r="L482" s="36"/>
      <c r="M482" s="36"/>
      <c r="N482" s="36"/>
      <c r="O482" s="36"/>
      <c r="P482" s="36"/>
      <c r="Q482" s="36"/>
      <c r="R482" s="36"/>
      <c r="S482" s="36"/>
      <c r="T482" s="36"/>
      <c r="U482" s="36"/>
      <c r="V482" s="36"/>
      <c r="W482" s="36"/>
      <c r="X482" s="36"/>
      <c r="Y482" s="36"/>
      <c r="Z482" s="36"/>
      <c r="AA482" s="36"/>
      <c r="AB482" s="36"/>
      <c r="AC482" s="36"/>
    </row>
    <row r="483" ht="15.75" customHeight="1">
      <c r="A483" s="423">
        <v>43089.0</v>
      </c>
      <c r="B483" s="424">
        <v>13.7113</v>
      </c>
      <c r="C483" s="425">
        <v>15.8809</v>
      </c>
      <c r="D483" s="171"/>
      <c r="E483" s="425">
        <v>13.4071</v>
      </c>
      <c r="F483" s="425">
        <v>16.4332</v>
      </c>
      <c r="G483" s="425">
        <v>12.9736</v>
      </c>
      <c r="H483" s="171"/>
      <c r="I483" s="171"/>
      <c r="J483" s="425">
        <v>17.115</v>
      </c>
      <c r="K483" s="182">
        <v>10444.2</v>
      </c>
      <c r="L483" s="36"/>
      <c r="M483" s="36"/>
      <c r="N483" s="36"/>
      <c r="O483" s="36"/>
      <c r="P483" s="36"/>
      <c r="Q483" s="36"/>
      <c r="R483" s="36"/>
      <c r="S483" s="36"/>
      <c r="T483" s="36"/>
      <c r="U483" s="36"/>
      <c r="V483" s="36"/>
      <c r="W483" s="36"/>
      <c r="X483" s="36"/>
      <c r="Y483" s="36"/>
      <c r="Z483" s="36"/>
      <c r="AA483" s="36"/>
      <c r="AB483" s="36"/>
      <c r="AC483" s="36"/>
    </row>
    <row r="484" ht="15.75" customHeight="1">
      <c r="A484" s="423">
        <v>43089.0</v>
      </c>
      <c r="B484" s="424">
        <v>13.7113</v>
      </c>
      <c r="C484" s="425">
        <v>15.8809</v>
      </c>
      <c r="D484" s="171"/>
      <c r="E484" s="425">
        <v>13.4071</v>
      </c>
      <c r="F484" s="425">
        <v>16.4332</v>
      </c>
      <c r="G484" s="425">
        <v>12.9736</v>
      </c>
      <c r="H484" s="171"/>
      <c r="I484" s="171"/>
      <c r="J484" s="425">
        <v>17.115</v>
      </c>
      <c r="K484" s="182">
        <v>10444.2</v>
      </c>
      <c r="L484" s="36"/>
      <c r="M484" s="36"/>
      <c r="N484" s="36"/>
      <c r="O484" s="36"/>
      <c r="P484" s="36"/>
      <c r="Q484" s="36"/>
      <c r="R484" s="36"/>
      <c r="S484" s="36"/>
      <c r="T484" s="36"/>
      <c r="U484" s="36"/>
      <c r="V484" s="36"/>
      <c r="W484" s="36"/>
      <c r="X484" s="36"/>
      <c r="Y484" s="36"/>
      <c r="Z484" s="36"/>
      <c r="AA484" s="36"/>
      <c r="AB484" s="36"/>
      <c r="AC484" s="36"/>
    </row>
    <row r="485" ht="15.75" customHeight="1">
      <c r="A485" s="423">
        <v>43090.0</v>
      </c>
      <c r="B485" s="424">
        <v>13.7161</v>
      </c>
      <c r="C485" s="425">
        <v>15.9015</v>
      </c>
      <c r="D485" s="171"/>
      <c r="E485" s="425">
        <v>13.3899</v>
      </c>
      <c r="F485" s="425">
        <v>16.4311</v>
      </c>
      <c r="G485" s="425">
        <v>12.9801</v>
      </c>
      <c r="H485" s="171"/>
      <c r="I485" s="171"/>
      <c r="J485" s="425">
        <v>17.1875</v>
      </c>
      <c r="K485" s="182">
        <v>10440.3</v>
      </c>
      <c r="L485" s="36"/>
      <c r="M485" s="36"/>
      <c r="N485" s="36"/>
      <c r="O485" s="36"/>
      <c r="P485" s="36"/>
      <c r="Q485" s="36"/>
      <c r="R485" s="36"/>
      <c r="S485" s="36"/>
      <c r="T485" s="36"/>
      <c r="U485" s="36"/>
      <c r="V485" s="36"/>
      <c r="W485" s="36"/>
      <c r="X485" s="36"/>
      <c r="Y485" s="36"/>
      <c r="Z485" s="36"/>
      <c r="AA485" s="36"/>
      <c r="AB485" s="36"/>
      <c r="AC485" s="36"/>
    </row>
    <row r="486" ht="15.75" customHeight="1">
      <c r="A486" s="423">
        <v>43090.0</v>
      </c>
      <c r="B486" s="424">
        <v>13.7161</v>
      </c>
      <c r="C486" s="425">
        <v>15.9015</v>
      </c>
      <c r="D486" s="171"/>
      <c r="E486" s="425">
        <v>13.3899</v>
      </c>
      <c r="F486" s="425">
        <v>16.4311</v>
      </c>
      <c r="G486" s="425">
        <v>12.9801</v>
      </c>
      <c r="H486" s="171"/>
      <c r="I486" s="171"/>
      <c r="J486" s="425">
        <v>17.1875</v>
      </c>
      <c r="K486" s="182">
        <v>10440.3</v>
      </c>
      <c r="L486" s="36"/>
      <c r="M486" s="36"/>
      <c r="N486" s="36"/>
      <c r="O486" s="36"/>
      <c r="P486" s="36"/>
      <c r="Q486" s="36"/>
      <c r="R486" s="36"/>
      <c r="S486" s="36"/>
      <c r="T486" s="36"/>
      <c r="U486" s="36"/>
      <c r="V486" s="36"/>
      <c r="W486" s="36"/>
      <c r="X486" s="36"/>
      <c r="Y486" s="36"/>
      <c r="Z486" s="36"/>
      <c r="AA486" s="36"/>
      <c r="AB486" s="36"/>
      <c r="AC486" s="36"/>
    </row>
    <row r="487" ht="15.75" customHeight="1">
      <c r="A487" s="423">
        <v>43090.0</v>
      </c>
      <c r="B487" s="424">
        <v>13.7161</v>
      </c>
      <c r="C487" s="425">
        <v>15.9038</v>
      </c>
      <c r="D487" s="171"/>
      <c r="E487" s="425">
        <v>13.3899</v>
      </c>
      <c r="F487" s="425">
        <v>16.4311</v>
      </c>
      <c r="G487" s="425">
        <v>12.9801</v>
      </c>
      <c r="H487" s="171"/>
      <c r="I487" s="171"/>
      <c r="J487" s="425">
        <v>17.2128</v>
      </c>
      <c r="K487" s="182">
        <v>10440.3</v>
      </c>
      <c r="L487" s="36"/>
      <c r="M487" s="36"/>
      <c r="N487" s="36"/>
      <c r="O487" s="36"/>
      <c r="P487" s="36"/>
      <c r="Q487" s="36"/>
      <c r="R487" s="36"/>
      <c r="S487" s="36"/>
      <c r="T487" s="36"/>
      <c r="U487" s="36"/>
      <c r="V487" s="36"/>
      <c r="W487" s="36"/>
      <c r="X487" s="36"/>
      <c r="Y487" s="36"/>
      <c r="Z487" s="36"/>
      <c r="AA487" s="36"/>
      <c r="AB487" s="36"/>
      <c r="AC487" s="36"/>
    </row>
    <row r="488" ht="15.75" customHeight="1">
      <c r="A488" s="423">
        <v>43090.0</v>
      </c>
      <c r="B488" s="424">
        <v>13.7161</v>
      </c>
      <c r="C488" s="425">
        <v>15.9038</v>
      </c>
      <c r="D488" s="171"/>
      <c r="E488" s="425">
        <v>13.3899</v>
      </c>
      <c r="F488" s="425">
        <v>16.4311</v>
      </c>
      <c r="G488" s="425">
        <v>12.9801</v>
      </c>
      <c r="H488" s="171"/>
      <c r="I488" s="171"/>
      <c r="J488" s="425">
        <v>17.2128</v>
      </c>
      <c r="K488" s="182">
        <v>10440.3</v>
      </c>
      <c r="L488" s="36"/>
      <c r="M488" s="36"/>
      <c r="N488" s="36"/>
      <c r="O488" s="36"/>
      <c r="P488" s="36"/>
      <c r="Q488" s="36"/>
      <c r="R488" s="36"/>
      <c r="S488" s="36"/>
      <c r="T488" s="36"/>
      <c r="U488" s="36"/>
      <c r="V488" s="36"/>
      <c r="W488" s="36"/>
      <c r="X488" s="36"/>
      <c r="Y488" s="36"/>
      <c r="Z488" s="36"/>
      <c r="AA488" s="36"/>
      <c r="AB488" s="36"/>
      <c r="AC488" s="36"/>
    </row>
    <row r="489" ht="15.75" customHeight="1">
      <c r="A489" s="423">
        <v>43091.0</v>
      </c>
      <c r="B489" s="424">
        <v>13.77</v>
      </c>
      <c r="C489" s="425">
        <v>15.9033</v>
      </c>
      <c r="D489" s="171"/>
      <c r="E489" s="425">
        <v>13.3895</v>
      </c>
      <c r="F489" s="425">
        <v>16.4915</v>
      </c>
      <c r="G489" s="425">
        <v>12.973</v>
      </c>
      <c r="H489" s="171"/>
      <c r="I489" s="171"/>
      <c r="J489" s="425">
        <v>17.2762</v>
      </c>
      <c r="K489" s="182">
        <v>10493.0</v>
      </c>
      <c r="L489" s="36"/>
      <c r="M489" s="36"/>
      <c r="N489" s="36"/>
      <c r="O489" s="36"/>
      <c r="P489" s="36"/>
      <c r="Q489" s="36"/>
      <c r="R489" s="36"/>
      <c r="S489" s="36"/>
      <c r="T489" s="36"/>
      <c r="U489" s="36"/>
      <c r="V489" s="36"/>
      <c r="W489" s="36"/>
      <c r="X489" s="36"/>
      <c r="Y489" s="36"/>
      <c r="Z489" s="36"/>
      <c r="AA489" s="36"/>
      <c r="AB489" s="36"/>
      <c r="AC489" s="36"/>
    </row>
    <row r="490" ht="15.75" customHeight="1">
      <c r="A490" s="423">
        <v>43091.0</v>
      </c>
      <c r="B490" s="424">
        <v>13.77</v>
      </c>
      <c r="C490" s="425">
        <v>15.9033</v>
      </c>
      <c r="D490" s="171"/>
      <c r="E490" s="425">
        <v>13.3895</v>
      </c>
      <c r="F490" s="425">
        <v>16.4915</v>
      </c>
      <c r="G490" s="425">
        <v>12.973</v>
      </c>
      <c r="H490" s="171"/>
      <c r="I490" s="171"/>
      <c r="J490" s="425">
        <v>17.2762</v>
      </c>
      <c r="K490" s="182">
        <v>10493.0</v>
      </c>
      <c r="L490" s="36"/>
      <c r="M490" s="36"/>
      <c r="N490" s="36"/>
      <c r="O490" s="36"/>
      <c r="P490" s="36"/>
      <c r="Q490" s="36"/>
      <c r="R490" s="36"/>
      <c r="S490" s="36"/>
      <c r="T490" s="36"/>
      <c r="U490" s="36"/>
      <c r="V490" s="36"/>
      <c r="W490" s="36"/>
      <c r="X490" s="36"/>
      <c r="Y490" s="36"/>
      <c r="Z490" s="36"/>
      <c r="AA490" s="36"/>
      <c r="AB490" s="36"/>
      <c r="AC490" s="36"/>
    </row>
    <row r="491" ht="15.75" customHeight="1">
      <c r="A491" s="423">
        <v>43091.0</v>
      </c>
      <c r="B491" s="424">
        <v>13.77</v>
      </c>
      <c r="C491" s="425">
        <v>15.9008</v>
      </c>
      <c r="D491" s="171"/>
      <c r="E491" s="425">
        <v>13.3895</v>
      </c>
      <c r="F491" s="425">
        <v>16.4915</v>
      </c>
      <c r="G491" s="425">
        <v>12.973</v>
      </c>
      <c r="H491" s="171"/>
      <c r="I491" s="171"/>
      <c r="J491" s="425">
        <v>17.2412</v>
      </c>
      <c r="K491" s="182">
        <v>10493.0</v>
      </c>
      <c r="L491" s="36"/>
      <c r="M491" s="36"/>
      <c r="N491" s="36"/>
      <c r="O491" s="36"/>
      <c r="P491" s="36"/>
      <c r="Q491" s="36"/>
      <c r="R491" s="36"/>
      <c r="S491" s="36"/>
      <c r="T491" s="36"/>
      <c r="U491" s="36"/>
      <c r="V491" s="36"/>
      <c r="W491" s="36"/>
      <c r="X491" s="36"/>
      <c r="Y491" s="36"/>
      <c r="Z491" s="36"/>
      <c r="AA491" s="36"/>
      <c r="AB491" s="36"/>
      <c r="AC491" s="36"/>
    </row>
    <row r="492" ht="15.75" customHeight="1">
      <c r="A492" s="423">
        <v>43091.0</v>
      </c>
      <c r="B492" s="424">
        <v>13.77</v>
      </c>
      <c r="C492" s="425">
        <v>15.9008</v>
      </c>
      <c r="D492" s="171"/>
      <c r="E492" s="425">
        <v>13.3895</v>
      </c>
      <c r="F492" s="425">
        <v>16.4915</v>
      </c>
      <c r="G492" s="425">
        <v>12.973</v>
      </c>
      <c r="H492" s="171"/>
      <c r="I492" s="171"/>
      <c r="J492" s="425">
        <v>17.2412</v>
      </c>
      <c r="K492" s="182">
        <v>10493.0</v>
      </c>
      <c r="L492" s="36"/>
      <c r="M492" s="36"/>
      <c r="N492" s="36"/>
      <c r="O492" s="36"/>
      <c r="P492" s="36"/>
      <c r="Q492" s="36"/>
      <c r="R492" s="36"/>
      <c r="S492" s="36"/>
      <c r="T492" s="36"/>
      <c r="U492" s="36"/>
      <c r="V492" s="36"/>
      <c r="W492" s="36"/>
      <c r="X492" s="36"/>
      <c r="Y492" s="36"/>
      <c r="Z492" s="36"/>
      <c r="AA492" s="36"/>
      <c r="AB492" s="36"/>
      <c r="AC492" s="36"/>
    </row>
    <row r="493" ht="15.75" customHeight="1">
      <c r="A493" s="423">
        <v>43095.0</v>
      </c>
      <c r="B493" s="424">
        <v>13.8074</v>
      </c>
      <c r="C493" s="425">
        <v>15.9027</v>
      </c>
      <c r="D493" s="171"/>
      <c r="E493" s="425">
        <v>13.3903</v>
      </c>
      <c r="F493" s="425">
        <v>16.5319</v>
      </c>
      <c r="G493" s="425">
        <v>12.9719</v>
      </c>
      <c r="H493" s="171"/>
      <c r="I493" s="171"/>
      <c r="J493" s="425">
        <v>17.2735</v>
      </c>
      <c r="K493" s="182">
        <v>10531.5</v>
      </c>
      <c r="L493" s="36"/>
      <c r="M493" s="36"/>
      <c r="N493" s="36"/>
      <c r="O493" s="36"/>
      <c r="P493" s="36"/>
      <c r="Q493" s="36"/>
      <c r="R493" s="36"/>
      <c r="S493" s="36"/>
      <c r="T493" s="36"/>
      <c r="U493" s="36"/>
      <c r="V493" s="36"/>
      <c r="W493" s="36"/>
      <c r="X493" s="36"/>
      <c r="Y493" s="36"/>
      <c r="Z493" s="36"/>
      <c r="AA493" s="36"/>
      <c r="AB493" s="36"/>
      <c r="AC493" s="36"/>
    </row>
    <row r="494" ht="15.75" customHeight="1">
      <c r="A494" s="423">
        <v>43095.0</v>
      </c>
      <c r="B494" s="424">
        <v>13.8074</v>
      </c>
      <c r="C494" s="425">
        <v>15.9027</v>
      </c>
      <c r="D494" s="171"/>
      <c r="E494" s="425">
        <v>13.3903</v>
      </c>
      <c r="F494" s="425">
        <v>16.5319</v>
      </c>
      <c r="G494" s="425">
        <v>12.9719</v>
      </c>
      <c r="H494" s="171"/>
      <c r="I494" s="171"/>
      <c r="J494" s="425">
        <v>17.2735</v>
      </c>
      <c r="K494" s="182">
        <v>10531.5</v>
      </c>
      <c r="L494" s="36"/>
      <c r="M494" s="36"/>
      <c r="N494" s="36"/>
      <c r="O494" s="36"/>
      <c r="P494" s="36"/>
      <c r="Q494" s="36"/>
      <c r="R494" s="36"/>
      <c r="S494" s="36"/>
      <c r="T494" s="36"/>
      <c r="U494" s="36"/>
      <c r="V494" s="36"/>
      <c r="W494" s="36"/>
      <c r="X494" s="36"/>
      <c r="Y494" s="36"/>
      <c r="Z494" s="36"/>
      <c r="AA494" s="36"/>
      <c r="AB494" s="36"/>
      <c r="AC494" s="36"/>
    </row>
    <row r="495" ht="15.75" customHeight="1">
      <c r="A495" s="423">
        <v>43095.0</v>
      </c>
      <c r="B495" s="424">
        <v>13.8074</v>
      </c>
      <c r="C495" s="425">
        <v>15.9106</v>
      </c>
      <c r="D495" s="171"/>
      <c r="E495" s="425">
        <v>13.3903</v>
      </c>
      <c r="F495" s="425">
        <v>16.5319</v>
      </c>
      <c r="G495" s="425">
        <v>12.9719</v>
      </c>
      <c r="H495" s="171"/>
      <c r="I495" s="171"/>
      <c r="J495" s="425">
        <v>17.3031</v>
      </c>
      <c r="K495" s="182">
        <v>10531.5</v>
      </c>
      <c r="L495" s="36"/>
      <c r="M495" s="36"/>
      <c r="N495" s="36"/>
      <c r="O495" s="36"/>
      <c r="P495" s="36"/>
      <c r="Q495" s="36"/>
      <c r="R495" s="36"/>
      <c r="S495" s="36"/>
      <c r="T495" s="36"/>
      <c r="U495" s="36"/>
      <c r="V495" s="36"/>
      <c r="W495" s="36"/>
      <c r="X495" s="36"/>
      <c r="Y495" s="36"/>
      <c r="Z495" s="36"/>
      <c r="AA495" s="36"/>
      <c r="AB495" s="36"/>
      <c r="AC495" s="36"/>
    </row>
    <row r="496" ht="15.75" customHeight="1">
      <c r="A496" s="423">
        <v>43095.0</v>
      </c>
      <c r="B496" s="424">
        <v>13.8074</v>
      </c>
      <c r="C496" s="425">
        <v>15.9106</v>
      </c>
      <c r="D496" s="171"/>
      <c r="E496" s="425">
        <v>13.3903</v>
      </c>
      <c r="F496" s="425">
        <v>16.5319</v>
      </c>
      <c r="G496" s="425">
        <v>12.9719</v>
      </c>
      <c r="H496" s="171"/>
      <c r="I496" s="171"/>
      <c r="J496" s="425">
        <v>17.3031</v>
      </c>
      <c r="K496" s="182">
        <v>10531.5</v>
      </c>
      <c r="L496" s="36"/>
      <c r="M496" s="36"/>
      <c r="N496" s="36"/>
      <c r="O496" s="36"/>
      <c r="P496" s="36"/>
      <c r="Q496" s="36"/>
      <c r="R496" s="36"/>
      <c r="S496" s="36"/>
      <c r="T496" s="36"/>
      <c r="U496" s="36"/>
      <c r="V496" s="36"/>
      <c r="W496" s="36"/>
      <c r="X496" s="36"/>
      <c r="Y496" s="36"/>
      <c r="Z496" s="36"/>
      <c r="AA496" s="36"/>
      <c r="AB496" s="36"/>
      <c r="AC496" s="36"/>
    </row>
    <row r="497" ht="15.75" customHeight="1">
      <c r="A497" s="423">
        <v>43096.0</v>
      </c>
      <c r="B497" s="424">
        <v>13.7648</v>
      </c>
      <c r="C497" s="425">
        <v>15.9075</v>
      </c>
      <c r="D497" s="171"/>
      <c r="E497" s="425">
        <v>13.4014</v>
      </c>
      <c r="F497" s="425">
        <v>16.4978</v>
      </c>
      <c r="G497" s="425">
        <v>12.9844</v>
      </c>
      <c r="H497" s="171"/>
      <c r="I497" s="171"/>
      <c r="J497" s="425">
        <v>17.1282</v>
      </c>
      <c r="K497" s="182">
        <v>10490.75</v>
      </c>
      <c r="L497" s="36"/>
      <c r="M497" s="36"/>
      <c r="N497" s="36"/>
      <c r="O497" s="36"/>
      <c r="P497" s="36"/>
      <c r="Q497" s="36"/>
      <c r="R497" s="36"/>
      <c r="S497" s="36"/>
      <c r="T497" s="36"/>
      <c r="U497" s="36"/>
      <c r="V497" s="36"/>
      <c r="W497" s="36"/>
      <c r="X497" s="36"/>
      <c r="Y497" s="36"/>
      <c r="Z497" s="36"/>
      <c r="AA497" s="36"/>
      <c r="AB497" s="36"/>
      <c r="AC497" s="36"/>
    </row>
    <row r="498" ht="15.75" customHeight="1">
      <c r="A498" s="423">
        <v>43096.0</v>
      </c>
      <c r="B498" s="424">
        <v>13.7648</v>
      </c>
      <c r="C498" s="425">
        <v>15.9075</v>
      </c>
      <c r="D498" s="171"/>
      <c r="E498" s="425">
        <v>13.4014</v>
      </c>
      <c r="F498" s="425">
        <v>16.4978</v>
      </c>
      <c r="G498" s="425">
        <v>12.9844</v>
      </c>
      <c r="H498" s="171"/>
      <c r="I498" s="171"/>
      <c r="J498" s="425">
        <v>17.1282</v>
      </c>
      <c r="K498" s="182">
        <v>10490.75</v>
      </c>
      <c r="L498" s="36"/>
      <c r="M498" s="36"/>
      <c r="N498" s="36"/>
      <c r="O498" s="36"/>
      <c r="P498" s="36"/>
      <c r="Q498" s="36"/>
      <c r="R498" s="36"/>
      <c r="S498" s="36"/>
      <c r="T498" s="36"/>
      <c r="U498" s="36"/>
      <c r="V498" s="36"/>
      <c r="W498" s="36"/>
      <c r="X498" s="36"/>
      <c r="Y498" s="36"/>
      <c r="Z498" s="36"/>
      <c r="AA498" s="36"/>
      <c r="AB498" s="36"/>
      <c r="AC498" s="36"/>
    </row>
    <row r="499" ht="15.75" customHeight="1">
      <c r="A499" s="423">
        <v>43096.0</v>
      </c>
      <c r="B499" s="424">
        <v>13.7648</v>
      </c>
      <c r="C499" s="425">
        <v>15.9052</v>
      </c>
      <c r="D499" s="171"/>
      <c r="E499" s="425">
        <v>13.4014</v>
      </c>
      <c r="F499" s="425">
        <v>16.4978</v>
      </c>
      <c r="G499" s="425">
        <v>12.9844</v>
      </c>
      <c r="H499" s="171"/>
      <c r="I499" s="171"/>
      <c r="J499" s="425">
        <v>17.1626</v>
      </c>
      <c r="K499" s="182">
        <v>10490.75</v>
      </c>
      <c r="L499" s="36"/>
      <c r="M499" s="36"/>
      <c r="N499" s="36"/>
      <c r="O499" s="36"/>
      <c r="P499" s="36"/>
      <c r="Q499" s="36"/>
      <c r="R499" s="36"/>
      <c r="S499" s="36"/>
      <c r="T499" s="36"/>
      <c r="U499" s="36"/>
      <c r="V499" s="36"/>
      <c r="W499" s="36"/>
      <c r="X499" s="36"/>
      <c r="Y499" s="36"/>
      <c r="Z499" s="36"/>
      <c r="AA499" s="36"/>
      <c r="AB499" s="36"/>
      <c r="AC499" s="36"/>
    </row>
    <row r="500" ht="15.75" customHeight="1">
      <c r="A500" s="423">
        <v>43096.0</v>
      </c>
      <c r="B500" s="424">
        <v>13.7648</v>
      </c>
      <c r="C500" s="425">
        <v>15.9052</v>
      </c>
      <c r="D500" s="171"/>
      <c r="E500" s="425">
        <v>13.4014</v>
      </c>
      <c r="F500" s="425">
        <v>16.4978</v>
      </c>
      <c r="G500" s="425">
        <v>12.9844</v>
      </c>
      <c r="H500" s="171"/>
      <c r="I500" s="171"/>
      <c r="J500" s="425">
        <v>17.1626</v>
      </c>
      <c r="K500" s="182">
        <v>10490.75</v>
      </c>
      <c r="L500" s="36"/>
      <c r="M500" s="36"/>
      <c r="N500" s="36"/>
      <c r="O500" s="36"/>
      <c r="P500" s="36"/>
      <c r="Q500" s="36"/>
      <c r="R500" s="36"/>
      <c r="S500" s="36"/>
      <c r="T500" s="36"/>
      <c r="U500" s="36"/>
      <c r="V500" s="36"/>
      <c r="W500" s="36"/>
      <c r="X500" s="36"/>
      <c r="Y500" s="36"/>
      <c r="Z500" s="36"/>
      <c r="AA500" s="36"/>
      <c r="AB500" s="36"/>
      <c r="AC500" s="36"/>
    </row>
    <row r="501" ht="15.75" customHeight="1">
      <c r="A501" s="423">
        <v>43097.0</v>
      </c>
      <c r="B501" s="424">
        <v>13.7601</v>
      </c>
      <c r="C501" s="425">
        <v>15.9149</v>
      </c>
      <c r="D501" s="171"/>
      <c r="E501" s="425">
        <v>13.3191</v>
      </c>
      <c r="F501" s="425">
        <v>16.487</v>
      </c>
      <c r="G501" s="425">
        <v>12.9254</v>
      </c>
      <c r="H501" s="171"/>
      <c r="I501" s="171"/>
      <c r="J501" s="425">
        <v>17.1981</v>
      </c>
      <c r="K501" s="182">
        <v>10477.9</v>
      </c>
      <c r="L501" s="36"/>
      <c r="M501" s="36"/>
      <c r="N501" s="36"/>
      <c r="O501" s="36"/>
      <c r="P501" s="36"/>
      <c r="Q501" s="36"/>
      <c r="R501" s="36"/>
      <c r="S501" s="36"/>
      <c r="T501" s="36"/>
      <c r="U501" s="36"/>
      <c r="V501" s="36"/>
      <c r="W501" s="36"/>
      <c r="X501" s="36"/>
      <c r="Y501" s="36"/>
      <c r="Z501" s="36"/>
      <c r="AA501" s="36"/>
      <c r="AB501" s="36"/>
      <c r="AC501" s="36"/>
    </row>
    <row r="502" ht="15.75" customHeight="1">
      <c r="A502" s="423">
        <v>43097.0</v>
      </c>
      <c r="B502" s="424">
        <v>13.7601</v>
      </c>
      <c r="C502" s="425">
        <v>15.9149</v>
      </c>
      <c r="D502" s="171"/>
      <c r="E502" s="425">
        <v>13.3191</v>
      </c>
      <c r="F502" s="425">
        <v>16.487</v>
      </c>
      <c r="G502" s="425">
        <v>12.9254</v>
      </c>
      <c r="H502" s="171"/>
      <c r="I502" s="171"/>
      <c r="J502" s="425">
        <v>17.1981</v>
      </c>
      <c r="K502" s="182">
        <v>10477.9</v>
      </c>
      <c r="L502" s="36"/>
      <c r="M502" s="36"/>
      <c r="N502" s="36"/>
      <c r="O502" s="36"/>
      <c r="P502" s="36"/>
      <c r="Q502" s="36"/>
      <c r="R502" s="36"/>
      <c r="S502" s="36"/>
      <c r="T502" s="36"/>
      <c r="U502" s="36"/>
      <c r="V502" s="36"/>
      <c r="W502" s="36"/>
      <c r="X502" s="36"/>
      <c r="Y502" s="36"/>
      <c r="Z502" s="36"/>
      <c r="AA502" s="36"/>
      <c r="AB502" s="36"/>
      <c r="AC502" s="36"/>
    </row>
    <row r="503" ht="15.75" customHeight="1">
      <c r="A503" s="423">
        <v>43097.0</v>
      </c>
      <c r="B503" s="424">
        <v>13.7601</v>
      </c>
      <c r="C503" s="425">
        <v>15.9092</v>
      </c>
      <c r="D503" s="171"/>
      <c r="E503" s="425">
        <v>13.3191</v>
      </c>
      <c r="F503" s="425">
        <v>16.487</v>
      </c>
      <c r="G503" s="425">
        <v>12.9254</v>
      </c>
      <c r="H503" s="171"/>
      <c r="I503" s="171"/>
      <c r="J503" s="425">
        <v>17.1913</v>
      </c>
      <c r="K503" s="182">
        <v>10477.9</v>
      </c>
      <c r="L503" s="36"/>
      <c r="M503" s="36"/>
      <c r="N503" s="36"/>
      <c r="O503" s="36"/>
      <c r="P503" s="36"/>
      <c r="Q503" s="36"/>
      <c r="R503" s="36"/>
      <c r="S503" s="36"/>
      <c r="T503" s="36"/>
      <c r="U503" s="36"/>
      <c r="V503" s="36"/>
      <c r="W503" s="36"/>
      <c r="X503" s="36"/>
      <c r="Y503" s="36"/>
      <c r="Z503" s="36"/>
      <c r="AA503" s="36"/>
      <c r="AB503" s="36"/>
      <c r="AC503" s="36"/>
    </row>
    <row r="504" ht="15.75" customHeight="1">
      <c r="A504" s="423">
        <v>43097.0</v>
      </c>
      <c r="B504" s="424">
        <v>13.7601</v>
      </c>
      <c r="C504" s="425">
        <v>15.9092</v>
      </c>
      <c r="D504" s="171"/>
      <c r="E504" s="425">
        <v>13.3191</v>
      </c>
      <c r="F504" s="425">
        <v>16.487</v>
      </c>
      <c r="G504" s="425">
        <v>12.9254</v>
      </c>
      <c r="H504" s="171"/>
      <c r="I504" s="171"/>
      <c r="J504" s="425">
        <v>17.1913</v>
      </c>
      <c r="K504" s="182">
        <v>10477.9</v>
      </c>
      <c r="L504" s="36"/>
      <c r="M504" s="36"/>
      <c r="N504" s="36"/>
      <c r="O504" s="36"/>
      <c r="P504" s="36"/>
      <c r="Q504" s="36"/>
      <c r="R504" s="36"/>
      <c r="S504" s="36"/>
      <c r="T504" s="36"/>
      <c r="U504" s="36"/>
      <c r="V504" s="36"/>
      <c r="W504" s="36"/>
      <c r="X504" s="36"/>
      <c r="Y504" s="36"/>
      <c r="Z504" s="36"/>
      <c r="AA504" s="36"/>
      <c r="AB504" s="36"/>
      <c r="AC504" s="36"/>
    </row>
    <row r="505" ht="15.75" customHeight="1">
      <c r="A505" s="423">
        <v>43098.0</v>
      </c>
      <c r="B505" s="424">
        <v>13.819</v>
      </c>
      <c r="C505" s="425">
        <v>15.9197</v>
      </c>
      <c r="D505" s="171"/>
      <c r="E505" s="425">
        <v>13.3613</v>
      </c>
      <c r="F505" s="425">
        <v>16.5427</v>
      </c>
      <c r="G505" s="425">
        <v>12.959</v>
      </c>
      <c r="H505" s="171"/>
      <c r="I505" s="171"/>
      <c r="J505" s="425">
        <v>16.9558</v>
      </c>
      <c r="K505" s="182">
        <v>10530.7</v>
      </c>
      <c r="L505" s="36"/>
      <c r="M505" s="36"/>
      <c r="N505" s="36"/>
      <c r="O505" s="36"/>
      <c r="P505" s="36"/>
      <c r="Q505" s="36"/>
      <c r="R505" s="36"/>
      <c r="S505" s="36"/>
      <c r="T505" s="36"/>
      <c r="U505" s="36"/>
      <c r="V505" s="36"/>
      <c r="W505" s="36"/>
      <c r="X505" s="36"/>
      <c r="Y505" s="36"/>
      <c r="Z505" s="36"/>
      <c r="AA505" s="36"/>
      <c r="AB505" s="36"/>
      <c r="AC505" s="36"/>
    </row>
    <row r="506" ht="15.75" customHeight="1">
      <c r="A506" s="423">
        <v>43098.0</v>
      </c>
      <c r="B506" s="424">
        <v>13.819</v>
      </c>
      <c r="C506" s="425">
        <v>15.9197</v>
      </c>
      <c r="D506" s="171"/>
      <c r="E506" s="425">
        <v>13.3613</v>
      </c>
      <c r="F506" s="425">
        <v>16.5427</v>
      </c>
      <c r="G506" s="425">
        <v>12.959</v>
      </c>
      <c r="H506" s="171"/>
      <c r="I506" s="171"/>
      <c r="J506" s="425">
        <v>16.9558</v>
      </c>
      <c r="K506" s="182">
        <v>10530.7</v>
      </c>
      <c r="L506" s="36"/>
      <c r="M506" s="36"/>
      <c r="N506" s="36"/>
      <c r="O506" s="36"/>
      <c r="P506" s="36"/>
      <c r="Q506" s="36"/>
      <c r="R506" s="36"/>
      <c r="S506" s="36"/>
      <c r="T506" s="36"/>
      <c r="U506" s="36"/>
      <c r="V506" s="36"/>
      <c r="W506" s="36"/>
      <c r="X506" s="36"/>
      <c r="Y506" s="36"/>
      <c r="Z506" s="36"/>
      <c r="AA506" s="36"/>
      <c r="AB506" s="36"/>
      <c r="AC506" s="36"/>
    </row>
    <row r="507" ht="15.75" customHeight="1">
      <c r="A507" s="423">
        <v>43098.0</v>
      </c>
      <c r="B507" s="424">
        <v>13.819</v>
      </c>
      <c r="C507" s="425">
        <v>15.9172</v>
      </c>
      <c r="D507" s="171"/>
      <c r="E507" s="425">
        <v>13.3613</v>
      </c>
      <c r="F507" s="425">
        <v>16.5427</v>
      </c>
      <c r="G507" s="425">
        <v>12.959</v>
      </c>
      <c r="H507" s="171"/>
      <c r="I507" s="171"/>
      <c r="J507" s="425">
        <v>17.0241</v>
      </c>
      <c r="K507" s="182">
        <v>10530.7</v>
      </c>
      <c r="L507" s="36"/>
      <c r="M507" s="36"/>
      <c r="N507" s="36"/>
      <c r="O507" s="36"/>
      <c r="P507" s="36"/>
      <c r="Q507" s="36"/>
      <c r="R507" s="36"/>
      <c r="S507" s="36"/>
      <c r="T507" s="36"/>
      <c r="U507" s="36"/>
      <c r="V507" s="36"/>
      <c r="W507" s="36"/>
      <c r="X507" s="36"/>
      <c r="Y507" s="36"/>
      <c r="Z507" s="36"/>
      <c r="AA507" s="36"/>
      <c r="AB507" s="36"/>
      <c r="AC507" s="36"/>
    </row>
    <row r="508" ht="15.75" customHeight="1">
      <c r="A508" s="423">
        <v>43098.0</v>
      </c>
      <c r="B508" s="424">
        <v>13.819</v>
      </c>
      <c r="C508" s="425">
        <v>15.9172</v>
      </c>
      <c r="D508" s="171"/>
      <c r="E508" s="425">
        <v>13.3613</v>
      </c>
      <c r="F508" s="425">
        <v>16.5427</v>
      </c>
      <c r="G508" s="425">
        <v>12.959</v>
      </c>
      <c r="H508" s="171"/>
      <c r="I508" s="171"/>
      <c r="J508" s="425">
        <v>17.0241</v>
      </c>
      <c r="K508" s="182">
        <v>10530.7</v>
      </c>
      <c r="L508" s="36"/>
      <c r="M508" s="36"/>
      <c r="N508" s="36"/>
      <c r="O508" s="36"/>
      <c r="P508" s="36"/>
      <c r="Q508" s="36"/>
      <c r="R508" s="36"/>
      <c r="S508" s="36"/>
      <c r="T508" s="36"/>
      <c r="U508" s="36"/>
      <c r="V508" s="36"/>
      <c r="W508" s="36"/>
      <c r="X508" s="36"/>
      <c r="Y508" s="36"/>
      <c r="Z508" s="36"/>
      <c r="AA508" s="36"/>
      <c r="AB508" s="36"/>
      <c r="AC508" s="36"/>
    </row>
    <row r="509" ht="15.75" customHeight="1">
      <c r="A509" s="423">
        <v>43100.0</v>
      </c>
      <c r="B509" s="424">
        <v>13.8182</v>
      </c>
      <c r="C509" s="425">
        <v>15.9295</v>
      </c>
      <c r="D509" s="171"/>
      <c r="E509" s="425">
        <v>13.3639</v>
      </c>
      <c r="F509" s="425">
        <v>16.542</v>
      </c>
      <c r="G509" s="425">
        <v>12.9613</v>
      </c>
      <c r="H509" s="171"/>
      <c r="I509" s="171"/>
      <c r="J509" s="425">
        <v>16.9491</v>
      </c>
      <c r="K509" s="182">
        <v>10530.7</v>
      </c>
      <c r="L509" s="36"/>
      <c r="M509" s="36"/>
      <c r="N509" s="36"/>
      <c r="O509" s="36"/>
      <c r="P509" s="36"/>
      <c r="Q509" s="36"/>
      <c r="R509" s="36"/>
      <c r="S509" s="36"/>
      <c r="T509" s="36"/>
      <c r="U509" s="36"/>
      <c r="V509" s="36"/>
      <c r="W509" s="36"/>
      <c r="X509" s="36"/>
      <c r="Y509" s="36"/>
      <c r="Z509" s="36"/>
      <c r="AA509" s="36"/>
      <c r="AB509" s="36"/>
      <c r="AC509" s="36"/>
    </row>
    <row r="510" ht="15.75" customHeight="1">
      <c r="A510" s="423">
        <v>43100.0</v>
      </c>
      <c r="B510" s="424">
        <v>13.8182</v>
      </c>
      <c r="C510" s="425">
        <v>15.9295</v>
      </c>
      <c r="D510" s="171"/>
      <c r="E510" s="425">
        <v>13.3639</v>
      </c>
      <c r="F510" s="425">
        <v>16.542</v>
      </c>
      <c r="G510" s="425">
        <v>12.9613</v>
      </c>
      <c r="H510" s="171"/>
      <c r="I510" s="171"/>
      <c r="J510" s="425">
        <v>16.9491</v>
      </c>
      <c r="K510" s="182">
        <v>10530.7</v>
      </c>
      <c r="L510" s="36"/>
      <c r="M510" s="36"/>
      <c r="N510" s="36"/>
      <c r="O510" s="36"/>
      <c r="P510" s="36"/>
      <c r="Q510" s="36"/>
      <c r="R510" s="36"/>
      <c r="S510" s="36"/>
      <c r="T510" s="36"/>
      <c r="U510" s="36"/>
      <c r="V510" s="36"/>
      <c r="W510" s="36"/>
      <c r="X510" s="36"/>
      <c r="Y510" s="36"/>
      <c r="Z510" s="36"/>
      <c r="AA510" s="36"/>
      <c r="AB510" s="36"/>
      <c r="AC510" s="36"/>
    </row>
    <row r="511" ht="15.75" customHeight="1">
      <c r="A511" s="423">
        <v>43100.0</v>
      </c>
      <c r="B511" s="424">
        <v>13.8182</v>
      </c>
      <c r="C511" s="425">
        <v>15.9222</v>
      </c>
      <c r="D511" s="171"/>
      <c r="E511" s="425">
        <v>13.3639</v>
      </c>
      <c r="F511" s="425">
        <v>16.542</v>
      </c>
      <c r="G511" s="425">
        <v>12.9613</v>
      </c>
      <c r="H511" s="171"/>
      <c r="I511" s="171"/>
      <c r="J511" s="425">
        <v>16.8776</v>
      </c>
      <c r="K511" s="182">
        <v>10530.7</v>
      </c>
      <c r="L511" s="36"/>
      <c r="M511" s="36"/>
      <c r="N511" s="36"/>
      <c r="O511" s="36"/>
      <c r="P511" s="36"/>
      <c r="Q511" s="36"/>
      <c r="R511" s="36"/>
      <c r="S511" s="36"/>
      <c r="T511" s="36"/>
      <c r="U511" s="36"/>
      <c r="V511" s="36"/>
      <c r="W511" s="36"/>
      <c r="X511" s="36"/>
      <c r="Y511" s="36"/>
      <c r="Z511" s="36"/>
      <c r="AA511" s="36"/>
      <c r="AB511" s="36"/>
      <c r="AC511" s="36"/>
    </row>
    <row r="512" ht="15.75" customHeight="1">
      <c r="A512" s="423">
        <v>43100.0</v>
      </c>
      <c r="B512" s="424">
        <v>13.8182</v>
      </c>
      <c r="C512" s="425">
        <v>15.9222</v>
      </c>
      <c r="D512" s="171"/>
      <c r="E512" s="425">
        <v>13.3639</v>
      </c>
      <c r="F512" s="425">
        <v>16.542</v>
      </c>
      <c r="G512" s="425">
        <v>12.9613</v>
      </c>
      <c r="H512" s="171"/>
      <c r="I512" s="171"/>
      <c r="J512" s="425">
        <v>16.8776</v>
      </c>
      <c r="K512" s="182">
        <v>10530.7</v>
      </c>
      <c r="L512" s="36"/>
      <c r="M512" s="36"/>
      <c r="N512" s="36"/>
      <c r="O512" s="36"/>
      <c r="P512" s="36"/>
      <c r="Q512" s="36"/>
      <c r="R512" s="36"/>
      <c r="S512" s="36"/>
      <c r="T512" s="36"/>
      <c r="U512" s="36"/>
      <c r="V512" s="36"/>
      <c r="W512" s="36"/>
      <c r="X512" s="36"/>
      <c r="Y512" s="36"/>
      <c r="Z512" s="36"/>
      <c r="AA512" s="36"/>
      <c r="AB512" s="36"/>
      <c r="AC512" s="36"/>
    </row>
    <row r="513" ht="15.75" customHeight="1">
      <c r="A513" s="423">
        <v>43101.0</v>
      </c>
      <c r="B513" s="424">
        <v>13.7148</v>
      </c>
      <c r="C513" s="425">
        <v>15.9534</v>
      </c>
      <c r="D513" s="171"/>
      <c r="E513" s="425">
        <v>13.3635</v>
      </c>
      <c r="F513" s="425">
        <v>16.4466</v>
      </c>
      <c r="G513" s="425">
        <v>12.9671</v>
      </c>
      <c r="H513" s="171"/>
      <c r="I513" s="171"/>
      <c r="J513" s="425">
        <v>16.8919</v>
      </c>
      <c r="K513" s="182">
        <v>10435.55</v>
      </c>
      <c r="L513" s="36"/>
      <c r="M513" s="36"/>
      <c r="N513" s="36"/>
      <c r="O513" s="36"/>
      <c r="P513" s="36"/>
      <c r="Q513" s="36"/>
      <c r="R513" s="36"/>
      <c r="S513" s="36"/>
      <c r="T513" s="36"/>
      <c r="U513" s="36"/>
      <c r="V513" s="36"/>
      <c r="W513" s="36"/>
      <c r="X513" s="36"/>
      <c r="Y513" s="36"/>
      <c r="Z513" s="36"/>
      <c r="AA513" s="36"/>
      <c r="AB513" s="36"/>
      <c r="AC513" s="36"/>
    </row>
    <row r="514" ht="15.75" customHeight="1">
      <c r="A514" s="423">
        <v>43101.0</v>
      </c>
      <c r="B514" s="424">
        <v>13.7148</v>
      </c>
      <c r="C514" s="425">
        <v>15.9534</v>
      </c>
      <c r="D514" s="171"/>
      <c r="E514" s="425">
        <v>13.3635</v>
      </c>
      <c r="F514" s="425">
        <v>16.4466</v>
      </c>
      <c r="G514" s="425">
        <v>12.9671</v>
      </c>
      <c r="H514" s="171"/>
      <c r="I514" s="171"/>
      <c r="J514" s="425">
        <v>16.8919</v>
      </c>
      <c r="K514" s="182">
        <v>10435.55</v>
      </c>
      <c r="L514" s="36"/>
      <c r="M514" s="36"/>
      <c r="N514" s="36"/>
      <c r="O514" s="36"/>
      <c r="P514" s="36"/>
      <c r="Q514" s="36"/>
      <c r="R514" s="36"/>
      <c r="S514" s="36"/>
      <c r="T514" s="36"/>
      <c r="U514" s="36"/>
      <c r="V514" s="36"/>
      <c r="W514" s="36"/>
      <c r="X514" s="36"/>
      <c r="Y514" s="36"/>
      <c r="Z514" s="36"/>
      <c r="AA514" s="36"/>
      <c r="AB514" s="36"/>
      <c r="AC514" s="36"/>
    </row>
    <row r="515" ht="15.75" customHeight="1">
      <c r="A515" s="423">
        <v>43101.0</v>
      </c>
      <c r="B515" s="424">
        <v>13.7148</v>
      </c>
      <c r="C515" s="425">
        <v>15.9319</v>
      </c>
      <c r="D515" s="171"/>
      <c r="E515" s="425">
        <v>13.3635</v>
      </c>
      <c r="F515" s="425">
        <v>16.4466</v>
      </c>
      <c r="G515" s="425">
        <v>12.9671</v>
      </c>
      <c r="H515" s="171"/>
      <c r="I515" s="171"/>
      <c r="J515" s="425">
        <v>17.0171</v>
      </c>
      <c r="K515" s="182">
        <v>10435.55</v>
      </c>
      <c r="L515" s="36"/>
      <c r="M515" s="36"/>
      <c r="N515" s="36"/>
      <c r="O515" s="36"/>
      <c r="P515" s="36"/>
      <c r="Q515" s="36"/>
      <c r="R515" s="36"/>
      <c r="S515" s="36"/>
      <c r="T515" s="36"/>
      <c r="U515" s="36"/>
      <c r="V515" s="36"/>
      <c r="W515" s="36"/>
      <c r="X515" s="36"/>
      <c r="Y515" s="36"/>
      <c r="Z515" s="36"/>
      <c r="AA515" s="36"/>
      <c r="AB515" s="36"/>
      <c r="AC515" s="36"/>
    </row>
    <row r="516" ht="15.75" customHeight="1">
      <c r="A516" s="423">
        <v>43101.0</v>
      </c>
      <c r="B516" s="424">
        <v>13.7148</v>
      </c>
      <c r="C516" s="425">
        <v>15.9319</v>
      </c>
      <c r="D516" s="171"/>
      <c r="E516" s="425">
        <v>13.3635</v>
      </c>
      <c r="F516" s="425">
        <v>16.4466</v>
      </c>
      <c r="G516" s="425">
        <v>12.9671</v>
      </c>
      <c r="H516" s="171"/>
      <c r="I516" s="171"/>
      <c r="J516" s="425">
        <v>17.0171</v>
      </c>
      <c r="K516" s="182">
        <v>10435.55</v>
      </c>
      <c r="L516" s="36"/>
      <c r="M516" s="36"/>
      <c r="N516" s="36"/>
      <c r="O516" s="36"/>
      <c r="P516" s="36"/>
      <c r="Q516" s="36"/>
      <c r="R516" s="36"/>
      <c r="S516" s="36"/>
      <c r="T516" s="36"/>
      <c r="U516" s="36"/>
      <c r="V516" s="36"/>
      <c r="W516" s="36"/>
      <c r="X516" s="36"/>
      <c r="Y516" s="36"/>
      <c r="Z516" s="36"/>
      <c r="AA516" s="36"/>
      <c r="AB516" s="36"/>
      <c r="AC516" s="36"/>
    </row>
    <row r="517" ht="15.75" customHeight="1">
      <c r="A517" s="423">
        <v>43102.0</v>
      </c>
      <c r="B517" s="424">
        <v>13.7136</v>
      </c>
      <c r="C517" s="425">
        <v>15.9716</v>
      </c>
      <c r="D517" s="171"/>
      <c r="E517" s="425">
        <v>13.3458</v>
      </c>
      <c r="F517" s="425">
        <v>16.4475</v>
      </c>
      <c r="G517" s="425">
        <v>12.9582</v>
      </c>
      <c r="H517" s="171"/>
      <c r="I517" s="171"/>
      <c r="J517" s="425">
        <v>16.7215</v>
      </c>
      <c r="K517" s="182">
        <v>10442.2</v>
      </c>
      <c r="L517" s="36"/>
      <c r="M517" s="36"/>
      <c r="N517" s="36"/>
      <c r="O517" s="36"/>
      <c r="P517" s="36"/>
      <c r="Q517" s="36"/>
      <c r="R517" s="36"/>
      <c r="S517" s="36"/>
      <c r="T517" s="36"/>
      <c r="U517" s="36"/>
      <c r="V517" s="36"/>
      <c r="W517" s="36"/>
      <c r="X517" s="36"/>
      <c r="Y517" s="36"/>
      <c r="Z517" s="36"/>
      <c r="AA517" s="36"/>
      <c r="AB517" s="36"/>
      <c r="AC517" s="36"/>
    </row>
    <row r="518" ht="15.75" customHeight="1">
      <c r="A518" s="423">
        <v>43102.0</v>
      </c>
      <c r="B518" s="424">
        <v>13.7136</v>
      </c>
      <c r="C518" s="425">
        <v>15.9716</v>
      </c>
      <c r="D518" s="171"/>
      <c r="E518" s="425">
        <v>13.3458</v>
      </c>
      <c r="F518" s="425">
        <v>16.4475</v>
      </c>
      <c r="G518" s="425">
        <v>12.9582</v>
      </c>
      <c r="H518" s="171"/>
      <c r="I518" s="171"/>
      <c r="J518" s="425">
        <v>16.7215</v>
      </c>
      <c r="K518" s="182">
        <v>10442.2</v>
      </c>
      <c r="L518" s="36"/>
      <c r="M518" s="36"/>
      <c r="N518" s="36"/>
      <c r="O518" s="36"/>
      <c r="P518" s="36"/>
      <c r="Q518" s="36"/>
      <c r="R518" s="36"/>
      <c r="S518" s="36"/>
      <c r="T518" s="36"/>
      <c r="U518" s="36"/>
      <c r="V518" s="36"/>
      <c r="W518" s="36"/>
      <c r="X518" s="36"/>
      <c r="Y518" s="36"/>
      <c r="Z518" s="36"/>
      <c r="AA518" s="36"/>
      <c r="AB518" s="36"/>
      <c r="AC518" s="36"/>
    </row>
    <row r="519" ht="15.75" customHeight="1">
      <c r="A519" s="423">
        <v>43102.0</v>
      </c>
      <c r="B519" s="424">
        <v>13.7136</v>
      </c>
      <c r="C519" s="425">
        <v>15.9691</v>
      </c>
      <c r="D519" s="171"/>
      <c r="E519" s="425">
        <v>13.3458</v>
      </c>
      <c r="F519" s="425">
        <v>16.4475</v>
      </c>
      <c r="G519" s="425">
        <v>12.9582</v>
      </c>
      <c r="H519" s="171"/>
      <c r="I519" s="171"/>
      <c r="J519" s="425">
        <v>17.0516</v>
      </c>
      <c r="K519" s="182">
        <v>10442.2</v>
      </c>
      <c r="L519" s="36"/>
      <c r="M519" s="36"/>
      <c r="N519" s="36"/>
      <c r="O519" s="36"/>
      <c r="P519" s="36"/>
      <c r="Q519" s="36"/>
      <c r="R519" s="36"/>
      <c r="S519" s="36"/>
      <c r="T519" s="36"/>
      <c r="U519" s="36"/>
      <c r="V519" s="36"/>
      <c r="W519" s="36"/>
      <c r="X519" s="36"/>
      <c r="Y519" s="36"/>
      <c r="Z519" s="36"/>
      <c r="AA519" s="36"/>
      <c r="AB519" s="36"/>
      <c r="AC519" s="36"/>
    </row>
    <row r="520" ht="15.75" customHeight="1">
      <c r="A520" s="423">
        <v>43102.0</v>
      </c>
      <c r="B520" s="424">
        <v>13.7136</v>
      </c>
      <c r="C520" s="425">
        <v>15.9691</v>
      </c>
      <c r="D520" s="171"/>
      <c r="E520" s="425">
        <v>13.3458</v>
      </c>
      <c r="F520" s="425">
        <v>16.4475</v>
      </c>
      <c r="G520" s="425">
        <v>12.9582</v>
      </c>
      <c r="H520" s="171"/>
      <c r="I520" s="171"/>
      <c r="J520" s="425">
        <v>17.0516</v>
      </c>
      <c r="K520" s="182">
        <v>10442.2</v>
      </c>
      <c r="L520" s="36"/>
      <c r="M520" s="36"/>
      <c r="N520" s="36"/>
      <c r="O520" s="36"/>
      <c r="P520" s="36"/>
      <c r="Q520" s="36"/>
      <c r="R520" s="36"/>
      <c r="S520" s="36"/>
      <c r="T520" s="36"/>
      <c r="U520" s="36"/>
      <c r="V520" s="36"/>
      <c r="W520" s="36"/>
      <c r="X520" s="36"/>
      <c r="Y520" s="36"/>
      <c r="Z520" s="36"/>
      <c r="AA520" s="36"/>
      <c r="AB520" s="36"/>
      <c r="AC520" s="36"/>
    </row>
    <row r="521" ht="15.75" customHeight="1">
      <c r="A521" s="423">
        <v>43103.0</v>
      </c>
      <c r="B521" s="424">
        <v>13.7216</v>
      </c>
      <c r="C521" s="425">
        <v>16.0675</v>
      </c>
      <c r="D521" s="171"/>
      <c r="E521" s="425">
        <v>13.3591</v>
      </c>
      <c r="F521" s="425">
        <v>16.469</v>
      </c>
      <c r="G521" s="425">
        <v>12.966</v>
      </c>
      <c r="H521" s="171"/>
      <c r="I521" s="171"/>
      <c r="J521" s="425">
        <v>16.4884</v>
      </c>
      <c r="K521" s="182">
        <v>10443.2</v>
      </c>
      <c r="L521" s="36"/>
      <c r="M521" s="36"/>
      <c r="N521" s="36"/>
      <c r="O521" s="36"/>
      <c r="P521" s="36"/>
      <c r="Q521" s="36"/>
      <c r="R521" s="36"/>
      <c r="S521" s="36"/>
      <c r="T521" s="36"/>
      <c r="U521" s="36"/>
      <c r="V521" s="36"/>
      <c r="W521" s="36"/>
      <c r="X521" s="36"/>
      <c r="Y521" s="36"/>
      <c r="Z521" s="36"/>
      <c r="AA521" s="36"/>
      <c r="AB521" s="36"/>
      <c r="AC521" s="36"/>
    </row>
    <row r="522" ht="15.75" customHeight="1">
      <c r="A522" s="423">
        <v>43103.0</v>
      </c>
      <c r="B522" s="424">
        <v>13.7216</v>
      </c>
      <c r="C522" s="425">
        <v>16.0675</v>
      </c>
      <c r="D522" s="171"/>
      <c r="E522" s="425">
        <v>13.3591</v>
      </c>
      <c r="F522" s="425">
        <v>16.469</v>
      </c>
      <c r="G522" s="425">
        <v>12.966</v>
      </c>
      <c r="H522" s="171"/>
      <c r="I522" s="171"/>
      <c r="J522" s="425">
        <v>16.4884</v>
      </c>
      <c r="K522" s="182">
        <v>10443.2</v>
      </c>
      <c r="L522" s="36"/>
      <c r="M522" s="36"/>
      <c r="N522" s="36"/>
      <c r="O522" s="36"/>
      <c r="P522" s="36"/>
      <c r="Q522" s="36"/>
      <c r="R522" s="36"/>
      <c r="S522" s="36"/>
      <c r="T522" s="36"/>
      <c r="U522" s="36"/>
      <c r="V522" s="36"/>
      <c r="W522" s="36"/>
      <c r="X522" s="36"/>
      <c r="Y522" s="36"/>
      <c r="Z522" s="36"/>
      <c r="AA522" s="36"/>
      <c r="AB522" s="36"/>
      <c r="AC522" s="36"/>
    </row>
    <row r="523" ht="15.75" customHeight="1">
      <c r="A523" s="423">
        <v>43103.0</v>
      </c>
      <c r="B523" s="424">
        <v>13.7216</v>
      </c>
      <c r="C523" s="425">
        <v>16.0053</v>
      </c>
      <c r="D523" s="171"/>
      <c r="E523" s="425">
        <v>13.3591</v>
      </c>
      <c r="F523" s="425">
        <v>16.469</v>
      </c>
      <c r="G523" s="425">
        <v>12.966</v>
      </c>
      <c r="H523" s="171"/>
      <c r="I523" s="171"/>
      <c r="J523" s="425">
        <v>16.4235</v>
      </c>
      <c r="K523" s="182">
        <v>10443.2</v>
      </c>
      <c r="L523" s="36"/>
      <c r="M523" s="36"/>
      <c r="N523" s="36"/>
      <c r="O523" s="36"/>
      <c r="P523" s="36"/>
      <c r="Q523" s="36"/>
      <c r="R523" s="36"/>
      <c r="S523" s="36"/>
      <c r="T523" s="36"/>
      <c r="U523" s="36"/>
      <c r="V523" s="36"/>
      <c r="W523" s="36"/>
      <c r="X523" s="36"/>
      <c r="Y523" s="36"/>
      <c r="Z523" s="36"/>
      <c r="AA523" s="36"/>
      <c r="AB523" s="36"/>
      <c r="AC523" s="36"/>
    </row>
    <row r="524" ht="15.75" customHeight="1">
      <c r="A524" s="423">
        <v>43103.0</v>
      </c>
      <c r="B524" s="424">
        <v>13.7216</v>
      </c>
      <c r="C524" s="425">
        <v>16.0053</v>
      </c>
      <c r="D524" s="171"/>
      <c r="E524" s="425">
        <v>13.3591</v>
      </c>
      <c r="F524" s="425">
        <v>16.469</v>
      </c>
      <c r="G524" s="425">
        <v>12.966</v>
      </c>
      <c r="H524" s="171"/>
      <c r="I524" s="171"/>
      <c r="J524" s="425">
        <v>16.4235</v>
      </c>
      <c r="K524" s="182">
        <v>10443.2</v>
      </c>
      <c r="L524" s="36"/>
      <c r="M524" s="36"/>
      <c r="N524" s="36"/>
      <c r="O524" s="36"/>
      <c r="P524" s="36"/>
      <c r="Q524" s="36"/>
      <c r="R524" s="36"/>
      <c r="S524" s="36"/>
      <c r="T524" s="36"/>
      <c r="U524" s="36"/>
      <c r="V524" s="36"/>
      <c r="W524" s="36"/>
      <c r="X524" s="36"/>
      <c r="Y524" s="36"/>
      <c r="Z524" s="36"/>
      <c r="AA524" s="36"/>
      <c r="AB524" s="36"/>
      <c r="AC524" s="36"/>
    </row>
    <row r="525" ht="15.75" customHeight="1">
      <c r="A525" s="423">
        <v>43104.0</v>
      </c>
      <c r="B525" s="424">
        <v>13.7974</v>
      </c>
      <c r="C525" s="425">
        <v>16.0605</v>
      </c>
      <c r="D525" s="171"/>
      <c r="E525" s="425">
        <v>13.3559</v>
      </c>
      <c r="F525" s="425">
        <v>16.5445</v>
      </c>
      <c r="G525" s="425">
        <v>12.9593</v>
      </c>
      <c r="H525" s="171"/>
      <c r="I525" s="171"/>
      <c r="J525" s="425">
        <v>16.4367</v>
      </c>
      <c r="K525" s="182">
        <v>10504.8</v>
      </c>
      <c r="L525" s="36"/>
      <c r="M525" s="36"/>
      <c r="N525" s="36"/>
      <c r="O525" s="36"/>
      <c r="P525" s="36"/>
      <c r="Q525" s="36"/>
      <c r="R525" s="36"/>
      <c r="S525" s="36"/>
      <c r="T525" s="36"/>
      <c r="U525" s="36"/>
      <c r="V525" s="36"/>
      <c r="W525" s="36"/>
      <c r="X525" s="36"/>
      <c r="Y525" s="36"/>
      <c r="Z525" s="36"/>
      <c r="AA525" s="36"/>
      <c r="AB525" s="36"/>
      <c r="AC525" s="36"/>
    </row>
    <row r="526" ht="15.75" customHeight="1">
      <c r="A526" s="423">
        <v>43104.0</v>
      </c>
      <c r="B526" s="424">
        <v>13.7974</v>
      </c>
      <c r="C526" s="425">
        <v>16.0605</v>
      </c>
      <c r="D526" s="171"/>
      <c r="E526" s="425">
        <v>13.3559</v>
      </c>
      <c r="F526" s="425">
        <v>16.5445</v>
      </c>
      <c r="G526" s="425">
        <v>12.9593</v>
      </c>
      <c r="H526" s="171"/>
      <c r="I526" s="171"/>
      <c r="J526" s="425">
        <v>16.4367</v>
      </c>
      <c r="K526" s="182">
        <v>10504.8</v>
      </c>
      <c r="L526" s="36"/>
      <c r="M526" s="36"/>
      <c r="N526" s="36"/>
      <c r="O526" s="36"/>
      <c r="P526" s="36"/>
      <c r="Q526" s="36"/>
      <c r="R526" s="36"/>
      <c r="S526" s="36"/>
      <c r="T526" s="36"/>
      <c r="U526" s="36"/>
      <c r="V526" s="36"/>
      <c r="W526" s="36"/>
      <c r="X526" s="36"/>
      <c r="Y526" s="36"/>
      <c r="Z526" s="36"/>
      <c r="AA526" s="36"/>
      <c r="AB526" s="36"/>
      <c r="AC526" s="36"/>
    </row>
    <row r="527" ht="15.75" customHeight="1">
      <c r="A527" s="423">
        <v>43104.0</v>
      </c>
      <c r="B527" s="424">
        <v>13.7974</v>
      </c>
      <c r="C527" s="425">
        <v>16.0698</v>
      </c>
      <c r="D527" s="171"/>
      <c r="E527" s="425">
        <v>13.3559</v>
      </c>
      <c r="F527" s="425">
        <v>16.5445</v>
      </c>
      <c r="G527" s="425">
        <v>12.9593</v>
      </c>
      <c r="H527" s="171"/>
      <c r="I527" s="171"/>
      <c r="J527" s="425">
        <v>16.4492</v>
      </c>
      <c r="K527" s="182">
        <v>10504.8</v>
      </c>
      <c r="L527" s="36"/>
      <c r="M527" s="36"/>
      <c r="N527" s="36"/>
      <c r="O527" s="36"/>
      <c r="P527" s="36"/>
      <c r="Q527" s="36"/>
      <c r="R527" s="36"/>
      <c r="S527" s="36"/>
      <c r="T527" s="36"/>
      <c r="U527" s="36"/>
      <c r="V527" s="36"/>
      <c r="W527" s="36"/>
      <c r="X527" s="36"/>
      <c r="Y527" s="36"/>
      <c r="Z527" s="36"/>
      <c r="AA527" s="36"/>
      <c r="AB527" s="36"/>
      <c r="AC527" s="36"/>
    </row>
    <row r="528" ht="15.75" customHeight="1">
      <c r="A528" s="423">
        <v>43104.0</v>
      </c>
      <c r="B528" s="424">
        <v>13.7974</v>
      </c>
      <c r="C528" s="425">
        <v>16.0698</v>
      </c>
      <c r="D528" s="171"/>
      <c r="E528" s="425">
        <v>13.3559</v>
      </c>
      <c r="F528" s="425">
        <v>16.5445</v>
      </c>
      <c r="G528" s="425">
        <v>12.9593</v>
      </c>
      <c r="H528" s="171"/>
      <c r="I528" s="171"/>
      <c r="J528" s="425">
        <v>16.4492</v>
      </c>
      <c r="K528" s="182">
        <v>10504.8</v>
      </c>
      <c r="L528" s="36"/>
      <c r="M528" s="36"/>
      <c r="N528" s="36"/>
      <c r="O528" s="36"/>
      <c r="P528" s="36"/>
      <c r="Q528" s="36"/>
      <c r="R528" s="36"/>
      <c r="S528" s="36"/>
      <c r="T528" s="36"/>
      <c r="U528" s="36"/>
      <c r="V528" s="36"/>
      <c r="W528" s="36"/>
      <c r="X528" s="36"/>
      <c r="Y528" s="36"/>
      <c r="Z528" s="36"/>
      <c r="AA528" s="36"/>
      <c r="AB528" s="36"/>
      <c r="AC528" s="36"/>
    </row>
    <row r="529" ht="15.75" customHeight="1">
      <c r="A529" s="423">
        <v>43105.0</v>
      </c>
      <c r="B529" s="424">
        <v>13.8598</v>
      </c>
      <c r="C529" s="425">
        <v>16.0909</v>
      </c>
      <c r="D529" s="171"/>
      <c r="E529" s="425">
        <v>13.409</v>
      </c>
      <c r="F529" s="425">
        <v>16.615</v>
      </c>
      <c r="G529" s="425">
        <v>12.9903</v>
      </c>
      <c r="H529" s="171"/>
      <c r="I529" s="171"/>
      <c r="J529" s="425">
        <v>16.3971</v>
      </c>
      <c r="K529" s="182">
        <v>10558.85</v>
      </c>
      <c r="L529" s="36"/>
      <c r="M529" s="36"/>
      <c r="N529" s="36"/>
      <c r="O529" s="36"/>
      <c r="P529" s="36"/>
      <c r="Q529" s="36"/>
      <c r="R529" s="36"/>
      <c r="S529" s="36"/>
      <c r="T529" s="36"/>
      <c r="U529" s="36"/>
      <c r="V529" s="36"/>
      <c r="W529" s="36"/>
      <c r="X529" s="36"/>
      <c r="Y529" s="36"/>
      <c r="Z529" s="36"/>
      <c r="AA529" s="36"/>
      <c r="AB529" s="36"/>
      <c r="AC529" s="36"/>
    </row>
    <row r="530" ht="15.75" customHeight="1">
      <c r="A530" s="423">
        <v>43105.0</v>
      </c>
      <c r="B530" s="424">
        <v>13.8598</v>
      </c>
      <c r="C530" s="425">
        <v>16.0909</v>
      </c>
      <c r="D530" s="171"/>
      <c r="E530" s="425">
        <v>13.409</v>
      </c>
      <c r="F530" s="425">
        <v>16.615</v>
      </c>
      <c r="G530" s="425">
        <v>12.9903</v>
      </c>
      <c r="H530" s="171"/>
      <c r="I530" s="171"/>
      <c r="J530" s="425">
        <v>16.3971</v>
      </c>
      <c r="K530" s="182">
        <v>10558.85</v>
      </c>
      <c r="L530" s="36"/>
      <c r="M530" s="36"/>
      <c r="N530" s="36"/>
      <c r="O530" s="36"/>
      <c r="P530" s="36"/>
      <c r="Q530" s="36"/>
      <c r="R530" s="36"/>
      <c r="S530" s="36"/>
      <c r="T530" s="36"/>
      <c r="U530" s="36"/>
      <c r="V530" s="36"/>
      <c r="W530" s="36"/>
      <c r="X530" s="36"/>
      <c r="Y530" s="36"/>
      <c r="Z530" s="36"/>
      <c r="AA530" s="36"/>
      <c r="AB530" s="36"/>
      <c r="AC530" s="36"/>
    </row>
    <row r="531" ht="15.75" customHeight="1">
      <c r="A531" s="423">
        <v>43105.0</v>
      </c>
      <c r="B531" s="424">
        <v>13.8598</v>
      </c>
      <c r="C531" s="425">
        <v>16.088</v>
      </c>
      <c r="D531" s="171"/>
      <c r="E531" s="425">
        <v>13.409</v>
      </c>
      <c r="F531" s="425">
        <v>16.615</v>
      </c>
      <c r="G531" s="425">
        <v>12.9903</v>
      </c>
      <c r="H531" s="171"/>
      <c r="I531" s="171"/>
      <c r="J531" s="425">
        <v>16.286</v>
      </c>
      <c r="K531" s="182">
        <v>10558.85</v>
      </c>
      <c r="L531" s="36"/>
      <c r="M531" s="36"/>
      <c r="N531" s="36"/>
      <c r="O531" s="36"/>
      <c r="P531" s="36"/>
      <c r="Q531" s="36"/>
      <c r="R531" s="36"/>
      <c r="S531" s="36"/>
      <c r="T531" s="36"/>
      <c r="U531" s="36"/>
      <c r="V531" s="36"/>
      <c r="W531" s="36"/>
      <c r="X531" s="36"/>
      <c r="Y531" s="36"/>
      <c r="Z531" s="36"/>
      <c r="AA531" s="36"/>
      <c r="AB531" s="36"/>
      <c r="AC531" s="36"/>
    </row>
    <row r="532" ht="15.75" customHeight="1">
      <c r="A532" s="423">
        <v>43105.0</v>
      </c>
      <c r="B532" s="424">
        <v>13.8598</v>
      </c>
      <c r="C532" s="425">
        <v>16.088</v>
      </c>
      <c r="D532" s="171"/>
      <c r="E532" s="425">
        <v>13.409</v>
      </c>
      <c r="F532" s="425">
        <v>16.615</v>
      </c>
      <c r="G532" s="425">
        <v>12.9903</v>
      </c>
      <c r="H532" s="171"/>
      <c r="I532" s="171"/>
      <c r="J532" s="425">
        <v>16.286</v>
      </c>
      <c r="K532" s="182">
        <v>10558.85</v>
      </c>
      <c r="L532" s="36"/>
      <c r="M532" s="36"/>
      <c r="N532" s="36"/>
      <c r="O532" s="36"/>
      <c r="P532" s="36"/>
      <c r="Q532" s="36"/>
      <c r="R532" s="36"/>
      <c r="S532" s="36"/>
      <c r="T532" s="36"/>
      <c r="U532" s="36"/>
      <c r="V532" s="36"/>
      <c r="W532" s="36"/>
      <c r="X532" s="36"/>
      <c r="Y532" s="36"/>
      <c r="Z532" s="36"/>
      <c r="AA532" s="36"/>
      <c r="AB532" s="36"/>
      <c r="AC532" s="36"/>
    </row>
    <row r="533" ht="15.75" customHeight="1">
      <c r="A533" s="423">
        <v>43108.0</v>
      </c>
      <c r="B533" s="424">
        <v>13.9191</v>
      </c>
      <c r="C533" s="425">
        <v>16.1183</v>
      </c>
      <c r="D533" s="171"/>
      <c r="E533" s="425">
        <v>13.4067</v>
      </c>
      <c r="F533" s="425">
        <v>16.6996</v>
      </c>
      <c r="G533" s="425">
        <v>12.9902</v>
      </c>
      <c r="H533" s="171"/>
      <c r="I533" s="171"/>
      <c r="J533" s="425">
        <v>16.4043</v>
      </c>
      <c r="K533" s="182">
        <v>10623.6</v>
      </c>
      <c r="L533" s="36"/>
      <c r="M533" s="36"/>
      <c r="N533" s="36"/>
      <c r="O533" s="36"/>
      <c r="P533" s="36"/>
      <c r="Q533" s="36"/>
      <c r="R533" s="36"/>
      <c r="S533" s="36"/>
      <c r="T533" s="36"/>
      <c r="U533" s="36"/>
      <c r="V533" s="36"/>
      <c r="W533" s="36"/>
      <c r="X533" s="36"/>
      <c r="Y533" s="36"/>
      <c r="Z533" s="36"/>
      <c r="AA533" s="36"/>
      <c r="AB533" s="36"/>
      <c r="AC533" s="36"/>
    </row>
    <row r="534" ht="15.75" customHeight="1">
      <c r="A534" s="423">
        <v>43108.0</v>
      </c>
      <c r="B534" s="424">
        <v>13.9191</v>
      </c>
      <c r="C534" s="425">
        <v>16.1183</v>
      </c>
      <c r="D534" s="171"/>
      <c r="E534" s="425">
        <v>13.4067</v>
      </c>
      <c r="F534" s="425">
        <v>16.6996</v>
      </c>
      <c r="G534" s="425">
        <v>12.9902</v>
      </c>
      <c r="H534" s="171"/>
      <c r="I534" s="171"/>
      <c r="J534" s="425">
        <v>16.4043</v>
      </c>
      <c r="K534" s="182">
        <v>10623.6</v>
      </c>
      <c r="L534" s="36"/>
      <c r="M534" s="36"/>
      <c r="N534" s="36"/>
      <c r="O534" s="36"/>
      <c r="P534" s="36"/>
      <c r="Q534" s="36"/>
      <c r="R534" s="36"/>
      <c r="S534" s="36"/>
      <c r="T534" s="36"/>
      <c r="U534" s="36"/>
      <c r="V534" s="36"/>
      <c r="W534" s="36"/>
      <c r="X534" s="36"/>
      <c r="Y534" s="36"/>
      <c r="Z534" s="36"/>
      <c r="AA534" s="36"/>
      <c r="AB534" s="36"/>
      <c r="AC534" s="36"/>
    </row>
    <row r="535" ht="15.75" customHeight="1">
      <c r="A535" s="423">
        <v>43108.0</v>
      </c>
      <c r="B535" s="424">
        <v>13.9191</v>
      </c>
      <c r="C535" s="425">
        <v>16.1013</v>
      </c>
      <c r="D535" s="171"/>
      <c r="E535" s="425">
        <v>13.4067</v>
      </c>
      <c r="F535" s="425">
        <v>16.6996</v>
      </c>
      <c r="G535" s="425">
        <v>12.9902</v>
      </c>
      <c r="H535" s="171"/>
      <c r="I535" s="171"/>
      <c r="J535" s="425">
        <v>16.468</v>
      </c>
      <c r="K535" s="182">
        <v>10623.6</v>
      </c>
      <c r="L535" s="36"/>
      <c r="M535" s="36"/>
      <c r="N535" s="36"/>
      <c r="O535" s="36"/>
      <c r="P535" s="36"/>
      <c r="Q535" s="36"/>
      <c r="R535" s="36"/>
      <c r="S535" s="36"/>
      <c r="T535" s="36"/>
      <c r="U535" s="36"/>
      <c r="V535" s="36"/>
      <c r="W535" s="36"/>
      <c r="X535" s="36"/>
      <c r="Y535" s="36"/>
      <c r="Z535" s="36"/>
      <c r="AA535" s="36"/>
      <c r="AB535" s="36"/>
      <c r="AC535" s="36"/>
    </row>
    <row r="536" ht="15.75" customHeight="1">
      <c r="A536" s="423">
        <v>43108.0</v>
      </c>
      <c r="B536" s="424">
        <v>13.9191</v>
      </c>
      <c r="C536" s="425">
        <v>16.1013</v>
      </c>
      <c r="D536" s="171"/>
      <c r="E536" s="425">
        <v>13.4067</v>
      </c>
      <c r="F536" s="425">
        <v>16.6996</v>
      </c>
      <c r="G536" s="425">
        <v>12.9902</v>
      </c>
      <c r="H536" s="171"/>
      <c r="I536" s="171"/>
      <c r="J536" s="425">
        <v>16.468</v>
      </c>
      <c r="K536" s="182">
        <v>10623.6</v>
      </c>
      <c r="L536" s="36"/>
      <c r="M536" s="36"/>
      <c r="N536" s="36"/>
      <c r="O536" s="36"/>
      <c r="P536" s="36"/>
      <c r="Q536" s="36"/>
      <c r="R536" s="36"/>
      <c r="S536" s="36"/>
      <c r="T536" s="36"/>
      <c r="U536" s="36"/>
      <c r="V536" s="36"/>
      <c r="W536" s="36"/>
      <c r="X536" s="36"/>
      <c r="Y536" s="36"/>
      <c r="Z536" s="36"/>
      <c r="AA536" s="36"/>
      <c r="AB536" s="36"/>
      <c r="AC536" s="36"/>
    </row>
    <row r="537" ht="15.75" customHeight="1">
      <c r="A537" s="423">
        <v>43109.0</v>
      </c>
      <c r="B537" s="424">
        <v>13.9449</v>
      </c>
      <c r="C537" s="425">
        <v>16.1064</v>
      </c>
      <c r="D537" s="171"/>
      <c r="E537" s="425">
        <v>13.3919</v>
      </c>
      <c r="F537" s="425">
        <v>16.7135</v>
      </c>
      <c r="G537" s="425">
        <v>12.9851</v>
      </c>
      <c r="H537" s="171"/>
      <c r="I537" s="171"/>
      <c r="J537" s="425">
        <v>16.5757</v>
      </c>
      <c r="K537" s="182">
        <v>10637.0</v>
      </c>
      <c r="L537" s="36"/>
      <c r="M537" s="36"/>
      <c r="N537" s="36"/>
      <c r="O537" s="36"/>
      <c r="P537" s="36"/>
      <c r="Q537" s="36"/>
      <c r="R537" s="36"/>
      <c r="S537" s="36"/>
      <c r="T537" s="36"/>
      <c r="U537" s="36"/>
      <c r="V537" s="36"/>
      <c r="W537" s="36"/>
      <c r="X537" s="36"/>
      <c r="Y537" s="36"/>
      <c r="Z537" s="36"/>
      <c r="AA537" s="36"/>
      <c r="AB537" s="36"/>
      <c r="AC537" s="36"/>
    </row>
    <row r="538" ht="15.75" customHeight="1">
      <c r="A538" s="423">
        <v>43109.0</v>
      </c>
      <c r="B538" s="424">
        <v>13.9449</v>
      </c>
      <c r="C538" s="425">
        <v>16.1064</v>
      </c>
      <c r="D538" s="171"/>
      <c r="E538" s="425">
        <v>13.3919</v>
      </c>
      <c r="F538" s="425">
        <v>16.7135</v>
      </c>
      <c r="G538" s="425">
        <v>12.9851</v>
      </c>
      <c r="H538" s="171"/>
      <c r="I538" s="171"/>
      <c r="J538" s="425">
        <v>16.5757</v>
      </c>
      <c r="K538" s="182">
        <v>10637.0</v>
      </c>
      <c r="L538" s="36"/>
      <c r="M538" s="36"/>
      <c r="N538" s="36"/>
      <c r="O538" s="36"/>
      <c r="P538" s="36"/>
      <c r="Q538" s="36"/>
      <c r="R538" s="36"/>
      <c r="S538" s="36"/>
      <c r="T538" s="36"/>
      <c r="U538" s="36"/>
      <c r="V538" s="36"/>
      <c r="W538" s="36"/>
      <c r="X538" s="36"/>
      <c r="Y538" s="36"/>
      <c r="Z538" s="36"/>
      <c r="AA538" s="36"/>
      <c r="AB538" s="36"/>
      <c r="AC538" s="36"/>
    </row>
    <row r="539" ht="15.75" customHeight="1">
      <c r="A539" s="423">
        <v>43109.0</v>
      </c>
      <c r="B539" s="424">
        <v>13.9449</v>
      </c>
      <c r="C539" s="425">
        <v>16.1205</v>
      </c>
      <c r="D539" s="171"/>
      <c r="E539" s="425">
        <v>13.3919</v>
      </c>
      <c r="F539" s="425">
        <v>16.7135</v>
      </c>
      <c r="G539" s="425">
        <v>12.9851</v>
      </c>
      <c r="H539" s="171"/>
      <c r="I539" s="171"/>
      <c r="J539" s="425">
        <v>16.5637</v>
      </c>
      <c r="K539" s="182">
        <v>10637.0</v>
      </c>
      <c r="L539" s="36"/>
      <c r="M539" s="36"/>
      <c r="N539" s="36"/>
      <c r="O539" s="36"/>
      <c r="P539" s="36"/>
      <c r="Q539" s="36"/>
      <c r="R539" s="36"/>
      <c r="S539" s="36"/>
      <c r="T539" s="36"/>
      <c r="U539" s="36"/>
      <c r="V539" s="36"/>
      <c r="W539" s="36"/>
      <c r="X539" s="36"/>
      <c r="Y539" s="36"/>
      <c r="Z539" s="36"/>
      <c r="AA539" s="36"/>
      <c r="AB539" s="36"/>
      <c r="AC539" s="36"/>
    </row>
    <row r="540" ht="15.75" customHeight="1">
      <c r="A540" s="423">
        <v>43109.0</v>
      </c>
      <c r="B540" s="424">
        <v>13.9449</v>
      </c>
      <c r="C540" s="425">
        <v>16.1205</v>
      </c>
      <c r="D540" s="171"/>
      <c r="E540" s="425">
        <v>13.3919</v>
      </c>
      <c r="F540" s="425">
        <v>16.7135</v>
      </c>
      <c r="G540" s="425">
        <v>12.9851</v>
      </c>
      <c r="H540" s="171"/>
      <c r="I540" s="171"/>
      <c r="J540" s="425">
        <v>16.5637</v>
      </c>
      <c r="K540" s="182">
        <v>10637.0</v>
      </c>
      <c r="L540" s="36"/>
      <c r="M540" s="36"/>
      <c r="N540" s="36"/>
      <c r="O540" s="36"/>
      <c r="P540" s="36"/>
      <c r="Q540" s="36"/>
      <c r="R540" s="36"/>
      <c r="S540" s="36"/>
      <c r="T540" s="36"/>
      <c r="U540" s="36"/>
      <c r="V540" s="36"/>
      <c r="W540" s="36"/>
      <c r="X540" s="36"/>
      <c r="Y540" s="36"/>
      <c r="Z540" s="36"/>
      <c r="AA540" s="36"/>
      <c r="AB540" s="36"/>
      <c r="AC540" s="36"/>
    </row>
    <row r="541" ht="15.75" customHeight="1">
      <c r="A541" s="423">
        <v>43110.0</v>
      </c>
      <c r="B541" s="424">
        <v>13.9388</v>
      </c>
      <c r="C541" s="425">
        <v>16.1187</v>
      </c>
      <c r="D541" s="171"/>
      <c r="E541" s="425">
        <v>13.3464</v>
      </c>
      <c r="F541" s="425">
        <v>16.6896</v>
      </c>
      <c r="G541" s="425">
        <v>12.971</v>
      </c>
      <c r="H541" s="171"/>
      <c r="I541" s="171"/>
      <c r="J541" s="425">
        <v>16.7361</v>
      </c>
      <c r="K541" s="182">
        <v>10632.2</v>
      </c>
      <c r="L541" s="36"/>
      <c r="M541" s="36"/>
      <c r="N541" s="36"/>
      <c r="O541" s="36"/>
      <c r="P541" s="36"/>
      <c r="Q541" s="36"/>
      <c r="R541" s="36"/>
      <c r="S541" s="36"/>
      <c r="T541" s="36"/>
      <c r="U541" s="36"/>
      <c r="V541" s="36"/>
      <c r="W541" s="36"/>
      <c r="X541" s="36"/>
      <c r="Y541" s="36"/>
      <c r="Z541" s="36"/>
      <c r="AA541" s="36"/>
      <c r="AB541" s="36"/>
      <c r="AC541" s="36"/>
    </row>
    <row r="542" ht="15.75" customHeight="1">
      <c r="A542" s="423">
        <v>43110.0</v>
      </c>
      <c r="B542" s="424">
        <v>13.9388</v>
      </c>
      <c r="C542" s="425">
        <v>16.1187</v>
      </c>
      <c r="D542" s="171"/>
      <c r="E542" s="425">
        <v>13.3464</v>
      </c>
      <c r="F542" s="425">
        <v>16.6896</v>
      </c>
      <c r="G542" s="425">
        <v>12.971</v>
      </c>
      <c r="H542" s="171"/>
      <c r="I542" s="171"/>
      <c r="J542" s="425">
        <v>16.7361</v>
      </c>
      <c r="K542" s="182">
        <v>10632.2</v>
      </c>
      <c r="L542" s="36"/>
      <c r="M542" s="36"/>
      <c r="N542" s="36"/>
      <c r="O542" s="36"/>
      <c r="P542" s="36"/>
      <c r="Q542" s="36"/>
      <c r="R542" s="36"/>
      <c r="S542" s="36"/>
      <c r="T542" s="36"/>
      <c r="U542" s="36"/>
      <c r="V542" s="36"/>
      <c r="W542" s="36"/>
      <c r="X542" s="36"/>
      <c r="Y542" s="36"/>
      <c r="Z542" s="36"/>
      <c r="AA542" s="36"/>
      <c r="AB542" s="36"/>
      <c r="AC542" s="36"/>
    </row>
    <row r="543" ht="15.75" customHeight="1">
      <c r="A543" s="423">
        <v>43110.0</v>
      </c>
      <c r="B543" s="424">
        <v>13.9388</v>
      </c>
      <c r="C543" s="425">
        <v>16.1087</v>
      </c>
      <c r="D543" s="171"/>
      <c r="E543" s="425">
        <v>13.3464</v>
      </c>
      <c r="F543" s="425">
        <v>16.6896</v>
      </c>
      <c r="G543" s="425">
        <v>12.971</v>
      </c>
      <c r="H543" s="171"/>
      <c r="I543" s="171"/>
      <c r="J543" s="425">
        <v>16.5853</v>
      </c>
      <c r="K543" s="182">
        <v>10632.2</v>
      </c>
      <c r="L543" s="36"/>
      <c r="M543" s="36"/>
      <c r="N543" s="36"/>
      <c r="O543" s="36"/>
      <c r="P543" s="36"/>
      <c r="Q543" s="36"/>
      <c r="R543" s="36"/>
      <c r="S543" s="36"/>
      <c r="T543" s="36"/>
      <c r="U543" s="36"/>
      <c r="V543" s="36"/>
      <c r="W543" s="36"/>
      <c r="X543" s="36"/>
      <c r="Y543" s="36"/>
      <c r="Z543" s="36"/>
      <c r="AA543" s="36"/>
      <c r="AB543" s="36"/>
      <c r="AC543" s="36"/>
    </row>
    <row r="544" ht="15.75" customHeight="1">
      <c r="A544" s="423">
        <v>43110.0</v>
      </c>
      <c r="B544" s="424">
        <v>13.9388</v>
      </c>
      <c r="C544" s="425">
        <v>16.1087</v>
      </c>
      <c r="D544" s="171"/>
      <c r="E544" s="425">
        <v>13.3464</v>
      </c>
      <c r="F544" s="425">
        <v>16.6896</v>
      </c>
      <c r="G544" s="425">
        <v>12.971</v>
      </c>
      <c r="H544" s="171"/>
      <c r="I544" s="171"/>
      <c r="J544" s="425">
        <v>16.5853</v>
      </c>
      <c r="K544" s="182">
        <v>10632.2</v>
      </c>
      <c r="L544" s="36"/>
      <c r="M544" s="36"/>
      <c r="N544" s="36"/>
      <c r="O544" s="36"/>
      <c r="P544" s="36"/>
      <c r="Q544" s="36"/>
      <c r="R544" s="36"/>
      <c r="S544" s="36"/>
      <c r="T544" s="36"/>
      <c r="U544" s="36"/>
      <c r="V544" s="36"/>
      <c r="W544" s="36"/>
      <c r="X544" s="36"/>
      <c r="Y544" s="36"/>
      <c r="Z544" s="36"/>
      <c r="AA544" s="36"/>
      <c r="AB544" s="36"/>
      <c r="AC544" s="36"/>
    </row>
    <row r="545" ht="15.75" customHeight="1">
      <c r="A545" s="423">
        <v>43111.0</v>
      </c>
      <c r="B545" s="424">
        <v>13.952</v>
      </c>
      <c r="C545" s="425">
        <v>16.124</v>
      </c>
      <c r="D545" s="171"/>
      <c r="E545" s="425">
        <v>13.3435</v>
      </c>
      <c r="F545" s="425">
        <v>16.7044</v>
      </c>
      <c r="G545" s="425">
        <v>12.9725</v>
      </c>
      <c r="H545" s="171"/>
      <c r="I545" s="171"/>
      <c r="J545" s="425">
        <v>16.5259</v>
      </c>
      <c r="K545" s="182">
        <v>10651.2</v>
      </c>
      <c r="L545" s="36"/>
      <c r="M545" s="36"/>
      <c r="N545" s="36"/>
      <c r="O545" s="36"/>
      <c r="P545" s="36"/>
      <c r="Q545" s="36"/>
      <c r="R545" s="36"/>
      <c r="S545" s="36"/>
      <c r="T545" s="36"/>
      <c r="U545" s="36"/>
      <c r="V545" s="36"/>
      <c r="W545" s="36"/>
      <c r="X545" s="36"/>
      <c r="Y545" s="36"/>
      <c r="Z545" s="36"/>
      <c r="AA545" s="36"/>
      <c r="AB545" s="36"/>
      <c r="AC545" s="36"/>
    </row>
    <row r="546" ht="15.75" customHeight="1">
      <c r="A546" s="423">
        <v>43111.0</v>
      </c>
      <c r="B546" s="424">
        <v>13.952</v>
      </c>
      <c r="C546" s="425">
        <v>16.124</v>
      </c>
      <c r="D546" s="171"/>
      <c r="E546" s="425">
        <v>13.3435</v>
      </c>
      <c r="F546" s="425">
        <v>16.7044</v>
      </c>
      <c r="G546" s="425">
        <v>12.9725</v>
      </c>
      <c r="H546" s="171"/>
      <c r="I546" s="171"/>
      <c r="J546" s="425">
        <v>16.5259</v>
      </c>
      <c r="K546" s="182">
        <v>10651.2</v>
      </c>
      <c r="L546" s="36"/>
      <c r="M546" s="36"/>
      <c r="N546" s="36"/>
      <c r="O546" s="36"/>
      <c r="P546" s="36"/>
      <c r="Q546" s="36"/>
      <c r="R546" s="36"/>
      <c r="S546" s="36"/>
      <c r="T546" s="36"/>
      <c r="U546" s="36"/>
      <c r="V546" s="36"/>
      <c r="W546" s="36"/>
      <c r="X546" s="36"/>
      <c r="Y546" s="36"/>
      <c r="Z546" s="36"/>
      <c r="AA546" s="36"/>
      <c r="AB546" s="36"/>
      <c r="AC546" s="36"/>
    </row>
    <row r="547" ht="15.75" customHeight="1">
      <c r="A547" s="423">
        <v>43111.0</v>
      </c>
      <c r="B547" s="424">
        <v>13.952</v>
      </c>
      <c r="C547" s="425">
        <v>16.122</v>
      </c>
      <c r="D547" s="171"/>
      <c r="E547" s="425">
        <v>13.3435</v>
      </c>
      <c r="F547" s="425">
        <v>16.7044</v>
      </c>
      <c r="G547" s="425">
        <v>12.9725</v>
      </c>
      <c r="H547" s="171"/>
      <c r="I547" s="171"/>
      <c r="J547" s="425">
        <v>16.6733</v>
      </c>
      <c r="K547" s="182">
        <v>10651.2</v>
      </c>
      <c r="L547" s="36"/>
      <c r="M547" s="36"/>
      <c r="N547" s="36"/>
      <c r="O547" s="36"/>
      <c r="P547" s="36"/>
      <c r="Q547" s="36"/>
      <c r="R547" s="36"/>
      <c r="S547" s="36"/>
      <c r="T547" s="36"/>
      <c r="U547" s="36"/>
      <c r="V547" s="36"/>
      <c r="W547" s="36"/>
      <c r="X547" s="36"/>
      <c r="Y547" s="36"/>
      <c r="Z547" s="36"/>
      <c r="AA547" s="36"/>
      <c r="AB547" s="36"/>
      <c r="AC547" s="36"/>
    </row>
    <row r="548" ht="15.75" customHeight="1">
      <c r="A548" s="423">
        <v>43111.0</v>
      </c>
      <c r="B548" s="424">
        <v>13.952</v>
      </c>
      <c r="C548" s="425">
        <v>16.122</v>
      </c>
      <c r="D548" s="171"/>
      <c r="E548" s="425">
        <v>13.3435</v>
      </c>
      <c r="F548" s="425">
        <v>16.7044</v>
      </c>
      <c r="G548" s="425">
        <v>12.9725</v>
      </c>
      <c r="H548" s="171"/>
      <c r="I548" s="171"/>
      <c r="J548" s="425">
        <v>16.6733</v>
      </c>
      <c r="K548" s="182">
        <v>10651.2</v>
      </c>
      <c r="L548" s="36"/>
      <c r="M548" s="36"/>
      <c r="N548" s="36"/>
      <c r="O548" s="36"/>
      <c r="P548" s="36"/>
      <c r="Q548" s="36"/>
      <c r="R548" s="36"/>
      <c r="S548" s="36"/>
      <c r="T548" s="36"/>
      <c r="U548" s="36"/>
      <c r="V548" s="36"/>
      <c r="W548" s="36"/>
      <c r="X548" s="36"/>
      <c r="Y548" s="36"/>
      <c r="Z548" s="36"/>
      <c r="AA548" s="36"/>
      <c r="AB548" s="36"/>
      <c r="AC548" s="36"/>
    </row>
    <row r="549" ht="15.75" customHeight="1">
      <c r="A549" s="423">
        <v>43112.0</v>
      </c>
      <c r="B549" s="424">
        <v>13.9754</v>
      </c>
      <c r="C549" s="425">
        <v>16.1337</v>
      </c>
      <c r="D549" s="171"/>
      <c r="E549" s="425">
        <v>13.3395</v>
      </c>
      <c r="F549" s="425">
        <v>16.7343</v>
      </c>
      <c r="G549" s="425">
        <v>12.9702</v>
      </c>
      <c r="H549" s="171"/>
      <c r="I549" s="171"/>
      <c r="J549" s="425">
        <v>16.6326</v>
      </c>
      <c r="K549" s="182">
        <v>10681.25</v>
      </c>
      <c r="L549" s="36"/>
      <c r="M549" s="36"/>
      <c r="N549" s="36"/>
      <c r="O549" s="36"/>
      <c r="P549" s="36"/>
      <c r="Q549" s="36"/>
      <c r="R549" s="36"/>
      <c r="S549" s="36"/>
      <c r="T549" s="36"/>
      <c r="U549" s="36"/>
      <c r="V549" s="36"/>
      <c r="W549" s="36"/>
      <c r="X549" s="36"/>
      <c r="Y549" s="36"/>
      <c r="Z549" s="36"/>
      <c r="AA549" s="36"/>
      <c r="AB549" s="36"/>
      <c r="AC549" s="36"/>
    </row>
    <row r="550" ht="15.75" customHeight="1">
      <c r="A550" s="423">
        <v>43112.0</v>
      </c>
      <c r="B550" s="424">
        <v>13.9754</v>
      </c>
      <c r="C550" s="425">
        <v>16.1337</v>
      </c>
      <c r="D550" s="171"/>
      <c r="E550" s="425">
        <v>13.3395</v>
      </c>
      <c r="F550" s="425">
        <v>16.7343</v>
      </c>
      <c r="G550" s="425">
        <v>12.9702</v>
      </c>
      <c r="H550" s="171"/>
      <c r="I550" s="171"/>
      <c r="J550" s="425">
        <v>16.6326</v>
      </c>
      <c r="K550" s="182">
        <v>10681.25</v>
      </c>
      <c r="L550" s="36"/>
      <c r="M550" s="36"/>
      <c r="N550" s="36"/>
      <c r="O550" s="36"/>
      <c r="P550" s="36"/>
      <c r="Q550" s="36"/>
      <c r="R550" s="36"/>
      <c r="S550" s="36"/>
      <c r="T550" s="36"/>
      <c r="U550" s="36"/>
      <c r="V550" s="36"/>
      <c r="W550" s="36"/>
      <c r="X550" s="36"/>
      <c r="Y550" s="36"/>
      <c r="Z550" s="36"/>
      <c r="AA550" s="36"/>
      <c r="AB550" s="36"/>
      <c r="AC550" s="36"/>
    </row>
    <row r="551" ht="15.75" customHeight="1">
      <c r="A551" s="423">
        <v>43112.0</v>
      </c>
      <c r="B551" s="424">
        <v>13.9754</v>
      </c>
      <c r="C551" s="425">
        <v>16.1311</v>
      </c>
      <c r="D551" s="171"/>
      <c r="E551" s="425">
        <v>13.3395</v>
      </c>
      <c r="F551" s="425">
        <v>16.7343</v>
      </c>
      <c r="G551" s="425">
        <v>12.9702</v>
      </c>
      <c r="H551" s="171"/>
      <c r="I551" s="171"/>
      <c r="J551" s="425">
        <v>16.6022</v>
      </c>
      <c r="K551" s="182">
        <v>10681.25</v>
      </c>
      <c r="L551" s="36"/>
      <c r="M551" s="36"/>
      <c r="N551" s="36"/>
      <c r="O551" s="36"/>
      <c r="P551" s="36"/>
      <c r="Q551" s="36"/>
      <c r="R551" s="36"/>
      <c r="S551" s="36"/>
      <c r="T551" s="36"/>
      <c r="U551" s="36"/>
      <c r="V551" s="36"/>
      <c r="W551" s="36"/>
      <c r="X551" s="36"/>
      <c r="Y551" s="36"/>
      <c r="Z551" s="36"/>
      <c r="AA551" s="36"/>
      <c r="AB551" s="36"/>
      <c r="AC551" s="36"/>
    </row>
    <row r="552" ht="15.75" customHeight="1">
      <c r="A552" s="423">
        <v>43112.0</v>
      </c>
      <c r="B552" s="424">
        <v>13.9754</v>
      </c>
      <c r="C552" s="425">
        <v>16.1311</v>
      </c>
      <c r="D552" s="171"/>
      <c r="E552" s="425">
        <v>13.3395</v>
      </c>
      <c r="F552" s="425">
        <v>16.7343</v>
      </c>
      <c r="G552" s="425">
        <v>12.9702</v>
      </c>
      <c r="H552" s="171"/>
      <c r="I552" s="171"/>
      <c r="J552" s="425">
        <v>16.6022</v>
      </c>
      <c r="K552" s="182">
        <v>10681.25</v>
      </c>
      <c r="L552" s="36"/>
      <c r="M552" s="36"/>
      <c r="N552" s="36"/>
      <c r="O552" s="36"/>
      <c r="P552" s="36"/>
      <c r="Q552" s="36"/>
      <c r="R552" s="36"/>
      <c r="S552" s="36"/>
      <c r="T552" s="36"/>
      <c r="U552" s="36"/>
      <c r="V552" s="36"/>
      <c r="W552" s="36"/>
      <c r="X552" s="36"/>
      <c r="Y552" s="36"/>
      <c r="Z552" s="36"/>
      <c r="AA552" s="36"/>
      <c r="AB552" s="36"/>
      <c r="AC552" s="36"/>
    </row>
    <row r="553" ht="15.75" customHeight="1">
      <c r="A553" s="423">
        <v>43115.0</v>
      </c>
      <c r="B553" s="424">
        <v>13.9914</v>
      </c>
      <c r="C553" s="425">
        <v>16.0719</v>
      </c>
      <c r="D553" s="171"/>
      <c r="E553" s="425">
        <v>13.351</v>
      </c>
      <c r="F553" s="425">
        <v>16.7373</v>
      </c>
      <c r="G553" s="425">
        <v>12.9754</v>
      </c>
      <c r="H553" s="171"/>
      <c r="I553" s="171"/>
      <c r="J553" s="425">
        <v>16.6916</v>
      </c>
      <c r="K553" s="182">
        <v>10741.55</v>
      </c>
      <c r="L553" s="36"/>
      <c r="M553" s="36"/>
      <c r="N553" s="36"/>
      <c r="O553" s="36"/>
      <c r="P553" s="36"/>
      <c r="Q553" s="36"/>
      <c r="R553" s="36"/>
      <c r="S553" s="36"/>
      <c r="T553" s="36"/>
      <c r="U553" s="36"/>
      <c r="V553" s="36"/>
      <c r="W553" s="36"/>
      <c r="X553" s="36"/>
      <c r="Y553" s="36"/>
      <c r="Z553" s="36"/>
      <c r="AA553" s="36"/>
      <c r="AB553" s="36"/>
      <c r="AC553" s="36"/>
    </row>
    <row r="554" ht="15.75" customHeight="1">
      <c r="A554" s="423">
        <v>43115.0</v>
      </c>
      <c r="B554" s="424">
        <v>13.9914</v>
      </c>
      <c r="C554" s="425">
        <v>16.0719</v>
      </c>
      <c r="D554" s="171"/>
      <c r="E554" s="425">
        <v>13.351</v>
      </c>
      <c r="F554" s="425">
        <v>16.7373</v>
      </c>
      <c r="G554" s="425">
        <v>12.9754</v>
      </c>
      <c r="H554" s="171"/>
      <c r="I554" s="171"/>
      <c r="J554" s="425">
        <v>16.6916</v>
      </c>
      <c r="K554" s="182">
        <v>10741.55</v>
      </c>
      <c r="L554" s="36"/>
      <c r="M554" s="36"/>
      <c r="N554" s="36"/>
      <c r="O554" s="36"/>
      <c r="P554" s="36"/>
      <c r="Q554" s="36"/>
      <c r="R554" s="36"/>
      <c r="S554" s="36"/>
      <c r="T554" s="36"/>
      <c r="U554" s="36"/>
      <c r="V554" s="36"/>
      <c r="W554" s="36"/>
      <c r="X554" s="36"/>
      <c r="Y554" s="36"/>
      <c r="Z554" s="36"/>
      <c r="AA554" s="36"/>
      <c r="AB554" s="36"/>
      <c r="AC554" s="36"/>
    </row>
    <row r="555" ht="15.75" customHeight="1">
      <c r="A555" s="423">
        <v>43115.0</v>
      </c>
      <c r="B555" s="424">
        <v>13.9914</v>
      </c>
      <c r="C555" s="425">
        <v>16.0854</v>
      </c>
      <c r="D555" s="171"/>
      <c r="E555" s="425">
        <v>13.351</v>
      </c>
      <c r="F555" s="425">
        <v>16.7373</v>
      </c>
      <c r="G555" s="425">
        <v>12.9754</v>
      </c>
      <c r="H555" s="171"/>
      <c r="I555" s="171"/>
      <c r="J555" s="425">
        <v>16.5148</v>
      </c>
      <c r="K555" s="182">
        <v>10741.55</v>
      </c>
      <c r="L555" s="36"/>
      <c r="M555" s="36"/>
      <c r="N555" s="36"/>
      <c r="O555" s="36"/>
      <c r="P555" s="36"/>
      <c r="Q555" s="36"/>
      <c r="R555" s="36"/>
      <c r="S555" s="36"/>
      <c r="T555" s="36"/>
      <c r="U555" s="36"/>
      <c r="V555" s="36"/>
      <c r="W555" s="36"/>
      <c r="X555" s="36"/>
      <c r="Y555" s="36"/>
      <c r="Z555" s="36"/>
      <c r="AA555" s="36"/>
      <c r="AB555" s="36"/>
      <c r="AC555" s="36"/>
    </row>
    <row r="556" ht="15.75" customHeight="1">
      <c r="A556" s="423">
        <v>43115.0</v>
      </c>
      <c r="B556" s="424">
        <v>13.9914</v>
      </c>
      <c r="C556" s="425">
        <v>16.0854</v>
      </c>
      <c r="D556" s="171"/>
      <c r="E556" s="425">
        <v>13.351</v>
      </c>
      <c r="F556" s="425">
        <v>16.7373</v>
      </c>
      <c r="G556" s="425">
        <v>12.9754</v>
      </c>
      <c r="H556" s="171"/>
      <c r="I556" s="171"/>
      <c r="J556" s="425">
        <v>16.5148</v>
      </c>
      <c r="K556" s="182">
        <v>10741.55</v>
      </c>
      <c r="L556" s="36"/>
      <c r="M556" s="36"/>
      <c r="N556" s="36"/>
      <c r="O556" s="36"/>
      <c r="P556" s="36"/>
      <c r="Q556" s="36"/>
      <c r="R556" s="36"/>
      <c r="S556" s="36"/>
      <c r="T556" s="36"/>
      <c r="U556" s="36"/>
      <c r="V556" s="36"/>
      <c r="W556" s="36"/>
      <c r="X556" s="36"/>
      <c r="Y556" s="36"/>
      <c r="Z556" s="36"/>
      <c r="AA556" s="36"/>
      <c r="AB556" s="36"/>
      <c r="AC556" s="36"/>
    </row>
    <row r="557" ht="15.75" customHeight="1">
      <c r="A557" s="423">
        <v>43116.0</v>
      </c>
      <c r="B557" s="424">
        <v>13.9438</v>
      </c>
      <c r="C557" s="425">
        <v>16.0925</v>
      </c>
      <c r="D557" s="171"/>
      <c r="E557" s="425">
        <v>13.2877</v>
      </c>
      <c r="F557" s="425">
        <v>16.6556</v>
      </c>
      <c r="G557" s="425">
        <v>12.9576</v>
      </c>
      <c r="H557" s="171"/>
      <c r="I557" s="171"/>
      <c r="J557" s="425">
        <v>16.5727</v>
      </c>
      <c r="K557" s="182">
        <v>10700.45</v>
      </c>
      <c r="L557" s="36"/>
      <c r="M557" s="36"/>
      <c r="N557" s="36"/>
      <c r="O557" s="36"/>
      <c r="P557" s="36"/>
      <c r="Q557" s="36"/>
      <c r="R557" s="36"/>
      <c r="S557" s="36"/>
      <c r="T557" s="36"/>
      <c r="U557" s="36"/>
      <c r="V557" s="36"/>
      <c r="W557" s="36"/>
      <c r="X557" s="36"/>
      <c r="Y557" s="36"/>
      <c r="Z557" s="36"/>
      <c r="AA557" s="36"/>
      <c r="AB557" s="36"/>
      <c r="AC557" s="36"/>
    </row>
    <row r="558" ht="15.75" customHeight="1">
      <c r="A558" s="423">
        <v>43116.0</v>
      </c>
      <c r="B558" s="424">
        <v>13.9438</v>
      </c>
      <c r="C558" s="425">
        <v>16.0925</v>
      </c>
      <c r="D558" s="171"/>
      <c r="E558" s="425">
        <v>13.2877</v>
      </c>
      <c r="F558" s="425">
        <v>16.6556</v>
      </c>
      <c r="G558" s="425">
        <v>12.9576</v>
      </c>
      <c r="H558" s="171"/>
      <c r="I558" s="171"/>
      <c r="J558" s="425">
        <v>16.5727</v>
      </c>
      <c r="K558" s="182">
        <v>10700.45</v>
      </c>
      <c r="L558" s="36"/>
      <c r="M558" s="36"/>
      <c r="N558" s="36"/>
      <c r="O558" s="36"/>
      <c r="P558" s="36"/>
      <c r="Q558" s="36"/>
      <c r="R558" s="36"/>
      <c r="S558" s="36"/>
      <c r="T558" s="36"/>
      <c r="U558" s="36"/>
      <c r="V558" s="36"/>
      <c r="W558" s="36"/>
      <c r="X558" s="36"/>
      <c r="Y558" s="36"/>
      <c r="Z558" s="36"/>
      <c r="AA558" s="36"/>
      <c r="AB558" s="36"/>
      <c r="AC558" s="36"/>
    </row>
    <row r="559" ht="15.75" customHeight="1">
      <c r="A559" s="423">
        <v>43116.0</v>
      </c>
      <c r="B559" s="424">
        <v>13.9438</v>
      </c>
      <c r="C559" s="425">
        <v>16.0854</v>
      </c>
      <c r="D559" s="171"/>
      <c r="E559" s="425">
        <v>13.2877</v>
      </c>
      <c r="F559" s="425">
        <v>16.6556</v>
      </c>
      <c r="G559" s="425">
        <v>12.9576</v>
      </c>
      <c r="H559" s="171"/>
      <c r="I559" s="171"/>
      <c r="J559" s="425">
        <v>16.7101</v>
      </c>
      <c r="K559" s="182">
        <v>10700.45</v>
      </c>
      <c r="L559" s="36"/>
      <c r="M559" s="36"/>
      <c r="N559" s="36"/>
      <c r="O559" s="36"/>
      <c r="P559" s="36"/>
      <c r="Q559" s="36"/>
      <c r="R559" s="36"/>
      <c r="S559" s="36"/>
      <c r="T559" s="36"/>
      <c r="U559" s="36"/>
      <c r="V559" s="36"/>
      <c r="W559" s="36"/>
      <c r="X559" s="36"/>
      <c r="Y559" s="36"/>
      <c r="Z559" s="36"/>
      <c r="AA559" s="36"/>
      <c r="AB559" s="36"/>
      <c r="AC559" s="36"/>
    </row>
    <row r="560" ht="15.75" customHeight="1">
      <c r="A560" s="423">
        <v>43116.0</v>
      </c>
      <c r="B560" s="424">
        <v>13.9438</v>
      </c>
      <c r="C560" s="425">
        <v>16.0854</v>
      </c>
      <c r="D560" s="171"/>
      <c r="E560" s="425">
        <v>13.2877</v>
      </c>
      <c r="F560" s="425">
        <v>16.6556</v>
      </c>
      <c r="G560" s="425">
        <v>12.9576</v>
      </c>
      <c r="H560" s="171"/>
      <c r="I560" s="171"/>
      <c r="J560" s="425">
        <v>16.7101</v>
      </c>
      <c r="K560" s="182">
        <v>10700.45</v>
      </c>
      <c r="L560" s="36"/>
      <c r="M560" s="36"/>
      <c r="N560" s="36"/>
      <c r="O560" s="36"/>
      <c r="P560" s="36"/>
      <c r="Q560" s="36"/>
      <c r="R560" s="36"/>
      <c r="S560" s="36"/>
      <c r="T560" s="36"/>
      <c r="U560" s="36"/>
      <c r="V560" s="36"/>
      <c r="W560" s="36"/>
      <c r="X560" s="36"/>
      <c r="Y560" s="36"/>
      <c r="Z560" s="36"/>
      <c r="AA560" s="36"/>
      <c r="AB560" s="36"/>
      <c r="AC560" s="36"/>
    </row>
    <row r="561" ht="15.75" customHeight="1">
      <c r="A561" s="423">
        <v>43117.0</v>
      </c>
      <c r="B561" s="424">
        <v>14.0244</v>
      </c>
      <c r="C561" s="425">
        <v>16.1024</v>
      </c>
      <c r="D561" s="171"/>
      <c r="E561" s="425">
        <v>13.3598</v>
      </c>
      <c r="F561" s="425">
        <v>16.7276</v>
      </c>
      <c r="G561" s="425">
        <v>12.985</v>
      </c>
      <c r="H561" s="171"/>
      <c r="I561" s="171"/>
      <c r="J561" s="425">
        <v>16.5467</v>
      </c>
      <c r="K561" s="182">
        <v>10788.55</v>
      </c>
      <c r="L561" s="36"/>
      <c r="M561" s="36"/>
      <c r="N561" s="36"/>
      <c r="O561" s="36"/>
      <c r="P561" s="36"/>
      <c r="Q561" s="36"/>
      <c r="R561" s="36"/>
      <c r="S561" s="36"/>
      <c r="T561" s="36"/>
      <c r="U561" s="36"/>
      <c r="V561" s="36"/>
      <c r="W561" s="36"/>
      <c r="X561" s="36"/>
      <c r="Y561" s="36"/>
      <c r="Z561" s="36"/>
      <c r="AA561" s="36"/>
      <c r="AB561" s="36"/>
      <c r="AC561" s="36"/>
    </row>
    <row r="562" ht="15.75" customHeight="1">
      <c r="A562" s="423">
        <v>43117.0</v>
      </c>
      <c r="B562" s="424">
        <v>14.0244</v>
      </c>
      <c r="C562" s="425">
        <v>16.1024</v>
      </c>
      <c r="D562" s="171"/>
      <c r="E562" s="425">
        <v>13.3598</v>
      </c>
      <c r="F562" s="425">
        <v>16.7276</v>
      </c>
      <c r="G562" s="425">
        <v>12.985</v>
      </c>
      <c r="H562" s="171"/>
      <c r="I562" s="171"/>
      <c r="J562" s="425">
        <v>16.5467</v>
      </c>
      <c r="K562" s="182">
        <v>10788.55</v>
      </c>
      <c r="L562" s="36"/>
      <c r="M562" s="36"/>
      <c r="N562" s="36"/>
      <c r="O562" s="36"/>
      <c r="P562" s="36"/>
      <c r="Q562" s="36"/>
      <c r="R562" s="36"/>
      <c r="S562" s="36"/>
      <c r="T562" s="36"/>
      <c r="U562" s="36"/>
      <c r="V562" s="36"/>
      <c r="W562" s="36"/>
      <c r="X562" s="36"/>
      <c r="Y562" s="36"/>
      <c r="Z562" s="36"/>
      <c r="AA562" s="36"/>
      <c r="AB562" s="36"/>
      <c r="AC562" s="36"/>
    </row>
    <row r="563" ht="15.75" customHeight="1">
      <c r="A563" s="423">
        <v>43117.0</v>
      </c>
      <c r="B563" s="424">
        <v>14.0244</v>
      </c>
      <c r="C563" s="425">
        <v>16.0954</v>
      </c>
      <c r="D563" s="171"/>
      <c r="E563" s="425">
        <v>13.3598</v>
      </c>
      <c r="F563" s="425">
        <v>16.7276</v>
      </c>
      <c r="G563" s="425">
        <v>12.985</v>
      </c>
      <c r="H563" s="171"/>
      <c r="I563" s="171"/>
      <c r="J563" s="425">
        <v>16.6137</v>
      </c>
      <c r="K563" s="182">
        <v>10788.55</v>
      </c>
      <c r="L563" s="36"/>
      <c r="M563" s="36"/>
      <c r="N563" s="36"/>
      <c r="O563" s="36"/>
      <c r="P563" s="36"/>
      <c r="Q563" s="36"/>
      <c r="R563" s="36"/>
      <c r="S563" s="36"/>
      <c r="T563" s="36"/>
      <c r="U563" s="36"/>
      <c r="V563" s="36"/>
      <c r="W563" s="36"/>
      <c r="X563" s="36"/>
      <c r="Y563" s="36"/>
      <c r="Z563" s="36"/>
      <c r="AA563" s="36"/>
      <c r="AB563" s="36"/>
      <c r="AC563" s="36"/>
    </row>
    <row r="564" ht="15.75" customHeight="1">
      <c r="A564" s="423">
        <v>43117.0</v>
      </c>
      <c r="B564" s="424">
        <v>14.0244</v>
      </c>
      <c r="C564" s="425">
        <v>16.0954</v>
      </c>
      <c r="D564" s="171"/>
      <c r="E564" s="425">
        <v>13.3598</v>
      </c>
      <c r="F564" s="425">
        <v>16.7276</v>
      </c>
      <c r="G564" s="425">
        <v>12.985</v>
      </c>
      <c r="H564" s="171"/>
      <c r="I564" s="171"/>
      <c r="J564" s="425">
        <v>16.6137</v>
      </c>
      <c r="K564" s="182">
        <v>10788.55</v>
      </c>
      <c r="L564" s="36"/>
      <c r="M564" s="36"/>
      <c r="N564" s="36"/>
      <c r="O564" s="36"/>
      <c r="P564" s="36"/>
      <c r="Q564" s="36"/>
      <c r="R564" s="36"/>
      <c r="S564" s="36"/>
      <c r="T564" s="36"/>
      <c r="U564" s="36"/>
      <c r="V564" s="36"/>
      <c r="W564" s="36"/>
      <c r="X564" s="36"/>
      <c r="Y564" s="36"/>
      <c r="Z564" s="36"/>
      <c r="AA564" s="36"/>
      <c r="AB564" s="36"/>
      <c r="AC564" s="36"/>
    </row>
    <row r="565" ht="15.75" customHeight="1">
      <c r="A565" s="423">
        <v>43118.0</v>
      </c>
      <c r="B565" s="424">
        <v>14.0186</v>
      </c>
      <c r="C565" s="425">
        <v>16.0977</v>
      </c>
      <c r="D565" s="171"/>
      <c r="E565" s="425">
        <v>13.3348</v>
      </c>
      <c r="F565" s="425">
        <v>16.7564</v>
      </c>
      <c r="G565" s="425">
        <v>12.9734</v>
      </c>
      <c r="H565" s="171"/>
      <c r="I565" s="171"/>
      <c r="J565" s="425">
        <v>16.449</v>
      </c>
      <c r="K565" s="182">
        <v>10817.0</v>
      </c>
      <c r="L565" s="36"/>
      <c r="M565" s="36"/>
      <c r="N565" s="36"/>
      <c r="O565" s="36"/>
      <c r="P565" s="36"/>
      <c r="Q565" s="36"/>
      <c r="R565" s="36"/>
      <c r="S565" s="36"/>
      <c r="T565" s="36"/>
      <c r="U565" s="36"/>
      <c r="V565" s="36"/>
      <c r="W565" s="36"/>
      <c r="X565" s="36"/>
      <c r="Y565" s="36"/>
      <c r="Z565" s="36"/>
      <c r="AA565" s="36"/>
      <c r="AB565" s="36"/>
      <c r="AC565" s="36"/>
    </row>
    <row r="566" ht="15.75" customHeight="1">
      <c r="A566" s="423">
        <v>43118.0</v>
      </c>
      <c r="B566" s="424">
        <v>14.0186</v>
      </c>
      <c r="C566" s="425">
        <v>16.0977</v>
      </c>
      <c r="D566" s="171"/>
      <c r="E566" s="425">
        <v>13.3348</v>
      </c>
      <c r="F566" s="425">
        <v>16.7564</v>
      </c>
      <c r="G566" s="425">
        <v>12.9734</v>
      </c>
      <c r="H566" s="171"/>
      <c r="I566" s="171"/>
      <c r="J566" s="425">
        <v>16.449</v>
      </c>
      <c r="K566" s="182">
        <v>10817.0</v>
      </c>
      <c r="L566" s="36"/>
      <c r="M566" s="36"/>
      <c r="N566" s="36"/>
      <c r="O566" s="36"/>
      <c r="P566" s="36"/>
      <c r="Q566" s="36"/>
      <c r="R566" s="36"/>
      <c r="S566" s="36"/>
      <c r="T566" s="36"/>
      <c r="U566" s="36"/>
      <c r="V566" s="36"/>
      <c r="W566" s="36"/>
      <c r="X566" s="36"/>
      <c r="Y566" s="36"/>
      <c r="Z566" s="36"/>
      <c r="AA566" s="36"/>
      <c r="AB566" s="36"/>
      <c r="AC566" s="36"/>
    </row>
    <row r="567" ht="15.75" customHeight="1">
      <c r="A567" s="423">
        <v>43118.0</v>
      </c>
      <c r="B567" s="424">
        <v>14.0186</v>
      </c>
      <c r="C567" s="425">
        <v>16.098</v>
      </c>
      <c r="D567" s="171"/>
      <c r="E567" s="425">
        <v>13.3348</v>
      </c>
      <c r="F567" s="425">
        <v>16.7564</v>
      </c>
      <c r="G567" s="425">
        <v>12.9734</v>
      </c>
      <c r="H567" s="171"/>
      <c r="I567" s="171"/>
      <c r="J567" s="425">
        <v>16.4802</v>
      </c>
      <c r="K567" s="182">
        <v>10817.0</v>
      </c>
      <c r="L567" s="36"/>
      <c r="M567" s="36"/>
      <c r="N567" s="36"/>
      <c r="O567" s="36"/>
      <c r="P567" s="36"/>
      <c r="Q567" s="36"/>
      <c r="R567" s="36"/>
      <c r="S567" s="36"/>
      <c r="T567" s="36"/>
      <c r="U567" s="36"/>
      <c r="V567" s="36"/>
      <c r="W567" s="36"/>
      <c r="X567" s="36"/>
      <c r="Y567" s="36"/>
      <c r="Z567" s="36"/>
      <c r="AA567" s="36"/>
      <c r="AB567" s="36"/>
      <c r="AC567" s="36"/>
    </row>
    <row r="568" ht="15.75" customHeight="1">
      <c r="A568" s="423">
        <v>43118.0</v>
      </c>
      <c r="B568" s="424">
        <v>14.0186</v>
      </c>
      <c r="C568" s="425">
        <v>16.098</v>
      </c>
      <c r="D568" s="171"/>
      <c r="E568" s="425">
        <v>13.3348</v>
      </c>
      <c r="F568" s="425">
        <v>16.7564</v>
      </c>
      <c r="G568" s="425">
        <v>12.9734</v>
      </c>
      <c r="H568" s="171"/>
      <c r="I568" s="171"/>
      <c r="J568" s="425">
        <v>16.4802</v>
      </c>
      <c r="K568" s="182">
        <v>10817.0</v>
      </c>
      <c r="L568" s="36"/>
      <c r="M568" s="36"/>
      <c r="N568" s="36"/>
      <c r="O568" s="36"/>
      <c r="P568" s="36"/>
      <c r="Q568" s="36"/>
      <c r="R568" s="36"/>
      <c r="S568" s="36"/>
      <c r="T568" s="36"/>
      <c r="U568" s="36"/>
      <c r="V568" s="36"/>
      <c r="W568" s="36"/>
      <c r="X568" s="36"/>
      <c r="Y568" s="36"/>
      <c r="Z568" s="36"/>
      <c r="AA568" s="36"/>
      <c r="AB568" s="36"/>
      <c r="AC568" s="36"/>
    </row>
    <row r="569" ht="15.75" customHeight="1">
      <c r="A569" s="423">
        <v>43119.0</v>
      </c>
      <c r="B569" s="424">
        <v>14.0981</v>
      </c>
      <c r="C569" s="425">
        <v>16.1122</v>
      </c>
      <c r="D569" s="171"/>
      <c r="E569" s="425">
        <v>13.3351</v>
      </c>
      <c r="F569" s="425">
        <v>16.8431</v>
      </c>
      <c r="G569" s="425">
        <v>12.9749</v>
      </c>
      <c r="H569" s="171"/>
      <c r="I569" s="171"/>
      <c r="J569" s="425">
        <v>16.3828</v>
      </c>
      <c r="K569" s="182">
        <v>10894.7</v>
      </c>
      <c r="L569" s="36"/>
      <c r="M569" s="36"/>
      <c r="N569" s="36"/>
      <c r="O569" s="36"/>
      <c r="P569" s="36"/>
      <c r="Q569" s="36"/>
      <c r="R569" s="36"/>
      <c r="S569" s="36"/>
      <c r="T569" s="36"/>
      <c r="U569" s="36"/>
      <c r="V569" s="36"/>
      <c r="W569" s="36"/>
      <c r="X569" s="36"/>
      <c r="Y569" s="36"/>
      <c r="Z569" s="36"/>
      <c r="AA569" s="36"/>
      <c r="AB569" s="36"/>
      <c r="AC569" s="36"/>
    </row>
    <row r="570" ht="15.75" customHeight="1">
      <c r="A570" s="423">
        <v>43119.0</v>
      </c>
      <c r="B570" s="424">
        <v>14.0981</v>
      </c>
      <c r="C570" s="425">
        <v>16.1122</v>
      </c>
      <c r="D570" s="171"/>
      <c r="E570" s="425">
        <v>13.3351</v>
      </c>
      <c r="F570" s="425">
        <v>16.8431</v>
      </c>
      <c r="G570" s="425">
        <v>12.9749</v>
      </c>
      <c r="H570" s="171"/>
      <c r="I570" s="171"/>
      <c r="J570" s="425">
        <v>16.3828</v>
      </c>
      <c r="K570" s="182">
        <v>10894.7</v>
      </c>
      <c r="L570" s="36"/>
      <c r="M570" s="36"/>
      <c r="N570" s="36"/>
      <c r="O570" s="36"/>
      <c r="P570" s="36"/>
      <c r="Q570" s="36"/>
      <c r="R570" s="36"/>
      <c r="S570" s="36"/>
      <c r="T570" s="36"/>
      <c r="U570" s="36"/>
      <c r="V570" s="36"/>
      <c r="W570" s="36"/>
      <c r="X570" s="36"/>
      <c r="Y570" s="36"/>
      <c r="Z570" s="36"/>
      <c r="AA570" s="36"/>
      <c r="AB570" s="36"/>
      <c r="AC570" s="36"/>
    </row>
    <row r="571" ht="15.75" customHeight="1">
      <c r="A571" s="423">
        <v>43119.0</v>
      </c>
      <c r="B571" s="424">
        <v>14.0981</v>
      </c>
      <c r="C571" s="425">
        <v>16.1048</v>
      </c>
      <c r="D571" s="171"/>
      <c r="E571" s="425">
        <v>13.3351</v>
      </c>
      <c r="F571" s="425">
        <v>16.8431</v>
      </c>
      <c r="G571" s="425">
        <v>12.9749</v>
      </c>
      <c r="H571" s="171"/>
      <c r="I571" s="171"/>
      <c r="J571" s="425">
        <v>16.4165</v>
      </c>
      <c r="K571" s="182">
        <v>10894.7</v>
      </c>
      <c r="L571" s="36"/>
      <c r="M571" s="36"/>
      <c r="N571" s="36"/>
      <c r="O571" s="36"/>
      <c r="P571" s="36"/>
      <c r="Q571" s="36"/>
      <c r="R571" s="36"/>
      <c r="S571" s="36"/>
      <c r="T571" s="36"/>
      <c r="U571" s="36"/>
      <c r="V571" s="36"/>
      <c r="W571" s="36"/>
      <c r="X571" s="36"/>
      <c r="Y571" s="36"/>
      <c r="Z571" s="36"/>
      <c r="AA571" s="36"/>
      <c r="AB571" s="36"/>
      <c r="AC571" s="36"/>
    </row>
    <row r="572" ht="15.75" customHeight="1">
      <c r="A572" s="423">
        <v>43119.0</v>
      </c>
      <c r="B572" s="424">
        <v>14.0981</v>
      </c>
      <c r="C572" s="425">
        <v>16.1048</v>
      </c>
      <c r="D572" s="171"/>
      <c r="E572" s="425">
        <v>13.3351</v>
      </c>
      <c r="F572" s="425">
        <v>16.8431</v>
      </c>
      <c r="G572" s="425">
        <v>12.9749</v>
      </c>
      <c r="H572" s="171"/>
      <c r="I572" s="171"/>
      <c r="J572" s="425">
        <v>16.4165</v>
      </c>
      <c r="K572" s="182">
        <v>10894.7</v>
      </c>
      <c r="L572" s="36"/>
      <c r="M572" s="36"/>
      <c r="N572" s="36"/>
      <c r="O572" s="36"/>
      <c r="P572" s="36"/>
      <c r="Q572" s="36"/>
      <c r="R572" s="36"/>
      <c r="S572" s="36"/>
      <c r="T572" s="36"/>
      <c r="U572" s="36"/>
      <c r="V572" s="36"/>
      <c r="W572" s="36"/>
      <c r="X572" s="36"/>
      <c r="Y572" s="36"/>
      <c r="Z572" s="36"/>
      <c r="AA572" s="36"/>
      <c r="AB572" s="36"/>
      <c r="AC572" s="36"/>
    </row>
    <row r="573" ht="15.75" customHeight="1">
      <c r="A573" s="423">
        <v>43122.0</v>
      </c>
      <c r="B573" s="424">
        <v>14.1649</v>
      </c>
      <c r="C573" s="425">
        <v>16.1176</v>
      </c>
      <c r="D573" s="171"/>
      <c r="E573" s="425">
        <v>13.3488</v>
      </c>
      <c r="F573" s="425">
        <v>16.9147</v>
      </c>
      <c r="G573" s="425">
        <v>12.9815</v>
      </c>
      <c r="H573" s="171"/>
      <c r="I573" s="171"/>
      <c r="J573" s="425">
        <v>16.2443</v>
      </c>
      <c r="K573" s="182">
        <v>10966.2</v>
      </c>
      <c r="L573" s="36"/>
      <c r="M573" s="36"/>
      <c r="N573" s="36"/>
      <c r="O573" s="36"/>
      <c r="P573" s="36"/>
      <c r="Q573" s="36"/>
      <c r="R573" s="36"/>
      <c r="S573" s="36"/>
      <c r="T573" s="36"/>
      <c r="U573" s="36"/>
      <c r="V573" s="36"/>
      <c r="W573" s="36"/>
      <c r="X573" s="36"/>
      <c r="Y573" s="36"/>
      <c r="Z573" s="36"/>
      <c r="AA573" s="36"/>
      <c r="AB573" s="36"/>
      <c r="AC573" s="36"/>
    </row>
    <row r="574" ht="15.75" customHeight="1">
      <c r="A574" s="423">
        <v>43122.0</v>
      </c>
      <c r="B574" s="424">
        <v>14.1649</v>
      </c>
      <c r="C574" s="425">
        <v>16.1176</v>
      </c>
      <c r="D574" s="171"/>
      <c r="E574" s="425">
        <v>13.3488</v>
      </c>
      <c r="F574" s="425">
        <v>16.9147</v>
      </c>
      <c r="G574" s="425">
        <v>12.9815</v>
      </c>
      <c r="H574" s="171"/>
      <c r="I574" s="171"/>
      <c r="J574" s="425">
        <v>16.2443</v>
      </c>
      <c r="K574" s="182">
        <v>10966.2</v>
      </c>
      <c r="L574" s="36"/>
      <c r="M574" s="36"/>
      <c r="N574" s="36"/>
      <c r="O574" s="36"/>
      <c r="P574" s="36"/>
      <c r="Q574" s="36"/>
      <c r="R574" s="36"/>
      <c r="S574" s="36"/>
      <c r="T574" s="36"/>
      <c r="U574" s="36"/>
      <c r="V574" s="36"/>
      <c r="W574" s="36"/>
      <c r="X574" s="36"/>
      <c r="Y574" s="36"/>
      <c r="Z574" s="36"/>
      <c r="AA574" s="36"/>
      <c r="AB574" s="36"/>
      <c r="AC574" s="36"/>
    </row>
    <row r="575" ht="15.75" customHeight="1">
      <c r="A575" s="423">
        <v>43122.0</v>
      </c>
      <c r="B575" s="424">
        <v>14.1649</v>
      </c>
      <c r="C575" s="425">
        <v>16.1146</v>
      </c>
      <c r="D575" s="171"/>
      <c r="E575" s="425">
        <v>13.3488</v>
      </c>
      <c r="F575" s="425">
        <v>16.9147</v>
      </c>
      <c r="G575" s="425">
        <v>12.9815</v>
      </c>
      <c r="H575" s="171"/>
      <c r="I575" s="171"/>
      <c r="J575" s="425">
        <v>16.3721</v>
      </c>
      <c r="K575" s="182">
        <v>10966.2</v>
      </c>
      <c r="L575" s="36"/>
      <c r="M575" s="36"/>
      <c r="N575" s="36"/>
      <c r="O575" s="36"/>
      <c r="P575" s="36"/>
      <c r="Q575" s="36"/>
      <c r="R575" s="36"/>
      <c r="S575" s="36"/>
      <c r="T575" s="36"/>
      <c r="U575" s="36"/>
      <c r="V575" s="36"/>
      <c r="W575" s="36"/>
      <c r="X575" s="36"/>
      <c r="Y575" s="36"/>
      <c r="Z575" s="36"/>
      <c r="AA575" s="36"/>
      <c r="AB575" s="36"/>
      <c r="AC575" s="36"/>
    </row>
    <row r="576" ht="15.75" customHeight="1">
      <c r="A576" s="423">
        <v>43122.0</v>
      </c>
      <c r="B576" s="424">
        <v>14.1649</v>
      </c>
      <c r="C576" s="425">
        <v>16.1146</v>
      </c>
      <c r="D576" s="171"/>
      <c r="E576" s="425">
        <v>13.3488</v>
      </c>
      <c r="F576" s="425">
        <v>16.9147</v>
      </c>
      <c r="G576" s="425">
        <v>12.9815</v>
      </c>
      <c r="H576" s="171"/>
      <c r="I576" s="171"/>
      <c r="J576" s="425">
        <v>16.3721</v>
      </c>
      <c r="K576" s="182">
        <v>10966.2</v>
      </c>
      <c r="L576" s="36"/>
      <c r="M576" s="36"/>
      <c r="N576" s="36"/>
      <c r="O576" s="36"/>
      <c r="P576" s="36"/>
      <c r="Q576" s="36"/>
      <c r="R576" s="36"/>
      <c r="S576" s="36"/>
      <c r="T576" s="36"/>
      <c r="U576" s="36"/>
      <c r="V576" s="36"/>
      <c r="W576" s="36"/>
      <c r="X576" s="36"/>
      <c r="Y576" s="36"/>
      <c r="Z576" s="36"/>
      <c r="AA576" s="36"/>
      <c r="AB576" s="36"/>
      <c r="AC576" s="36"/>
    </row>
    <row r="577" ht="15.75" customHeight="1">
      <c r="A577" s="423">
        <v>43123.0</v>
      </c>
      <c r="B577" s="424">
        <v>14.2906</v>
      </c>
      <c r="C577" s="425">
        <v>16.1162</v>
      </c>
      <c r="D577" s="171"/>
      <c r="E577" s="425">
        <v>13.371</v>
      </c>
      <c r="F577" s="425">
        <v>17.0396</v>
      </c>
      <c r="G577" s="425">
        <v>12.9916</v>
      </c>
      <c r="H577" s="171"/>
      <c r="I577" s="171"/>
      <c r="J577" s="425">
        <v>16.0471</v>
      </c>
      <c r="K577" s="182">
        <v>11083.7</v>
      </c>
      <c r="L577" s="36"/>
      <c r="M577" s="36"/>
      <c r="N577" s="36"/>
      <c r="O577" s="36"/>
      <c r="P577" s="36"/>
      <c r="Q577" s="36"/>
      <c r="R577" s="36"/>
      <c r="S577" s="36"/>
      <c r="T577" s="36"/>
      <c r="U577" s="36"/>
      <c r="V577" s="36"/>
      <c r="W577" s="36"/>
      <c r="X577" s="36"/>
      <c r="Y577" s="36"/>
      <c r="Z577" s="36"/>
      <c r="AA577" s="36"/>
      <c r="AB577" s="36"/>
      <c r="AC577" s="36"/>
    </row>
    <row r="578" ht="15.75" customHeight="1">
      <c r="A578" s="423">
        <v>43123.0</v>
      </c>
      <c r="B578" s="424">
        <v>14.2906</v>
      </c>
      <c r="C578" s="425">
        <v>16.1162</v>
      </c>
      <c r="D578" s="171"/>
      <c r="E578" s="425">
        <v>13.371</v>
      </c>
      <c r="F578" s="425">
        <v>17.0396</v>
      </c>
      <c r="G578" s="425">
        <v>12.9916</v>
      </c>
      <c r="H578" s="171"/>
      <c r="I578" s="171"/>
      <c r="J578" s="425">
        <v>16.0471</v>
      </c>
      <c r="K578" s="182">
        <v>11083.7</v>
      </c>
      <c r="L578" s="36"/>
      <c r="M578" s="36"/>
      <c r="N578" s="36"/>
      <c r="O578" s="36"/>
      <c r="P578" s="36"/>
      <c r="Q578" s="36"/>
      <c r="R578" s="36"/>
      <c r="S578" s="36"/>
      <c r="T578" s="36"/>
      <c r="U578" s="36"/>
      <c r="V578" s="36"/>
      <c r="W578" s="36"/>
      <c r="X578" s="36"/>
      <c r="Y578" s="36"/>
      <c r="Z578" s="36"/>
      <c r="AA578" s="36"/>
      <c r="AB578" s="36"/>
      <c r="AC578" s="36"/>
    </row>
    <row r="579" ht="15.75" customHeight="1">
      <c r="A579" s="423">
        <v>43123.0</v>
      </c>
      <c r="B579" s="424">
        <v>14.2906</v>
      </c>
      <c r="C579" s="425">
        <v>16.1171</v>
      </c>
      <c r="D579" s="171"/>
      <c r="E579" s="425">
        <v>13.371</v>
      </c>
      <c r="F579" s="425">
        <v>17.0396</v>
      </c>
      <c r="G579" s="425">
        <v>12.9916</v>
      </c>
      <c r="H579" s="171"/>
      <c r="I579" s="171"/>
      <c r="J579" s="425">
        <v>16.204</v>
      </c>
      <c r="K579" s="182">
        <v>11083.7</v>
      </c>
      <c r="L579" s="36"/>
      <c r="M579" s="36"/>
      <c r="N579" s="36"/>
      <c r="O579" s="36"/>
      <c r="P579" s="36"/>
      <c r="Q579" s="36"/>
      <c r="R579" s="36"/>
      <c r="S579" s="36"/>
      <c r="T579" s="36"/>
      <c r="U579" s="36"/>
      <c r="V579" s="36"/>
      <c r="W579" s="36"/>
      <c r="X579" s="36"/>
      <c r="Y579" s="36"/>
      <c r="Z579" s="36"/>
      <c r="AA579" s="36"/>
      <c r="AB579" s="36"/>
      <c r="AC579" s="36"/>
    </row>
    <row r="580" ht="15.75" customHeight="1">
      <c r="A580" s="423">
        <v>43123.0</v>
      </c>
      <c r="B580" s="424">
        <v>14.2906</v>
      </c>
      <c r="C580" s="425">
        <v>16.1171</v>
      </c>
      <c r="D580" s="171"/>
      <c r="E580" s="425">
        <v>13.371</v>
      </c>
      <c r="F580" s="425">
        <v>17.0396</v>
      </c>
      <c r="G580" s="425">
        <v>12.9916</v>
      </c>
      <c r="H580" s="171"/>
      <c r="I580" s="171"/>
      <c r="J580" s="425">
        <v>16.204</v>
      </c>
      <c r="K580" s="182">
        <v>11083.7</v>
      </c>
      <c r="L580" s="36"/>
      <c r="M580" s="36"/>
      <c r="N580" s="36"/>
      <c r="O580" s="36"/>
      <c r="P580" s="36"/>
      <c r="Q580" s="36"/>
      <c r="R580" s="36"/>
      <c r="S580" s="36"/>
      <c r="T580" s="36"/>
      <c r="U580" s="36"/>
      <c r="V580" s="36"/>
      <c r="W580" s="36"/>
      <c r="X580" s="36"/>
      <c r="Y580" s="36"/>
      <c r="Z580" s="36"/>
      <c r="AA580" s="36"/>
      <c r="AB580" s="36"/>
      <c r="AC580" s="36"/>
    </row>
    <row r="581" ht="15.75" customHeight="1">
      <c r="A581" s="423">
        <v>43124.0</v>
      </c>
      <c r="B581" s="424">
        <v>14.2503</v>
      </c>
      <c r="C581" s="425">
        <v>16.1087</v>
      </c>
      <c r="D581" s="171"/>
      <c r="E581" s="425">
        <v>13.3604</v>
      </c>
      <c r="F581" s="425">
        <v>17.0072</v>
      </c>
      <c r="G581" s="425">
        <v>12.989</v>
      </c>
      <c r="H581" s="171"/>
      <c r="I581" s="171"/>
      <c r="J581" s="425">
        <v>16.2252</v>
      </c>
      <c r="K581" s="182">
        <v>11086.0</v>
      </c>
      <c r="L581" s="36"/>
      <c r="M581" s="36"/>
      <c r="N581" s="36"/>
      <c r="O581" s="36"/>
      <c r="P581" s="36"/>
      <c r="Q581" s="36"/>
      <c r="R581" s="36"/>
      <c r="S581" s="36"/>
      <c r="T581" s="36"/>
      <c r="U581" s="36"/>
      <c r="V581" s="36"/>
      <c r="W581" s="36"/>
      <c r="X581" s="36"/>
      <c r="Y581" s="36"/>
      <c r="Z581" s="36"/>
      <c r="AA581" s="36"/>
      <c r="AB581" s="36"/>
      <c r="AC581" s="36"/>
    </row>
    <row r="582" ht="15.75" customHeight="1">
      <c r="A582" s="423">
        <v>43124.0</v>
      </c>
      <c r="B582" s="424">
        <v>14.2503</v>
      </c>
      <c r="C582" s="425">
        <v>16.1087</v>
      </c>
      <c r="D582" s="171"/>
      <c r="E582" s="425">
        <v>13.3604</v>
      </c>
      <c r="F582" s="425">
        <v>17.0072</v>
      </c>
      <c r="G582" s="425">
        <v>12.989</v>
      </c>
      <c r="H582" s="171"/>
      <c r="I582" s="171"/>
      <c r="J582" s="425">
        <v>16.2252</v>
      </c>
      <c r="K582" s="182">
        <v>11086.0</v>
      </c>
      <c r="L582" s="36"/>
      <c r="M582" s="36"/>
      <c r="N582" s="36"/>
      <c r="O582" s="36"/>
      <c r="P582" s="36"/>
      <c r="Q582" s="36"/>
      <c r="R582" s="36"/>
      <c r="S582" s="36"/>
      <c r="T582" s="36"/>
      <c r="U582" s="36"/>
      <c r="V582" s="36"/>
      <c r="W582" s="36"/>
      <c r="X582" s="36"/>
      <c r="Y582" s="36"/>
      <c r="Z582" s="36"/>
      <c r="AA582" s="36"/>
      <c r="AB582" s="36"/>
      <c r="AC582" s="36"/>
    </row>
    <row r="583" ht="15.75" customHeight="1">
      <c r="A583" s="423">
        <v>43124.0</v>
      </c>
      <c r="B583" s="424">
        <v>14.2503</v>
      </c>
      <c r="C583" s="425">
        <v>16.112</v>
      </c>
      <c r="D583" s="171"/>
      <c r="E583" s="425">
        <v>13.3604</v>
      </c>
      <c r="F583" s="425">
        <v>17.0072</v>
      </c>
      <c r="G583" s="425">
        <v>12.989</v>
      </c>
      <c r="H583" s="171"/>
      <c r="I583" s="171"/>
      <c r="J583" s="425">
        <v>16.2113</v>
      </c>
      <c r="K583" s="182">
        <v>11086.0</v>
      </c>
      <c r="L583" s="36"/>
      <c r="M583" s="36"/>
      <c r="N583" s="36"/>
      <c r="O583" s="36"/>
      <c r="P583" s="36"/>
      <c r="Q583" s="36"/>
      <c r="R583" s="36"/>
      <c r="S583" s="36"/>
      <c r="T583" s="36"/>
      <c r="U583" s="36"/>
      <c r="V583" s="36"/>
      <c r="W583" s="36"/>
      <c r="X583" s="36"/>
      <c r="Y583" s="36"/>
      <c r="Z583" s="36"/>
      <c r="AA583" s="36"/>
      <c r="AB583" s="36"/>
      <c r="AC583" s="36"/>
    </row>
    <row r="584" ht="15.75" customHeight="1">
      <c r="A584" s="423">
        <v>43124.0</v>
      </c>
      <c r="B584" s="424">
        <v>14.2503</v>
      </c>
      <c r="C584" s="425">
        <v>16.112</v>
      </c>
      <c r="D584" s="171"/>
      <c r="E584" s="425">
        <v>13.3604</v>
      </c>
      <c r="F584" s="425">
        <v>17.0072</v>
      </c>
      <c r="G584" s="425">
        <v>12.989</v>
      </c>
      <c r="H584" s="171"/>
      <c r="I584" s="171"/>
      <c r="J584" s="425">
        <v>16.2113</v>
      </c>
      <c r="K584" s="182">
        <v>11086.0</v>
      </c>
      <c r="L584" s="36"/>
      <c r="M584" s="36"/>
      <c r="N584" s="36"/>
      <c r="O584" s="36"/>
      <c r="P584" s="36"/>
      <c r="Q584" s="36"/>
      <c r="R584" s="36"/>
      <c r="S584" s="36"/>
      <c r="T584" s="36"/>
      <c r="U584" s="36"/>
      <c r="V584" s="36"/>
      <c r="W584" s="36"/>
      <c r="X584" s="36"/>
      <c r="Y584" s="36"/>
      <c r="Z584" s="36"/>
      <c r="AA584" s="36"/>
      <c r="AB584" s="36"/>
      <c r="AC584" s="36"/>
    </row>
    <row r="585" ht="15.75" customHeight="1">
      <c r="A585" s="423">
        <v>43125.0</v>
      </c>
      <c r="B585" s="424">
        <v>14.236</v>
      </c>
      <c r="C585" s="425">
        <v>16.1365</v>
      </c>
      <c r="D585" s="171"/>
      <c r="E585" s="425">
        <v>13.3474</v>
      </c>
      <c r="F585" s="425">
        <v>16.9785</v>
      </c>
      <c r="G585" s="425">
        <v>12.9859</v>
      </c>
      <c r="H585" s="171"/>
      <c r="I585" s="171"/>
      <c r="J585" s="425">
        <v>16.4535</v>
      </c>
      <c r="K585" s="182">
        <v>11069.65</v>
      </c>
      <c r="L585" s="36"/>
      <c r="M585" s="36"/>
      <c r="N585" s="36"/>
      <c r="O585" s="36"/>
      <c r="P585" s="36"/>
      <c r="Q585" s="36"/>
      <c r="R585" s="36"/>
      <c r="S585" s="36"/>
      <c r="T585" s="36"/>
      <c r="U585" s="36"/>
      <c r="V585" s="36"/>
      <c r="W585" s="36"/>
      <c r="X585" s="36"/>
      <c r="Y585" s="36"/>
      <c r="Z585" s="36"/>
      <c r="AA585" s="36"/>
      <c r="AB585" s="36"/>
      <c r="AC585" s="36"/>
    </row>
    <row r="586" ht="15.75" customHeight="1">
      <c r="A586" s="423">
        <v>43125.0</v>
      </c>
      <c r="B586" s="424">
        <v>14.236</v>
      </c>
      <c r="C586" s="425">
        <v>16.1365</v>
      </c>
      <c r="D586" s="171"/>
      <c r="E586" s="425">
        <v>13.3474</v>
      </c>
      <c r="F586" s="425">
        <v>16.9785</v>
      </c>
      <c r="G586" s="425">
        <v>12.9859</v>
      </c>
      <c r="H586" s="171"/>
      <c r="I586" s="171"/>
      <c r="J586" s="425">
        <v>16.4535</v>
      </c>
      <c r="K586" s="182">
        <v>11069.65</v>
      </c>
      <c r="L586" s="36"/>
      <c r="M586" s="36"/>
      <c r="N586" s="36"/>
      <c r="O586" s="36"/>
      <c r="P586" s="36"/>
      <c r="Q586" s="36"/>
      <c r="R586" s="36"/>
      <c r="S586" s="36"/>
      <c r="T586" s="36"/>
      <c r="U586" s="36"/>
      <c r="V586" s="36"/>
      <c r="W586" s="36"/>
      <c r="X586" s="36"/>
      <c r="Y586" s="36"/>
      <c r="Z586" s="36"/>
      <c r="AA586" s="36"/>
      <c r="AB586" s="36"/>
      <c r="AC586" s="36"/>
    </row>
    <row r="587" ht="15.75" customHeight="1">
      <c r="A587" s="423">
        <v>43125.0</v>
      </c>
      <c r="B587" s="424">
        <v>14.236</v>
      </c>
      <c r="C587" s="425">
        <v>16.1234</v>
      </c>
      <c r="D587" s="171"/>
      <c r="E587" s="425">
        <v>13.3474</v>
      </c>
      <c r="F587" s="425">
        <v>16.9785</v>
      </c>
      <c r="G587" s="425">
        <v>12.9859</v>
      </c>
      <c r="H587" s="171"/>
      <c r="I587" s="171"/>
      <c r="J587" s="425">
        <v>16.3439</v>
      </c>
      <c r="K587" s="182">
        <v>11069.65</v>
      </c>
      <c r="L587" s="36"/>
      <c r="M587" s="36"/>
      <c r="N587" s="36"/>
      <c r="O587" s="36"/>
      <c r="P587" s="36"/>
      <c r="Q587" s="36"/>
      <c r="R587" s="36"/>
      <c r="S587" s="36"/>
      <c r="T587" s="36"/>
      <c r="U587" s="36"/>
      <c r="V587" s="36"/>
      <c r="W587" s="36"/>
      <c r="X587" s="36"/>
      <c r="Y587" s="36"/>
      <c r="Z587" s="36"/>
      <c r="AA587" s="36"/>
      <c r="AB587" s="36"/>
      <c r="AC587" s="36"/>
    </row>
    <row r="588" ht="15.75" customHeight="1">
      <c r="A588" s="423">
        <v>43125.0</v>
      </c>
      <c r="B588" s="424">
        <v>14.236</v>
      </c>
      <c r="C588" s="425">
        <v>16.1234</v>
      </c>
      <c r="D588" s="171"/>
      <c r="E588" s="425">
        <v>13.3474</v>
      </c>
      <c r="F588" s="425">
        <v>16.9785</v>
      </c>
      <c r="G588" s="425">
        <v>12.9859</v>
      </c>
      <c r="H588" s="171"/>
      <c r="I588" s="171"/>
      <c r="J588" s="425">
        <v>16.3439</v>
      </c>
      <c r="K588" s="182">
        <v>11069.65</v>
      </c>
      <c r="L588" s="36"/>
      <c r="M588" s="36"/>
      <c r="N588" s="36"/>
      <c r="O588" s="36"/>
      <c r="P588" s="36"/>
      <c r="Q588" s="36"/>
      <c r="R588" s="36"/>
      <c r="S588" s="36"/>
      <c r="T588" s="36"/>
      <c r="U588" s="36"/>
      <c r="V588" s="36"/>
      <c r="W588" s="36"/>
      <c r="X588" s="36"/>
      <c r="Y588" s="36"/>
      <c r="Z588" s="36"/>
      <c r="AA588" s="36"/>
      <c r="AB588" s="36"/>
      <c r="AC588" s="36"/>
    </row>
    <row r="589" ht="15.75" customHeight="1">
      <c r="A589" s="423">
        <v>43129.0</v>
      </c>
      <c r="B589" s="424">
        <v>14.2718</v>
      </c>
      <c r="C589" s="425">
        <v>16.1631</v>
      </c>
      <c r="D589" s="171"/>
      <c r="E589" s="425">
        <v>13.2982</v>
      </c>
      <c r="F589" s="425">
        <v>17.0195</v>
      </c>
      <c r="G589" s="425">
        <v>12.9727</v>
      </c>
      <c r="H589" s="171"/>
      <c r="I589" s="171"/>
      <c r="J589" s="425">
        <v>16.5232</v>
      </c>
      <c r="K589" s="182">
        <v>11130.4</v>
      </c>
      <c r="L589" s="36"/>
      <c r="M589" s="36"/>
      <c r="N589" s="36"/>
      <c r="O589" s="36"/>
      <c r="P589" s="36"/>
      <c r="Q589" s="36"/>
      <c r="R589" s="36"/>
      <c r="S589" s="36"/>
      <c r="T589" s="36"/>
      <c r="U589" s="36"/>
      <c r="V589" s="36"/>
      <c r="W589" s="36"/>
      <c r="X589" s="36"/>
      <c r="Y589" s="36"/>
      <c r="Z589" s="36"/>
      <c r="AA589" s="36"/>
      <c r="AB589" s="36"/>
      <c r="AC589" s="36"/>
    </row>
    <row r="590" ht="15.75" customHeight="1">
      <c r="A590" s="423">
        <v>43129.0</v>
      </c>
      <c r="B590" s="424">
        <v>14.2718</v>
      </c>
      <c r="C590" s="425">
        <v>16.1631</v>
      </c>
      <c r="D590" s="171"/>
      <c r="E590" s="425">
        <v>13.2982</v>
      </c>
      <c r="F590" s="425">
        <v>17.0195</v>
      </c>
      <c r="G590" s="425">
        <v>12.9727</v>
      </c>
      <c r="H590" s="171"/>
      <c r="I590" s="171"/>
      <c r="J590" s="425">
        <v>16.5232</v>
      </c>
      <c r="K590" s="182">
        <v>11130.4</v>
      </c>
      <c r="L590" s="36"/>
      <c r="M590" s="36"/>
      <c r="N590" s="36"/>
      <c r="O590" s="36"/>
      <c r="P590" s="36"/>
      <c r="Q590" s="36"/>
      <c r="R590" s="36"/>
      <c r="S590" s="36"/>
      <c r="T590" s="36"/>
      <c r="U590" s="36"/>
      <c r="V590" s="36"/>
      <c r="W590" s="36"/>
      <c r="X590" s="36"/>
      <c r="Y590" s="36"/>
      <c r="Z590" s="36"/>
      <c r="AA590" s="36"/>
      <c r="AB590" s="36"/>
      <c r="AC590" s="36"/>
    </row>
    <row r="591" ht="15.75" customHeight="1">
      <c r="A591" s="423">
        <v>43129.0</v>
      </c>
      <c r="B591" s="424">
        <v>14.2718</v>
      </c>
      <c r="C591" s="425">
        <v>16.139</v>
      </c>
      <c r="D591" s="171"/>
      <c r="E591" s="425">
        <v>13.2982</v>
      </c>
      <c r="F591" s="425">
        <v>17.0195</v>
      </c>
      <c r="G591" s="425">
        <v>12.9727</v>
      </c>
      <c r="H591" s="171"/>
      <c r="I591" s="171"/>
      <c r="J591" s="425">
        <v>16.4539</v>
      </c>
      <c r="K591" s="182">
        <v>11130.4</v>
      </c>
      <c r="L591" s="36"/>
      <c r="M591" s="36"/>
      <c r="N591" s="36"/>
      <c r="O591" s="36"/>
      <c r="P591" s="36"/>
      <c r="Q591" s="36"/>
      <c r="R591" s="36"/>
      <c r="S591" s="36"/>
      <c r="T591" s="36"/>
      <c r="U591" s="36"/>
      <c r="V591" s="36"/>
      <c r="W591" s="36"/>
      <c r="X591" s="36"/>
      <c r="Y591" s="36"/>
      <c r="Z591" s="36"/>
      <c r="AA591" s="36"/>
      <c r="AB591" s="36"/>
      <c r="AC591" s="36"/>
    </row>
    <row r="592" ht="15.75" customHeight="1">
      <c r="A592" s="423">
        <v>43129.0</v>
      </c>
      <c r="B592" s="424">
        <v>14.2718</v>
      </c>
      <c r="C592" s="425">
        <v>16.139</v>
      </c>
      <c r="D592" s="171"/>
      <c r="E592" s="425">
        <v>13.2982</v>
      </c>
      <c r="F592" s="425">
        <v>17.0195</v>
      </c>
      <c r="G592" s="425">
        <v>12.9727</v>
      </c>
      <c r="H592" s="171"/>
      <c r="I592" s="171"/>
      <c r="J592" s="425">
        <v>16.4539</v>
      </c>
      <c r="K592" s="182">
        <v>11130.4</v>
      </c>
      <c r="L592" s="36"/>
      <c r="M592" s="36"/>
      <c r="N592" s="36"/>
      <c r="O592" s="36"/>
      <c r="P592" s="36"/>
      <c r="Q592" s="36"/>
      <c r="R592" s="36"/>
      <c r="S592" s="36"/>
      <c r="T592" s="36"/>
      <c r="U592" s="36"/>
      <c r="V592" s="36"/>
      <c r="W592" s="36"/>
      <c r="X592" s="36"/>
      <c r="Y592" s="36"/>
      <c r="Z592" s="36"/>
      <c r="AA592" s="36"/>
      <c r="AB592" s="36"/>
      <c r="AC592" s="36"/>
    </row>
    <row r="593" ht="15.75" customHeight="1">
      <c r="A593" s="423">
        <v>43130.0</v>
      </c>
      <c r="B593" s="424">
        <v>14.4545</v>
      </c>
      <c r="C593" s="425">
        <v>16.1791</v>
      </c>
      <c r="D593" s="171"/>
      <c r="E593" s="425">
        <v>13.2981</v>
      </c>
      <c r="F593" s="425">
        <v>17.0969</v>
      </c>
      <c r="G593" s="425">
        <v>12.9754</v>
      </c>
      <c r="H593" s="171"/>
      <c r="I593" s="171"/>
      <c r="J593" s="425">
        <v>16.5511</v>
      </c>
      <c r="K593" s="182">
        <v>11049.65</v>
      </c>
      <c r="L593" s="36"/>
      <c r="M593" s="36"/>
      <c r="N593" s="36"/>
      <c r="O593" s="36"/>
      <c r="P593" s="36"/>
      <c r="Q593" s="36"/>
      <c r="R593" s="36"/>
      <c r="S593" s="36"/>
      <c r="T593" s="36"/>
      <c r="U593" s="36"/>
      <c r="V593" s="36"/>
      <c r="W593" s="36"/>
      <c r="X593" s="36"/>
      <c r="Y593" s="36"/>
      <c r="Z593" s="36"/>
      <c r="AA593" s="36"/>
      <c r="AB593" s="36"/>
      <c r="AC593" s="36"/>
    </row>
    <row r="594" ht="15.75" customHeight="1">
      <c r="A594" s="423">
        <v>43130.0</v>
      </c>
      <c r="B594" s="424">
        <v>14.4545</v>
      </c>
      <c r="C594" s="425">
        <v>16.1791</v>
      </c>
      <c r="D594" s="171"/>
      <c r="E594" s="425">
        <v>13.2981</v>
      </c>
      <c r="F594" s="425">
        <v>17.0969</v>
      </c>
      <c r="G594" s="425">
        <v>12.9754</v>
      </c>
      <c r="H594" s="171"/>
      <c r="I594" s="171"/>
      <c r="J594" s="425">
        <v>16.5511</v>
      </c>
      <c r="K594" s="182">
        <v>11049.65</v>
      </c>
      <c r="L594" s="36"/>
      <c r="M594" s="36"/>
      <c r="N594" s="36"/>
      <c r="O594" s="36"/>
      <c r="P594" s="36"/>
      <c r="Q594" s="36"/>
      <c r="R594" s="36"/>
      <c r="S594" s="36"/>
      <c r="T594" s="36"/>
      <c r="U594" s="36"/>
      <c r="V594" s="36"/>
      <c r="W594" s="36"/>
      <c r="X594" s="36"/>
      <c r="Y594" s="36"/>
      <c r="Z594" s="36"/>
      <c r="AA594" s="36"/>
      <c r="AB594" s="36"/>
      <c r="AC594" s="36"/>
    </row>
    <row r="595" ht="15.75" customHeight="1">
      <c r="A595" s="423">
        <v>43130.0</v>
      </c>
      <c r="B595" s="424">
        <v>14.4545</v>
      </c>
      <c r="C595" s="425">
        <v>16.1654</v>
      </c>
      <c r="D595" s="171"/>
      <c r="E595" s="425">
        <v>13.2981</v>
      </c>
      <c r="F595" s="425">
        <v>17.0969</v>
      </c>
      <c r="G595" s="425">
        <v>12.9754</v>
      </c>
      <c r="H595" s="171"/>
      <c r="I595" s="171"/>
      <c r="J595" s="425">
        <v>16.5418</v>
      </c>
      <c r="K595" s="182">
        <v>11049.65</v>
      </c>
      <c r="L595" s="36"/>
      <c r="M595" s="36"/>
      <c r="N595" s="36"/>
      <c r="O595" s="36"/>
      <c r="P595" s="36"/>
      <c r="Q595" s="36"/>
      <c r="R595" s="36"/>
      <c r="S595" s="36"/>
      <c r="T595" s="36"/>
      <c r="U595" s="36"/>
      <c r="V595" s="36"/>
      <c r="W595" s="36"/>
      <c r="X595" s="36"/>
      <c r="Y595" s="36"/>
      <c r="Z595" s="36"/>
      <c r="AA595" s="36"/>
      <c r="AB595" s="36"/>
      <c r="AC595" s="36"/>
    </row>
    <row r="596" ht="15.75" customHeight="1">
      <c r="A596" s="423">
        <v>43130.0</v>
      </c>
      <c r="B596" s="424">
        <v>14.4545</v>
      </c>
      <c r="C596" s="425">
        <v>16.1654</v>
      </c>
      <c r="D596" s="171"/>
      <c r="E596" s="425">
        <v>13.2981</v>
      </c>
      <c r="F596" s="425">
        <v>17.0969</v>
      </c>
      <c r="G596" s="425">
        <v>12.9754</v>
      </c>
      <c r="H596" s="171"/>
      <c r="I596" s="171"/>
      <c r="J596" s="425">
        <v>16.5418</v>
      </c>
      <c r="K596" s="182">
        <v>11049.65</v>
      </c>
      <c r="L596" s="36"/>
      <c r="M596" s="36"/>
      <c r="N596" s="36"/>
      <c r="O596" s="36"/>
      <c r="P596" s="36"/>
      <c r="Q596" s="36"/>
      <c r="R596" s="36"/>
      <c r="S596" s="36"/>
      <c r="T596" s="36"/>
      <c r="U596" s="36"/>
      <c r="V596" s="36"/>
      <c r="W596" s="36"/>
      <c r="X596" s="36"/>
      <c r="Y596" s="36"/>
      <c r="Z596" s="36"/>
      <c r="AA596" s="36"/>
      <c r="AB596" s="36"/>
      <c r="AC596" s="36"/>
    </row>
    <row r="597" ht="15.75" customHeight="1">
      <c r="A597" s="423">
        <v>43131.0</v>
      </c>
      <c r="B597" s="424">
        <v>14.4223</v>
      </c>
      <c r="C597" s="425">
        <v>16.1818</v>
      </c>
      <c r="D597" s="171"/>
      <c r="E597" s="425">
        <v>13.3002</v>
      </c>
      <c r="F597" s="425">
        <v>17.0552</v>
      </c>
      <c r="G597" s="425">
        <v>12.9768</v>
      </c>
      <c r="H597" s="171"/>
      <c r="I597" s="171"/>
      <c r="J597" s="425">
        <v>16.6263</v>
      </c>
      <c r="K597" s="182">
        <v>11027.7</v>
      </c>
      <c r="L597" s="36"/>
      <c r="M597" s="36"/>
      <c r="N597" s="36"/>
      <c r="O597" s="36"/>
      <c r="P597" s="36"/>
      <c r="Q597" s="36"/>
      <c r="R597" s="36"/>
      <c r="S597" s="36"/>
      <c r="T597" s="36"/>
      <c r="U597" s="36"/>
      <c r="V597" s="36"/>
      <c r="W597" s="36"/>
      <c r="X597" s="36"/>
      <c r="Y597" s="36"/>
      <c r="Z597" s="36"/>
      <c r="AA597" s="36"/>
      <c r="AB597" s="36"/>
      <c r="AC597" s="36"/>
    </row>
    <row r="598" ht="15.75" customHeight="1">
      <c r="A598" s="423">
        <v>43131.0</v>
      </c>
      <c r="B598" s="424">
        <v>14.4223</v>
      </c>
      <c r="C598" s="425">
        <v>16.1818</v>
      </c>
      <c r="D598" s="171"/>
      <c r="E598" s="425">
        <v>13.3002</v>
      </c>
      <c r="F598" s="425">
        <v>17.0552</v>
      </c>
      <c r="G598" s="425">
        <v>12.9768</v>
      </c>
      <c r="H598" s="171"/>
      <c r="I598" s="171"/>
      <c r="J598" s="425">
        <v>16.6263</v>
      </c>
      <c r="K598" s="182">
        <v>11027.7</v>
      </c>
      <c r="L598" s="36"/>
      <c r="M598" s="36"/>
      <c r="N598" s="36"/>
      <c r="O598" s="36"/>
      <c r="P598" s="36"/>
      <c r="Q598" s="36"/>
      <c r="R598" s="36"/>
      <c r="S598" s="36"/>
      <c r="T598" s="36"/>
      <c r="U598" s="36"/>
      <c r="V598" s="36"/>
      <c r="W598" s="36"/>
      <c r="X598" s="36"/>
      <c r="Y598" s="36"/>
      <c r="Z598" s="36"/>
      <c r="AA598" s="36"/>
      <c r="AB598" s="36"/>
      <c r="AC598" s="36"/>
    </row>
    <row r="599" ht="15.75" customHeight="1">
      <c r="A599" s="423">
        <v>43131.0</v>
      </c>
      <c r="B599" s="424">
        <v>14.4223</v>
      </c>
      <c r="C599" s="425">
        <v>16.1816</v>
      </c>
      <c r="D599" s="171"/>
      <c r="E599" s="425">
        <v>13.3002</v>
      </c>
      <c r="F599" s="425">
        <v>17.0552</v>
      </c>
      <c r="G599" s="425">
        <v>12.9768</v>
      </c>
      <c r="H599" s="171"/>
      <c r="I599" s="171"/>
      <c r="J599" s="425">
        <v>16.6623</v>
      </c>
      <c r="K599" s="182">
        <v>11027.7</v>
      </c>
      <c r="L599" s="36"/>
      <c r="M599" s="36"/>
      <c r="N599" s="36"/>
      <c r="O599" s="36"/>
      <c r="P599" s="36"/>
      <c r="Q599" s="36"/>
      <c r="R599" s="36"/>
      <c r="S599" s="36"/>
      <c r="T599" s="36"/>
      <c r="U599" s="36"/>
      <c r="V599" s="36"/>
      <c r="W599" s="36"/>
      <c r="X599" s="36"/>
      <c r="Y599" s="36"/>
      <c r="Z599" s="36"/>
      <c r="AA599" s="36"/>
      <c r="AB599" s="36"/>
      <c r="AC599" s="36"/>
    </row>
    <row r="600" ht="15.75" customHeight="1">
      <c r="A600" s="423">
        <v>43131.0</v>
      </c>
      <c r="B600" s="424">
        <v>14.4223</v>
      </c>
      <c r="C600" s="425">
        <v>16.1816</v>
      </c>
      <c r="D600" s="171"/>
      <c r="E600" s="425">
        <v>13.3002</v>
      </c>
      <c r="F600" s="425">
        <v>17.0552</v>
      </c>
      <c r="G600" s="425">
        <v>12.9768</v>
      </c>
      <c r="H600" s="171"/>
      <c r="I600" s="171"/>
      <c r="J600" s="425">
        <v>16.6623</v>
      </c>
      <c r="K600" s="182">
        <v>11027.7</v>
      </c>
      <c r="L600" s="36"/>
      <c r="M600" s="36"/>
      <c r="N600" s="36"/>
      <c r="O600" s="36"/>
      <c r="P600" s="36"/>
      <c r="Q600" s="36"/>
      <c r="R600" s="36"/>
      <c r="S600" s="36"/>
      <c r="T600" s="36"/>
      <c r="U600" s="36"/>
      <c r="V600" s="36"/>
      <c r="W600" s="36"/>
      <c r="X600" s="36"/>
      <c r="Y600" s="36"/>
      <c r="Z600" s="36"/>
      <c r="AA600" s="36"/>
      <c r="AB600" s="36"/>
      <c r="AC600" s="36"/>
    </row>
    <row r="601" ht="15.75" customHeight="1">
      <c r="A601" s="423">
        <v>43132.0</v>
      </c>
      <c r="B601" s="424">
        <v>14.4427</v>
      </c>
      <c r="C601" s="425">
        <v>16.2037</v>
      </c>
      <c r="D601" s="171"/>
      <c r="E601" s="425">
        <v>13.2106</v>
      </c>
      <c r="F601" s="425">
        <v>17.0556</v>
      </c>
      <c r="G601" s="425">
        <v>12.9476</v>
      </c>
      <c r="H601" s="171"/>
      <c r="I601" s="171"/>
      <c r="J601" s="425">
        <v>16.7195</v>
      </c>
      <c r="K601" s="182">
        <v>11016.9</v>
      </c>
      <c r="L601" s="36"/>
      <c r="M601" s="36"/>
      <c r="N601" s="36"/>
      <c r="O601" s="36"/>
      <c r="P601" s="36"/>
      <c r="Q601" s="36"/>
      <c r="R601" s="36"/>
      <c r="S601" s="36"/>
      <c r="T601" s="36"/>
      <c r="U601" s="36"/>
      <c r="V601" s="36"/>
      <c r="W601" s="36"/>
      <c r="X601" s="36"/>
      <c r="Y601" s="36"/>
      <c r="Z601" s="36"/>
      <c r="AA601" s="36"/>
      <c r="AB601" s="36"/>
      <c r="AC601" s="36"/>
    </row>
    <row r="602" ht="15.75" customHeight="1">
      <c r="A602" s="423">
        <v>43132.0</v>
      </c>
      <c r="B602" s="424">
        <v>14.4427</v>
      </c>
      <c r="C602" s="425">
        <v>16.2037</v>
      </c>
      <c r="D602" s="171"/>
      <c r="E602" s="425">
        <v>13.2106</v>
      </c>
      <c r="F602" s="425">
        <v>17.0556</v>
      </c>
      <c r="G602" s="425">
        <v>12.9476</v>
      </c>
      <c r="H602" s="171"/>
      <c r="I602" s="171"/>
      <c r="J602" s="425">
        <v>16.7195</v>
      </c>
      <c r="K602" s="182">
        <v>11016.9</v>
      </c>
      <c r="L602" s="36"/>
      <c r="M602" s="36"/>
      <c r="N602" s="36"/>
      <c r="O602" s="36"/>
      <c r="P602" s="36"/>
      <c r="Q602" s="36"/>
      <c r="R602" s="36"/>
      <c r="S602" s="36"/>
      <c r="T602" s="36"/>
      <c r="U602" s="36"/>
      <c r="V602" s="36"/>
      <c r="W602" s="36"/>
      <c r="X602" s="36"/>
      <c r="Y602" s="36"/>
      <c r="Z602" s="36"/>
      <c r="AA602" s="36"/>
      <c r="AB602" s="36"/>
      <c r="AC602" s="36"/>
    </row>
    <row r="603" ht="15.75" customHeight="1">
      <c r="A603" s="423">
        <v>43132.0</v>
      </c>
      <c r="B603" s="424">
        <v>14.4427</v>
      </c>
      <c r="C603" s="425">
        <v>16.189</v>
      </c>
      <c r="D603" s="171"/>
      <c r="E603" s="425">
        <v>13.2106</v>
      </c>
      <c r="F603" s="425">
        <v>17.0556</v>
      </c>
      <c r="G603" s="425">
        <v>12.9476</v>
      </c>
      <c r="H603" s="171"/>
      <c r="I603" s="171"/>
      <c r="J603" s="425">
        <v>16.6325</v>
      </c>
      <c r="K603" s="182">
        <v>11016.9</v>
      </c>
      <c r="L603" s="36"/>
      <c r="M603" s="36"/>
      <c r="N603" s="36"/>
      <c r="O603" s="36"/>
      <c r="P603" s="36"/>
      <c r="Q603" s="36"/>
      <c r="R603" s="36"/>
      <c r="S603" s="36"/>
      <c r="T603" s="36"/>
      <c r="U603" s="36"/>
      <c r="V603" s="36"/>
      <c r="W603" s="36"/>
      <c r="X603" s="36"/>
      <c r="Y603" s="36"/>
      <c r="Z603" s="36"/>
      <c r="AA603" s="36"/>
      <c r="AB603" s="36"/>
      <c r="AC603" s="36"/>
    </row>
    <row r="604" ht="15.75" customHeight="1">
      <c r="A604" s="423">
        <v>43132.0</v>
      </c>
      <c r="B604" s="424">
        <v>14.4427</v>
      </c>
      <c r="C604" s="425">
        <v>16.189</v>
      </c>
      <c r="D604" s="171"/>
      <c r="E604" s="425">
        <v>13.2106</v>
      </c>
      <c r="F604" s="425">
        <v>17.0556</v>
      </c>
      <c r="G604" s="425">
        <v>12.9476</v>
      </c>
      <c r="H604" s="171"/>
      <c r="I604" s="171"/>
      <c r="J604" s="425">
        <v>16.6325</v>
      </c>
      <c r="K604" s="182">
        <v>11016.9</v>
      </c>
      <c r="L604" s="36"/>
      <c r="M604" s="36"/>
      <c r="N604" s="36"/>
      <c r="O604" s="36"/>
      <c r="P604" s="36"/>
      <c r="Q604" s="36"/>
      <c r="R604" s="36"/>
      <c r="S604" s="36"/>
      <c r="T604" s="36"/>
      <c r="U604" s="36"/>
      <c r="V604" s="36"/>
      <c r="W604" s="36"/>
      <c r="X604" s="36"/>
      <c r="Y604" s="36"/>
      <c r="Z604" s="36"/>
      <c r="AA604" s="36"/>
      <c r="AB604" s="36"/>
      <c r="AC604" s="36"/>
    </row>
    <row r="605" ht="15.75" customHeight="1">
      <c r="A605" s="423">
        <v>43133.0</v>
      </c>
      <c r="B605" s="424">
        <v>14.1234</v>
      </c>
      <c r="C605" s="425">
        <v>16.2104</v>
      </c>
      <c r="D605" s="171"/>
      <c r="E605" s="425">
        <v>13.225</v>
      </c>
      <c r="F605" s="425">
        <v>16.6756</v>
      </c>
      <c r="G605" s="425">
        <v>12.9538</v>
      </c>
      <c r="H605" s="171"/>
      <c r="I605" s="171"/>
      <c r="J605" s="425">
        <v>16.8962</v>
      </c>
      <c r="K605" s="182">
        <v>10760.6</v>
      </c>
      <c r="L605" s="36"/>
      <c r="M605" s="36"/>
      <c r="N605" s="36"/>
      <c r="O605" s="36"/>
      <c r="P605" s="36"/>
      <c r="Q605" s="36"/>
      <c r="R605" s="36"/>
      <c r="S605" s="36"/>
      <c r="T605" s="36"/>
      <c r="U605" s="36"/>
      <c r="V605" s="36"/>
      <c r="W605" s="36"/>
      <c r="X605" s="36"/>
      <c r="Y605" s="36"/>
      <c r="Z605" s="36"/>
      <c r="AA605" s="36"/>
      <c r="AB605" s="36"/>
      <c r="AC605" s="36"/>
    </row>
    <row r="606" ht="15.75" customHeight="1">
      <c r="A606" s="423">
        <v>43133.0</v>
      </c>
      <c r="B606" s="424">
        <v>14.1234</v>
      </c>
      <c r="C606" s="425">
        <v>16.2104</v>
      </c>
      <c r="D606" s="171"/>
      <c r="E606" s="425">
        <v>13.225</v>
      </c>
      <c r="F606" s="425">
        <v>16.6756</v>
      </c>
      <c r="G606" s="425">
        <v>12.9538</v>
      </c>
      <c r="H606" s="171"/>
      <c r="I606" s="171"/>
      <c r="J606" s="425">
        <v>16.8962</v>
      </c>
      <c r="K606" s="182">
        <v>10760.6</v>
      </c>
      <c r="L606" s="36"/>
      <c r="M606" s="36"/>
      <c r="N606" s="36"/>
      <c r="O606" s="36"/>
      <c r="P606" s="36"/>
      <c r="Q606" s="36"/>
      <c r="R606" s="36"/>
      <c r="S606" s="36"/>
      <c r="T606" s="36"/>
      <c r="U606" s="36"/>
      <c r="V606" s="36"/>
      <c r="W606" s="36"/>
      <c r="X606" s="36"/>
      <c r="Y606" s="36"/>
      <c r="Z606" s="36"/>
      <c r="AA606" s="36"/>
      <c r="AB606" s="36"/>
      <c r="AC606" s="36"/>
    </row>
    <row r="607" ht="15.75" customHeight="1">
      <c r="A607" s="423">
        <v>43133.0</v>
      </c>
      <c r="B607" s="424">
        <v>14.1234</v>
      </c>
      <c r="C607" s="425">
        <v>16.2038</v>
      </c>
      <c r="D607" s="171"/>
      <c r="E607" s="425">
        <v>13.225</v>
      </c>
      <c r="F607" s="425">
        <v>16.6756</v>
      </c>
      <c r="G607" s="425">
        <v>12.9538</v>
      </c>
      <c r="H607" s="171"/>
      <c r="I607" s="171"/>
      <c r="J607" s="425">
        <v>16.845</v>
      </c>
      <c r="K607" s="182">
        <v>10760.6</v>
      </c>
      <c r="L607" s="36"/>
      <c r="M607" s="36"/>
      <c r="N607" s="36"/>
      <c r="O607" s="36"/>
      <c r="P607" s="36"/>
      <c r="Q607" s="36"/>
      <c r="R607" s="36"/>
      <c r="S607" s="36"/>
      <c r="T607" s="36"/>
      <c r="U607" s="36"/>
      <c r="V607" s="36"/>
      <c r="W607" s="36"/>
      <c r="X607" s="36"/>
      <c r="Y607" s="36"/>
      <c r="Z607" s="36"/>
      <c r="AA607" s="36"/>
      <c r="AB607" s="36"/>
      <c r="AC607" s="36"/>
    </row>
    <row r="608" ht="15.75" customHeight="1">
      <c r="A608" s="423">
        <v>43133.0</v>
      </c>
      <c r="B608" s="424">
        <v>14.1234</v>
      </c>
      <c r="C608" s="425">
        <v>16.2038</v>
      </c>
      <c r="D608" s="171"/>
      <c r="E608" s="425">
        <v>13.225</v>
      </c>
      <c r="F608" s="425">
        <v>16.6756</v>
      </c>
      <c r="G608" s="425">
        <v>12.9538</v>
      </c>
      <c r="H608" s="171"/>
      <c r="I608" s="171"/>
      <c r="J608" s="425">
        <v>16.845</v>
      </c>
      <c r="K608" s="182">
        <v>10760.6</v>
      </c>
      <c r="L608" s="36"/>
      <c r="M608" s="36"/>
      <c r="N608" s="36"/>
      <c r="O608" s="36"/>
      <c r="P608" s="36"/>
      <c r="Q608" s="36"/>
      <c r="R608" s="36"/>
      <c r="S608" s="36"/>
      <c r="T608" s="36"/>
      <c r="U608" s="36"/>
      <c r="V608" s="36"/>
      <c r="W608" s="36"/>
      <c r="X608" s="36"/>
      <c r="Y608" s="36"/>
      <c r="Z608" s="36"/>
      <c r="AA608" s="36"/>
      <c r="AB608" s="36"/>
      <c r="AC608" s="36"/>
    </row>
    <row r="609" ht="15.75" customHeight="1">
      <c r="A609" s="423">
        <v>43136.0</v>
      </c>
      <c r="B609" s="424">
        <v>14.052</v>
      </c>
      <c r="C609" s="425">
        <v>16.2171</v>
      </c>
      <c r="D609" s="171"/>
      <c r="E609" s="425">
        <v>13.2162</v>
      </c>
      <c r="F609" s="425">
        <v>16.58</v>
      </c>
      <c r="G609" s="425">
        <v>12.9508</v>
      </c>
      <c r="H609" s="171"/>
      <c r="I609" s="171"/>
      <c r="J609" s="425">
        <v>16.8762</v>
      </c>
      <c r="K609" s="182">
        <v>10666.55</v>
      </c>
      <c r="L609" s="36"/>
      <c r="M609" s="36"/>
      <c r="N609" s="36"/>
      <c r="O609" s="36"/>
      <c r="P609" s="36"/>
      <c r="Q609" s="36"/>
      <c r="R609" s="36"/>
      <c r="S609" s="36"/>
      <c r="T609" s="36"/>
      <c r="U609" s="36"/>
      <c r="V609" s="36"/>
      <c r="W609" s="36"/>
      <c r="X609" s="36"/>
      <c r="Y609" s="36"/>
      <c r="Z609" s="36"/>
      <c r="AA609" s="36"/>
      <c r="AB609" s="36"/>
      <c r="AC609" s="36"/>
    </row>
    <row r="610" ht="15.75" customHeight="1">
      <c r="A610" s="423">
        <v>43136.0</v>
      </c>
      <c r="B610" s="424">
        <v>14.052</v>
      </c>
      <c r="C610" s="425">
        <v>16.2171</v>
      </c>
      <c r="D610" s="171"/>
      <c r="E610" s="425">
        <v>13.2162</v>
      </c>
      <c r="F610" s="425">
        <v>16.58</v>
      </c>
      <c r="G610" s="425">
        <v>12.9508</v>
      </c>
      <c r="H610" s="171"/>
      <c r="I610" s="171"/>
      <c r="J610" s="425">
        <v>16.8762</v>
      </c>
      <c r="K610" s="182">
        <v>10666.55</v>
      </c>
      <c r="L610" s="36"/>
      <c r="M610" s="36"/>
      <c r="N610" s="36"/>
      <c r="O610" s="36"/>
      <c r="P610" s="36"/>
      <c r="Q610" s="36"/>
      <c r="R610" s="36"/>
      <c r="S610" s="36"/>
      <c r="T610" s="36"/>
      <c r="U610" s="36"/>
      <c r="V610" s="36"/>
      <c r="W610" s="36"/>
      <c r="X610" s="36"/>
      <c r="Y610" s="36"/>
      <c r="Z610" s="36"/>
      <c r="AA610" s="36"/>
      <c r="AB610" s="36"/>
      <c r="AC610" s="36"/>
    </row>
    <row r="611" ht="15.75" customHeight="1">
      <c r="A611" s="423">
        <v>43136.0</v>
      </c>
      <c r="B611" s="424">
        <v>14.052</v>
      </c>
      <c r="C611" s="425">
        <v>16.21</v>
      </c>
      <c r="D611" s="171"/>
      <c r="E611" s="425">
        <v>13.2162</v>
      </c>
      <c r="F611" s="425">
        <v>16.58</v>
      </c>
      <c r="G611" s="425">
        <v>12.9508</v>
      </c>
      <c r="H611" s="171"/>
      <c r="I611" s="171"/>
      <c r="J611" s="425">
        <v>16.8614</v>
      </c>
      <c r="K611" s="182">
        <v>10666.55</v>
      </c>
      <c r="L611" s="36"/>
      <c r="M611" s="36"/>
      <c r="N611" s="36"/>
      <c r="O611" s="36"/>
      <c r="P611" s="36"/>
      <c r="Q611" s="36"/>
      <c r="R611" s="36"/>
      <c r="S611" s="36"/>
      <c r="T611" s="36"/>
      <c r="U611" s="36"/>
      <c r="V611" s="36"/>
      <c r="W611" s="36"/>
      <c r="X611" s="36"/>
      <c r="Y611" s="36"/>
      <c r="Z611" s="36"/>
      <c r="AA611" s="36"/>
      <c r="AB611" s="36"/>
      <c r="AC611" s="36"/>
    </row>
    <row r="612" ht="15.75" customHeight="1">
      <c r="A612" s="423">
        <v>43136.0</v>
      </c>
      <c r="B612" s="424">
        <v>14.052</v>
      </c>
      <c r="C612" s="425">
        <v>16.21</v>
      </c>
      <c r="D612" s="171"/>
      <c r="E612" s="425">
        <v>13.2162</v>
      </c>
      <c r="F612" s="425">
        <v>16.58</v>
      </c>
      <c r="G612" s="425">
        <v>12.9508</v>
      </c>
      <c r="H612" s="171"/>
      <c r="I612" s="171"/>
      <c r="J612" s="425">
        <v>16.8614</v>
      </c>
      <c r="K612" s="182">
        <v>10666.55</v>
      </c>
      <c r="L612" s="36"/>
      <c r="M612" s="36"/>
      <c r="N612" s="36"/>
      <c r="O612" s="36"/>
      <c r="P612" s="36"/>
      <c r="Q612" s="36"/>
      <c r="R612" s="36"/>
      <c r="S612" s="36"/>
      <c r="T612" s="36"/>
      <c r="U612" s="36"/>
      <c r="V612" s="36"/>
      <c r="W612" s="36"/>
      <c r="X612" s="36"/>
      <c r="Y612" s="36"/>
      <c r="Z612" s="36"/>
      <c r="AA612" s="36"/>
      <c r="AB612" s="36"/>
      <c r="AC612" s="36"/>
    </row>
    <row r="613" ht="15.75" customHeight="1">
      <c r="A613" s="423">
        <v>43137.0</v>
      </c>
      <c r="B613" s="424">
        <v>13.841</v>
      </c>
      <c r="C613" s="425">
        <v>16.2186</v>
      </c>
      <c r="D613" s="171"/>
      <c r="E613" s="425">
        <v>13.2298</v>
      </c>
      <c r="F613" s="425">
        <v>16.349</v>
      </c>
      <c r="G613" s="425">
        <v>12.9588</v>
      </c>
      <c r="H613" s="171"/>
      <c r="I613" s="171"/>
      <c r="J613" s="425">
        <v>16.8891</v>
      </c>
      <c r="K613" s="182">
        <v>10498.25</v>
      </c>
      <c r="L613" s="36"/>
      <c r="M613" s="36"/>
      <c r="N613" s="36"/>
      <c r="O613" s="36"/>
      <c r="P613" s="36"/>
      <c r="Q613" s="36"/>
      <c r="R613" s="36"/>
      <c r="S613" s="36"/>
      <c r="T613" s="36"/>
      <c r="U613" s="36"/>
      <c r="V613" s="36"/>
      <c r="W613" s="36"/>
      <c r="X613" s="36"/>
      <c r="Y613" s="36"/>
      <c r="Z613" s="36"/>
      <c r="AA613" s="36"/>
      <c r="AB613" s="36"/>
      <c r="AC613" s="36"/>
    </row>
    <row r="614" ht="15.75" customHeight="1">
      <c r="A614" s="423">
        <v>43137.0</v>
      </c>
      <c r="B614" s="424">
        <v>13.841</v>
      </c>
      <c r="C614" s="425">
        <v>16.2186</v>
      </c>
      <c r="D614" s="171"/>
      <c r="E614" s="425">
        <v>13.2298</v>
      </c>
      <c r="F614" s="425">
        <v>16.349</v>
      </c>
      <c r="G614" s="425">
        <v>12.9588</v>
      </c>
      <c r="H614" s="171"/>
      <c r="I614" s="171"/>
      <c r="J614" s="425">
        <v>16.8891</v>
      </c>
      <c r="K614" s="182">
        <v>10498.25</v>
      </c>
      <c r="L614" s="36"/>
      <c r="M614" s="36"/>
      <c r="N614" s="36"/>
      <c r="O614" s="36"/>
      <c r="P614" s="36"/>
      <c r="Q614" s="36"/>
      <c r="R614" s="36"/>
      <c r="S614" s="36"/>
      <c r="T614" s="36"/>
      <c r="U614" s="36"/>
      <c r="V614" s="36"/>
      <c r="W614" s="36"/>
      <c r="X614" s="36"/>
      <c r="Y614" s="36"/>
      <c r="Z614" s="36"/>
      <c r="AA614" s="36"/>
      <c r="AB614" s="36"/>
      <c r="AC614" s="36"/>
    </row>
    <row r="615" ht="15.75" customHeight="1">
      <c r="A615" s="423">
        <v>43137.0</v>
      </c>
      <c r="B615" s="424">
        <v>13.841</v>
      </c>
      <c r="C615" s="425">
        <v>16.2201</v>
      </c>
      <c r="D615" s="171"/>
      <c r="E615" s="425">
        <v>13.2298</v>
      </c>
      <c r="F615" s="425">
        <v>16.349</v>
      </c>
      <c r="G615" s="425">
        <v>12.9588</v>
      </c>
      <c r="H615" s="171"/>
      <c r="I615" s="171"/>
      <c r="J615" s="425">
        <v>16.8522</v>
      </c>
      <c r="K615" s="182">
        <v>10498.25</v>
      </c>
      <c r="L615" s="36"/>
      <c r="M615" s="36"/>
      <c r="N615" s="36"/>
      <c r="O615" s="36"/>
      <c r="P615" s="36"/>
      <c r="Q615" s="36"/>
      <c r="R615" s="36"/>
      <c r="S615" s="36"/>
      <c r="T615" s="36"/>
      <c r="U615" s="36"/>
      <c r="V615" s="36"/>
      <c r="W615" s="36"/>
      <c r="X615" s="36"/>
      <c r="Y615" s="36"/>
      <c r="Z615" s="36"/>
      <c r="AA615" s="36"/>
      <c r="AB615" s="36"/>
      <c r="AC615" s="36"/>
    </row>
    <row r="616" ht="15.75" customHeight="1">
      <c r="A616" s="423">
        <v>43137.0</v>
      </c>
      <c r="B616" s="424">
        <v>13.841</v>
      </c>
      <c r="C616" s="425">
        <v>16.2201</v>
      </c>
      <c r="D616" s="171"/>
      <c r="E616" s="425">
        <v>13.2298</v>
      </c>
      <c r="F616" s="425">
        <v>16.349</v>
      </c>
      <c r="G616" s="425">
        <v>12.9588</v>
      </c>
      <c r="H616" s="171"/>
      <c r="I616" s="171"/>
      <c r="J616" s="425">
        <v>16.8522</v>
      </c>
      <c r="K616" s="182">
        <v>10498.25</v>
      </c>
      <c r="L616" s="36"/>
      <c r="M616" s="36"/>
      <c r="N616" s="36"/>
      <c r="O616" s="36"/>
      <c r="P616" s="36"/>
      <c r="Q616" s="36"/>
      <c r="R616" s="36"/>
      <c r="S616" s="36"/>
      <c r="T616" s="36"/>
      <c r="U616" s="36"/>
      <c r="V616" s="36"/>
      <c r="W616" s="36"/>
      <c r="X616" s="36"/>
      <c r="Y616" s="36"/>
      <c r="Z616" s="36"/>
      <c r="AA616" s="36"/>
      <c r="AB616" s="36"/>
      <c r="AC616" s="36"/>
    </row>
    <row r="617" ht="15.75" customHeight="1">
      <c r="A617" s="423">
        <v>43138.0</v>
      </c>
      <c r="B617" s="424">
        <v>13.8193</v>
      </c>
      <c r="C617" s="425">
        <v>16.2184</v>
      </c>
      <c r="D617" s="171"/>
      <c r="E617" s="425">
        <v>13.2581</v>
      </c>
      <c r="F617" s="425">
        <v>16.3325</v>
      </c>
      <c r="G617" s="425">
        <v>12.9697</v>
      </c>
      <c r="H617" s="171"/>
      <c r="I617" s="171"/>
      <c r="J617" s="425">
        <v>16.8165</v>
      </c>
      <c r="K617" s="182">
        <v>10476.7</v>
      </c>
      <c r="L617" s="36"/>
      <c r="M617" s="36"/>
      <c r="N617" s="36"/>
      <c r="O617" s="36"/>
      <c r="P617" s="36"/>
      <c r="Q617" s="36"/>
      <c r="R617" s="36"/>
      <c r="S617" s="36"/>
      <c r="T617" s="36"/>
      <c r="U617" s="36"/>
      <c r="V617" s="36"/>
      <c r="W617" s="36"/>
      <c r="X617" s="36"/>
      <c r="Y617" s="36"/>
      <c r="Z617" s="36"/>
      <c r="AA617" s="36"/>
      <c r="AB617" s="36"/>
      <c r="AC617" s="36"/>
    </row>
    <row r="618" ht="15.75" customHeight="1">
      <c r="A618" s="423">
        <v>43138.0</v>
      </c>
      <c r="B618" s="424">
        <v>13.8193</v>
      </c>
      <c r="C618" s="425">
        <v>16.2184</v>
      </c>
      <c r="D618" s="171"/>
      <c r="E618" s="425">
        <v>13.2581</v>
      </c>
      <c r="F618" s="425">
        <v>16.3325</v>
      </c>
      <c r="G618" s="425">
        <v>12.9697</v>
      </c>
      <c r="H618" s="171"/>
      <c r="I618" s="171"/>
      <c r="J618" s="425">
        <v>16.8165</v>
      </c>
      <c r="K618" s="182">
        <v>10476.7</v>
      </c>
      <c r="L618" s="36"/>
      <c r="M618" s="36"/>
      <c r="N618" s="36"/>
      <c r="O618" s="36"/>
      <c r="P618" s="36"/>
      <c r="Q618" s="36"/>
      <c r="R618" s="36"/>
      <c r="S618" s="36"/>
      <c r="T618" s="36"/>
      <c r="U618" s="36"/>
      <c r="V618" s="36"/>
      <c r="W618" s="36"/>
      <c r="X618" s="36"/>
      <c r="Y618" s="36"/>
      <c r="Z618" s="36"/>
      <c r="AA618" s="36"/>
      <c r="AB618" s="36"/>
      <c r="AC618" s="36"/>
    </row>
    <row r="619" ht="15.75" customHeight="1">
      <c r="A619" s="423">
        <v>43138.0</v>
      </c>
      <c r="B619" s="424">
        <v>13.8193</v>
      </c>
      <c r="C619" s="425">
        <v>16.2179</v>
      </c>
      <c r="D619" s="171"/>
      <c r="E619" s="425">
        <v>13.2581</v>
      </c>
      <c r="F619" s="425">
        <v>16.3325</v>
      </c>
      <c r="G619" s="425">
        <v>12.9697</v>
      </c>
      <c r="H619" s="171"/>
      <c r="I619" s="171"/>
      <c r="J619" s="425">
        <v>16.918</v>
      </c>
      <c r="K619" s="182">
        <v>10476.7</v>
      </c>
      <c r="L619" s="36"/>
      <c r="M619" s="36"/>
      <c r="N619" s="36"/>
      <c r="O619" s="36"/>
      <c r="P619" s="36"/>
      <c r="Q619" s="36"/>
      <c r="R619" s="36"/>
      <c r="S619" s="36"/>
      <c r="T619" s="36"/>
      <c r="U619" s="36"/>
      <c r="V619" s="36"/>
      <c r="W619" s="36"/>
      <c r="X619" s="36"/>
      <c r="Y619" s="36"/>
      <c r="Z619" s="36"/>
      <c r="AA619" s="36"/>
      <c r="AB619" s="36"/>
      <c r="AC619" s="36"/>
    </row>
    <row r="620" ht="15.75" customHeight="1">
      <c r="A620" s="423">
        <v>43138.0</v>
      </c>
      <c r="B620" s="424">
        <v>13.8193</v>
      </c>
      <c r="C620" s="425">
        <v>16.2179</v>
      </c>
      <c r="D620" s="171"/>
      <c r="E620" s="425">
        <v>13.2581</v>
      </c>
      <c r="F620" s="425">
        <v>16.3325</v>
      </c>
      <c r="G620" s="425">
        <v>12.9697</v>
      </c>
      <c r="H620" s="171"/>
      <c r="I620" s="171"/>
      <c r="J620" s="425">
        <v>16.918</v>
      </c>
      <c r="K620" s="182">
        <v>10476.7</v>
      </c>
      <c r="L620" s="36"/>
      <c r="M620" s="36"/>
      <c r="N620" s="36"/>
      <c r="O620" s="36"/>
      <c r="P620" s="36"/>
      <c r="Q620" s="36"/>
      <c r="R620" s="36"/>
      <c r="S620" s="36"/>
      <c r="T620" s="36"/>
      <c r="U620" s="36"/>
      <c r="V620" s="36"/>
      <c r="W620" s="36"/>
      <c r="X620" s="36"/>
      <c r="Y620" s="36"/>
      <c r="Z620" s="36"/>
      <c r="AA620" s="36"/>
      <c r="AB620" s="36"/>
      <c r="AC620" s="36"/>
    </row>
    <row r="621" ht="15.75" customHeight="1">
      <c r="A621" s="423">
        <v>43139.0</v>
      </c>
      <c r="B621" s="424">
        <v>13.9372</v>
      </c>
      <c r="C621" s="425">
        <v>16.228</v>
      </c>
      <c r="D621" s="171"/>
      <c r="E621" s="425">
        <v>13.2891</v>
      </c>
      <c r="F621" s="425">
        <v>16.4748</v>
      </c>
      <c r="G621" s="425">
        <v>12.9814</v>
      </c>
      <c r="H621" s="171"/>
      <c r="I621" s="171"/>
      <c r="J621" s="425">
        <v>16.9813</v>
      </c>
      <c r="K621" s="182">
        <v>10576.85</v>
      </c>
      <c r="L621" s="36"/>
      <c r="M621" s="36"/>
      <c r="N621" s="36"/>
      <c r="O621" s="36"/>
      <c r="P621" s="36"/>
      <c r="Q621" s="36"/>
      <c r="R621" s="36"/>
      <c r="S621" s="36"/>
      <c r="T621" s="36"/>
      <c r="U621" s="36"/>
      <c r="V621" s="36"/>
      <c r="W621" s="36"/>
      <c r="X621" s="36"/>
      <c r="Y621" s="36"/>
      <c r="Z621" s="36"/>
      <c r="AA621" s="36"/>
      <c r="AB621" s="36"/>
      <c r="AC621" s="36"/>
    </row>
    <row r="622" ht="15.75" customHeight="1">
      <c r="A622" s="423">
        <v>43139.0</v>
      </c>
      <c r="B622" s="424">
        <v>13.9372</v>
      </c>
      <c r="C622" s="425">
        <v>16.228</v>
      </c>
      <c r="D622" s="171"/>
      <c r="E622" s="425">
        <v>13.2891</v>
      </c>
      <c r="F622" s="425">
        <v>16.4748</v>
      </c>
      <c r="G622" s="425">
        <v>12.9814</v>
      </c>
      <c r="H622" s="171"/>
      <c r="I622" s="171"/>
      <c r="J622" s="425">
        <v>16.9813</v>
      </c>
      <c r="K622" s="182">
        <v>10576.85</v>
      </c>
      <c r="L622" s="36"/>
      <c r="M622" s="36"/>
      <c r="N622" s="36"/>
      <c r="O622" s="36"/>
      <c r="P622" s="36"/>
      <c r="Q622" s="36"/>
      <c r="R622" s="36"/>
      <c r="S622" s="36"/>
      <c r="T622" s="36"/>
      <c r="U622" s="36"/>
      <c r="V622" s="36"/>
      <c r="W622" s="36"/>
      <c r="X622" s="36"/>
      <c r="Y622" s="36"/>
      <c r="Z622" s="36"/>
      <c r="AA622" s="36"/>
      <c r="AB622" s="36"/>
      <c r="AC622" s="36"/>
    </row>
    <row r="623" ht="15.75" customHeight="1">
      <c r="A623" s="423">
        <v>43139.0</v>
      </c>
      <c r="B623" s="424">
        <v>13.9372</v>
      </c>
      <c r="C623" s="425">
        <v>16.2254</v>
      </c>
      <c r="D623" s="171"/>
      <c r="E623" s="425">
        <v>13.2891</v>
      </c>
      <c r="F623" s="425">
        <v>16.4748</v>
      </c>
      <c r="G623" s="425">
        <v>12.9814</v>
      </c>
      <c r="H623" s="171"/>
      <c r="I623" s="171"/>
      <c r="J623" s="425">
        <v>16.8695</v>
      </c>
      <c r="K623" s="182">
        <v>10576.85</v>
      </c>
      <c r="L623" s="36"/>
      <c r="M623" s="36"/>
      <c r="N623" s="36"/>
      <c r="O623" s="36"/>
      <c r="P623" s="36"/>
      <c r="Q623" s="36"/>
      <c r="R623" s="36"/>
      <c r="S623" s="36"/>
      <c r="T623" s="36"/>
      <c r="U623" s="36"/>
      <c r="V623" s="36"/>
      <c r="W623" s="36"/>
      <c r="X623" s="36"/>
      <c r="Y623" s="36"/>
      <c r="Z623" s="36"/>
      <c r="AA623" s="36"/>
      <c r="AB623" s="36"/>
      <c r="AC623" s="36"/>
    </row>
    <row r="624" ht="15.75" customHeight="1">
      <c r="A624" s="423">
        <v>43139.0</v>
      </c>
      <c r="B624" s="424">
        <v>13.9372</v>
      </c>
      <c r="C624" s="425">
        <v>16.2254</v>
      </c>
      <c r="D624" s="171"/>
      <c r="E624" s="425">
        <v>13.2891</v>
      </c>
      <c r="F624" s="425">
        <v>16.4748</v>
      </c>
      <c r="G624" s="425">
        <v>12.9814</v>
      </c>
      <c r="H624" s="171"/>
      <c r="I624" s="171"/>
      <c r="J624" s="425">
        <v>16.8695</v>
      </c>
      <c r="K624" s="182">
        <v>10576.85</v>
      </c>
      <c r="L624" s="36"/>
      <c r="M624" s="36"/>
      <c r="N624" s="36"/>
      <c r="O624" s="36"/>
      <c r="P624" s="36"/>
      <c r="Q624" s="36"/>
      <c r="R624" s="36"/>
      <c r="S624" s="36"/>
      <c r="T624" s="36"/>
      <c r="U624" s="36"/>
      <c r="V624" s="36"/>
      <c r="W624" s="36"/>
      <c r="X624" s="36"/>
      <c r="Y624" s="36"/>
      <c r="Z624" s="36"/>
      <c r="AA624" s="36"/>
      <c r="AB624" s="36"/>
      <c r="AC624" s="36"/>
    </row>
    <row r="625" ht="15.75" customHeight="1">
      <c r="A625" s="423">
        <v>43140.0</v>
      </c>
      <c r="B625" s="424">
        <v>13.8218</v>
      </c>
      <c r="C625" s="425">
        <v>16.2349</v>
      </c>
      <c r="D625" s="171"/>
      <c r="E625" s="425">
        <v>13.2775</v>
      </c>
      <c r="F625" s="425">
        <v>16.3266</v>
      </c>
      <c r="G625" s="425">
        <v>12.9774</v>
      </c>
      <c r="H625" s="171"/>
      <c r="I625" s="171"/>
      <c r="J625" s="425">
        <v>17.1768</v>
      </c>
      <c r="K625" s="182">
        <v>10454.95</v>
      </c>
      <c r="L625" s="36"/>
      <c r="M625" s="36"/>
      <c r="N625" s="36"/>
      <c r="O625" s="36"/>
      <c r="P625" s="36"/>
      <c r="Q625" s="36"/>
      <c r="R625" s="36"/>
      <c r="S625" s="36"/>
      <c r="T625" s="36"/>
      <c r="U625" s="36"/>
      <c r="V625" s="36"/>
      <c r="W625" s="36"/>
      <c r="X625" s="36"/>
      <c r="Y625" s="36"/>
      <c r="Z625" s="36"/>
      <c r="AA625" s="36"/>
      <c r="AB625" s="36"/>
      <c r="AC625" s="36"/>
    </row>
    <row r="626" ht="15.75" customHeight="1">
      <c r="A626" s="423">
        <v>43140.0</v>
      </c>
      <c r="B626" s="424">
        <v>13.8218</v>
      </c>
      <c r="C626" s="425">
        <v>16.2349</v>
      </c>
      <c r="D626" s="171"/>
      <c r="E626" s="425">
        <v>13.2775</v>
      </c>
      <c r="F626" s="425">
        <v>16.3266</v>
      </c>
      <c r="G626" s="425">
        <v>12.9774</v>
      </c>
      <c r="H626" s="171"/>
      <c r="I626" s="171"/>
      <c r="J626" s="425">
        <v>17.1768</v>
      </c>
      <c r="K626" s="182">
        <v>10454.95</v>
      </c>
      <c r="L626" s="36"/>
      <c r="M626" s="36"/>
      <c r="N626" s="36"/>
      <c r="O626" s="36"/>
      <c r="P626" s="36"/>
      <c r="Q626" s="36"/>
      <c r="R626" s="36"/>
      <c r="S626" s="36"/>
      <c r="T626" s="36"/>
      <c r="U626" s="36"/>
      <c r="V626" s="36"/>
      <c r="W626" s="36"/>
      <c r="X626" s="36"/>
      <c r="Y626" s="36"/>
      <c r="Z626" s="36"/>
      <c r="AA626" s="36"/>
      <c r="AB626" s="36"/>
      <c r="AC626" s="36"/>
    </row>
    <row r="627" ht="15.75" customHeight="1">
      <c r="A627" s="423">
        <v>43140.0</v>
      </c>
      <c r="B627" s="424">
        <v>13.8218</v>
      </c>
      <c r="C627" s="425">
        <v>16.2303</v>
      </c>
      <c r="D627" s="171"/>
      <c r="E627" s="425">
        <v>13.2775</v>
      </c>
      <c r="F627" s="425">
        <v>16.3266</v>
      </c>
      <c r="G627" s="425">
        <v>12.9774</v>
      </c>
      <c r="H627" s="171"/>
      <c r="I627" s="171"/>
      <c r="J627" s="425">
        <v>17.1358</v>
      </c>
      <c r="K627" s="182">
        <v>10454.95</v>
      </c>
      <c r="L627" s="36"/>
      <c r="M627" s="36"/>
      <c r="N627" s="36"/>
      <c r="O627" s="36"/>
      <c r="P627" s="36"/>
      <c r="Q627" s="36"/>
      <c r="R627" s="36"/>
      <c r="S627" s="36"/>
      <c r="T627" s="36"/>
      <c r="U627" s="36"/>
      <c r="V627" s="36"/>
      <c r="W627" s="36"/>
      <c r="X627" s="36"/>
      <c r="Y627" s="36"/>
      <c r="Z627" s="36"/>
      <c r="AA627" s="36"/>
      <c r="AB627" s="36"/>
      <c r="AC627" s="36"/>
    </row>
    <row r="628" ht="15.75" customHeight="1">
      <c r="A628" s="423">
        <v>43140.0</v>
      </c>
      <c r="B628" s="424">
        <v>13.8218</v>
      </c>
      <c r="C628" s="425">
        <v>16.2303</v>
      </c>
      <c r="D628" s="171"/>
      <c r="E628" s="425">
        <v>13.2775</v>
      </c>
      <c r="F628" s="425">
        <v>16.3266</v>
      </c>
      <c r="G628" s="425">
        <v>12.9774</v>
      </c>
      <c r="H628" s="171"/>
      <c r="I628" s="171"/>
      <c r="J628" s="425">
        <v>17.1358</v>
      </c>
      <c r="K628" s="182">
        <v>10454.95</v>
      </c>
      <c r="L628" s="36"/>
      <c r="M628" s="36"/>
      <c r="N628" s="36"/>
      <c r="O628" s="36"/>
      <c r="P628" s="36"/>
      <c r="Q628" s="36"/>
      <c r="R628" s="36"/>
      <c r="S628" s="36"/>
      <c r="T628" s="36"/>
      <c r="U628" s="36"/>
      <c r="V628" s="36"/>
      <c r="W628" s="36"/>
      <c r="X628" s="36"/>
      <c r="Y628" s="36"/>
      <c r="Z628" s="36"/>
      <c r="AA628" s="36"/>
      <c r="AB628" s="36"/>
      <c r="AC628" s="36"/>
    </row>
    <row r="629" ht="15.75" customHeight="1">
      <c r="A629" s="423">
        <v>43143.0</v>
      </c>
      <c r="B629" s="424">
        <v>13.9136</v>
      </c>
      <c r="C629" s="425">
        <v>16.2444</v>
      </c>
      <c r="D629" s="171"/>
      <c r="E629" s="425">
        <v>13.2809</v>
      </c>
      <c r="F629" s="425">
        <v>16.4397</v>
      </c>
      <c r="G629" s="425">
        <v>12.9832</v>
      </c>
      <c r="H629" s="171"/>
      <c r="I629" s="171"/>
      <c r="J629" s="425">
        <v>17.0488</v>
      </c>
      <c r="K629" s="182">
        <v>10539.75</v>
      </c>
      <c r="L629" s="36"/>
      <c r="M629" s="36"/>
      <c r="N629" s="36"/>
      <c r="O629" s="36"/>
      <c r="P629" s="36"/>
      <c r="Q629" s="36"/>
      <c r="R629" s="36"/>
      <c r="S629" s="36"/>
      <c r="T629" s="36"/>
      <c r="U629" s="36"/>
      <c r="V629" s="36"/>
      <c r="W629" s="36"/>
      <c r="X629" s="36"/>
      <c r="Y629" s="36"/>
      <c r="Z629" s="36"/>
      <c r="AA629" s="36"/>
      <c r="AB629" s="36"/>
      <c r="AC629" s="36"/>
    </row>
    <row r="630" ht="15.75" customHeight="1">
      <c r="A630" s="423">
        <v>43143.0</v>
      </c>
      <c r="B630" s="424">
        <v>13.9136</v>
      </c>
      <c r="C630" s="425">
        <v>16.2444</v>
      </c>
      <c r="D630" s="171"/>
      <c r="E630" s="425">
        <v>13.2809</v>
      </c>
      <c r="F630" s="425">
        <v>16.4397</v>
      </c>
      <c r="G630" s="425">
        <v>12.9832</v>
      </c>
      <c r="H630" s="171"/>
      <c r="I630" s="171"/>
      <c r="J630" s="425">
        <v>17.0488</v>
      </c>
      <c r="K630" s="182">
        <v>10539.75</v>
      </c>
      <c r="L630" s="36"/>
      <c r="M630" s="36"/>
      <c r="N630" s="36"/>
      <c r="O630" s="36"/>
      <c r="P630" s="36"/>
      <c r="Q630" s="36"/>
      <c r="R630" s="36"/>
      <c r="S630" s="36"/>
      <c r="T630" s="36"/>
      <c r="U630" s="36"/>
      <c r="V630" s="36"/>
      <c r="W630" s="36"/>
      <c r="X630" s="36"/>
      <c r="Y630" s="36"/>
      <c r="Z630" s="36"/>
      <c r="AA630" s="36"/>
      <c r="AB630" s="36"/>
      <c r="AC630" s="36"/>
    </row>
    <row r="631" ht="15.75" customHeight="1">
      <c r="A631" s="423">
        <v>43143.0</v>
      </c>
      <c r="B631" s="424">
        <v>13.9136</v>
      </c>
      <c r="C631" s="425">
        <v>16.242</v>
      </c>
      <c r="D631" s="171"/>
      <c r="E631" s="425">
        <v>13.2809</v>
      </c>
      <c r="F631" s="425">
        <v>16.4397</v>
      </c>
      <c r="G631" s="425">
        <v>12.9832</v>
      </c>
      <c r="H631" s="171"/>
      <c r="I631" s="171"/>
      <c r="J631" s="425">
        <v>17.1526</v>
      </c>
      <c r="K631" s="182">
        <v>10539.75</v>
      </c>
      <c r="L631" s="36"/>
      <c r="M631" s="36"/>
      <c r="N631" s="36"/>
      <c r="O631" s="36"/>
      <c r="P631" s="36"/>
      <c r="Q631" s="36"/>
      <c r="R631" s="36"/>
      <c r="S631" s="36"/>
      <c r="T631" s="36"/>
      <c r="U631" s="36"/>
      <c r="V631" s="36"/>
      <c r="W631" s="36"/>
      <c r="X631" s="36"/>
      <c r="Y631" s="36"/>
      <c r="Z631" s="36"/>
      <c r="AA631" s="36"/>
      <c r="AB631" s="36"/>
      <c r="AC631" s="36"/>
    </row>
    <row r="632" ht="15.75" customHeight="1">
      <c r="A632" s="423">
        <v>43143.0</v>
      </c>
      <c r="B632" s="424">
        <v>13.9136</v>
      </c>
      <c r="C632" s="425">
        <v>16.242</v>
      </c>
      <c r="D632" s="171"/>
      <c r="E632" s="425">
        <v>13.2809</v>
      </c>
      <c r="F632" s="425">
        <v>16.4397</v>
      </c>
      <c r="G632" s="425">
        <v>12.9832</v>
      </c>
      <c r="H632" s="171"/>
      <c r="I632" s="171"/>
      <c r="J632" s="425">
        <v>17.1526</v>
      </c>
      <c r="K632" s="182">
        <v>10539.75</v>
      </c>
      <c r="L632" s="36"/>
      <c r="M632" s="36"/>
      <c r="N632" s="36"/>
      <c r="O632" s="36"/>
      <c r="P632" s="36"/>
      <c r="Q632" s="36"/>
      <c r="R632" s="36"/>
      <c r="S632" s="36"/>
      <c r="T632" s="36"/>
      <c r="U632" s="36"/>
      <c r="V632" s="36"/>
      <c r="W632" s="36"/>
      <c r="X632" s="36"/>
      <c r="Y632" s="36"/>
      <c r="Z632" s="36"/>
      <c r="AA632" s="36"/>
      <c r="AB632" s="36"/>
      <c r="AC632" s="36"/>
    </row>
    <row r="633" ht="15.75" customHeight="1">
      <c r="A633" s="423">
        <v>43145.0</v>
      </c>
      <c r="B633" s="424">
        <v>13.8586</v>
      </c>
      <c r="C633" s="425">
        <v>16.2484</v>
      </c>
      <c r="D633" s="171"/>
      <c r="E633" s="425">
        <v>13.2907</v>
      </c>
      <c r="F633" s="425">
        <v>16.3786</v>
      </c>
      <c r="G633" s="425">
        <v>12.9885</v>
      </c>
      <c r="H633" s="171"/>
      <c r="I633" s="171"/>
      <c r="J633" s="425">
        <v>17.3252</v>
      </c>
      <c r="K633" s="182">
        <v>10500.9</v>
      </c>
      <c r="L633" s="36"/>
      <c r="M633" s="36"/>
      <c r="N633" s="36"/>
      <c r="O633" s="36"/>
      <c r="P633" s="36"/>
      <c r="Q633" s="36"/>
      <c r="R633" s="36"/>
      <c r="S633" s="36"/>
      <c r="T633" s="36"/>
      <c r="U633" s="36"/>
      <c r="V633" s="36"/>
      <c r="W633" s="36"/>
      <c r="X633" s="36"/>
      <c r="Y633" s="36"/>
      <c r="Z633" s="36"/>
      <c r="AA633" s="36"/>
      <c r="AB633" s="36"/>
      <c r="AC633" s="36"/>
    </row>
    <row r="634" ht="15.75" customHeight="1">
      <c r="A634" s="423">
        <v>43145.0</v>
      </c>
      <c r="B634" s="424">
        <v>13.8586</v>
      </c>
      <c r="C634" s="425">
        <v>16.2484</v>
      </c>
      <c r="D634" s="171"/>
      <c r="E634" s="425">
        <v>13.2907</v>
      </c>
      <c r="F634" s="425">
        <v>16.3786</v>
      </c>
      <c r="G634" s="425">
        <v>12.9885</v>
      </c>
      <c r="H634" s="171"/>
      <c r="I634" s="171"/>
      <c r="J634" s="425">
        <v>17.3252</v>
      </c>
      <c r="K634" s="182">
        <v>10500.9</v>
      </c>
      <c r="L634" s="36"/>
      <c r="M634" s="36"/>
      <c r="N634" s="36"/>
      <c r="O634" s="36"/>
      <c r="P634" s="36"/>
      <c r="Q634" s="36"/>
      <c r="R634" s="36"/>
      <c r="S634" s="36"/>
      <c r="T634" s="36"/>
      <c r="U634" s="36"/>
      <c r="V634" s="36"/>
      <c r="W634" s="36"/>
      <c r="X634" s="36"/>
      <c r="Y634" s="36"/>
      <c r="Z634" s="36"/>
      <c r="AA634" s="36"/>
      <c r="AB634" s="36"/>
      <c r="AC634" s="36"/>
    </row>
    <row r="635" ht="15.75" customHeight="1">
      <c r="A635" s="423">
        <v>43145.0</v>
      </c>
      <c r="B635" s="424">
        <v>13.8586</v>
      </c>
      <c r="C635" s="425">
        <v>16.2453</v>
      </c>
      <c r="D635" s="171"/>
      <c r="E635" s="425">
        <v>13.2907</v>
      </c>
      <c r="F635" s="425">
        <v>16.3786</v>
      </c>
      <c r="G635" s="425">
        <v>12.9885</v>
      </c>
      <c r="H635" s="171"/>
      <c r="I635" s="171"/>
      <c r="J635" s="425">
        <v>17.2694</v>
      </c>
      <c r="K635" s="182">
        <v>10500.9</v>
      </c>
      <c r="L635" s="36"/>
      <c r="M635" s="36"/>
      <c r="N635" s="36"/>
      <c r="O635" s="36"/>
      <c r="P635" s="36"/>
      <c r="Q635" s="36"/>
      <c r="R635" s="36"/>
      <c r="S635" s="36"/>
      <c r="T635" s="36"/>
      <c r="U635" s="36"/>
      <c r="V635" s="36"/>
      <c r="W635" s="36"/>
      <c r="X635" s="36"/>
      <c r="Y635" s="36"/>
      <c r="Z635" s="36"/>
      <c r="AA635" s="36"/>
      <c r="AB635" s="36"/>
      <c r="AC635" s="36"/>
    </row>
    <row r="636" ht="15.75" customHeight="1">
      <c r="A636" s="423">
        <v>43145.0</v>
      </c>
      <c r="B636" s="424">
        <v>13.8586</v>
      </c>
      <c r="C636" s="425">
        <v>16.2453</v>
      </c>
      <c r="D636" s="171"/>
      <c r="E636" s="425">
        <v>13.2907</v>
      </c>
      <c r="F636" s="425">
        <v>16.3786</v>
      </c>
      <c r="G636" s="425">
        <v>12.9885</v>
      </c>
      <c r="H636" s="171"/>
      <c r="I636" s="171"/>
      <c r="J636" s="425">
        <v>17.2694</v>
      </c>
      <c r="K636" s="182">
        <v>10500.9</v>
      </c>
      <c r="L636" s="36"/>
      <c r="M636" s="36"/>
      <c r="N636" s="36"/>
      <c r="O636" s="36"/>
      <c r="P636" s="36"/>
      <c r="Q636" s="36"/>
      <c r="R636" s="36"/>
      <c r="S636" s="36"/>
      <c r="T636" s="36"/>
      <c r="U636" s="36"/>
      <c r="V636" s="36"/>
      <c r="W636" s="36"/>
      <c r="X636" s="36"/>
      <c r="Y636" s="36"/>
      <c r="Z636" s="36"/>
      <c r="AA636" s="36"/>
      <c r="AB636" s="36"/>
      <c r="AC636" s="36"/>
    </row>
    <row r="637" ht="15.75" customHeight="1">
      <c r="A637" s="423">
        <v>43146.0</v>
      </c>
      <c r="B637" s="424">
        <v>13.8846</v>
      </c>
      <c r="C637" s="425">
        <v>16.2623</v>
      </c>
      <c r="D637" s="171"/>
      <c r="E637" s="425">
        <v>13.2651</v>
      </c>
      <c r="F637" s="425">
        <v>16.4122</v>
      </c>
      <c r="G637" s="425">
        <v>12.9789</v>
      </c>
      <c r="H637" s="171"/>
      <c r="I637" s="171"/>
      <c r="J637" s="425">
        <v>17.4187</v>
      </c>
      <c r="K637" s="182">
        <v>10545.5</v>
      </c>
      <c r="L637" s="36"/>
      <c r="M637" s="36"/>
      <c r="N637" s="36"/>
      <c r="O637" s="36"/>
      <c r="P637" s="36"/>
      <c r="Q637" s="36"/>
      <c r="R637" s="36"/>
      <c r="S637" s="36"/>
      <c r="T637" s="36"/>
      <c r="U637" s="36"/>
      <c r="V637" s="36"/>
      <c r="W637" s="36"/>
      <c r="X637" s="36"/>
      <c r="Y637" s="36"/>
      <c r="Z637" s="36"/>
      <c r="AA637" s="36"/>
      <c r="AB637" s="36"/>
      <c r="AC637" s="36"/>
    </row>
    <row r="638" ht="15.75" customHeight="1">
      <c r="A638" s="423">
        <v>43146.0</v>
      </c>
      <c r="B638" s="424">
        <v>13.8846</v>
      </c>
      <c r="C638" s="425">
        <v>16.2623</v>
      </c>
      <c r="D638" s="171"/>
      <c r="E638" s="425">
        <v>13.2651</v>
      </c>
      <c r="F638" s="425">
        <v>16.4122</v>
      </c>
      <c r="G638" s="425">
        <v>12.9789</v>
      </c>
      <c r="H638" s="171"/>
      <c r="I638" s="171"/>
      <c r="J638" s="425">
        <v>17.4187</v>
      </c>
      <c r="K638" s="182">
        <v>10545.5</v>
      </c>
      <c r="L638" s="36"/>
      <c r="M638" s="36"/>
      <c r="N638" s="36"/>
      <c r="O638" s="36"/>
      <c r="P638" s="36"/>
      <c r="Q638" s="36"/>
      <c r="R638" s="36"/>
      <c r="S638" s="36"/>
      <c r="T638" s="36"/>
      <c r="U638" s="36"/>
      <c r="V638" s="36"/>
      <c r="W638" s="36"/>
      <c r="X638" s="36"/>
      <c r="Y638" s="36"/>
      <c r="Z638" s="36"/>
      <c r="AA638" s="36"/>
      <c r="AB638" s="36"/>
      <c r="AC638" s="36"/>
    </row>
    <row r="639" ht="15.75" customHeight="1">
      <c r="A639" s="423">
        <v>43146.0</v>
      </c>
      <c r="B639" s="424">
        <v>13.8846</v>
      </c>
      <c r="C639" s="425">
        <v>16.2553</v>
      </c>
      <c r="D639" s="171"/>
      <c r="E639" s="425">
        <v>13.2651</v>
      </c>
      <c r="F639" s="425">
        <v>16.4122</v>
      </c>
      <c r="G639" s="425">
        <v>12.9789</v>
      </c>
      <c r="H639" s="171"/>
      <c r="I639" s="171"/>
      <c r="J639" s="425">
        <v>17.3429</v>
      </c>
      <c r="K639" s="182">
        <v>10545.5</v>
      </c>
      <c r="L639" s="36"/>
      <c r="M639" s="36"/>
      <c r="N639" s="36"/>
      <c r="O639" s="36"/>
      <c r="P639" s="36"/>
      <c r="Q639" s="36"/>
      <c r="R639" s="36"/>
      <c r="S639" s="36"/>
      <c r="T639" s="36"/>
      <c r="U639" s="36"/>
      <c r="V639" s="36"/>
      <c r="W639" s="36"/>
      <c r="X639" s="36"/>
      <c r="Y639" s="36"/>
      <c r="Z639" s="36"/>
      <c r="AA639" s="36"/>
      <c r="AB639" s="36"/>
      <c r="AC639" s="36"/>
    </row>
    <row r="640" ht="15.75" customHeight="1">
      <c r="A640" s="423">
        <v>43146.0</v>
      </c>
      <c r="B640" s="424">
        <v>13.8846</v>
      </c>
      <c r="C640" s="425">
        <v>16.2553</v>
      </c>
      <c r="D640" s="171"/>
      <c r="E640" s="425">
        <v>13.2651</v>
      </c>
      <c r="F640" s="425">
        <v>16.4122</v>
      </c>
      <c r="G640" s="425">
        <v>12.9789</v>
      </c>
      <c r="H640" s="171"/>
      <c r="I640" s="171"/>
      <c r="J640" s="425">
        <v>17.3429</v>
      </c>
      <c r="K640" s="182">
        <v>10545.5</v>
      </c>
      <c r="L640" s="36"/>
      <c r="M640" s="36"/>
      <c r="N640" s="36"/>
      <c r="O640" s="36"/>
      <c r="P640" s="36"/>
      <c r="Q640" s="36"/>
      <c r="R640" s="36"/>
      <c r="S640" s="36"/>
      <c r="T640" s="36"/>
      <c r="U640" s="36"/>
      <c r="V640" s="36"/>
      <c r="W640" s="36"/>
      <c r="X640" s="36"/>
      <c r="Y640" s="36"/>
      <c r="Z640" s="36"/>
      <c r="AA640" s="36"/>
      <c r="AB640" s="36"/>
      <c r="AC640" s="36"/>
    </row>
    <row r="641" ht="15.75" customHeight="1">
      <c r="A641" s="423">
        <v>43147.0</v>
      </c>
      <c r="B641" s="424">
        <v>13.7787</v>
      </c>
      <c r="C641" s="425">
        <v>16.2155</v>
      </c>
      <c r="D641" s="171"/>
      <c r="E641" s="425">
        <v>13.2658</v>
      </c>
      <c r="F641" s="425">
        <v>16.2882</v>
      </c>
      <c r="G641" s="425">
        <v>12.9805</v>
      </c>
      <c r="H641" s="171"/>
      <c r="I641" s="171"/>
      <c r="J641" s="425">
        <v>17.3051</v>
      </c>
      <c r="K641" s="182">
        <v>10452.3</v>
      </c>
      <c r="L641" s="36"/>
      <c r="M641" s="36"/>
      <c r="N641" s="36"/>
      <c r="O641" s="36"/>
      <c r="P641" s="36"/>
      <c r="Q641" s="36"/>
      <c r="R641" s="36"/>
      <c r="S641" s="36"/>
      <c r="T641" s="36"/>
      <c r="U641" s="36"/>
      <c r="V641" s="36"/>
      <c r="W641" s="36"/>
      <c r="X641" s="36"/>
      <c r="Y641" s="36"/>
      <c r="Z641" s="36"/>
      <c r="AA641" s="36"/>
      <c r="AB641" s="36"/>
      <c r="AC641" s="36"/>
    </row>
    <row r="642" ht="15.75" customHeight="1">
      <c r="A642" s="423">
        <v>43147.0</v>
      </c>
      <c r="B642" s="424">
        <v>13.7787</v>
      </c>
      <c r="C642" s="425">
        <v>16.2155</v>
      </c>
      <c r="D642" s="171"/>
      <c r="E642" s="425">
        <v>13.2658</v>
      </c>
      <c r="F642" s="425">
        <v>16.2882</v>
      </c>
      <c r="G642" s="425">
        <v>12.9805</v>
      </c>
      <c r="H642" s="171"/>
      <c r="I642" s="171"/>
      <c r="J642" s="425">
        <v>17.3051</v>
      </c>
      <c r="K642" s="182">
        <v>10452.3</v>
      </c>
      <c r="L642" s="36"/>
      <c r="M642" s="36"/>
      <c r="N642" s="36"/>
      <c r="O642" s="36"/>
      <c r="P642" s="36"/>
      <c r="Q642" s="36"/>
      <c r="R642" s="36"/>
      <c r="S642" s="36"/>
      <c r="T642" s="36"/>
      <c r="U642" s="36"/>
      <c r="V642" s="36"/>
      <c r="W642" s="36"/>
      <c r="X642" s="36"/>
      <c r="Y642" s="36"/>
      <c r="Z642" s="36"/>
      <c r="AA642" s="36"/>
      <c r="AB642" s="36"/>
      <c r="AC642" s="36"/>
    </row>
    <row r="643" ht="15.75" customHeight="1">
      <c r="A643" s="423">
        <v>43147.0</v>
      </c>
      <c r="B643" s="424">
        <v>13.7787</v>
      </c>
      <c r="C643" s="425">
        <v>16.2646</v>
      </c>
      <c r="D643" s="171"/>
      <c r="E643" s="425">
        <v>13.2658</v>
      </c>
      <c r="F643" s="425">
        <v>16.2882</v>
      </c>
      <c r="G643" s="425">
        <v>12.9805</v>
      </c>
      <c r="H643" s="171"/>
      <c r="I643" s="171"/>
      <c r="J643" s="425">
        <v>17.3849</v>
      </c>
      <c r="K643" s="182">
        <v>10452.3</v>
      </c>
      <c r="L643" s="36"/>
      <c r="M643" s="36"/>
      <c r="N643" s="36"/>
      <c r="O643" s="36"/>
      <c r="P643" s="36"/>
      <c r="Q643" s="36"/>
      <c r="R643" s="36"/>
      <c r="S643" s="36"/>
      <c r="T643" s="36"/>
      <c r="U643" s="36"/>
      <c r="V643" s="36"/>
      <c r="W643" s="36"/>
      <c r="X643" s="36"/>
      <c r="Y643" s="36"/>
      <c r="Z643" s="36"/>
      <c r="AA643" s="36"/>
      <c r="AB643" s="36"/>
      <c r="AC643" s="36"/>
    </row>
    <row r="644" ht="15.75" customHeight="1">
      <c r="A644" s="423">
        <v>43147.0</v>
      </c>
      <c r="B644" s="424">
        <v>13.7787</v>
      </c>
      <c r="C644" s="425">
        <v>16.2646</v>
      </c>
      <c r="D644" s="171"/>
      <c r="E644" s="425">
        <v>13.2658</v>
      </c>
      <c r="F644" s="425">
        <v>16.2882</v>
      </c>
      <c r="G644" s="425">
        <v>12.9805</v>
      </c>
      <c r="H644" s="171"/>
      <c r="I644" s="171"/>
      <c r="J644" s="425">
        <v>17.3849</v>
      </c>
      <c r="K644" s="182">
        <v>10452.3</v>
      </c>
      <c r="L644" s="36"/>
      <c r="M644" s="36"/>
      <c r="N644" s="36"/>
      <c r="O644" s="36"/>
      <c r="P644" s="36"/>
      <c r="Q644" s="36"/>
      <c r="R644" s="36"/>
      <c r="S644" s="36"/>
      <c r="T644" s="36"/>
      <c r="U644" s="36"/>
      <c r="V644" s="36"/>
      <c r="W644" s="36"/>
      <c r="X644" s="36"/>
      <c r="Y644" s="36"/>
      <c r="Z644" s="36"/>
      <c r="AA644" s="36"/>
      <c r="AB644" s="36"/>
      <c r="AC644" s="36"/>
    </row>
    <row r="645" ht="15.75" customHeight="1">
      <c r="A645" s="423">
        <v>43150.0</v>
      </c>
      <c r="B645" s="424">
        <v>13.6708</v>
      </c>
      <c r="C645" s="425">
        <v>16.2265</v>
      </c>
      <c r="D645" s="171"/>
      <c r="E645" s="425">
        <v>13.2721</v>
      </c>
      <c r="F645" s="425">
        <v>16.16</v>
      </c>
      <c r="G645" s="425">
        <v>12.9862</v>
      </c>
      <c r="H645" s="171"/>
      <c r="I645" s="171"/>
      <c r="J645" s="425">
        <v>17.2902</v>
      </c>
      <c r="K645" s="182">
        <v>10378.4</v>
      </c>
      <c r="L645" s="36"/>
      <c r="M645" s="36"/>
      <c r="N645" s="36"/>
      <c r="O645" s="36"/>
      <c r="P645" s="36"/>
      <c r="Q645" s="36"/>
      <c r="R645" s="36"/>
      <c r="S645" s="36"/>
      <c r="T645" s="36"/>
      <c r="U645" s="36"/>
      <c r="V645" s="36"/>
      <c r="W645" s="36"/>
      <c r="X645" s="36"/>
      <c r="Y645" s="36"/>
      <c r="Z645" s="36"/>
      <c r="AA645" s="36"/>
      <c r="AB645" s="36"/>
      <c r="AC645" s="36"/>
    </row>
    <row r="646" ht="15.75" customHeight="1">
      <c r="A646" s="423">
        <v>43150.0</v>
      </c>
      <c r="B646" s="424">
        <v>13.6708</v>
      </c>
      <c r="C646" s="425">
        <v>16.2265</v>
      </c>
      <c r="D646" s="171"/>
      <c r="E646" s="425">
        <v>13.2721</v>
      </c>
      <c r="F646" s="425">
        <v>16.16</v>
      </c>
      <c r="G646" s="425">
        <v>12.9862</v>
      </c>
      <c r="H646" s="171"/>
      <c r="I646" s="171"/>
      <c r="J646" s="425">
        <v>17.2902</v>
      </c>
      <c r="K646" s="182">
        <v>10378.4</v>
      </c>
      <c r="L646" s="36"/>
      <c r="M646" s="36"/>
      <c r="N646" s="36"/>
      <c r="O646" s="36"/>
      <c r="P646" s="36"/>
      <c r="Q646" s="36"/>
      <c r="R646" s="36"/>
      <c r="S646" s="36"/>
      <c r="T646" s="36"/>
      <c r="U646" s="36"/>
      <c r="V646" s="36"/>
      <c r="W646" s="36"/>
      <c r="X646" s="36"/>
      <c r="Y646" s="36"/>
      <c r="Z646" s="36"/>
      <c r="AA646" s="36"/>
      <c r="AB646" s="36"/>
      <c r="AC646" s="36"/>
    </row>
    <row r="647" ht="15.75" customHeight="1">
      <c r="A647" s="423">
        <v>43150.0</v>
      </c>
      <c r="B647" s="424">
        <v>13.6708</v>
      </c>
      <c r="C647" s="425">
        <v>16.2075</v>
      </c>
      <c r="D647" s="171"/>
      <c r="E647" s="425">
        <v>13.2721</v>
      </c>
      <c r="F647" s="425">
        <v>16.16</v>
      </c>
      <c r="G647" s="425">
        <v>12.9862</v>
      </c>
      <c r="H647" s="171"/>
      <c r="I647" s="171"/>
      <c r="J647" s="425">
        <v>17.2773</v>
      </c>
      <c r="K647" s="182">
        <v>10378.4</v>
      </c>
      <c r="L647" s="36"/>
      <c r="M647" s="36"/>
      <c r="N647" s="36"/>
      <c r="O647" s="36"/>
      <c r="P647" s="36"/>
      <c r="Q647" s="36"/>
      <c r="R647" s="36"/>
      <c r="S647" s="36"/>
      <c r="T647" s="36"/>
      <c r="U647" s="36"/>
      <c r="V647" s="36"/>
      <c r="W647" s="36"/>
      <c r="X647" s="36"/>
      <c r="Y647" s="36"/>
      <c r="Z647" s="36"/>
      <c r="AA647" s="36"/>
      <c r="AB647" s="36"/>
      <c r="AC647" s="36"/>
    </row>
    <row r="648" ht="15.75" customHeight="1">
      <c r="A648" s="423">
        <v>43150.0</v>
      </c>
      <c r="B648" s="424">
        <v>13.6708</v>
      </c>
      <c r="C648" s="425">
        <v>16.2075</v>
      </c>
      <c r="D648" s="171"/>
      <c r="E648" s="425">
        <v>13.2721</v>
      </c>
      <c r="F648" s="425">
        <v>16.16</v>
      </c>
      <c r="G648" s="425">
        <v>12.9862</v>
      </c>
      <c r="H648" s="171"/>
      <c r="I648" s="171"/>
      <c r="J648" s="425">
        <v>17.2773</v>
      </c>
      <c r="K648" s="182">
        <v>10378.4</v>
      </c>
      <c r="L648" s="36"/>
      <c r="M648" s="36"/>
      <c r="N648" s="36"/>
      <c r="O648" s="36"/>
      <c r="P648" s="36"/>
      <c r="Q648" s="36"/>
      <c r="R648" s="36"/>
      <c r="S648" s="36"/>
      <c r="T648" s="36"/>
      <c r="U648" s="36"/>
      <c r="V648" s="36"/>
      <c r="W648" s="36"/>
      <c r="X648" s="36"/>
      <c r="Y648" s="36"/>
      <c r="Z648" s="36"/>
      <c r="AA648" s="36"/>
      <c r="AB648" s="36"/>
      <c r="AC648" s="36"/>
    </row>
    <row r="649" ht="15.75" customHeight="1">
      <c r="A649" s="423">
        <v>43151.0</v>
      </c>
      <c r="B649" s="424">
        <v>13.6486</v>
      </c>
      <c r="C649" s="425">
        <v>16.2379</v>
      </c>
      <c r="D649" s="171"/>
      <c r="E649" s="425">
        <v>13.2268</v>
      </c>
      <c r="F649" s="425">
        <v>16.1336</v>
      </c>
      <c r="G649" s="425">
        <v>12.9747</v>
      </c>
      <c r="H649" s="171"/>
      <c r="I649" s="171"/>
      <c r="J649" s="425">
        <v>17.2379</v>
      </c>
      <c r="K649" s="182">
        <v>10360.4</v>
      </c>
      <c r="L649" s="36"/>
      <c r="M649" s="36"/>
      <c r="N649" s="36"/>
      <c r="O649" s="36"/>
      <c r="P649" s="36"/>
      <c r="Q649" s="36"/>
      <c r="R649" s="36"/>
      <c r="S649" s="36"/>
      <c r="T649" s="36"/>
      <c r="U649" s="36"/>
      <c r="V649" s="36"/>
      <c r="W649" s="36"/>
      <c r="X649" s="36"/>
      <c r="Y649" s="36"/>
      <c r="Z649" s="36"/>
      <c r="AA649" s="36"/>
      <c r="AB649" s="36"/>
      <c r="AC649" s="36"/>
    </row>
    <row r="650" ht="15.75" customHeight="1">
      <c r="A650" s="423">
        <v>43151.0</v>
      </c>
      <c r="B650" s="424">
        <v>13.6486</v>
      </c>
      <c r="C650" s="425">
        <v>16.2379</v>
      </c>
      <c r="D650" s="171"/>
      <c r="E650" s="425">
        <v>13.2268</v>
      </c>
      <c r="F650" s="425">
        <v>16.1336</v>
      </c>
      <c r="G650" s="425">
        <v>12.9747</v>
      </c>
      <c r="H650" s="171"/>
      <c r="I650" s="171"/>
      <c r="J650" s="425">
        <v>17.2379</v>
      </c>
      <c r="K650" s="182">
        <v>10360.4</v>
      </c>
      <c r="L650" s="36"/>
      <c r="M650" s="36"/>
      <c r="N650" s="36"/>
      <c r="O650" s="36"/>
      <c r="P650" s="36"/>
      <c r="Q650" s="36"/>
      <c r="R650" s="36"/>
      <c r="S650" s="36"/>
      <c r="T650" s="36"/>
      <c r="U650" s="36"/>
      <c r="V650" s="36"/>
      <c r="W650" s="36"/>
      <c r="X650" s="36"/>
      <c r="Y650" s="36"/>
      <c r="Z650" s="36"/>
      <c r="AA650" s="36"/>
      <c r="AB650" s="36"/>
      <c r="AC650" s="36"/>
    </row>
    <row r="651" ht="15.75" customHeight="1">
      <c r="A651" s="423">
        <v>43151.0</v>
      </c>
      <c r="B651" s="424">
        <v>13.6486</v>
      </c>
      <c r="C651" s="425">
        <v>16.2402</v>
      </c>
      <c r="D651" s="171"/>
      <c r="E651" s="425">
        <v>13.2268</v>
      </c>
      <c r="F651" s="425">
        <v>16.1336</v>
      </c>
      <c r="G651" s="425">
        <v>12.9747</v>
      </c>
      <c r="H651" s="171"/>
      <c r="I651" s="171"/>
      <c r="J651" s="425">
        <v>17.2999</v>
      </c>
      <c r="K651" s="182">
        <v>10360.4</v>
      </c>
      <c r="L651" s="36"/>
      <c r="M651" s="36"/>
      <c r="N651" s="36"/>
      <c r="O651" s="36"/>
      <c r="P651" s="36"/>
      <c r="Q651" s="36"/>
      <c r="R651" s="36"/>
      <c r="S651" s="36"/>
      <c r="T651" s="36"/>
      <c r="U651" s="36"/>
      <c r="V651" s="36"/>
      <c r="W651" s="36"/>
      <c r="X651" s="36"/>
      <c r="Y651" s="36"/>
      <c r="Z651" s="36"/>
      <c r="AA651" s="36"/>
      <c r="AB651" s="36"/>
      <c r="AC651" s="36"/>
    </row>
    <row r="652" ht="15.75" customHeight="1">
      <c r="A652" s="423">
        <v>43151.0</v>
      </c>
      <c r="B652" s="424">
        <v>13.6486</v>
      </c>
      <c r="C652" s="425">
        <v>16.2402</v>
      </c>
      <c r="D652" s="171"/>
      <c r="E652" s="425">
        <v>13.2268</v>
      </c>
      <c r="F652" s="425">
        <v>16.1336</v>
      </c>
      <c r="G652" s="425">
        <v>12.9747</v>
      </c>
      <c r="H652" s="171"/>
      <c r="I652" s="171"/>
      <c r="J652" s="425">
        <v>17.2999</v>
      </c>
      <c r="K652" s="182">
        <v>10360.4</v>
      </c>
      <c r="L652" s="36"/>
      <c r="M652" s="36"/>
      <c r="N652" s="36"/>
      <c r="O652" s="36"/>
      <c r="P652" s="36"/>
      <c r="Q652" s="36"/>
      <c r="R652" s="36"/>
      <c r="S652" s="36"/>
      <c r="T652" s="36"/>
      <c r="U652" s="36"/>
      <c r="V652" s="36"/>
      <c r="W652" s="36"/>
      <c r="X652" s="36"/>
      <c r="Y652" s="36"/>
      <c r="Z652" s="36"/>
      <c r="AA652" s="36"/>
      <c r="AB652" s="36"/>
      <c r="AC652" s="36"/>
    </row>
    <row r="653" ht="15.75" customHeight="1">
      <c r="A653" s="423">
        <v>43152.0</v>
      </c>
      <c r="B653" s="424">
        <v>13.6472</v>
      </c>
      <c r="C653" s="425">
        <v>16.2396</v>
      </c>
      <c r="D653" s="171"/>
      <c r="E653" s="425">
        <v>13.1998</v>
      </c>
      <c r="F653" s="425">
        <v>16.1502</v>
      </c>
      <c r="G653" s="425">
        <v>12.9718</v>
      </c>
      <c r="H653" s="171"/>
      <c r="I653" s="171"/>
      <c r="J653" s="425">
        <v>17.239</v>
      </c>
      <c r="K653" s="182">
        <v>10397.45</v>
      </c>
      <c r="L653" s="36"/>
      <c r="M653" s="36"/>
      <c r="N653" s="36"/>
      <c r="O653" s="36"/>
      <c r="P653" s="36"/>
      <c r="Q653" s="36"/>
      <c r="R653" s="36"/>
      <c r="S653" s="36"/>
      <c r="T653" s="36"/>
      <c r="U653" s="36"/>
      <c r="V653" s="36"/>
      <c r="W653" s="36"/>
      <c r="X653" s="36"/>
      <c r="Y653" s="36"/>
      <c r="Z653" s="36"/>
      <c r="AA653" s="36"/>
      <c r="AB653" s="36"/>
      <c r="AC653" s="36"/>
    </row>
    <row r="654" ht="15.75" customHeight="1">
      <c r="A654" s="423">
        <v>43152.0</v>
      </c>
      <c r="B654" s="424">
        <v>13.6472</v>
      </c>
      <c r="C654" s="425">
        <v>16.2396</v>
      </c>
      <c r="D654" s="171"/>
      <c r="E654" s="425">
        <v>13.1998</v>
      </c>
      <c r="F654" s="425">
        <v>16.1502</v>
      </c>
      <c r="G654" s="425">
        <v>12.9718</v>
      </c>
      <c r="H654" s="171"/>
      <c r="I654" s="171"/>
      <c r="J654" s="425">
        <v>17.239</v>
      </c>
      <c r="K654" s="182">
        <v>10397.45</v>
      </c>
      <c r="L654" s="36"/>
      <c r="M654" s="36"/>
      <c r="N654" s="36"/>
      <c r="O654" s="36"/>
      <c r="P654" s="36"/>
      <c r="Q654" s="36"/>
      <c r="R654" s="36"/>
      <c r="S654" s="36"/>
      <c r="T654" s="36"/>
      <c r="U654" s="36"/>
      <c r="V654" s="36"/>
      <c r="W654" s="36"/>
      <c r="X654" s="36"/>
      <c r="Y654" s="36"/>
      <c r="Z654" s="36"/>
      <c r="AA654" s="36"/>
      <c r="AB654" s="36"/>
      <c r="AC654" s="36"/>
    </row>
    <row r="655" ht="15.75" customHeight="1">
      <c r="A655" s="423">
        <v>43152.0</v>
      </c>
      <c r="B655" s="424">
        <v>13.6472</v>
      </c>
      <c r="C655" s="425">
        <v>16.2407</v>
      </c>
      <c r="D655" s="171"/>
      <c r="E655" s="425">
        <v>13.1998</v>
      </c>
      <c r="F655" s="425">
        <v>16.1502</v>
      </c>
      <c r="G655" s="425">
        <v>12.9718</v>
      </c>
      <c r="H655" s="171"/>
      <c r="I655" s="171"/>
      <c r="J655" s="425">
        <v>17.1336</v>
      </c>
      <c r="K655" s="182">
        <v>10397.45</v>
      </c>
      <c r="L655" s="36"/>
      <c r="M655" s="36"/>
      <c r="N655" s="36"/>
      <c r="O655" s="36"/>
      <c r="P655" s="36"/>
      <c r="Q655" s="36"/>
      <c r="R655" s="36"/>
      <c r="S655" s="36"/>
      <c r="T655" s="36"/>
      <c r="U655" s="36"/>
      <c r="V655" s="36"/>
      <c r="W655" s="36"/>
      <c r="X655" s="36"/>
      <c r="Y655" s="36"/>
      <c r="Z655" s="36"/>
      <c r="AA655" s="36"/>
      <c r="AB655" s="36"/>
      <c r="AC655" s="36"/>
    </row>
    <row r="656" ht="15.75" customHeight="1">
      <c r="A656" s="423">
        <v>43152.0</v>
      </c>
      <c r="B656" s="424">
        <v>13.6472</v>
      </c>
      <c r="C656" s="425">
        <v>16.2407</v>
      </c>
      <c r="D656" s="171"/>
      <c r="E656" s="425">
        <v>13.1998</v>
      </c>
      <c r="F656" s="425">
        <v>16.1502</v>
      </c>
      <c r="G656" s="425">
        <v>12.9718</v>
      </c>
      <c r="H656" s="171"/>
      <c r="I656" s="171"/>
      <c r="J656" s="425">
        <v>17.1336</v>
      </c>
      <c r="K656" s="182">
        <v>10397.45</v>
      </c>
      <c r="L656" s="36"/>
      <c r="M656" s="36"/>
      <c r="N656" s="36"/>
      <c r="O656" s="36"/>
      <c r="P656" s="36"/>
      <c r="Q656" s="36"/>
      <c r="R656" s="36"/>
      <c r="S656" s="36"/>
      <c r="T656" s="36"/>
      <c r="U656" s="36"/>
      <c r="V656" s="36"/>
      <c r="W656" s="36"/>
      <c r="X656" s="36"/>
      <c r="Y656" s="36"/>
      <c r="Z656" s="36"/>
      <c r="AA656" s="36"/>
      <c r="AB656" s="36"/>
      <c r="AC656" s="36"/>
    </row>
    <row r="657" ht="15.75" customHeight="1">
      <c r="A657" s="423">
        <v>43153.0</v>
      </c>
      <c r="B657" s="424">
        <v>13.653</v>
      </c>
      <c r="C657" s="425">
        <v>16.2476</v>
      </c>
      <c r="D657" s="171"/>
      <c r="E657" s="425">
        <v>13.164</v>
      </c>
      <c r="F657" s="425">
        <v>16.142</v>
      </c>
      <c r="G657" s="425">
        <v>12.9642</v>
      </c>
      <c r="H657" s="171"/>
      <c r="I657" s="171"/>
      <c r="J657" s="425">
        <v>17.4036</v>
      </c>
      <c r="K657" s="182">
        <v>10382.7</v>
      </c>
      <c r="L657" s="36"/>
      <c r="M657" s="36"/>
      <c r="N657" s="36"/>
      <c r="O657" s="36"/>
      <c r="P657" s="36"/>
      <c r="Q657" s="36"/>
      <c r="R657" s="36"/>
      <c r="S657" s="36"/>
      <c r="T657" s="36"/>
      <c r="U657" s="36"/>
      <c r="V657" s="36"/>
      <c r="W657" s="36"/>
      <c r="X657" s="36"/>
      <c r="Y657" s="36"/>
      <c r="Z657" s="36"/>
      <c r="AA657" s="36"/>
      <c r="AB657" s="36"/>
      <c r="AC657" s="36"/>
    </row>
    <row r="658" ht="15.75" customHeight="1">
      <c r="A658" s="423">
        <v>43153.0</v>
      </c>
      <c r="B658" s="424">
        <v>13.653</v>
      </c>
      <c r="C658" s="425">
        <v>16.2476</v>
      </c>
      <c r="D658" s="171"/>
      <c r="E658" s="425">
        <v>13.164</v>
      </c>
      <c r="F658" s="425">
        <v>16.142</v>
      </c>
      <c r="G658" s="425">
        <v>12.9642</v>
      </c>
      <c r="H658" s="171"/>
      <c r="I658" s="171"/>
      <c r="J658" s="425">
        <v>17.4036</v>
      </c>
      <c r="K658" s="182">
        <v>10382.7</v>
      </c>
      <c r="L658" s="36"/>
      <c r="M658" s="36"/>
      <c r="N658" s="36"/>
      <c r="O658" s="36"/>
      <c r="P658" s="36"/>
      <c r="Q658" s="36"/>
      <c r="R658" s="36"/>
      <c r="S658" s="36"/>
      <c r="T658" s="36"/>
      <c r="U658" s="36"/>
      <c r="V658" s="36"/>
      <c r="W658" s="36"/>
      <c r="X658" s="36"/>
      <c r="Y658" s="36"/>
      <c r="Z658" s="36"/>
      <c r="AA658" s="36"/>
      <c r="AB658" s="36"/>
      <c r="AC658" s="36"/>
    </row>
    <row r="659" ht="15.75" customHeight="1">
      <c r="A659" s="423">
        <v>43153.0</v>
      </c>
      <c r="B659" s="424">
        <v>13.653</v>
      </c>
      <c r="C659" s="425">
        <v>16.2268</v>
      </c>
      <c r="D659" s="171"/>
      <c r="E659" s="425">
        <v>13.164</v>
      </c>
      <c r="F659" s="425">
        <v>16.142</v>
      </c>
      <c r="G659" s="425">
        <v>12.9642</v>
      </c>
      <c r="H659" s="171"/>
      <c r="I659" s="171"/>
      <c r="J659" s="425">
        <v>17.3207</v>
      </c>
      <c r="K659" s="182">
        <v>10382.7</v>
      </c>
      <c r="L659" s="36"/>
      <c r="M659" s="36"/>
      <c r="N659" s="36"/>
      <c r="O659" s="36"/>
      <c r="P659" s="36"/>
      <c r="Q659" s="36"/>
      <c r="R659" s="36"/>
      <c r="S659" s="36"/>
      <c r="T659" s="36"/>
      <c r="U659" s="36"/>
      <c r="V659" s="36"/>
      <c r="W659" s="36"/>
      <c r="X659" s="36"/>
      <c r="Y659" s="36"/>
      <c r="Z659" s="36"/>
      <c r="AA659" s="36"/>
      <c r="AB659" s="36"/>
      <c r="AC659" s="36"/>
    </row>
    <row r="660" ht="15.75" customHeight="1">
      <c r="A660" s="423">
        <v>43153.0</v>
      </c>
      <c r="B660" s="424">
        <v>13.653</v>
      </c>
      <c r="C660" s="425">
        <v>16.2268</v>
      </c>
      <c r="D660" s="171"/>
      <c r="E660" s="425">
        <v>13.164</v>
      </c>
      <c r="F660" s="425">
        <v>16.142</v>
      </c>
      <c r="G660" s="425">
        <v>12.9642</v>
      </c>
      <c r="H660" s="171"/>
      <c r="I660" s="171"/>
      <c r="J660" s="425">
        <v>17.3207</v>
      </c>
      <c r="K660" s="182">
        <v>10382.7</v>
      </c>
      <c r="L660" s="36"/>
      <c r="M660" s="36"/>
      <c r="N660" s="36"/>
      <c r="O660" s="36"/>
      <c r="P660" s="36"/>
      <c r="Q660" s="36"/>
      <c r="R660" s="36"/>
      <c r="S660" s="36"/>
      <c r="T660" s="36"/>
      <c r="U660" s="36"/>
      <c r="V660" s="36"/>
      <c r="W660" s="36"/>
      <c r="X660" s="36"/>
      <c r="Y660" s="36"/>
      <c r="Z660" s="36"/>
      <c r="AA660" s="36"/>
      <c r="AB660" s="36"/>
      <c r="AC660" s="36"/>
    </row>
    <row r="661" ht="15.75" customHeight="1">
      <c r="A661" s="423">
        <v>43154.0</v>
      </c>
      <c r="B661" s="424">
        <v>13.7771</v>
      </c>
      <c r="C661" s="425">
        <v>16.2513</v>
      </c>
      <c r="D661" s="171"/>
      <c r="E661" s="425">
        <v>13.2075</v>
      </c>
      <c r="F661" s="425">
        <v>16.3042</v>
      </c>
      <c r="G661" s="425">
        <v>12.9751</v>
      </c>
      <c r="H661" s="171"/>
      <c r="I661" s="171"/>
      <c r="J661" s="425">
        <v>17.4253</v>
      </c>
      <c r="K661" s="182">
        <v>10491.05</v>
      </c>
      <c r="L661" s="36"/>
      <c r="M661" s="36"/>
      <c r="N661" s="36"/>
      <c r="O661" s="36"/>
      <c r="P661" s="36"/>
      <c r="Q661" s="36"/>
      <c r="R661" s="36"/>
      <c r="S661" s="36"/>
      <c r="T661" s="36"/>
      <c r="U661" s="36"/>
      <c r="V661" s="36"/>
      <c r="W661" s="36"/>
      <c r="X661" s="36"/>
      <c r="Y661" s="36"/>
      <c r="Z661" s="36"/>
      <c r="AA661" s="36"/>
      <c r="AB661" s="36"/>
      <c r="AC661" s="36"/>
    </row>
    <row r="662" ht="15.75" customHeight="1">
      <c r="A662" s="423">
        <v>43154.0</v>
      </c>
      <c r="B662" s="424">
        <v>13.7771</v>
      </c>
      <c r="C662" s="425">
        <v>16.2513</v>
      </c>
      <c r="D662" s="171"/>
      <c r="E662" s="425">
        <v>13.2075</v>
      </c>
      <c r="F662" s="425">
        <v>16.3042</v>
      </c>
      <c r="G662" s="425">
        <v>12.9751</v>
      </c>
      <c r="H662" s="171"/>
      <c r="I662" s="171"/>
      <c r="J662" s="425">
        <v>17.4253</v>
      </c>
      <c r="K662" s="182">
        <v>10491.05</v>
      </c>
      <c r="L662" s="36"/>
      <c r="M662" s="36"/>
      <c r="N662" s="36"/>
      <c r="O662" s="36"/>
      <c r="P662" s="36"/>
      <c r="Q662" s="36"/>
      <c r="R662" s="36"/>
      <c r="S662" s="36"/>
      <c r="T662" s="36"/>
      <c r="U662" s="36"/>
      <c r="V662" s="36"/>
      <c r="W662" s="36"/>
      <c r="X662" s="36"/>
      <c r="Y662" s="36"/>
      <c r="Z662" s="36"/>
      <c r="AA662" s="36"/>
      <c r="AB662" s="36"/>
      <c r="AC662" s="36"/>
    </row>
    <row r="663" ht="15.75" customHeight="1">
      <c r="A663" s="423">
        <v>43154.0</v>
      </c>
      <c r="B663" s="424">
        <v>13.7771</v>
      </c>
      <c r="C663" s="425">
        <v>16.25</v>
      </c>
      <c r="D663" s="171"/>
      <c r="E663" s="425">
        <v>13.2075</v>
      </c>
      <c r="F663" s="425">
        <v>16.3042</v>
      </c>
      <c r="G663" s="425">
        <v>12.9751</v>
      </c>
      <c r="H663" s="171"/>
      <c r="I663" s="171"/>
      <c r="J663" s="425">
        <v>17.4374</v>
      </c>
      <c r="K663" s="182">
        <v>10491.05</v>
      </c>
      <c r="L663" s="36"/>
      <c r="M663" s="36"/>
      <c r="N663" s="36"/>
      <c r="O663" s="36"/>
      <c r="P663" s="36"/>
      <c r="Q663" s="36"/>
      <c r="R663" s="36"/>
      <c r="S663" s="36"/>
      <c r="T663" s="36"/>
      <c r="U663" s="36"/>
      <c r="V663" s="36"/>
      <c r="W663" s="36"/>
      <c r="X663" s="36"/>
      <c r="Y663" s="36"/>
      <c r="Z663" s="36"/>
      <c r="AA663" s="36"/>
      <c r="AB663" s="36"/>
      <c r="AC663" s="36"/>
    </row>
    <row r="664" ht="15.75" customHeight="1">
      <c r="A664" s="423">
        <v>43154.0</v>
      </c>
      <c r="B664" s="424">
        <v>13.7771</v>
      </c>
      <c r="C664" s="425">
        <v>16.25</v>
      </c>
      <c r="D664" s="171"/>
      <c r="E664" s="425">
        <v>13.2075</v>
      </c>
      <c r="F664" s="425">
        <v>16.3042</v>
      </c>
      <c r="G664" s="425">
        <v>12.9751</v>
      </c>
      <c r="H664" s="171"/>
      <c r="I664" s="171"/>
      <c r="J664" s="425">
        <v>17.4374</v>
      </c>
      <c r="K664" s="182">
        <v>10491.05</v>
      </c>
      <c r="L664" s="36"/>
      <c r="M664" s="36"/>
      <c r="N664" s="36"/>
      <c r="O664" s="36"/>
      <c r="P664" s="36"/>
      <c r="Q664" s="36"/>
      <c r="R664" s="36"/>
      <c r="S664" s="36"/>
      <c r="T664" s="36"/>
      <c r="U664" s="36"/>
      <c r="V664" s="36"/>
      <c r="W664" s="36"/>
      <c r="X664" s="36"/>
      <c r="Y664" s="36"/>
      <c r="Z664" s="36"/>
      <c r="AA664" s="36"/>
      <c r="AB664" s="36"/>
      <c r="AC664" s="36"/>
    </row>
    <row r="665" ht="15.75" customHeight="1">
      <c r="A665" s="423">
        <v>43157.0</v>
      </c>
      <c r="B665" s="424">
        <v>13.8937</v>
      </c>
      <c r="C665" s="425">
        <v>16.2609</v>
      </c>
      <c r="D665" s="171"/>
      <c r="E665" s="425">
        <v>13.1937</v>
      </c>
      <c r="F665" s="425">
        <v>16.4609</v>
      </c>
      <c r="G665" s="425">
        <v>12.9784</v>
      </c>
      <c r="H665" s="171"/>
      <c r="I665" s="171"/>
      <c r="J665" s="425">
        <v>17.4049</v>
      </c>
      <c r="K665" s="182">
        <v>10582.6</v>
      </c>
      <c r="L665" s="36"/>
      <c r="M665" s="36"/>
      <c r="N665" s="36"/>
      <c r="O665" s="36"/>
      <c r="P665" s="36"/>
      <c r="Q665" s="36"/>
      <c r="R665" s="36"/>
      <c r="S665" s="36"/>
      <c r="T665" s="36"/>
      <c r="U665" s="36"/>
      <c r="V665" s="36"/>
      <c r="W665" s="36"/>
      <c r="X665" s="36"/>
      <c r="Y665" s="36"/>
      <c r="Z665" s="36"/>
      <c r="AA665" s="36"/>
      <c r="AB665" s="36"/>
      <c r="AC665" s="36"/>
    </row>
    <row r="666" ht="15.75" customHeight="1">
      <c r="A666" s="423">
        <v>43157.0</v>
      </c>
      <c r="B666" s="424">
        <v>13.8937</v>
      </c>
      <c r="C666" s="425">
        <v>16.2609</v>
      </c>
      <c r="D666" s="171"/>
      <c r="E666" s="425">
        <v>13.1937</v>
      </c>
      <c r="F666" s="425">
        <v>16.4609</v>
      </c>
      <c r="G666" s="425">
        <v>12.9784</v>
      </c>
      <c r="H666" s="171"/>
      <c r="I666" s="171"/>
      <c r="J666" s="425">
        <v>17.4049</v>
      </c>
      <c r="K666" s="182">
        <v>10582.6</v>
      </c>
      <c r="L666" s="36"/>
      <c r="M666" s="36"/>
      <c r="N666" s="36"/>
      <c r="O666" s="36"/>
      <c r="P666" s="36"/>
      <c r="Q666" s="36"/>
      <c r="R666" s="36"/>
      <c r="S666" s="36"/>
      <c r="T666" s="36"/>
      <c r="U666" s="36"/>
      <c r="V666" s="36"/>
      <c r="W666" s="36"/>
      <c r="X666" s="36"/>
      <c r="Y666" s="36"/>
      <c r="Z666" s="36"/>
      <c r="AA666" s="36"/>
      <c r="AB666" s="36"/>
      <c r="AC666" s="36"/>
    </row>
    <row r="667" ht="15.75" customHeight="1">
      <c r="A667" s="423">
        <v>43157.0</v>
      </c>
      <c r="B667" s="424">
        <v>13.8937</v>
      </c>
      <c r="C667" s="425">
        <v>16.2501</v>
      </c>
      <c r="D667" s="171"/>
      <c r="E667" s="425">
        <v>13.1937</v>
      </c>
      <c r="F667" s="425">
        <v>16.4609</v>
      </c>
      <c r="G667" s="425">
        <v>12.9784</v>
      </c>
      <c r="H667" s="171"/>
      <c r="I667" s="171"/>
      <c r="J667" s="425">
        <v>17.4427</v>
      </c>
      <c r="K667" s="182">
        <v>10582.6</v>
      </c>
      <c r="L667" s="36"/>
      <c r="M667" s="36"/>
      <c r="N667" s="36"/>
      <c r="O667" s="36"/>
      <c r="P667" s="36"/>
      <c r="Q667" s="36"/>
      <c r="R667" s="36"/>
      <c r="S667" s="36"/>
      <c r="T667" s="36"/>
      <c r="U667" s="36"/>
      <c r="V667" s="36"/>
      <c r="W667" s="36"/>
      <c r="X667" s="36"/>
      <c r="Y667" s="36"/>
      <c r="Z667" s="36"/>
      <c r="AA667" s="36"/>
      <c r="AB667" s="36"/>
      <c r="AC667" s="36"/>
    </row>
    <row r="668" ht="15.75" customHeight="1">
      <c r="A668" s="423">
        <v>43157.0</v>
      </c>
      <c r="B668" s="424">
        <v>13.8937</v>
      </c>
      <c r="C668" s="425">
        <v>16.2501</v>
      </c>
      <c r="D668" s="171"/>
      <c r="E668" s="425">
        <v>13.1937</v>
      </c>
      <c r="F668" s="425">
        <v>16.4609</v>
      </c>
      <c r="G668" s="425">
        <v>12.9784</v>
      </c>
      <c r="H668" s="171"/>
      <c r="I668" s="171"/>
      <c r="J668" s="425">
        <v>17.4427</v>
      </c>
      <c r="K668" s="182">
        <v>10582.6</v>
      </c>
      <c r="L668" s="36"/>
      <c r="M668" s="36"/>
      <c r="N668" s="36"/>
      <c r="O668" s="36"/>
      <c r="P668" s="36"/>
      <c r="Q668" s="36"/>
      <c r="R668" s="36"/>
      <c r="S668" s="36"/>
      <c r="T668" s="36"/>
      <c r="U668" s="36"/>
      <c r="V668" s="36"/>
      <c r="W668" s="36"/>
      <c r="X668" s="36"/>
      <c r="Y668" s="36"/>
      <c r="Z668" s="36"/>
      <c r="AA668" s="36"/>
      <c r="AB668" s="36"/>
      <c r="AC668" s="36"/>
    </row>
    <row r="669" ht="15.75" customHeight="1">
      <c r="A669" s="423">
        <v>43158.0</v>
      </c>
      <c r="B669" s="424">
        <v>13.8628</v>
      </c>
      <c r="C669" s="425">
        <v>16.26</v>
      </c>
      <c r="D669" s="171"/>
      <c r="E669" s="425">
        <v>13.2126</v>
      </c>
      <c r="F669" s="425">
        <v>16.4286</v>
      </c>
      <c r="G669" s="425">
        <v>12.9835</v>
      </c>
      <c r="H669" s="171"/>
      <c r="I669" s="171"/>
      <c r="J669" s="425">
        <v>17.4379</v>
      </c>
      <c r="K669" s="182">
        <v>10554.3</v>
      </c>
      <c r="L669" s="36"/>
      <c r="M669" s="36"/>
      <c r="N669" s="36"/>
      <c r="O669" s="36"/>
      <c r="P669" s="36"/>
      <c r="Q669" s="36"/>
      <c r="R669" s="36"/>
      <c r="S669" s="36"/>
      <c r="T669" s="36"/>
      <c r="U669" s="36"/>
      <c r="V669" s="36"/>
      <c r="W669" s="36"/>
      <c r="X669" s="36"/>
      <c r="Y669" s="36"/>
      <c r="Z669" s="36"/>
      <c r="AA669" s="36"/>
      <c r="AB669" s="36"/>
      <c r="AC669" s="36"/>
    </row>
    <row r="670" ht="15.75" customHeight="1">
      <c r="A670" s="423">
        <v>43158.0</v>
      </c>
      <c r="B670" s="424">
        <v>13.8628</v>
      </c>
      <c r="C670" s="425">
        <v>16.26</v>
      </c>
      <c r="D670" s="171"/>
      <c r="E670" s="425">
        <v>13.2126</v>
      </c>
      <c r="F670" s="425">
        <v>16.4286</v>
      </c>
      <c r="G670" s="425">
        <v>12.9835</v>
      </c>
      <c r="H670" s="171"/>
      <c r="I670" s="171"/>
      <c r="J670" s="425">
        <v>17.4379</v>
      </c>
      <c r="K670" s="182">
        <v>10554.3</v>
      </c>
      <c r="L670" s="36"/>
      <c r="M670" s="36"/>
      <c r="N670" s="36"/>
      <c r="O670" s="36"/>
      <c r="P670" s="36"/>
      <c r="Q670" s="36"/>
      <c r="R670" s="36"/>
      <c r="S670" s="36"/>
      <c r="T670" s="36"/>
      <c r="U670" s="36"/>
      <c r="V670" s="36"/>
      <c r="W670" s="36"/>
      <c r="X670" s="36"/>
      <c r="Y670" s="36"/>
      <c r="Z670" s="36"/>
      <c r="AA670" s="36"/>
      <c r="AB670" s="36"/>
      <c r="AC670" s="36"/>
    </row>
    <row r="671" ht="15.75" customHeight="1">
      <c r="A671" s="423">
        <v>43158.0</v>
      </c>
      <c r="B671" s="424">
        <v>13.8628</v>
      </c>
      <c r="C671" s="425">
        <v>16.2636</v>
      </c>
      <c r="D671" s="171"/>
      <c r="E671" s="425">
        <v>13.2126</v>
      </c>
      <c r="F671" s="425">
        <v>16.4286</v>
      </c>
      <c r="G671" s="425">
        <v>12.9835</v>
      </c>
      <c r="H671" s="171"/>
      <c r="I671" s="171"/>
      <c r="J671" s="425">
        <v>17.3956</v>
      </c>
      <c r="K671" s="182">
        <v>10554.3</v>
      </c>
      <c r="L671" s="36"/>
      <c r="M671" s="36"/>
      <c r="N671" s="36"/>
      <c r="O671" s="36"/>
      <c r="P671" s="36"/>
      <c r="Q671" s="36"/>
      <c r="R671" s="36"/>
      <c r="S671" s="36"/>
      <c r="T671" s="36"/>
      <c r="U671" s="36"/>
      <c r="V671" s="36"/>
      <c r="W671" s="36"/>
      <c r="X671" s="36"/>
      <c r="Y671" s="36"/>
      <c r="Z671" s="36"/>
      <c r="AA671" s="36"/>
      <c r="AB671" s="36"/>
      <c r="AC671" s="36"/>
    </row>
    <row r="672" ht="15.75" customHeight="1">
      <c r="A672" s="423">
        <v>43158.0</v>
      </c>
      <c r="B672" s="424">
        <v>13.8628</v>
      </c>
      <c r="C672" s="425">
        <v>16.2636</v>
      </c>
      <c r="D672" s="171"/>
      <c r="E672" s="425">
        <v>13.2126</v>
      </c>
      <c r="F672" s="425">
        <v>16.4286</v>
      </c>
      <c r="G672" s="425">
        <v>12.9835</v>
      </c>
      <c r="H672" s="171"/>
      <c r="I672" s="171"/>
      <c r="J672" s="425">
        <v>17.3956</v>
      </c>
      <c r="K672" s="182">
        <v>10554.3</v>
      </c>
      <c r="L672" s="36"/>
      <c r="M672" s="36"/>
      <c r="N672" s="36"/>
      <c r="O672" s="36"/>
      <c r="P672" s="36"/>
      <c r="Q672" s="36"/>
      <c r="R672" s="36"/>
      <c r="S672" s="36"/>
      <c r="T672" s="36"/>
      <c r="U672" s="36"/>
      <c r="V672" s="36"/>
      <c r="W672" s="36"/>
      <c r="X672" s="36"/>
      <c r="Y672" s="36"/>
      <c r="Z672" s="36"/>
      <c r="AA672" s="36"/>
      <c r="AB672" s="36"/>
      <c r="AC672" s="36"/>
    </row>
    <row r="673" ht="15.75" customHeight="1">
      <c r="A673" s="423">
        <v>43159.0</v>
      </c>
      <c r="B673" s="424">
        <v>13.8004</v>
      </c>
      <c r="C673" s="425">
        <v>16.2617</v>
      </c>
      <c r="D673" s="171"/>
      <c r="E673" s="425">
        <v>13.1835</v>
      </c>
      <c r="F673" s="425">
        <v>16.3399</v>
      </c>
      <c r="G673" s="425">
        <v>12.9808</v>
      </c>
      <c r="H673" s="171"/>
      <c r="I673" s="171"/>
      <c r="J673" s="425">
        <v>17.3731</v>
      </c>
      <c r="K673" s="182">
        <v>10492.85</v>
      </c>
      <c r="L673" s="36"/>
      <c r="M673" s="36"/>
      <c r="N673" s="36"/>
      <c r="O673" s="36"/>
      <c r="P673" s="36"/>
      <c r="Q673" s="36"/>
      <c r="R673" s="36"/>
      <c r="S673" s="36"/>
      <c r="T673" s="36"/>
      <c r="U673" s="36"/>
      <c r="V673" s="36"/>
      <c r="W673" s="36"/>
      <c r="X673" s="36"/>
      <c r="Y673" s="36"/>
      <c r="Z673" s="36"/>
      <c r="AA673" s="36"/>
      <c r="AB673" s="36"/>
      <c r="AC673" s="36"/>
    </row>
    <row r="674" ht="15.75" customHeight="1">
      <c r="A674" s="423">
        <v>43159.0</v>
      </c>
      <c r="B674" s="424">
        <v>13.8004</v>
      </c>
      <c r="C674" s="425">
        <v>16.2617</v>
      </c>
      <c r="D674" s="171"/>
      <c r="E674" s="425">
        <v>13.1835</v>
      </c>
      <c r="F674" s="425">
        <v>16.3399</v>
      </c>
      <c r="G674" s="425">
        <v>12.9808</v>
      </c>
      <c r="H674" s="171"/>
      <c r="I674" s="171"/>
      <c r="J674" s="425">
        <v>17.3731</v>
      </c>
      <c r="K674" s="182">
        <v>10492.85</v>
      </c>
      <c r="L674" s="36"/>
      <c r="M674" s="36"/>
      <c r="N674" s="36"/>
      <c r="O674" s="36"/>
      <c r="P674" s="36"/>
      <c r="Q674" s="36"/>
      <c r="R674" s="36"/>
      <c r="S674" s="36"/>
      <c r="T674" s="36"/>
      <c r="U674" s="36"/>
      <c r="V674" s="36"/>
      <c r="W674" s="36"/>
      <c r="X674" s="36"/>
      <c r="Y674" s="36"/>
      <c r="Z674" s="36"/>
      <c r="AA674" s="36"/>
      <c r="AB674" s="36"/>
      <c r="AC674" s="36"/>
    </row>
    <row r="675" ht="15.75" customHeight="1">
      <c r="A675" s="423">
        <v>43159.0</v>
      </c>
      <c r="B675" s="424">
        <v>13.8004</v>
      </c>
      <c r="C675" s="425">
        <v>16.2591</v>
      </c>
      <c r="D675" s="171"/>
      <c r="E675" s="425">
        <v>13.1835</v>
      </c>
      <c r="F675" s="425">
        <v>16.3399</v>
      </c>
      <c r="G675" s="425">
        <v>12.9808</v>
      </c>
      <c r="H675" s="171"/>
      <c r="I675" s="171"/>
      <c r="J675" s="425">
        <v>17.3584</v>
      </c>
      <c r="K675" s="182">
        <v>10492.85</v>
      </c>
      <c r="L675" s="36"/>
      <c r="M675" s="36"/>
      <c r="N675" s="36"/>
      <c r="O675" s="36"/>
      <c r="P675" s="36"/>
      <c r="Q675" s="36"/>
      <c r="R675" s="36"/>
      <c r="S675" s="36"/>
      <c r="T675" s="36"/>
      <c r="U675" s="36"/>
      <c r="V675" s="36"/>
      <c r="W675" s="36"/>
      <c r="X675" s="36"/>
      <c r="Y675" s="36"/>
      <c r="Z675" s="36"/>
      <c r="AA675" s="36"/>
      <c r="AB675" s="36"/>
      <c r="AC675" s="36"/>
    </row>
    <row r="676" ht="15.75" customHeight="1">
      <c r="A676" s="423">
        <v>43159.0</v>
      </c>
      <c r="B676" s="424">
        <v>13.8004</v>
      </c>
      <c r="C676" s="425">
        <v>16.2591</v>
      </c>
      <c r="D676" s="171"/>
      <c r="E676" s="425">
        <v>13.1835</v>
      </c>
      <c r="F676" s="425">
        <v>16.3399</v>
      </c>
      <c r="G676" s="425">
        <v>12.9808</v>
      </c>
      <c r="H676" s="171"/>
      <c r="I676" s="171"/>
      <c r="J676" s="425">
        <v>17.3584</v>
      </c>
      <c r="K676" s="182">
        <v>10492.85</v>
      </c>
      <c r="L676" s="36"/>
      <c r="M676" s="36"/>
      <c r="N676" s="36"/>
      <c r="O676" s="36"/>
      <c r="P676" s="36"/>
      <c r="Q676" s="36"/>
      <c r="R676" s="36"/>
      <c r="S676" s="36"/>
      <c r="T676" s="36"/>
      <c r="U676" s="36"/>
      <c r="V676" s="36"/>
      <c r="W676" s="36"/>
      <c r="X676" s="36"/>
      <c r="Y676" s="36"/>
      <c r="Z676" s="36"/>
      <c r="AA676" s="36"/>
      <c r="AB676" s="36"/>
      <c r="AC676" s="36"/>
    </row>
    <row r="677" ht="15.75" customHeight="1">
      <c r="A677" s="423">
        <v>43160.0</v>
      </c>
      <c r="B677" s="424">
        <v>13.7514</v>
      </c>
      <c r="C677" s="425">
        <v>16.2548</v>
      </c>
      <c r="D677" s="171"/>
      <c r="E677" s="425">
        <v>13.1708</v>
      </c>
      <c r="F677" s="425">
        <v>16.2821</v>
      </c>
      <c r="G677" s="425">
        <v>12.9784</v>
      </c>
      <c r="H677" s="171"/>
      <c r="I677" s="171"/>
      <c r="J677" s="425">
        <v>17.4234</v>
      </c>
      <c r="K677" s="182">
        <v>10458.35</v>
      </c>
      <c r="L677" s="36"/>
      <c r="M677" s="36"/>
      <c r="N677" s="36"/>
      <c r="O677" s="36"/>
      <c r="P677" s="36"/>
      <c r="Q677" s="36"/>
      <c r="R677" s="36"/>
      <c r="S677" s="36"/>
      <c r="T677" s="36"/>
      <c r="U677" s="36"/>
      <c r="V677" s="36"/>
      <c r="W677" s="36"/>
      <c r="X677" s="36"/>
      <c r="Y677" s="36"/>
      <c r="Z677" s="36"/>
      <c r="AA677" s="36"/>
      <c r="AB677" s="36"/>
      <c r="AC677" s="36"/>
    </row>
    <row r="678" ht="15.75" customHeight="1">
      <c r="A678" s="423">
        <v>43160.0</v>
      </c>
      <c r="B678" s="424">
        <v>13.7514</v>
      </c>
      <c r="C678" s="425">
        <v>16.2548</v>
      </c>
      <c r="D678" s="171"/>
      <c r="E678" s="425">
        <v>13.1708</v>
      </c>
      <c r="F678" s="425">
        <v>16.2821</v>
      </c>
      <c r="G678" s="425">
        <v>12.9784</v>
      </c>
      <c r="H678" s="171"/>
      <c r="I678" s="171"/>
      <c r="J678" s="425">
        <v>17.4234</v>
      </c>
      <c r="K678" s="182">
        <v>10458.35</v>
      </c>
      <c r="L678" s="36"/>
      <c r="M678" s="36"/>
      <c r="N678" s="36"/>
      <c r="O678" s="36"/>
      <c r="P678" s="36"/>
      <c r="Q678" s="36"/>
      <c r="R678" s="36"/>
      <c r="S678" s="36"/>
      <c r="T678" s="36"/>
      <c r="U678" s="36"/>
      <c r="V678" s="36"/>
      <c r="W678" s="36"/>
      <c r="X678" s="36"/>
      <c r="Y678" s="36"/>
      <c r="Z678" s="36"/>
      <c r="AA678" s="36"/>
      <c r="AB678" s="36"/>
      <c r="AC678" s="36"/>
    </row>
    <row r="679" ht="15.75" customHeight="1">
      <c r="A679" s="423">
        <v>43160.0</v>
      </c>
      <c r="B679" s="424">
        <v>13.7514</v>
      </c>
      <c r="C679" s="425">
        <v>16.2611</v>
      </c>
      <c r="D679" s="171"/>
      <c r="E679" s="425">
        <v>13.1708</v>
      </c>
      <c r="F679" s="425">
        <v>16.2821</v>
      </c>
      <c r="G679" s="425">
        <v>12.9784</v>
      </c>
      <c r="H679" s="171"/>
      <c r="I679" s="171"/>
      <c r="J679" s="425">
        <v>17.4447</v>
      </c>
      <c r="K679" s="182">
        <v>10458.35</v>
      </c>
      <c r="L679" s="36"/>
      <c r="M679" s="36"/>
      <c r="N679" s="36"/>
      <c r="O679" s="36"/>
      <c r="P679" s="36"/>
      <c r="Q679" s="36"/>
      <c r="R679" s="36"/>
      <c r="S679" s="36"/>
      <c r="T679" s="36"/>
      <c r="U679" s="36"/>
      <c r="V679" s="36"/>
      <c r="W679" s="36"/>
      <c r="X679" s="36"/>
      <c r="Y679" s="36"/>
      <c r="Z679" s="36"/>
      <c r="AA679" s="36"/>
      <c r="AB679" s="36"/>
      <c r="AC679" s="36"/>
    </row>
    <row r="680" ht="15.75" customHeight="1">
      <c r="A680" s="423">
        <v>43160.0</v>
      </c>
      <c r="B680" s="424">
        <v>13.7514</v>
      </c>
      <c r="C680" s="425">
        <v>16.2611</v>
      </c>
      <c r="D680" s="171"/>
      <c r="E680" s="425">
        <v>13.1708</v>
      </c>
      <c r="F680" s="425">
        <v>16.2821</v>
      </c>
      <c r="G680" s="425">
        <v>12.9784</v>
      </c>
      <c r="H680" s="171"/>
      <c r="I680" s="171"/>
      <c r="J680" s="425">
        <v>17.4447</v>
      </c>
      <c r="K680" s="182">
        <v>10458.35</v>
      </c>
      <c r="L680" s="36"/>
      <c r="M680" s="36"/>
      <c r="N680" s="36"/>
      <c r="O680" s="36"/>
      <c r="P680" s="36"/>
      <c r="Q680" s="36"/>
      <c r="R680" s="36"/>
      <c r="S680" s="36"/>
      <c r="T680" s="36"/>
      <c r="U680" s="36"/>
      <c r="V680" s="36"/>
      <c r="W680" s="36"/>
      <c r="X680" s="36"/>
      <c r="Y680" s="36"/>
      <c r="Z680" s="36"/>
      <c r="AA680" s="36"/>
      <c r="AB680" s="36"/>
      <c r="AC680" s="36"/>
    </row>
    <row r="681" ht="15.75" customHeight="1">
      <c r="A681" s="423">
        <v>43164.0</v>
      </c>
      <c r="B681" s="424">
        <v>13.6334</v>
      </c>
      <c r="C681" s="425">
        <v>16.2466</v>
      </c>
      <c r="D681" s="171"/>
      <c r="E681" s="425">
        <v>13.1714</v>
      </c>
      <c r="F681" s="425">
        <v>16.1558</v>
      </c>
      <c r="G681" s="425">
        <v>12.985</v>
      </c>
      <c r="H681" s="171"/>
      <c r="I681" s="171"/>
      <c r="J681" s="425">
        <v>17.3962</v>
      </c>
      <c r="K681" s="182">
        <v>10358.85</v>
      </c>
      <c r="L681" s="36"/>
      <c r="M681" s="36"/>
      <c r="N681" s="36"/>
      <c r="O681" s="36"/>
      <c r="P681" s="36"/>
      <c r="Q681" s="36"/>
      <c r="R681" s="36"/>
      <c r="S681" s="36"/>
      <c r="T681" s="36"/>
      <c r="U681" s="36"/>
      <c r="V681" s="36"/>
      <c r="W681" s="36"/>
      <c r="X681" s="36"/>
      <c r="Y681" s="36"/>
      <c r="Z681" s="36"/>
      <c r="AA681" s="36"/>
      <c r="AB681" s="36"/>
      <c r="AC681" s="36"/>
    </row>
    <row r="682" ht="15.75" customHeight="1">
      <c r="A682" s="423">
        <v>43164.0</v>
      </c>
      <c r="B682" s="424">
        <v>13.6334</v>
      </c>
      <c r="C682" s="425">
        <v>16.2466</v>
      </c>
      <c r="D682" s="171"/>
      <c r="E682" s="425">
        <v>13.1714</v>
      </c>
      <c r="F682" s="425">
        <v>16.1558</v>
      </c>
      <c r="G682" s="425">
        <v>12.985</v>
      </c>
      <c r="H682" s="171"/>
      <c r="I682" s="171"/>
      <c r="J682" s="425">
        <v>17.3962</v>
      </c>
      <c r="K682" s="182">
        <v>10358.85</v>
      </c>
      <c r="L682" s="36"/>
      <c r="M682" s="36"/>
      <c r="N682" s="36"/>
      <c r="O682" s="36"/>
      <c r="P682" s="36"/>
      <c r="Q682" s="36"/>
      <c r="R682" s="36"/>
      <c r="S682" s="36"/>
      <c r="T682" s="36"/>
      <c r="U682" s="36"/>
      <c r="V682" s="36"/>
      <c r="W682" s="36"/>
      <c r="X682" s="36"/>
      <c r="Y682" s="36"/>
      <c r="Z682" s="36"/>
      <c r="AA682" s="36"/>
      <c r="AB682" s="36"/>
      <c r="AC682" s="36"/>
    </row>
    <row r="683" ht="15.75" customHeight="1">
      <c r="A683" s="423">
        <v>43164.0</v>
      </c>
      <c r="B683" s="424">
        <v>13.6334</v>
      </c>
      <c r="C683" s="425">
        <v>16.2532</v>
      </c>
      <c r="D683" s="171"/>
      <c r="E683" s="425">
        <v>13.1714</v>
      </c>
      <c r="F683" s="425">
        <v>16.1558</v>
      </c>
      <c r="G683" s="425">
        <v>12.985</v>
      </c>
      <c r="H683" s="171"/>
      <c r="I683" s="171"/>
      <c r="J683" s="425">
        <v>17.3854</v>
      </c>
      <c r="K683" s="182">
        <v>10358.85</v>
      </c>
      <c r="L683" s="36"/>
      <c r="M683" s="36"/>
      <c r="N683" s="36"/>
      <c r="O683" s="36"/>
      <c r="P683" s="36"/>
      <c r="Q683" s="36"/>
      <c r="R683" s="36"/>
      <c r="S683" s="36"/>
      <c r="T683" s="36"/>
      <c r="U683" s="36"/>
      <c r="V683" s="36"/>
      <c r="W683" s="36"/>
      <c r="X683" s="36"/>
      <c r="Y683" s="36"/>
      <c r="Z683" s="36"/>
      <c r="AA683" s="36"/>
      <c r="AB683" s="36"/>
      <c r="AC683" s="36"/>
    </row>
    <row r="684" ht="15.75" customHeight="1">
      <c r="A684" s="423">
        <v>43164.0</v>
      </c>
      <c r="B684" s="424">
        <v>13.6334</v>
      </c>
      <c r="C684" s="425">
        <v>16.2532</v>
      </c>
      <c r="D684" s="171"/>
      <c r="E684" s="425">
        <v>13.1714</v>
      </c>
      <c r="F684" s="425">
        <v>16.1558</v>
      </c>
      <c r="G684" s="425">
        <v>12.985</v>
      </c>
      <c r="H684" s="171"/>
      <c r="I684" s="171"/>
      <c r="J684" s="425">
        <v>17.3854</v>
      </c>
      <c r="K684" s="182">
        <v>10358.85</v>
      </c>
      <c r="L684" s="36"/>
      <c r="M684" s="36"/>
      <c r="N684" s="36"/>
      <c r="O684" s="36"/>
      <c r="P684" s="36"/>
      <c r="Q684" s="36"/>
      <c r="R684" s="36"/>
      <c r="S684" s="36"/>
      <c r="T684" s="36"/>
      <c r="U684" s="36"/>
      <c r="V684" s="36"/>
      <c r="W684" s="36"/>
      <c r="X684" s="36"/>
      <c r="Y684" s="36"/>
      <c r="Z684" s="36"/>
      <c r="AA684" s="36"/>
      <c r="AB684" s="36"/>
      <c r="AC684" s="36"/>
    </row>
    <row r="685" ht="15.75" customHeight="1">
      <c r="A685" s="423">
        <v>43165.0</v>
      </c>
      <c r="B685" s="424">
        <v>13.5118</v>
      </c>
      <c r="C685" s="425">
        <v>16.2344</v>
      </c>
      <c r="D685" s="171"/>
      <c r="E685" s="425">
        <v>13.1643</v>
      </c>
      <c r="F685" s="425">
        <v>16.012</v>
      </c>
      <c r="G685" s="425">
        <v>12.9852</v>
      </c>
      <c r="H685" s="171"/>
      <c r="I685" s="171"/>
      <c r="J685" s="425">
        <v>17.5766</v>
      </c>
      <c r="K685" s="182">
        <v>10249.25</v>
      </c>
      <c r="L685" s="36"/>
      <c r="M685" s="36"/>
      <c r="N685" s="36"/>
      <c r="O685" s="36"/>
      <c r="P685" s="36"/>
      <c r="Q685" s="36"/>
      <c r="R685" s="36"/>
      <c r="S685" s="36"/>
      <c r="T685" s="36"/>
      <c r="U685" s="36"/>
      <c r="V685" s="36"/>
      <c r="W685" s="36"/>
      <c r="X685" s="36"/>
      <c r="Y685" s="36"/>
      <c r="Z685" s="36"/>
      <c r="AA685" s="36"/>
      <c r="AB685" s="36"/>
      <c r="AC685" s="36"/>
    </row>
    <row r="686" ht="15.75" customHeight="1">
      <c r="A686" s="423">
        <v>43165.0</v>
      </c>
      <c r="B686" s="424">
        <v>13.5118</v>
      </c>
      <c r="C686" s="425">
        <v>16.2344</v>
      </c>
      <c r="D686" s="171"/>
      <c r="E686" s="425">
        <v>13.1643</v>
      </c>
      <c r="F686" s="425">
        <v>16.012</v>
      </c>
      <c r="G686" s="425">
        <v>12.9852</v>
      </c>
      <c r="H686" s="171"/>
      <c r="I686" s="171"/>
      <c r="J686" s="425">
        <v>17.5766</v>
      </c>
      <c r="K686" s="182">
        <v>10249.25</v>
      </c>
      <c r="L686" s="36"/>
      <c r="M686" s="36"/>
      <c r="N686" s="36"/>
      <c r="O686" s="36"/>
      <c r="P686" s="36"/>
      <c r="Q686" s="36"/>
      <c r="R686" s="36"/>
      <c r="S686" s="36"/>
      <c r="T686" s="36"/>
      <c r="U686" s="36"/>
      <c r="V686" s="36"/>
      <c r="W686" s="36"/>
      <c r="X686" s="36"/>
      <c r="Y686" s="36"/>
      <c r="Z686" s="36"/>
      <c r="AA686" s="36"/>
      <c r="AB686" s="36"/>
      <c r="AC686" s="36"/>
    </row>
    <row r="687" ht="15.75" customHeight="1">
      <c r="A687" s="423">
        <v>43165.0</v>
      </c>
      <c r="B687" s="424">
        <v>13.5118</v>
      </c>
      <c r="C687" s="425">
        <v>16.2245</v>
      </c>
      <c r="D687" s="171"/>
      <c r="E687" s="425">
        <v>13.1643</v>
      </c>
      <c r="F687" s="425">
        <v>16.012</v>
      </c>
      <c r="G687" s="425">
        <v>12.9852</v>
      </c>
      <c r="H687" s="171"/>
      <c r="I687" s="171"/>
      <c r="J687" s="425">
        <v>17.3831</v>
      </c>
      <c r="K687" s="182">
        <v>10249.25</v>
      </c>
      <c r="L687" s="36"/>
      <c r="M687" s="36"/>
      <c r="N687" s="36"/>
      <c r="O687" s="36"/>
      <c r="P687" s="36"/>
      <c r="Q687" s="36"/>
      <c r="R687" s="36"/>
      <c r="S687" s="36"/>
      <c r="T687" s="36"/>
      <c r="U687" s="36"/>
      <c r="V687" s="36"/>
      <c r="W687" s="36"/>
      <c r="X687" s="36"/>
      <c r="Y687" s="36"/>
      <c r="Z687" s="36"/>
      <c r="AA687" s="36"/>
      <c r="AB687" s="36"/>
      <c r="AC687" s="36"/>
    </row>
    <row r="688" ht="15.75" customHeight="1">
      <c r="A688" s="423">
        <v>43165.0</v>
      </c>
      <c r="B688" s="424">
        <v>13.5118</v>
      </c>
      <c r="C688" s="425">
        <v>16.2245</v>
      </c>
      <c r="D688" s="171"/>
      <c r="E688" s="425">
        <v>13.1643</v>
      </c>
      <c r="F688" s="425">
        <v>16.012</v>
      </c>
      <c r="G688" s="425">
        <v>12.9852</v>
      </c>
      <c r="H688" s="171"/>
      <c r="I688" s="171"/>
      <c r="J688" s="425">
        <v>17.3831</v>
      </c>
      <c r="K688" s="182">
        <v>10249.25</v>
      </c>
      <c r="L688" s="36"/>
      <c r="M688" s="36"/>
      <c r="N688" s="36"/>
      <c r="O688" s="36"/>
      <c r="P688" s="36"/>
      <c r="Q688" s="36"/>
      <c r="R688" s="36"/>
      <c r="S688" s="36"/>
      <c r="T688" s="36"/>
      <c r="U688" s="36"/>
      <c r="V688" s="36"/>
      <c r="W688" s="36"/>
      <c r="X688" s="36"/>
      <c r="Y688" s="36"/>
      <c r="Z688" s="36"/>
      <c r="AA688" s="36"/>
      <c r="AB688" s="36"/>
      <c r="AC688" s="36"/>
    </row>
    <row r="689" ht="15.75" customHeight="1">
      <c r="A689" s="423">
        <v>43166.0</v>
      </c>
      <c r="B689" s="424">
        <v>13.4087</v>
      </c>
      <c r="C689" s="425">
        <v>16.2491</v>
      </c>
      <c r="D689" s="171"/>
      <c r="E689" s="425">
        <v>13.2209</v>
      </c>
      <c r="F689" s="425">
        <v>15.8836</v>
      </c>
      <c r="G689" s="425">
        <v>13.0008</v>
      </c>
      <c r="H689" s="171"/>
      <c r="I689" s="171"/>
      <c r="J689" s="425">
        <v>17.7183</v>
      </c>
      <c r="K689" s="182">
        <v>10154.2</v>
      </c>
      <c r="L689" s="36"/>
      <c r="M689" s="36"/>
      <c r="N689" s="36"/>
      <c r="O689" s="36"/>
      <c r="P689" s="36"/>
      <c r="Q689" s="36"/>
      <c r="R689" s="36"/>
      <c r="S689" s="36"/>
      <c r="T689" s="36"/>
      <c r="U689" s="36"/>
      <c r="V689" s="36"/>
      <c r="W689" s="36"/>
      <c r="X689" s="36"/>
      <c r="Y689" s="36"/>
      <c r="Z689" s="36"/>
      <c r="AA689" s="36"/>
      <c r="AB689" s="36"/>
      <c r="AC689" s="36"/>
    </row>
    <row r="690" ht="15.75" customHeight="1">
      <c r="A690" s="423">
        <v>43166.0</v>
      </c>
      <c r="B690" s="424">
        <v>13.4087</v>
      </c>
      <c r="C690" s="425">
        <v>16.2491</v>
      </c>
      <c r="D690" s="171"/>
      <c r="E690" s="425">
        <v>13.2209</v>
      </c>
      <c r="F690" s="425">
        <v>15.8836</v>
      </c>
      <c r="G690" s="425">
        <v>13.0008</v>
      </c>
      <c r="H690" s="171"/>
      <c r="I690" s="171"/>
      <c r="J690" s="425">
        <v>17.7183</v>
      </c>
      <c r="K690" s="182">
        <v>10154.2</v>
      </c>
      <c r="L690" s="36"/>
      <c r="M690" s="36"/>
      <c r="N690" s="36"/>
      <c r="O690" s="36"/>
      <c r="P690" s="36"/>
      <c r="Q690" s="36"/>
      <c r="R690" s="36"/>
      <c r="S690" s="36"/>
      <c r="T690" s="36"/>
      <c r="U690" s="36"/>
      <c r="V690" s="36"/>
      <c r="W690" s="36"/>
      <c r="X690" s="36"/>
      <c r="Y690" s="36"/>
      <c r="Z690" s="36"/>
      <c r="AA690" s="36"/>
      <c r="AB690" s="36"/>
      <c r="AC690" s="36"/>
    </row>
    <row r="691" ht="15.75" customHeight="1">
      <c r="A691" s="423">
        <v>43166.0</v>
      </c>
      <c r="B691" s="424">
        <v>13.4087</v>
      </c>
      <c r="C691" s="425">
        <v>16.2464</v>
      </c>
      <c r="D691" s="171"/>
      <c r="E691" s="425">
        <v>13.2209</v>
      </c>
      <c r="F691" s="425">
        <v>15.8836</v>
      </c>
      <c r="G691" s="425">
        <v>13.0008</v>
      </c>
      <c r="H691" s="171"/>
      <c r="I691" s="171"/>
      <c r="J691" s="425">
        <v>17.6097</v>
      </c>
      <c r="K691" s="182">
        <v>10154.2</v>
      </c>
      <c r="L691" s="36"/>
      <c r="M691" s="36"/>
      <c r="N691" s="36"/>
      <c r="O691" s="36"/>
      <c r="P691" s="36"/>
      <c r="Q691" s="36"/>
      <c r="R691" s="36"/>
      <c r="S691" s="36"/>
      <c r="T691" s="36"/>
      <c r="U691" s="36"/>
      <c r="V691" s="36"/>
      <c r="W691" s="36"/>
      <c r="X691" s="36"/>
      <c r="Y691" s="36"/>
      <c r="Z691" s="36"/>
      <c r="AA691" s="36"/>
      <c r="AB691" s="36"/>
      <c r="AC691" s="36"/>
    </row>
    <row r="692" ht="15.75" customHeight="1">
      <c r="A692" s="423">
        <v>43166.0</v>
      </c>
      <c r="B692" s="424">
        <v>13.4087</v>
      </c>
      <c r="C692" s="425">
        <v>16.2464</v>
      </c>
      <c r="D692" s="171"/>
      <c r="E692" s="425">
        <v>13.2209</v>
      </c>
      <c r="F692" s="425">
        <v>15.8836</v>
      </c>
      <c r="G692" s="425">
        <v>13.0008</v>
      </c>
      <c r="H692" s="171"/>
      <c r="I692" s="171"/>
      <c r="J692" s="425">
        <v>17.6097</v>
      </c>
      <c r="K692" s="182">
        <v>10154.2</v>
      </c>
      <c r="L692" s="36"/>
      <c r="M692" s="36"/>
      <c r="N692" s="36"/>
      <c r="O692" s="36"/>
      <c r="P692" s="36"/>
      <c r="Q692" s="36"/>
      <c r="R692" s="36"/>
      <c r="S692" s="36"/>
      <c r="T692" s="36"/>
      <c r="U692" s="36"/>
      <c r="V692" s="36"/>
      <c r="W692" s="36"/>
      <c r="X692" s="36"/>
      <c r="Y692" s="36"/>
      <c r="Z692" s="36"/>
      <c r="AA692" s="36"/>
      <c r="AB692" s="36"/>
      <c r="AC692" s="36"/>
    </row>
    <row r="693" ht="15.75" customHeight="1">
      <c r="A693" s="423">
        <v>43167.0</v>
      </c>
      <c r="B693" s="424">
        <v>13.4869</v>
      </c>
      <c r="C693" s="425">
        <v>16.2575</v>
      </c>
      <c r="D693" s="171"/>
      <c r="E693" s="425">
        <v>13.2395</v>
      </c>
      <c r="F693" s="425">
        <v>15.9883</v>
      </c>
      <c r="G693" s="425">
        <v>13.0051</v>
      </c>
      <c r="H693" s="171"/>
      <c r="I693" s="171"/>
      <c r="J693" s="425">
        <v>17.7001</v>
      </c>
      <c r="K693" s="182">
        <v>10242.65</v>
      </c>
      <c r="L693" s="36"/>
      <c r="M693" s="36"/>
      <c r="N693" s="36"/>
      <c r="O693" s="36"/>
      <c r="P693" s="36"/>
      <c r="Q693" s="36"/>
      <c r="R693" s="36"/>
      <c r="S693" s="36"/>
      <c r="T693" s="36"/>
      <c r="U693" s="36"/>
      <c r="V693" s="36"/>
      <c r="W693" s="36"/>
      <c r="X693" s="36"/>
      <c r="Y693" s="36"/>
      <c r="Z693" s="36"/>
      <c r="AA693" s="36"/>
      <c r="AB693" s="36"/>
      <c r="AC693" s="36"/>
    </row>
    <row r="694" ht="15.75" customHeight="1">
      <c r="A694" s="423">
        <v>43167.0</v>
      </c>
      <c r="B694" s="424">
        <v>13.4869</v>
      </c>
      <c r="C694" s="425">
        <v>16.2575</v>
      </c>
      <c r="D694" s="171"/>
      <c r="E694" s="425">
        <v>13.2395</v>
      </c>
      <c r="F694" s="425">
        <v>15.9883</v>
      </c>
      <c r="G694" s="425">
        <v>13.0051</v>
      </c>
      <c r="H694" s="171"/>
      <c r="I694" s="171"/>
      <c r="J694" s="425">
        <v>17.7001</v>
      </c>
      <c r="K694" s="182">
        <v>10242.65</v>
      </c>
      <c r="L694" s="36"/>
      <c r="M694" s="36"/>
      <c r="N694" s="36"/>
      <c r="O694" s="36"/>
      <c r="P694" s="36"/>
      <c r="Q694" s="36"/>
      <c r="R694" s="36"/>
      <c r="S694" s="36"/>
      <c r="T694" s="36"/>
      <c r="U694" s="36"/>
      <c r="V694" s="36"/>
      <c r="W694" s="36"/>
      <c r="X694" s="36"/>
      <c r="Y694" s="36"/>
      <c r="Z694" s="36"/>
      <c r="AA694" s="36"/>
      <c r="AB694" s="36"/>
      <c r="AC694" s="36"/>
    </row>
    <row r="695" ht="15.75" customHeight="1">
      <c r="A695" s="423">
        <v>43167.0</v>
      </c>
      <c r="B695" s="424">
        <v>13.4869</v>
      </c>
      <c r="C695" s="425">
        <v>16.2508</v>
      </c>
      <c r="D695" s="171"/>
      <c r="E695" s="425">
        <v>13.2395</v>
      </c>
      <c r="F695" s="425">
        <v>15.9883</v>
      </c>
      <c r="G695" s="425">
        <v>13.0051</v>
      </c>
      <c r="H695" s="171"/>
      <c r="I695" s="171"/>
      <c r="J695" s="425">
        <v>17.727</v>
      </c>
      <c r="K695" s="182">
        <v>10242.65</v>
      </c>
      <c r="L695" s="36"/>
      <c r="M695" s="36"/>
      <c r="N695" s="36"/>
      <c r="O695" s="36"/>
      <c r="P695" s="36"/>
      <c r="Q695" s="36"/>
      <c r="R695" s="36"/>
      <c r="S695" s="36"/>
      <c r="T695" s="36"/>
      <c r="U695" s="36"/>
      <c r="V695" s="36"/>
      <c r="W695" s="36"/>
      <c r="X695" s="36"/>
      <c r="Y695" s="36"/>
      <c r="Z695" s="36"/>
      <c r="AA695" s="36"/>
      <c r="AB695" s="36"/>
      <c r="AC695" s="36"/>
    </row>
    <row r="696" ht="15.75" customHeight="1">
      <c r="A696" s="423">
        <v>43167.0</v>
      </c>
      <c r="B696" s="424">
        <v>13.4869</v>
      </c>
      <c r="C696" s="425">
        <v>16.2508</v>
      </c>
      <c r="D696" s="171"/>
      <c r="E696" s="425">
        <v>13.2395</v>
      </c>
      <c r="F696" s="425">
        <v>15.9883</v>
      </c>
      <c r="G696" s="425">
        <v>13.0051</v>
      </c>
      <c r="H696" s="171"/>
      <c r="I696" s="171"/>
      <c r="J696" s="425">
        <v>17.727</v>
      </c>
      <c r="K696" s="182">
        <v>10242.65</v>
      </c>
      <c r="L696" s="36"/>
      <c r="M696" s="36"/>
      <c r="N696" s="36"/>
      <c r="O696" s="36"/>
      <c r="P696" s="36"/>
      <c r="Q696" s="36"/>
      <c r="R696" s="36"/>
      <c r="S696" s="36"/>
      <c r="T696" s="36"/>
      <c r="U696" s="36"/>
      <c r="V696" s="36"/>
      <c r="W696" s="36"/>
      <c r="X696" s="36"/>
      <c r="Y696" s="36"/>
      <c r="Z696" s="36"/>
      <c r="AA696" s="36"/>
      <c r="AB696" s="36"/>
      <c r="AC696" s="36"/>
    </row>
    <row r="697" ht="15.75" customHeight="1">
      <c r="A697" s="423">
        <v>43168.0</v>
      </c>
      <c r="B697" s="424">
        <v>13.4556</v>
      </c>
      <c r="C697" s="425">
        <v>16.2683</v>
      </c>
      <c r="D697" s="171"/>
      <c r="E697" s="425">
        <v>13.2339</v>
      </c>
      <c r="F697" s="425">
        <v>15.9508</v>
      </c>
      <c r="G697" s="425">
        <v>13.0055</v>
      </c>
      <c r="H697" s="171"/>
      <c r="I697" s="171"/>
      <c r="J697" s="425">
        <v>17.5961</v>
      </c>
      <c r="K697" s="182">
        <v>10226.85</v>
      </c>
      <c r="L697" s="36"/>
      <c r="M697" s="36"/>
      <c r="N697" s="36"/>
      <c r="O697" s="36"/>
      <c r="P697" s="36"/>
      <c r="Q697" s="36"/>
      <c r="R697" s="36"/>
      <c r="S697" s="36"/>
      <c r="T697" s="36"/>
      <c r="U697" s="36"/>
      <c r="V697" s="36"/>
      <c r="W697" s="36"/>
      <c r="X697" s="36"/>
      <c r="Y697" s="36"/>
      <c r="Z697" s="36"/>
      <c r="AA697" s="36"/>
      <c r="AB697" s="36"/>
      <c r="AC697" s="36"/>
    </row>
    <row r="698" ht="15.75" customHeight="1">
      <c r="A698" s="423">
        <v>43168.0</v>
      </c>
      <c r="B698" s="424">
        <v>13.4556</v>
      </c>
      <c r="C698" s="425">
        <v>16.2683</v>
      </c>
      <c r="D698" s="171"/>
      <c r="E698" s="425">
        <v>13.2339</v>
      </c>
      <c r="F698" s="425">
        <v>15.9508</v>
      </c>
      <c r="G698" s="425">
        <v>13.0055</v>
      </c>
      <c r="H698" s="171"/>
      <c r="I698" s="171"/>
      <c r="J698" s="425">
        <v>17.5961</v>
      </c>
      <c r="K698" s="182">
        <v>10226.85</v>
      </c>
      <c r="L698" s="36"/>
      <c r="M698" s="36"/>
      <c r="N698" s="36"/>
      <c r="O698" s="36"/>
      <c r="P698" s="36"/>
      <c r="Q698" s="36"/>
      <c r="R698" s="36"/>
      <c r="S698" s="36"/>
      <c r="T698" s="36"/>
      <c r="U698" s="36"/>
      <c r="V698" s="36"/>
      <c r="W698" s="36"/>
      <c r="X698" s="36"/>
      <c r="Y698" s="36"/>
      <c r="Z698" s="36"/>
      <c r="AA698" s="36"/>
      <c r="AB698" s="36"/>
      <c r="AC698" s="36"/>
    </row>
    <row r="699" ht="15.75" customHeight="1">
      <c r="A699" s="423">
        <v>43168.0</v>
      </c>
      <c r="B699" s="424">
        <v>13.4556</v>
      </c>
      <c r="C699" s="425">
        <v>16.2552</v>
      </c>
      <c r="D699" s="171"/>
      <c r="E699" s="425">
        <v>13.2339</v>
      </c>
      <c r="F699" s="425">
        <v>15.9508</v>
      </c>
      <c r="G699" s="425">
        <v>13.0055</v>
      </c>
      <c r="H699" s="171"/>
      <c r="I699" s="171"/>
      <c r="J699" s="425">
        <v>17.6832</v>
      </c>
      <c r="K699" s="182">
        <v>10226.85</v>
      </c>
      <c r="L699" s="36"/>
      <c r="M699" s="36"/>
      <c r="N699" s="36"/>
      <c r="O699" s="36"/>
      <c r="P699" s="36"/>
      <c r="Q699" s="36"/>
      <c r="R699" s="36"/>
      <c r="S699" s="36"/>
      <c r="T699" s="36"/>
      <c r="U699" s="36"/>
      <c r="V699" s="36"/>
      <c r="W699" s="36"/>
      <c r="X699" s="36"/>
      <c r="Y699" s="36"/>
      <c r="Z699" s="36"/>
      <c r="AA699" s="36"/>
      <c r="AB699" s="36"/>
      <c r="AC699" s="36"/>
    </row>
    <row r="700" ht="15.75" customHeight="1">
      <c r="A700" s="423">
        <v>43168.0</v>
      </c>
      <c r="B700" s="424">
        <v>13.4556</v>
      </c>
      <c r="C700" s="425">
        <v>16.2552</v>
      </c>
      <c r="D700" s="171"/>
      <c r="E700" s="425">
        <v>13.2339</v>
      </c>
      <c r="F700" s="425">
        <v>15.9508</v>
      </c>
      <c r="G700" s="425">
        <v>13.0055</v>
      </c>
      <c r="H700" s="171"/>
      <c r="I700" s="171"/>
      <c r="J700" s="425">
        <v>17.6832</v>
      </c>
      <c r="K700" s="182">
        <v>10226.85</v>
      </c>
      <c r="L700" s="36"/>
      <c r="M700" s="36"/>
      <c r="N700" s="36"/>
      <c r="O700" s="36"/>
      <c r="P700" s="36"/>
      <c r="Q700" s="36"/>
      <c r="R700" s="36"/>
      <c r="S700" s="36"/>
      <c r="T700" s="36"/>
      <c r="U700" s="36"/>
      <c r="V700" s="36"/>
      <c r="W700" s="36"/>
      <c r="X700" s="36"/>
      <c r="Y700" s="36"/>
      <c r="Z700" s="36"/>
      <c r="AA700" s="36"/>
      <c r="AB700" s="36"/>
      <c r="AC700" s="36"/>
    </row>
    <row r="701" ht="15.75" customHeight="1">
      <c r="A701" s="423">
        <v>43171.0</v>
      </c>
      <c r="B701" s="424">
        <v>13.6702</v>
      </c>
      <c r="C701" s="425">
        <v>16.2785</v>
      </c>
      <c r="D701" s="171"/>
      <c r="E701" s="425">
        <v>13.2608</v>
      </c>
      <c r="F701" s="425">
        <v>16.1818</v>
      </c>
      <c r="G701" s="425">
        <v>13.0176</v>
      </c>
      <c r="H701" s="171"/>
      <c r="I701" s="171"/>
      <c r="J701" s="425">
        <v>17.7127</v>
      </c>
      <c r="K701" s="182">
        <v>10421.4</v>
      </c>
      <c r="L701" s="36"/>
      <c r="M701" s="36"/>
      <c r="N701" s="36"/>
      <c r="O701" s="36"/>
      <c r="P701" s="36"/>
      <c r="Q701" s="36"/>
      <c r="R701" s="36"/>
      <c r="S701" s="36"/>
      <c r="T701" s="36"/>
      <c r="U701" s="36"/>
      <c r="V701" s="36"/>
      <c r="W701" s="36"/>
      <c r="X701" s="36"/>
      <c r="Y701" s="36"/>
      <c r="Z701" s="36"/>
      <c r="AA701" s="36"/>
      <c r="AB701" s="36"/>
      <c r="AC701" s="36"/>
    </row>
    <row r="702" ht="15.75" customHeight="1">
      <c r="A702" s="423">
        <v>43171.0</v>
      </c>
      <c r="B702" s="424">
        <v>13.6702</v>
      </c>
      <c r="C702" s="425">
        <v>16.2785</v>
      </c>
      <c r="D702" s="171"/>
      <c r="E702" s="425">
        <v>13.2608</v>
      </c>
      <c r="F702" s="425">
        <v>16.1818</v>
      </c>
      <c r="G702" s="425">
        <v>13.0176</v>
      </c>
      <c r="H702" s="171"/>
      <c r="I702" s="171"/>
      <c r="J702" s="425">
        <v>17.7127</v>
      </c>
      <c r="K702" s="182">
        <v>10421.4</v>
      </c>
      <c r="L702" s="36"/>
      <c r="M702" s="36"/>
      <c r="N702" s="36"/>
      <c r="O702" s="36"/>
      <c r="P702" s="36"/>
      <c r="Q702" s="36"/>
      <c r="R702" s="36"/>
      <c r="S702" s="36"/>
      <c r="T702" s="36"/>
      <c r="U702" s="36"/>
      <c r="V702" s="36"/>
      <c r="W702" s="36"/>
      <c r="X702" s="36"/>
      <c r="Y702" s="36"/>
      <c r="Z702" s="36"/>
      <c r="AA702" s="36"/>
      <c r="AB702" s="36"/>
      <c r="AC702" s="36"/>
    </row>
    <row r="703" ht="15.75" customHeight="1">
      <c r="A703" s="423">
        <v>43171.0</v>
      </c>
      <c r="B703" s="424">
        <v>13.6702</v>
      </c>
      <c r="C703" s="425">
        <v>16.276</v>
      </c>
      <c r="D703" s="171"/>
      <c r="E703" s="425">
        <v>13.2608</v>
      </c>
      <c r="F703" s="425">
        <v>16.1818</v>
      </c>
      <c r="G703" s="425">
        <v>13.0176</v>
      </c>
      <c r="H703" s="171"/>
      <c r="I703" s="171"/>
      <c r="J703" s="425">
        <v>17.6726</v>
      </c>
      <c r="K703" s="182">
        <v>10421.4</v>
      </c>
      <c r="L703" s="36"/>
      <c r="M703" s="36"/>
      <c r="N703" s="36"/>
      <c r="O703" s="36"/>
      <c r="P703" s="36"/>
      <c r="Q703" s="36"/>
      <c r="R703" s="36"/>
      <c r="S703" s="36"/>
      <c r="T703" s="36"/>
      <c r="U703" s="36"/>
      <c r="V703" s="36"/>
      <c r="W703" s="36"/>
      <c r="X703" s="36"/>
      <c r="Y703" s="36"/>
      <c r="Z703" s="36"/>
      <c r="AA703" s="36"/>
      <c r="AB703" s="36"/>
      <c r="AC703" s="36"/>
    </row>
    <row r="704" ht="15.75" customHeight="1">
      <c r="A704" s="423">
        <v>43171.0</v>
      </c>
      <c r="B704" s="424">
        <v>13.6702</v>
      </c>
      <c r="C704" s="425">
        <v>16.276</v>
      </c>
      <c r="D704" s="171"/>
      <c r="E704" s="425">
        <v>13.2608</v>
      </c>
      <c r="F704" s="425">
        <v>16.1818</v>
      </c>
      <c r="G704" s="425">
        <v>13.0176</v>
      </c>
      <c r="H704" s="171"/>
      <c r="I704" s="171"/>
      <c r="J704" s="425">
        <v>17.6726</v>
      </c>
      <c r="K704" s="182">
        <v>10421.4</v>
      </c>
      <c r="L704" s="36"/>
      <c r="M704" s="36"/>
      <c r="N704" s="36"/>
      <c r="O704" s="36"/>
      <c r="P704" s="36"/>
      <c r="Q704" s="36"/>
      <c r="R704" s="36"/>
      <c r="S704" s="36"/>
      <c r="T704" s="36"/>
      <c r="U704" s="36"/>
      <c r="V704" s="36"/>
      <c r="W704" s="36"/>
      <c r="X704" s="36"/>
      <c r="Y704" s="36"/>
      <c r="Z704" s="36"/>
      <c r="AA704" s="36"/>
      <c r="AB704" s="36"/>
      <c r="AC704" s="36"/>
    </row>
    <row r="705" ht="15.75" customHeight="1">
      <c r="A705" s="423">
        <v>43172.0</v>
      </c>
      <c r="B705" s="424">
        <v>13.6811</v>
      </c>
      <c r="C705" s="425">
        <v>16.2905</v>
      </c>
      <c r="D705" s="171"/>
      <c r="E705" s="425">
        <v>13.2542</v>
      </c>
      <c r="F705" s="425">
        <v>16.2058</v>
      </c>
      <c r="G705" s="425">
        <v>13.0177</v>
      </c>
      <c r="H705" s="171"/>
      <c r="I705" s="171"/>
      <c r="J705" s="425">
        <v>17.7471</v>
      </c>
      <c r="K705" s="182">
        <v>10426.85</v>
      </c>
      <c r="L705" s="36"/>
      <c r="M705" s="36"/>
      <c r="N705" s="36"/>
      <c r="O705" s="36"/>
      <c r="P705" s="36"/>
      <c r="Q705" s="36"/>
      <c r="R705" s="36"/>
      <c r="S705" s="36"/>
      <c r="T705" s="36"/>
      <c r="U705" s="36"/>
      <c r="V705" s="36"/>
      <c r="W705" s="36"/>
      <c r="X705" s="36"/>
      <c r="Y705" s="36"/>
      <c r="Z705" s="36"/>
      <c r="AA705" s="36"/>
      <c r="AB705" s="36"/>
      <c r="AC705" s="36"/>
    </row>
    <row r="706" ht="15.75" customHeight="1">
      <c r="A706" s="423">
        <v>43172.0</v>
      </c>
      <c r="B706" s="424">
        <v>13.6811</v>
      </c>
      <c r="C706" s="425">
        <v>16.2905</v>
      </c>
      <c r="D706" s="171"/>
      <c r="E706" s="425">
        <v>13.2542</v>
      </c>
      <c r="F706" s="425">
        <v>16.2058</v>
      </c>
      <c r="G706" s="425">
        <v>13.0177</v>
      </c>
      <c r="H706" s="171"/>
      <c r="I706" s="171"/>
      <c r="J706" s="425">
        <v>17.7471</v>
      </c>
      <c r="K706" s="182">
        <v>10426.85</v>
      </c>
      <c r="L706" s="36"/>
      <c r="M706" s="36"/>
      <c r="N706" s="36"/>
      <c r="O706" s="36"/>
      <c r="P706" s="36"/>
      <c r="Q706" s="36"/>
      <c r="R706" s="36"/>
      <c r="S706" s="36"/>
      <c r="T706" s="36"/>
      <c r="U706" s="36"/>
      <c r="V706" s="36"/>
      <c r="W706" s="36"/>
      <c r="X706" s="36"/>
      <c r="Y706" s="36"/>
      <c r="Z706" s="36"/>
      <c r="AA706" s="36"/>
      <c r="AB706" s="36"/>
      <c r="AC706" s="36"/>
    </row>
    <row r="707" ht="15.75" customHeight="1">
      <c r="A707" s="423">
        <v>43172.0</v>
      </c>
      <c r="B707" s="424">
        <v>13.6811</v>
      </c>
      <c r="C707" s="425">
        <v>16.2881</v>
      </c>
      <c r="D707" s="171"/>
      <c r="E707" s="425">
        <v>13.2542</v>
      </c>
      <c r="F707" s="425">
        <v>16.2058</v>
      </c>
      <c r="G707" s="425">
        <v>13.0177</v>
      </c>
      <c r="H707" s="171"/>
      <c r="I707" s="171"/>
      <c r="J707" s="425">
        <v>17.6864</v>
      </c>
      <c r="K707" s="182">
        <v>10426.85</v>
      </c>
      <c r="L707" s="36"/>
      <c r="M707" s="36"/>
      <c r="N707" s="36"/>
      <c r="O707" s="36"/>
      <c r="P707" s="36"/>
      <c r="Q707" s="36"/>
      <c r="R707" s="36"/>
      <c r="S707" s="36"/>
      <c r="T707" s="36"/>
      <c r="U707" s="36"/>
      <c r="V707" s="36"/>
      <c r="W707" s="36"/>
      <c r="X707" s="36"/>
      <c r="Y707" s="36"/>
      <c r="Z707" s="36"/>
      <c r="AA707" s="36"/>
      <c r="AB707" s="36"/>
      <c r="AC707" s="36"/>
    </row>
    <row r="708" ht="15.75" customHeight="1">
      <c r="A708" s="423">
        <v>43172.0</v>
      </c>
      <c r="B708" s="424">
        <v>13.6811</v>
      </c>
      <c r="C708" s="425">
        <v>16.2881</v>
      </c>
      <c r="D708" s="171"/>
      <c r="E708" s="425">
        <v>13.2542</v>
      </c>
      <c r="F708" s="425">
        <v>16.2058</v>
      </c>
      <c r="G708" s="425">
        <v>13.0177</v>
      </c>
      <c r="H708" s="171"/>
      <c r="I708" s="171"/>
      <c r="J708" s="425">
        <v>17.6864</v>
      </c>
      <c r="K708" s="182">
        <v>10426.85</v>
      </c>
      <c r="L708" s="36"/>
      <c r="M708" s="36"/>
      <c r="N708" s="36"/>
      <c r="O708" s="36"/>
      <c r="P708" s="36"/>
      <c r="Q708" s="36"/>
      <c r="R708" s="36"/>
      <c r="S708" s="36"/>
      <c r="T708" s="36"/>
      <c r="U708" s="36"/>
      <c r="V708" s="36"/>
      <c r="W708" s="36"/>
      <c r="X708" s="36"/>
      <c r="Y708" s="36"/>
      <c r="Z708" s="36"/>
      <c r="AA708" s="36"/>
      <c r="AB708" s="36"/>
      <c r="AC708" s="36"/>
    </row>
    <row r="709" ht="15.75" customHeight="1">
      <c r="A709" s="423">
        <v>43173.0</v>
      </c>
      <c r="B709" s="424">
        <v>13.6737</v>
      </c>
      <c r="C709" s="425">
        <v>16.2977</v>
      </c>
      <c r="D709" s="171"/>
      <c r="E709" s="425">
        <v>13.2496</v>
      </c>
      <c r="F709" s="425">
        <v>16.2044</v>
      </c>
      <c r="G709" s="425">
        <v>13.0199</v>
      </c>
      <c r="H709" s="171"/>
      <c r="I709" s="171"/>
      <c r="J709" s="425">
        <v>17.881</v>
      </c>
      <c r="K709" s="182">
        <v>10410.9</v>
      </c>
      <c r="L709" s="36"/>
      <c r="M709" s="36"/>
      <c r="N709" s="36"/>
      <c r="O709" s="36"/>
      <c r="P709" s="36"/>
      <c r="Q709" s="36"/>
      <c r="R709" s="36"/>
      <c r="S709" s="36"/>
      <c r="T709" s="36"/>
      <c r="U709" s="36"/>
      <c r="V709" s="36"/>
      <c r="W709" s="36"/>
      <c r="X709" s="36"/>
      <c r="Y709" s="36"/>
      <c r="Z709" s="36"/>
      <c r="AA709" s="36"/>
      <c r="AB709" s="36"/>
      <c r="AC709" s="36"/>
    </row>
    <row r="710" ht="15.75" customHeight="1">
      <c r="A710" s="423">
        <v>43173.0</v>
      </c>
      <c r="B710" s="424">
        <v>13.6737</v>
      </c>
      <c r="C710" s="425">
        <v>16.2977</v>
      </c>
      <c r="D710" s="171"/>
      <c r="E710" s="425">
        <v>13.2496</v>
      </c>
      <c r="F710" s="425">
        <v>16.2044</v>
      </c>
      <c r="G710" s="425">
        <v>13.0199</v>
      </c>
      <c r="H710" s="171"/>
      <c r="I710" s="171"/>
      <c r="J710" s="425">
        <v>17.881</v>
      </c>
      <c r="K710" s="182">
        <v>10410.9</v>
      </c>
      <c r="L710" s="36"/>
      <c r="M710" s="36"/>
      <c r="N710" s="36"/>
      <c r="O710" s="36"/>
      <c r="P710" s="36"/>
      <c r="Q710" s="36"/>
      <c r="R710" s="36"/>
      <c r="S710" s="36"/>
      <c r="T710" s="36"/>
      <c r="U710" s="36"/>
      <c r="V710" s="36"/>
      <c r="W710" s="36"/>
      <c r="X710" s="36"/>
      <c r="Y710" s="36"/>
      <c r="Z710" s="36"/>
      <c r="AA710" s="36"/>
      <c r="AB710" s="36"/>
      <c r="AC710" s="36"/>
    </row>
    <row r="711" ht="15.75" customHeight="1">
      <c r="A711" s="423">
        <v>43173.0</v>
      </c>
      <c r="B711" s="424">
        <v>13.6737</v>
      </c>
      <c r="C711" s="425">
        <v>16.2944</v>
      </c>
      <c r="D711" s="171"/>
      <c r="E711" s="425">
        <v>13.2496</v>
      </c>
      <c r="F711" s="425">
        <v>16.2044</v>
      </c>
      <c r="G711" s="425">
        <v>13.0199</v>
      </c>
      <c r="H711" s="171"/>
      <c r="I711" s="171"/>
      <c r="J711" s="425">
        <v>17.7913</v>
      </c>
      <c r="K711" s="182">
        <v>10410.9</v>
      </c>
      <c r="L711" s="36"/>
      <c r="M711" s="36"/>
      <c r="N711" s="36"/>
      <c r="O711" s="36"/>
      <c r="P711" s="36"/>
      <c r="Q711" s="36"/>
      <c r="R711" s="36"/>
      <c r="S711" s="36"/>
      <c r="T711" s="36"/>
      <c r="U711" s="36"/>
      <c r="V711" s="36"/>
      <c r="W711" s="36"/>
      <c r="X711" s="36"/>
      <c r="Y711" s="36"/>
      <c r="Z711" s="36"/>
      <c r="AA711" s="36"/>
      <c r="AB711" s="36"/>
      <c r="AC711" s="36"/>
    </row>
    <row r="712" ht="15.75" customHeight="1">
      <c r="A712" s="423">
        <v>43173.0</v>
      </c>
      <c r="B712" s="424">
        <v>13.6737</v>
      </c>
      <c r="C712" s="425">
        <v>16.2944</v>
      </c>
      <c r="D712" s="171"/>
      <c r="E712" s="425">
        <v>13.2496</v>
      </c>
      <c r="F712" s="425">
        <v>16.2044</v>
      </c>
      <c r="G712" s="425">
        <v>13.0199</v>
      </c>
      <c r="H712" s="171"/>
      <c r="I712" s="171"/>
      <c r="J712" s="425">
        <v>17.7913</v>
      </c>
      <c r="K712" s="182">
        <v>10410.9</v>
      </c>
      <c r="L712" s="36"/>
      <c r="M712" s="36"/>
      <c r="N712" s="36"/>
      <c r="O712" s="36"/>
      <c r="P712" s="36"/>
      <c r="Q712" s="36"/>
      <c r="R712" s="36"/>
      <c r="S712" s="36"/>
      <c r="T712" s="36"/>
      <c r="U712" s="36"/>
      <c r="V712" s="36"/>
      <c r="W712" s="36"/>
      <c r="X712" s="36"/>
      <c r="Y712" s="36"/>
      <c r="Z712" s="36"/>
      <c r="AA712" s="36"/>
      <c r="AB712" s="36"/>
      <c r="AC712" s="36"/>
    </row>
    <row r="713" ht="15.75" customHeight="1">
      <c r="A713" s="423">
        <v>43174.0</v>
      </c>
      <c r="B713" s="424">
        <v>13.6314</v>
      </c>
      <c r="C713" s="425">
        <v>16.3229</v>
      </c>
      <c r="D713" s="171"/>
      <c r="E713" s="425">
        <v>13.281</v>
      </c>
      <c r="F713" s="425">
        <v>16.1621</v>
      </c>
      <c r="G713" s="425">
        <v>13.0324</v>
      </c>
      <c r="H713" s="171"/>
      <c r="I713" s="171"/>
      <c r="J713" s="425">
        <v>17.9686</v>
      </c>
      <c r="K713" s="182">
        <v>10360.15</v>
      </c>
      <c r="L713" s="36"/>
      <c r="M713" s="36"/>
      <c r="N713" s="36"/>
      <c r="O713" s="36"/>
      <c r="P713" s="36"/>
      <c r="Q713" s="36"/>
      <c r="R713" s="36"/>
      <c r="S713" s="36"/>
      <c r="T713" s="36"/>
      <c r="U713" s="36"/>
      <c r="V713" s="36"/>
      <c r="W713" s="36"/>
      <c r="X713" s="36"/>
      <c r="Y713" s="36"/>
      <c r="Z713" s="36"/>
      <c r="AA713" s="36"/>
      <c r="AB713" s="36"/>
      <c r="AC713" s="36"/>
    </row>
    <row r="714" ht="15.75" customHeight="1">
      <c r="A714" s="423">
        <v>43174.0</v>
      </c>
      <c r="B714" s="424">
        <v>13.6314</v>
      </c>
      <c r="C714" s="425">
        <v>16.3229</v>
      </c>
      <c r="D714" s="171"/>
      <c r="E714" s="425">
        <v>13.281</v>
      </c>
      <c r="F714" s="425">
        <v>16.1621</v>
      </c>
      <c r="G714" s="425">
        <v>13.0324</v>
      </c>
      <c r="H714" s="171"/>
      <c r="I714" s="171"/>
      <c r="J714" s="425">
        <v>17.9686</v>
      </c>
      <c r="K714" s="182">
        <v>10360.15</v>
      </c>
      <c r="L714" s="36"/>
      <c r="M714" s="36"/>
      <c r="N714" s="36"/>
      <c r="O714" s="36"/>
      <c r="P714" s="36"/>
      <c r="Q714" s="36"/>
      <c r="R714" s="36"/>
      <c r="S714" s="36"/>
      <c r="T714" s="36"/>
      <c r="U714" s="36"/>
      <c r="V714" s="36"/>
      <c r="W714" s="36"/>
      <c r="X714" s="36"/>
      <c r="Y714" s="36"/>
      <c r="Z714" s="36"/>
      <c r="AA714" s="36"/>
      <c r="AB714" s="36"/>
      <c r="AC714" s="36"/>
    </row>
    <row r="715" ht="15.75" customHeight="1">
      <c r="A715" s="423">
        <v>43174.0</v>
      </c>
      <c r="B715" s="424">
        <v>13.6314</v>
      </c>
      <c r="C715" s="425">
        <v>16.3056</v>
      </c>
      <c r="D715" s="171"/>
      <c r="E715" s="425">
        <v>13.281</v>
      </c>
      <c r="F715" s="425">
        <v>16.1621</v>
      </c>
      <c r="G715" s="425">
        <v>13.0324</v>
      </c>
      <c r="H715" s="171"/>
      <c r="I715" s="171"/>
      <c r="J715" s="425">
        <v>17.9086</v>
      </c>
      <c r="K715" s="182">
        <v>10360.15</v>
      </c>
      <c r="L715" s="36"/>
      <c r="M715" s="36"/>
      <c r="N715" s="36"/>
      <c r="O715" s="36"/>
      <c r="P715" s="36"/>
      <c r="Q715" s="36"/>
      <c r="R715" s="36"/>
      <c r="S715" s="36"/>
      <c r="T715" s="36"/>
      <c r="U715" s="36"/>
      <c r="V715" s="36"/>
      <c r="W715" s="36"/>
      <c r="X715" s="36"/>
      <c r="Y715" s="36"/>
      <c r="Z715" s="36"/>
      <c r="AA715" s="36"/>
      <c r="AB715" s="36"/>
      <c r="AC715" s="36"/>
    </row>
    <row r="716" ht="15.75" customHeight="1">
      <c r="A716" s="423">
        <v>43174.0</v>
      </c>
      <c r="B716" s="424">
        <v>13.6314</v>
      </c>
      <c r="C716" s="425">
        <v>16.3056</v>
      </c>
      <c r="D716" s="171"/>
      <c r="E716" s="425">
        <v>13.281</v>
      </c>
      <c r="F716" s="425">
        <v>16.1621</v>
      </c>
      <c r="G716" s="425">
        <v>13.0324</v>
      </c>
      <c r="H716" s="171"/>
      <c r="I716" s="171"/>
      <c r="J716" s="425">
        <v>17.9086</v>
      </c>
      <c r="K716" s="182">
        <v>10360.15</v>
      </c>
      <c r="L716" s="36"/>
      <c r="M716" s="36"/>
      <c r="N716" s="36"/>
      <c r="O716" s="36"/>
      <c r="P716" s="36"/>
      <c r="Q716" s="36"/>
      <c r="R716" s="36"/>
      <c r="S716" s="36"/>
      <c r="T716" s="36"/>
      <c r="U716" s="36"/>
      <c r="V716" s="36"/>
      <c r="W716" s="36"/>
      <c r="X716" s="36"/>
      <c r="Y716" s="36"/>
      <c r="Z716" s="36"/>
      <c r="AA716" s="36"/>
      <c r="AB716" s="36"/>
      <c r="AC716" s="36"/>
    </row>
    <row r="717" ht="15.75" customHeight="1">
      <c r="A717" s="423">
        <v>43175.0</v>
      </c>
      <c r="B717" s="424">
        <v>13.4534</v>
      </c>
      <c r="C717" s="425">
        <v>16.3113</v>
      </c>
      <c r="D717" s="171"/>
      <c r="E717" s="425">
        <v>13.3431</v>
      </c>
      <c r="F717" s="425">
        <v>15.9536</v>
      </c>
      <c r="G717" s="425">
        <v>13.0459</v>
      </c>
      <c r="H717" s="171"/>
      <c r="I717" s="171"/>
      <c r="J717" s="425">
        <v>17.9971</v>
      </c>
      <c r="K717" s="182">
        <v>10195.15</v>
      </c>
      <c r="L717" s="36"/>
      <c r="M717" s="36"/>
      <c r="N717" s="36"/>
      <c r="O717" s="36"/>
      <c r="P717" s="36"/>
      <c r="Q717" s="36"/>
      <c r="R717" s="36"/>
      <c r="S717" s="36"/>
      <c r="T717" s="36"/>
      <c r="U717" s="36"/>
      <c r="V717" s="36"/>
      <c r="W717" s="36"/>
      <c r="X717" s="36"/>
      <c r="Y717" s="36"/>
      <c r="Z717" s="36"/>
      <c r="AA717" s="36"/>
      <c r="AB717" s="36"/>
      <c r="AC717" s="36"/>
    </row>
    <row r="718" ht="15.75" customHeight="1">
      <c r="A718" s="423">
        <v>43175.0</v>
      </c>
      <c r="B718" s="424">
        <v>13.4534</v>
      </c>
      <c r="C718" s="425">
        <v>16.3113</v>
      </c>
      <c r="D718" s="171"/>
      <c r="E718" s="425">
        <v>13.3431</v>
      </c>
      <c r="F718" s="425">
        <v>15.9536</v>
      </c>
      <c r="G718" s="425">
        <v>13.0459</v>
      </c>
      <c r="H718" s="171"/>
      <c r="I718" s="171"/>
      <c r="J718" s="425">
        <v>17.9971</v>
      </c>
      <c r="K718" s="182">
        <v>10195.15</v>
      </c>
      <c r="L718" s="36"/>
      <c r="M718" s="36"/>
      <c r="N718" s="36"/>
      <c r="O718" s="36"/>
      <c r="P718" s="36"/>
      <c r="Q718" s="36"/>
      <c r="R718" s="36"/>
      <c r="S718" s="36"/>
      <c r="T718" s="36"/>
      <c r="U718" s="36"/>
      <c r="V718" s="36"/>
      <c r="W718" s="36"/>
      <c r="X718" s="36"/>
      <c r="Y718" s="36"/>
      <c r="Z718" s="36"/>
      <c r="AA718" s="36"/>
      <c r="AB718" s="36"/>
      <c r="AC718" s="36"/>
    </row>
    <row r="719" ht="15.75" customHeight="1">
      <c r="A719" s="423">
        <v>43175.0</v>
      </c>
      <c r="B719" s="424">
        <v>13.4534</v>
      </c>
      <c r="C719" s="425">
        <v>16.3246</v>
      </c>
      <c r="D719" s="171"/>
      <c r="E719" s="425">
        <v>13.3431</v>
      </c>
      <c r="F719" s="425">
        <v>15.9536</v>
      </c>
      <c r="G719" s="425">
        <v>13.0459</v>
      </c>
      <c r="H719" s="171"/>
      <c r="I719" s="171"/>
      <c r="J719" s="425">
        <v>18.0333</v>
      </c>
      <c r="K719" s="182">
        <v>10195.15</v>
      </c>
      <c r="L719" s="36"/>
      <c r="M719" s="36"/>
      <c r="N719" s="36"/>
      <c r="O719" s="36"/>
      <c r="P719" s="36"/>
      <c r="Q719" s="36"/>
      <c r="R719" s="36"/>
      <c r="S719" s="36"/>
      <c r="T719" s="36"/>
      <c r="U719" s="36"/>
      <c r="V719" s="36"/>
      <c r="W719" s="36"/>
      <c r="X719" s="36"/>
      <c r="Y719" s="36"/>
      <c r="Z719" s="36"/>
      <c r="AA719" s="36"/>
      <c r="AB719" s="36"/>
      <c r="AC719" s="36"/>
    </row>
    <row r="720" ht="15.75" customHeight="1">
      <c r="A720" s="423">
        <v>43175.0</v>
      </c>
      <c r="B720" s="424">
        <v>13.4534</v>
      </c>
      <c r="C720" s="425">
        <v>16.3246</v>
      </c>
      <c r="D720" s="171"/>
      <c r="E720" s="425">
        <v>13.3431</v>
      </c>
      <c r="F720" s="425">
        <v>15.9536</v>
      </c>
      <c r="G720" s="425">
        <v>13.0459</v>
      </c>
      <c r="H720" s="171"/>
      <c r="I720" s="171"/>
      <c r="J720" s="425">
        <v>18.0333</v>
      </c>
      <c r="K720" s="182">
        <v>10195.15</v>
      </c>
      <c r="L720" s="36"/>
      <c r="M720" s="36"/>
      <c r="N720" s="36"/>
      <c r="O720" s="36"/>
      <c r="P720" s="36"/>
      <c r="Q720" s="36"/>
      <c r="R720" s="36"/>
      <c r="S720" s="36"/>
      <c r="T720" s="36"/>
      <c r="U720" s="36"/>
      <c r="V720" s="36"/>
      <c r="W720" s="36"/>
      <c r="X720" s="36"/>
      <c r="Y720" s="36"/>
      <c r="Z720" s="36"/>
      <c r="AA720" s="36"/>
      <c r="AB720" s="36"/>
      <c r="AC720" s="36"/>
    </row>
    <row r="721" ht="15.75" customHeight="1">
      <c r="A721" s="423">
        <v>43178.0</v>
      </c>
      <c r="B721" s="424">
        <v>13.3412</v>
      </c>
      <c r="C721" s="425">
        <v>16.3243</v>
      </c>
      <c r="D721" s="171"/>
      <c r="E721" s="425">
        <v>13.3201</v>
      </c>
      <c r="F721" s="425">
        <v>15.8175</v>
      </c>
      <c r="G721" s="425">
        <v>13.0431</v>
      </c>
      <c r="H721" s="171"/>
      <c r="I721" s="171"/>
      <c r="J721" s="425">
        <v>17.9279</v>
      </c>
      <c r="K721" s="182">
        <v>10094.25</v>
      </c>
      <c r="L721" s="36"/>
      <c r="M721" s="36"/>
      <c r="N721" s="36"/>
      <c r="O721" s="36"/>
      <c r="P721" s="36"/>
      <c r="Q721" s="36"/>
      <c r="R721" s="36"/>
      <c r="S721" s="36"/>
      <c r="T721" s="36"/>
      <c r="U721" s="36"/>
      <c r="V721" s="36"/>
      <c r="W721" s="36"/>
      <c r="X721" s="36"/>
      <c r="Y721" s="36"/>
      <c r="Z721" s="36"/>
      <c r="AA721" s="36"/>
      <c r="AB721" s="36"/>
      <c r="AC721" s="36"/>
    </row>
    <row r="722" ht="15.75" customHeight="1">
      <c r="A722" s="423">
        <v>43178.0</v>
      </c>
      <c r="B722" s="424">
        <v>13.3412</v>
      </c>
      <c r="C722" s="425">
        <v>16.3243</v>
      </c>
      <c r="D722" s="171"/>
      <c r="E722" s="425">
        <v>13.3201</v>
      </c>
      <c r="F722" s="425">
        <v>15.8175</v>
      </c>
      <c r="G722" s="425">
        <v>13.0431</v>
      </c>
      <c r="H722" s="171"/>
      <c r="I722" s="171"/>
      <c r="J722" s="425">
        <v>17.9279</v>
      </c>
      <c r="K722" s="182">
        <v>10094.25</v>
      </c>
      <c r="L722" s="36"/>
      <c r="M722" s="36"/>
      <c r="N722" s="36"/>
      <c r="O722" s="36"/>
      <c r="P722" s="36"/>
      <c r="Q722" s="36"/>
      <c r="R722" s="36"/>
      <c r="S722" s="36"/>
      <c r="T722" s="36"/>
      <c r="U722" s="36"/>
      <c r="V722" s="36"/>
      <c r="W722" s="36"/>
      <c r="X722" s="36"/>
      <c r="Y722" s="36"/>
      <c r="Z722" s="36"/>
      <c r="AA722" s="36"/>
      <c r="AB722" s="36"/>
      <c r="AC722" s="36"/>
    </row>
    <row r="723" ht="15.75" customHeight="1">
      <c r="A723" s="423">
        <v>43178.0</v>
      </c>
      <c r="B723" s="424">
        <v>13.3412</v>
      </c>
      <c r="C723" s="425">
        <v>16.3106</v>
      </c>
      <c r="D723" s="171"/>
      <c r="E723" s="425">
        <v>13.3201</v>
      </c>
      <c r="F723" s="425">
        <v>15.8175</v>
      </c>
      <c r="G723" s="425">
        <v>13.0431</v>
      </c>
      <c r="H723" s="171"/>
      <c r="I723" s="171"/>
      <c r="J723" s="425">
        <v>17.9142</v>
      </c>
      <c r="K723" s="182">
        <v>10094.25</v>
      </c>
      <c r="L723" s="36"/>
      <c r="M723" s="36"/>
      <c r="N723" s="36"/>
      <c r="O723" s="36"/>
      <c r="P723" s="36"/>
      <c r="Q723" s="36"/>
      <c r="R723" s="36"/>
      <c r="S723" s="36"/>
      <c r="T723" s="36"/>
      <c r="U723" s="36"/>
      <c r="V723" s="36"/>
      <c r="W723" s="36"/>
      <c r="X723" s="36"/>
      <c r="Y723" s="36"/>
      <c r="Z723" s="36"/>
      <c r="AA723" s="36"/>
      <c r="AB723" s="36"/>
      <c r="AC723" s="36"/>
    </row>
    <row r="724" ht="15.75" customHeight="1">
      <c r="A724" s="423">
        <v>43178.0</v>
      </c>
      <c r="B724" s="424">
        <v>13.3412</v>
      </c>
      <c r="C724" s="425">
        <v>16.3106</v>
      </c>
      <c r="D724" s="171"/>
      <c r="E724" s="425">
        <v>13.3201</v>
      </c>
      <c r="F724" s="425">
        <v>15.8175</v>
      </c>
      <c r="G724" s="425">
        <v>13.0431</v>
      </c>
      <c r="H724" s="171"/>
      <c r="I724" s="171"/>
      <c r="J724" s="425">
        <v>17.9142</v>
      </c>
      <c r="K724" s="182">
        <v>10094.25</v>
      </c>
      <c r="L724" s="36"/>
      <c r="M724" s="36"/>
      <c r="N724" s="36"/>
      <c r="O724" s="36"/>
      <c r="P724" s="36"/>
      <c r="Q724" s="36"/>
      <c r="R724" s="36"/>
      <c r="S724" s="36"/>
      <c r="T724" s="36"/>
      <c r="U724" s="36"/>
      <c r="V724" s="36"/>
      <c r="W724" s="36"/>
      <c r="X724" s="36"/>
      <c r="Y724" s="36"/>
      <c r="Z724" s="36"/>
      <c r="AA724" s="36"/>
      <c r="AB724" s="36"/>
      <c r="AC724" s="36"/>
    </row>
    <row r="725" ht="15.75" customHeight="1">
      <c r="A725" s="423">
        <v>43179.0</v>
      </c>
      <c r="B725" s="424">
        <v>13.373</v>
      </c>
      <c r="C725" s="425">
        <v>16.3321</v>
      </c>
      <c r="D725" s="171"/>
      <c r="E725" s="425">
        <v>13.3193</v>
      </c>
      <c r="F725" s="425">
        <v>15.8463</v>
      </c>
      <c r="G725" s="425">
        <v>13.0447</v>
      </c>
      <c r="H725" s="171"/>
      <c r="I725" s="171"/>
      <c r="J725" s="425">
        <v>18.0026</v>
      </c>
      <c r="K725" s="182">
        <v>10124.35</v>
      </c>
      <c r="L725" s="36"/>
      <c r="M725" s="36"/>
      <c r="N725" s="36"/>
      <c r="O725" s="36"/>
      <c r="P725" s="36"/>
      <c r="Q725" s="36"/>
      <c r="R725" s="36"/>
      <c r="S725" s="36"/>
      <c r="T725" s="36"/>
      <c r="U725" s="36"/>
      <c r="V725" s="36"/>
      <c r="W725" s="36"/>
      <c r="X725" s="36"/>
      <c r="Y725" s="36"/>
      <c r="Z725" s="36"/>
      <c r="AA725" s="36"/>
      <c r="AB725" s="36"/>
      <c r="AC725" s="36"/>
    </row>
    <row r="726" ht="15.75" customHeight="1">
      <c r="A726" s="423">
        <v>43179.0</v>
      </c>
      <c r="B726" s="424">
        <v>13.373</v>
      </c>
      <c r="C726" s="425">
        <v>16.3321</v>
      </c>
      <c r="D726" s="171"/>
      <c r="E726" s="425">
        <v>13.3193</v>
      </c>
      <c r="F726" s="425">
        <v>15.8463</v>
      </c>
      <c r="G726" s="425">
        <v>13.0447</v>
      </c>
      <c r="H726" s="171"/>
      <c r="I726" s="171"/>
      <c r="J726" s="425">
        <v>18.0026</v>
      </c>
      <c r="K726" s="182">
        <v>10124.35</v>
      </c>
      <c r="L726" s="36"/>
      <c r="M726" s="36"/>
      <c r="N726" s="36"/>
      <c r="O726" s="36"/>
      <c r="P726" s="36"/>
      <c r="Q726" s="36"/>
      <c r="R726" s="36"/>
      <c r="S726" s="36"/>
      <c r="T726" s="36"/>
      <c r="U726" s="36"/>
      <c r="V726" s="36"/>
      <c r="W726" s="36"/>
      <c r="X726" s="36"/>
      <c r="Y726" s="36"/>
      <c r="Z726" s="36"/>
      <c r="AA726" s="36"/>
      <c r="AB726" s="36"/>
      <c r="AC726" s="36"/>
    </row>
    <row r="727" ht="15.75" customHeight="1">
      <c r="A727" s="423">
        <v>43179.0</v>
      </c>
      <c r="B727" s="424">
        <v>13.373</v>
      </c>
      <c r="C727" s="425">
        <v>16.3304</v>
      </c>
      <c r="D727" s="171"/>
      <c r="E727" s="425">
        <v>13.3193</v>
      </c>
      <c r="F727" s="425">
        <v>15.8463</v>
      </c>
      <c r="G727" s="425">
        <v>13.0447</v>
      </c>
      <c r="H727" s="171"/>
      <c r="I727" s="171"/>
      <c r="J727" s="425">
        <v>18.0222</v>
      </c>
      <c r="K727" s="182">
        <v>10124.35</v>
      </c>
      <c r="L727" s="36"/>
      <c r="M727" s="36"/>
      <c r="N727" s="36"/>
      <c r="O727" s="36"/>
      <c r="P727" s="36"/>
      <c r="Q727" s="36"/>
      <c r="R727" s="36"/>
      <c r="S727" s="36"/>
      <c r="T727" s="36"/>
      <c r="U727" s="36"/>
      <c r="V727" s="36"/>
      <c r="W727" s="36"/>
      <c r="X727" s="36"/>
      <c r="Y727" s="36"/>
      <c r="Z727" s="36"/>
      <c r="AA727" s="36"/>
      <c r="AB727" s="36"/>
      <c r="AC727" s="36"/>
    </row>
    <row r="728" ht="15.75" customHeight="1">
      <c r="A728" s="423">
        <v>43179.0</v>
      </c>
      <c r="B728" s="424">
        <v>13.373</v>
      </c>
      <c r="C728" s="425">
        <v>16.3304</v>
      </c>
      <c r="D728" s="171"/>
      <c r="E728" s="425">
        <v>13.3193</v>
      </c>
      <c r="F728" s="425">
        <v>15.8463</v>
      </c>
      <c r="G728" s="425">
        <v>13.0447</v>
      </c>
      <c r="H728" s="171"/>
      <c r="I728" s="171"/>
      <c r="J728" s="425">
        <v>18.0222</v>
      </c>
      <c r="K728" s="182">
        <v>10124.35</v>
      </c>
      <c r="L728" s="36"/>
      <c r="M728" s="36"/>
      <c r="N728" s="36"/>
      <c r="O728" s="36"/>
      <c r="P728" s="36"/>
      <c r="Q728" s="36"/>
      <c r="R728" s="36"/>
      <c r="S728" s="36"/>
      <c r="T728" s="36"/>
      <c r="U728" s="36"/>
      <c r="V728" s="36"/>
      <c r="W728" s="36"/>
      <c r="X728" s="36"/>
      <c r="Y728" s="36"/>
      <c r="Z728" s="36"/>
      <c r="AA728" s="36"/>
      <c r="AB728" s="36"/>
      <c r="AC728" s="36"/>
    </row>
    <row r="729" ht="15.75" customHeight="1">
      <c r="A729" s="423">
        <v>43180.0</v>
      </c>
      <c r="B729" s="424">
        <v>13.4065</v>
      </c>
      <c r="C729" s="425">
        <v>16.3444</v>
      </c>
      <c r="D729" s="171"/>
      <c r="E729" s="425">
        <v>13.3363</v>
      </c>
      <c r="F729" s="425">
        <v>15.891</v>
      </c>
      <c r="G729" s="425">
        <v>13.0474</v>
      </c>
      <c r="H729" s="171"/>
      <c r="I729" s="171"/>
      <c r="J729" s="425">
        <v>17.9408</v>
      </c>
      <c r="K729" s="182">
        <v>10155.25</v>
      </c>
      <c r="L729" s="36"/>
      <c r="M729" s="36"/>
      <c r="N729" s="36"/>
      <c r="O729" s="36"/>
      <c r="P729" s="36"/>
      <c r="Q729" s="36"/>
      <c r="R729" s="36"/>
      <c r="S729" s="36"/>
      <c r="T729" s="36"/>
      <c r="U729" s="36"/>
      <c r="V729" s="36"/>
      <c r="W729" s="36"/>
      <c r="X729" s="36"/>
      <c r="Y729" s="36"/>
      <c r="Z729" s="36"/>
      <c r="AA729" s="36"/>
      <c r="AB729" s="36"/>
      <c r="AC729" s="36"/>
    </row>
    <row r="730" ht="15.75" customHeight="1">
      <c r="A730" s="423">
        <v>43180.0</v>
      </c>
      <c r="B730" s="424">
        <v>13.4065</v>
      </c>
      <c r="C730" s="425">
        <v>16.3444</v>
      </c>
      <c r="D730" s="171"/>
      <c r="E730" s="425">
        <v>13.3363</v>
      </c>
      <c r="F730" s="425">
        <v>15.891</v>
      </c>
      <c r="G730" s="425">
        <v>13.0474</v>
      </c>
      <c r="H730" s="171"/>
      <c r="I730" s="171"/>
      <c r="J730" s="425">
        <v>17.9408</v>
      </c>
      <c r="K730" s="182">
        <v>10155.25</v>
      </c>
      <c r="L730" s="36"/>
      <c r="M730" s="36"/>
      <c r="N730" s="36"/>
      <c r="O730" s="36"/>
      <c r="P730" s="36"/>
      <c r="Q730" s="36"/>
      <c r="R730" s="36"/>
      <c r="S730" s="36"/>
      <c r="T730" s="36"/>
      <c r="U730" s="36"/>
      <c r="V730" s="36"/>
      <c r="W730" s="36"/>
      <c r="X730" s="36"/>
      <c r="Y730" s="36"/>
      <c r="Z730" s="36"/>
      <c r="AA730" s="36"/>
      <c r="AB730" s="36"/>
      <c r="AC730" s="36"/>
    </row>
    <row r="731" ht="15.75" customHeight="1">
      <c r="A731" s="423">
        <v>43180.0</v>
      </c>
      <c r="B731" s="424">
        <v>13.4065</v>
      </c>
      <c r="C731" s="425">
        <v>16.336</v>
      </c>
      <c r="D731" s="171"/>
      <c r="E731" s="425">
        <v>13.3363</v>
      </c>
      <c r="F731" s="425">
        <v>15.891</v>
      </c>
      <c r="G731" s="425">
        <v>13.0474</v>
      </c>
      <c r="H731" s="171"/>
      <c r="I731" s="171"/>
      <c r="J731" s="425">
        <v>17.9537</v>
      </c>
      <c r="K731" s="182">
        <v>10155.25</v>
      </c>
      <c r="L731" s="36"/>
      <c r="M731" s="36"/>
      <c r="N731" s="36"/>
      <c r="O731" s="36"/>
      <c r="P731" s="36"/>
      <c r="Q731" s="36"/>
      <c r="R731" s="36"/>
      <c r="S731" s="36"/>
      <c r="T731" s="36"/>
      <c r="U731" s="36"/>
      <c r="V731" s="36"/>
      <c r="W731" s="36"/>
      <c r="X731" s="36"/>
      <c r="Y731" s="36"/>
      <c r="Z731" s="36"/>
      <c r="AA731" s="36"/>
      <c r="AB731" s="36"/>
      <c r="AC731" s="36"/>
    </row>
    <row r="732" ht="15.75" customHeight="1">
      <c r="A732" s="423">
        <v>43180.0</v>
      </c>
      <c r="B732" s="424">
        <v>13.4065</v>
      </c>
      <c r="C732" s="425">
        <v>16.336</v>
      </c>
      <c r="D732" s="171"/>
      <c r="E732" s="425">
        <v>13.3363</v>
      </c>
      <c r="F732" s="425">
        <v>15.891</v>
      </c>
      <c r="G732" s="425">
        <v>13.0474</v>
      </c>
      <c r="H732" s="171"/>
      <c r="I732" s="171"/>
      <c r="J732" s="425">
        <v>17.9537</v>
      </c>
      <c r="K732" s="182">
        <v>10155.25</v>
      </c>
      <c r="L732" s="36"/>
      <c r="M732" s="36"/>
      <c r="N732" s="36"/>
      <c r="O732" s="36"/>
      <c r="P732" s="36"/>
      <c r="Q732" s="36"/>
      <c r="R732" s="36"/>
      <c r="S732" s="36"/>
      <c r="T732" s="36"/>
      <c r="U732" s="36"/>
      <c r="V732" s="36"/>
      <c r="W732" s="36"/>
      <c r="X732" s="36"/>
      <c r="Y732" s="36"/>
      <c r="Z732" s="36"/>
      <c r="AA732" s="36"/>
      <c r="AB732" s="36"/>
      <c r="AC732" s="36"/>
    </row>
    <row r="733" ht="15.75" customHeight="1">
      <c r="A733" s="423">
        <v>43181.0</v>
      </c>
      <c r="B733" s="424">
        <v>13.358</v>
      </c>
      <c r="C733" s="425">
        <v>16.3528</v>
      </c>
      <c r="D733" s="171"/>
      <c r="E733" s="425">
        <v>13.3608</v>
      </c>
      <c r="F733" s="425">
        <v>15.8327</v>
      </c>
      <c r="G733" s="425">
        <v>13.0519</v>
      </c>
      <c r="H733" s="171"/>
      <c r="I733" s="171"/>
      <c r="J733" s="425">
        <v>17.9054</v>
      </c>
      <c r="K733" s="182">
        <v>10114.75</v>
      </c>
      <c r="L733" s="36"/>
      <c r="M733" s="36"/>
      <c r="N733" s="36"/>
      <c r="O733" s="36"/>
      <c r="P733" s="36"/>
      <c r="Q733" s="36"/>
      <c r="R733" s="36"/>
      <c r="S733" s="36"/>
      <c r="T733" s="36"/>
      <c r="U733" s="36"/>
      <c r="V733" s="36"/>
      <c r="W733" s="36"/>
      <c r="X733" s="36"/>
      <c r="Y733" s="36"/>
      <c r="Z733" s="36"/>
      <c r="AA733" s="36"/>
      <c r="AB733" s="36"/>
      <c r="AC733" s="36"/>
    </row>
    <row r="734" ht="15.75" customHeight="1">
      <c r="A734" s="423">
        <v>43181.0</v>
      </c>
      <c r="B734" s="424">
        <v>13.358</v>
      </c>
      <c r="C734" s="425">
        <v>16.3528</v>
      </c>
      <c r="D734" s="171"/>
      <c r="E734" s="425">
        <v>13.3608</v>
      </c>
      <c r="F734" s="425">
        <v>15.8327</v>
      </c>
      <c r="G734" s="425">
        <v>13.0519</v>
      </c>
      <c r="H734" s="171"/>
      <c r="I734" s="171"/>
      <c r="J734" s="425">
        <v>17.9054</v>
      </c>
      <c r="K734" s="182">
        <v>10114.75</v>
      </c>
      <c r="L734" s="36"/>
      <c r="M734" s="36"/>
      <c r="N734" s="36"/>
      <c r="O734" s="36"/>
      <c r="P734" s="36"/>
      <c r="Q734" s="36"/>
      <c r="R734" s="36"/>
      <c r="S734" s="36"/>
      <c r="T734" s="36"/>
      <c r="U734" s="36"/>
      <c r="V734" s="36"/>
      <c r="W734" s="36"/>
      <c r="X734" s="36"/>
      <c r="Y734" s="36"/>
      <c r="Z734" s="36"/>
      <c r="AA734" s="36"/>
      <c r="AB734" s="36"/>
      <c r="AC734" s="36"/>
    </row>
    <row r="735" ht="15.75" customHeight="1">
      <c r="A735" s="423">
        <v>43181.0</v>
      </c>
      <c r="B735" s="424">
        <v>13.358</v>
      </c>
      <c r="C735" s="425">
        <v>16.3469</v>
      </c>
      <c r="D735" s="171"/>
      <c r="E735" s="425">
        <v>13.3608</v>
      </c>
      <c r="F735" s="425">
        <v>15.8327</v>
      </c>
      <c r="G735" s="425">
        <v>13.0519</v>
      </c>
      <c r="H735" s="171"/>
      <c r="I735" s="171"/>
      <c r="J735" s="425">
        <v>17.8873</v>
      </c>
      <c r="K735" s="182">
        <v>10114.75</v>
      </c>
      <c r="L735" s="36"/>
      <c r="M735" s="36"/>
      <c r="N735" s="36"/>
      <c r="O735" s="36"/>
      <c r="P735" s="36"/>
      <c r="Q735" s="36"/>
      <c r="R735" s="36"/>
      <c r="S735" s="36"/>
      <c r="T735" s="36"/>
      <c r="U735" s="36"/>
      <c r="V735" s="36"/>
      <c r="W735" s="36"/>
      <c r="X735" s="36"/>
      <c r="Y735" s="36"/>
      <c r="Z735" s="36"/>
      <c r="AA735" s="36"/>
      <c r="AB735" s="36"/>
      <c r="AC735" s="36"/>
    </row>
    <row r="736" ht="15.75" customHeight="1">
      <c r="A736" s="423">
        <v>43181.0</v>
      </c>
      <c r="B736" s="424">
        <v>13.358</v>
      </c>
      <c r="C736" s="425">
        <v>16.3469</v>
      </c>
      <c r="D736" s="171"/>
      <c r="E736" s="425">
        <v>13.3608</v>
      </c>
      <c r="F736" s="425">
        <v>15.8327</v>
      </c>
      <c r="G736" s="425">
        <v>13.0519</v>
      </c>
      <c r="H736" s="171"/>
      <c r="I736" s="171"/>
      <c r="J736" s="425">
        <v>17.8873</v>
      </c>
      <c r="K736" s="182">
        <v>10114.75</v>
      </c>
      <c r="L736" s="36"/>
      <c r="M736" s="36"/>
      <c r="N736" s="36"/>
      <c r="O736" s="36"/>
      <c r="P736" s="36"/>
      <c r="Q736" s="36"/>
      <c r="R736" s="36"/>
      <c r="S736" s="36"/>
      <c r="T736" s="36"/>
      <c r="U736" s="36"/>
      <c r="V736" s="36"/>
      <c r="W736" s="36"/>
      <c r="X736" s="36"/>
      <c r="Y736" s="36"/>
      <c r="Z736" s="36"/>
      <c r="AA736" s="36"/>
      <c r="AB736" s="36"/>
      <c r="AC736" s="36"/>
    </row>
    <row r="737" ht="15.75" customHeight="1">
      <c r="A737" s="423">
        <v>43182.0</v>
      </c>
      <c r="B737" s="424">
        <v>13.2122</v>
      </c>
      <c r="C737" s="425">
        <v>16.3454</v>
      </c>
      <c r="D737" s="171"/>
      <c r="E737" s="425">
        <v>13.3751</v>
      </c>
      <c r="F737" s="425">
        <v>15.6794</v>
      </c>
      <c r="G737" s="425">
        <v>13.055</v>
      </c>
      <c r="H737" s="171"/>
      <c r="I737" s="171"/>
      <c r="J737" s="425">
        <v>17.9483</v>
      </c>
      <c r="K737" s="182">
        <v>9998.05</v>
      </c>
      <c r="L737" s="36"/>
      <c r="M737" s="36"/>
      <c r="N737" s="36"/>
      <c r="O737" s="36"/>
      <c r="P737" s="36"/>
      <c r="Q737" s="36"/>
      <c r="R737" s="36"/>
      <c r="S737" s="36"/>
      <c r="T737" s="36"/>
      <c r="U737" s="36"/>
      <c r="V737" s="36"/>
      <c r="W737" s="36"/>
      <c r="X737" s="36"/>
      <c r="Y737" s="36"/>
      <c r="Z737" s="36"/>
      <c r="AA737" s="36"/>
      <c r="AB737" s="36"/>
      <c r="AC737" s="36"/>
    </row>
    <row r="738" ht="15.75" customHeight="1">
      <c r="A738" s="423">
        <v>43182.0</v>
      </c>
      <c r="B738" s="424">
        <v>13.2122</v>
      </c>
      <c r="C738" s="425">
        <v>16.3454</v>
      </c>
      <c r="D738" s="171"/>
      <c r="E738" s="425">
        <v>13.3751</v>
      </c>
      <c r="F738" s="425">
        <v>15.6794</v>
      </c>
      <c r="G738" s="425">
        <v>13.055</v>
      </c>
      <c r="H738" s="171"/>
      <c r="I738" s="171"/>
      <c r="J738" s="425">
        <v>17.9483</v>
      </c>
      <c r="K738" s="182">
        <v>9998.05</v>
      </c>
      <c r="L738" s="36"/>
      <c r="M738" s="36"/>
      <c r="N738" s="36"/>
      <c r="O738" s="36"/>
      <c r="P738" s="36"/>
      <c r="Q738" s="36"/>
      <c r="R738" s="36"/>
      <c r="S738" s="36"/>
      <c r="T738" s="36"/>
      <c r="U738" s="36"/>
      <c r="V738" s="36"/>
      <c r="W738" s="36"/>
      <c r="X738" s="36"/>
      <c r="Y738" s="36"/>
      <c r="Z738" s="36"/>
      <c r="AA738" s="36"/>
      <c r="AB738" s="36"/>
      <c r="AC738" s="36"/>
    </row>
    <row r="739" ht="15.75" customHeight="1">
      <c r="A739" s="423">
        <v>43182.0</v>
      </c>
      <c r="B739" s="424">
        <v>13.2122</v>
      </c>
      <c r="C739" s="425">
        <v>16.3567</v>
      </c>
      <c r="D739" s="171"/>
      <c r="E739" s="425">
        <v>13.3751</v>
      </c>
      <c r="F739" s="425">
        <v>15.6794</v>
      </c>
      <c r="G739" s="425">
        <v>13.055</v>
      </c>
      <c r="H739" s="171"/>
      <c r="I739" s="171"/>
      <c r="J739" s="425">
        <v>17.956</v>
      </c>
      <c r="K739" s="182">
        <v>9998.05</v>
      </c>
      <c r="L739" s="36"/>
      <c r="M739" s="36"/>
      <c r="N739" s="36"/>
      <c r="O739" s="36"/>
      <c r="P739" s="36"/>
      <c r="Q739" s="36"/>
      <c r="R739" s="36"/>
      <c r="S739" s="36"/>
      <c r="T739" s="36"/>
      <c r="U739" s="36"/>
      <c r="V739" s="36"/>
      <c r="W739" s="36"/>
      <c r="X739" s="36"/>
      <c r="Y739" s="36"/>
      <c r="Z739" s="36"/>
      <c r="AA739" s="36"/>
      <c r="AB739" s="36"/>
      <c r="AC739" s="36"/>
    </row>
    <row r="740" ht="15.75" customHeight="1">
      <c r="A740" s="423">
        <v>43182.0</v>
      </c>
      <c r="B740" s="424">
        <v>13.2122</v>
      </c>
      <c r="C740" s="425">
        <v>16.3567</v>
      </c>
      <c r="D740" s="171"/>
      <c r="E740" s="425">
        <v>13.3751</v>
      </c>
      <c r="F740" s="425">
        <v>15.6794</v>
      </c>
      <c r="G740" s="425">
        <v>13.055</v>
      </c>
      <c r="H740" s="171"/>
      <c r="I740" s="171"/>
      <c r="J740" s="425">
        <v>17.956</v>
      </c>
      <c r="K740" s="182">
        <v>9998.05</v>
      </c>
      <c r="L740" s="36"/>
      <c r="M740" s="36"/>
      <c r="N740" s="36"/>
      <c r="O740" s="36"/>
      <c r="P740" s="36"/>
      <c r="Q740" s="36"/>
      <c r="R740" s="36"/>
      <c r="S740" s="36"/>
      <c r="T740" s="36"/>
      <c r="U740" s="36"/>
      <c r="V740" s="36"/>
      <c r="W740" s="36"/>
      <c r="X740" s="36"/>
      <c r="Y740" s="36"/>
      <c r="Z740" s="36"/>
      <c r="AA740" s="36"/>
      <c r="AB740" s="36"/>
      <c r="AC740" s="36"/>
    </row>
    <row r="741" ht="15.75" customHeight="1">
      <c r="A741" s="423">
        <v>43185.0</v>
      </c>
      <c r="B741" s="424">
        <v>13.3639</v>
      </c>
      <c r="C741" s="425">
        <v>16.3548</v>
      </c>
      <c r="D741" s="171"/>
      <c r="E741" s="425">
        <v>13.3611</v>
      </c>
      <c r="F741" s="425">
        <v>15.8741</v>
      </c>
      <c r="G741" s="425">
        <v>13.054</v>
      </c>
      <c r="H741" s="171"/>
      <c r="I741" s="171"/>
      <c r="J741" s="425">
        <v>18.1766</v>
      </c>
      <c r="K741" s="182">
        <v>10130.65</v>
      </c>
      <c r="L741" s="36"/>
      <c r="M741" s="36"/>
      <c r="N741" s="36"/>
      <c r="O741" s="36"/>
      <c r="P741" s="36"/>
      <c r="Q741" s="36"/>
      <c r="R741" s="36"/>
      <c r="S741" s="36"/>
      <c r="T741" s="36"/>
      <c r="U741" s="36"/>
      <c r="V741" s="36"/>
      <c r="W741" s="36"/>
      <c r="X741" s="36"/>
      <c r="Y741" s="36"/>
      <c r="Z741" s="36"/>
      <c r="AA741" s="36"/>
      <c r="AB741" s="36"/>
      <c r="AC741" s="36"/>
    </row>
    <row r="742" ht="15.75" customHeight="1">
      <c r="A742" s="423">
        <v>43185.0</v>
      </c>
      <c r="B742" s="424">
        <v>13.3639</v>
      </c>
      <c r="C742" s="425">
        <v>16.3548</v>
      </c>
      <c r="D742" s="171"/>
      <c r="E742" s="425">
        <v>13.3611</v>
      </c>
      <c r="F742" s="425">
        <v>15.8741</v>
      </c>
      <c r="G742" s="425">
        <v>13.054</v>
      </c>
      <c r="H742" s="171"/>
      <c r="I742" s="171"/>
      <c r="J742" s="425">
        <v>18.1766</v>
      </c>
      <c r="K742" s="182">
        <v>10130.65</v>
      </c>
      <c r="L742" s="36"/>
      <c r="M742" s="36"/>
      <c r="N742" s="36"/>
      <c r="O742" s="36"/>
      <c r="P742" s="36"/>
      <c r="Q742" s="36"/>
      <c r="R742" s="36"/>
      <c r="S742" s="36"/>
      <c r="T742" s="36"/>
      <c r="U742" s="36"/>
      <c r="V742" s="36"/>
      <c r="W742" s="36"/>
      <c r="X742" s="36"/>
      <c r="Y742" s="36"/>
      <c r="Z742" s="36"/>
      <c r="AA742" s="36"/>
      <c r="AB742" s="36"/>
      <c r="AC742" s="36"/>
    </row>
    <row r="743" ht="15.75" customHeight="1">
      <c r="A743" s="423">
        <v>43185.0</v>
      </c>
      <c r="B743" s="424">
        <v>13.3639</v>
      </c>
      <c r="C743" s="425">
        <v>16.3524</v>
      </c>
      <c r="D743" s="171"/>
      <c r="E743" s="425">
        <v>13.3611</v>
      </c>
      <c r="F743" s="425">
        <v>15.8741</v>
      </c>
      <c r="G743" s="425">
        <v>13.054</v>
      </c>
      <c r="H743" s="171"/>
      <c r="I743" s="171"/>
      <c r="J743" s="425">
        <v>18.0795</v>
      </c>
      <c r="K743" s="182">
        <v>10130.65</v>
      </c>
      <c r="L743" s="36"/>
      <c r="M743" s="36"/>
      <c r="N743" s="36"/>
      <c r="O743" s="36"/>
      <c r="P743" s="36"/>
      <c r="Q743" s="36"/>
      <c r="R743" s="36"/>
      <c r="S743" s="36"/>
      <c r="T743" s="36"/>
      <c r="U743" s="36"/>
      <c r="V743" s="36"/>
      <c r="W743" s="36"/>
      <c r="X743" s="36"/>
      <c r="Y743" s="36"/>
      <c r="Z743" s="36"/>
      <c r="AA743" s="36"/>
      <c r="AB743" s="36"/>
      <c r="AC743" s="36"/>
    </row>
    <row r="744" ht="15.75" customHeight="1">
      <c r="A744" s="423">
        <v>43185.0</v>
      </c>
      <c r="B744" s="424">
        <v>13.3639</v>
      </c>
      <c r="C744" s="425">
        <v>16.3524</v>
      </c>
      <c r="D744" s="171"/>
      <c r="E744" s="425">
        <v>13.3611</v>
      </c>
      <c r="F744" s="425">
        <v>15.8741</v>
      </c>
      <c r="G744" s="425">
        <v>13.054</v>
      </c>
      <c r="H744" s="171"/>
      <c r="I744" s="171"/>
      <c r="J744" s="425">
        <v>18.0795</v>
      </c>
      <c r="K744" s="182">
        <v>10130.65</v>
      </c>
      <c r="L744" s="36"/>
      <c r="M744" s="36"/>
      <c r="N744" s="36"/>
      <c r="O744" s="36"/>
      <c r="P744" s="36"/>
      <c r="Q744" s="36"/>
      <c r="R744" s="36"/>
      <c r="S744" s="36"/>
      <c r="T744" s="36"/>
      <c r="U744" s="36"/>
      <c r="V744" s="36"/>
      <c r="W744" s="36"/>
      <c r="X744" s="36"/>
      <c r="Y744" s="36"/>
      <c r="Z744" s="36"/>
      <c r="AA744" s="36"/>
      <c r="AB744" s="36"/>
      <c r="AC744" s="36"/>
    </row>
    <row r="745" ht="15.75" customHeight="1">
      <c r="A745" s="423">
        <v>43186.0</v>
      </c>
      <c r="B745" s="424">
        <v>13.4396</v>
      </c>
      <c r="C745" s="425">
        <v>16.3535</v>
      </c>
      <c r="D745" s="171"/>
      <c r="E745" s="425">
        <v>13.5831</v>
      </c>
      <c r="F745" s="425">
        <v>15.968</v>
      </c>
      <c r="G745" s="425">
        <v>13.1043</v>
      </c>
      <c r="H745" s="171"/>
      <c r="I745" s="171"/>
      <c r="J745" s="425">
        <v>18.2018</v>
      </c>
      <c r="K745" s="182">
        <v>10184.15</v>
      </c>
      <c r="L745" s="36"/>
      <c r="M745" s="36"/>
      <c r="N745" s="36"/>
      <c r="O745" s="36"/>
      <c r="P745" s="36"/>
      <c r="Q745" s="36"/>
      <c r="R745" s="36"/>
      <c r="S745" s="36"/>
      <c r="T745" s="36"/>
      <c r="U745" s="36"/>
      <c r="V745" s="36"/>
      <c r="W745" s="36"/>
      <c r="X745" s="36"/>
      <c r="Y745" s="36"/>
      <c r="Z745" s="36"/>
      <c r="AA745" s="36"/>
      <c r="AB745" s="36"/>
      <c r="AC745" s="36"/>
    </row>
    <row r="746" ht="15.75" customHeight="1">
      <c r="A746" s="423">
        <v>43186.0</v>
      </c>
      <c r="B746" s="424">
        <v>13.4396</v>
      </c>
      <c r="C746" s="425">
        <v>16.3535</v>
      </c>
      <c r="D746" s="171"/>
      <c r="E746" s="425">
        <v>13.5831</v>
      </c>
      <c r="F746" s="425">
        <v>15.968</v>
      </c>
      <c r="G746" s="425">
        <v>13.1043</v>
      </c>
      <c r="H746" s="171"/>
      <c r="I746" s="171"/>
      <c r="J746" s="425">
        <v>18.2018</v>
      </c>
      <c r="K746" s="182">
        <v>10184.15</v>
      </c>
      <c r="L746" s="36"/>
      <c r="M746" s="36"/>
      <c r="N746" s="36"/>
      <c r="O746" s="36"/>
      <c r="P746" s="36"/>
      <c r="Q746" s="36"/>
      <c r="R746" s="36"/>
      <c r="S746" s="36"/>
      <c r="T746" s="36"/>
      <c r="U746" s="36"/>
      <c r="V746" s="36"/>
      <c r="W746" s="36"/>
      <c r="X746" s="36"/>
      <c r="Y746" s="36"/>
      <c r="Z746" s="36"/>
      <c r="AA746" s="36"/>
      <c r="AB746" s="36"/>
      <c r="AC746" s="36"/>
    </row>
    <row r="747" ht="15.75" customHeight="1">
      <c r="A747" s="423">
        <v>43186.0</v>
      </c>
      <c r="B747" s="424">
        <v>13.4396</v>
      </c>
      <c r="C747" s="425">
        <v>16.3513</v>
      </c>
      <c r="D747" s="171"/>
      <c r="E747" s="425">
        <v>13.5831</v>
      </c>
      <c r="F747" s="425">
        <v>15.968</v>
      </c>
      <c r="G747" s="425">
        <v>13.1043</v>
      </c>
      <c r="H747" s="171"/>
      <c r="I747" s="171"/>
      <c r="J747" s="425">
        <v>18.2005</v>
      </c>
      <c r="K747" s="182">
        <v>10184.15</v>
      </c>
      <c r="L747" s="36"/>
      <c r="M747" s="36"/>
      <c r="N747" s="36"/>
      <c r="O747" s="36"/>
      <c r="P747" s="36"/>
      <c r="Q747" s="36"/>
      <c r="R747" s="36"/>
      <c r="S747" s="36"/>
      <c r="T747" s="36"/>
      <c r="U747" s="36"/>
      <c r="V747" s="36"/>
      <c r="W747" s="36"/>
      <c r="X747" s="36"/>
      <c r="Y747" s="36"/>
      <c r="Z747" s="36"/>
      <c r="AA747" s="36"/>
      <c r="AB747" s="36"/>
      <c r="AC747" s="36"/>
    </row>
    <row r="748" ht="15.75" customHeight="1">
      <c r="A748" s="423">
        <v>43186.0</v>
      </c>
      <c r="B748" s="424">
        <v>13.4396</v>
      </c>
      <c r="C748" s="425">
        <v>16.3513</v>
      </c>
      <c r="D748" s="171"/>
      <c r="E748" s="425">
        <v>13.5831</v>
      </c>
      <c r="F748" s="425">
        <v>15.968</v>
      </c>
      <c r="G748" s="425">
        <v>13.1043</v>
      </c>
      <c r="H748" s="171"/>
      <c r="I748" s="171"/>
      <c r="J748" s="425">
        <v>18.2005</v>
      </c>
      <c r="K748" s="182">
        <v>10184.15</v>
      </c>
      <c r="L748" s="36"/>
      <c r="M748" s="36"/>
      <c r="N748" s="36"/>
      <c r="O748" s="36"/>
      <c r="P748" s="36"/>
      <c r="Q748" s="36"/>
      <c r="R748" s="36"/>
      <c r="S748" s="36"/>
      <c r="T748" s="36"/>
      <c r="U748" s="36"/>
      <c r="V748" s="36"/>
      <c r="W748" s="36"/>
      <c r="X748" s="36"/>
      <c r="Y748" s="36"/>
      <c r="Z748" s="36"/>
      <c r="AA748" s="36"/>
      <c r="AB748" s="36"/>
      <c r="AC748" s="36"/>
    </row>
    <row r="749" ht="15.75" customHeight="1">
      <c r="A749" s="423">
        <v>43187.0</v>
      </c>
      <c r="B749" s="424">
        <v>13.3569</v>
      </c>
      <c r="C749" s="425">
        <v>16.362</v>
      </c>
      <c r="D749" s="171"/>
      <c r="E749" s="425">
        <v>13.5484</v>
      </c>
      <c r="F749" s="425">
        <v>15.8895</v>
      </c>
      <c r="G749" s="425">
        <v>13.1017</v>
      </c>
      <c r="H749" s="171"/>
      <c r="I749" s="171"/>
      <c r="J749" s="425">
        <v>18.1812</v>
      </c>
      <c r="K749" s="182">
        <v>10113.7</v>
      </c>
      <c r="L749" s="36"/>
      <c r="M749" s="36"/>
      <c r="N749" s="36"/>
      <c r="O749" s="36"/>
      <c r="P749" s="36"/>
      <c r="Q749" s="36"/>
      <c r="R749" s="36"/>
      <c r="S749" s="36"/>
      <c r="T749" s="36"/>
      <c r="U749" s="36"/>
      <c r="V749" s="36"/>
      <c r="W749" s="36"/>
      <c r="X749" s="36"/>
      <c r="Y749" s="36"/>
      <c r="Z749" s="36"/>
      <c r="AA749" s="36"/>
      <c r="AB749" s="36"/>
      <c r="AC749" s="36"/>
    </row>
    <row r="750" ht="15.75" customHeight="1">
      <c r="A750" s="423">
        <v>43187.0</v>
      </c>
      <c r="B750" s="424">
        <v>13.3569</v>
      </c>
      <c r="C750" s="425">
        <v>16.362</v>
      </c>
      <c r="D750" s="171"/>
      <c r="E750" s="425">
        <v>13.5484</v>
      </c>
      <c r="F750" s="425">
        <v>15.8895</v>
      </c>
      <c r="G750" s="425">
        <v>13.1017</v>
      </c>
      <c r="H750" s="171"/>
      <c r="I750" s="171"/>
      <c r="J750" s="425">
        <v>18.1812</v>
      </c>
      <c r="K750" s="182">
        <v>10113.7</v>
      </c>
      <c r="L750" s="36"/>
      <c r="M750" s="36"/>
      <c r="N750" s="36"/>
      <c r="O750" s="36"/>
      <c r="P750" s="36"/>
      <c r="Q750" s="36"/>
      <c r="R750" s="36"/>
      <c r="S750" s="36"/>
      <c r="T750" s="36"/>
      <c r="U750" s="36"/>
      <c r="V750" s="36"/>
      <c r="W750" s="36"/>
      <c r="X750" s="36"/>
      <c r="Y750" s="36"/>
      <c r="Z750" s="36"/>
      <c r="AA750" s="36"/>
      <c r="AB750" s="36"/>
      <c r="AC750" s="36"/>
    </row>
    <row r="751" ht="15.75" customHeight="1">
      <c r="A751" s="423">
        <v>43187.0</v>
      </c>
      <c r="B751" s="424">
        <v>13.3569</v>
      </c>
      <c r="C751" s="425">
        <v>16.3559</v>
      </c>
      <c r="D751" s="171"/>
      <c r="E751" s="425">
        <v>13.5484</v>
      </c>
      <c r="F751" s="425">
        <v>15.8895</v>
      </c>
      <c r="G751" s="425">
        <v>13.1017</v>
      </c>
      <c r="H751" s="171"/>
      <c r="I751" s="171"/>
      <c r="J751" s="425">
        <v>18.1783</v>
      </c>
      <c r="K751" s="182">
        <v>10113.7</v>
      </c>
      <c r="L751" s="36"/>
      <c r="M751" s="36"/>
      <c r="N751" s="36"/>
      <c r="O751" s="36"/>
      <c r="P751" s="36"/>
      <c r="Q751" s="36"/>
      <c r="R751" s="36"/>
      <c r="S751" s="36"/>
      <c r="T751" s="36"/>
      <c r="U751" s="36"/>
      <c r="V751" s="36"/>
      <c r="W751" s="36"/>
      <c r="X751" s="36"/>
      <c r="Y751" s="36"/>
      <c r="Z751" s="36"/>
      <c r="AA751" s="36"/>
      <c r="AB751" s="36"/>
      <c r="AC751" s="36"/>
    </row>
    <row r="752" ht="15.75" customHeight="1">
      <c r="A752" s="423">
        <v>43187.0</v>
      </c>
      <c r="B752" s="424">
        <v>13.3569</v>
      </c>
      <c r="C752" s="425">
        <v>16.3559</v>
      </c>
      <c r="D752" s="171"/>
      <c r="E752" s="425">
        <v>13.5484</v>
      </c>
      <c r="F752" s="425">
        <v>15.8895</v>
      </c>
      <c r="G752" s="425">
        <v>13.1017</v>
      </c>
      <c r="H752" s="171"/>
      <c r="I752" s="171"/>
      <c r="J752" s="425">
        <v>18.1783</v>
      </c>
      <c r="K752" s="182">
        <v>10113.7</v>
      </c>
      <c r="L752" s="36"/>
      <c r="M752" s="36"/>
      <c r="N752" s="36"/>
      <c r="O752" s="36"/>
      <c r="P752" s="36"/>
      <c r="Q752" s="36"/>
      <c r="R752" s="36"/>
      <c r="S752" s="36"/>
      <c r="T752" s="36"/>
      <c r="U752" s="36"/>
      <c r="V752" s="36"/>
      <c r="W752" s="36"/>
      <c r="X752" s="36"/>
      <c r="Y752" s="36"/>
      <c r="Z752" s="36"/>
      <c r="AA752" s="36"/>
      <c r="AB752" s="36"/>
      <c r="AC752" s="36"/>
    </row>
    <row r="753" ht="15.75" customHeight="1">
      <c r="A753" s="423">
        <v>43190.0</v>
      </c>
      <c r="B753" s="424">
        <v>13.3557</v>
      </c>
      <c r="C753" s="425">
        <v>16.361</v>
      </c>
      <c r="D753" s="171"/>
      <c r="E753" s="425">
        <v>13.5533</v>
      </c>
      <c r="F753" s="425">
        <v>15.888</v>
      </c>
      <c r="G753" s="425">
        <v>13.1061</v>
      </c>
      <c r="H753" s="171"/>
      <c r="I753" s="171"/>
      <c r="J753" s="425">
        <v>18.2168</v>
      </c>
      <c r="K753" s="182">
        <v>10113.7</v>
      </c>
      <c r="L753" s="36"/>
      <c r="M753" s="36"/>
      <c r="N753" s="36"/>
      <c r="O753" s="36"/>
      <c r="P753" s="36"/>
      <c r="Q753" s="36"/>
      <c r="R753" s="36"/>
      <c r="S753" s="36"/>
      <c r="T753" s="36"/>
      <c r="U753" s="36"/>
      <c r="V753" s="36"/>
      <c r="W753" s="36"/>
      <c r="X753" s="36"/>
      <c r="Y753" s="36"/>
      <c r="Z753" s="36"/>
      <c r="AA753" s="36"/>
      <c r="AB753" s="36"/>
      <c r="AC753" s="36"/>
    </row>
    <row r="754" ht="15.75" customHeight="1">
      <c r="A754" s="423">
        <v>43190.0</v>
      </c>
      <c r="B754" s="424">
        <v>13.3557</v>
      </c>
      <c r="C754" s="425">
        <v>16.361</v>
      </c>
      <c r="D754" s="171"/>
      <c r="E754" s="425">
        <v>13.5533</v>
      </c>
      <c r="F754" s="425">
        <v>15.888</v>
      </c>
      <c r="G754" s="425">
        <v>13.1061</v>
      </c>
      <c r="H754" s="171"/>
      <c r="I754" s="171"/>
      <c r="J754" s="425">
        <v>18.2168</v>
      </c>
      <c r="K754" s="182">
        <v>10113.7</v>
      </c>
      <c r="L754" s="36"/>
      <c r="M754" s="36"/>
      <c r="N754" s="36"/>
      <c r="O754" s="36"/>
      <c r="P754" s="36"/>
      <c r="Q754" s="36"/>
      <c r="R754" s="36"/>
      <c r="S754" s="36"/>
      <c r="T754" s="36"/>
      <c r="U754" s="36"/>
      <c r="V754" s="36"/>
      <c r="W754" s="36"/>
      <c r="X754" s="36"/>
      <c r="Y754" s="36"/>
      <c r="Z754" s="36"/>
      <c r="AA754" s="36"/>
      <c r="AB754" s="36"/>
      <c r="AC754" s="36"/>
    </row>
    <row r="755" ht="15.75" customHeight="1">
      <c r="A755" s="423">
        <v>43190.0</v>
      </c>
      <c r="B755" s="424">
        <v>13.3557</v>
      </c>
      <c r="C755" s="425">
        <v>16.3634</v>
      </c>
      <c r="D755" s="171"/>
      <c r="E755" s="425">
        <v>13.5533</v>
      </c>
      <c r="F755" s="425">
        <v>15.888</v>
      </c>
      <c r="G755" s="425">
        <v>13.1061</v>
      </c>
      <c r="H755" s="171"/>
      <c r="I755" s="171"/>
      <c r="J755" s="425">
        <v>18.1734</v>
      </c>
      <c r="K755" s="182">
        <v>10113.7</v>
      </c>
      <c r="L755" s="36"/>
      <c r="M755" s="36"/>
      <c r="N755" s="36"/>
      <c r="O755" s="36"/>
      <c r="P755" s="36"/>
      <c r="Q755" s="36"/>
      <c r="R755" s="36"/>
      <c r="S755" s="36"/>
      <c r="T755" s="36"/>
      <c r="U755" s="36"/>
      <c r="V755" s="36"/>
      <c r="W755" s="36"/>
      <c r="X755" s="36"/>
      <c r="Y755" s="36"/>
      <c r="Z755" s="36"/>
      <c r="AA755" s="36"/>
      <c r="AB755" s="36"/>
      <c r="AC755" s="36"/>
    </row>
    <row r="756" ht="15.75" customHeight="1">
      <c r="A756" s="423">
        <v>43190.0</v>
      </c>
      <c r="B756" s="424">
        <v>13.3557</v>
      </c>
      <c r="C756" s="425">
        <v>16.3634</v>
      </c>
      <c r="D756" s="171"/>
      <c r="E756" s="425">
        <v>13.5533</v>
      </c>
      <c r="F756" s="425">
        <v>15.888</v>
      </c>
      <c r="G756" s="425">
        <v>13.1061</v>
      </c>
      <c r="H756" s="171"/>
      <c r="I756" s="171"/>
      <c r="J756" s="425">
        <v>18.1734</v>
      </c>
      <c r="K756" s="182">
        <v>10113.7</v>
      </c>
      <c r="L756" s="36"/>
      <c r="M756" s="36"/>
      <c r="N756" s="36"/>
      <c r="O756" s="36"/>
      <c r="P756" s="36"/>
      <c r="Q756" s="36"/>
      <c r="R756" s="36"/>
      <c r="S756" s="36"/>
      <c r="T756" s="36"/>
      <c r="U756" s="36"/>
      <c r="V756" s="36"/>
      <c r="W756" s="36"/>
      <c r="X756" s="36"/>
      <c r="Y756" s="36"/>
      <c r="Z756" s="36"/>
      <c r="AA756" s="36"/>
      <c r="AB756" s="36"/>
      <c r="AC756" s="36"/>
    </row>
    <row r="757" ht="15.75" customHeight="1">
      <c r="A757" s="423">
        <v>43192.0</v>
      </c>
      <c r="B757" s="424">
        <v>13.472</v>
      </c>
      <c r="C757" s="425">
        <v>16.3715</v>
      </c>
      <c r="D757" s="171"/>
      <c r="E757" s="425">
        <v>13.5577</v>
      </c>
      <c r="F757" s="425">
        <v>16.0146</v>
      </c>
      <c r="G757" s="425">
        <v>13.1096</v>
      </c>
      <c r="H757" s="171"/>
      <c r="I757" s="171"/>
      <c r="J757" s="425">
        <v>18.1543</v>
      </c>
      <c r="K757" s="182">
        <v>10211.8</v>
      </c>
      <c r="L757" s="36"/>
      <c r="M757" s="36"/>
      <c r="N757" s="36"/>
      <c r="O757" s="36"/>
      <c r="P757" s="36"/>
      <c r="Q757" s="36"/>
      <c r="R757" s="36"/>
      <c r="S757" s="36"/>
      <c r="T757" s="36"/>
      <c r="U757" s="36"/>
      <c r="V757" s="36"/>
      <c r="W757" s="36"/>
      <c r="X757" s="36"/>
      <c r="Y757" s="36"/>
      <c r="Z757" s="36"/>
      <c r="AA757" s="36"/>
      <c r="AB757" s="36"/>
      <c r="AC757" s="36"/>
    </row>
    <row r="758" ht="15.75" customHeight="1">
      <c r="A758" s="423">
        <v>43192.0</v>
      </c>
      <c r="B758" s="424">
        <v>13.472</v>
      </c>
      <c r="C758" s="425">
        <v>16.3715</v>
      </c>
      <c r="D758" s="171"/>
      <c r="E758" s="425">
        <v>13.5577</v>
      </c>
      <c r="F758" s="425">
        <v>16.0146</v>
      </c>
      <c r="G758" s="425">
        <v>13.1096</v>
      </c>
      <c r="H758" s="171"/>
      <c r="I758" s="171"/>
      <c r="J758" s="425">
        <v>18.1543</v>
      </c>
      <c r="K758" s="182">
        <v>10211.8</v>
      </c>
      <c r="L758" s="36"/>
      <c r="M758" s="36"/>
      <c r="N758" s="36"/>
      <c r="O758" s="36"/>
      <c r="P758" s="36"/>
      <c r="Q758" s="36"/>
      <c r="R758" s="36"/>
      <c r="S758" s="36"/>
      <c r="T758" s="36"/>
      <c r="U758" s="36"/>
      <c r="V758" s="36"/>
      <c r="W758" s="36"/>
      <c r="X758" s="36"/>
      <c r="Y758" s="36"/>
      <c r="Z758" s="36"/>
      <c r="AA758" s="36"/>
      <c r="AB758" s="36"/>
      <c r="AC758" s="36"/>
    </row>
    <row r="759" ht="15.75" customHeight="1">
      <c r="A759" s="423">
        <v>43192.0</v>
      </c>
      <c r="B759" s="424">
        <v>13.472</v>
      </c>
      <c r="C759" s="425">
        <v>16.3638</v>
      </c>
      <c r="D759" s="171"/>
      <c r="E759" s="425">
        <v>13.5577</v>
      </c>
      <c r="F759" s="425">
        <v>16.0146</v>
      </c>
      <c r="G759" s="425">
        <v>13.1096</v>
      </c>
      <c r="H759" s="171"/>
      <c r="I759" s="171"/>
      <c r="J759" s="425">
        <v>18.1149</v>
      </c>
      <c r="K759" s="182">
        <v>10211.8</v>
      </c>
      <c r="L759" s="36"/>
      <c r="M759" s="36"/>
      <c r="N759" s="36"/>
      <c r="O759" s="36"/>
      <c r="P759" s="36"/>
      <c r="Q759" s="36"/>
      <c r="R759" s="36"/>
      <c r="S759" s="36"/>
      <c r="T759" s="36"/>
      <c r="U759" s="36"/>
      <c r="V759" s="36"/>
      <c r="W759" s="36"/>
      <c r="X759" s="36"/>
      <c r="Y759" s="36"/>
      <c r="Z759" s="36"/>
      <c r="AA759" s="36"/>
      <c r="AB759" s="36"/>
      <c r="AC759" s="36"/>
    </row>
    <row r="760" ht="15.75" customHeight="1">
      <c r="A760" s="423">
        <v>43192.0</v>
      </c>
      <c r="B760" s="424">
        <v>13.472</v>
      </c>
      <c r="C760" s="425">
        <v>16.3638</v>
      </c>
      <c r="D760" s="171"/>
      <c r="E760" s="425">
        <v>13.5577</v>
      </c>
      <c r="F760" s="425">
        <v>16.0146</v>
      </c>
      <c r="G760" s="425">
        <v>13.1096</v>
      </c>
      <c r="H760" s="171"/>
      <c r="I760" s="171"/>
      <c r="J760" s="425">
        <v>18.1149</v>
      </c>
      <c r="K760" s="182">
        <v>10211.8</v>
      </c>
      <c r="L760" s="36"/>
      <c r="M760" s="36"/>
      <c r="N760" s="36"/>
      <c r="O760" s="36"/>
      <c r="P760" s="36"/>
      <c r="Q760" s="36"/>
      <c r="R760" s="36"/>
      <c r="S760" s="36"/>
      <c r="T760" s="36"/>
      <c r="U760" s="36"/>
      <c r="V760" s="36"/>
      <c r="W760" s="36"/>
      <c r="X760" s="36"/>
      <c r="Y760" s="36"/>
      <c r="Z760" s="36"/>
      <c r="AA760" s="36"/>
      <c r="AB760" s="36"/>
      <c r="AC760" s="36"/>
    </row>
    <row r="761" ht="15.75" customHeight="1">
      <c r="A761" s="423">
        <v>43193.0</v>
      </c>
      <c r="B761" s="424">
        <v>13.5124</v>
      </c>
      <c r="C761" s="425">
        <v>16.3764</v>
      </c>
      <c r="D761" s="171"/>
      <c r="E761" s="425">
        <v>13.6033</v>
      </c>
      <c r="F761" s="425">
        <v>16.075</v>
      </c>
      <c r="G761" s="425">
        <v>13.1204</v>
      </c>
      <c r="H761" s="171"/>
      <c r="I761" s="171"/>
      <c r="J761" s="425">
        <v>18.2866</v>
      </c>
      <c r="K761" s="182">
        <v>10245.0</v>
      </c>
      <c r="L761" s="36"/>
      <c r="M761" s="36"/>
      <c r="N761" s="36"/>
      <c r="O761" s="36"/>
      <c r="P761" s="36"/>
      <c r="Q761" s="36"/>
      <c r="R761" s="36"/>
      <c r="S761" s="36"/>
      <c r="T761" s="36"/>
      <c r="U761" s="36"/>
      <c r="V761" s="36"/>
      <c r="W761" s="36"/>
      <c r="X761" s="36"/>
      <c r="Y761" s="36"/>
      <c r="Z761" s="36"/>
      <c r="AA761" s="36"/>
      <c r="AB761" s="36"/>
      <c r="AC761" s="36"/>
    </row>
    <row r="762" ht="15.75" customHeight="1">
      <c r="A762" s="423">
        <v>43193.0</v>
      </c>
      <c r="B762" s="424">
        <v>13.5124</v>
      </c>
      <c r="C762" s="425">
        <v>16.3764</v>
      </c>
      <c r="D762" s="171"/>
      <c r="E762" s="425">
        <v>13.6033</v>
      </c>
      <c r="F762" s="425">
        <v>16.075</v>
      </c>
      <c r="G762" s="425">
        <v>13.1204</v>
      </c>
      <c r="H762" s="171"/>
      <c r="I762" s="171"/>
      <c r="J762" s="425">
        <v>18.2866</v>
      </c>
      <c r="K762" s="182">
        <v>10245.0</v>
      </c>
      <c r="L762" s="36"/>
      <c r="M762" s="36"/>
      <c r="N762" s="36"/>
      <c r="O762" s="36"/>
      <c r="P762" s="36"/>
      <c r="Q762" s="36"/>
      <c r="R762" s="36"/>
      <c r="S762" s="36"/>
      <c r="T762" s="36"/>
      <c r="U762" s="36"/>
      <c r="V762" s="36"/>
      <c r="W762" s="36"/>
      <c r="X762" s="36"/>
      <c r="Y762" s="36"/>
      <c r="Z762" s="36"/>
      <c r="AA762" s="36"/>
      <c r="AB762" s="36"/>
      <c r="AC762" s="36"/>
    </row>
    <row r="763" ht="15.75" customHeight="1">
      <c r="A763" s="423">
        <v>43193.0</v>
      </c>
      <c r="B763" s="424">
        <v>13.5124</v>
      </c>
      <c r="C763" s="425">
        <v>16.3739</v>
      </c>
      <c r="D763" s="171"/>
      <c r="E763" s="425">
        <v>13.6033</v>
      </c>
      <c r="F763" s="425">
        <v>16.075</v>
      </c>
      <c r="G763" s="425">
        <v>13.1204</v>
      </c>
      <c r="H763" s="171"/>
      <c r="I763" s="171"/>
      <c r="J763" s="425">
        <v>18.1904</v>
      </c>
      <c r="K763" s="182">
        <v>10245.0</v>
      </c>
      <c r="L763" s="36"/>
      <c r="M763" s="36"/>
      <c r="N763" s="36"/>
      <c r="O763" s="36"/>
      <c r="P763" s="36"/>
      <c r="Q763" s="36"/>
      <c r="R763" s="36"/>
      <c r="S763" s="36"/>
      <c r="T763" s="36"/>
      <c r="U763" s="36"/>
      <c r="V763" s="36"/>
      <c r="W763" s="36"/>
      <c r="X763" s="36"/>
      <c r="Y763" s="36"/>
      <c r="Z763" s="36"/>
      <c r="AA763" s="36"/>
      <c r="AB763" s="36"/>
      <c r="AC763" s="36"/>
    </row>
    <row r="764" ht="15.75" customHeight="1">
      <c r="A764" s="423">
        <v>43193.0</v>
      </c>
      <c r="B764" s="424">
        <v>13.5124</v>
      </c>
      <c r="C764" s="425">
        <v>16.3739</v>
      </c>
      <c r="D764" s="171"/>
      <c r="E764" s="425">
        <v>13.6033</v>
      </c>
      <c r="F764" s="425">
        <v>16.075</v>
      </c>
      <c r="G764" s="425">
        <v>13.1204</v>
      </c>
      <c r="H764" s="171"/>
      <c r="I764" s="171"/>
      <c r="J764" s="425">
        <v>18.1904</v>
      </c>
      <c r="K764" s="182">
        <v>10245.0</v>
      </c>
      <c r="L764" s="36"/>
      <c r="M764" s="36"/>
      <c r="N764" s="36"/>
      <c r="O764" s="36"/>
      <c r="P764" s="36"/>
      <c r="Q764" s="36"/>
      <c r="R764" s="36"/>
      <c r="S764" s="36"/>
      <c r="T764" s="36"/>
      <c r="U764" s="36"/>
      <c r="V764" s="36"/>
      <c r="W764" s="36"/>
      <c r="X764" s="36"/>
      <c r="Y764" s="36"/>
      <c r="Z764" s="36"/>
      <c r="AA764" s="36"/>
      <c r="AB764" s="36"/>
      <c r="AC764" s="36"/>
    </row>
    <row r="765" ht="15.75" customHeight="1">
      <c r="A765" s="423">
        <v>43194.0</v>
      </c>
      <c r="B765" s="424">
        <v>13.3875</v>
      </c>
      <c r="C765" s="425">
        <v>16.3848</v>
      </c>
      <c r="D765" s="171"/>
      <c r="E765" s="425">
        <v>13.639</v>
      </c>
      <c r="F765" s="425">
        <v>15.9163</v>
      </c>
      <c r="G765" s="425">
        <v>13.1282</v>
      </c>
      <c r="H765" s="171"/>
      <c r="I765" s="171"/>
      <c r="J765" s="425">
        <v>18.289</v>
      </c>
      <c r="K765" s="182">
        <v>10128.4</v>
      </c>
      <c r="L765" s="36"/>
      <c r="M765" s="36"/>
      <c r="N765" s="36"/>
      <c r="O765" s="36"/>
      <c r="P765" s="36"/>
      <c r="Q765" s="36"/>
      <c r="R765" s="36"/>
      <c r="S765" s="36"/>
      <c r="T765" s="36"/>
      <c r="U765" s="36"/>
      <c r="V765" s="36"/>
      <c r="W765" s="36"/>
      <c r="X765" s="36"/>
      <c r="Y765" s="36"/>
      <c r="Z765" s="36"/>
      <c r="AA765" s="36"/>
      <c r="AB765" s="36"/>
      <c r="AC765" s="36"/>
    </row>
    <row r="766" ht="15.75" customHeight="1">
      <c r="A766" s="423">
        <v>43194.0</v>
      </c>
      <c r="B766" s="424">
        <v>13.3875</v>
      </c>
      <c r="C766" s="425">
        <v>16.3848</v>
      </c>
      <c r="D766" s="171"/>
      <c r="E766" s="425">
        <v>13.639</v>
      </c>
      <c r="F766" s="425">
        <v>15.9163</v>
      </c>
      <c r="G766" s="425">
        <v>13.1282</v>
      </c>
      <c r="H766" s="171"/>
      <c r="I766" s="171"/>
      <c r="J766" s="425">
        <v>18.289</v>
      </c>
      <c r="K766" s="182">
        <v>10128.4</v>
      </c>
      <c r="L766" s="36"/>
      <c r="M766" s="36"/>
      <c r="N766" s="36"/>
      <c r="O766" s="36"/>
      <c r="P766" s="36"/>
      <c r="Q766" s="36"/>
      <c r="R766" s="36"/>
      <c r="S766" s="36"/>
      <c r="T766" s="36"/>
      <c r="U766" s="36"/>
      <c r="V766" s="36"/>
      <c r="W766" s="36"/>
      <c r="X766" s="36"/>
      <c r="Y766" s="36"/>
      <c r="Z766" s="36"/>
      <c r="AA766" s="36"/>
      <c r="AB766" s="36"/>
      <c r="AC766" s="36"/>
    </row>
    <row r="767" ht="15.75" customHeight="1">
      <c r="A767" s="423">
        <v>43194.0</v>
      </c>
      <c r="B767" s="424">
        <v>13.3875</v>
      </c>
      <c r="C767" s="425">
        <v>16.3792</v>
      </c>
      <c r="D767" s="171"/>
      <c r="E767" s="425">
        <v>13.639</v>
      </c>
      <c r="F767" s="425">
        <v>15.9163</v>
      </c>
      <c r="G767" s="425">
        <v>13.1282</v>
      </c>
      <c r="H767" s="171"/>
      <c r="I767" s="171"/>
      <c r="J767" s="425">
        <v>18.3225</v>
      </c>
      <c r="K767" s="182">
        <v>10128.4</v>
      </c>
      <c r="L767" s="36"/>
      <c r="M767" s="36"/>
      <c r="N767" s="36"/>
      <c r="O767" s="36"/>
      <c r="P767" s="36"/>
      <c r="Q767" s="36"/>
      <c r="R767" s="36"/>
      <c r="S767" s="36"/>
      <c r="T767" s="36"/>
      <c r="U767" s="36"/>
      <c r="V767" s="36"/>
      <c r="W767" s="36"/>
      <c r="X767" s="36"/>
      <c r="Y767" s="36"/>
      <c r="Z767" s="36"/>
      <c r="AA767" s="36"/>
      <c r="AB767" s="36"/>
      <c r="AC767" s="36"/>
    </row>
    <row r="768" ht="15.75" customHeight="1">
      <c r="A768" s="423">
        <v>43194.0</v>
      </c>
      <c r="B768" s="424">
        <v>13.3875</v>
      </c>
      <c r="C768" s="425">
        <v>16.3792</v>
      </c>
      <c r="D768" s="171"/>
      <c r="E768" s="425">
        <v>13.639</v>
      </c>
      <c r="F768" s="425">
        <v>15.9163</v>
      </c>
      <c r="G768" s="425">
        <v>13.1282</v>
      </c>
      <c r="H768" s="171"/>
      <c r="I768" s="171"/>
      <c r="J768" s="425">
        <v>18.3225</v>
      </c>
      <c r="K768" s="182">
        <v>10128.4</v>
      </c>
      <c r="L768" s="36"/>
      <c r="M768" s="36"/>
      <c r="N768" s="36"/>
      <c r="O768" s="36"/>
      <c r="P768" s="36"/>
      <c r="Q768" s="36"/>
      <c r="R768" s="36"/>
      <c r="S768" s="36"/>
      <c r="T768" s="36"/>
      <c r="U768" s="36"/>
      <c r="V768" s="36"/>
      <c r="W768" s="36"/>
      <c r="X768" s="36"/>
      <c r="Y768" s="36"/>
      <c r="Z768" s="36"/>
      <c r="AA768" s="36"/>
      <c r="AB768" s="36"/>
      <c r="AC768" s="36"/>
    </row>
    <row r="769" ht="15.75" customHeight="1">
      <c r="A769" s="423">
        <v>43195.0</v>
      </c>
      <c r="B769" s="424">
        <v>13.6149</v>
      </c>
      <c r="C769" s="425">
        <v>16.404</v>
      </c>
      <c r="D769" s="171"/>
      <c r="E769" s="425">
        <v>13.7651</v>
      </c>
      <c r="F769" s="425">
        <v>16.1781</v>
      </c>
      <c r="G769" s="425">
        <v>13.1565</v>
      </c>
      <c r="H769" s="171"/>
      <c r="I769" s="171"/>
      <c r="J769" s="425">
        <v>18.4475</v>
      </c>
      <c r="K769" s="182">
        <v>10325.15</v>
      </c>
      <c r="L769" s="36"/>
      <c r="M769" s="36"/>
      <c r="N769" s="36"/>
      <c r="O769" s="36"/>
      <c r="P769" s="36"/>
      <c r="Q769" s="36"/>
      <c r="R769" s="36"/>
      <c r="S769" s="36"/>
      <c r="T769" s="36"/>
      <c r="U769" s="36"/>
      <c r="V769" s="36"/>
      <c r="W769" s="36"/>
      <c r="X769" s="36"/>
      <c r="Y769" s="36"/>
      <c r="Z769" s="36"/>
      <c r="AA769" s="36"/>
      <c r="AB769" s="36"/>
      <c r="AC769" s="36"/>
    </row>
    <row r="770" ht="15.75" customHeight="1">
      <c r="A770" s="423">
        <v>43195.0</v>
      </c>
      <c r="B770" s="424">
        <v>13.6149</v>
      </c>
      <c r="C770" s="425">
        <v>16.404</v>
      </c>
      <c r="D770" s="171"/>
      <c r="E770" s="425">
        <v>13.7651</v>
      </c>
      <c r="F770" s="425">
        <v>16.1781</v>
      </c>
      <c r="G770" s="425">
        <v>13.1565</v>
      </c>
      <c r="H770" s="171"/>
      <c r="I770" s="171"/>
      <c r="J770" s="425">
        <v>18.4475</v>
      </c>
      <c r="K770" s="182">
        <v>10325.15</v>
      </c>
      <c r="L770" s="36"/>
      <c r="M770" s="36"/>
      <c r="N770" s="36"/>
      <c r="O770" s="36"/>
      <c r="P770" s="36"/>
      <c r="Q770" s="36"/>
      <c r="R770" s="36"/>
      <c r="S770" s="36"/>
      <c r="T770" s="36"/>
      <c r="U770" s="36"/>
      <c r="V770" s="36"/>
      <c r="W770" s="36"/>
      <c r="X770" s="36"/>
      <c r="Y770" s="36"/>
      <c r="Z770" s="36"/>
      <c r="AA770" s="36"/>
      <c r="AB770" s="36"/>
      <c r="AC770" s="36"/>
    </row>
    <row r="771" ht="15.75" customHeight="1">
      <c r="A771" s="423">
        <v>43195.0</v>
      </c>
      <c r="B771" s="424">
        <v>13.6149</v>
      </c>
      <c r="C771" s="425">
        <v>16.4015</v>
      </c>
      <c r="D771" s="171"/>
      <c r="E771" s="425">
        <v>13.7651</v>
      </c>
      <c r="F771" s="425">
        <v>16.1781</v>
      </c>
      <c r="G771" s="425">
        <v>13.1565</v>
      </c>
      <c r="H771" s="171"/>
      <c r="I771" s="171"/>
      <c r="J771" s="425">
        <v>18.3814</v>
      </c>
      <c r="K771" s="182">
        <v>10325.15</v>
      </c>
      <c r="L771" s="36"/>
      <c r="M771" s="36"/>
      <c r="N771" s="36"/>
      <c r="O771" s="36"/>
      <c r="P771" s="36"/>
      <c r="Q771" s="36"/>
      <c r="R771" s="36"/>
      <c r="S771" s="36"/>
      <c r="T771" s="36"/>
      <c r="U771" s="36"/>
      <c r="V771" s="36"/>
      <c r="W771" s="36"/>
      <c r="X771" s="36"/>
      <c r="Y771" s="36"/>
      <c r="Z771" s="36"/>
      <c r="AA771" s="36"/>
      <c r="AB771" s="36"/>
      <c r="AC771" s="36"/>
    </row>
    <row r="772" ht="15.75" customHeight="1">
      <c r="A772" s="423">
        <v>43195.0</v>
      </c>
      <c r="B772" s="424">
        <v>13.6149</v>
      </c>
      <c r="C772" s="425">
        <v>16.4015</v>
      </c>
      <c r="D772" s="171"/>
      <c r="E772" s="425">
        <v>13.7651</v>
      </c>
      <c r="F772" s="425">
        <v>16.1781</v>
      </c>
      <c r="G772" s="425">
        <v>13.1565</v>
      </c>
      <c r="H772" s="171"/>
      <c r="I772" s="171"/>
      <c r="J772" s="425">
        <v>18.3814</v>
      </c>
      <c r="K772" s="182">
        <v>10325.15</v>
      </c>
      <c r="L772" s="36"/>
      <c r="M772" s="36"/>
      <c r="N772" s="36"/>
      <c r="O772" s="36"/>
      <c r="P772" s="36"/>
      <c r="Q772" s="36"/>
      <c r="R772" s="36"/>
      <c r="S772" s="36"/>
      <c r="T772" s="36"/>
      <c r="U772" s="36"/>
      <c r="V772" s="36"/>
      <c r="W772" s="36"/>
      <c r="X772" s="36"/>
      <c r="Y772" s="36"/>
      <c r="Z772" s="36"/>
      <c r="AA772" s="36"/>
      <c r="AB772" s="36"/>
      <c r="AC772" s="36"/>
    </row>
    <row r="773" ht="15.75" customHeight="1">
      <c r="A773" s="423">
        <v>43196.0</v>
      </c>
      <c r="B773" s="424">
        <v>13.6199</v>
      </c>
      <c r="C773" s="425">
        <v>16.4081</v>
      </c>
      <c r="D773" s="171"/>
      <c r="E773" s="425">
        <v>13.7274</v>
      </c>
      <c r="F773" s="425">
        <v>16.199</v>
      </c>
      <c r="G773" s="425">
        <v>13.1512</v>
      </c>
      <c r="H773" s="171"/>
      <c r="I773" s="171"/>
      <c r="J773" s="425">
        <v>18.289</v>
      </c>
      <c r="K773" s="182">
        <v>10331.6</v>
      </c>
      <c r="L773" s="36"/>
      <c r="M773" s="36"/>
      <c r="N773" s="36"/>
      <c r="O773" s="36"/>
      <c r="P773" s="36"/>
      <c r="Q773" s="36"/>
      <c r="R773" s="36"/>
      <c r="S773" s="36"/>
      <c r="T773" s="36"/>
      <c r="U773" s="36"/>
      <c r="V773" s="36"/>
      <c r="W773" s="36"/>
      <c r="X773" s="36"/>
      <c r="Y773" s="36"/>
      <c r="Z773" s="36"/>
      <c r="AA773" s="36"/>
      <c r="AB773" s="36"/>
      <c r="AC773" s="36"/>
    </row>
    <row r="774" ht="15.75" customHeight="1">
      <c r="A774" s="423">
        <v>43196.0</v>
      </c>
      <c r="B774" s="424">
        <v>13.6199</v>
      </c>
      <c r="C774" s="425">
        <v>16.4081</v>
      </c>
      <c r="D774" s="171"/>
      <c r="E774" s="425">
        <v>13.7274</v>
      </c>
      <c r="F774" s="425">
        <v>16.199</v>
      </c>
      <c r="G774" s="425">
        <v>13.1512</v>
      </c>
      <c r="H774" s="171"/>
      <c r="I774" s="171"/>
      <c r="J774" s="425">
        <v>18.289</v>
      </c>
      <c r="K774" s="182">
        <v>10331.6</v>
      </c>
      <c r="L774" s="36"/>
      <c r="M774" s="36"/>
      <c r="N774" s="36"/>
      <c r="O774" s="36"/>
      <c r="P774" s="36"/>
      <c r="Q774" s="36"/>
      <c r="R774" s="36"/>
      <c r="S774" s="36"/>
      <c r="T774" s="36"/>
      <c r="U774" s="36"/>
      <c r="V774" s="36"/>
      <c r="W774" s="36"/>
      <c r="X774" s="36"/>
      <c r="Y774" s="36"/>
      <c r="Z774" s="36"/>
      <c r="AA774" s="36"/>
      <c r="AB774" s="36"/>
      <c r="AC774" s="36"/>
    </row>
    <row r="775" ht="15.75" customHeight="1">
      <c r="A775" s="423">
        <v>43196.0</v>
      </c>
      <c r="B775" s="424">
        <v>13.6199</v>
      </c>
      <c r="C775" s="425">
        <v>16.4057</v>
      </c>
      <c r="D775" s="171"/>
      <c r="E775" s="425">
        <v>13.7274</v>
      </c>
      <c r="F775" s="425">
        <v>16.199</v>
      </c>
      <c r="G775" s="425">
        <v>13.1512</v>
      </c>
      <c r="H775" s="171"/>
      <c r="I775" s="171"/>
      <c r="J775" s="425">
        <v>18.4365</v>
      </c>
      <c r="K775" s="182">
        <v>10331.6</v>
      </c>
      <c r="L775" s="36"/>
      <c r="M775" s="36"/>
      <c r="N775" s="36"/>
      <c r="O775" s="36"/>
      <c r="P775" s="36"/>
      <c r="Q775" s="36"/>
      <c r="R775" s="36"/>
      <c r="S775" s="36"/>
      <c r="T775" s="36"/>
      <c r="U775" s="36"/>
      <c r="V775" s="36"/>
      <c r="W775" s="36"/>
      <c r="X775" s="36"/>
      <c r="Y775" s="36"/>
      <c r="Z775" s="36"/>
      <c r="AA775" s="36"/>
      <c r="AB775" s="36"/>
      <c r="AC775" s="36"/>
    </row>
    <row r="776" ht="15.75" customHeight="1">
      <c r="A776" s="423">
        <v>43196.0</v>
      </c>
      <c r="B776" s="424">
        <v>13.6199</v>
      </c>
      <c r="C776" s="425">
        <v>16.4057</v>
      </c>
      <c r="D776" s="171"/>
      <c r="E776" s="425">
        <v>13.7274</v>
      </c>
      <c r="F776" s="425">
        <v>16.199</v>
      </c>
      <c r="G776" s="425">
        <v>13.1512</v>
      </c>
      <c r="H776" s="171"/>
      <c r="I776" s="171"/>
      <c r="J776" s="425">
        <v>18.4365</v>
      </c>
      <c r="K776" s="182">
        <v>10331.6</v>
      </c>
      <c r="L776" s="36"/>
      <c r="M776" s="36"/>
      <c r="N776" s="36"/>
      <c r="O776" s="36"/>
      <c r="P776" s="36"/>
      <c r="Q776" s="36"/>
      <c r="R776" s="36"/>
      <c r="S776" s="36"/>
      <c r="T776" s="36"/>
      <c r="U776" s="36"/>
      <c r="V776" s="36"/>
      <c r="W776" s="36"/>
      <c r="X776" s="36"/>
      <c r="Y776" s="36"/>
      <c r="Z776" s="36"/>
      <c r="AA776" s="36"/>
      <c r="AB776" s="36"/>
      <c r="AC776" s="36"/>
    </row>
    <row r="777" ht="15.75" customHeight="1">
      <c r="A777" s="423">
        <v>43199.0</v>
      </c>
      <c r="B777" s="424">
        <v>13.6765</v>
      </c>
      <c r="C777" s="425">
        <v>16.4202</v>
      </c>
      <c r="D777" s="171"/>
      <c r="E777" s="425">
        <v>13.6837</v>
      </c>
      <c r="F777" s="425">
        <v>16.2573</v>
      </c>
      <c r="G777" s="425">
        <v>13.1482</v>
      </c>
      <c r="H777" s="171"/>
      <c r="I777" s="171"/>
      <c r="J777" s="425">
        <v>18.2651</v>
      </c>
      <c r="K777" s="182">
        <v>10379.35</v>
      </c>
      <c r="L777" s="36"/>
      <c r="M777" s="36"/>
      <c r="N777" s="36"/>
      <c r="O777" s="36"/>
      <c r="P777" s="36"/>
      <c r="Q777" s="36"/>
      <c r="R777" s="36"/>
      <c r="S777" s="36"/>
      <c r="T777" s="36"/>
      <c r="U777" s="36"/>
      <c r="V777" s="36"/>
      <c r="W777" s="36"/>
      <c r="X777" s="36"/>
      <c r="Y777" s="36"/>
      <c r="Z777" s="36"/>
      <c r="AA777" s="36"/>
      <c r="AB777" s="36"/>
      <c r="AC777" s="36"/>
    </row>
    <row r="778" ht="15.75" customHeight="1">
      <c r="A778" s="423">
        <v>43199.0</v>
      </c>
      <c r="B778" s="424">
        <v>13.6765</v>
      </c>
      <c r="C778" s="425">
        <v>16.4202</v>
      </c>
      <c r="D778" s="171"/>
      <c r="E778" s="425">
        <v>13.6837</v>
      </c>
      <c r="F778" s="425">
        <v>16.2573</v>
      </c>
      <c r="G778" s="425">
        <v>13.1482</v>
      </c>
      <c r="H778" s="171"/>
      <c r="I778" s="171"/>
      <c r="J778" s="425">
        <v>18.2651</v>
      </c>
      <c r="K778" s="182">
        <v>10379.35</v>
      </c>
      <c r="L778" s="36"/>
      <c r="M778" s="36"/>
      <c r="N778" s="36"/>
      <c r="O778" s="36"/>
      <c r="P778" s="36"/>
      <c r="Q778" s="36"/>
      <c r="R778" s="36"/>
      <c r="S778" s="36"/>
      <c r="T778" s="36"/>
      <c r="U778" s="36"/>
      <c r="V778" s="36"/>
      <c r="W778" s="36"/>
      <c r="X778" s="36"/>
      <c r="Y778" s="36"/>
      <c r="Z778" s="36"/>
      <c r="AA778" s="36"/>
      <c r="AB778" s="36"/>
      <c r="AC778" s="36"/>
    </row>
    <row r="779" ht="15.75" customHeight="1">
      <c r="A779" s="423">
        <v>43199.0</v>
      </c>
      <c r="B779" s="424">
        <v>13.6765</v>
      </c>
      <c r="C779" s="425">
        <v>16.4105</v>
      </c>
      <c r="D779" s="171"/>
      <c r="E779" s="425">
        <v>13.6837</v>
      </c>
      <c r="F779" s="425">
        <v>16.2573</v>
      </c>
      <c r="G779" s="425">
        <v>13.1482</v>
      </c>
      <c r="H779" s="171"/>
      <c r="I779" s="171"/>
      <c r="J779" s="425">
        <v>18.2531</v>
      </c>
      <c r="K779" s="182">
        <v>10379.35</v>
      </c>
      <c r="L779" s="36"/>
      <c r="M779" s="36"/>
      <c r="N779" s="36"/>
      <c r="O779" s="36"/>
      <c r="P779" s="36"/>
      <c r="Q779" s="36"/>
      <c r="R779" s="36"/>
      <c r="S779" s="36"/>
      <c r="T779" s="36"/>
      <c r="U779" s="36"/>
      <c r="V779" s="36"/>
      <c r="W779" s="36"/>
      <c r="X779" s="36"/>
      <c r="Y779" s="36"/>
      <c r="Z779" s="36"/>
      <c r="AA779" s="36"/>
      <c r="AB779" s="36"/>
      <c r="AC779" s="36"/>
    </row>
    <row r="780" ht="15.75" customHeight="1">
      <c r="A780" s="423">
        <v>43199.0</v>
      </c>
      <c r="B780" s="424">
        <v>13.6765</v>
      </c>
      <c r="C780" s="425">
        <v>16.4105</v>
      </c>
      <c r="D780" s="171"/>
      <c r="E780" s="425">
        <v>13.6837</v>
      </c>
      <c r="F780" s="425">
        <v>16.2573</v>
      </c>
      <c r="G780" s="425">
        <v>13.1482</v>
      </c>
      <c r="H780" s="171"/>
      <c r="I780" s="171"/>
      <c r="J780" s="425">
        <v>18.2531</v>
      </c>
      <c r="K780" s="182">
        <v>10379.35</v>
      </c>
      <c r="L780" s="36"/>
      <c r="M780" s="36"/>
      <c r="N780" s="36"/>
      <c r="O780" s="36"/>
      <c r="P780" s="36"/>
      <c r="Q780" s="36"/>
      <c r="R780" s="36"/>
      <c r="S780" s="36"/>
      <c r="T780" s="36"/>
      <c r="U780" s="36"/>
      <c r="V780" s="36"/>
      <c r="W780" s="36"/>
      <c r="X780" s="36"/>
      <c r="Y780" s="36"/>
      <c r="Z780" s="36"/>
      <c r="AA780" s="36"/>
      <c r="AB780" s="36"/>
      <c r="AC780" s="36"/>
    </row>
    <row r="781" ht="15.75" customHeight="1">
      <c r="A781" s="423">
        <v>43200.0</v>
      </c>
      <c r="B781" s="424">
        <v>13.7138</v>
      </c>
      <c r="C781" s="425">
        <v>16.4249</v>
      </c>
      <c r="D781" s="171"/>
      <c r="E781" s="425">
        <v>13.5629</v>
      </c>
      <c r="F781" s="425">
        <v>16.2756</v>
      </c>
      <c r="G781" s="425">
        <v>13.1281</v>
      </c>
      <c r="H781" s="171"/>
      <c r="I781" s="171"/>
      <c r="J781" s="425">
        <v>18.1099</v>
      </c>
      <c r="K781" s="182">
        <v>10402.25</v>
      </c>
      <c r="L781" s="36"/>
      <c r="M781" s="36"/>
      <c r="N781" s="36"/>
      <c r="O781" s="36"/>
      <c r="P781" s="36"/>
      <c r="Q781" s="36"/>
      <c r="R781" s="36"/>
      <c r="S781" s="36"/>
      <c r="T781" s="36"/>
      <c r="U781" s="36"/>
      <c r="V781" s="36"/>
      <c r="W781" s="36"/>
      <c r="X781" s="36"/>
      <c r="Y781" s="36"/>
      <c r="Z781" s="36"/>
      <c r="AA781" s="36"/>
      <c r="AB781" s="36"/>
      <c r="AC781" s="36"/>
    </row>
    <row r="782" ht="15.75" customHeight="1">
      <c r="A782" s="423">
        <v>43200.0</v>
      </c>
      <c r="B782" s="424">
        <v>13.7138</v>
      </c>
      <c r="C782" s="425">
        <v>16.4249</v>
      </c>
      <c r="D782" s="171"/>
      <c r="E782" s="425">
        <v>13.5629</v>
      </c>
      <c r="F782" s="425">
        <v>16.2756</v>
      </c>
      <c r="G782" s="425">
        <v>13.1281</v>
      </c>
      <c r="H782" s="171"/>
      <c r="I782" s="171"/>
      <c r="J782" s="425">
        <v>18.1099</v>
      </c>
      <c r="K782" s="182">
        <v>10402.25</v>
      </c>
      <c r="L782" s="36"/>
      <c r="M782" s="36"/>
      <c r="N782" s="36"/>
      <c r="O782" s="36"/>
      <c r="P782" s="36"/>
      <c r="Q782" s="36"/>
      <c r="R782" s="36"/>
      <c r="S782" s="36"/>
      <c r="T782" s="36"/>
      <c r="U782" s="36"/>
      <c r="V782" s="36"/>
      <c r="W782" s="36"/>
      <c r="X782" s="36"/>
      <c r="Y782" s="36"/>
      <c r="Z782" s="36"/>
      <c r="AA782" s="36"/>
      <c r="AB782" s="36"/>
      <c r="AC782" s="36"/>
    </row>
    <row r="783" ht="15.75" customHeight="1">
      <c r="A783" s="423">
        <v>43200.0</v>
      </c>
      <c r="B783" s="424">
        <v>13.7138</v>
      </c>
      <c r="C783" s="425">
        <v>16.4224</v>
      </c>
      <c r="D783" s="171"/>
      <c r="E783" s="425">
        <v>13.5629</v>
      </c>
      <c r="F783" s="425">
        <v>16.2756</v>
      </c>
      <c r="G783" s="425">
        <v>13.1281</v>
      </c>
      <c r="H783" s="171"/>
      <c r="I783" s="171"/>
      <c r="J783" s="425">
        <v>18.1769</v>
      </c>
      <c r="K783" s="182">
        <v>10402.25</v>
      </c>
      <c r="L783" s="36"/>
      <c r="M783" s="36"/>
      <c r="N783" s="36"/>
      <c r="O783" s="36"/>
      <c r="P783" s="36"/>
      <c r="Q783" s="36"/>
      <c r="R783" s="36"/>
      <c r="S783" s="36"/>
      <c r="T783" s="36"/>
      <c r="U783" s="36"/>
      <c r="V783" s="36"/>
      <c r="W783" s="36"/>
      <c r="X783" s="36"/>
      <c r="Y783" s="36"/>
      <c r="Z783" s="36"/>
      <c r="AA783" s="36"/>
      <c r="AB783" s="36"/>
      <c r="AC783" s="36"/>
    </row>
    <row r="784" ht="15.75" customHeight="1">
      <c r="A784" s="423">
        <v>43200.0</v>
      </c>
      <c r="B784" s="424">
        <v>13.7138</v>
      </c>
      <c r="C784" s="425">
        <v>16.4224</v>
      </c>
      <c r="D784" s="171"/>
      <c r="E784" s="425">
        <v>13.5629</v>
      </c>
      <c r="F784" s="425">
        <v>16.2756</v>
      </c>
      <c r="G784" s="425">
        <v>13.1281</v>
      </c>
      <c r="H784" s="171"/>
      <c r="I784" s="171"/>
      <c r="J784" s="425">
        <v>18.1769</v>
      </c>
      <c r="K784" s="182">
        <v>10402.25</v>
      </c>
      <c r="L784" s="36"/>
      <c r="M784" s="36"/>
      <c r="N784" s="36"/>
      <c r="O784" s="36"/>
      <c r="P784" s="36"/>
      <c r="Q784" s="36"/>
      <c r="R784" s="36"/>
      <c r="S784" s="36"/>
      <c r="T784" s="36"/>
      <c r="U784" s="36"/>
      <c r="V784" s="36"/>
      <c r="W784" s="36"/>
      <c r="X784" s="36"/>
      <c r="Y784" s="36"/>
      <c r="Z784" s="36"/>
      <c r="AA784" s="36"/>
      <c r="AB784" s="36"/>
      <c r="AC784" s="36"/>
    </row>
    <row r="785" ht="15.75" customHeight="1">
      <c r="A785" s="423">
        <v>43201.0</v>
      </c>
      <c r="B785" s="424">
        <v>13.737</v>
      </c>
      <c r="C785" s="425">
        <v>16.4366</v>
      </c>
      <c r="D785" s="171"/>
      <c r="E785" s="425">
        <v>13.453</v>
      </c>
      <c r="F785" s="425">
        <v>16.2954</v>
      </c>
      <c r="G785" s="425">
        <v>13.1073</v>
      </c>
      <c r="H785" s="171"/>
      <c r="I785" s="171"/>
      <c r="J785" s="425">
        <v>18.4975</v>
      </c>
      <c r="K785" s="182">
        <v>10417.15</v>
      </c>
      <c r="L785" s="36"/>
      <c r="M785" s="36"/>
      <c r="N785" s="36"/>
      <c r="O785" s="36"/>
      <c r="P785" s="36"/>
      <c r="Q785" s="36"/>
      <c r="R785" s="36"/>
      <c r="S785" s="36"/>
      <c r="T785" s="36"/>
      <c r="U785" s="36"/>
      <c r="V785" s="36"/>
      <c r="W785" s="36"/>
      <c r="X785" s="36"/>
      <c r="Y785" s="36"/>
      <c r="Z785" s="36"/>
      <c r="AA785" s="36"/>
      <c r="AB785" s="36"/>
      <c r="AC785" s="36"/>
    </row>
    <row r="786" ht="15.75" customHeight="1">
      <c r="A786" s="423">
        <v>43201.0</v>
      </c>
      <c r="B786" s="424">
        <v>13.737</v>
      </c>
      <c r="C786" s="425">
        <v>16.4366</v>
      </c>
      <c r="D786" s="171"/>
      <c r="E786" s="425">
        <v>13.453</v>
      </c>
      <c r="F786" s="425">
        <v>16.2954</v>
      </c>
      <c r="G786" s="425">
        <v>13.1073</v>
      </c>
      <c r="H786" s="171"/>
      <c r="I786" s="171"/>
      <c r="J786" s="425">
        <v>18.4975</v>
      </c>
      <c r="K786" s="182">
        <v>10417.15</v>
      </c>
      <c r="L786" s="36"/>
      <c r="M786" s="36"/>
      <c r="N786" s="36"/>
      <c r="O786" s="36"/>
      <c r="P786" s="36"/>
      <c r="Q786" s="36"/>
      <c r="R786" s="36"/>
      <c r="S786" s="36"/>
      <c r="T786" s="36"/>
      <c r="U786" s="36"/>
      <c r="V786" s="36"/>
      <c r="W786" s="36"/>
      <c r="X786" s="36"/>
      <c r="Y786" s="36"/>
      <c r="Z786" s="36"/>
      <c r="AA786" s="36"/>
      <c r="AB786" s="36"/>
      <c r="AC786" s="36"/>
    </row>
    <row r="787" ht="15.75" customHeight="1">
      <c r="A787" s="423">
        <v>43201.0</v>
      </c>
      <c r="B787" s="424">
        <v>13.737</v>
      </c>
      <c r="C787" s="425">
        <v>16.4308</v>
      </c>
      <c r="D787" s="171"/>
      <c r="E787" s="425">
        <v>13.453</v>
      </c>
      <c r="F787" s="425">
        <v>16.2954</v>
      </c>
      <c r="G787" s="425">
        <v>13.1073</v>
      </c>
      <c r="H787" s="171"/>
      <c r="I787" s="171"/>
      <c r="J787" s="425">
        <v>18.3265</v>
      </c>
      <c r="K787" s="182">
        <v>10417.15</v>
      </c>
      <c r="L787" s="36"/>
      <c r="M787" s="36"/>
      <c r="N787" s="36"/>
      <c r="O787" s="36"/>
      <c r="P787" s="36"/>
      <c r="Q787" s="36"/>
      <c r="R787" s="36"/>
      <c r="S787" s="36"/>
      <c r="T787" s="36"/>
      <c r="U787" s="36"/>
      <c r="V787" s="36"/>
      <c r="W787" s="36"/>
      <c r="X787" s="36"/>
      <c r="Y787" s="36"/>
      <c r="Z787" s="36"/>
      <c r="AA787" s="36"/>
      <c r="AB787" s="36"/>
      <c r="AC787" s="36"/>
    </row>
    <row r="788" ht="15.75" customHeight="1">
      <c r="A788" s="423">
        <v>43201.0</v>
      </c>
      <c r="B788" s="424">
        <v>13.737</v>
      </c>
      <c r="C788" s="425">
        <v>16.4308</v>
      </c>
      <c r="D788" s="171"/>
      <c r="E788" s="425">
        <v>13.453</v>
      </c>
      <c r="F788" s="425">
        <v>16.2954</v>
      </c>
      <c r="G788" s="425">
        <v>13.1073</v>
      </c>
      <c r="H788" s="171"/>
      <c r="I788" s="171"/>
      <c r="J788" s="425">
        <v>18.3265</v>
      </c>
      <c r="K788" s="182">
        <v>10417.15</v>
      </c>
      <c r="L788" s="36"/>
      <c r="M788" s="36"/>
      <c r="N788" s="36"/>
      <c r="O788" s="36"/>
      <c r="P788" s="36"/>
      <c r="Q788" s="36"/>
      <c r="R788" s="36"/>
      <c r="S788" s="36"/>
      <c r="T788" s="36"/>
      <c r="U788" s="36"/>
      <c r="V788" s="36"/>
      <c r="W788" s="36"/>
      <c r="X788" s="36"/>
      <c r="Y788" s="36"/>
      <c r="Z788" s="36"/>
      <c r="AA788" s="36"/>
      <c r="AB788" s="36"/>
      <c r="AC788" s="36"/>
    </row>
    <row r="789" ht="15.75" customHeight="1">
      <c r="A789" s="423">
        <v>43202.0</v>
      </c>
      <c r="B789" s="424">
        <v>13.7567</v>
      </c>
      <c r="C789" s="425">
        <v>16.446</v>
      </c>
      <c r="D789" s="171"/>
      <c r="E789" s="425">
        <v>13.4916</v>
      </c>
      <c r="F789" s="425">
        <v>16.3192</v>
      </c>
      <c r="G789" s="425">
        <v>13.1168</v>
      </c>
      <c r="H789" s="171"/>
      <c r="I789" s="171"/>
      <c r="J789" s="425">
        <v>18.507</v>
      </c>
      <c r="K789" s="182">
        <v>10458.65</v>
      </c>
      <c r="L789" s="36"/>
      <c r="M789" s="36"/>
      <c r="N789" s="36"/>
      <c r="O789" s="36"/>
      <c r="P789" s="36"/>
      <c r="Q789" s="36"/>
      <c r="R789" s="36"/>
      <c r="S789" s="36"/>
      <c r="T789" s="36"/>
      <c r="U789" s="36"/>
      <c r="V789" s="36"/>
      <c r="W789" s="36"/>
      <c r="X789" s="36"/>
      <c r="Y789" s="36"/>
      <c r="Z789" s="36"/>
      <c r="AA789" s="36"/>
      <c r="AB789" s="36"/>
      <c r="AC789" s="36"/>
    </row>
    <row r="790" ht="15.75" customHeight="1">
      <c r="A790" s="423">
        <v>43202.0</v>
      </c>
      <c r="B790" s="424">
        <v>13.7567</v>
      </c>
      <c r="C790" s="425">
        <v>16.446</v>
      </c>
      <c r="D790" s="171"/>
      <c r="E790" s="425">
        <v>13.4916</v>
      </c>
      <c r="F790" s="425">
        <v>16.3192</v>
      </c>
      <c r="G790" s="425">
        <v>13.1168</v>
      </c>
      <c r="H790" s="171"/>
      <c r="I790" s="171"/>
      <c r="J790" s="425">
        <v>18.507</v>
      </c>
      <c r="K790" s="182">
        <v>10458.65</v>
      </c>
      <c r="L790" s="36"/>
      <c r="M790" s="36"/>
      <c r="N790" s="36"/>
      <c r="O790" s="36"/>
      <c r="P790" s="36"/>
      <c r="Q790" s="36"/>
      <c r="R790" s="36"/>
      <c r="S790" s="36"/>
      <c r="T790" s="36"/>
      <c r="U790" s="36"/>
      <c r="V790" s="36"/>
      <c r="W790" s="36"/>
      <c r="X790" s="36"/>
      <c r="Y790" s="36"/>
      <c r="Z790" s="36"/>
      <c r="AA790" s="36"/>
      <c r="AB790" s="36"/>
      <c r="AC790" s="36"/>
    </row>
    <row r="791" ht="15.75" customHeight="1">
      <c r="A791" s="423">
        <v>43202.0</v>
      </c>
      <c r="B791" s="424">
        <v>13.7567</v>
      </c>
      <c r="C791" s="425">
        <v>16.444</v>
      </c>
      <c r="D791" s="171"/>
      <c r="E791" s="425">
        <v>13.4916</v>
      </c>
      <c r="F791" s="425">
        <v>16.3192</v>
      </c>
      <c r="G791" s="425">
        <v>13.1168</v>
      </c>
      <c r="H791" s="171"/>
      <c r="I791" s="171"/>
      <c r="J791" s="425">
        <v>18.4866</v>
      </c>
      <c r="K791" s="182">
        <v>10458.65</v>
      </c>
      <c r="L791" s="36"/>
      <c r="M791" s="36"/>
      <c r="N791" s="36"/>
      <c r="O791" s="36"/>
      <c r="P791" s="36"/>
      <c r="Q791" s="36"/>
      <c r="R791" s="36"/>
      <c r="S791" s="36"/>
      <c r="T791" s="36"/>
      <c r="U791" s="36"/>
      <c r="V791" s="36"/>
      <c r="W791" s="36"/>
      <c r="X791" s="36"/>
      <c r="Y791" s="36"/>
      <c r="Z791" s="36"/>
      <c r="AA791" s="36"/>
      <c r="AB791" s="36"/>
      <c r="AC791" s="36"/>
    </row>
    <row r="792" ht="15.75" customHeight="1">
      <c r="A792" s="423">
        <v>43202.0</v>
      </c>
      <c r="B792" s="424">
        <v>13.7567</v>
      </c>
      <c r="C792" s="425">
        <v>16.444</v>
      </c>
      <c r="D792" s="171"/>
      <c r="E792" s="425">
        <v>13.4916</v>
      </c>
      <c r="F792" s="425">
        <v>16.3192</v>
      </c>
      <c r="G792" s="425">
        <v>13.1168</v>
      </c>
      <c r="H792" s="171"/>
      <c r="I792" s="171"/>
      <c r="J792" s="425">
        <v>18.4866</v>
      </c>
      <c r="K792" s="182">
        <v>10458.65</v>
      </c>
      <c r="L792" s="36"/>
      <c r="M792" s="36"/>
      <c r="N792" s="36"/>
      <c r="O792" s="36"/>
      <c r="P792" s="36"/>
      <c r="Q792" s="36"/>
      <c r="R792" s="36"/>
      <c r="S792" s="36"/>
      <c r="T792" s="36"/>
      <c r="U792" s="36"/>
      <c r="V792" s="36"/>
      <c r="W792" s="36"/>
      <c r="X792" s="36"/>
      <c r="Y792" s="36"/>
      <c r="Z792" s="36"/>
      <c r="AA792" s="36"/>
      <c r="AB792" s="36"/>
      <c r="AC792" s="36"/>
    </row>
    <row r="793" ht="15.75" customHeight="1">
      <c r="A793" s="423">
        <v>43203.0</v>
      </c>
      <c r="B793" s="424">
        <v>13.7692</v>
      </c>
      <c r="C793" s="425">
        <v>16.456</v>
      </c>
      <c r="D793" s="171"/>
      <c r="E793" s="425">
        <v>13.5461</v>
      </c>
      <c r="F793" s="425">
        <v>16.3222</v>
      </c>
      <c r="G793" s="425">
        <v>13.1208</v>
      </c>
      <c r="H793" s="171"/>
      <c r="I793" s="171"/>
      <c r="J793" s="425">
        <v>18.5606</v>
      </c>
      <c r="K793" s="182">
        <v>10480.6</v>
      </c>
      <c r="L793" s="36"/>
      <c r="M793" s="36"/>
      <c r="N793" s="36"/>
      <c r="O793" s="36"/>
      <c r="P793" s="36"/>
      <c r="Q793" s="36"/>
      <c r="R793" s="36"/>
      <c r="S793" s="36"/>
      <c r="T793" s="36"/>
      <c r="U793" s="36"/>
      <c r="V793" s="36"/>
      <c r="W793" s="36"/>
      <c r="X793" s="36"/>
      <c r="Y793" s="36"/>
      <c r="Z793" s="36"/>
      <c r="AA793" s="36"/>
      <c r="AB793" s="36"/>
      <c r="AC793" s="36"/>
    </row>
    <row r="794" ht="15.75" customHeight="1">
      <c r="A794" s="423">
        <v>43203.0</v>
      </c>
      <c r="B794" s="424">
        <v>13.7692</v>
      </c>
      <c r="C794" s="425">
        <v>16.456</v>
      </c>
      <c r="D794" s="171"/>
      <c r="E794" s="425">
        <v>13.5461</v>
      </c>
      <c r="F794" s="425">
        <v>16.3222</v>
      </c>
      <c r="G794" s="425">
        <v>13.1208</v>
      </c>
      <c r="H794" s="171"/>
      <c r="I794" s="171"/>
      <c r="J794" s="425">
        <v>18.5606</v>
      </c>
      <c r="K794" s="182">
        <v>10480.6</v>
      </c>
      <c r="L794" s="36"/>
      <c r="M794" s="36"/>
      <c r="N794" s="36"/>
      <c r="O794" s="36"/>
      <c r="P794" s="36"/>
      <c r="Q794" s="36"/>
      <c r="R794" s="36"/>
      <c r="S794" s="36"/>
      <c r="T794" s="36"/>
      <c r="U794" s="36"/>
      <c r="V794" s="36"/>
      <c r="W794" s="36"/>
      <c r="X794" s="36"/>
      <c r="Y794" s="36"/>
      <c r="Z794" s="36"/>
      <c r="AA794" s="36"/>
      <c r="AB794" s="36"/>
      <c r="AC794" s="36"/>
    </row>
    <row r="795" ht="15.75" customHeight="1">
      <c r="A795" s="423">
        <v>43203.0</v>
      </c>
      <c r="B795" s="424">
        <v>13.7692</v>
      </c>
      <c r="C795" s="425">
        <v>16.4482</v>
      </c>
      <c r="D795" s="171"/>
      <c r="E795" s="425">
        <v>13.5461</v>
      </c>
      <c r="F795" s="425">
        <v>16.3222</v>
      </c>
      <c r="G795" s="425">
        <v>13.1208</v>
      </c>
      <c r="H795" s="171"/>
      <c r="I795" s="171"/>
      <c r="J795" s="425">
        <v>18.5394</v>
      </c>
      <c r="K795" s="182">
        <v>10480.6</v>
      </c>
      <c r="L795" s="36"/>
      <c r="M795" s="36"/>
      <c r="N795" s="36"/>
      <c r="O795" s="36"/>
      <c r="P795" s="36"/>
      <c r="Q795" s="36"/>
      <c r="R795" s="36"/>
      <c r="S795" s="36"/>
      <c r="T795" s="36"/>
      <c r="U795" s="36"/>
      <c r="V795" s="36"/>
      <c r="W795" s="36"/>
      <c r="X795" s="36"/>
      <c r="Y795" s="36"/>
      <c r="Z795" s="36"/>
      <c r="AA795" s="36"/>
      <c r="AB795" s="36"/>
      <c r="AC795" s="36"/>
    </row>
    <row r="796" ht="15.75" customHeight="1">
      <c r="A796" s="423">
        <v>43203.0</v>
      </c>
      <c r="B796" s="424">
        <v>13.7692</v>
      </c>
      <c r="C796" s="425">
        <v>16.4482</v>
      </c>
      <c r="D796" s="171"/>
      <c r="E796" s="425">
        <v>13.5461</v>
      </c>
      <c r="F796" s="425">
        <v>16.3222</v>
      </c>
      <c r="G796" s="425">
        <v>13.1208</v>
      </c>
      <c r="H796" s="171"/>
      <c r="I796" s="171"/>
      <c r="J796" s="425">
        <v>18.5394</v>
      </c>
      <c r="K796" s="182">
        <v>10480.6</v>
      </c>
      <c r="L796" s="36"/>
      <c r="M796" s="36"/>
      <c r="N796" s="36"/>
      <c r="O796" s="36"/>
      <c r="P796" s="36"/>
      <c r="Q796" s="36"/>
      <c r="R796" s="36"/>
      <c r="S796" s="36"/>
      <c r="T796" s="36"/>
      <c r="U796" s="36"/>
      <c r="V796" s="36"/>
      <c r="W796" s="36"/>
      <c r="X796" s="36"/>
      <c r="Y796" s="36"/>
      <c r="Z796" s="36"/>
      <c r="AA796" s="36"/>
      <c r="AB796" s="36"/>
      <c r="AC796" s="36"/>
    </row>
    <row r="797" ht="15.75" customHeight="1">
      <c r="A797" s="423">
        <v>43206.0</v>
      </c>
      <c r="B797" s="424">
        <v>13.8118</v>
      </c>
      <c r="C797" s="425">
        <v>16.4676</v>
      </c>
      <c r="D797" s="171"/>
      <c r="E797" s="425">
        <v>13.5187</v>
      </c>
      <c r="F797" s="425">
        <v>16.3626</v>
      </c>
      <c r="G797" s="425">
        <v>13.1208</v>
      </c>
      <c r="H797" s="171"/>
      <c r="I797" s="171"/>
      <c r="J797" s="425">
        <v>18.655</v>
      </c>
      <c r="K797" s="182">
        <v>10528.35</v>
      </c>
      <c r="L797" s="36"/>
      <c r="M797" s="36"/>
      <c r="N797" s="36"/>
      <c r="O797" s="36"/>
      <c r="P797" s="36"/>
      <c r="Q797" s="36"/>
      <c r="R797" s="36"/>
      <c r="S797" s="36"/>
      <c r="T797" s="36"/>
      <c r="U797" s="36"/>
      <c r="V797" s="36"/>
      <c r="W797" s="36"/>
      <c r="X797" s="36"/>
      <c r="Y797" s="36"/>
      <c r="Z797" s="36"/>
      <c r="AA797" s="36"/>
      <c r="AB797" s="36"/>
      <c r="AC797" s="36"/>
    </row>
    <row r="798" ht="15.75" customHeight="1">
      <c r="A798" s="423">
        <v>43206.0</v>
      </c>
      <c r="B798" s="424">
        <v>13.8118</v>
      </c>
      <c r="C798" s="425">
        <v>16.4676</v>
      </c>
      <c r="D798" s="171"/>
      <c r="E798" s="425">
        <v>13.5187</v>
      </c>
      <c r="F798" s="425">
        <v>16.3626</v>
      </c>
      <c r="G798" s="425">
        <v>13.1208</v>
      </c>
      <c r="H798" s="171"/>
      <c r="I798" s="171"/>
      <c r="J798" s="425">
        <v>18.655</v>
      </c>
      <c r="K798" s="182">
        <v>10528.35</v>
      </c>
      <c r="L798" s="36"/>
      <c r="M798" s="36"/>
      <c r="N798" s="36"/>
      <c r="O798" s="36"/>
      <c r="P798" s="36"/>
      <c r="Q798" s="36"/>
      <c r="R798" s="36"/>
      <c r="S798" s="36"/>
      <c r="T798" s="36"/>
      <c r="U798" s="36"/>
      <c r="V798" s="36"/>
      <c r="W798" s="36"/>
      <c r="X798" s="36"/>
      <c r="Y798" s="36"/>
      <c r="Z798" s="36"/>
      <c r="AA798" s="36"/>
      <c r="AB798" s="36"/>
      <c r="AC798" s="36"/>
    </row>
    <row r="799" ht="15.75" customHeight="1">
      <c r="A799" s="423">
        <v>43206.0</v>
      </c>
      <c r="B799" s="424">
        <v>13.8118</v>
      </c>
      <c r="C799" s="425">
        <v>16.4601</v>
      </c>
      <c r="D799" s="171"/>
      <c r="E799" s="425">
        <v>13.5187</v>
      </c>
      <c r="F799" s="425">
        <v>16.3626</v>
      </c>
      <c r="G799" s="425">
        <v>13.1208</v>
      </c>
      <c r="H799" s="171"/>
      <c r="I799" s="171"/>
      <c r="J799" s="425">
        <v>18.6107</v>
      </c>
      <c r="K799" s="182">
        <v>10528.35</v>
      </c>
      <c r="L799" s="36"/>
      <c r="M799" s="36"/>
      <c r="N799" s="36"/>
      <c r="O799" s="36"/>
      <c r="P799" s="36"/>
      <c r="Q799" s="36"/>
      <c r="R799" s="36"/>
      <c r="S799" s="36"/>
      <c r="T799" s="36"/>
      <c r="U799" s="36"/>
      <c r="V799" s="36"/>
      <c r="W799" s="36"/>
      <c r="X799" s="36"/>
      <c r="Y799" s="36"/>
      <c r="Z799" s="36"/>
      <c r="AA799" s="36"/>
      <c r="AB799" s="36"/>
      <c r="AC799" s="36"/>
    </row>
    <row r="800" ht="15.75" customHeight="1">
      <c r="A800" s="423">
        <v>43206.0</v>
      </c>
      <c r="B800" s="424">
        <v>13.8118</v>
      </c>
      <c r="C800" s="425">
        <v>16.4601</v>
      </c>
      <c r="D800" s="171"/>
      <c r="E800" s="425">
        <v>13.5187</v>
      </c>
      <c r="F800" s="425">
        <v>16.3626</v>
      </c>
      <c r="G800" s="425">
        <v>13.1208</v>
      </c>
      <c r="H800" s="171"/>
      <c r="I800" s="171"/>
      <c r="J800" s="425">
        <v>18.6107</v>
      </c>
      <c r="K800" s="182">
        <v>10528.35</v>
      </c>
      <c r="L800" s="36"/>
      <c r="M800" s="36"/>
      <c r="N800" s="36"/>
      <c r="O800" s="36"/>
      <c r="P800" s="36"/>
      <c r="Q800" s="36"/>
      <c r="R800" s="36"/>
      <c r="S800" s="36"/>
      <c r="T800" s="36"/>
      <c r="U800" s="36"/>
      <c r="V800" s="36"/>
      <c r="W800" s="36"/>
      <c r="X800" s="36"/>
      <c r="Y800" s="36"/>
      <c r="Z800" s="36"/>
      <c r="AA800" s="36"/>
      <c r="AB800" s="36"/>
      <c r="AC800" s="36"/>
    </row>
    <row r="801" ht="15.75" customHeight="1">
      <c r="A801" s="423">
        <v>43207.0</v>
      </c>
      <c r="B801" s="424">
        <v>13.8234</v>
      </c>
      <c r="C801" s="425">
        <v>16.4835</v>
      </c>
      <c r="D801" s="171"/>
      <c r="E801" s="425">
        <v>13.5195</v>
      </c>
      <c r="F801" s="425">
        <v>16.3706</v>
      </c>
      <c r="G801" s="425">
        <v>13.1205</v>
      </c>
      <c r="H801" s="171"/>
      <c r="I801" s="171"/>
      <c r="J801" s="425">
        <v>18.6834</v>
      </c>
      <c r="K801" s="182">
        <v>10548.7</v>
      </c>
      <c r="L801" s="36"/>
      <c r="M801" s="36"/>
      <c r="N801" s="36"/>
      <c r="O801" s="36"/>
      <c r="P801" s="36"/>
      <c r="Q801" s="36"/>
      <c r="R801" s="36"/>
      <c r="S801" s="36"/>
      <c r="T801" s="36"/>
      <c r="U801" s="36"/>
      <c r="V801" s="36"/>
      <c r="W801" s="36"/>
      <c r="X801" s="36"/>
      <c r="Y801" s="36"/>
      <c r="Z801" s="36"/>
      <c r="AA801" s="36"/>
      <c r="AB801" s="36"/>
      <c r="AC801" s="36"/>
    </row>
    <row r="802" ht="15.75" customHeight="1">
      <c r="A802" s="423">
        <v>43207.0</v>
      </c>
      <c r="B802" s="424">
        <v>13.8234</v>
      </c>
      <c r="C802" s="425">
        <v>16.4835</v>
      </c>
      <c r="D802" s="171"/>
      <c r="E802" s="425">
        <v>13.5195</v>
      </c>
      <c r="F802" s="425">
        <v>16.3706</v>
      </c>
      <c r="G802" s="425">
        <v>13.1205</v>
      </c>
      <c r="H802" s="171"/>
      <c r="I802" s="171"/>
      <c r="J802" s="425">
        <v>18.6834</v>
      </c>
      <c r="K802" s="182">
        <v>10548.7</v>
      </c>
      <c r="L802" s="36"/>
      <c r="M802" s="36"/>
      <c r="N802" s="36"/>
      <c r="O802" s="36"/>
      <c r="P802" s="36"/>
      <c r="Q802" s="36"/>
      <c r="R802" s="36"/>
      <c r="S802" s="36"/>
      <c r="T802" s="36"/>
      <c r="U802" s="36"/>
      <c r="V802" s="36"/>
      <c r="W802" s="36"/>
      <c r="X802" s="36"/>
      <c r="Y802" s="36"/>
      <c r="Z802" s="36"/>
      <c r="AA802" s="36"/>
      <c r="AB802" s="36"/>
      <c r="AC802" s="36"/>
    </row>
    <row r="803" ht="15.75" customHeight="1">
      <c r="A803" s="423">
        <v>43207.0</v>
      </c>
      <c r="B803" s="424">
        <v>13.8234</v>
      </c>
      <c r="C803" s="425">
        <v>16.4698</v>
      </c>
      <c r="D803" s="171"/>
      <c r="E803" s="425">
        <v>13.5195</v>
      </c>
      <c r="F803" s="425">
        <v>16.3706</v>
      </c>
      <c r="G803" s="425">
        <v>13.1205</v>
      </c>
      <c r="H803" s="171"/>
      <c r="I803" s="171"/>
      <c r="J803" s="425">
        <v>18.598</v>
      </c>
      <c r="K803" s="182">
        <v>10548.7</v>
      </c>
      <c r="L803" s="36"/>
      <c r="M803" s="36"/>
      <c r="N803" s="36"/>
      <c r="O803" s="36"/>
      <c r="P803" s="36"/>
      <c r="Q803" s="36"/>
      <c r="R803" s="36"/>
      <c r="S803" s="36"/>
      <c r="T803" s="36"/>
      <c r="U803" s="36"/>
      <c r="V803" s="36"/>
      <c r="W803" s="36"/>
      <c r="X803" s="36"/>
      <c r="Y803" s="36"/>
      <c r="Z803" s="36"/>
      <c r="AA803" s="36"/>
      <c r="AB803" s="36"/>
      <c r="AC803" s="36"/>
    </row>
    <row r="804" ht="15.75" customHeight="1">
      <c r="A804" s="423">
        <v>43207.0</v>
      </c>
      <c r="B804" s="424">
        <v>13.8234</v>
      </c>
      <c r="C804" s="425">
        <v>16.4698</v>
      </c>
      <c r="D804" s="171"/>
      <c r="E804" s="425">
        <v>13.5195</v>
      </c>
      <c r="F804" s="425">
        <v>16.3706</v>
      </c>
      <c r="G804" s="425">
        <v>13.1205</v>
      </c>
      <c r="H804" s="171"/>
      <c r="I804" s="171"/>
      <c r="J804" s="425">
        <v>18.598</v>
      </c>
      <c r="K804" s="182">
        <v>10548.7</v>
      </c>
      <c r="L804" s="36"/>
      <c r="M804" s="36"/>
      <c r="N804" s="36"/>
      <c r="O804" s="36"/>
      <c r="P804" s="36"/>
      <c r="Q804" s="36"/>
      <c r="R804" s="36"/>
      <c r="S804" s="36"/>
      <c r="T804" s="36"/>
      <c r="U804" s="36"/>
      <c r="V804" s="36"/>
      <c r="W804" s="36"/>
      <c r="X804" s="36"/>
      <c r="Y804" s="36"/>
      <c r="Z804" s="36"/>
      <c r="AA804" s="36"/>
      <c r="AB804" s="36"/>
      <c r="AC804" s="36"/>
    </row>
    <row r="805" ht="15.75" customHeight="1">
      <c r="A805" s="423">
        <v>43208.0</v>
      </c>
      <c r="B805" s="424">
        <v>13.8171</v>
      </c>
      <c r="C805" s="425">
        <v>16.5012</v>
      </c>
      <c r="D805" s="171"/>
      <c r="E805" s="425">
        <v>13.477</v>
      </c>
      <c r="F805" s="425">
        <v>16.3465</v>
      </c>
      <c r="G805" s="425">
        <v>13.1141</v>
      </c>
      <c r="H805" s="171"/>
      <c r="I805" s="171"/>
      <c r="J805" s="425">
        <v>18.7356</v>
      </c>
      <c r="K805" s="182">
        <v>10526.2</v>
      </c>
      <c r="L805" s="36"/>
      <c r="M805" s="36"/>
      <c r="N805" s="36"/>
      <c r="O805" s="36"/>
      <c r="P805" s="36"/>
      <c r="Q805" s="36"/>
      <c r="R805" s="36"/>
      <c r="S805" s="36"/>
      <c r="T805" s="36"/>
      <c r="U805" s="36"/>
      <c r="V805" s="36"/>
      <c r="W805" s="36"/>
      <c r="X805" s="36"/>
      <c r="Y805" s="36"/>
      <c r="Z805" s="36"/>
      <c r="AA805" s="36"/>
      <c r="AB805" s="36"/>
      <c r="AC805" s="36"/>
    </row>
    <row r="806" ht="15.75" customHeight="1">
      <c r="A806" s="423">
        <v>43208.0</v>
      </c>
      <c r="B806" s="424">
        <v>13.8171</v>
      </c>
      <c r="C806" s="425">
        <v>16.5012</v>
      </c>
      <c r="D806" s="171"/>
      <c r="E806" s="425">
        <v>13.477</v>
      </c>
      <c r="F806" s="425">
        <v>16.3465</v>
      </c>
      <c r="G806" s="425">
        <v>13.1141</v>
      </c>
      <c r="H806" s="171"/>
      <c r="I806" s="171"/>
      <c r="J806" s="425">
        <v>18.7356</v>
      </c>
      <c r="K806" s="182">
        <v>10526.2</v>
      </c>
      <c r="L806" s="36"/>
      <c r="M806" s="36"/>
      <c r="N806" s="36"/>
      <c r="O806" s="36"/>
      <c r="P806" s="36"/>
      <c r="Q806" s="36"/>
      <c r="R806" s="36"/>
      <c r="S806" s="36"/>
      <c r="T806" s="36"/>
      <c r="U806" s="36"/>
      <c r="V806" s="36"/>
      <c r="W806" s="36"/>
      <c r="X806" s="36"/>
      <c r="Y806" s="36"/>
      <c r="Z806" s="36"/>
      <c r="AA806" s="36"/>
      <c r="AB806" s="36"/>
      <c r="AC806" s="36"/>
    </row>
    <row r="807" ht="15.75" customHeight="1">
      <c r="A807" s="423">
        <v>43208.0</v>
      </c>
      <c r="B807" s="424">
        <v>13.8171</v>
      </c>
      <c r="C807" s="425">
        <v>16.4952</v>
      </c>
      <c r="D807" s="171"/>
      <c r="E807" s="425">
        <v>13.477</v>
      </c>
      <c r="F807" s="425">
        <v>16.3465</v>
      </c>
      <c r="G807" s="425">
        <v>13.1141</v>
      </c>
      <c r="H807" s="171"/>
      <c r="I807" s="171"/>
      <c r="J807" s="425">
        <v>18.6908</v>
      </c>
      <c r="K807" s="182">
        <v>10526.2</v>
      </c>
      <c r="L807" s="36"/>
      <c r="M807" s="36"/>
      <c r="N807" s="36"/>
      <c r="O807" s="36"/>
      <c r="P807" s="36"/>
      <c r="Q807" s="36"/>
      <c r="R807" s="36"/>
      <c r="S807" s="36"/>
      <c r="T807" s="36"/>
      <c r="U807" s="36"/>
      <c r="V807" s="36"/>
      <c r="W807" s="36"/>
      <c r="X807" s="36"/>
      <c r="Y807" s="36"/>
      <c r="Z807" s="36"/>
      <c r="AA807" s="36"/>
      <c r="AB807" s="36"/>
      <c r="AC807" s="36"/>
    </row>
    <row r="808" ht="15.75" customHeight="1">
      <c r="A808" s="423">
        <v>43208.0</v>
      </c>
      <c r="B808" s="424">
        <v>13.8171</v>
      </c>
      <c r="C808" s="425">
        <v>16.4952</v>
      </c>
      <c r="D808" s="171"/>
      <c r="E808" s="425">
        <v>13.477</v>
      </c>
      <c r="F808" s="425">
        <v>16.3465</v>
      </c>
      <c r="G808" s="425">
        <v>13.1141</v>
      </c>
      <c r="H808" s="171"/>
      <c r="I808" s="171"/>
      <c r="J808" s="425">
        <v>18.6908</v>
      </c>
      <c r="K808" s="182">
        <v>10526.2</v>
      </c>
      <c r="L808" s="36"/>
      <c r="M808" s="36"/>
      <c r="N808" s="36"/>
      <c r="O808" s="36"/>
      <c r="P808" s="36"/>
      <c r="Q808" s="36"/>
      <c r="R808" s="36"/>
      <c r="S808" s="36"/>
      <c r="T808" s="36"/>
      <c r="U808" s="36"/>
      <c r="V808" s="36"/>
      <c r="W808" s="36"/>
      <c r="X808" s="36"/>
      <c r="Y808" s="36"/>
      <c r="Z808" s="36"/>
      <c r="AA808" s="36"/>
      <c r="AB808" s="36"/>
      <c r="AC808" s="36"/>
    </row>
    <row r="809" ht="15.75" customHeight="1">
      <c r="A809" s="423">
        <v>43209.0</v>
      </c>
      <c r="B809" s="424">
        <v>13.8923</v>
      </c>
      <c r="C809" s="425">
        <v>16.5124</v>
      </c>
      <c r="D809" s="171"/>
      <c r="E809" s="425">
        <v>13.3864</v>
      </c>
      <c r="F809" s="425">
        <v>16.4187</v>
      </c>
      <c r="G809" s="425">
        <v>13.0998</v>
      </c>
      <c r="H809" s="171"/>
      <c r="I809" s="171"/>
      <c r="J809" s="425">
        <v>18.64</v>
      </c>
      <c r="K809" s="182">
        <v>10565.3</v>
      </c>
      <c r="L809" s="36"/>
      <c r="M809" s="36"/>
      <c r="N809" s="36"/>
      <c r="O809" s="36"/>
      <c r="P809" s="36"/>
      <c r="Q809" s="36"/>
      <c r="R809" s="36"/>
      <c r="S809" s="36"/>
      <c r="T809" s="36"/>
      <c r="U809" s="36"/>
      <c r="V809" s="36"/>
      <c r="W809" s="36"/>
      <c r="X809" s="36"/>
      <c r="Y809" s="36"/>
      <c r="Z809" s="36"/>
      <c r="AA809" s="36"/>
      <c r="AB809" s="36"/>
      <c r="AC809" s="36"/>
    </row>
    <row r="810" ht="15.75" customHeight="1">
      <c r="A810" s="423">
        <v>43209.0</v>
      </c>
      <c r="B810" s="424">
        <v>13.8923</v>
      </c>
      <c r="C810" s="425">
        <v>16.5124</v>
      </c>
      <c r="D810" s="171"/>
      <c r="E810" s="425">
        <v>13.3864</v>
      </c>
      <c r="F810" s="425">
        <v>16.4187</v>
      </c>
      <c r="G810" s="425">
        <v>13.0998</v>
      </c>
      <c r="H810" s="171"/>
      <c r="I810" s="171"/>
      <c r="J810" s="425">
        <v>18.64</v>
      </c>
      <c r="K810" s="182">
        <v>10565.3</v>
      </c>
      <c r="L810" s="36"/>
      <c r="M810" s="36"/>
      <c r="N810" s="36"/>
      <c r="O810" s="36"/>
      <c r="P810" s="36"/>
      <c r="Q810" s="36"/>
      <c r="R810" s="36"/>
      <c r="S810" s="36"/>
      <c r="T810" s="36"/>
      <c r="U810" s="36"/>
      <c r="V810" s="36"/>
      <c r="W810" s="36"/>
      <c r="X810" s="36"/>
      <c r="Y810" s="36"/>
      <c r="Z810" s="36"/>
      <c r="AA810" s="36"/>
      <c r="AB810" s="36"/>
      <c r="AC810" s="36"/>
    </row>
    <row r="811" ht="15.75" customHeight="1">
      <c r="A811" s="423">
        <v>43209.0</v>
      </c>
      <c r="B811" s="424">
        <v>13.8923</v>
      </c>
      <c r="C811" s="425">
        <v>16.5082</v>
      </c>
      <c r="D811" s="171"/>
      <c r="E811" s="425">
        <v>13.3864</v>
      </c>
      <c r="F811" s="425">
        <v>16.4187</v>
      </c>
      <c r="G811" s="425">
        <v>13.0998</v>
      </c>
      <c r="H811" s="171"/>
      <c r="I811" s="171"/>
      <c r="J811" s="425">
        <v>18.6474</v>
      </c>
      <c r="K811" s="182">
        <v>10565.3</v>
      </c>
      <c r="L811" s="36"/>
      <c r="M811" s="36"/>
      <c r="N811" s="36"/>
      <c r="O811" s="36"/>
      <c r="P811" s="36"/>
      <c r="Q811" s="36"/>
      <c r="R811" s="36"/>
      <c r="S811" s="36"/>
      <c r="T811" s="36"/>
      <c r="U811" s="36"/>
      <c r="V811" s="36"/>
      <c r="W811" s="36"/>
      <c r="X811" s="36"/>
      <c r="Y811" s="36"/>
      <c r="Z811" s="36"/>
      <c r="AA811" s="36"/>
      <c r="AB811" s="36"/>
      <c r="AC811" s="36"/>
    </row>
    <row r="812" ht="15.75" customHeight="1">
      <c r="A812" s="423">
        <v>43209.0</v>
      </c>
      <c r="B812" s="424">
        <v>13.8923</v>
      </c>
      <c r="C812" s="425">
        <v>16.5082</v>
      </c>
      <c r="D812" s="171"/>
      <c r="E812" s="425">
        <v>13.3864</v>
      </c>
      <c r="F812" s="425">
        <v>16.4187</v>
      </c>
      <c r="G812" s="425">
        <v>13.0998</v>
      </c>
      <c r="H812" s="171"/>
      <c r="I812" s="171"/>
      <c r="J812" s="425">
        <v>18.6474</v>
      </c>
      <c r="K812" s="182">
        <v>10565.3</v>
      </c>
      <c r="L812" s="36"/>
      <c r="M812" s="36"/>
      <c r="N812" s="36"/>
      <c r="O812" s="36"/>
      <c r="P812" s="36"/>
      <c r="Q812" s="36"/>
      <c r="R812" s="36"/>
      <c r="S812" s="36"/>
      <c r="T812" s="36"/>
      <c r="U812" s="36"/>
      <c r="V812" s="36"/>
      <c r="W812" s="36"/>
      <c r="X812" s="36"/>
      <c r="Y812" s="36"/>
      <c r="Z812" s="36"/>
      <c r="AA812" s="36"/>
      <c r="AB812" s="36"/>
      <c r="AC812" s="36"/>
    </row>
    <row r="813" ht="15.75" customHeight="1">
      <c r="A813" s="423">
        <v>43210.0</v>
      </c>
      <c r="B813" s="424">
        <v>13.8881</v>
      </c>
      <c r="C813" s="425">
        <v>16.5171</v>
      </c>
      <c r="D813" s="171"/>
      <c r="E813" s="425">
        <v>13.3361</v>
      </c>
      <c r="F813" s="425">
        <v>16.4036</v>
      </c>
      <c r="G813" s="425">
        <v>13.0874</v>
      </c>
      <c r="H813" s="171"/>
      <c r="I813" s="171"/>
      <c r="J813" s="425">
        <v>18.6227</v>
      </c>
      <c r="K813" s="182">
        <v>10564.05</v>
      </c>
      <c r="L813" s="36"/>
      <c r="M813" s="36"/>
      <c r="N813" s="36"/>
      <c r="O813" s="36"/>
      <c r="P813" s="36"/>
      <c r="Q813" s="36"/>
      <c r="R813" s="36"/>
      <c r="S813" s="36"/>
      <c r="T813" s="36"/>
      <c r="U813" s="36"/>
      <c r="V813" s="36"/>
      <c r="W813" s="36"/>
      <c r="X813" s="36"/>
      <c r="Y813" s="36"/>
      <c r="Z813" s="36"/>
      <c r="AA813" s="36"/>
      <c r="AB813" s="36"/>
      <c r="AC813" s="36"/>
    </row>
    <row r="814" ht="15.75" customHeight="1">
      <c r="A814" s="423">
        <v>43210.0</v>
      </c>
      <c r="B814" s="424">
        <v>13.8881</v>
      </c>
      <c r="C814" s="425">
        <v>16.5171</v>
      </c>
      <c r="D814" s="171"/>
      <c r="E814" s="425">
        <v>13.3361</v>
      </c>
      <c r="F814" s="425">
        <v>16.4036</v>
      </c>
      <c r="G814" s="425">
        <v>13.0874</v>
      </c>
      <c r="H814" s="171"/>
      <c r="I814" s="171"/>
      <c r="J814" s="425">
        <v>18.6227</v>
      </c>
      <c r="K814" s="182">
        <v>10564.05</v>
      </c>
      <c r="L814" s="36"/>
      <c r="M814" s="36"/>
      <c r="N814" s="36"/>
      <c r="O814" s="36"/>
      <c r="P814" s="36"/>
      <c r="Q814" s="36"/>
      <c r="R814" s="36"/>
      <c r="S814" s="36"/>
      <c r="T814" s="36"/>
      <c r="U814" s="36"/>
      <c r="V814" s="36"/>
      <c r="W814" s="36"/>
      <c r="X814" s="36"/>
      <c r="Y814" s="36"/>
      <c r="Z814" s="36"/>
      <c r="AA814" s="36"/>
      <c r="AB814" s="36"/>
      <c r="AC814" s="36"/>
    </row>
    <row r="815" ht="15.75" customHeight="1">
      <c r="A815" s="423">
        <v>43210.0</v>
      </c>
      <c r="B815" s="424">
        <v>13.8881</v>
      </c>
      <c r="C815" s="425">
        <v>16.5147</v>
      </c>
      <c r="D815" s="171"/>
      <c r="E815" s="425">
        <v>13.3361</v>
      </c>
      <c r="F815" s="425">
        <v>16.4036</v>
      </c>
      <c r="G815" s="425">
        <v>13.0874</v>
      </c>
      <c r="H815" s="171"/>
      <c r="I815" s="171"/>
      <c r="J815" s="425">
        <v>18.6564</v>
      </c>
      <c r="K815" s="182">
        <v>10564.05</v>
      </c>
      <c r="L815" s="36"/>
      <c r="M815" s="36"/>
      <c r="N815" s="36"/>
      <c r="O815" s="36"/>
      <c r="P815" s="36"/>
      <c r="Q815" s="36"/>
      <c r="R815" s="36"/>
      <c r="S815" s="36"/>
      <c r="T815" s="36"/>
      <c r="U815" s="36"/>
      <c r="V815" s="36"/>
      <c r="W815" s="36"/>
      <c r="X815" s="36"/>
      <c r="Y815" s="36"/>
      <c r="Z815" s="36"/>
      <c r="AA815" s="36"/>
      <c r="AB815" s="36"/>
      <c r="AC815" s="36"/>
    </row>
    <row r="816" ht="15.75" customHeight="1">
      <c r="A816" s="423">
        <v>43210.0</v>
      </c>
      <c r="B816" s="424">
        <v>13.8881</v>
      </c>
      <c r="C816" s="425">
        <v>16.5147</v>
      </c>
      <c r="D816" s="171"/>
      <c r="E816" s="425">
        <v>13.3361</v>
      </c>
      <c r="F816" s="425">
        <v>16.4036</v>
      </c>
      <c r="G816" s="425">
        <v>13.0874</v>
      </c>
      <c r="H816" s="171"/>
      <c r="I816" s="171"/>
      <c r="J816" s="425">
        <v>18.6564</v>
      </c>
      <c r="K816" s="182">
        <v>10564.05</v>
      </c>
      <c r="L816" s="36"/>
      <c r="M816" s="36"/>
      <c r="N816" s="36"/>
      <c r="O816" s="36"/>
      <c r="P816" s="36"/>
      <c r="Q816" s="36"/>
      <c r="R816" s="36"/>
      <c r="S816" s="36"/>
      <c r="T816" s="36"/>
      <c r="U816" s="36"/>
      <c r="V816" s="36"/>
      <c r="W816" s="36"/>
      <c r="X816" s="36"/>
      <c r="Y816" s="36"/>
      <c r="Z816" s="36"/>
      <c r="AA816" s="36"/>
      <c r="AB816" s="36"/>
      <c r="AC816" s="36"/>
    </row>
    <row r="817" ht="15.75" customHeight="1">
      <c r="A817" s="423">
        <v>43213.0</v>
      </c>
      <c r="B817" s="424">
        <v>13.9122</v>
      </c>
      <c r="C817" s="425">
        <v>16.523</v>
      </c>
      <c r="D817" s="171"/>
      <c r="E817" s="425">
        <v>13.3177</v>
      </c>
      <c r="F817" s="425">
        <v>16.4413</v>
      </c>
      <c r="G817" s="425">
        <v>13.0864</v>
      </c>
      <c r="H817" s="171"/>
      <c r="I817" s="171"/>
      <c r="J817" s="425">
        <v>18.7232</v>
      </c>
      <c r="K817" s="182">
        <v>10584.7</v>
      </c>
      <c r="L817" s="36"/>
      <c r="M817" s="36"/>
      <c r="N817" s="36"/>
      <c r="O817" s="36"/>
      <c r="P817" s="36"/>
      <c r="Q817" s="36"/>
      <c r="R817" s="36"/>
      <c r="S817" s="36"/>
      <c r="T817" s="36"/>
      <c r="U817" s="36"/>
      <c r="V817" s="36"/>
      <c r="W817" s="36"/>
      <c r="X817" s="36"/>
      <c r="Y817" s="36"/>
      <c r="Z817" s="36"/>
      <c r="AA817" s="36"/>
      <c r="AB817" s="36"/>
      <c r="AC817" s="36"/>
    </row>
    <row r="818" ht="15.75" customHeight="1">
      <c r="A818" s="423">
        <v>43213.0</v>
      </c>
      <c r="B818" s="424">
        <v>13.9122</v>
      </c>
      <c r="C818" s="425">
        <v>16.523</v>
      </c>
      <c r="D818" s="171"/>
      <c r="E818" s="425">
        <v>13.3177</v>
      </c>
      <c r="F818" s="425">
        <v>16.4413</v>
      </c>
      <c r="G818" s="425">
        <v>13.0864</v>
      </c>
      <c r="H818" s="171"/>
      <c r="I818" s="171"/>
      <c r="J818" s="425">
        <v>18.7232</v>
      </c>
      <c r="K818" s="182">
        <v>10584.7</v>
      </c>
      <c r="L818" s="36"/>
      <c r="M818" s="36"/>
      <c r="N818" s="36"/>
      <c r="O818" s="36"/>
      <c r="P818" s="36"/>
      <c r="Q818" s="36"/>
      <c r="R818" s="36"/>
      <c r="S818" s="36"/>
      <c r="T818" s="36"/>
      <c r="U818" s="36"/>
      <c r="V818" s="36"/>
      <c r="W818" s="36"/>
      <c r="X818" s="36"/>
      <c r="Y818" s="36"/>
      <c r="Z818" s="36"/>
      <c r="AA818" s="36"/>
      <c r="AB818" s="36"/>
      <c r="AC818" s="36"/>
    </row>
    <row r="819" ht="15.75" customHeight="1">
      <c r="A819" s="423">
        <v>43213.0</v>
      </c>
      <c r="B819" s="424">
        <v>13.9122</v>
      </c>
      <c r="C819" s="425">
        <v>16.516</v>
      </c>
      <c r="D819" s="171"/>
      <c r="E819" s="425">
        <v>13.3177</v>
      </c>
      <c r="F819" s="425">
        <v>16.4413</v>
      </c>
      <c r="G819" s="425">
        <v>13.0864</v>
      </c>
      <c r="H819" s="171"/>
      <c r="I819" s="171"/>
      <c r="J819" s="425">
        <v>18.6482</v>
      </c>
      <c r="K819" s="182">
        <v>10584.7</v>
      </c>
      <c r="L819" s="36"/>
      <c r="M819" s="36"/>
      <c r="N819" s="36"/>
      <c r="O819" s="36"/>
      <c r="P819" s="36"/>
      <c r="Q819" s="36"/>
      <c r="R819" s="36"/>
      <c r="S819" s="36"/>
      <c r="T819" s="36"/>
      <c r="U819" s="36"/>
      <c r="V819" s="36"/>
      <c r="W819" s="36"/>
      <c r="X819" s="36"/>
      <c r="Y819" s="36"/>
      <c r="Z819" s="36"/>
      <c r="AA819" s="36"/>
      <c r="AB819" s="36"/>
      <c r="AC819" s="36"/>
    </row>
    <row r="820" ht="15.75" customHeight="1">
      <c r="A820" s="423">
        <v>43213.0</v>
      </c>
      <c r="B820" s="424">
        <v>13.9122</v>
      </c>
      <c r="C820" s="425">
        <v>16.516</v>
      </c>
      <c r="D820" s="171"/>
      <c r="E820" s="425">
        <v>13.3177</v>
      </c>
      <c r="F820" s="425">
        <v>16.4413</v>
      </c>
      <c r="G820" s="425">
        <v>13.0864</v>
      </c>
      <c r="H820" s="171"/>
      <c r="I820" s="171"/>
      <c r="J820" s="425">
        <v>18.6482</v>
      </c>
      <c r="K820" s="182">
        <v>10584.7</v>
      </c>
      <c r="L820" s="36"/>
      <c r="M820" s="36"/>
      <c r="N820" s="36"/>
      <c r="O820" s="36"/>
      <c r="P820" s="36"/>
      <c r="Q820" s="36"/>
      <c r="R820" s="36"/>
      <c r="S820" s="36"/>
      <c r="T820" s="36"/>
      <c r="U820" s="36"/>
      <c r="V820" s="36"/>
      <c r="W820" s="36"/>
      <c r="X820" s="36"/>
      <c r="Y820" s="36"/>
      <c r="Z820" s="36"/>
      <c r="AA820" s="36"/>
      <c r="AB820" s="36"/>
      <c r="AC820" s="36"/>
    </row>
    <row r="821" ht="15.75" customHeight="1">
      <c r="A821" s="423">
        <v>43214.0</v>
      </c>
      <c r="B821" s="424">
        <v>13.9242</v>
      </c>
      <c r="C821" s="425">
        <v>16.5279</v>
      </c>
      <c r="D821" s="171"/>
      <c r="E821" s="425">
        <v>13.3603</v>
      </c>
      <c r="F821" s="425">
        <v>16.4707</v>
      </c>
      <c r="G821" s="425">
        <v>13.0951</v>
      </c>
      <c r="H821" s="171"/>
      <c r="I821" s="171"/>
      <c r="J821" s="425">
        <v>18.7288</v>
      </c>
      <c r="K821" s="182">
        <v>10614.35</v>
      </c>
      <c r="L821" s="36"/>
      <c r="M821" s="36"/>
      <c r="N821" s="36"/>
      <c r="O821" s="36"/>
      <c r="P821" s="36"/>
      <c r="Q821" s="36"/>
      <c r="R821" s="36"/>
      <c r="S821" s="36"/>
      <c r="T821" s="36"/>
      <c r="U821" s="36"/>
      <c r="V821" s="36"/>
      <c r="W821" s="36"/>
      <c r="X821" s="36"/>
      <c r="Y821" s="36"/>
      <c r="Z821" s="36"/>
      <c r="AA821" s="36"/>
      <c r="AB821" s="36"/>
      <c r="AC821" s="36"/>
    </row>
    <row r="822" ht="15.75" customHeight="1">
      <c r="A822" s="423">
        <v>43214.0</v>
      </c>
      <c r="B822" s="424">
        <v>13.9242</v>
      </c>
      <c r="C822" s="425">
        <v>16.5279</v>
      </c>
      <c r="D822" s="171"/>
      <c r="E822" s="425">
        <v>13.3603</v>
      </c>
      <c r="F822" s="425">
        <v>16.4707</v>
      </c>
      <c r="G822" s="425">
        <v>13.0951</v>
      </c>
      <c r="H822" s="171"/>
      <c r="I822" s="171"/>
      <c r="J822" s="425">
        <v>18.7288</v>
      </c>
      <c r="K822" s="182">
        <v>10614.35</v>
      </c>
      <c r="L822" s="36"/>
      <c r="M822" s="36"/>
      <c r="N822" s="36"/>
      <c r="O822" s="36"/>
      <c r="P822" s="36"/>
      <c r="Q822" s="36"/>
      <c r="R822" s="36"/>
      <c r="S822" s="36"/>
      <c r="T822" s="36"/>
      <c r="U822" s="36"/>
      <c r="V822" s="36"/>
      <c r="W822" s="36"/>
      <c r="X822" s="36"/>
      <c r="Y822" s="36"/>
      <c r="Z822" s="36"/>
      <c r="AA822" s="36"/>
      <c r="AB822" s="36"/>
      <c r="AC822" s="36"/>
    </row>
    <row r="823" ht="15.75" customHeight="1">
      <c r="A823" s="423">
        <v>43214.0</v>
      </c>
      <c r="B823" s="424">
        <v>13.9242</v>
      </c>
      <c r="C823" s="425">
        <v>16.5255</v>
      </c>
      <c r="D823" s="171"/>
      <c r="E823" s="425">
        <v>13.3603</v>
      </c>
      <c r="F823" s="425">
        <v>16.4707</v>
      </c>
      <c r="G823" s="425">
        <v>13.0951</v>
      </c>
      <c r="H823" s="171"/>
      <c r="I823" s="171"/>
      <c r="J823" s="425">
        <v>18.7448</v>
      </c>
      <c r="K823" s="182">
        <v>10614.35</v>
      </c>
      <c r="L823" s="36"/>
      <c r="M823" s="36"/>
      <c r="N823" s="36"/>
      <c r="O823" s="36"/>
      <c r="P823" s="36"/>
      <c r="Q823" s="36"/>
      <c r="R823" s="36"/>
      <c r="S823" s="36"/>
      <c r="T823" s="36"/>
      <c r="U823" s="36"/>
      <c r="V823" s="36"/>
      <c r="W823" s="36"/>
      <c r="X823" s="36"/>
      <c r="Y823" s="36"/>
      <c r="Z823" s="36"/>
      <c r="AA823" s="36"/>
      <c r="AB823" s="36"/>
      <c r="AC823" s="36"/>
    </row>
    <row r="824" ht="15.75" customHeight="1">
      <c r="A824" s="423">
        <v>43214.0</v>
      </c>
      <c r="B824" s="424">
        <v>13.9242</v>
      </c>
      <c r="C824" s="425">
        <v>16.5255</v>
      </c>
      <c r="D824" s="171"/>
      <c r="E824" s="425">
        <v>13.3603</v>
      </c>
      <c r="F824" s="425">
        <v>16.4707</v>
      </c>
      <c r="G824" s="425">
        <v>13.0951</v>
      </c>
      <c r="H824" s="171"/>
      <c r="I824" s="171"/>
      <c r="J824" s="425">
        <v>18.7448</v>
      </c>
      <c r="K824" s="182">
        <v>10614.35</v>
      </c>
      <c r="L824" s="36"/>
      <c r="M824" s="36"/>
      <c r="N824" s="36"/>
      <c r="O824" s="36"/>
      <c r="P824" s="36"/>
      <c r="Q824" s="36"/>
      <c r="R824" s="36"/>
      <c r="S824" s="36"/>
      <c r="T824" s="36"/>
      <c r="U824" s="36"/>
      <c r="V824" s="36"/>
      <c r="W824" s="36"/>
      <c r="X824" s="36"/>
      <c r="Y824" s="36"/>
      <c r="Z824" s="36"/>
      <c r="AA824" s="36"/>
      <c r="AB824" s="36"/>
      <c r="AC824" s="36"/>
    </row>
    <row r="825" ht="15.75" customHeight="1">
      <c r="A825" s="423">
        <v>43215.0</v>
      </c>
      <c r="B825" s="424">
        <v>13.8658</v>
      </c>
      <c r="C825" s="425">
        <v>16.5325</v>
      </c>
      <c r="D825" s="171"/>
      <c r="E825" s="425">
        <v>13.3192</v>
      </c>
      <c r="F825" s="425">
        <v>16.3974</v>
      </c>
      <c r="G825" s="425">
        <v>13.0853</v>
      </c>
      <c r="H825" s="171"/>
      <c r="I825" s="171"/>
      <c r="J825" s="425">
        <v>18.5978</v>
      </c>
      <c r="K825" s="182">
        <v>10570.55</v>
      </c>
      <c r="L825" s="36"/>
      <c r="M825" s="36"/>
      <c r="N825" s="36"/>
      <c r="O825" s="36"/>
      <c r="P825" s="36"/>
      <c r="Q825" s="36"/>
      <c r="R825" s="36"/>
      <c r="S825" s="36"/>
      <c r="T825" s="36"/>
      <c r="U825" s="36"/>
      <c r="V825" s="36"/>
      <c r="W825" s="36"/>
      <c r="X825" s="36"/>
      <c r="Y825" s="36"/>
      <c r="Z825" s="36"/>
      <c r="AA825" s="36"/>
      <c r="AB825" s="36"/>
      <c r="AC825" s="36"/>
    </row>
    <row r="826" ht="15.75" customHeight="1">
      <c r="A826" s="423">
        <v>43215.0</v>
      </c>
      <c r="B826" s="424">
        <v>13.8658</v>
      </c>
      <c r="C826" s="425">
        <v>16.5325</v>
      </c>
      <c r="D826" s="171"/>
      <c r="E826" s="425">
        <v>13.3192</v>
      </c>
      <c r="F826" s="425">
        <v>16.3974</v>
      </c>
      <c r="G826" s="425">
        <v>13.0853</v>
      </c>
      <c r="H826" s="171"/>
      <c r="I826" s="171"/>
      <c r="J826" s="425">
        <v>18.5978</v>
      </c>
      <c r="K826" s="182">
        <v>10570.55</v>
      </c>
      <c r="L826" s="36"/>
      <c r="M826" s="36"/>
      <c r="N826" s="36"/>
      <c r="O826" s="36"/>
      <c r="P826" s="36"/>
      <c r="Q826" s="36"/>
      <c r="R826" s="36"/>
      <c r="S826" s="36"/>
      <c r="T826" s="36"/>
      <c r="U826" s="36"/>
      <c r="V826" s="36"/>
      <c r="W826" s="36"/>
      <c r="X826" s="36"/>
      <c r="Y826" s="36"/>
      <c r="Z826" s="36"/>
      <c r="AA826" s="36"/>
      <c r="AB826" s="36"/>
      <c r="AC826" s="36"/>
    </row>
    <row r="827" ht="15.75" customHeight="1">
      <c r="A827" s="423">
        <v>43215.0</v>
      </c>
      <c r="B827" s="424">
        <v>13.8658</v>
      </c>
      <c r="C827" s="425">
        <v>16.5302</v>
      </c>
      <c r="D827" s="171"/>
      <c r="E827" s="425">
        <v>13.3192</v>
      </c>
      <c r="F827" s="425">
        <v>16.3974</v>
      </c>
      <c r="G827" s="425">
        <v>13.0853</v>
      </c>
      <c r="H827" s="171"/>
      <c r="I827" s="171"/>
      <c r="J827" s="425">
        <v>18.6975</v>
      </c>
      <c r="K827" s="182">
        <v>10570.55</v>
      </c>
      <c r="L827" s="36"/>
      <c r="M827" s="36"/>
      <c r="N827" s="36"/>
      <c r="O827" s="36"/>
      <c r="P827" s="36"/>
      <c r="Q827" s="36"/>
      <c r="R827" s="36"/>
      <c r="S827" s="36"/>
      <c r="T827" s="36"/>
      <c r="U827" s="36"/>
      <c r="V827" s="36"/>
      <c r="W827" s="36"/>
      <c r="X827" s="36"/>
      <c r="Y827" s="36"/>
      <c r="Z827" s="36"/>
      <c r="AA827" s="36"/>
      <c r="AB827" s="36"/>
      <c r="AC827" s="36"/>
    </row>
    <row r="828" ht="15.75" customHeight="1">
      <c r="A828" s="423">
        <v>43215.0</v>
      </c>
      <c r="B828" s="424">
        <v>13.8658</v>
      </c>
      <c r="C828" s="425">
        <v>16.5302</v>
      </c>
      <c r="D828" s="171"/>
      <c r="E828" s="425">
        <v>13.3192</v>
      </c>
      <c r="F828" s="425">
        <v>16.3974</v>
      </c>
      <c r="G828" s="425">
        <v>13.0853</v>
      </c>
      <c r="H828" s="171"/>
      <c r="I828" s="171"/>
      <c r="J828" s="425">
        <v>18.6975</v>
      </c>
      <c r="K828" s="182">
        <v>10570.55</v>
      </c>
      <c r="L828" s="36"/>
      <c r="M828" s="36"/>
      <c r="N828" s="36"/>
      <c r="O828" s="36"/>
      <c r="P828" s="36"/>
      <c r="Q828" s="36"/>
      <c r="R828" s="36"/>
      <c r="S828" s="36"/>
      <c r="T828" s="36"/>
      <c r="U828" s="36"/>
      <c r="V828" s="36"/>
      <c r="W828" s="36"/>
      <c r="X828" s="36"/>
      <c r="Y828" s="36"/>
      <c r="Z828" s="36"/>
      <c r="AA828" s="36"/>
      <c r="AB828" s="36"/>
      <c r="AC828" s="36"/>
    </row>
    <row r="829" ht="15.75" customHeight="1">
      <c r="A829" s="423">
        <v>43216.0</v>
      </c>
      <c r="B829" s="424">
        <v>13.9212</v>
      </c>
      <c r="C829" s="425">
        <v>16.5341</v>
      </c>
      <c r="D829" s="171"/>
      <c r="E829" s="425">
        <v>13.2973</v>
      </c>
      <c r="F829" s="425">
        <v>16.4746</v>
      </c>
      <c r="G829" s="425">
        <v>13.0832</v>
      </c>
      <c r="H829" s="171"/>
      <c r="I829" s="171"/>
      <c r="J829" s="425">
        <v>18.4798</v>
      </c>
      <c r="K829" s="182">
        <v>10617.8</v>
      </c>
      <c r="L829" s="36"/>
      <c r="M829" s="36"/>
      <c r="N829" s="36"/>
      <c r="O829" s="36"/>
      <c r="P829" s="36"/>
      <c r="Q829" s="36"/>
      <c r="R829" s="36"/>
      <c r="S829" s="36"/>
      <c r="T829" s="36"/>
      <c r="U829" s="36"/>
      <c r="V829" s="36"/>
      <c r="W829" s="36"/>
      <c r="X829" s="36"/>
      <c r="Y829" s="36"/>
      <c r="Z829" s="36"/>
      <c r="AA829" s="36"/>
      <c r="AB829" s="36"/>
      <c r="AC829" s="36"/>
    </row>
    <row r="830" ht="15.75" customHeight="1">
      <c r="A830" s="423">
        <v>43216.0</v>
      </c>
      <c r="B830" s="424">
        <v>13.9212</v>
      </c>
      <c r="C830" s="425">
        <v>16.5341</v>
      </c>
      <c r="D830" s="171"/>
      <c r="E830" s="425">
        <v>13.2973</v>
      </c>
      <c r="F830" s="425">
        <v>16.4746</v>
      </c>
      <c r="G830" s="425">
        <v>13.0832</v>
      </c>
      <c r="H830" s="171"/>
      <c r="I830" s="171"/>
      <c r="J830" s="425">
        <v>18.4798</v>
      </c>
      <c r="K830" s="182">
        <v>10617.8</v>
      </c>
      <c r="L830" s="36"/>
      <c r="M830" s="36"/>
      <c r="N830" s="36"/>
      <c r="O830" s="36"/>
      <c r="P830" s="36"/>
      <c r="Q830" s="36"/>
      <c r="R830" s="36"/>
      <c r="S830" s="36"/>
      <c r="T830" s="36"/>
      <c r="U830" s="36"/>
      <c r="V830" s="36"/>
      <c r="W830" s="36"/>
      <c r="X830" s="36"/>
      <c r="Y830" s="36"/>
      <c r="Z830" s="36"/>
      <c r="AA830" s="36"/>
      <c r="AB830" s="36"/>
      <c r="AC830" s="36"/>
    </row>
    <row r="831" ht="15.75" customHeight="1">
      <c r="A831" s="423">
        <v>43216.0</v>
      </c>
      <c r="B831" s="424">
        <v>13.9212</v>
      </c>
      <c r="C831" s="425">
        <v>16.5383</v>
      </c>
      <c r="D831" s="171"/>
      <c r="E831" s="425">
        <v>13.2973</v>
      </c>
      <c r="F831" s="425">
        <v>16.4746</v>
      </c>
      <c r="G831" s="425">
        <v>13.0832</v>
      </c>
      <c r="H831" s="171"/>
      <c r="I831" s="171"/>
      <c r="J831" s="425">
        <v>18.5041</v>
      </c>
      <c r="K831" s="182">
        <v>10617.8</v>
      </c>
      <c r="L831" s="36"/>
      <c r="M831" s="36"/>
      <c r="N831" s="36"/>
      <c r="O831" s="36"/>
      <c r="P831" s="36"/>
      <c r="Q831" s="36"/>
      <c r="R831" s="36"/>
      <c r="S831" s="36"/>
      <c r="T831" s="36"/>
      <c r="U831" s="36"/>
      <c r="V831" s="36"/>
      <c r="W831" s="36"/>
      <c r="X831" s="36"/>
      <c r="Y831" s="36"/>
      <c r="Z831" s="36"/>
      <c r="AA831" s="36"/>
      <c r="AB831" s="36"/>
      <c r="AC831" s="36"/>
    </row>
    <row r="832" ht="15.75" customHeight="1">
      <c r="A832" s="423">
        <v>43216.0</v>
      </c>
      <c r="B832" s="424">
        <v>13.9212</v>
      </c>
      <c r="C832" s="425">
        <v>16.5383</v>
      </c>
      <c r="D832" s="171"/>
      <c r="E832" s="425">
        <v>13.2973</v>
      </c>
      <c r="F832" s="425">
        <v>16.4746</v>
      </c>
      <c r="G832" s="425">
        <v>13.0832</v>
      </c>
      <c r="H832" s="171"/>
      <c r="I832" s="171"/>
      <c r="J832" s="425">
        <v>18.5041</v>
      </c>
      <c r="K832" s="182">
        <v>10617.8</v>
      </c>
      <c r="L832" s="36"/>
      <c r="M832" s="36"/>
      <c r="N832" s="36"/>
      <c r="O832" s="36"/>
      <c r="P832" s="36"/>
      <c r="Q832" s="36"/>
      <c r="R832" s="36"/>
      <c r="S832" s="36"/>
      <c r="T832" s="36"/>
      <c r="U832" s="36"/>
      <c r="V832" s="36"/>
      <c r="W832" s="36"/>
      <c r="X832" s="36"/>
      <c r="Y832" s="36"/>
      <c r="Z832" s="36"/>
      <c r="AA832" s="36"/>
      <c r="AB832" s="36"/>
      <c r="AC832" s="36"/>
    </row>
    <row r="833" ht="15.75" customHeight="1">
      <c r="A833" s="423">
        <v>43217.0</v>
      </c>
      <c r="B833" s="424">
        <v>14.007</v>
      </c>
      <c r="C833" s="425">
        <v>16.5355</v>
      </c>
      <c r="D833" s="171"/>
      <c r="E833" s="425">
        <v>13.2966</v>
      </c>
      <c r="F833" s="425">
        <v>16.5634</v>
      </c>
      <c r="G833" s="425">
        <v>13.0826</v>
      </c>
      <c r="H833" s="171"/>
      <c r="I833" s="171"/>
      <c r="J833" s="425">
        <v>18.558</v>
      </c>
      <c r="K833" s="182">
        <v>10692.3</v>
      </c>
      <c r="L833" s="36"/>
      <c r="M833" s="36"/>
      <c r="N833" s="36"/>
      <c r="O833" s="36"/>
      <c r="P833" s="36"/>
      <c r="Q833" s="36"/>
      <c r="R833" s="36"/>
      <c r="S833" s="36"/>
      <c r="T833" s="36"/>
      <c r="U833" s="36"/>
      <c r="V833" s="36"/>
      <c r="W833" s="36"/>
      <c r="X833" s="36"/>
      <c r="Y833" s="36"/>
      <c r="Z833" s="36"/>
      <c r="AA833" s="36"/>
      <c r="AB833" s="36"/>
      <c r="AC833" s="36"/>
    </row>
    <row r="834" ht="15.75" customHeight="1">
      <c r="A834" s="423">
        <v>43217.0</v>
      </c>
      <c r="B834" s="424">
        <v>14.007</v>
      </c>
      <c r="C834" s="425">
        <v>16.5355</v>
      </c>
      <c r="D834" s="171"/>
      <c r="E834" s="425">
        <v>13.2966</v>
      </c>
      <c r="F834" s="425">
        <v>16.5634</v>
      </c>
      <c r="G834" s="425">
        <v>13.0826</v>
      </c>
      <c r="H834" s="171"/>
      <c r="I834" s="171"/>
      <c r="J834" s="425">
        <v>18.558</v>
      </c>
      <c r="K834" s="182">
        <v>10692.3</v>
      </c>
      <c r="L834" s="36"/>
      <c r="M834" s="36"/>
      <c r="N834" s="36"/>
      <c r="O834" s="36"/>
      <c r="P834" s="36"/>
      <c r="Q834" s="36"/>
      <c r="R834" s="36"/>
      <c r="S834" s="36"/>
      <c r="T834" s="36"/>
      <c r="U834" s="36"/>
      <c r="V834" s="36"/>
      <c r="W834" s="36"/>
      <c r="X834" s="36"/>
      <c r="Y834" s="36"/>
      <c r="Z834" s="36"/>
      <c r="AA834" s="36"/>
      <c r="AB834" s="36"/>
      <c r="AC834" s="36"/>
    </row>
    <row r="835" ht="15.75" customHeight="1">
      <c r="A835" s="423">
        <v>43217.0</v>
      </c>
      <c r="B835" s="424">
        <v>14.007</v>
      </c>
      <c r="C835" s="425">
        <v>16.5357</v>
      </c>
      <c r="D835" s="171"/>
      <c r="E835" s="425">
        <v>13.2966</v>
      </c>
      <c r="F835" s="425">
        <v>16.5634</v>
      </c>
      <c r="G835" s="425">
        <v>13.0826</v>
      </c>
      <c r="H835" s="171"/>
      <c r="I835" s="171"/>
      <c r="J835" s="425">
        <v>18.5084</v>
      </c>
      <c r="K835" s="182">
        <v>10692.3</v>
      </c>
      <c r="L835" s="36"/>
      <c r="M835" s="36"/>
      <c r="N835" s="36"/>
      <c r="O835" s="36"/>
      <c r="P835" s="36"/>
      <c r="Q835" s="36"/>
      <c r="R835" s="36"/>
      <c r="S835" s="36"/>
      <c r="T835" s="36"/>
      <c r="U835" s="36"/>
      <c r="V835" s="36"/>
      <c r="W835" s="36"/>
      <c r="X835" s="36"/>
      <c r="Y835" s="36"/>
      <c r="Z835" s="36"/>
      <c r="AA835" s="36"/>
      <c r="AB835" s="36"/>
      <c r="AC835" s="36"/>
    </row>
    <row r="836" ht="15.75" customHeight="1">
      <c r="A836" s="423">
        <v>43217.0</v>
      </c>
      <c r="B836" s="424">
        <v>14.007</v>
      </c>
      <c r="C836" s="425">
        <v>16.5357</v>
      </c>
      <c r="D836" s="171"/>
      <c r="E836" s="425">
        <v>13.2966</v>
      </c>
      <c r="F836" s="425">
        <v>16.5634</v>
      </c>
      <c r="G836" s="425">
        <v>13.0826</v>
      </c>
      <c r="H836" s="171"/>
      <c r="I836" s="171"/>
      <c r="J836" s="425">
        <v>18.5084</v>
      </c>
      <c r="K836" s="182">
        <v>10692.3</v>
      </c>
      <c r="L836" s="36"/>
      <c r="M836" s="36"/>
      <c r="N836" s="36"/>
      <c r="O836" s="36"/>
      <c r="P836" s="36"/>
      <c r="Q836" s="36"/>
      <c r="R836" s="36"/>
      <c r="S836" s="36"/>
      <c r="T836" s="36"/>
      <c r="U836" s="36"/>
      <c r="V836" s="36"/>
      <c r="W836" s="36"/>
      <c r="X836" s="36"/>
      <c r="Y836" s="36"/>
      <c r="Z836" s="36"/>
      <c r="AA836" s="36"/>
      <c r="AB836" s="36"/>
      <c r="AC836" s="36"/>
    </row>
    <row r="837" ht="15.75" customHeight="1">
      <c r="A837" s="423">
        <v>43220.0</v>
      </c>
      <c r="B837" s="424">
        <v>14.0758</v>
      </c>
      <c r="C837" s="425">
        <v>16.5418</v>
      </c>
      <c r="D837" s="171"/>
      <c r="E837" s="425">
        <v>13.3033</v>
      </c>
      <c r="F837" s="425">
        <v>16.6356</v>
      </c>
      <c r="G837" s="425">
        <v>13.0881</v>
      </c>
      <c r="H837" s="171"/>
      <c r="I837" s="171"/>
      <c r="J837" s="425">
        <v>18.6733</v>
      </c>
      <c r="K837" s="182">
        <v>10739.35</v>
      </c>
      <c r="L837" s="36"/>
      <c r="M837" s="36"/>
      <c r="N837" s="36"/>
      <c r="O837" s="36"/>
      <c r="P837" s="36"/>
      <c r="Q837" s="36"/>
      <c r="R837" s="36"/>
      <c r="S837" s="36"/>
      <c r="T837" s="36"/>
      <c r="U837" s="36"/>
      <c r="V837" s="36"/>
      <c r="W837" s="36"/>
      <c r="X837" s="36"/>
      <c r="Y837" s="36"/>
      <c r="Z837" s="36"/>
      <c r="AA837" s="36"/>
      <c r="AB837" s="36"/>
      <c r="AC837" s="36"/>
    </row>
    <row r="838" ht="15.75" customHeight="1">
      <c r="A838" s="423">
        <v>43220.0</v>
      </c>
      <c r="B838" s="424">
        <v>14.0758</v>
      </c>
      <c r="C838" s="425">
        <v>16.5418</v>
      </c>
      <c r="D838" s="171"/>
      <c r="E838" s="425">
        <v>13.3033</v>
      </c>
      <c r="F838" s="425">
        <v>16.6356</v>
      </c>
      <c r="G838" s="425">
        <v>13.0881</v>
      </c>
      <c r="H838" s="171"/>
      <c r="I838" s="171"/>
      <c r="J838" s="425">
        <v>18.6733</v>
      </c>
      <c r="K838" s="182">
        <v>10739.35</v>
      </c>
      <c r="L838" s="36"/>
      <c r="M838" s="36"/>
      <c r="N838" s="36"/>
      <c r="O838" s="36"/>
      <c r="P838" s="36"/>
      <c r="Q838" s="36"/>
      <c r="R838" s="36"/>
      <c r="S838" s="36"/>
      <c r="T838" s="36"/>
      <c r="U838" s="36"/>
      <c r="V838" s="36"/>
      <c r="W838" s="36"/>
      <c r="X838" s="36"/>
      <c r="Y838" s="36"/>
      <c r="Z838" s="36"/>
      <c r="AA838" s="36"/>
      <c r="AB838" s="36"/>
      <c r="AC838" s="36"/>
    </row>
    <row r="839" ht="15.75" customHeight="1">
      <c r="A839" s="423">
        <v>43220.0</v>
      </c>
      <c r="B839" s="424">
        <v>14.0758</v>
      </c>
      <c r="C839" s="425">
        <v>16.5335</v>
      </c>
      <c r="D839" s="171"/>
      <c r="E839" s="425">
        <v>13.3033</v>
      </c>
      <c r="F839" s="425">
        <v>16.6356</v>
      </c>
      <c r="G839" s="425">
        <v>13.0881</v>
      </c>
      <c r="H839" s="171"/>
      <c r="I839" s="171"/>
      <c r="J839" s="425">
        <v>18.67</v>
      </c>
      <c r="K839" s="182">
        <v>10739.35</v>
      </c>
      <c r="L839" s="36"/>
      <c r="M839" s="36"/>
      <c r="N839" s="36"/>
      <c r="O839" s="36"/>
      <c r="P839" s="36"/>
      <c r="Q839" s="36"/>
      <c r="R839" s="36"/>
      <c r="S839" s="36"/>
      <c r="T839" s="36"/>
      <c r="U839" s="36"/>
      <c r="V839" s="36"/>
      <c r="W839" s="36"/>
      <c r="X839" s="36"/>
      <c r="Y839" s="36"/>
      <c r="Z839" s="36"/>
      <c r="AA839" s="36"/>
      <c r="AB839" s="36"/>
      <c r="AC839" s="36"/>
    </row>
    <row r="840" ht="15.75" customHeight="1">
      <c r="A840" s="423">
        <v>43220.0</v>
      </c>
      <c r="B840" s="424">
        <v>14.0758</v>
      </c>
      <c r="C840" s="425">
        <v>16.5335</v>
      </c>
      <c r="D840" s="171"/>
      <c r="E840" s="425">
        <v>13.3033</v>
      </c>
      <c r="F840" s="425">
        <v>16.6356</v>
      </c>
      <c r="G840" s="425">
        <v>13.0881</v>
      </c>
      <c r="H840" s="171"/>
      <c r="I840" s="171"/>
      <c r="J840" s="425">
        <v>18.67</v>
      </c>
      <c r="K840" s="182">
        <v>10739.35</v>
      </c>
      <c r="L840" s="36"/>
      <c r="M840" s="36"/>
      <c r="N840" s="36"/>
      <c r="O840" s="36"/>
      <c r="P840" s="36"/>
      <c r="Q840" s="36"/>
      <c r="R840" s="36"/>
      <c r="S840" s="36"/>
      <c r="T840" s="36"/>
      <c r="U840" s="36"/>
      <c r="V840" s="36"/>
      <c r="W840" s="36"/>
      <c r="X840" s="36"/>
      <c r="Y840" s="36"/>
      <c r="Z840" s="36"/>
      <c r="AA840" s="36"/>
      <c r="AB840" s="36"/>
      <c r="AC840" s="36"/>
    </row>
    <row r="841" ht="15.75" customHeight="1">
      <c r="A841" s="423">
        <v>43222.0</v>
      </c>
      <c r="B841" s="424">
        <v>14.0319</v>
      </c>
      <c r="C841" s="425">
        <v>16.5533</v>
      </c>
      <c r="D841" s="171"/>
      <c r="E841" s="425">
        <v>13.3267</v>
      </c>
      <c r="F841" s="425">
        <v>16.5947</v>
      </c>
      <c r="G841" s="425">
        <v>13.0945</v>
      </c>
      <c r="H841" s="171"/>
      <c r="I841" s="171"/>
      <c r="J841" s="425">
        <v>18.7797</v>
      </c>
      <c r="K841" s="182">
        <v>10718.05</v>
      </c>
      <c r="L841" s="36"/>
      <c r="M841" s="36"/>
      <c r="N841" s="36"/>
      <c r="O841" s="36"/>
      <c r="P841" s="36"/>
      <c r="Q841" s="36"/>
      <c r="R841" s="36"/>
      <c r="S841" s="36"/>
      <c r="T841" s="36"/>
      <c r="U841" s="36"/>
      <c r="V841" s="36"/>
      <c r="W841" s="36"/>
      <c r="X841" s="36"/>
      <c r="Y841" s="36"/>
      <c r="Z841" s="36"/>
      <c r="AA841" s="36"/>
      <c r="AB841" s="36"/>
      <c r="AC841" s="36"/>
    </row>
    <row r="842" ht="15.75" customHeight="1">
      <c r="A842" s="423">
        <v>43222.0</v>
      </c>
      <c r="B842" s="424">
        <v>14.0319</v>
      </c>
      <c r="C842" s="425">
        <v>16.5533</v>
      </c>
      <c r="D842" s="171"/>
      <c r="E842" s="425">
        <v>13.3267</v>
      </c>
      <c r="F842" s="425">
        <v>16.5947</v>
      </c>
      <c r="G842" s="425">
        <v>13.0945</v>
      </c>
      <c r="H842" s="171"/>
      <c r="I842" s="171"/>
      <c r="J842" s="425">
        <v>18.7797</v>
      </c>
      <c r="K842" s="182">
        <v>10718.05</v>
      </c>
      <c r="L842" s="36"/>
      <c r="M842" s="36"/>
      <c r="N842" s="36"/>
      <c r="O842" s="36"/>
      <c r="P842" s="36"/>
      <c r="Q842" s="36"/>
      <c r="R842" s="36"/>
      <c r="S842" s="36"/>
      <c r="T842" s="36"/>
      <c r="U842" s="36"/>
      <c r="V842" s="36"/>
      <c r="W842" s="36"/>
      <c r="X842" s="36"/>
      <c r="Y842" s="36"/>
      <c r="Z842" s="36"/>
      <c r="AA842" s="36"/>
      <c r="AB842" s="36"/>
      <c r="AC842" s="36"/>
    </row>
    <row r="843" ht="15.75" customHeight="1">
      <c r="A843" s="423">
        <v>43222.0</v>
      </c>
      <c r="B843" s="424">
        <v>14.0319</v>
      </c>
      <c r="C843" s="425">
        <v>16.5489</v>
      </c>
      <c r="D843" s="171"/>
      <c r="E843" s="425">
        <v>13.3267</v>
      </c>
      <c r="F843" s="425">
        <v>16.5947</v>
      </c>
      <c r="G843" s="425">
        <v>13.0945</v>
      </c>
      <c r="H843" s="171"/>
      <c r="I843" s="171"/>
      <c r="J843" s="425">
        <v>18.7295</v>
      </c>
      <c r="K843" s="182">
        <v>10718.05</v>
      </c>
      <c r="L843" s="36"/>
      <c r="M843" s="36"/>
      <c r="N843" s="36"/>
      <c r="O843" s="36"/>
      <c r="P843" s="36"/>
      <c r="Q843" s="36"/>
      <c r="R843" s="36"/>
      <c r="S843" s="36"/>
      <c r="T843" s="36"/>
      <c r="U843" s="36"/>
      <c r="V843" s="36"/>
      <c r="W843" s="36"/>
      <c r="X843" s="36"/>
      <c r="Y843" s="36"/>
      <c r="Z843" s="36"/>
      <c r="AA843" s="36"/>
      <c r="AB843" s="36"/>
      <c r="AC843" s="36"/>
    </row>
    <row r="844" ht="15.75" customHeight="1">
      <c r="A844" s="423">
        <v>43222.0</v>
      </c>
      <c r="B844" s="424">
        <v>14.0319</v>
      </c>
      <c r="C844" s="425">
        <v>16.5489</v>
      </c>
      <c r="D844" s="171"/>
      <c r="E844" s="425">
        <v>13.3267</v>
      </c>
      <c r="F844" s="425">
        <v>16.5947</v>
      </c>
      <c r="G844" s="425">
        <v>13.0945</v>
      </c>
      <c r="H844" s="171"/>
      <c r="I844" s="171"/>
      <c r="J844" s="425">
        <v>18.7295</v>
      </c>
      <c r="K844" s="182">
        <v>10718.05</v>
      </c>
      <c r="L844" s="36"/>
      <c r="M844" s="36"/>
      <c r="N844" s="36"/>
      <c r="O844" s="36"/>
      <c r="P844" s="36"/>
      <c r="Q844" s="36"/>
      <c r="R844" s="36"/>
      <c r="S844" s="36"/>
      <c r="T844" s="36"/>
      <c r="U844" s="36"/>
      <c r="V844" s="36"/>
      <c r="W844" s="36"/>
      <c r="X844" s="36"/>
      <c r="Y844" s="36"/>
      <c r="Z844" s="36"/>
      <c r="AA844" s="36"/>
      <c r="AB844" s="36"/>
      <c r="AC844" s="36"/>
    </row>
    <row r="845" ht="15.75" customHeight="1">
      <c r="A845" s="423">
        <v>43223.0</v>
      </c>
      <c r="B845" s="424">
        <v>13.985</v>
      </c>
      <c r="C845" s="425">
        <v>16.5892</v>
      </c>
      <c r="D845" s="171"/>
      <c r="E845" s="425">
        <v>13.3278</v>
      </c>
      <c r="F845" s="425">
        <v>16.5439</v>
      </c>
      <c r="G845" s="425">
        <v>13.0943</v>
      </c>
      <c r="H845" s="171"/>
      <c r="I845" s="171"/>
      <c r="J845" s="425">
        <v>18.9204</v>
      </c>
      <c r="K845" s="182">
        <v>10679.65</v>
      </c>
      <c r="L845" s="36"/>
      <c r="M845" s="36"/>
      <c r="N845" s="36"/>
      <c r="O845" s="36"/>
      <c r="P845" s="36"/>
      <c r="Q845" s="36"/>
      <c r="R845" s="36"/>
      <c r="S845" s="36"/>
      <c r="T845" s="36"/>
      <c r="U845" s="36"/>
      <c r="V845" s="36"/>
      <c r="W845" s="36"/>
      <c r="X845" s="36"/>
      <c r="Y845" s="36"/>
      <c r="Z845" s="36"/>
      <c r="AA845" s="36"/>
      <c r="AB845" s="36"/>
      <c r="AC845" s="36"/>
    </row>
    <row r="846" ht="15.75" customHeight="1">
      <c r="A846" s="423">
        <v>43223.0</v>
      </c>
      <c r="B846" s="424">
        <v>13.985</v>
      </c>
      <c r="C846" s="425">
        <v>16.5892</v>
      </c>
      <c r="D846" s="171"/>
      <c r="E846" s="425">
        <v>13.3278</v>
      </c>
      <c r="F846" s="425">
        <v>16.5439</v>
      </c>
      <c r="G846" s="425">
        <v>13.0943</v>
      </c>
      <c r="H846" s="171"/>
      <c r="I846" s="171"/>
      <c r="J846" s="425">
        <v>18.9204</v>
      </c>
      <c r="K846" s="182">
        <v>10679.65</v>
      </c>
      <c r="L846" s="36"/>
      <c r="M846" s="36"/>
      <c r="N846" s="36"/>
      <c r="O846" s="36"/>
      <c r="P846" s="36"/>
      <c r="Q846" s="36"/>
      <c r="R846" s="36"/>
      <c r="S846" s="36"/>
      <c r="T846" s="36"/>
      <c r="U846" s="36"/>
      <c r="V846" s="36"/>
      <c r="W846" s="36"/>
      <c r="X846" s="36"/>
      <c r="Y846" s="36"/>
      <c r="Z846" s="36"/>
      <c r="AA846" s="36"/>
      <c r="AB846" s="36"/>
      <c r="AC846" s="36"/>
    </row>
    <row r="847" ht="15.75" customHeight="1">
      <c r="A847" s="423">
        <v>43223.0</v>
      </c>
      <c r="B847" s="424">
        <v>13.985</v>
      </c>
      <c r="C847" s="425">
        <v>16.559</v>
      </c>
      <c r="D847" s="171"/>
      <c r="E847" s="425">
        <v>13.3278</v>
      </c>
      <c r="F847" s="425">
        <v>16.5439</v>
      </c>
      <c r="G847" s="425">
        <v>13.0943</v>
      </c>
      <c r="H847" s="171"/>
      <c r="I847" s="171"/>
      <c r="J847" s="425">
        <v>18.788</v>
      </c>
      <c r="K847" s="182">
        <v>10679.65</v>
      </c>
      <c r="L847" s="36"/>
      <c r="M847" s="36"/>
      <c r="N847" s="36"/>
      <c r="O847" s="36"/>
      <c r="P847" s="36"/>
      <c r="Q847" s="36"/>
      <c r="R847" s="36"/>
      <c r="S847" s="36"/>
      <c r="T847" s="36"/>
      <c r="U847" s="36"/>
      <c r="V847" s="36"/>
      <c r="W847" s="36"/>
      <c r="X847" s="36"/>
      <c r="Y847" s="36"/>
      <c r="Z847" s="36"/>
      <c r="AA847" s="36"/>
      <c r="AB847" s="36"/>
      <c r="AC847" s="36"/>
    </row>
    <row r="848" ht="15.75" customHeight="1">
      <c r="A848" s="423">
        <v>43223.0</v>
      </c>
      <c r="B848" s="424">
        <v>13.985</v>
      </c>
      <c r="C848" s="425">
        <v>16.559</v>
      </c>
      <c r="D848" s="171"/>
      <c r="E848" s="425">
        <v>13.3278</v>
      </c>
      <c r="F848" s="425">
        <v>16.5439</v>
      </c>
      <c r="G848" s="425">
        <v>13.0943</v>
      </c>
      <c r="H848" s="171"/>
      <c r="I848" s="171"/>
      <c r="J848" s="425">
        <v>18.788</v>
      </c>
      <c r="K848" s="182">
        <v>10679.65</v>
      </c>
      <c r="L848" s="36"/>
      <c r="M848" s="36"/>
      <c r="N848" s="36"/>
      <c r="O848" s="36"/>
      <c r="P848" s="36"/>
      <c r="Q848" s="36"/>
      <c r="R848" s="36"/>
      <c r="S848" s="36"/>
      <c r="T848" s="36"/>
      <c r="U848" s="36"/>
      <c r="V848" s="36"/>
      <c r="W848" s="36"/>
      <c r="X848" s="36"/>
      <c r="Y848" s="36"/>
      <c r="Z848" s="36"/>
      <c r="AA848" s="36"/>
      <c r="AB848" s="36"/>
      <c r="AC848" s="36"/>
    </row>
    <row r="849" ht="15.75" customHeight="1">
      <c r="A849" s="423">
        <v>43224.0</v>
      </c>
      <c r="B849" s="424">
        <v>13.9276</v>
      </c>
      <c r="C849" s="425">
        <v>16.5942</v>
      </c>
      <c r="D849" s="171"/>
      <c r="E849" s="425">
        <v>13.3337</v>
      </c>
      <c r="F849" s="425">
        <v>16.4887</v>
      </c>
      <c r="G849" s="425">
        <v>13.0949</v>
      </c>
      <c r="H849" s="171"/>
      <c r="I849" s="171"/>
      <c r="J849" s="425">
        <v>18.9613</v>
      </c>
      <c r="K849" s="182">
        <v>10618.25</v>
      </c>
      <c r="L849" s="36"/>
      <c r="M849" s="36"/>
      <c r="N849" s="36"/>
      <c r="O849" s="36"/>
      <c r="P849" s="36"/>
      <c r="Q849" s="36"/>
      <c r="R849" s="36"/>
      <c r="S849" s="36"/>
      <c r="T849" s="36"/>
      <c r="U849" s="36"/>
      <c r="V849" s="36"/>
      <c r="W849" s="36"/>
      <c r="X849" s="36"/>
      <c r="Y849" s="36"/>
      <c r="Z849" s="36"/>
      <c r="AA849" s="36"/>
      <c r="AB849" s="36"/>
      <c r="AC849" s="36"/>
    </row>
    <row r="850" ht="15.75" customHeight="1">
      <c r="A850" s="423">
        <v>43224.0</v>
      </c>
      <c r="B850" s="424">
        <v>13.9276</v>
      </c>
      <c r="C850" s="425">
        <v>16.5942</v>
      </c>
      <c r="D850" s="171"/>
      <c r="E850" s="425">
        <v>13.3337</v>
      </c>
      <c r="F850" s="425">
        <v>16.4887</v>
      </c>
      <c r="G850" s="425">
        <v>13.0949</v>
      </c>
      <c r="H850" s="171"/>
      <c r="I850" s="171"/>
      <c r="J850" s="425">
        <v>18.9613</v>
      </c>
      <c r="K850" s="182">
        <v>10618.25</v>
      </c>
      <c r="L850" s="36"/>
      <c r="M850" s="36"/>
      <c r="N850" s="36"/>
      <c r="O850" s="36"/>
      <c r="P850" s="36"/>
      <c r="Q850" s="36"/>
      <c r="R850" s="36"/>
      <c r="S850" s="36"/>
      <c r="T850" s="36"/>
      <c r="U850" s="36"/>
      <c r="V850" s="36"/>
      <c r="W850" s="36"/>
      <c r="X850" s="36"/>
      <c r="Y850" s="36"/>
      <c r="Z850" s="36"/>
      <c r="AA850" s="36"/>
      <c r="AB850" s="36"/>
      <c r="AC850" s="36"/>
    </row>
    <row r="851" ht="15.75" customHeight="1">
      <c r="A851" s="423">
        <v>43224.0</v>
      </c>
      <c r="B851" s="424">
        <v>13.9276</v>
      </c>
      <c r="C851" s="425">
        <v>16.5918</v>
      </c>
      <c r="D851" s="171"/>
      <c r="E851" s="425">
        <v>13.3337</v>
      </c>
      <c r="F851" s="425">
        <v>16.4887</v>
      </c>
      <c r="G851" s="425">
        <v>13.0949</v>
      </c>
      <c r="H851" s="171"/>
      <c r="I851" s="171"/>
      <c r="J851" s="425">
        <v>18.9166</v>
      </c>
      <c r="K851" s="182">
        <v>10618.25</v>
      </c>
      <c r="L851" s="36"/>
      <c r="M851" s="36"/>
      <c r="N851" s="36"/>
      <c r="O851" s="36"/>
      <c r="P851" s="36"/>
      <c r="Q851" s="36"/>
      <c r="R851" s="36"/>
      <c r="S851" s="36"/>
      <c r="T851" s="36"/>
      <c r="U851" s="36"/>
      <c r="V851" s="36"/>
      <c r="W851" s="36"/>
      <c r="X851" s="36"/>
      <c r="Y851" s="36"/>
      <c r="Z851" s="36"/>
      <c r="AA851" s="36"/>
      <c r="AB851" s="36"/>
      <c r="AC851" s="36"/>
    </row>
    <row r="852" ht="15.75" customHeight="1">
      <c r="A852" s="423">
        <v>43224.0</v>
      </c>
      <c r="B852" s="424">
        <v>13.9276</v>
      </c>
      <c r="C852" s="425">
        <v>16.5918</v>
      </c>
      <c r="D852" s="171"/>
      <c r="E852" s="425">
        <v>13.3337</v>
      </c>
      <c r="F852" s="425">
        <v>16.4887</v>
      </c>
      <c r="G852" s="425">
        <v>13.0949</v>
      </c>
      <c r="H852" s="171"/>
      <c r="I852" s="171"/>
      <c r="J852" s="425">
        <v>18.9166</v>
      </c>
      <c r="K852" s="182">
        <v>10618.25</v>
      </c>
      <c r="L852" s="36"/>
      <c r="M852" s="36"/>
      <c r="N852" s="36"/>
      <c r="O852" s="36"/>
      <c r="P852" s="36"/>
      <c r="Q852" s="36"/>
      <c r="R852" s="36"/>
      <c r="S852" s="36"/>
      <c r="T852" s="36"/>
      <c r="U852" s="36"/>
      <c r="V852" s="36"/>
      <c r="W852" s="36"/>
      <c r="X852" s="36"/>
      <c r="Y852" s="36"/>
      <c r="Z852" s="36"/>
      <c r="AA852" s="36"/>
      <c r="AB852" s="36"/>
      <c r="AC852" s="36"/>
    </row>
    <row r="853" ht="15.75" customHeight="1">
      <c r="A853" s="423">
        <v>43227.0</v>
      </c>
      <c r="B853" s="424">
        <v>14.0434</v>
      </c>
      <c r="C853" s="425">
        <v>16.6002</v>
      </c>
      <c r="D853" s="171"/>
      <c r="E853" s="425">
        <v>13.3901</v>
      </c>
      <c r="F853" s="425">
        <v>16.6039</v>
      </c>
      <c r="G853" s="425">
        <v>13.1087</v>
      </c>
      <c r="H853" s="171"/>
      <c r="I853" s="171"/>
      <c r="J853" s="425">
        <v>19.0447</v>
      </c>
      <c r="K853" s="182">
        <v>10715.5</v>
      </c>
      <c r="L853" s="36"/>
      <c r="M853" s="36"/>
      <c r="N853" s="36"/>
      <c r="O853" s="36"/>
      <c r="P853" s="36"/>
      <c r="Q853" s="36"/>
      <c r="R853" s="36"/>
      <c r="S853" s="36"/>
      <c r="T853" s="36"/>
      <c r="U853" s="36"/>
      <c r="V853" s="36"/>
      <c r="W853" s="36"/>
      <c r="X853" s="36"/>
      <c r="Y853" s="36"/>
      <c r="Z853" s="36"/>
      <c r="AA853" s="36"/>
      <c r="AB853" s="36"/>
      <c r="AC853" s="36"/>
    </row>
    <row r="854" ht="15.75" customHeight="1">
      <c r="A854" s="423">
        <v>43227.0</v>
      </c>
      <c r="B854" s="424">
        <v>14.0434</v>
      </c>
      <c r="C854" s="425">
        <v>16.6002</v>
      </c>
      <c r="D854" s="171"/>
      <c r="E854" s="425">
        <v>13.3901</v>
      </c>
      <c r="F854" s="425">
        <v>16.6039</v>
      </c>
      <c r="G854" s="425">
        <v>13.1087</v>
      </c>
      <c r="H854" s="171"/>
      <c r="I854" s="171"/>
      <c r="J854" s="425">
        <v>19.0447</v>
      </c>
      <c r="K854" s="182">
        <v>10715.5</v>
      </c>
      <c r="L854" s="36"/>
      <c r="M854" s="36"/>
      <c r="N854" s="36"/>
      <c r="O854" s="36"/>
      <c r="P854" s="36"/>
      <c r="Q854" s="36"/>
      <c r="R854" s="36"/>
      <c r="S854" s="36"/>
      <c r="T854" s="36"/>
      <c r="U854" s="36"/>
      <c r="V854" s="36"/>
      <c r="W854" s="36"/>
      <c r="X854" s="36"/>
      <c r="Y854" s="36"/>
      <c r="Z854" s="36"/>
      <c r="AA854" s="36"/>
      <c r="AB854" s="36"/>
      <c r="AC854" s="36"/>
    </row>
    <row r="855" ht="15.75" customHeight="1">
      <c r="A855" s="423">
        <v>43227.0</v>
      </c>
      <c r="B855" s="424">
        <v>14.0434</v>
      </c>
      <c r="C855" s="425">
        <v>16.5982</v>
      </c>
      <c r="D855" s="171"/>
      <c r="E855" s="425">
        <v>13.3901</v>
      </c>
      <c r="F855" s="425">
        <v>16.6039</v>
      </c>
      <c r="G855" s="425">
        <v>13.1087</v>
      </c>
      <c r="H855" s="171"/>
      <c r="I855" s="171"/>
      <c r="J855" s="425">
        <v>19.0711</v>
      </c>
      <c r="K855" s="182">
        <v>10715.5</v>
      </c>
      <c r="L855" s="36"/>
      <c r="M855" s="36"/>
      <c r="N855" s="36"/>
      <c r="O855" s="36"/>
      <c r="P855" s="36"/>
      <c r="Q855" s="36"/>
      <c r="R855" s="36"/>
      <c r="S855" s="36"/>
      <c r="T855" s="36"/>
      <c r="U855" s="36"/>
      <c r="V855" s="36"/>
      <c r="W855" s="36"/>
      <c r="X855" s="36"/>
      <c r="Y855" s="36"/>
      <c r="Z855" s="36"/>
      <c r="AA855" s="36"/>
      <c r="AB855" s="36"/>
      <c r="AC855" s="36"/>
    </row>
    <row r="856" ht="15.75" customHeight="1">
      <c r="A856" s="423">
        <v>43227.0</v>
      </c>
      <c r="B856" s="424">
        <v>14.0434</v>
      </c>
      <c r="C856" s="425">
        <v>16.5982</v>
      </c>
      <c r="D856" s="171"/>
      <c r="E856" s="425">
        <v>13.3901</v>
      </c>
      <c r="F856" s="425">
        <v>16.6039</v>
      </c>
      <c r="G856" s="425">
        <v>13.1087</v>
      </c>
      <c r="H856" s="171"/>
      <c r="I856" s="171"/>
      <c r="J856" s="425">
        <v>19.0711</v>
      </c>
      <c r="K856" s="182">
        <v>10715.5</v>
      </c>
      <c r="L856" s="36"/>
      <c r="M856" s="36"/>
      <c r="N856" s="36"/>
      <c r="O856" s="36"/>
      <c r="P856" s="36"/>
      <c r="Q856" s="36"/>
      <c r="R856" s="36"/>
      <c r="S856" s="36"/>
      <c r="T856" s="36"/>
      <c r="U856" s="36"/>
      <c r="V856" s="36"/>
      <c r="W856" s="36"/>
      <c r="X856" s="36"/>
      <c r="Y856" s="36"/>
      <c r="Z856" s="36"/>
      <c r="AA856" s="36"/>
      <c r="AB856" s="36"/>
      <c r="AC856" s="36"/>
    </row>
    <row r="857" ht="15.75" customHeight="1">
      <c r="A857" s="423">
        <v>43228.0</v>
      </c>
      <c r="B857" s="424">
        <v>14.0462</v>
      </c>
      <c r="C857" s="425">
        <v>16.6138</v>
      </c>
      <c r="D857" s="171"/>
      <c r="E857" s="425">
        <v>13.4415</v>
      </c>
      <c r="F857" s="425">
        <v>16.6066</v>
      </c>
      <c r="G857" s="425">
        <v>13.1186</v>
      </c>
      <c r="H857" s="171"/>
      <c r="I857" s="171"/>
      <c r="J857" s="425">
        <v>18.9505</v>
      </c>
      <c r="K857" s="182">
        <v>10717.8</v>
      </c>
      <c r="L857" s="36"/>
      <c r="M857" s="36"/>
      <c r="N857" s="36"/>
      <c r="O857" s="36"/>
      <c r="P857" s="36"/>
      <c r="Q857" s="36"/>
      <c r="R857" s="36"/>
      <c r="S857" s="36"/>
      <c r="T857" s="36"/>
      <c r="U857" s="36"/>
      <c r="V857" s="36"/>
      <c r="W857" s="36"/>
      <c r="X857" s="36"/>
      <c r="Y857" s="36"/>
      <c r="Z857" s="36"/>
      <c r="AA857" s="36"/>
      <c r="AB857" s="36"/>
      <c r="AC857" s="36"/>
    </row>
    <row r="858" ht="15.75" customHeight="1">
      <c r="A858" s="423">
        <v>43228.0</v>
      </c>
      <c r="B858" s="424">
        <v>14.0462</v>
      </c>
      <c r="C858" s="425">
        <v>16.6138</v>
      </c>
      <c r="D858" s="171"/>
      <c r="E858" s="425">
        <v>13.4415</v>
      </c>
      <c r="F858" s="425">
        <v>16.6066</v>
      </c>
      <c r="G858" s="425">
        <v>13.1186</v>
      </c>
      <c r="H858" s="171"/>
      <c r="I858" s="171"/>
      <c r="J858" s="425">
        <v>18.9505</v>
      </c>
      <c r="K858" s="182">
        <v>10717.8</v>
      </c>
      <c r="L858" s="36"/>
      <c r="M858" s="36"/>
      <c r="N858" s="36"/>
      <c r="O858" s="36"/>
      <c r="P858" s="36"/>
      <c r="Q858" s="36"/>
      <c r="R858" s="36"/>
      <c r="S858" s="36"/>
      <c r="T858" s="36"/>
      <c r="U858" s="36"/>
      <c r="V858" s="36"/>
      <c r="W858" s="36"/>
      <c r="X858" s="36"/>
      <c r="Y858" s="36"/>
      <c r="Z858" s="36"/>
      <c r="AA858" s="36"/>
      <c r="AB858" s="36"/>
      <c r="AC858" s="36"/>
    </row>
    <row r="859" ht="15.75" customHeight="1">
      <c r="A859" s="423">
        <v>43228.0</v>
      </c>
      <c r="B859" s="424">
        <v>14.0462</v>
      </c>
      <c r="C859" s="425">
        <v>16.6075</v>
      </c>
      <c r="D859" s="171"/>
      <c r="E859" s="425">
        <v>13.4415</v>
      </c>
      <c r="F859" s="425">
        <v>16.6066</v>
      </c>
      <c r="G859" s="425">
        <v>13.1186</v>
      </c>
      <c r="H859" s="171"/>
      <c r="I859" s="171"/>
      <c r="J859" s="425">
        <v>19.0646</v>
      </c>
      <c r="K859" s="182">
        <v>10717.8</v>
      </c>
      <c r="L859" s="36"/>
      <c r="M859" s="36"/>
      <c r="N859" s="36"/>
      <c r="O859" s="36"/>
      <c r="P859" s="36"/>
      <c r="Q859" s="36"/>
      <c r="R859" s="36"/>
      <c r="S859" s="36"/>
      <c r="T859" s="36"/>
      <c r="U859" s="36"/>
      <c r="V859" s="36"/>
      <c r="W859" s="36"/>
      <c r="X859" s="36"/>
      <c r="Y859" s="36"/>
      <c r="Z859" s="36"/>
      <c r="AA859" s="36"/>
      <c r="AB859" s="36"/>
      <c r="AC859" s="36"/>
    </row>
    <row r="860" ht="15.75" customHeight="1">
      <c r="A860" s="423">
        <v>43228.0</v>
      </c>
      <c r="B860" s="424">
        <v>14.0462</v>
      </c>
      <c r="C860" s="425">
        <v>16.6075</v>
      </c>
      <c r="D860" s="171"/>
      <c r="E860" s="425">
        <v>13.4415</v>
      </c>
      <c r="F860" s="425">
        <v>16.6066</v>
      </c>
      <c r="G860" s="425">
        <v>13.1186</v>
      </c>
      <c r="H860" s="171"/>
      <c r="I860" s="171"/>
      <c r="J860" s="425">
        <v>19.0646</v>
      </c>
      <c r="K860" s="182">
        <v>10717.8</v>
      </c>
      <c r="L860" s="36"/>
      <c r="M860" s="36"/>
      <c r="N860" s="36"/>
      <c r="O860" s="36"/>
      <c r="P860" s="36"/>
      <c r="Q860" s="36"/>
      <c r="R860" s="36"/>
      <c r="S860" s="36"/>
      <c r="T860" s="36"/>
      <c r="U860" s="36"/>
      <c r="V860" s="36"/>
      <c r="W860" s="36"/>
      <c r="X860" s="36"/>
      <c r="Y860" s="36"/>
      <c r="Z860" s="36"/>
      <c r="AA860" s="36"/>
      <c r="AB860" s="36"/>
      <c r="AC860" s="36"/>
    </row>
    <row r="861" ht="15.75" customHeight="1">
      <c r="A861" s="423">
        <v>43229.0</v>
      </c>
      <c r="B861" s="424">
        <v>14.0673</v>
      </c>
      <c r="C861" s="425">
        <v>16.6267</v>
      </c>
      <c r="D861" s="171"/>
      <c r="E861" s="425">
        <v>13.3532</v>
      </c>
      <c r="F861" s="425">
        <v>16.6251</v>
      </c>
      <c r="G861" s="425">
        <v>13.1039</v>
      </c>
      <c r="H861" s="171"/>
      <c r="I861" s="171"/>
      <c r="J861" s="425">
        <v>19.0413</v>
      </c>
      <c r="K861" s="182">
        <v>10741.7</v>
      </c>
      <c r="L861" s="36"/>
      <c r="M861" s="36"/>
      <c r="N861" s="36"/>
      <c r="O861" s="36"/>
      <c r="P861" s="36"/>
      <c r="Q861" s="36"/>
      <c r="R861" s="36"/>
      <c r="S861" s="36"/>
      <c r="T861" s="36"/>
      <c r="U861" s="36"/>
      <c r="V861" s="36"/>
      <c r="W861" s="36"/>
      <c r="X861" s="36"/>
      <c r="Y861" s="36"/>
      <c r="Z861" s="36"/>
      <c r="AA861" s="36"/>
      <c r="AB861" s="36"/>
      <c r="AC861" s="36"/>
    </row>
    <row r="862" ht="15.75" customHeight="1">
      <c r="A862" s="423">
        <v>43229.0</v>
      </c>
      <c r="B862" s="424">
        <v>14.0673</v>
      </c>
      <c r="C862" s="425">
        <v>16.6267</v>
      </c>
      <c r="D862" s="171"/>
      <c r="E862" s="425">
        <v>13.3532</v>
      </c>
      <c r="F862" s="425">
        <v>16.6251</v>
      </c>
      <c r="G862" s="425">
        <v>13.1039</v>
      </c>
      <c r="H862" s="171"/>
      <c r="I862" s="171"/>
      <c r="J862" s="425">
        <v>19.0413</v>
      </c>
      <c r="K862" s="182">
        <v>10741.7</v>
      </c>
      <c r="L862" s="36"/>
      <c r="M862" s="36"/>
      <c r="N862" s="36"/>
      <c r="O862" s="36"/>
      <c r="P862" s="36"/>
      <c r="Q862" s="36"/>
      <c r="R862" s="36"/>
      <c r="S862" s="36"/>
      <c r="T862" s="36"/>
      <c r="U862" s="36"/>
      <c r="V862" s="36"/>
      <c r="W862" s="36"/>
      <c r="X862" s="36"/>
      <c r="Y862" s="36"/>
      <c r="Z862" s="36"/>
      <c r="AA862" s="36"/>
      <c r="AB862" s="36"/>
      <c r="AC862" s="36"/>
    </row>
    <row r="863" ht="15.75" customHeight="1">
      <c r="A863" s="423">
        <v>43229.0</v>
      </c>
      <c r="B863" s="424">
        <v>14.0673</v>
      </c>
      <c r="C863" s="425">
        <v>16.6207</v>
      </c>
      <c r="D863" s="171"/>
      <c r="E863" s="425">
        <v>13.3532</v>
      </c>
      <c r="F863" s="425">
        <v>16.6251</v>
      </c>
      <c r="G863" s="425">
        <v>13.1039</v>
      </c>
      <c r="H863" s="171"/>
      <c r="I863" s="171"/>
      <c r="J863" s="425">
        <v>19.07</v>
      </c>
      <c r="K863" s="182">
        <v>10741.7</v>
      </c>
      <c r="L863" s="36"/>
      <c r="M863" s="36"/>
      <c r="N863" s="36"/>
      <c r="O863" s="36"/>
      <c r="P863" s="36"/>
      <c r="Q863" s="36"/>
      <c r="R863" s="36"/>
      <c r="S863" s="36"/>
      <c r="T863" s="36"/>
      <c r="U863" s="36"/>
      <c r="V863" s="36"/>
      <c r="W863" s="36"/>
      <c r="X863" s="36"/>
      <c r="Y863" s="36"/>
      <c r="Z863" s="36"/>
      <c r="AA863" s="36"/>
      <c r="AB863" s="36"/>
      <c r="AC863" s="36"/>
    </row>
    <row r="864" ht="15.75" customHeight="1">
      <c r="A864" s="423">
        <v>43229.0</v>
      </c>
      <c r="B864" s="424">
        <v>14.0673</v>
      </c>
      <c r="C864" s="425">
        <v>16.6207</v>
      </c>
      <c r="D864" s="171"/>
      <c r="E864" s="425">
        <v>13.3532</v>
      </c>
      <c r="F864" s="425">
        <v>16.6251</v>
      </c>
      <c r="G864" s="425">
        <v>13.1039</v>
      </c>
      <c r="H864" s="171"/>
      <c r="I864" s="171"/>
      <c r="J864" s="425">
        <v>19.07</v>
      </c>
      <c r="K864" s="182">
        <v>10741.7</v>
      </c>
      <c r="L864" s="36"/>
      <c r="M864" s="36"/>
      <c r="N864" s="36"/>
      <c r="O864" s="36"/>
      <c r="P864" s="36"/>
      <c r="Q864" s="36"/>
      <c r="R864" s="36"/>
      <c r="S864" s="36"/>
      <c r="T864" s="36"/>
      <c r="U864" s="36"/>
      <c r="V864" s="36"/>
      <c r="W864" s="36"/>
      <c r="X864" s="36"/>
      <c r="Y864" s="36"/>
      <c r="Z864" s="36"/>
      <c r="AA864" s="36"/>
      <c r="AB864" s="36"/>
      <c r="AC864" s="36"/>
    </row>
    <row r="865" ht="15.75" customHeight="1">
      <c r="A865" s="423">
        <v>43230.0</v>
      </c>
      <c r="B865" s="424">
        <v>14.0303</v>
      </c>
      <c r="C865" s="425">
        <v>16.642</v>
      </c>
      <c r="D865" s="171"/>
      <c r="E865" s="425">
        <v>13.3506</v>
      </c>
      <c r="F865" s="425">
        <v>16.5856</v>
      </c>
      <c r="G865" s="425">
        <v>13.1026</v>
      </c>
      <c r="H865" s="171"/>
      <c r="I865" s="171"/>
      <c r="J865" s="425">
        <v>19.1789</v>
      </c>
      <c r="K865" s="182">
        <v>10716.55</v>
      </c>
      <c r="L865" s="36"/>
      <c r="M865" s="36"/>
      <c r="N865" s="36"/>
      <c r="O865" s="36"/>
      <c r="P865" s="36"/>
      <c r="Q865" s="36"/>
      <c r="R865" s="36"/>
      <c r="S865" s="36"/>
      <c r="T865" s="36"/>
      <c r="U865" s="36"/>
      <c r="V865" s="36"/>
      <c r="W865" s="36"/>
      <c r="X865" s="36"/>
      <c r="Y865" s="36"/>
      <c r="Z865" s="36"/>
      <c r="AA865" s="36"/>
      <c r="AB865" s="36"/>
      <c r="AC865" s="36"/>
    </row>
    <row r="866" ht="15.75" customHeight="1">
      <c r="A866" s="423">
        <v>43230.0</v>
      </c>
      <c r="B866" s="424">
        <v>14.0303</v>
      </c>
      <c r="C866" s="425">
        <v>16.642</v>
      </c>
      <c r="D866" s="171"/>
      <c r="E866" s="425">
        <v>13.3506</v>
      </c>
      <c r="F866" s="425">
        <v>16.5856</v>
      </c>
      <c r="G866" s="425">
        <v>13.1026</v>
      </c>
      <c r="H866" s="171"/>
      <c r="I866" s="171"/>
      <c r="J866" s="425">
        <v>19.1789</v>
      </c>
      <c r="K866" s="182">
        <v>10716.55</v>
      </c>
      <c r="L866" s="36"/>
      <c r="M866" s="36"/>
      <c r="N866" s="36"/>
      <c r="O866" s="36"/>
      <c r="P866" s="36"/>
      <c r="Q866" s="36"/>
      <c r="R866" s="36"/>
      <c r="S866" s="36"/>
      <c r="T866" s="36"/>
      <c r="U866" s="36"/>
      <c r="V866" s="36"/>
      <c r="W866" s="36"/>
      <c r="X866" s="36"/>
      <c r="Y866" s="36"/>
      <c r="Z866" s="36"/>
      <c r="AA866" s="36"/>
      <c r="AB866" s="36"/>
      <c r="AC866" s="36"/>
    </row>
    <row r="867" ht="15.75" customHeight="1">
      <c r="A867" s="423">
        <v>43230.0</v>
      </c>
      <c r="B867" s="424">
        <v>14.0303</v>
      </c>
      <c r="C867" s="425">
        <v>16.6327</v>
      </c>
      <c r="D867" s="171"/>
      <c r="E867" s="425">
        <v>13.3506</v>
      </c>
      <c r="F867" s="425">
        <v>16.5856</v>
      </c>
      <c r="G867" s="425">
        <v>13.1026</v>
      </c>
      <c r="H867" s="171"/>
      <c r="I867" s="171"/>
      <c r="J867" s="425">
        <v>19.0908</v>
      </c>
      <c r="K867" s="182">
        <v>10716.55</v>
      </c>
      <c r="L867" s="36"/>
      <c r="M867" s="36"/>
      <c r="N867" s="36"/>
      <c r="O867" s="36"/>
      <c r="P867" s="36"/>
      <c r="Q867" s="36"/>
      <c r="R867" s="36"/>
      <c r="S867" s="36"/>
      <c r="T867" s="36"/>
      <c r="U867" s="36"/>
      <c r="V867" s="36"/>
      <c r="W867" s="36"/>
      <c r="X867" s="36"/>
      <c r="Y867" s="36"/>
      <c r="Z867" s="36"/>
      <c r="AA867" s="36"/>
      <c r="AB867" s="36"/>
      <c r="AC867" s="36"/>
    </row>
    <row r="868" ht="15.75" customHeight="1">
      <c r="A868" s="423">
        <v>43230.0</v>
      </c>
      <c r="B868" s="424">
        <v>14.0303</v>
      </c>
      <c r="C868" s="425">
        <v>16.6327</v>
      </c>
      <c r="D868" s="171"/>
      <c r="E868" s="425">
        <v>13.3506</v>
      </c>
      <c r="F868" s="425">
        <v>16.5856</v>
      </c>
      <c r="G868" s="425">
        <v>13.1026</v>
      </c>
      <c r="H868" s="171"/>
      <c r="I868" s="171"/>
      <c r="J868" s="425">
        <v>19.0908</v>
      </c>
      <c r="K868" s="182">
        <v>10716.55</v>
      </c>
      <c r="L868" s="36"/>
      <c r="M868" s="36"/>
      <c r="N868" s="36"/>
      <c r="O868" s="36"/>
      <c r="P868" s="36"/>
      <c r="Q868" s="36"/>
      <c r="R868" s="36"/>
      <c r="S868" s="36"/>
      <c r="T868" s="36"/>
      <c r="U868" s="36"/>
      <c r="V868" s="36"/>
      <c r="W868" s="36"/>
      <c r="X868" s="36"/>
      <c r="Y868" s="36"/>
      <c r="Z868" s="36"/>
      <c r="AA868" s="36"/>
      <c r="AB868" s="36"/>
      <c r="AC868" s="36"/>
    </row>
    <row r="869" ht="15.75" customHeight="1">
      <c r="A869" s="423">
        <v>43231.0</v>
      </c>
      <c r="B869" s="424">
        <v>14.1277</v>
      </c>
      <c r="C869" s="425">
        <v>16.6445</v>
      </c>
      <c r="D869" s="171"/>
      <c r="E869" s="425">
        <v>13.3463</v>
      </c>
      <c r="F869" s="425">
        <v>16.6936</v>
      </c>
      <c r="G869" s="425">
        <v>13.1026</v>
      </c>
      <c r="H869" s="171"/>
      <c r="I869" s="171"/>
      <c r="J869" s="425">
        <v>19.251</v>
      </c>
      <c r="K869" s="182">
        <v>10806.5</v>
      </c>
      <c r="L869" s="36"/>
      <c r="M869" s="36"/>
      <c r="N869" s="36"/>
      <c r="O869" s="36"/>
      <c r="P869" s="36"/>
      <c r="Q869" s="36"/>
      <c r="R869" s="36"/>
      <c r="S869" s="36"/>
      <c r="T869" s="36"/>
      <c r="U869" s="36"/>
      <c r="V869" s="36"/>
      <c r="W869" s="36"/>
      <c r="X869" s="36"/>
      <c r="Y869" s="36"/>
      <c r="Z869" s="36"/>
      <c r="AA869" s="36"/>
      <c r="AB869" s="36"/>
      <c r="AC869" s="36"/>
    </row>
    <row r="870" ht="15.75" customHeight="1">
      <c r="A870" s="423">
        <v>43231.0</v>
      </c>
      <c r="B870" s="424">
        <v>14.1277</v>
      </c>
      <c r="C870" s="425">
        <v>16.6445</v>
      </c>
      <c r="D870" s="171"/>
      <c r="E870" s="425">
        <v>13.3463</v>
      </c>
      <c r="F870" s="425">
        <v>16.6936</v>
      </c>
      <c r="G870" s="425">
        <v>13.1026</v>
      </c>
      <c r="H870" s="171"/>
      <c r="I870" s="171"/>
      <c r="J870" s="425">
        <v>19.251</v>
      </c>
      <c r="K870" s="182">
        <v>10806.5</v>
      </c>
      <c r="L870" s="36"/>
      <c r="M870" s="36"/>
      <c r="N870" s="36"/>
      <c r="O870" s="36"/>
      <c r="P870" s="36"/>
      <c r="Q870" s="36"/>
      <c r="R870" s="36"/>
      <c r="S870" s="36"/>
      <c r="T870" s="36"/>
      <c r="U870" s="36"/>
      <c r="V870" s="36"/>
      <c r="W870" s="36"/>
      <c r="X870" s="36"/>
      <c r="Y870" s="36"/>
      <c r="Z870" s="36"/>
      <c r="AA870" s="36"/>
      <c r="AB870" s="36"/>
      <c r="AC870" s="36"/>
    </row>
    <row r="871" ht="15.75" customHeight="1">
      <c r="A871" s="423">
        <v>43231.0</v>
      </c>
      <c r="B871" s="424">
        <v>14.1277</v>
      </c>
      <c r="C871" s="425">
        <v>16.6441</v>
      </c>
      <c r="D871" s="171"/>
      <c r="E871" s="425">
        <v>13.3463</v>
      </c>
      <c r="F871" s="425">
        <v>16.6936</v>
      </c>
      <c r="G871" s="425">
        <v>13.1026</v>
      </c>
      <c r="H871" s="171"/>
      <c r="I871" s="171"/>
      <c r="J871" s="425">
        <v>19.1723</v>
      </c>
      <c r="K871" s="182">
        <v>10806.5</v>
      </c>
      <c r="L871" s="36"/>
      <c r="M871" s="36"/>
      <c r="N871" s="36"/>
      <c r="O871" s="36"/>
      <c r="P871" s="36"/>
      <c r="Q871" s="36"/>
      <c r="R871" s="36"/>
      <c r="S871" s="36"/>
      <c r="T871" s="36"/>
      <c r="U871" s="36"/>
      <c r="V871" s="36"/>
      <c r="W871" s="36"/>
      <c r="X871" s="36"/>
      <c r="Y871" s="36"/>
      <c r="Z871" s="36"/>
      <c r="AA871" s="36"/>
      <c r="AB871" s="36"/>
      <c r="AC871" s="36"/>
    </row>
    <row r="872" ht="15.75" customHeight="1">
      <c r="A872" s="423">
        <v>43231.0</v>
      </c>
      <c r="B872" s="424">
        <v>14.1277</v>
      </c>
      <c r="C872" s="425">
        <v>16.6441</v>
      </c>
      <c r="D872" s="171"/>
      <c r="E872" s="425">
        <v>13.3463</v>
      </c>
      <c r="F872" s="425">
        <v>16.6936</v>
      </c>
      <c r="G872" s="425">
        <v>13.1026</v>
      </c>
      <c r="H872" s="171"/>
      <c r="I872" s="171"/>
      <c r="J872" s="425">
        <v>19.1723</v>
      </c>
      <c r="K872" s="182">
        <v>10806.5</v>
      </c>
      <c r="L872" s="36"/>
      <c r="M872" s="36"/>
      <c r="N872" s="36"/>
      <c r="O872" s="36"/>
      <c r="P872" s="36"/>
      <c r="Q872" s="36"/>
      <c r="R872" s="36"/>
      <c r="S872" s="36"/>
      <c r="T872" s="36"/>
      <c r="U872" s="36"/>
      <c r="V872" s="36"/>
      <c r="W872" s="36"/>
      <c r="X872" s="36"/>
      <c r="Y872" s="36"/>
      <c r="Z872" s="36"/>
      <c r="AA872" s="36"/>
      <c r="AB872" s="36"/>
      <c r="AC872" s="36"/>
    </row>
    <row r="873" ht="15.75" customHeight="1">
      <c r="A873" s="423">
        <v>43234.0</v>
      </c>
      <c r="B873" s="424">
        <v>14.1277</v>
      </c>
      <c r="C873" s="425">
        <v>16.649</v>
      </c>
      <c r="D873" s="171"/>
      <c r="E873" s="425">
        <v>13.2967</v>
      </c>
      <c r="F873" s="425">
        <v>16.6808</v>
      </c>
      <c r="G873" s="425">
        <v>13.0936</v>
      </c>
      <c r="H873" s="171"/>
      <c r="I873" s="171"/>
      <c r="J873" s="425">
        <v>19.2057</v>
      </c>
      <c r="K873" s="182">
        <v>10806.6</v>
      </c>
      <c r="L873" s="36"/>
      <c r="M873" s="36"/>
      <c r="N873" s="36"/>
      <c r="O873" s="36"/>
      <c r="P873" s="36"/>
      <c r="Q873" s="36"/>
      <c r="R873" s="36"/>
      <c r="S873" s="36"/>
      <c r="T873" s="36"/>
      <c r="U873" s="36"/>
      <c r="V873" s="36"/>
      <c r="W873" s="36"/>
      <c r="X873" s="36"/>
      <c r="Y873" s="36"/>
      <c r="Z873" s="36"/>
      <c r="AA873" s="36"/>
      <c r="AB873" s="36"/>
      <c r="AC873" s="36"/>
    </row>
    <row r="874" ht="15.75" customHeight="1">
      <c r="A874" s="423">
        <v>43234.0</v>
      </c>
      <c r="B874" s="424">
        <v>14.1277</v>
      </c>
      <c r="C874" s="425">
        <v>16.649</v>
      </c>
      <c r="D874" s="171"/>
      <c r="E874" s="425">
        <v>13.2967</v>
      </c>
      <c r="F874" s="425">
        <v>16.6808</v>
      </c>
      <c r="G874" s="425">
        <v>13.0936</v>
      </c>
      <c r="H874" s="171"/>
      <c r="I874" s="171"/>
      <c r="J874" s="425">
        <v>19.2057</v>
      </c>
      <c r="K874" s="182">
        <v>10806.6</v>
      </c>
      <c r="L874" s="36"/>
      <c r="M874" s="36"/>
      <c r="N874" s="36"/>
      <c r="O874" s="36"/>
      <c r="P874" s="36"/>
      <c r="Q874" s="36"/>
      <c r="R874" s="36"/>
      <c r="S874" s="36"/>
      <c r="T874" s="36"/>
      <c r="U874" s="36"/>
      <c r="V874" s="36"/>
      <c r="W874" s="36"/>
      <c r="X874" s="36"/>
      <c r="Y874" s="36"/>
      <c r="Z874" s="36"/>
      <c r="AA874" s="36"/>
      <c r="AB874" s="36"/>
      <c r="AC874" s="36"/>
    </row>
    <row r="875" ht="15.75" customHeight="1">
      <c r="A875" s="423">
        <v>43234.0</v>
      </c>
      <c r="B875" s="424">
        <v>14.1277</v>
      </c>
      <c r="C875" s="425">
        <v>16.6469</v>
      </c>
      <c r="D875" s="171"/>
      <c r="E875" s="425">
        <v>13.2967</v>
      </c>
      <c r="F875" s="425">
        <v>16.6808</v>
      </c>
      <c r="G875" s="425">
        <v>13.0936</v>
      </c>
      <c r="H875" s="171"/>
      <c r="I875" s="171"/>
      <c r="J875" s="425">
        <v>19.2352</v>
      </c>
      <c r="K875" s="182">
        <v>10806.6</v>
      </c>
      <c r="L875" s="36"/>
      <c r="M875" s="36"/>
      <c r="N875" s="36"/>
      <c r="O875" s="36"/>
      <c r="P875" s="36"/>
      <c r="Q875" s="36"/>
      <c r="R875" s="36"/>
      <c r="S875" s="36"/>
      <c r="T875" s="36"/>
      <c r="U875" s="36"/>
      <c r="V875" s="36"/>
      <c r="W875" s="36"/>
      <c r="X875" s="36"/>
      <c r="Y875" s="36"/>
      <c r="Z875" s="36"/>
      <c r="AA875" s="36"/>
      <c r="AB875" s="36"/>
      <c r="AC875" s="36"/>
    </row>
    <row r="876" ht="15.75" customHeight="1">
      <c r="A876" s="423">
        <v>43234.0</v>
      </c>
      <c r="B876" s="424">
        <v>14.1277</v>
      </c>
      <c r="C876" s="425">
        <v>16.6469</v>
      </c>
      <c r="D876" s="171"/>
      <c r="E876" s="425">
        <v>13.2967</v>
      </c>
      <c r="F876" s="425">
        <v>16.6808</v>
      </c>
      <c r="G876" s="425">
        <v>13.0936</v>
      </c>
      <c r="H876" s="171"/>
      <c r="I876" s="171"/>
      <c r="J876" s="425">
        <v>19.2352</v>
      </c>
      <c r="K876" s="182">
        <v>10806.6</v>
      </c>
      <c r="L876" s="36"/>
      <c r="M876" s="36"/>
      <c r="N876" s="36"/>
      <c r="O876" s="36"/>
      <c r="P876" s="36"/>
      <c r="Q876" s="36"/>
      <c r="R876" s="36"/>
      <c r="S876" s="36"/>
      <c r="T876" s="36"/>
      <c r="U876" s="36"/>
      <c r="V876" s="36"/>
      <c r="W876" s="36"/>
      <c r="X876" s="36"/>
      <c r="Y876" s="36"/>
      <c r="Z876" s="36"/>
      <c r="AA876" s="36"/>
      <c r="AB876" s="36"/>
      <c r="AC876" s="36"/>
    </row>
    <row r="877" ht="15.75" customHeight="1">
      <c r="A877" s="423">
        <v>43235.0</v>
      </c>
      <c r="B877" s="424">
        <v>14.1177</v>
      </c>
      <c r="C877" s="425">
        <v>16.6584</v>
      </c>
      <c r="D877" s="171"/>
      <c r="E877" s="425">
        <v>13.2603</v>
      </c>
      <c r="F877" s="425">
        <v>16.6699</v>
      </c>
      <c r="G877" s="425">
        <v>13.0834</v>
      </c>
      <c r="H877" s="171"/>
      <c r="I877" s="171"/>
      <c r="J877" s="425">
        <v>19.3556</v>
      </c>
      <c r="K877" s="182">
        <v>10801.85</v>
      </c>
      <c r="L877" s="36"/>
      <c r="M877" s="36"/>
      <c r="N877" s="36"/>
      <c r="O877" s="36"/>
      <c r="P877" s="36"/>
      <c r="Q877" s="36"/>
      <c r="R877" s="36"/>
      <c r="S877" s="36"/>
      <c r="T877" s="36"/>
      <c r="U877" s="36"/>
      <c r="V877" s="36"/>
      <c r="W877" s="36"/>
      <c r="X877" s="36"/>
      <c r="Y877" s="36"/>
      <c r="Z877" s="36"/>
      <c r="AA877" s="36"/>
      <c r="AB877" s="36"/>
      <c r="AC877" s="36"/>
    </row>
    <row r="878" ht="15.75" customHeight="1">
      <c r="A878" s="423">
        <v>43235.0</v>
      </c>
      <c r="B878" s="424">
        <v>14.1177</v>
      </c>
      <c r="C878" s="425">
        <v>16.6584</v>
      </c>
      <c r="D878" s="171"/>
      <c r="E878" s="425">
        <v>13.2603</v>
      </c>
      <c r="F878" s="425">
        <v>16.6699</v>
      </c>
      <c r="G878" s="425">
        <v>13.0834</v>
      </c>
      <c r="H878" s="171"/>
      <c r="I878" s="171"/>
      <c r="J878" s="425">
        <v>19.3556</v>
      </c>
      <c r="K878" s="182">
        <v>10801.85</v>
      </c>
      <c r="L878" s="36"/>
      <c r="M878" s="36"/>
      <c r="N878" s="36"/>
      <c r="O878" s="36"/>
      <c r="P878" s="36"/>
      <c r="Q878" s="36"/>
      <c r="R878" s="36"/>
      <c r="S878" s="36"/>
      <c r="T878" s="36"/>
      <c r="U878" s="36"/>
      <c r="V878" s="36"/>
      <c r="W878" s="36"/>
      <c r="X878" s="36"/>
      <c r="Y878" s="36"/>
      <c r="Z878" s="36"/>
      <c r="AA878" s="36"/>
      <c r="AB878" s="36"/>
      <c r="AC878" s="36"/>
    </row>
    <row r="879" ht="15.75" customHeight="1">
      <c r="A879" s="423">
        <v>43235.0</v>
      </c>
      <c r="B879" s="424">
        <v>14.1177</v>
      </c>
      <c r="C879" s="425">
        <v>16.6559</v>
      </c>
      <c r="D879" s="171"/>
      <c r="E879" s="425">
        <v>13.2603</v>
      </c>
      <c r="F879" s="425">
        <v>16.6699</v>
      </c>
      <c r="G879" s="425">
        <v>13.0834</v>
      </c>
      <c r="H879" s="171"/>
      <c r="I879" s="171"/>
      <c r="J879" s="425">
        <v>19.308</v>
      </c>
      <c r="K879" s="182">
        <v>10801.85</v>
      </c>
      <c r="L879" s="36"/>
      <c r="M879" s="36"/>
      <c r="N879" s="36"/>
      <c r="O879" s="36"/>
      <c r="P879" s="36"/>
      <c r="Q879" s="36"/>
      <c r="R879" s="36"/>
      <c r="S879" s="36"/>
      <c r="T879" s="36"/>
      <c r="U879" s="36"/>
      <c r="V879" s="36"/>
      <c r="W879" s="36"/>
      <c r="X879" s="36"/>
      <c r="Y879" s="36"/>
      <c r="Z879" s="36"/>
      <c r="AA879" s="36"/>
      <c r="AB879" s="36"/>
      <c r="AC879" s="36"/>
    </row>
    <row r="880" ht="15.75" customHeight="1">
      <c r="A880" s="423">
        <v>43235.0</v>
      </c>
      <c r="B880" s="424">
        <v>14.1177</v>
      </c>
      <c r="C880" s="425">
        <v>16.6559</v>
      </c>
      <c r="D880" s="171"/>
      <c r="E880" s="425">
        <v>13.2603</v>
      </c>
      <c r="F880" s="425">
        <v>16.6699</v>
      </c>
      <c r="G880" s="425">
        <v>13.0834</v>
      </c>
      <c r="H880" s="171"/>
      <c r="I880" s="171"/>
      <c r="J880" s="425">
        <v>19.308</v>
      </c>
      <c r="K880" s="182">
        <v>10801.85</v>
      </c>
      <c r="L880" s="36"/>
      <c r="M880" s="36"/>
      <c r="N880" s="36"/>
      <c r="O880" s="36"/>
      <c r="P880" s="36"/>
      <c r="Q880" s="36"/>
      <c r="R880" s="36"/>
      <c r="S880" s="36"/>
      <c r="T880" s="36"/>
      <c r="U880" s="36"/>
      <c r="V880" s="36"/>
      <c r="W880" s="36"/>
      <c r="X880" s="36"/>
      <c r="Y880" s="36"/>
      <c r="Z880" s="36"/>
      <c r="AA880" s="36"/>
      <c r="AB880" s="36"/>
      <c r="AC880" s="36"/>
    </row>
    <row r="881" ht="15.75" customHeight="1">
      <c r="A881" s="423">
        <v>43236.0</v>
      </c>
      <c r="B881" s="424">
        <v>14.0552</v>
      </c>
      <c r="C881" s="425">
        <v>16.6742</v>
      </c>
      <c r="D881" s="171"/>
      <c r="E881" s="425">
        <v>13.2596</v>
      </c>
      <c r="F881" s="425">
        <v>16.606</v>
      </c>
      <c r="G881" s="425">
        <v>13.0796</v>
      </c>
      <c r="H881" s="171"/>
      <c r="I881" s="171"/>
      <c r="J881" s="425">
        <v>19.2452</v>
      </c>
      <c r="K881" s="182">
        <v>10741.1</v>
      </c>
      <c r="L881" s="36"/>
      <c r="M881" s="36"/>
      <c r="N881" s="36"/>
      <c r="O881" s="36"/>
      <c r="P881" s="36"/>
      <c r="Q881" s="36"/>
      <c r="R881" s="36"/>
      <c r="S881" s="36"/>
      <c r="T881" s="36"/>
      <c r="U881" s="36"/>
      <c r="V881" s="36"/>
      <c r="W881" s="36"/>
      <c r="X881" s="36"/>
      <c r="Y881" s="36"/>
      <c r="Z881" s="36"/>
      <c r="AA881" s="36"/>
      <c r="AB881" s="36"/>
      <c r="AC881" s="36"/>
    </row>
    <row r="882" ht="15.75" customHeight="1">
      <c r="A882" s="423">
        <v>43236.0</v>
      </c>
      <c r="B882" s="424">
        <v>14.0552</v>
      </c>
      <c r="C882" s="425">
        <v>16.6742</v>
      </c>
      <c r="D882" s="171"/>
      <c r="E882" s="425">
        <v>13.2596</v>
      </c>
      <c r="F882" s="425">
        <v>16.606</v>
      </c>
      <c r="G882" s="425">
        <v>13.0796</v>
      </c>
      <c r="H882" s="171"/>
      <c r="I882" s="171"/>
      <c r="J882" s="425">
        <v>19.2452</v>
      </c>
      <c r="K882" s="182">
        <v>10741.1</v>
      </c>
      <c r="L882" s="36"/>
      <c r="M882" s="36"/>
      <c r="N882" s="36"/>
      <c r="O882" s="36"/>
      <c r="P882" s="36"/>
      <c r="Q882" s="36"/>
      <c r="R882" s="36"/>
      <c r="S882" s="36"/>
      <c r="T882" s="36"/>
      <c r="U882" s="36"/>
      <c r="V882" s="36"/>
      <c r="W882" s="36"/>
      <c r="X882" s="36"/>
      <c r="Y882" s="36"/>
      <c r="Z882" s="36"/>
      <c r="AA882" s="36"/>
      <c r="AB882" s="36"/>
      <c r="AC882" s="36"/>
    </row>
    <row r="883" ht="15.75" customHeight="1">
      <c r="A883" s="423">
        <v>43236.0</v>
      </c>
      <c r="B883" s="424">
        <v>14.0552</v>
      </c>
      <c r="C883" s="425">
        <v>16.6644</v>
      </c>
      <c r="D883" s="171"/>
      <c r="E883" s="425">
        <v>13.2596</v>
      </c>
      <c r="F883" s="425">
        <v>16.606</v>
      </c>
      <c r="G883" s="425">
        <v>13.0796</v>
      </c>
      <c r="H883" s="171"/>
      <c r="I883" s="171"/>
      <c r="J883" s="425">
        <v>19.3169</v>
      </c>
      <c r="K883" s="182">
        <v>10741.1</v>
      </c>
      <c r="L883" s="36"/>
      <c r="M883" s="36"/>
      <c r="N883" s="36"/>
      <c r="O883" s="36"/>
      <c r="P883" s="36"/>
      <c r="Q883" s="36"/>
      <c r="R883" s="36"/>
      <c r="S883" s="36"/>
      <c r="T883" s="36"/>
      <c r="U883" s="36"/>
      <c r="V883" s="36"/>
      <c r="W883" s="36"/>
      <c r="X883" s="36"/>
      <c r="Y883" s="36"/>
      <c r="Z883" s="36"/>
      <c r="AA883" s="36"/>
      <c r="AB883" s="36"/>
      <c r="AC883" s="36"/>
    </row>
    <row r="884" ht="15.75" customHeight="1">
      <c r="A884" s="423">
        <v>43236.0</v>
      </c>
      <c r="B884" s="424">
        <v>14.0552</v>
      </c>
      <c r="C884" s="425">
        <v>16.6644</v>
      </c>
      <c r="D884" s="171"/>
      <c r="E884" s="425">
        <v>13.2596</v>
      </c>
      <c r="F884" s="425">
        <v>16.606</v>
      </c>
      <c r="G884" s="425">
        <v>13.0796</v>
      </c>
      <c r="H884" s="171"/>
      <c r="I884" s="171"/>
      <c r="J884" s="425">
        <v>19.3169</v>
      </c>
      <c r="K884" s="182">
        <v>10741.1</v>
      </c>
      <c r="L884" s="36"/>
      <c r="M884" s="36"/>
      <c r="N884" s="36"/>
      <c r="O884" s="36"/>
      <c r="P884" s="36"/>
      <c r="Q884" s="36"/>
      <c r="R884" s="36"/>
      <c r="S884" s="36"/>
      <c r="T884" s="36"/>
      <c r="U884" s="36"/>
      <c r="V884" s="36"/>
      <c r="W884" s="36"/>
      <c r="X884" s="36"/>
      <c r="Y884" s="36"/>
      <c r="Z884" s="36"/>
      <c r="AA884" s="36"/>
      <c r="AB884" s="36"/>
      <c r="AC884" s="36"/>
    </row>
    <row r="885" ht="15.75" customHeight="1">
      <c r="A885" s="423">
        <v>43237.0</v>
      </c>
      <c r="B885" s="424">
        <v>14.0057</v>
      </c>
      <c r="C885" s="425">
        <v>16.6827</v>
      </c>
      <c r="D885" s="171"/>
      <c r="E885" s="425">
        <v>13.2631</v>
      </c>
      <c r="F885" s="425">
        <v>16.5728</v>
      </c>
      <c r="G885" s="425">
        <v>13.0835</v>
      </c>
      <c r="H885" s="171"/>
      <c r="I885" s="171"/>
      <c r="J885" s="425">
        <v>19.3499</v>
      </c>
      <c r="K885" s="182">
        <v>10682.7</v>
      </c>
      <c r="L885" s="36"/>
      <c r="M885" s="36"/>
      <c r="N885" s="36"/>
      <c r="O885" s="36"/>
      <c r="P885" s="36"/>
      <c r="Q885" s="36"/>
      <c r="R885" s="36"/>
      <c r="S885" s="36"/>
      <c r="T885" s="36"/>
      <c r="U885" s="36"/>
      <c r="V885" s="36"/>
      <c r="W885" s="36"/>
      <c r="X885" s="36"/>
      <c r="Y885" s="36"/>
      <c r="Z885" s="36"/>
      <c r="AA885" s="36"/>
      <c r="AB885" s="36"/>
      <c r="AC885" s="36"/>
    </row>
    <row r="886" ht="15.75" customHeight="1">
      <c r="A886" s="423">
        <v>43237.0</v>
      </c>
      <c r="B886" s="424">
        <v>14.0057</v>
      </c>
      <c r="C886" s="425">
        <v>16.6827</v>
      </c>
      <c r="D886" s="171"/>
      <c r="E886" s="425">
        <v>13.2631</v>
      </c>
      <c r="F886" s="425">
        <v>16.5728</v>
      </c>
      <c r="G886" s="425">
        <v>13.0835</v>
      </c>
      <c r="H886" s="171"/>
      <c r="I886" s="171"/>
      <c r="J886" s="425">
        <v>19.3499</v>
      </c>
      <c r="K886" s="182">
        <v>10682.7</v>
      </c>
      <c r="L886" s="36"/>
      <c r="M886" s="36"/>
      <c r="N886" s="36"/>
      <c r="O886" s="36"/>
      <c r="P886" s="36"/>
      <c r="Q886" s="36"/>
      <c r="R886" s="36"/>
      <c r="S886" s="36"/>
      <c r="T886" s="36"/>
      <c r="U886" s="36"/>
      <c r="V886" s="36"/>
      <c r="W886" s="36"/>
      <c r="X886" s="36"/>
      <c r="Y886" s="36"/>
      <c r="Z886" s="36"/>
      <c r="AA886" s="36"/>
      <c r="AB886" s="36"/>
      <c r="AC886" s="36"/>
    </row>
    <row r="887" ht="15.75" customHeight="1">
      <c r="A887" s="423">
        <v>43237.0</v>
      </c>
      <c r="B887" s="424">
        <v>14.0057</v>
      </c>
      <c r="C887" s="425">
        <v>16.676</v>
      </c>
      <c r="D887" s="171"/>
      <c r="E887" s="425">
        <v>13.2631</v>
      </c>
      <c r="F887" s="425">
        <v>16.5728</v>
      </c>
      <c r="G887" s="425">
        <v>13.0835</v>
      </c>
      <c r="H887" s="171"/>
      <c r="I887" s="171"/>
      <c r="J887" s="425">
        <v>19.3205</v>
      </c>
      <c r="K887" s="182">
        <v>10682.7</v>
      </c>
      <c r="L887" s="36"/>
      <c r="M887" s="36"/>
      <c r="N887" s="36"/>
      <c r="O887" s="36"/>
      <c r="P887" s="36"/>
      <c r="Q887" s="36"/>
      <c r="R887" s="36"/>
      <c r="S887" s="36"/>
      <c r="T887" s="36"/>
      <c r="U887" s="36"/>
      <c r="V887" s="36"/>
      <c r="W887" s="36"/>
      <c r="X887" s="36"/>
      <c r="Y887" s="36"/>
      <c r="Z887" s="36"/>
      <c r="AA887" s="36"/>
      <c r="AB887" s="36"/>
      <c r="AC887" s="36"/>
    </row>
    <row r="888" ht="15.75" customHeight="1">
      <c r="A888" s="423">
        <v>43237.0</v>
      </c>
      <c r="B888" s="424">
        <v>14.0057</v>
      </c>
      <c r="C888" s="425">
        <v>16.676</v>
      </c>
      <c r="D888" s="171"/>
      <c r="E888" s="425">
        <v>13.2631</v>
      </c>
      <c r="F888" s="425">
        <v>16.5728</v>
      </c>
      <c r="G888" s="425">
        <v>13.0835</v>
      </c>
      <c r="H888" s="171"/>
      <c r="I888" s="171"/>
      <c r="J888" s="425">
        <v>19.3205</v>
      </c>
      <c r="K888" s="182">
        <v>10682.7</v>
      </c>
      <c r="L888" s="36"/>
      <c r="M888" s="36"/>
      <c r="N888" s="36"/>
      <c r="O888" s="36"/>
      <c r="P888" s="36"/>
      <c r="Q888" s="36"/>
      <c r="R888" s="36"/>
      <c r="S888" s="36"/>
      <c r="T888" s="36"/>
      <c r="U888" s="36"/>
      <c r="V888" s="36"/>
      <c r="W888" s="36"/>
      <c r="X888" s="36"/>
      <c r="Y888" s="36"/>
      <c r="Z888" s="36"/>
      <c r="AA888" s="36"/>
      <c r="AB888" s="36"/>
      <c r="AC888" s="36"/>
    </row>
    <row r="889" ht="15.75" customHeight="1">
      <c r="A889" s="423">
        <v>43238.0</v>
      </c>
      <c r="B889" s="424">
        <v>13.8918</v>
      </c>
      <c r="C889" s="425">
        <v>16.6877</v>
      </c>
      <c r="D889" s="171"/>
      <c r="E889" s="425">
        <v>13.2916</v>
      </c>
      <c r="F889" s="425">
        <v>16.4727</v>
      </c>
      <c r="G889" s="425">
        <v>13.0899</v>
      </c>
      <c r="H889" s="171"/>
      <c r="I889" s="171"/>
      <c r="J889" s="425">
        <v>19.108</v>
      </c>
      <c r="K889" s="182">
        <v>10596.4</v>
      </c>
      <c r="L889" s="36"/>
      <c r="M889" s="36"/>
      <c r="N889" s="36"/>
      <c r="O889" s="36"/>
      <c r="P889" s="36"/>
      <c r="Q889" s="36"/>
      <c r="R889" s="36"/>
      <c r="S889" s="36"/>
      <c r="T889" s="36"/>
      <c r="U889" s="36"/>
      <c r="V889" s="36"/>
      <c r="W889" s="36"/>
      <c r="X889" s="36"/>
      <c r="Y889" s="36"/>
      <c r="Z889" s="36"/>
      <c r="AA889" s="36"/>
      <c r="AB889" s="36"/>
      <c r="AC889" s="36"/>
    </row>
    <row r="890" ht="15.75" customHeight="1">
      <c r="A890" s="423">
        <v>43238.0</v>
      </c>
      <c r="B890" s="424">
        <v>13.8918</v>
      </c>
      <c r="C890" s="425">
        <v>16.6877</v>
      </c>
      <c r="D890" s="171"/>
      <c r="E890" s="425">
        <v>13.2916</v>
      </c>
      <c r="F890" s="425">
        <v>16.4727</v>
      </c>
      <c r="G890" s="425">
        <v>13.0899</v>
      </c>
      <c r="H890" s="171"/>
      <c r="I890" s="171"/>
      <c r="J890" s="425">
        <v>19.108</v>
      </c>
      <c r="K890" s="182">
        <v>10596.4</v>
      </c>
      <c r="L890" s="36"/>
      <c r="M890" s="36"/>
      <c r="N890" s="36"/>
      <c r="O890" s="36"/>
      <c r="P890" s="36"/>
      <c r="Q890" s="36"/>
      <c r="R890" s="36"/>
      <c r="S890" s="36"/>
      <c r="T890" s="36"/>
      <c r="U890" s="36"/>
      <c r="V890" s="36"/>
      <c r="W890" s="36"/>
      <c r="X890" s="36"/>
      <c r="Y890" s="36"/>
      <c r="Z890" s="36"/>
      <c r="AA890" s="36"/>
      <c r="AB890" s="36"/>
      <c r="AC890" s="36"/>
    </row>
    <row r="891" ht="15.75" customHeight="1">
      <c r="A891" s="423">
        <v>43238.0</v>
      </c>
      <c r="B891" s="424">
        <v>13.8918</v>
      </c>
      <c r="C891" s="425">
        <v>16.6854</v>
      </c>
      <c r="D891" s="171"/>
      <c r="E891" s="425">
        <v>13.2916</v>
      </c>
      <c r="F891" s="425">
        <v>16.4727</v>
      </c>
      <c r="G891" s="425">
        <v>13.0899</v>
      </c>
      <c r="H891" s="171"/>
      <c r="I891" s="171"/>
      <c r="J891" s="425">
        <v>19.2523</v>
      </c>
      <c r="K891" s="182">
        <v>10596.4</v>
      </c>
      <c r="L891" s="36"/>
      <c r="M891" s="36"/>
      <c r="N891" s="36"/>
      <c r="O891" s="36"/>
      <c r="P891" s="36"/>
      <c r="Q891" s="36"/>
      <c r="R891" s="36"/>
      <c r="S891" s="36"/>
      <c r="T891" s="36"/>
      <c r="U891" s="36"/>
      <c r="V891" s="36"/>
      <c r="W891" s="36"/>
      <c r="X891" s="36"/>
      <c r="Y891" s="36"/>
      <c r="Z891" s="36"/>
      <c r="AA891" s="36"/>
      <c r="AB891" s="36"/>
      <c r="AC891" s="36"/>
    </row>
    <row r="892" ht="15.75" customHeight="1">
      <c r="A892" s="423">
        <v>43238.0</v>
      </c>
      <c r="B892" s="424">
        <v>13.8918</v>
      </c>
      <c r="C892" s="425">
        <v>16.6854</v>
      </c>
      <c r="D892" s="171"/>
      <c r="E892" s="425">
        <v>13.2916</v>
      </c>
      <c r="F892" s="425">
        <v>16.4727</v>
      </c>
      <c r="G892" s="425">
        <v>13.0899</v>
      </c>
      <c r="H892" s="171"/>
      <c r="I892" s="171"/>
      <c r="J892" s="425">
        <v>19.2523</v>
      </c>
      <c r="K892" s="182">
        <v>10596.4</v>
      </c>
      <c r="L892" s="36"/>
      <c r="M892" s="36"/>
      <c r="N892" s="36"/>
      <c r="O892" s="36"/>
      <c r="P892" s="36"/>
      <c r="Q892" s="36"/>
      <c r="R892" s="36"/>
      <c r="S892" s="36"/>
      <c r="T892" s="36"/>
      <c r="U892" s="36"/>
      <c r="V892" s="36"/>
      <c r="W892" s="36"/>
      <c r="X892" s="36"/>
      <c r="Y892" s="36"/>
      <c r="Z892" s="36"/>
      <c r="AA892" s="36"/>
      <c r="AB892" s="36"/>
      <c r="AC892" s="36"/>
    </row>
    <row r="893" ht="15.75" customHeight="1">
      <c r="A893" s="423">
        <v>43241.0</v>
      </c>
      <c r="B893" s="424">
        <v>13.7988</v>
      </c>
      <c r="C893" s="425">
        <v>16.6807</v>
      </c>
      <c r="D893" s="171"/>
      <c r="E893" s="425">
        <v>13.3065</v>
      </c>
      <c r="F893" s="425">
        <v>16.3658</v>
      </c>
      <c r="G893" s="425">
        <v>13.0971</v>
      </c>
      <c r="H893" s="171"/>
      <c r="I893" s="171"/>
      <c r="J893" s="425">
        <v>18.8112</v>
      </c>
      <c r="K893" s="182">
        <v>10516.7</v>
      </c>
      <c r="L893" s="36"/>
      <c r="M893" s="36"/>
      <c r="N893" s="36"/>
      <c r="O893" s="36"/>
      <c r="P893" s="36"/>
      <c r="Q893" s="36"/>
      <c r="R893" s="36"/>
      <c r="S893" s="36"/>
      <c r="T893" s="36"/>
      <c r="U893" s="36"/>
      <c r="V893" s="36"/>
      <c r="W893" s="36"/>
      <c r="X893" s="36"/>
      <c r="Y893" s="36"/>
      <c r="Z893" s="36"/>
      <c r="AA893" s="36"/>
      <c r="AB893" s="36"/>
      <c r="AC893" s="36"/>
    </row>
    <row r="894" ht="15.75" customHeight="1">
      <c r="A894" s="423">
        <v>43241.0</v>
      </c>
      <c r="B894" s="424">
        <v>13.7988</v>
      </c>
      <c r="C894" s="425">
        <v>16.6807</v>
      </c>
      <c r="D894" s="171"/>
      <c r="E894" s="425">
        <v>13.3065</v>
      </c>
      <c r="F894" s="425">
        <v>16.3658</v>
      </c>
      <c r="G894" s="425">
        <v>13.0971</v>
      </c>
      <c r="H894" s="171"/>
      <c r="I894" s="171"/>
      <c r="J894" s="425">
        <v>18.8112</v>
      </c>
      <c r="K894" s="182">
        <v>10516.7</v>
      </c>
      <c r="L894" s="36"/>
      <c r="M894" s="36"/>
      <c r="N894" s="36"/>
      <c r="O894" s="36"/>
      <c r="P894" s="36"/>
      <c r="Q894" s="36"/>
      <c r="R894" s="36"/>
      <c r="S894" s="36"/>
      <c r="T894" s="36"/>
      <c r="U894" s="36"/>
      <c r="V894" s="36"/>
      <c r="W894" s="36"/>
      <c r="X894" s="36"/>
      <c r="Y894" s="36"/>
      <c r="Z894" s="36"/>
      <c r="AA894" s="36"/>
      <c r="AB894" s="36"/>
      <c r="AC894" s="36"/>
    </row>
    <row r="895" ht="15.75" customHeight="1">
      <c r="A895" s="423">
        <v>43241.0</v>
      </c>
      <c r="B895" s="424">
        <v>13.7988</v>
      </c>
      <c r="C895" s="425">
        <v>16.687</v>
      </c>
      <c r="D895" s="171"/>
      <c r="E895" s="425">
        <v>13.3065</v>
      </c>
      <c r="F895" s="425">
        <v>16.3658</v>
      </c>
      <c r="G895" s="425">
        <v>13.0971</v>
      </c>
      <c r="H895" s="171"/>
      <c r="I895" s="171"/>
      <c r="J895" s="425">
        <v>18.9174</v>
      </c>
      <c r="K895" s="182">
        <v>10516.7</v>
      </c>
      <c r="L895" s="36"/>
      <c r="M895" s="36"/>
      <c r="N895" s="36"/>
      <c r="O895" s="36"/>
      <c r="P895" s="36"/>
      <c r="Q895" s="36"/>
      <c r="R895" s="36"/>
      <c r="S895" s="36"/>
      <c r="T895" s="36"/>
      <c r="U895" s="36"/>
      <c r="V895" s="36"/>
      <c r="W895" s="36"/>
      <c r="X895" s="36"/>
      <c r="Y895" s="36"/>
      <c r="Z895" s="36"/>
      <c r="AA895" s="36"/>
      <c r="AB895" s="36"/>
      <c r="AC895" s="36"/>
    </row>
    <row r="896" ht="15.75" customHeight="1">
      <c r="A896" s="423">
        <v>43241.0</v>
      </c>
      <c r="B896" s="424">
        <v>13.7988</v>
      </c>
      <c r="C896" s="425">
        <v>16.687</v>
      </c>
      <c r="D896" s="171"/>
      <c r="E896" s="425">
        <v>13.3065</v>
      </c>
      <c r="F896" s="425">
        <v>16.3658</v>
      </c>
      <c r="G896" s="425">
        <v>13.0971</v>
      </c>
      <c r="H896" s="171"/>
      <c r="I896" s="171"/>
      <c r="J896" s="425">
        <v>18.9174</v>
      </c>
      <c r="K896" s="182">
        <v>10516.7</v>
      </c>
      <c r="L896" s="36"/>
      <c r="M896" s="36"/>
      <c r="N896" s="36"/>
      <c r="O896" s="36"/>
      <c r="P896" s="36"/>
      <c r="Q896" s="36"/>
      <c r="R896" s="36"/>
      <c r="S896" s="36"/>
      <c r="T896" s="36"/>
      <c r="U896" s="36"/>
      <c r="V896" s="36"/>
      <c r="W896" s="36"/>
      <c r="X896" s="36"/>
      <c r="Y896" s="36"/>
      <c r="Z896" s="36"/>
      <c r="AA896" s="36"/>
      <c r="AB896" s="36"/>
      <c r="AC896" s="36"/>
    </row>
    <row r="897" ht="15.75" customHeight="1">
      <c r="A897" s="423">
        <v>43242.0</v>
      </c>
      <c r="B897" s="424">
        <v>13.8245</v>
      </c>
      <c r="C897" s="425">
        <v>16.6909</v>
      </c>
      <c r="D897" s="171"/>
      <c r="E897" s="425">
        <v>13.3182</v>
      </c>
      <c r="F897" s="425">
        <v>16.4053</v>
      </c>
      <c r="G897" s="425">
        <v>13.0996</v>
      </c>
      <c r="H897" s="171"/>
      <c r="I897" s="171"/>
      <c r="J897" s="425">
        <v>19.0972</v>
      </c>
      <c r="K897" s="182">
        <v>10536.7</v>
      </c>
      <c r="L897" s="36"/>
      <c r="M897" s="36"/>
      <c r="N897" s="36"/>
      <c r="O897" s="36"/>
      <c r="P897" s="36"/>
      <c r="Q897" s="36"/>
      <c r="R897" s="36"/>
      <c r="S897" s="36"/>
      <c r="T897" s="36"/>
      <c r="U897" s="36"/>
      <c r="V897" s="36"/>
      <c r="W897" s="36"/>
      <c r="X897" s="36"/>
      <c r="Y897" s="36"/>
      <c r="Z897" s="36"/>
      <c r="AA897" s="36"/>
      <c r="AB897" s="36"/>
      <c r="AC897" s="36"/>
    </row>
    <row r="898" ht="15.75" customHeight="1">
      <c r="A898" s="423">
        <v>43242.0</v>
      </c>
      <c r="B898" s="424">
        <v>13.8245</v>
      </c>
      <c r="C898" s="425">
        <v>16.6909</v>
      </c>
      <c r="D898" s="171"/>
      <c r="E898" s="425">
        <v>13.3182</v>
      </c>
      <c r="F898" s="425">
        <v>16.4053</v>
      </c>
      <c r="G898" s="425">
        <v>13.0996</v>
      </c>
      <c r="H898" s="171"/>
      <c r="I898" s="171"/>
      <c r="J898" s="425">
        <v>19.0972</v>
      </c>
      <c r="K898" s="182">
        <v>10536.7</v>
      </c>
      <c r="L898" s="36"/>
      <c r="M898" s="36"/>
      <c r="N898" s="36"/>
      <c r="O898" s="36"/>
      <c r="P898" s="36"/>
      <c r="Q898" s="36"/>
      <c r="R898" s="36"/>
      <c r="S898" s="36"/>
      <c r="T898" s="36"/>
      <c r="U898" s="36"/>
      <c r="V898" s="36"/>
      <c r="W898" s="36"/>
      <c r="X898" s="36"/>
      <c r="Y898" s="36"/>
      <c r="Z898" s="36"/>
      <c r="AA898" s="36"/>
      <c r="AB898" s="36"/>
      <c r="AC898" s="36"/>
    </row>
    <row r="899" ht="15.75" customHeight="1">
      <c r="A899" s="423">
        <v>43242.0</v>
      </c>
      <c r="B899" s="424">
        <v>13.8245</v>
      </c>
      <c r="C899" s="425">
        <v>16.6887</v>
      </c>
      <c r="D899" s="171"/>
      <c r="E899" s="425">
        <v>13.3182</v>
      </c>
      <c r="F899" s="425">
        <v>16.4053</v>
      </c>
      <c r="G899" s="425">
        <v>13.0996</v>
      </c>
      <c r="H899" s="171"/>
      <c r="I899" s="171"/>
      <c r="J899" s="425">
        <v>18.971</v>
      </c>
      <c r="K899" s="182">
        <v>10536.7</v>
      </c>
      <c r="L899" s="36"/>
      <c r="M899" s="36"/>
      <c r="N899" s="36"/>
      <c r="O899" s="36"/>
      <c r="P899" s="36"/>
      <c r="Q899" s="36"/>
      <c r="R899" s="36"/>
      <c r="S899" s="36"/>
      <c r="T899" s="36"/>
      <c r="U899" s="36"/>
      <c r="V899" s="36"/>
      <c r="W899" s="36"/>
      <c r="X899" s="36"/>
      <c r="Y899" s="36"/>
      <c r="Z899" s="36"/>
      <c r="AA899" s="36"/>
      <c r="AB899" s="36"/>
      <c r="AC899" s="36"/>
    </row>
    <row r="900" ht="15.75" customHeight="1">
      <c r="A900" s="423">
        <v>43242.0</v>
      </c>
      <c r="B900" s="424">
        <v>13.8245</v>
      </c>
      <c r="C900" s="425">
        <v>16.6887</v>
      </c>
      <c r="D900" s="171"/>
      <c r="E900" s="425">
        <v>13.3182</v>
      </c>
      <c r="F900" s="425">
        <v>16.4053</v>
      </c>
      <c r="G900" s="425">
        <v>13.0996</v>
      </c>
      <c r="H900" s="171"/>
      <c r="I900" s="171"/>
      <c r="J900" s="425">
        <v>18.971</v>
      </c>
      <c r="K900" s="182">
        <v>10536.7</v>
      </c>
      <c r="L900" s="36"/>
      <c r="M900" s="36"/>
      <c r="N900" s="36"/>
      <c r="O900" s="36"/>
      <c r="P900" s="36"/>
      <c r="Q900" s="36"/>
      <c r="R900" s="36"/>
      <c r="S900" s="36"/>
      <c r="T900" s="36"/>
      <c r="U900" s="36"/>
      <c r="V900" s="36"/>
      <c r="W900" s="36"/>
      <c r="X900" s="36"/>
      <c r="Y900" s="36"/>
      <c r="Z900" s="36"/>
      <c r="AA900" s="36"/>
      <c r="AB900" s="36"/>
      <c r="AC900" s="36"/>
    </row>
    <row r="901" ht="15.75" customHeight="1">
      <c r="A901" s="423">
        <v>43243.0</v>
      </c>
      <c r="B901" s="424">
        <v>13.7039</v>
      </c>
      <c r="C901" s="425">
        <v>16.6995</v>
      </c>
      <c r="D901" s="171"/>
      <c r="E901" s="425">
        <v>13.2966</v>
      </c>
      <c r="F901" s="425">
        <v>16.2917</v>
      </c>
      <c r="G901" s="425">
        <v>13.0955</v>
      </c>
      <c r="H901" s="171"/>
      <c r="I901" s="171"/>
      <c r="J901" s="425">
        <v>19.0251</v>
      </c>
      <c r="K901" s="182">
        <v>10430.35</v>
      </c>
      <c r="L901" s="36"/>
      <c r="M901" s="36"/>
      <c r="N901" s="36"/>
      <c r="O901" s="36"/>
      <c r="P901" s="36"/>
      <c r="Q901" s="36"/>
      <c r="R901" s="36"/>
      <c r="S901" s="36"/>
      <c r="T901" s="36"/>
      <c r="U901" s="36"/>
      <c r="V901" s="36"/>
      <c r="W901" s="36"/>
      <c r="X901" s="36"/>
      <c r="Y901" s="36"/>
      <c r="Z901" s="36"/>
      <c r="AA901" s="36"/>
      <c r="AB901" s="36"/>
      <c r="AC901" s="36"/>
    </row>
    <row r="902" ht="15.75" customHeight="1">
      <c r="A902" s="423">
        <v>43243.0</v>
      </c>
      <c r="B902" s="424">
        <v>13.7039</v>
      </c>
      <c r="C902" s="425">
        <v>16.6995</v>
      </c>
      <c r="D902" s="171"/>
      <c r="E902" s="425">
        <v>13.2966</v>
      </c>
      <c r="F902" s="425">
        <v>16.2917</v>
      </c>
      <c r="G902" s="425">
        <v>13.0955</v>
      </c>
      <c r="H902" s="171"/>
      <c r="I902" s="171"/>
      <c r="J902" s="425">
        <v>19.0251</v>
      </c>
      <c r="K902" s="182">
        <v>10430.35</v>
      </c>
      <c r="L902" s="36"/>
      <c r="M902" s="36"/>
      <c r="N902" s="36"/>
      <c r="O902" s="36"/>
      <c r="P902" s="36"/>
      <c r="Q902" s="36"/>
      <c r="R902" s="36"/>
      <c r="S902" s="36"/>
      <c r="T902" s="36"/>
      <c r="U902" s="36"/>
      <c r="V902" s="36"/>
      <c r="W902" s="36"/>
      <c r="X902" s="36"/>
      <c r="Y902" s="36"/>
      <c r="Z902" s="36"/>
      <c r="AA902" s="36"/>
      <c r="AB902" s="36"/>
      <c r="AC902" s="36"/>
    </row>
    <row r="903" ht="15.75" customHeight="1">
      <c r="A903" s="423">
        <v>43243.0</v>
      </c>
      <c r="B903" s="424">
        <v>13.7039</v>
      </c>
      <c r="C903" s="425">
        <v>16.6933</v>
      </c>
      <c r="D903" s="171"/>
      <c r="E903" s="425">
        <v>13.2966</v>
      </c>
      <c r="F903" s="425">
        <v>16.2917</v>
      </c>
      <c r="G903" s="425">
        <v>13.0955</v>
      </c>
      <c r="H903" s="171"/>
      <c r="I903" s="171"/>
      <c r="J903" s="425">
        <v>19.0916</v>
      </c>
      <c r="K903" s="182">
        <v>10430.35</v>
      </c>
      <c r="L903" s="36"/>
      <c r="M903" s="36"/>
      <c r="N903" s="36"/>
      <c r="O903" s="36"/>
      <c r="P903" s="36"/>
      <c r="Q903" s="36"/>
      <c r="R903" s="36"/>
      <c r="S903" s="36"/>
      <c r="T903" s="36"/>
      <c r="U903" s="36"/>
      <c r="V903" s="36"/>
      <c r="W903" s="36"/>
      <c r="X903" s="36"/>
      <c r="Y903" s="36"/>
      <c r="Z903" s="36"/>
      <c r="AA903" s="36"/>
      <c r="AB903" s="36"/>
      <c r="AC903" s="36"/>
    </row>
    <row r="904" ht="15.75" customHeight="1">
      <c r="A904" s="423">
        <v>43243.0</v>
      </c>
      <c r="B904" s="424">
        <v>13.7039</v>
      </c>
      <c r="C904" s="425">
        <v>16.6933</v>
      </c>
      <c r="D904" s="171"/>
      <c r="E904" s="425">
        <v>13.2966</v>
      </c>
      <c r="F904" s="425">
        <v>16.2917</v>
      </c>
      <c r="G904" s="425">
        <v>13.0955</v>
      </c>
      <c r="H904" s="171"/>
      <c r="I904" s="171"/>
      <c r="J904" s="425">
        <v>19.0916</v>
      </c>
      <c r="K904" s="182">
        <v>10430.35</v>
      </c>
      <c r="L904" s="36"/>
      <c r="M904" s="36"/>
      <c r="N904" s="36"/>
      <c r="O904" s="36"/>
      <c r="P904" s="36"/>
      <c r="Q904" s="36"/>
      <c r="R904" s="36"/>
      <c r="S904" s="36"/>
      <c r="T904" s="36"/>
      <c r="U904" s="36"/>
      <c r="V904" s="36"/>
      <c r="W904" s="36"/>
      <c r="X904" s="36"/>
      <c r="Y904" s="36"/>
      <c r="Z904" s="36"/>
      <c r="AA904" s="36"/>
      <c r="AB904" s="36"/>
      <c r="AC904" s="36"/>
    </row>
    <row r="905" ht="15.75" customHeight="1">
      <c r="A905" s="423">
        <v>43244.0</v>
      </c>
      <c r="B905" s="424">
        <v>13.7798</v>
      </c>
      <c r="C905" s="425">
        <v>16.7088</v>
      </c>
      <c r="D905" s="171"/>
      <c r="E905" s="425">
        <v>13.2936</v>
      </c>
      <c r="F905" s="425">
        <v>16.3552</v>
      </c>
      <c r="G905" s="425">
        <v>13.0947</v>
      </c>
      <c r="H905" s="171"/>
      <c r="I905" s="171"/>
      <c r="J905" s="425">
        <v>18.8873</v>
      </c>
      <c r="K905" s="182">
        <v>10513.85</v>
      </c>
      <c r="L905" s="36"/>
      <c r="M905" s="36"/>
      <c r="N905" s="36"/>
      <c r="O905" s="36"/>
      <c r="P905" s="36"/>
      <c r="Q905" s="36"/>
      <c r="R905" s="36"/>
      <c r="S905" s="36"/>
      <c r="T905" s="36"/>
      <c r="U905" s="36"/>
      <c r="V905" s="36"/>
      <c r="W905" s="36"/>
      <c r="X905" s="36"/>
      <c r="Y905" s="36"/>
      <c r="Z905" s="36"/>
      <c r="AA905" s="36"/>
      <c r="AB905" s="36"/>
      <c r="AC905" s="36"/>
    </row>
    <row r="906" ht="15.75" customHeight="1">
      <c r="A906" s="423">
        <v>43244.0</v>
      </c>
      <c r="B906" s="424">
        <v>13.7798</v>
      </c>
      <c r="C906" s="425">
        <v>16.7088</v>
      </c>
      <c r="D906" s="171"/>
      <c r="E906" s="425">
        <v>13.2936</v>
      </c>
      <c r="F906" s="425">
        <v>16.3552</v>
      </c>
      <c r="G906" s="425">
        <v>13.0947</v>
      </c>
      <c r="H906" s="171"/>
      <c r="I906" s="171"/>
      <c r="J906" s="425">
        <v>18.8873</v>
      </c>
      <c r="K906" s="182">
        <v>10513.85</v>
      </c>
      <c r="L906" s="36"/>
      <c r="M906" s="36"/>
      <c r="N906" s="36"/>
      <c r="O906" s="36"/>
      <c r="P906" s="36"/>
      <c r="Q906" s="36"/>
      <c r="R906" s="36"/>
      <c r="S906" s="36"/>
      <c r="T906" s="36"/>
      <c r="U906" s="36"/>
      <c r="V906" s="36"/>
      <c r="W906" s="36"/>
      <c r="X906" s="36"/>
      <c r="Y906" s="36"/>
      <c r="Z906" s="36"/>
      <c r="AA906" s="36"/>
      <c r="AB906" s="36"/>
      <c r="AC906" s="36"/>
    </row>
    <row r="907" ht="15.75" customHeight="1">
      <c r="A907" s="423">
        <v>43244.0</v>
      </c>
      <c r="B907" s="424">
        <v>13.7798</v>
      </c>
      <c r="C907" s="425">
        <v>16.7064</v>
      </c>
      <c r="D907" s="171"/>
      <c r="E907" s="425">
        <v>13.2936</v>
      </c>
      <c r="F907" s="425">
        <v>16.3552</v>
      </c>
      <c r="G907" s="425">
        <v>13.0947</v>
      </c>
      <c r="H907" s="171"/>
      <c r="I907" s="171"/>
      <c r="J907" s="425">
        <v>18.8954</v>
      </c>
      <c r="K907" s="182">
        <v>10513.85</v>
      </c>
      <c r="L907" s="36"/>
      <c r="M907" s="36"/>
      <c r="N907" s="36"/>
      <c r="O907" s="36"/>
      <c r="P907" s="36"/>
      <c r="Q907" s="36"/>
      <c r="R907" s="36"/>
      <c r="S907" s="36"/>
      <c r="T907" s="36"/>
      <c r="U907" s="36"/>
      <c r="V907" s="36"/>
      <c r="W907" s="36"/>
      <c r="X907" s="36"/>
      <c r="Y907" s="36"/>
      <c r="Z907" s="36"/>
      <c r="AA907" s="36"/>
      <c r="AB907" s="36"/>
      <c r="AC907" s="36"/>
    </row>
    <row r="908" ht="15.75" customHeight="1">
      <c r="A908" s="423">
        <v>43244.0</v>
      </c>
      <c r="B908" s="424">
        <v>13.7798</v>
      </c>
      <c r="C908" s="425">
        <v>16.7064</v>
      </c>
      <c r="D908" s="171"/>
      <c r="E908" s="425">
        <v>13.2936</v>
      </c>
      <c r="F908" s="425">
        <v>16.3552</v>
      </c>
      <c r="G908" s="425">
        <v>13.0947</v>
      </c>
      <c r="H908" s="171"/>
      <c r="I908" s="171"/>
      <c r="J908" s="425">
        <v>18.8954</v>
      </c>
      <c r="K908" s="182">
        <v>10513.85</v>
      </c>
      <c r="L908" s="36"/>
      <c r="M908" s="36"/>
      <c r="N908" s="36"/>
      <c r="O908" s="36"/>
      <c r="P908" s="36"/>
      <c r="Q908" s="36"/>
      <c r="R908" s="36"/>
      <c r="S908" s="36"/>
      <c r="T908" s="36"/>
      <c r="U908" s="36"/>
      <c r="V908" s="36"/>
      <c r="W908" s="36"/>
      <c r="X908" s="36"/>
      <c r="Y908" s="36"/>
      <c r="Z908" s="36"/>
      <c r="AA908" s="36"/>
      <c r="AB908" s="36"/>
      <c r="AC908" s="36"/>
    </row>
    <row r="909" ht="15.75" customHeight="1">
      <c r="A909" s="423">
        <v>43245.0</v>
      </c>
      <c r="B909" s="424">
        <v>13.8966</v>
      </c>
      <c r="C909" s="425">
        <v>16.7119</v>
      </c>
      <c r="D909" s="171"/>
      <c r="E909" s="425">
        <v>13.3398</v>
      </c>
      <c r="F909" s="425">
        <v>16.4796</v>
      </c>
      <c r="G909" s="425">
        <v>13.1081</v>
      </c>
      <c r="H909" s="171"/>
      <c r="I909" s="171"/>
      <c r="J909" s="425">
        <v>19.0323</v>
      </c>
      <c r="K909" s="182">
        <v>10605.15</v>
      </c>
      <c r="L909" s="36"/>
      <c r="M909" s="36"/>
      <c r="N909" s="36"/>
      <c r="O909" s="36"/>
      <c r="P909" s="36"/>
      <c r="Q909" s="36"/>
      <c r="R909" s="36"/>
      <c r="S909" s="36"/>
      <c r="T909" s="36"/>
      <c r="U909" s="36"/>
      <c r="V909" s="36"/>
      <c r="W909" s="36"/>
      <c r="X909" s="36"/>
      <c r="Y909" s="36"/>
      <c r="Z909" s="36"/>
      <c r="AA909" s="36"/>
      <c r="AB909" s="36"/>
      <c r="AC909" s="36"/>
    </row>
    <row r="910" ht="15.75" customHeight="1">
      <c r="A910" s="423">
        <v>43245.0</v>
      </c>
      <c r="B910" s="424">
        <v>13.8966</v>
      </c>
      <c r="C910" s="425">
        <v>16.7119</v>
      </c>
      <c r="D910" s="171"/>
      <c r="E910" s="425">
        <v>13.3398</v>
      </c>
      <c r="F910" s="425">
        <v>16.4796</v>
      </c>
      <c r="G910" s="425">
        <v>13.1081</v>
      </c>
      <c r="H910" s="171"/>
      <c r="I910" s="171"/>
      <c r="J910" s="425">
        <v>19.0323</v>
      </c>
      <c r="K910" s="182">
        <v>10605.15</v>
      </c>
      <c r="L910" s="36"/>
      <c r="M910" s="36"/>
      <c r="N910" s="36"/>
      <c r="O910" s="36"/>
      <c r="P910" s="36"/>
      <c r="Q910" s="36"/>
      <c r="R910" s="36"/>
      <c r="S910" s="36"/>
      <c r="T910" s="36"/>
      <c r="U910" s="36"/>
      <c r="V910" s="36"/>
      <c r="W910" s="36"/>
      <c r="X910" s="36"/>
      <c r="Y910" s="36"/>
      <c r="Z910" s="36"/>
      <c r="AA910" s="36"/>
      <c r="AB910" s="36"/>
      <c r="AC910" s="36"/>
    </row>
    <row r="911" ht="15.75" customHeight="1">
      <c r="A911" s="423">
        <v>43245.0</v>
      </c>
      <c r="B911" s="424">
        <v>13.8966</v>
      </c>
      <c r="C911" s="425">
        <v>16.7105</v>
      </c>
      <c r="D911" s="171"/>
      <c r="E911" s="425">
        <v>13.3398</v>
      </c>
      <c r="F911" s="425">
        <v>16.4796</v>
      </c>
      <c r="G911" s="425">
        <v>13.1081</v>
      </c>
      <c r="H911" s="171"/>
      <c r="I911" s="171"/>
      <c r="J911" s="425">
        <v>19.0157</v>
      </c>
      <c r="K911" s="182">
        <v>10605.15</v>
      </c>
      <c r="L911" s="36"/>
      <c r="M911" s="36"/>
      <c r="N911" s="36"/>
      <c r="O911" s="36"/>
      <c r="P911" s="36"/>
      <c r="Q911" s="36"/>
      <c r="R911" s="36"/>
      <c r="S911" s="36"/>
      <c r="T911" s="36"/>
      <c r="U911" s="36"/>
      <c r="V911" s="36"/>
      <c r="W911" s="36"/>
      <c r="X911" s="36"/>
      <c r="Y911" s="36"/>
      <c r="Z911" s="36"/>
      <c r="AA911" s="36"/>
      <c r="AB911" s="36"/>
      <c r="AC911" s="36"/>
    </row>
    <row r="912" ht="15.75" customHeight="1">
      <c r="A912" s="423">
        <v>43245.0</v>
      </c>
      <c r="B912" s="424">
        <v>13.8966</v>
      </c>
      <c r="C912" s="425">
        <v>16.7105</v>
      </c>
      <c r="D912" s="171"/>
      <c r="E912" s="425">
        <v>13.3398</v>
      </c>
      <c r="F912" s="425">
        <v>16.4796</v>
      </c>
      <c r="G912" s="425">
        <v>13.1081</v>
      </c>
      <c r="H912" s="171"/>
      <c r="I912" s="171"/>
      <c r="J912" s="425">
        <v>19.0157</v>
      </c>
      <c r="K912" s="182">
        <v>10605.15</v>
      </c>
      <c r="L912" s="36"/>
      <c r="M912" s="36"/>
      <c r="N912" s="36"/>
      <c r="O912" s="36"/>
      <c r="P912" s="36"/>
      <c r="Q912" s="36"/>
      <c r="R912" s="36"/>
      <c r="S912" s="36"/>
      <c r="T912" s="36"/>
      <c r="U912" s="36"/>
      <c r="V912" s="36"/>
      <c r="W912" s="36"/>
      <c r="X912" s="36"/>
      <c r="Y912" s="36"/>
      <c r="Z912" s="36"/>
      <c r="AA912" s="36"/>
      <c r="AB912" s="36"/>
      <c r="AC912" s="36"/>
    </row>
    <row r="913" ht="15.75" customHeight="1">
      <c r="A913" s="423">
        <v>43248.0</v>
      </c>
      <c r="B913" s="424">
        <v>14.0053</v>
      </c>
      <c r="C913" s="425">
        <v>16.726</v>
      </c>
      <c r="D913" s="171"/>
      <c r="E913" s="425">
        <v>13.3752</v>
      </c>
      <c r="F913" s="425">
        <v>16.6088</v>
      </c>
      <c r="G913" s="425">
        <v>13.1198</v>
      </c>
      <c r="H913" s="171"/>
      <c r="I913" s="171"/>
      <c r="J913" s="425">
        <v>18.9888</v>
      </c>
      <c r="K913" s="182">
        <v>10688.65</v>
      </c>
      <c r="L913" s="36"/>
      <c r="M913" s="36"/>
      <c r="N913" s="36"/>
      <c r="O913" s="36"/>
      <c r="P913" s="36"/>
      <c r="Q913" s="36"/>
      <c r="R913" s="36"/>
      <c r="S913" s="36"/>
      <c r="T913" s="36"/>
      <c r="U913" s="36"/>
      <c r="V913" s="36"/>
      <c r="W913" s="36"/>
      <c r="X913" s="36"/>
      <c r="Y913" s="36"/>
      <c r="Z913" s="36"/>
      <c r="AA913" s="36"/>
      <c r="AB913" s="36"/>
      <c r="AC913" s="36"/>
    </row>
    <row r="914" ht="15.75" customHeight="1">
      <c r="A914" s="423">
        <v>43248.0</v>
      </c>
      <c r="B914" s="424">
        <v>14.0053</v>
      </c>
      <c r="C914" s="425">
        <v>16.726</v>
      </c>
      <c r="D914" s="171"/>
      <c r="E914" s="425">
        <v>13.3752</v>
      </c>
      <c r="F914" s="425">
        <v>16.6088</v>
      </c>
      <c r="G914" s="425">
        <v>13.1198</v>
      </c>
      <c r="H914" s="171"/>
      <c r="I914" s="171"/>
      <c r="J914" s="425">
        <v>18.9888</v>
      </c>
      <c r="K914" s="182">
        <v>10688.65</v>
      </c>
      <c r="L914" s="36"/>
      <c r="M914" s="36"/>
      <c r="N914" s="36"/>
      <c r="O914" s="36"/>
      <c r="P914" s="36"/>
      <c r="Q914" s="36"/>
      <c r="R914" s="36"/>
      <c r="S914" s="36"/>
      <c r="T914" s="36"/>
      <c r="U914" s="36"/>
      <c r="V914" s="36"/>
      <c r="W914" s="36"/>
      <c r="X914" s="36"/>
      <c r="Y914" s="36"/>
      <c r="Z914" s="36"/>
      <c r="AA914" s="36"/>
      <c r="AB914" s="36"/>
      <c r="AC914" s="36"/>
    </row>
    <row r="915" ht="15.75" customHeight="1">
      <c r="A915" s="423">
        <v>43248.0</v>
      </c>
      <c r="B915" s="424">
        <v>14.0053</v>
      </c>
      <c r="C915" s="425">
        <v>16.7212</v>
      </c>
      <c r="D915" s="171"/>
      <c r="E915" s="425">
        <v>13.3752</v>
      </c>
      <c r="F915" s="425">
        <v>16.6088</v>
      </c>
      <c r="G915" s="425">
        <v>13.1198</v>
      </c>
      <c r="H915" s="171"/>
      <c r="I915" s="171"/>
      <c r="J915" s="425">
        <v>19.1231</v>
      </c>
      <c r="K915" s="182">
        <v>10688.65</v>
      </c>
      <c r="L915" s="36"/>
      <c r="M915" s="36"/>
      <c r="N915" s="36"/>
      <c r="O915" s="36"/>
      <c r="P915" s="36"/>
      <c r="Q915" s="36"/>
      <c r="R915" s="36"/>
      <c r="S915" s="36"/>
      <c r="T915" s="36"/>
      <c r="U915" s="36"/>
      <c r="V915" s="36"/>
      <c r="W915" s="36"/>
      <c r="X915" s="36"/>
      <c r="Y915" s="36"/>
      <c r="Z915" s="36"/>
      <c r="AA915" s="36"/>
      <c r="AB915" s="36"/>
      <c r="AC915" s="36"/>
    </row>
    <row r="916" ht="15.75" customHeight="1">
      <c r="A916" s="423">
        <v>43248.0</v>
      </c>
      <c r="B916" s="424">
        <v>14.0053</v>
      </c>
      <c r="C916" s="425">
        <v>16.7212</v>
      </c>
      <c r="D916" s="171"/>
      <c r="E916" s="425">
        <v>13.3752</v>
      </c>
      <c r="F916" s="425">
        <v>16.6088</v>
      </c>
      <c r="G916" s="425">
        <v>13.1198</v>
      </c>
      <c r="H916" s="171"/>
      <c r="I916" s="171"/>
      <c r="J916" s="425">
        <v>19.1231</v>
      </c>
      <c r="K916" s="182">
        <v>10688.65</v>
      </c>
      <c r="L916" s="36"/>
      <c r="M916" s="36"/>
      <c r="N916" s="36"/>
      <c r="O916" s="36"/>
      <c r="P916" s="36"/>
      <c r="Q916" s="36"/>
      <c r="R916" s="36"/>
      <c r="S916" s="36"/>
      <c r="T916" s="36"/>
      <c r="U916" s="36"/>
      <c r="V916" s="36"/>
      <c r="W916" s="36"/>
      <c r="X916" s="36"/>
      <c r="Y916" s="36"/>
      <c r="Z916" s="36"/>
      <c r="AA916" s="36"/>
      <c r="AB916" s="36"/>
      <c r="AC916" s="36"/>
    </row>
    <row r="917" ht="15.75" customHeight="1">
      <c r="A917" s="423">
        <v>43249.0</v>
      </c>
      <c r="B917" s="424">
        <v>13.9484</v>
      </c>
      <c r="C917" s="425">
        <v>16.7324</v>
      </c>
      <c r="D917" s="171"/>
      <c r="E917" s="425">
        <v>13.3691</v>
      </c>
      <c r="F917" s="425">
        <v>16.5394</v>
      </c>
      <c r="G917" s="425">
        <v>13.1212</v>
      </c>
      <c r="H917" s="171"/>
      <c r="I917" s="171"/>
      <c r="J917" s="425">
        <v>19.1588</v>
      </c>
      <c r="K917" s="182">
        <v>10633.3</v>
      </c>
      <c r="L917" s="36"/>
      <c r="M917" s="36"/>
      <c r="N917" s="36"/>
      <c r="O917" s="36"/>
      <c r="P917" s="36"/>
      <c r="Q917" s="36"/>
      <c r="R917" s="36"/>
      <c r="S917" s="36"/>
      <c r="T917" s="36"/>
      <c r="U917" s="36"/>
      <c r="V917" s="36"/>
      <c r="W917" s="36"/>
      <c r="X917" s="36"/>
      <c r="Y917" s="36"/>
      <c r="Z917" s="36"/>
      <c r="AA917" s="36"/>
      <c r="AB917" s="36"/>
      <c r="AC917" s="36"/>
    </row>
    <row r="918" ht="15.75" customHeight="1">
      <c r="A918" s="423">
        <v>43249.0</v>
      </c>
      <c r="B918" s="424">
        <v>13.9484</v>
      </c>
      <c r="C918" s="425">
        <v>16.7324</v>
      </c>
      <c r="D918" s="171"/>
      <c r="E918" s="425">
        <v>13.3691</v>
      </c>
      <c r="F918" s="425">
        <v>16.5394</v>
      </c>
      <c r="G918" s="425">
        <v>13.1212</v>
      </c>
      <c r="H918" s="171"/>
      <c r="I918" s="171"/>
      <c r="J918" s="425">
        <v>19.1588</v>
      </c>
      <c r="K918" s="182">
        <v>10633.3</v>
      </c>
      <c r="L918" s="36"/>
      <c r="M918" s="36"/>
      <c r="N918" s="36"/>
      <c r="O918" s="36"/>
      <c r="P918" s="36"/>
      <c r="Q918" s="36"/>
      <c r="R918" s="36"/>
      <c r="S918" s="36"/>
      <c r="T918" s="36"/>
      <c r="U918" s="36"/>
      <c r="V918" s="36"/>
      <c r="W918" s="36"/>
      <c r="X918" s="36"/>
      <c r="Y918" s="36"/>
      <c r="Z918" s="36"/>
      <c r="AA918" s="36"/>
      <c r="AB918" s="36"/>
      <c r="AC918" s="36"/>
    </row>
    <row r="919" ht="15.75" customHeight="1">
      <c r="A919" s="423">
        <v>43249.0</v>
      </c>
      <c r="B919" s="424">
        <v>13.9484</v>
      </c>
      <c r="C919" s="425">
        <v>16.728</v>
      </c>
      <c r="D919" s="171"/>
      <c r="E919" s="425">
        <v>13.3691</v>
      </c>
      <c r="F919" s="425">
        <v>16.5394</v>
      </c>
      <c r="G919" s="425">
        <v>13.1212</v>
      </c>
      <c r="H919" s="171"/>
      <c r="I919" s="171"/>
      <c r="J919" s="425">
        <v>19.1196</v>
      </c>
      <c r="K919" s="182">
        <v>10633.3</v>
      </c>
      <c r="L919" s="36"/>
      <c r="M919" s="36"/>
      <c r="N919" s="36"/>
      <c r="O919" s="36"/>
      <c r="P919" s="36"/>
      <c r="Q919" s="36"/>
      <c r="R919" s="36"/>
      <c r="S919" s="36"/>
      <c r="T919" s="36"/>
      <c r="U919" s="36"/>
      <c r="V919" s="36"/>
      <c r="W919" s="36"/>
      <c r="X919" s="36"/>
      <c r="Y919" s="36"/>
      <c r="Z919" s="36"/>
      <c r="AA919" s="36"/>
      <c r="AB919" s="36"/>
      <c r="AC919" s="36"/>
    </row>
    <row r="920" ht="15.75" customHeight="1">
      <c r="A920" s="423">
        <v>43249.0</v>
      </c>
      <c r="B920" s="424">
        <v>13.9484</v>
      </c>
      <c r="C920" s="425">
        <v>16.728</v>
      </c>
      <c r="D920" s="171"/>
      <c r="E920" s="425">
        <v>13.3691</v>
      </c>
      <c r="F920" s="425">
        <v>16.5394</v>
      </c>
      <c r="G920" s="425">
        <v>13.1212</v>
      </c>
      <c r="H920" s="171"/>
      <c r="I920" s="171"/>
      <c r="J920" s="425">
        <v>19.1196</v>
      </c>
      <c r="K920" s="182">
        <v>10633.3</v>
      </c>
      <c r="L920" s="36"/>
      <c r="M920" s="36"/>
      <c r="N920" s="36"/>
      <c r="O920" s="36"/>
      <c r="P920" s="36"/>
      <c r="Q920" s="36"/>
      <c r="R920" s="36"/>
      <c r="S920" s="36"/>
      <c r="T920" s="36"/>
      <c r="U920" s="36"/>
      <c r="V920" s="36"/>
      <c r="W920" s="36"/>
      <c r="X920" s="36"/>
      <c r="Y920" s="36"/>
      <c r="Z920" s="36"/>
      <c r="AA920" s="36"/>
      <c r="AB920" s="36"/>
      <c r="AC920" s="36"/>
    </row>
    <row r="921" ht="15.75" customHeight="1">
      <c r="A921" s="423">
        <v>43250.0</v>
      </c>
      <c r="B921" s="424">
        <v>13.9285</v>
      </c>
      <c r="C921" s="425">
        <v>16.7494</v>
      </c>
      <c r="D921" s="171"/>
      <c r="E921" s="425">
        <v>13.3684</v>
      </c>
      <c r="F921" s="425">
        <v>16.539</v>
      </c>
      <c r="G921" s="425">
        <v>13.1228</v>
      </c>
      <c r="H921" s="171"/>
      <c r="I921" s="171"/>
      <c r="J921" s="425">
        <v>19.1751</v>
      </c>
      <c r="K921" s="182">
        <v>10614.35</v>
      </c>
      <c r="L921" s="36"/>
      <c r="M921" s="36"/>
      <c r="N921" s="36"/>
      <c r="O921" s="36"/>
      <c r="P921" s="36"/>
      <c r="Q921" s="36"/>
      <c r="R921" s="36"/>
      <c r="S921" s="36"/>
      <c r="T921" s="36"/>
      <c r="U921" s="36"/>
      <c r="V921" s="36"/>
      <c r="W921" s="36"/>
      <c r="X921" s="36"/>
      <c r="Y921" s="36"/>
      <c r="Z921" s="36"/>
      <c r="AA921" s="36"/>
      <c r="AB921" s="36"/>
      <c r="AC921" s="36"/>
    </row>
    <row r="922" ht="15.75" customHeight="1">
      <c r="A922" s="423">
        <v>43250.0</v>
      </c>
      <c r="B922" s="424">
        <v>13.9285</v>
      </c>
      <c r="C922" s="425">
        <v>16.7494</v>
      </c>
      <c r="D922" s="171"/>
      <c r="E922" s="425">
        <v>13.3684</v>
      </c>
      <c r="F922" s="425">
        <v>16.539</v>
      </c>
      <c r="G922" s="425">
        <v>13.1228</v>
      </c>
      <c r="H922" s="171"/>
      <c r="I922" s="171"/>
      <c r="J922" s="425">
        <v>19.1751</v>
      </c>
      <c r="K922" s="182">
        <v>10614.35</v>
      </c>
      <c r="L922" s="36"/>
      <c r="M922" s="36"/>
      <c r="N922" s="36"/>
      <c r="O922" s="36"/>
      <c r="P922" s="36"/>
      <c r="Q922" s="36"/>
      <c r="R922" s="36"/>
      <c r="S922" s="36"/>
      <c r="T922" s="36"/>
      <c r="U922" s="36"/>
      <c r="V922" s="36"/>
      <c r="W922" s="36"/>
      <c r="X922" s="36"/>
      <c r="Y922" s="36"/>
      <c r="Z922" s="36"/>
      <c r="AA922" s="36"/>
      <c r="AB922" s="36"/>
      <c r="AC922" s="36"/>
    </row>
    <row r="923" ht="15.75" customHeight="1">
      <c r="A923" s="423">
        <v>43250.0</v>
      </c>
      <c r="B923" s="424">
        <v>13.9285</v>
      </c>
      <c r="C923" s="425">
        <v>16.744</v>
      </c>
      <c r="D923" s="171"/>
      <c r="E923" s="425">
        <v>13.3684</v>
      </c>
      <c r="F923" s="425">
        <v>16.539</v>
      </c>
      <c r="G923" s="425">
        <v>13.1228</v>
      </c>
      <c r="H923" s="171"/>
      <c r="I923" s="171"/>
      <c r="J923" s="425">
        <v>19.2608</v>
      </c>
      <c r="K923" s="182">
        <v>10614.35</v>
      </c>
      <c r="L923" s="36"/>
      <c r="M923" s="36"/>
      <c r="N923" s="36"/>
      <c r="O923" s="36"/>
      <c r="P923" s="36"/>
      <c r="Q923" s="36"/>
      <c r="R923" s="36"/>
      <c r="S923" s="36"/>
      <c r="T923" s="36"/>
      <c r="U923" s="36"/>
      <c r="V923" s="36"/>
      <c r="W923" s="36"/>
      <c r="X923" s="36"/>
      <c r="Y923" s="36"/>
      <c r="Z923" s="36"/>
      <c r="AA923" s="36"/>
      <c r="AB923" s="36"/>
      <c r="AC923" s="36"/>
    </row>
    <row r="924" ht="15.75" customHeight="1">
      <c r="A924" s="423">
        <v>43250.0</v>
      </c>
      <c r="B924" s="424">
        <v>13.9285</v>
      </c>
      <c r="C924" s="425">
        <v>16.744</v>
      </c>
      <c r="D924" s="171"/>
      <c r="E924" s="425">
        <v>13.3684</v>
      </c>
      <c r="F924" s="425">
        <v>16.539</v>
      </c>
      <c r="G924" s="425">
        <v>13.1228</v>
      </c>
      <c r="H924" s="171"/>
      <c r="I924" s="171"/>
      <c r="J924" s="425">
        <v>19.2608</v>
      </c>
      <c r="K924" s="182">
        <v>10614.35</v>
      </c>
      <c r="L924" s="36"/>
      <c r="M924" s="36"/>
      <c r="N924" s="36"/>
      <c r="O924" s="36"/>
      <c r="P924" s="36"/>
      <c r="Q924" s="36"/>
      <c r="R924" s="36"/>
      <c r="S924" s="36"/>
      <c r="T924" s="36"/>
      <c r="U924" s="36"/>
      <c r="V924" s="36"/>
      <c r="W924" s="36"/>
      <c r="X924" s="36"/>
      <c r="Y924" s="36"/>
      <c r="Z924" s="36"/>
      <c r="AA924" s="36"/>
      <c r="AB924" s="36"/>
      <c r="AC924" s="36"/>
    </row>
    <row r="925" ht="15.75" customHeight="1">
      <c r="A925" s="423">
        <v>43251.0</v>
      </c>
      <c r="B925" s="424">
        <v>14.0725</v>
      </c>
      <c r="C925" s="425">
        <v>16.757</v>
      </c>
      <c r="D925" s="171"/>
      <c r="E925" s="425">
        <v>13.339</v>
      </c>
      <c r="F925" s="425">
        <v>16.6957</v>
      </c>
      <c r="G925" s="425">
        <v>13.1148</v>
      </c>
      <c r="H925" s="171"/>
      <c r="I925" s="171"/>
      <c r="J925" s="425">
        <v>19.2036</v>
      </c>
      <c r="K925" s="182">
        <v>10736.15</v>
      </c>
      <c r="L925" s="36"/>
      <c r="M925" s="36"/>
      <c r="N925" s="36"/>
      <c r="O925" s="36"/>
      <c r="P925" s="36"/>
      <c r="Q925" s="36"/>
      <c r="R925" s="36"/>
      <c r="S925" s="36"/>
      <c r="T925" s="36"/>
      <c r="U925" s="36"/>
      <c r="V925" s="36"/>
      <c r="W925" s="36"/>
      <c r="X925" s="36"/>
      <c r="Y925" s="36"/>
      <c r="Z925" s="36"/>
      <c r="AA925" s="36"/>
      <c r="AB925" s="36"/>
      <c r="AC925" s="36"/>
    </row>
    <row r="926" ht="15.75" customHeight="1">
      <c r="A926" s="423">
        <v>43251.0</v>
      </c>
      <c r="B926" s="424">
        <v>14.0725</v>
      </c>
      <c r="C926" s="425">
        <v>16.757</v>
      </c>
      <c r="D926" s="171"/>
      <c r="E926" s="425">
        <v>13.339</v>
      </c>
      <c r="F926" s="425">
        <v>16.6957</v>
      </c>
      <c r="G926" s="425">
        <v>13.1148</v>
      </c>
      <c r="H926" s="171"/>
      <c r="I926" s="171"/>
      <c r="J926" s="425">
        <v>19.2036</v>
      </c>
      <c r="K926" s="182">
        <v>10736.15</v>
      </c>
      <c r="L926" s="36"/>
      <c r="M926" s="36"/>
      <c r="N926" s="36"/>
      <c r="O926" s="36"/>
      <c r="P926" s="36"/>
      <c r="Q926" s="36"/>
      <c r="R926" s="36"/>
      <c r="S926" s="36"/>
      <c r="T926" s="36"/>
      <c r="U926" s="36"/>
      <c r="V926" s="36"/>
      <c r="W926" s="36"/>
      <c r="X926" s="36"/>
      <c r="Y926" s="36"/>
      <c r="Z926" s="36"/>
      <c r="AA926" s="36"/>
      <c r="AB926" s="36"/>
      <c r="AC926" s="36"/>
    </row>
    <row r="927" ht="15.75" customHeight="1">
      <c r="A927" s="423">
        <v>43251.0</v>
      </c>
      <c r="B927" s="424">
        <v>14.0725</v>
      </c>
      <c r="C927" s="425">
        <v>16.7517</v>
      </c>
      <c r="D927" s="171"/>
      <c r="E927" s="425">
        <v>13.339</v>
      </c>
      <c r="F927" s="425">
        <v>16.6957</v>
      </c>
      <c r="G927" s="425">
        <v>13.1148</v>
      </c>
      <c r="H927" s="171"/>
      <c r="I927" s="171"/>
      <c r="J927" s="425">
        <v>19.231</v>
      </c>
      <c r="K927" s="182">
        <v>10736.15</v>
      </c>
      <c r="L927" s="36"/>
      <c r="M927" s="36"/>
      <c r="N927" s="36"/>
      <c r="O927" s="36"/>
      <c r="P927" s="36"/>
      <c r="Q927" s="36"/>
      <c r="R927" s="36"/>
      <c r="S927" s="36"/>
      <c r="T927" s="36"/>
      <c r="U927" s="36"/>
      <c r="V927" s="36"/>
      <c r="W927" s="36"/>
      <c r="X927" s="36"/>
      <c r="Y927" s="36"/>
      <c r="Z927" s="36"/>
      <c r="AA927" s="36"/>
      <c r="AB927" s="36"/>
      <c r="AC927" s="36"/>
    </row>
    <row r="928" ht="15.75" customHeight="1">
      <c r="A928" s="423">
        <v>43251.0</v>
      </c>
      <c r="B928" s="424">
        <v>14.0725</v>
      </c>
      <c r="C928" s="425">
        <v>16.7517</v>
      </c>
      <c r="D928" s="171"/>
      <c r="E928" s="425">
        <v>13.339</v>
      </c>
      <c r="F928" s="425">
        <v>16.6957</v>
      </c>
      <c r="G928" s="425">
        <v>13.1148</v>
      </c>
      <c r="H928" s="171"/>
      <c r="I928" s="171"/>
      <c r="J928" s="425">
        <v>19.231</v>
      </c>
      <c r="K928" s="182">
        <v>10736.15</v>
      </c>
      <c r="L928" s="36"/>
      <c r="M928" s="36"/>
      <c r="N928" s="36"/>
      <c r="O928" s="36"/>
      <c r="P928" s="36"/>
      <c r="Q928" s="36"/>
      <c r="R928" s="36"/>
      <c r="S928" s="36"/>
      <c r="T928" s="36"/>
      <c r="U928" s="36"/>
      <c r="V928" s="36"/>
      <c r="W928" s="36"/>
      <c r="X928" s="36"/>
      <c r="Y928" s="36"/>
      <c r="Z928" s="36"/>
      <c r="AA928" s="36"/>
      <c r="AB928" s="36"/>
      <c r="AC928" s="36"/>
    </row>
    <row r="929" ht="15.75" customHeight="1">
      <c r="A929" s="423">
        <v>43252.0</v>
      </c>
      <c r="B929" s="424">
        <v>14.0209</v>
      </c>
      <c r="C929" s="425">
        <v>16.7594</v>
      </c>
      <c r="D929" s="171"/>
      <c r="E929" s="425">
        <v>13.3373</v>
      </c>
      <c r="F929" s="425">
        <v>16.6476</v>
      </c>
      <c r="G929" s="425">
        <v>13.1149</v>
      </c>
      <c r="H929" s="171"/>
      <c r="I929" s="171"/>
      <c r="J929" s="425">
        <v>19.2192</v>
      </c>
      <c r="K929" s="182">
        <v>10696.2</v>
      </c>
      <c r="L929" s="36"/>
      <c r="M929" s="36"/>
      <c r="N929" s="36"/>
      <c r="O929" s="36"/>
      <c r="P929" s="36"/>
      <c r="Q929" s="36"/>
      <c r="R929" s="36"/>
      <c r="S929" s="36"/>
      <c r="T929" s="36"/>
      <c r="U929" s="36"/>
      <c r="V929" s="36"/>
      <c r="W929" s="36"/>
      <c r="X929" s="36"/>
      <c r="Y929" s="36"/>
      <c r="Z929" s="36"/>
      <c r="AA929" s="36"/>
      <c r="AB929" s="36"/>
      <c r="AC929" s="36"/>
    </row>
    <row r="930" ht="15.75" customHeight="1">
      <c r="A930" s="423">
        <v>43252.0</v>
      </c>
      <c r="B930" s="424">
        <v>14.0209</v>
      </c>
      <c r="C930" s="425">
        <v>16.7594</v>
      </c>
      <c r="D930" s="171"/>
      <c r="E930" s="425">
        <v>13.3373</v>
      </c>
      <c r="F930" s="425">
        <v>16.6476</v>
      </c>
      <c r="G930" s="425">
        <v>13.1149</v>
      </c>
      <c r="H930" s="171"/>
      <c r="I930" s="171"/>
      <c r="J930" s="425">
        <v>19.2192</v>
      </c>
      <c r="K930" s="182">
        <v>10696.2</v>
      </c>
      <c r="L930" s="36"/>
      <c r="M930" s="36"/>
      <c r="N930" s="36"/>
      <c r="O930" s="36"/>
      <c r="P930" s="36"/>
      <c r="Q930" s="36"/>
      <c r="R930" s="36"/>
      <c r="S930" s="36"/>
      <c r="T930" s="36"/>
      <c r="U930" s="36"/>
      <c r="V930" s="36"/>
      <c r="W930" s="36"/>
      <c r="X930" s="36"/>
      <c r="Y930" s="36"/>
      <c r="Z930" s="36"/>
      <c r="AA930" s="36"/>
      <c r="AB930" s="36"/>
      <c r="AC930" s="36"/>
    </row>
    <row r="931" ht="15.75" customHeight="1">
      <c r="A931" s="423">
        <v>43252.0</v>
      </c>
      <c r="B931" s="424">
        <v>14.0209</v>
      </c>
      <c r="C931" s="425">
        <v>16.7594</v>
      </c>
      <c r="D931" s="171"/>
      <c r="E931" s="425">
        <v>13.3373</v>
      </c>
      <c r="F931" s="425">
        <v>16.6476</v>
      </c>
      <c r="G931" s="425">
        <v>13.1149</v>
      </c>
      <c r="H931" s="171"/>
      <c r="I931" s="171"/>
      <c r="J931" s="425">
        <v>19.2287</v>
      </c>
      <c r="K931" s="182">
        <v>10696.2</v>
      </c>
      <c r="L931" s="36"/>
      <c r="M931" s="36"/>
      <c r="N931" s="36"/>
      <c r="O931" s="36"/>
      <c r="P931" s="36"/>
      <c r="Q931" s="36"/>
      <c r="R931" s="36"/>
      <c r="S931" s="36"/>
      <c r="T931" s="36"/>
      <c r="U931" s="36"/>
      <c r="V931" s="36"/>
      <c r="W931" s="36"/>
      <c r="X931" s="36"/>
      <c r="Y931" s="36"/>
      <c r="Z931" s="36"/>
      <c r="AA931" s="36"/>
      <c r="AB931" s="36"/>
      <c r="AC931" s="36"/>
    </row>
    <row r="932" ht="15.75" customHeight="1">
      <c r="A932" s="423">
        <v>43252.0</v>
      </c>
      <c r="B932" s="424">
        <v>14.0209</v>
      </c>
      <c r="C932" s="425">
        <v>16.7594</v>
      </c>
      <c r="D932" s="171"/>
      <c r="E932" s="425">
        <v>13.3373</v>
      </c>
      <c r="F932" s="425">
        <v>16.6476</v>
      </c>
      <c r="G932" s="425">
        <v>13.1149</v>
      </c>
      <c r="H932" s="171"/>
      <c r="I932" s="171"/>
      <c r="J932" s="425">
        <v>19.2287</v>
      </c>
      <c r="K932" s="182">
        <v>10696.2</v>
      </c>
      <c r="L932" s="36"/>
      <c r="M932" s="36"/>
      <c r="N932" s="36"/>
      <c r="O932" s="36"/>
      <c r="P932" s="36"/>
      <c r="Q932" s="36"/>
      <c r="R932" s="36"/>
      <c r="S932" s="36"/>
      <c r="T932" s="36"/>
      <c r="U932" s="36"/>
      <c r="V932" s="36"/>
      <c r="W932" s="36"/>
      <c r="X932" s="36"/>
      <c r="Y932" s="36"/>
      <c r="Z932" s="36"/>
      <c r="AA932" s="36"/>
      <c r="AB932" s="36"/>
      <c r="AC932" s="36"/>
    </row>
    <row r="933" ht="15.75" customHeight="1">
      <c r="A933" s="423">
        <v>43255.0</v>
      </c>
      <c r="B933" s="424">
        <v>13.9366</v>
      </c>
      <c r="C933" s="425">
        <v>16.7615</v>
      </c>
      <c r="D933" s="171"/>
      <c r="E933" s="425">
        <v>13.3284</v>
      </c>
      <c r="F933" s="425">
        <v>16.5589</v>
      </c>
      <c r="G933" s="425">
        <v>13.1151</v>
      </c>
      <c r="H933" s="171"/>
      <c r="I933" s="171"/>
      <c r="J933" s="425">
        <v>19.4629</v>
      </c>
      <c r="K933" s="182">
        <v>10628.5</v>
      </c>
      <c r="L933" s="36"/>
      <c r="M933" s="36"/>
      <c r="N933" s="36"/>
      <c r="O933" s="36"/>
      <c r="P933" s="36"/>
      <c r="Q933" s="36"/>
      <c r="R933" s="36"/>
      <c r="S933" s="36"/>
      <c r="T933" s="36"/>
      <c r="U933" s="36"/>
      <c r="V933" s="36"/>
      <c r="W933" s="36"/>
      <c r="X933" s="36"/>
      <c r="Y933" s="36"/>
      <c r="Z933" s="36"/>
      <c r="AA933" s="36"/>
      <c r="AB933" s="36"/>
      <c r="AC933" s="36"/>
    </row>
    <row r="934" ht="15.75" customHeight="1">
      <c r="A934" s="423">
        <v>43255.0</v>
      </c>
      <c r="B934" s="424">
        <v>13.9366</v>
      </c>
      <c r="C934" s="425">
        <v>16.7615</v>
      </c>
      <c r="D934" s="171"/>
      <c r="E934" s="425">
        <v>13.3284</v>
      </c>
      <c r="F934" s="425">
        <v>16.5589</v>
      </c>
      <c r="G934" s="425">
        <v>13.1151</v>
      </c>
      <c r="H934" s="171"/>
      <c r="I934" s="171"/>
      <c r="J934" s="425">
        <v>19.4629</v>
      </c>
      <c r="K934" s="182">
        <v>10628.5</v>
      </c>
      <c r="L934" s="36"/>
      <c r="M934" s="36"/>
      <c r="N934" s="36"/>
      <c r="O934" s="36"/>
      <c r="P934" s="36"/>
      <c r="Q934" s="36"/>
      <c r="R934" s="36"/>
      <c r="S934" s="36"/>
      <c r="T934" s="36"/>
      <c r="U934" s="36"/>
      <c r="V934" s="36"/>
      <c r="W934" s="36"/>
      <c r="X934" s="36"/>
      <c r="Y934" s="36"/>
      <c r="Z934" s="36"/>
      <c r="AA934" s="36"/>
      <c r="AB934" s="36"/>
      <c r="AC934" s="36"/>
    </row>
    <row r="935" ht="15.75" customHeight="1">
      <c r="A935" s="423">
        <v>43255.0</v>
      </c>
      <c r="B935" s="424">
        <v>13.9366</v>
      </c>
      <c r="C935" s="425">
        <v>16.7633</v>
      </c>
      <c r="D935" s="171"/>
      <c r="E935" s="425">
        <v>13.3284</v>
      </c>
      <c r="F935" s="425">
        <v>16.5589</v>
      </c>
      <c r="G935" s="425">
        <v>13.1151</v>
      </c>
      <c r="H935" s="171"/>
      <c r="I935" s="171"/>
      <c r="J935" s="425">
        <v>19.334</v>
      </c>
      <c r="K935" s="182">
        <v>10628.5</v>
      </c>
      <c r="L935" s="36"/>
      <c r="M935" s="36"/>
      <c r="N935" s="36"/>
      <c r="O935" s="36"/>
      <c r="P935" s="36"/>
      <c r="Q935" s="36"/>
      <c r="R935" s="36"/>
      <c r="S935" s="36"/>
      <c r="T935" s="36"/>
      <c r="U935" s="36"/>
      <c r="V935" s="36"/>
      <c r="W935" s="36"/>
      <c r="X935" s="36"/>
      <c r="Y935" s="36"/>
      <c r="Z935" s="36"/>
      <c r="AA935" s="36"/>
      <c r="AB935" s="36"/>
      <c r="AC935" s="36"/>
    </row>
    <row r="936" ht="15.75" customHeight="1">
      <c r="A936" s="423">
        <v>43255.0</v>
      </c>
      <c r="B936" s="424">
        <v>13.9366</v>
      </c>
      <c r="C936" s="425">
        <v>16.7633</v>
      </c>
      <c r="D936" s="171"/>
      <c r="E936" s="425">
        <v>13.3284</v>
      </c>
      <c r="F936" s="425">
        <v>16.5589</v>
      </c>
      <c r="G936" s="425">
        <v>13.1151</v>
      </c>
      <c r="H936" s="171"/>
      <c r="I936" s="171"/>
      <c r="J936" s="425">
        <v>19.334</v>
      </c>
      <c r="K936" s="182">
        <v>10628.5</v>
      </c>
      <c r="L936" s="36"/>
      <c r="M936" s="36"/>
      <c r="N936" s="36"/>
      <c r="O936" s="36"/>
      <c r="P936" s="36"/>
      <c r="Q936" s="36"/>
      <c r="R936" s="36"/>
      <c r="S936" s="36"/>
      <c r="T936" s="36"/>
      <c r="U936" s="36"/>
      <c r="V936" s="36"/>
      <c r="W936" s="36"/>
      <c r="X936" s="36"/>
      <c r="Y936" s="36"/>
      <c r="Z936" s="36"/>
      <c r="AA936" s="36"/>
      <c r="AB936" s="36"/>
      <c r="AC936" s="36"/>
    </row>
    <row r="937" ht="15.75" customHeight="1">
      <c r="A937" s="423">
        <v>43256.0</v>
      </c>
      <c r="B937" s="424">
        <v>13.891</v>
      </c>
      <c r="C937" s="425">
        <v>16.7585</v>
      </c>
      <c r="D937" s="171"/>
      <c r="E937" s="425">
        <v>13.3515</v>
      </c>
      <c r="F937" s="425">
        <v>16.5025</v>
      </c>
      <c r="G937" s="425">
        <v>13.1236</v>
      </c>
      <c r="H937" s="171"/>
      <c r="I937" s="171"/>
      <c r="J937" s="425">
        <v>19.4484</v>
      </c>
      <c r="K937" s="182">
        <v>10593.15</v>
      </c>
      <c r="L937" s="36"/>
      <c r="M937" s="36"/>
      <c r="N937" s="36"/>
      <c r="O937" s="36"/>
      <c r="P937" s="36"/>
      <c r="Q937" s="36"/>
      <c r="R937" s="36"/>
      <c r="S937" s="36"/>
      <c r="T937" s="36"/>
      <c r="U937" s="36"/>
      <c r="V937" s="36"/>
      <c r="W937" s="36"/>
      <c r="X937" s="36"/>
      <c r="Y937" s="36"/>
      <c r="Z937" s="36"/>
      <c r="AA937" s="36"/>
      <c r="AB937" s="36"/>
      <c r="AC937" s="36"/>
    </row>
    <row r="938" ht="15.75" customHeight="1">
      <c r="A938" s="423">
        <v>43256.0</v>
      </c>
      <c r="B938" s="424">
        <v>13.891</v>
      </c>
      <c r="C938" s="425">
        <v>16.7585</v>
      </c>
      <c r="D938" s="171"/>
      <c r="E938" s="425">
        <v>13.3515</v>
      </c>
      <c r="F938" s="425">
        <v>16.5025</v>
      </c>
      <c r="G938" s="425">
        <v>13.1236</v>
      </c>
      <c r="H938" s="171"/>
      <c r="I938" s="171"/>
      <c r="J938" s="425">
        <v>19.4484</v>
      </c>
      <c r="K938" s="182">
        <v>10593.15</v>
      </c>
      <c r="L938" s="36"/>
      <c r="M938" s="36"/>
      <c r="N938" s="36"/>
      <c r="O938" s="36"/>
      <c r="P938" s="36"/>
      <c r="Q938" s="36"/>
      <c r="R938" s="36"/>
      <c r="S938" s="36"/>
      <c r="T938" s="36"/>
      <c r="U938" s="36"/>
      <c r="V938" s="36"/>
      <c r="W938" s="36"/>
      <c r="X938" s="36"/>
      <c r="Y938" s="36"/>
      <c r="Z938" s="36"/>
      <c r="AA938" s="36"/>
      <c r="AB938" s="36"/>
      <c r="AC938" s="36"/>
    </row>
    <row r="939" ht="15.75" customHeight="1">
      <c r="A939" s="423">
        <v>43256.0</v>
      </c>
      <c r="B939" s="424">
        <v>13.891</v>
      </c>
      <c r="C939" s="425">
        <v>16.7562</v>
      </c>
      <c r="D939" s="171"/>
      <c r="E939" s="425">
        <v>13.3515</v>
      </c>
      <c r="F939" s="425">
        <v>16.5025</v>
      </c>
      <c r="G939" s="425">
        <v>13.1236</v>
      </c>
      <c r="H939" s="171"/>
      <c r="I939" s="171"/>
      <c r="J939" s="425">
        <v>19.4265</v>
      </c>
      <c r="K939" s="182">
        <v>10593.15</v>
      </c>
      <c r="L939" s="36"/>
      <c r="M939" s="36"/>
      <c r="N939" s="36"/>
      <c r="O939" s="36"/>
      <c r="P939" s="36"/>
      <c r="Q939" s="36"/>
      <c r="R939" s="36"/>
      <c r="S939" s="36"/>
      <c r="T939" s="36"/>
      <c r="U939" s="36"/>
      <c r="V939" s="36"/>
      <c r="W939" s="36"/>
      <c r="X939" s="36"/>
      <c r="Y939" s="36"/>
      <c r="Z939" s="36"/>
      <c r="AA939" s="36"/>
      <c r="AB939" s="36"/>
      <c r="AC939" s="36"/>
    </row>
    <row r="940" ht="15.75" customHeight="1">
      <c r="A940" s="423">
        <v>43256.0</v>
      </c>
      <c r="B940" s="424">
        <v>13.891</v>
      </c>
      <c r="C940" s="425">
        <v>16.7562</v>
      </c>
      <c r="D940" s="171"/>
      <c r="E940" s="425">
        <v>13.3515</v>
      </c>
      <c r="F940" s="425">
        <v>16.5025</v>
      </c>
      <c r="G940" s="425">
        <v>13.1236</v>
      </c>
      <c r="H940" s="171"/>
      <c r="I940" s="171"/>
      <c r="J940" s="425">
        <v>19.4265</v>
      </c>
      <c r="K940" s="182">
        <v>10593.15</v>
      </c>
      <c r="L940" s="36"/>
      <c r="M940" s="36"/>
      <c r="N940" s="36"/>
      <c r="O940" s="36"/>
      <c r="P940" s="36"/>
      <c r="Q940" s="36"/>
      <c r="R940" s="36"/>
      <c r="S940" s="36"/>
      <c r="T940" s="36"/>
      <c r="U940" s="36"/>
      <c r="V940" s="36"/>
      <c r="W940" s="36"/>
      <c r="X940" s="36"/>
      <c r="Y940" s="36"/>
      <c r="Z940" s="36"/>
      <c r="AA940" s="36"/>
      <c r="AB940" s="36"/>
      <c r="AC940" s="36"/>
    </row>
    <row r="941" ht="15.75" customHeight="1">
      <c r="A941" s="423">
        <v>43257.0</v>
      </c>
      <c r="B941" s="424">
        <v>13.9816</v>
      </c>
      <c r="C941" s="425">
        <v>16.7593</v>
      </c>
      <c r="D941" s="171"/>
      <c r="E941" s="425">
        <v>13.3177</v>
      </c>
      <c r="F941" s="425">
        <v>16.6033</v>
      </c>
      <c r="G941" s="425">
        <v>13.1146</v>
      </c>
      <c r="H941" s="171"/>
      <c r="I941" s="171"/>
      <c r="J941" s="425">
        <v>19.5179</v>
      </c>
      <c r="K941" s="182">
        <v>10684.65</v>
      </c>
      <c r="L941" s="36"/>
      <c r="M941" s="36"/>
      <c r="N941" s="36"/>
      <c r="O941" s="36"/>
      <c r="P941" s="36"/>
      <c r="Q941" s="36"/>
      <c r="R941" s="36"/>
      <c r="S941" s="36"/>
      <c r="T941" s="36"/>
      <c r="U941" s="36"/>
      <c r="V941" s="36"/>
      <c r="W941" s="36"/>
      <c r="X941" s="36"/>
      <c r="Y941" s="36"/>
      <c r="Z941" s="36"/>
      <c r="AA941" s="36"/>
      <c r="AB941" s="36"/>
      <c r="AC941" s="36"/>
    </row>
    <row r="942" ht="15.75" customHeight="1">
      <c r="A942" s="423">
        <v>43257.0</v>
      </c>
      <c r="B942" s="424">
        <v>13.9816</v>
      </c>
      <c r="C942" s="425">
        <v>16.7593</v>
      </c>
      <c r="D942" s="171"/>
      <c r="E942" s="425">
        <v>13.3177</v>
      </c>
      <c r="F942" s="425">
        <v>16.6033</v>
      </c>
      <c r="G942" s="425">
        <v>13.1146</v>
      </c>
      <c r="H942" s="171"/>
      <c r="I942" s="171"/>
      <c r="J942" s="425">
        <v>19.5179</v>
      </c>
      <c r="K942" s="182">
        <v>10684.65</v>
      </c>
      <c r="L942" s="36"/>
      <c r="M942" s="36"/>
      <c r="N942" s="36"/>
      <c r="O942" s="36"/>
      <c r="P942" s="36"/>
      <c r="Q942" s="36"/>
      <c r="R942" s="36"/>
      <c r="S942" s="36"/>
      <c r="T942" s="36"/>
      <c r="U942" s="36"/>
      <c r="V942" s="36"/>
      <c r="W942" s="36"/>
      <c r="X942" s="36"/>
      <c r="Y942" s="36"/>
      <c r="Z942" s="36"/>
      <c r="AA942" s="36"/>
      <c r="AB942" s="36"/>
      <c r="AC942" s="36"/>
    </row>
    <row r="943" ht="15.75" customHeight="1">
      <c r="A943" s="423">
        <v>43257.0</v>
      </c>
      <c r="B943" s="424">
        <v>13.9816</v>
      </c>
      <c r="C943" s="425">
        <v>16.7583</v>
      </c>
      <c r="D943" s="171"/>
      <c r="E943" s="425">
        <v>13.3177</v>
      </c>
      <c r="F943" s="425">
        <v>16.6033</v>
      </c>
      <c r="G943" s="425">
        <v>13.1146</v>
      </c>
      <c r="H943" s="171"/>
      <c r="I943" s="171"/>
      <c r="J943" s="425">
        <v>19.4426</v>
      </c>
      <c r="K943" s="182">
        <v>10684.65</v>
      </c>
      <c r="L943" s="36"/>
      <c r="M943" s="36"/>
      <c r="N943" s="36"/>
      <c r="O943" s="36"/>
      <c r="P943" s="36"/>
      <c r="Q943" s="36"/>
      <c r="R943" s="36"/>
      <c r="S943" s="36"/>
      <c r="T943" s="36"/>
      <c r="U943" s="36"/>
      <c r="V943" s="36"/>
      <c r="W943" s="36"/>
      <c r="X943" s="36"/>
      <c r="Y943" s="36"/>
      <c r="Z943" s="36"/>
      <c r="AA943" s="36"/>
      <c r="AB943" s="36"/>
      <c r="AC943" s="36"/>
    </row>
    <row r="944" ht="15.75" customHeight="1">
      <c r="A944" s="423">
        <v>43257.0</v>
      </c>
      <c r="B944" s="424">
        <v>13.9816</v>
      </c>
      <c r="C944" s="425">
        <v>16.7583</v>
      </c>
      <c r="D944" s="171"/>
      <c r="E944" s="425">
        <v>13.3177</v>
      </c>
      <c r="F944" s="425">
        <v>16.6033</v>
      </c>
      <c r="G944" s="425">
        <v>13.1146</v>
      </c>
      <c r="H944" s="171"/>
      <c r="I944" s="171"/>
      <c r="J944" s="425">
        <v>19.4426</v>
      </c>
      <c r="K944" s="182">
        <v>10684.65</v>
      </c>
      <c r="L944" s="36"/>
      <c r="M944" s="36"/>
      <c r="N944" s="36"/>
      <c r="O944" s="36"/>
      <c r="P944" s="36"/>
      <c r="Q944" s="36"/>
      <c r="R944" s="36"/>
      <c r="S944" s="36"/>
      <c r="T944" s="36"/>
      <c r="U944" s="36"/>
      <c r="V944" s="36"/>
      <c r="W944" s="36"/>
      <c r="X944" s="36"/>
      <c r="Y944" s="36"/>
      <c r="Z944" s="36"/>
      <c r="AA944" s="36"/>
      <c r="AB944" s="36"/>
      <c r="AC944" s="36"/>
    </row>
    <row r="945" ht="15.75" customHeight="1">
      <c r="A945" s="423">
        <v>43258.0</v>
      </c>
      <c r="B945" s="424">
        <v>14.0708</v>
      </c>
      <c r="C945" s="425">
        <v>16.7584</v>
      </c>
      <c r="D945" s="171"/>
      <c r="E945" s="425">
        <v>13.279</v>
      </c>
      <c r="F945" s="425">
        <v>16.6903</v>
      </c>
      <c r="G945" s="425">
        <v>13.1078</v>
      </c>
      <c r="H945" s="171"/>
      <c r="I945" s="171"/>
      <c r="J945" s="425">
        <v>19.5293</v>
      </c>
      <c r="K945" s="182">
        <v>10768.35</v>
      </c>
      <c r="L945" s="36"/>
      <c r="M945" s="36"/>
      <c r="N945" s="36"/>
      <c r="O945" s="36"/>
      <c r="P945" s="36"/>
      <c r="Q945" s="36"/>
      <c r="R945" s="36"/>
      <c r="S945" s="36"/>
      <c r="T945" s="36"/>
      <c r="U945" s="36"/>
      <c r="V945" s="36"/>
      <c r="W945" s="36"/>
      <c r="X945" s="36"/>
      <c r="Y945" s="36"/>
      <c r="Z945" s="36"/>
      <c r="AA945" s="36"/>
      <c r="AB945" s="36"/>
      <c r="AC945" s="36"/>
    </row>
    <row r="946" ht="15.75" customHeight="1">
      <c r="A946" s="423">
        <v>43258.0</v>
      </c>
      <c r="B946" s="424">
        <v>14.0708</v>
      </c>
      <c r="C946" s="425">
        <v>16.7584</v>
      </c>
      <c r="D946" s="171"/>
      <c r="E946" s="425">
        <v>13.279</v>
      </c>
      <c r="F946" s="425">
        <v>16.6903</v>
      </c>
      <c r="G946" s="425">
        <v>13.1078</v>
      </c>
      <c r="H946" s="171"/>
      <c r="I946" s="171"/>
      <c r="J946" s="425">
        <v>19.5293</v>
      </c>
      <c r="K946" s="182">
        <v>10768.35</v>
      </c>
      <c r="L946" s="36"/>
      <c r="M946" s="36"/>
      <c r="N946" s="36"/>
      <c r="O946" s="36"/>
      <c r="P946" s="36"/>
      <c r="Q946" s="36"/>
      <c r="R946" s="36"/>
      <c r="S946" s="36"/>
      <c r="T946" s="36"/>
      <c r="U946" s="36"/>
      <c r="V946" s="36"/>
      <c r="W946" s="36"/>
      <c r="X946" s="36"/>
      <c r="Y946" s="36"/>
      <c r="Z946" s="36"/>
      <c r="AA946" s="36"/>
      <c r="AB946" s="36"/>
      <c r="AC946" s="36"/>
    </row>
    <row r="947" ht="15.75" customHeight="1">
      <c r="A947" s="423">
        <v>43258.0</v>
      </c>
      <c r="B947" s="424">
        <v>14.0708</v>
      </c>
      <c r="C947" s="425">
        <v>16.756</v>
      </c>
      <c r="D947" s="171"/>
      <c r="E947" s="425">
        <v>13.279</v>
      </c>
      <c r="F947" s="425">
        <v>16.6903</v>
      </c>
      <c r="G947" s="425">
        <v>13.1078</v>
      </c>
      <c r="H947" s="171"/>
      <c r="I947" s="171"/>
      <c r="J947" s="425">
        <v>19.5365</v>
      </c>
      <c r="K947" s="182">
        <v>10768.35</v>
      </c>
      <c r="L947" s="36"/>
      <c r="M947" s="36"/>
      <c r="N947" s="36"/>
      <c r="O947" s="36"/>
      <c r="P947" s="36"/>
      <c r="Q947" s="36"/>
      <c r="R947" s="36"/>
      <c r="S947" s="36"/>
      <c r="T947" s="36"/>
      <c r="U947" s="36"/>
      <c r="V947" s="36"/>
      <c r="W947" s="36"/>
      <c r="X947" s="36"/>
      <c r="Y947" s="36"/>
      <c r="Z947" s="36"/>
      <c r="AA947" s="36"/>
      <c r="AB947" s="36"/>
      <c r="AC947" s="36"/>
    </row>
    <row r="948" ht="15.75" customHeight="1">
      <c r="A948" s="423">
        <v>43258.0</v>
      </c>
      <c r="B948" s="424">
        <v>14.0708</v>
      </c>
      <c r="C948" s="425">
        <v>16.756</v>
      </c>
      <c r="D948" s="171"/>
      <c r="E948" s="425">
        <v>13.279</v>
      </c>
      <c r="F948" s="425">
        <v>16.6903</v>
      </c>
      <c r="G948" s="425">
        <v>13.1078</v>
      </c>
      <c r="H948" s="171"/>
      <c r="I948" s="171"/>
      <c r="J948" s="425">
        <v>19.5365</v>
      </c>
      <c r="K948" s="182">
        <v>10768.35</v>
      </c>
      <c r="L948" s="36"/>
      <c r="M948" s="36"/>
      <c r="N948" s="36"/>
      <c r="O948" s="36"/>
      <c r="P948" s="36"/>
      <c r="Q948" s="36"/>
      <c r="R948" s="36"/>
      <c r="S948" s="36"/>
      <c r="T948" s="36"/>
      <c r="U948" s="36"/>
      <c r="V948" s="36"/>
      <c r="W948" s="36"/>
      <c r="X948" s="36"/>
      <c r="Y948" s="36"/>
      <c r="Z948" s="36"/>
      <c r="AA948" s="36"/>
      <c r="AB948" s="36"/>
      <c r="AC948" s="36"/>
    </row>
    <row r="949" ht="15.75" customHeight="1">
      <c r="A949" s="423">
        <v>43259.0</v>
      </c>
      <c r="B949" s="424">
        <v>14.0715</v>
      </c>
      <c r="C949" s="425">
        <v>16.7462</v>
      </c>
      <c r="D949" s="171"/>
      <c r="E949" s="425">
        <v>13.308</v>
      </c>
      <c r="F949" s="425">
        <v>16.6986</v>
      </c>
      <c r="G949" s="425">
        <v>13.1175</v>
      </c>
      <c r="H949" s="171"/>
      <c r="I949" s="171"/>
      <c r="J949" s="425">
        <v>19.2144</v>
      </c>
      <c r="K949" s="182">
        <v>10767.65</v>
      </c>
      <c r="L949" s="36"/>
      <c r="M949" s="36"/>
      <c r="N949" s="36"/>
      <c r="O949" s="36"/>
      <c r="P949" s="36"/>
      <c r="Q949" s="36"/>
      <c r="R949" s="36"/>
      <c r="S949" s="36"/>
      <c r="T949" s="36"/>
      <c r="U949" s="36"/>
      <c r="V949" s="36"/>
      <c r="W949" s="36"/>
      <c r="X949" s="36"/>
      <c r="Y949" s="36"/>
      <c r="Z949" s="36"/>
      <c r="AA949" s="36"/>
      <c r="AB949" s="36"/>
      <c r="AC949" s="36"/>
    </row>
    <row r="950" ht="15.75" customHeight="1">
      <c r="A950" s="423">
        <v>43259.0</v>
      </c>
      <c r="B950" s="424">
        <v>14.0715</v>
      </c>
      <c r="C950" s="425">
        <v>16.7462</v>
      </c>
      <c r="D950" s="171"/>
      <c r="E950" s="425">
        <v>13.308</v>
      </c>
      <c r="F950" s="425">
        <v>16.6986</v>
      </c>
      <c r="G950" s="425">
        <v>13.1175</v>
      </c>
      <c r="H950" s="171"/>
      <c r="I950" s="171"/>
      <c r="J950" s="425">
        <v>19.2144</v>
      </c>
      <c r="K950" s="182">
        <v>10767.65</v>
      </c>
      <c r="L950" s="36"/>
      <c r="M950" s="36"/>
      <c r="N950" s="36"/>
      <c r="O950" s="36"/>
      <c r="P950" s="36"/>
      <c r="Q950" s="36"/>
      <c r="R950" s="36"/>
      <c r="S950" s="36"/>
      <c r="T950" s="36"/>
      <c r="U950" s="36"/>
      <c r="V950" s="36"/>
      <c r="W950" s="36"/>
      <c r="X950" s="36"/>
      <c r="Y950" s="36"/>
      <c r="Z950" s="36"/>
      <c r="AA950" s="36"/>
      <c r="AB950" s="36"/>
      <c r="AC950" s="36"/>
    </row>
    <row r="951" ht="15.75" customHeight="1">
      <c r="A951" s="423">
        <v>43259.0</v>
      </c>
      <c r="B951" s="424">
        <v>14.0715</v>
      </c>
      <c r="C951" s="425">
        <v>16.7516</v>
      </c>
      <c r="D951" s="171"/>
      <c r="E951" s="425">
        <v>13.308</v>
      </c>
      <c r="F951" s="425">
        <v>16.6986</v>
      </c>
      <c r="G951" s="425">
        <v>13.1175</v>
      </c>
      <c r="H951" s="171"/>
      <c r="I951" s="171"/>
      <c r="J951" s="425">
        <v>19.4713</v>
      </c>
      <c r="K951" s="182">
        <v>10767.65</v>
      </c>
      <c r="L951" s="36"/>
      <c r="M951" s="36"/>
      <c r="N951" s="36"/>
      <c r="O951" s="36"/>
      <c r="P951" s="36"/>
      <c r="Q951" s="36"/>
      <c r="R951" s="36"/>
      <c r="S951" s="36"/>
      <c r="T951" s="36"/>
      <c r="U951" s="36"/>
      <c r="V951" s="36"/>
      <c r="W951" s="36"/>
      <c r="X951" s="36"/>
      <c r="Y951" s="36"/>
      <c r="Z951" s="36"/>
      <c r="AA951" s="36"/>
      <c r="AB951" s="36"/>
      <c r="AC951" s="36"/>
    </row>
    <row r="952" ht="15.75" customHeight="1">
      <c r="A952" s="423">
        <v>43259.0</v>
      </c>
      <c r="B952" s="424">
        <v>14.0715</v>
      </c>
      <c r="C952" s="425">
        <v>16.7516</v>
      </c>
      <c r="D952" s="171"/>
      <c r="E952" s="425">
        <v>13.308</v>
      </c>
      <c r="F952" s="425">
        <v>16.6986</v>
      </c>
      <c r="G952" s="425">
        <v>13.1175</v>
      </c>
      <c r="H952" s="171"/>
      <c r="I952" s="171"/>
      <c r="J952" s="425">
        <v>19.4713</v>
      </c>
      <c r="K952" s="182">
        <v>10767.65</v>
      </c>
      <c r="L952" s="36"/>
      <c r="M952" s="36"/>
      <c r="N952" s="36"/>
      <c r="O952" s="36"/>
      <c r="P952" s="36"/>
      <c r="Q952" s="36"/>
      <c r="R952" s="36"/>
      <c r="S952" s="36"/>
      <c r="T952" s="36"/>
      <c r="U952" s="36"/>
      <c r="V952" s="36"/>
      <c r="W952" s="36"/>
      <c r="X952" s="36"/>
      <c r="Y952" s="36"/>
      <c r="Z952" s="36"/>
      <c r="AA952" s="36"/>
      <c r="AB952" s="36"/>
      <c r="AC952" s="36"/>
    </row>
    <row r="953" ht="15.75" customHeight="1">
      <c r="A953" s="423">
        <v>43262.0</v>
      </c>
      <c r="B953" s="424">
        <v>14.1008</v>
      </c>
      <c r="C953" s="425">
        <v>16.759</v>
      </c>
      <c r="D953" s="171"/>
      <c r="E953" s="425">
        <v>13.3057</v>
      </c>
      <c r="F953" s="425">
        <v>16.7258</v>
      </c>
      <c r="G953" s="425">
        <v>13.1202</v>
      </c>
      <c r="H953" s="171"/>
      <c r="I953" s="171"/>
      <c r="J953" s="425">
        <v>19.0989</v>
      </c>
      <c r="K953" s="182">
        <v>10786.95</v>
      </c>
      <c r="L953" s="36"/>
      <c r="M953" s="36"/>
      <c r="N953" s="36"/>
      <c r="O953" s="36"/>
      <c r="P953" s="36"/>
      <c r="Q953" s="36"/>
      <c r="R953" s="36"/>
      <c r="S953" s="36"/>
      <c r="T953" s="36"/>
      <c r="U953" s="36"/>
      <c r="V953" s="36"/>
      <c r="W953" s="36"/>
      <c r="X953" s="36"/>
      <c r="Y953" s="36"/>
      <c r="Z953" s="36"/>
      <c r="AA953" s="36"/>
      <c r="AB953" s="36"/>
      <c r="AC953" s="36"/>
    </row>
    <row r="954" ht="15.75" customHeight="1">
      <c r="A954" s="423">
        <v>43262.0</v>
      </c>
      <c r="B954" s="424">
        <v>14.1008</v>
      </c>
      <c r="C954" s="425">
        <v>16.759</v>
      </c>
      <c r="D954" s="171"/>
      <c r="E954" s="425">
        <v>13.3057</v>
      </c>
      <c r="F954" s="425">
        <v>16.7258</v>
      </c>
      <c r="G954" s="425">
        <v>13.1202</v>
      </c>
      <c r="H954" s="171"/>
      <c r="I954" s="171"/>
      <c r="J954" s="425">
        <v>19.0989</v>
      </c>
      <c r="K954" s="182">
        <v>10786.95</v>
      </c>
      <c r="L954" s="36"/>
      <c r="M954" s="36"/>
      <c r="N954" s="36"/>
      <c r="O954" s="36"/>
      <c r="P954" s="36"/>
      <c r="Q954" s="36"/>
      <c r="R954" s="36"/>
      <c r="S954" s="36"/>
      <c r="T954" s="36"/>
      <c r="U954" s="36"/>
      <c r="V954" s="36"/>
      <c r="W954" s="36"/>
      <c r="X954" s="36"/>
      <c r="Y954" s="36"/>
      <c r="Z954" s="36"/>
      <c r="AA954" s="36"/>
      <c r="AB954" s="36"/>
      <c r="AC954" s="36"/>
    </row>
    <row r="955" ht="15.75" customHeight="1">
      <c r="A955" s="423">
        <v>43262.0</v>
      </c>
      <c r="B955" s="424">
        <v>14.1008</v>
      </c>
      <c r="C955" s="425">
        <v>16.758</v>
      </c>
      <c r="D955" s="171"/>
      <c r="E955" s="425">
        <v>13.3057</v>
      </c>
      <c r="F955" s="425">
        <v>16.7258</v>
      </c>
      <c r="G955" s="425">
        <v>13.1202</v>
      </c>
      <c r="H955" s="171"/>
      <c r="I955" s="171"/>
      <c r="J955" s="425">
        <v>19.0894</v>
      </c>
      <c r="K955" s="182">
        <v>10786.95</v>
      </c>
      <c r="L955" s="36"/>
      <c r="M955" s="36"/>
      <c r="N955" s="36"/>
      <c r="O955" s="36"/>
      <c r="P955" s="36"/>
      <c r="Q955" s="36"/>
      <c r="R955" s="36"/>
      <c r="S955" s="36"/>
      <c r="T955" s="36"/>
      <c r="U955" s="36"/>
      <c r="V955" s="36"/>
      <c r="W955" s="36"/>
      <c r="X955" s="36"/>
      <c r="Y955" s="36"/>
      <c r="Z955" s="36"/>
      <c r="AA955" s="36"/>
      <c r="AB955" s="36"/>
      <c r="AC955" s="36"/>
    </row>
    <row r="956" ht="15.75" customHeight="1">
      <c r="A956" s="423">
        <v>43262.0</v>
      </c>
      <c r="B956" s="424">
        <v>14.1008</v>
      </c>
      <c r="C956" s="425">
        <v>16.758</v>
      </c>
      <c r="D956" s="171"/>
      <c r="E956" s="425">
        <v>13.3057</v>
      </c>
      <c r="F956" s="425">
        <v>16.7258</v>
      </c>
      <c r="G956" s="425">
        <v>13.1202</v>
      </c>
      <c r="H956" s="171"/>
      <c r="I956" s="171"/>
      <c r="J956" s="425">
        <v>19.0894</v>
      </c>
      <c r="K956" s="182">
        <v>10786.95</v>
      </c>
      <c r="L956" s="36"/>
      <c r="M956" s="36"/>
      <c r="N956" s="36"/>
      <c r="O956" s="36"/>
      <c r="P956" s="36"/>
      <c r="Q956" s="36"/>
      <c r="R956" s="36"/>
      <c r="S956" s="36"/>
      <c r="T956" s="36"/>
      <c r="U956" s="36"/>
      <c r="V956" s="36"/>
      <c r="W956" s="36"/>
      <c r="X956" s="36"/>
      <c r="Y956" s="36"/>
      <c r="Z956" s="36"/>
      <c r="AA956" s="36"/>
      <c r="AB956" s="36"/>
      <c r="AC956" s="36"/>
    </row>
    <row r="957" ht="15.75" customHeight="1">
      <c r="A957" s="423">
        <v>43263.0</v>
      </c>
      <c r="B957" s="424">
        <v>14.1542</v>
      </c>
      <c r="C957" s="425">
        <v>16.7678</v>
      </c>
      <c r="D957" s="171"/>
      <c r="E957" s="425">
        <v>13.3073</v>
      </c>
      <c r="F957" s="425">
        <v>16.7806</v>
      </c>
      <c r="G957" s="425">
        <v>13.123</v>
      </c>
      <c r="H957" s="171"/>
      <c r="I957" s="171"/>
      <c r="J957" s="425">
        <v>18.9378</v>
      </c>
      <c r="K957" s="182">
        <v>10842.85</v>
      </c>
      <c r="L957" s="36"/>
      <c r="M957" s="36"/>
      <c r="N957" s="36"/>
      <c r="O957" s="36"/>
      <c r="P957" s="36"/>
      <c r="Q957" s="36"/>
      <c r="R957" s="36"/>
      <c r="S957" s="36"/>
      <c r="T957" s="36"/>
      <c r="U957" s="36"/>
      <c r="V957" s="36"/>
      <c r="W957" s="36"/>
      <c r="X957" s="36"/>
      <c r="Y957" s="36"/>
      <c r="Z957" s="36"/>
      <c r="AA957" s="36"/>
      <c r="AB957" s="36"/>
      <c r="AC957" s="36"/>
    </row>
    <row r="958" ht="15.75" customHeight="1">
      <c r="A958" s="423">
        <v>43263.0</v>
      </c>
      <c r="B958" s="424">
        <v>14.1542</v>
      </c>
      <c r="C958" s="425">
        <v>16.7678</v>
      </c>
      <c r="D958" s="171"/>
      <c r="E958" s="425">
        <v>13.3073</v>
      </c>
      <c r="F958" s="425">
        <v>16.7806</v>
      </c>
      <c r="G958" s="425">
        <v>13.123</v>
      </c>
      <c r="H958" s="171"/>
      <c r="I958" s="171"/>
      <c r="J958" s="425">
        <v>18.9378</v>
      </c>
      <c r="K958" s="182">
        <v>10842.85</v>
      </c>
      <c r="L958" s="36"/>
      <c r="M958" s="36"/>
      <c r="N958" s="36"/>
      <c r="O958" s="36"/>
      <c r="P958" s="36"/>
      <c r="Q958" s="36"/>
      <c r="R958" s="36"/>
      <c r="S958" s="36"/>
      <c r="T958" s="36"/>
      <c r="U958" s="36"/>
      <c r="V958" s="36"/>
      <c r="W958" s="36"/>
      <c r="X958" s="36"/>
      <c r="Y958" s="36"/>
      <c r="Z958" s="36"/>
      <c r="AA958" s="36"/>
      <c r="AB958" s="36"/>
      <c r="AC958" s="36"/>
    </row>
    <row r="959" ht="15.75" customHeight="1">
      <c r="A959" s="423">
        <v>43263.0</v>
      </c>
      <c r="B959" s="424">
        <v>14.1542</v>
      </c>
      <c r="C959" s="425">
        <v>16.7612</v>
      </c>
      <c r="D959" s="171"/>
      <c r="E959" s="425">
        <v>13.3073</v>
      </c>
      <c r="F959" s="425">
        <v>16.7806</v>
      </c>
      <c r="G959" s="425">
        <v>13.123</v>
      </c>
      <c r="H959" s="171"/>
      <c r="I959" s="171"/>
      <c r="J959" s="425">
        <v>18.89</v>
      </c>
      <c r="K959" s="182">
        <v>10842.85</v>
      </c>
      <c r="L959" s="36"/>
      <c r="M959" s="36"/>
      <c r="N959" s="36"/>
      <c r="O959" s="36"/>
      <c r="P959" s="36"/>
      <c r="Q959" s="36"/>
      <c r="R959" s="36"/>
      <c r="S959" s="36"/>
      <c r="T959" s="36"/>
      <c r="U959" s="36"/>
      <c r="V959" s="36"/>
      <c r="W959" s="36"/>
      <c r="X959" s="36"/>
      <c r="Y959" s="36"/>
      <c r="Z959" s="36"/>
      <c r="AA959" s="36"/>
      <c r="AB959" s="36"/>
      <c r="AC959" s="36"/>
    </row>
    <row r="960" ht="15.75" customHeight="1">
      <c r="A960" s="423">
        <v>43263.0</v>
      </c>
      <c r="B960" s="424">
        <v>14.1542</v>
      </c>
      <c r="C960" s="425">
        <v>16.7612</v>
      </c>
      <c r="D960" s="171"/>
      <c r="E960" s="425">
        <v>13.3073</v>
      </c>
      <c r="F960" s="425">
        <v>16.7806</v>
      </c>
      <c r="G960" s="425">
        <v>13.123</v>
      </c>
      <c r="H960" s="171"/>
      <c r="I960" s="171"/>
      <c r="J960" s="425">
        <v>18.89</v>
      </c>
      <c r="K960" s="182">
        <v>10842.85</v>
      </c>
      <c r="L960" s="36"/>
      <c r="M960" s="36"/>
      <c r="N960" s="36"/>
      <c r="O960" s="36"/>
      <c r="P960" s="36"/>
      <c r="Q960" s="36"/>
      <c r="R960" s="36"/>
      <c r="S960" s="36"/>
      <c r="T960" s="36"/>
      <c r="U960" s="36"/>
      <c r="V960" s="36"/>
      <c r="W960" s="36"/>
      <c r="X960" s="36"/>
      <c r="Y960" s="36"/>
      <c r="Z960" s="36"/>
      <c r="AA960" s="36"/>
      <c r="AB960" s="36"/>
      <c r="AC960" s="36"/>
    </row>
    <row r="961" ht="15.75" customHeight="1">
      <c r="A961" s="423">
        <v>43264.0</v>
      </c>
      <c r="B961" s="424">
        <v>14.1737</v>
      </c>
      <c r="C961" s="425">
        <v>16.7708</v>
      </c>
      <c r="D961" s="171"/>
      <c r="E961" s="425">
        <v>13.3286</v>
      </c>
      <c r="F961" s="425">
        <v>16.7782</v>
      </c>
      <c r="G961" s="425">
        <v>13.1302</v>
      </c>
      <c r="H961" s="171"/>
      <c r="I961" s="171"/>
      <c r="J961" s="425">
        <v>18.994</v>
      </c>
      <c r="K961" s="182">
        <v>10856.7</v>
      </c>
      <c r="L961" s="36"/>
      <c r="M961" s="36"/>
      <c r="N961" s="36"/>
      <c r="O961" s="36"/>
      <c r="P961" s="36"/>
      <c r="Q961" s="36"/>
      <c r="R961" s="36"/>
      <c r="S961" s="36"/>
      <c r="T961" s="36"/>
      <c r="U961" s="36"/>
      <c r="V961" s="36"/>
      <c r="W961" s="36"/>
      <c r="X961" s="36"/>
      <c r="Y961" s="36"/>
      <c r="Z961" s="36"/>
      <c r="AA961" s="36"/>
      <c r="AB961" s="36"/>
      <c r="AC961" s="36"/>
    </row>
    <row r="962" ht="15.75" customHeight="1">
      <c r="A962" s="423">
        <v>43264.0</v>
      </c>
      <c r="B962" s="424">
        <v>14.1737</v>
      </c>
      <c r="C962" s="425">
        <v>16.7708</v>
      </c>
      <c r="D962" s="171"/>
      <c r="E962" s="425">
        <v>13.3286</v>
      </c>
      <c r="F962" s="425">
        <v>16.7782</v>
      </c>
      <c r="G962" s="425">
        <v>13.1302</v>
      </c>
      <c r="H962" s="171"/>
      <c r="I962" s="171"/>
      <c r="J962" s="425">
        <v>18.994</v>
      </c>
      <c r="K962" s="182">
        <v>10856.7</v>
      </c>
      <c r="L962" s="36"/>
      <c r="M962" s="36"/>
      <c r="N962" s="36"/>
      <c r="O962" s="36"/>
      <c r="P962" s="36"/>
      <c r="Q962" s="36"/>
      <c r="R962" s="36"/>
      <c r="S962" s="36"/>
      <c r="T962" s="36"/>
      <c r="U962" s="36"/>
      <c r="V962" s="36"/>
      <c r="W962" s="36"/>
      <c r="X962" s="36"/>
      <c r="Y962" s="36"/>
      <c r="Z962" s="36"/>
      <c r="AA962" s="36"/>
      <c r="AB962" s="36"/>
      <c r="AC962" s="36"/>
    </row>
    <row r="963" ht="15.75" customHeight="1">
      <c r="A963" s="423">
        <v>43264.0</v>
      </c>
      <c r="B963" s="424">
        <v>14.1737</v>
      </c>
      <c r="C963" s="425">
        <v>16.7684</v>
      </c>
      <c r="D963" s="171"/>
      <c r="E963" s="425">
        <v>13.3286</v>
      </c>
      <c r="F963" s="425">
        <v>16.7782</v>
      </c>
      <c r="G963" s="425">
        <v>13.1302</v>
      </c>
      <c r="H963" s="171"/>
      <c r="I963" s="171"/>
      <c r="J963" s="425">
        <v>18.9936</v>
      </c>
      <c r="K963" s="182">
        <v>10856.7</v>
      </c>
      <c r="L963" s="36"/>
      <c r="M963" s="36"/>
      <c r="N963" s="36"/>
      <c r="O963" s="36"/>
      <c r="P963" s="36"/>
      <c r="Q963" s="36"/>
      <c r="R963" s="36"/>
      <c r="S963" s="36"/>
      <c r="T963" s="36"/>
      <c r="U963" s="36"/>
      <c r="V963" s="36"/>
      <c r="W963" s="36"/>
      <c r="X963" s="36"/>
      <c r="Y963" s="36"/>
      <c r="Z963" s="36"/>
      <c r="AA963" s="36"/>
      <c r="AB963" s="36"/>
      <c r="AC963" s="36"/>
    </row>
    <row r="964" ht="15.75" customHeight="1">
      <c r="A964" s="423">
        <v>43264.0</v>
      </c>
      <c r="B964" s="424">
        <v>14.1737</v>
      </c>
      <c r="C964" s="425">
        <v>16.7684</v>
      </c>
      <c r="D964" s="171"/>
      <c r="E964" s="425">
        <v>13.3286</v>
      </c>
      <c r="F964" s="425">
        <v>16.7782</v>
      </c>
      <c r="G964" s="425">
        <v>13.1302</v>
      </c>
      <c r="H964" s="171"/>
      <c r="I964" s="171"/>
      <c r="J964" s="425">
        <v>18.9936</v>
      </c>
      <c r="K964" s="182">
        <v>10856.7</v>
      </c>
      <c r="L964" s="36"/>
      <c r="M964" s="36"/>
      <c r="N964" s="36"/>
      <c r="O964" s="36"/>
      <c r="P964" s="36"/>
      <c r="Q964" s="36"/>
      <c r="R964" s="36"/>
      <c r="S964" s="36"/>
      <c r="T964" s="36"/>
      <c r="U964" s="36"/>
      <c r="V964" s="36"/>
      <c r="W964" s="36"/>
      <c r="X964" s="36"/>
      <c r="Y964" s="36"/>
      <c r="Z964" s="36"/>
      <c r="AA964" s="36"/>
      <c r="AB964" s="36"/>
      <c r="AC964" s="36"/>
    </row>
    <row r="965" ht="15.75" customHeight="1">
      <c r="A965" s="423">
        <v>43265.0</v>
      </c>
      <c r="B965" s="424">
        <v>14.1424</v>
      </c>
      <c r="C965" s="425">
        <v>16.7861</v>
      </c>
      <c r="D965" s="171"/>
      <c r="E965" s="425">
        <v>13.3308</v>
      </c>
      <c r="F965" s="425">
        <v>16.7406</v>
      </c>
      <c r="G965" s="425">
        <v>13.1309</v>
      </c>
      <c r="H965" s="171"/>
      <c r="I965" s="171"/>
      <c r="J965" s="425">
        <v>19.1382</v>
      </c>
      <c r="K965" s="182">
        <v>10808.05</v>
      </c>
      <c r="L965" s="36"/>
      <c r="M965" s="36"/>
      <c r="N965" s="36"/>
      <c r="O965" s="36"/>
      <c r="P965" s="36"/>
      <c r="Q965" s="36"/>
      <c r="R965" s="36"/>
      <c r="S965" s="36"/>
      <c r="T965" s="36"/>
      <c r="U965" s="36"/>
      <c r="V965" s="36"/>
      <c r="W965" s="36"/>
      <c r="X965" s="36"/>
      <c r="Y965" s="36"/>
      <c r="Z965" s="36"/>
      <c r="AA965" s="36"/>
      <c r="AB965" s="36"/>
      <c r="AC965" s="36"/>
    </row>
    <row r="966" ht="15.75" customHeight="1">
      <c r="A966" s="423">
        <v>43265.0</v>
      </c>
      <c r="B966" s="424">
        <v>14.1424</v>
      </c>
      <c r="C966" s="425">
        <v>16.7861</v>
      </c>
      <c r="D966" s="171"/>
      <c r="E966" s="425">
        <v>13.3308</v>
      </c>
      <c r="F966" s="425">
        <v>16.7406</v>
      </c>
      <c r="G966" s="425">
        <v>13.1309</v>
      </c>
      <c r="H966" s="171"/>
      <c r="I966" s="171"/>
      <c r="J966" s="425">
        <v>19.1382</v>
      </c>
      <c r="K966" s="182">
        <v>10808.05</v>
      </c>
      <c r="L966" s="36"/>
      <c r="M966" s="36"/>
      <c r="N966" s="36"/>
      <c r="O966" s="36"/>
      <c r="P966" s="36"/>
      <c r="Q966" s="36"/>
      <c r="R966" s="36"/>
      <c r="S966" s="36"/>
      <c r="T966" s="36"/>
      <c r="U966" s="36"/>
      <c r="V966" s="36"/>
      <c r="W966" s="36"/>
      <c r="X966" s="36"/>
      <c r="Y966" s="36"/>
      <c r="Z966" s="36"/>
      <c r="AA966" s="36"/>
      <c r="AB966" s="36"/>
      <c r="AC966" s="36"/>
    </row>
    <row r="967" ht="15.75" customHeight="1">
      <c r="A967" s="423">
        <v>43265.0</v>
      </c>
      <c r="B967" s="424">
        <v>14.1424</v>
      </c>
      <c r="C967" s="425">
        <v>16.7893</v>
      </c>
      <c r="D967" s="171"/>
      <c r="E967" s="425">
        <v>13.3308</v>
      </c>
      <c r="F967" s="425">
        <v>16.7406</v>
      </c>
      <c r="G967" s="425">
        <v>13.1309</v>
      </c>
      <c r="H967" s="171"/>
      <c r="I967" s="171"/>
      <c r="J967" s="425">
        <v>19.0842</v>
      </c>
      <c r="K967" s="182">
        <v>10808.05</v>
      </c>
      <c r="L967" s="36"/>
      <c r="M967" s="36"/>
      <c r="N967" s="36"/>
      <c r="O967" s="36"/>
      <c r="P967" s="36"/>
      <c r="Q967" s="36"/>
      <c r="R967" s="36"/>
      <c r="S967" s="36"/>
      <c r="T967" s="36"/>
      <c r="U967" s="36"/>
      <c r="V967" s="36"/>
      <c r="W967" s="36"/>
      <c r="X967" s="36"/>
      <c r="Y967" s="36"/>
      <c r="Z967" s="36"/>
      <c r="AA967" s="36"/>
      <c r="AB967" s="36"/>
      <c r="AC967" s="36"/>
    </row>
    <row r="968" ht="15.75" customHeight="1">
      <c r="A968" s="423">
        <v>43265.0</v>
      </c>
      <c r="B968" s="424">
        <v>14.1424</v>
      </c>
      <c r="C968" s="425">
        <v>16.7893</v>
      </c>
      <c r="D968" s="171"/>
      <c r="E968" s="425">
        <v>13.3308</v>
      </c>
      <c r="F968" s="425">
        <v>16.7406</v>
      </c>
      <c r="G968" s="425">
        <v>13.1309</v>
      </c>
      <c r="H968" s="171"/>
      <c r="I968" s="171"/>
      <c r="J968" s="425">
        <v>19.0842</v>
      </c>
      <c r="K968" s="182">
        <v>10808.05</v>
      </c>
      <c r="L968" s="36"/>
      <c r="M968" s="36"/>
      <c r="N968" s="36"/>
      <c r="O968" s="36"/>
      <c r="P968" s="36"/>
      <c r="Q968" s="36"/>
      <c r="R968" s="36"/>
      <c r="S968" s="36"/>
      <c r="T968" s="36"/>
      <c r="U968" s="36"/>
      <c r="V968" s="36"/>
      <c r="W968" s="36"/>
      <c r="X968" s="36"/>
      <c r="Y968" s="36"/>
      <c r="Z968" s="36"/>
      <c r="AA968" s="36"/>
      <c r="AB968" s="36"/>
      <c r="AC968" s="36"/>
    </row>
    <row r="969" ht="15.75" customHeight="1">
      <c r="A969" s="423">
        <v>43266.0</v>
      </c>
      <c r="B969" s="424">
        <v>14.141</v>
      </c>
      <c r="C969" s="425">
        <v>16.7871</v>
      </c>
      <c r="D969" s="171"/>
      <c r="E969" s="425">
        <v>13.3567</v>
      </c>
      <c r="F969" s="425">
        <v>16.7381</v>
      </c>
      <c r="G969" s="425">
        <v>13.1382</v>
      </c>
      <c r="H969" s="171"/>
      <c r="I969" s="171"/>
      <c r="J969" s="425">
        <v>19.2336</v>
      </c>
      <c r="K969" s="182">
        <v>10817.7</v>
      </c>
      <c r="L969" s="36"/>
      <c r="M969" s="36"/>
      <c r="N969" s="36"/>
      <c r="O969" s="36"/>
      <c r="P969" s="36"/>
      <c r="Q969" s="36"/>
      <c r="R969" s="36"/>
      <c r="S969" s="36"/>
      <c r="T969" s="36"/>
      <c r="U969" s="36"/>
      <c r="V969" s="36"/>
      <c r="W969" s="36"/>
      <c r="X969" s="36"/>
      <c r="Y969" s="36"/>
      <c r="Z969" s="36"/>
      <c r="AA969" s="36"/>
      <c r="AB969" s="36"/>
      <c r="AC969" s="36"/>
    </row>
    <row r="970" ht="15.75" customHeight="1">
      <c r="A970" s="423">
        <v>43266.0</v>
      </c>
      <c r="B970" s="424">
        <v>14.141</v>
      </c>
      <c r="C970" s="425">
        <v>16.7871</v>
      </c>
      <c r="D970" s="171"/>
      <c r="E970" s="425">
        <v>13.3567</v>
      </c>
      <c r="F970" s="425">
        <v>16.7381</v>
      </c>
      <c r="G970" s="425">
        <v>13.1382</v>
      </c>
      <c r="H970" s="171"/>
      <c r="I970" s="171"/>
      <c r="J970" s="425">
        <v>19.2336</v>
      </c>
      <c r="K970" s="182">
        <v>10817.7</v>
      </c>
      <c r="L970" s="36"/>
      <c r="M970" s="36"/>
      <c r="N970" s="36"/>
      <c r="O970" s="36"/>
      <c r="P970" s="36"/>
      <c r="Q970" s="36"/>
      <c r="R970" s="36"/>
      <c r="S970" s="36"/>
      <c r="T970" s="36"/>
      <c r="U970" s="36"/>
      <c r="V970" s="36"/>
      <c r="W970" s="36"/>
      <c r="X970" s="36"/>
      <c r="Y970" s="36"/>
      <c r="Z970" s="36"/>
      <c r="AA970" s="36"/>
      <c r="AB970" s="36"/>
      <c r="AC970" s="36"/>
    </row>
    <row r="971" ht="15.75" customHeight="1">
      <c r="A971" s="423">
        <v>43266.0</v>
      </c>
      <c r="B971" s="424">
        <v>14.141</v>
      </c>
      <c r="C971" s="425">
        <v>16.7845</v>
      </c>
      <c r="D971" s="171"/>
      <c r="E971" s="425">
        <v>13.3567</v>
      </c>
      <c r="F971" s="425">
        <v>16.7381</v>
      </c>
      <c r="G971" s="425">
        <v>13.1382</v>
      </c>
      <c r="H971" s="171"/>
      <c r="I971" s="171"/>
      <c r="J971" s="425">
        <v>19.1144</v>
      </c>
      <c r="K971" s="182">
        <v>10817.7</v>
      </c>
      <c r="L971" s="36"/>
      <c r="M971" s="36"/>
      <c r="N971" s="36"/>
      <c r="O971" s="36"/>
      <c r="P971" s="36"/>
      <c r="Q971" s="36"/>
      <c r="R971" s="36"/>
      <c r="S971" s="36"/>
      <c r="T971" s="36"/>
      <c r="U971" s="36"/>
      <c r="V971" s="36"/>
      <c r="W971" s="36"/>
      <c r="X971" s="36"/>
      <c r="Y971" s="36"/>
      <c r="Z971" s="36"/>
      <c r="AA971" s="36"/>
      <c r="AB971" s="36"/>
      <c r="AC971" s="36"/>
    </row>
    <row r="972" ht="15.75" customHeight="1">
      <c r="A972" s="423">
        <v>43266.0</v>
      </c>
      <c r="B972" s="424">
        <v>14.141</v>
      </c>
      <c r="C972" s="425">
        <v>16.7845</v>
      </c>
      <c r="D972" s="171"/>
      <c r="E972" s="425">
        <v>13.3567</v>
      </c>
      <c r="F972" s="425">
        <v>16.7381</v>
      </c>
      <c r="G972" s="425">
        <v>13.1382</v>
      </c>
      <c r="H972" s="171"/>
      <c r="I972" s="171"/>
      <c r="J972" s="425">
        <v>19.1144</v>
      </c>
      <c r="K972" s="182">
        <v>10817.7</v>
      </c>
      <c r="L972" s="36"/>
      <c r="M972" s="36"/>
      <c r="N972" s="36"/>
      <c r="O972" s="36"/>
      <c r="P972" s="36"/>
      <c r="Q972" s="36"/>
      <c r="R972" s="36"/>
      <c r="S972" s="36"/>
      <c r="T972" s="36"/>
      <c r="U972" s="36"/>
      <c r="V972" s="36"/>
      <c r="W972" s="36"/>
      <c r="X972" s="36"/>
      <c r="Y972" s="36"/>
      <c r="Z972" s="36"/>
      <c r="AA972" s="36"/>
      <c r="AB972" s="36"/>
      <c r="AC972" s="36"/>
    </row>
    <row r="973" ht="15.75" customHeight="1">
      <c r="A973" s="423">
        <v>43269.0</v>
      </c>
      <c r="B973" s="424">
        <v>14.1213</v>
      </c>
      <c r="C973" s="425">
        <v>16.7964</v>
      </c>
      <c r="D973" s="171"/>
      <c r="E973" s="425">
        <v>13.3709</v>
      </c>
      <c r="F973" s="425">
        <v>16.7256</v>
      </c>
      <c r="G973" s="425">
        <v>13.1469</v>
      </c>
      <c r="H973" s="171"/>
      <c r="I973" s="171"/>
      <c r="J973" s="425">
        <v>19.2679</v>
      </c>
      <c r="K973" s="182">
        <v>10799.85</v>
      </c>
      <c r="L973" s="36"/>
      <c r="M973" s="36"/>
      <c r="N973" s="36"/>
      <c r="O973" s="36"/>
      <c r="P973" s="36"/>
      <c r="Q973" s="36"/>
      <c r="R973" s="36"/>
      <c r="S973" s="36"/>
      <c r="T973" s="36"/>
      <c r="U973" s="36"/>
      <c r="V973" s="36"/>
      <c r="W973" s="36"/>
      <c r="X973" s="36"/>
      <c r="Y973" s="36"/>
      <c r="Z973" s="36"/>
      <c r="AA973" s="36"/>
      <c r="AB973" s="36"/>
      <c r="AC973" s="36"/>
    </row>
    <row r="974" ht="15.75" customHeight="1">
      <c r="A974" s="423">
        <v>43269.0</v>
      </c>
      <c r="B974" s="424">
        <v>14.1213</v>
      </c>
      <c r="C974" s="425">
        <v>16.7964</v>
      </c>
      <c r="D974" s="171"/>
      <c r="E974" s="425">
        <v>13.3709</v>
      </c>
      <c r="F974" s="425">
        <v>16.7256</v>
      </c>
      <c r="G974" s="425">
        <v>13.1469</v>
      </c>
      <c r="H974" s="171"/>
      <c r="I974" s="171"/>
      <c r="J974" s="425">
        <v>19.2679</v>
      </c>
      <c r="K974" s="182">
        <v>10799.85</v>
      </c>
      <c r="L974" s="36"/>
      <c r="M974" s="36"/>
      <c r="N974" s="36"/>
      <c r="O974" s="36"/>
      <c r="P974" s="36"/>
      <c r="Q974" s="36"/>
      <c r="R974" s="36"/>
      <c r="S974" s="36"/>
      <c r="T974" s="36"/>
      <c r="U974" s="36"/>
      <c r="V974" s="36"/>
      <c r="W974" s="36"/>
      <c r="X974" s="36"/>
      <c r="Y974" s="36"/>
      <c r="Z974" s="36"/>
      <c r="AA974" s="36"/>
      <c r="AB974" s="36"/>
      <c r="AC974" s="36"/>
    </row>
    <row r="975" ht="15.75" customHeight="1">
      <c r="A975" s="423">
        <v>43269.0</v>
      </c>
      <c r="B975" s="424">
        <v>14.1213</v>
      </c>
      <c r="C975" s="425">
        <v>16.7937</v>
      </c>
      <c r="D975" s="171"/>
      <c r="E975" s="425">
        <v>13.3709</v>
      </c>
      <c r="F975" s="425">
        <v>16.7256</v>
      </c>
      <c r="G975" s="425">
        <v>13.1469</v>
      </c>
      <c r="H975" s="171"/>
      <c r="I975" s="171"/>
      <c r="J975" s="425">
        <v>19.2231</v>
      </c>
      <c r="K975" s="182">
        <v>10799.85</v>
      </c>
      <c r="L975" s="36"/>
      <c r="M975" s="36"/>
      <c r="N975" s="36"/>
      <c r="O975" s="36"/>
      <c r="P975" s="36"/>
      <c r="Q975" s="36"/>
      <c r="R975" s="36"/>
      <c r="S975" s="36"/>
      <c r="T975" s="36"/>
      <c r="U975" s="36"/>
      <c r="V975" s="36"/>
      <c r="W975" s="36"/>
      <c r="X975" s="36"/>
      <c r="Y975" s="36"/>
      <c r="Z975" s="36"/>
      <c r="AA975" s="36"/>
      <c r="AB975" s="36"/>
      <c r="AC975" s="36"/>
    </row>
    <row r="976" ht="15.75" customHeight="1">
      <c r="A976" s="423">
        <v>43269.0</v>
      </c>
      <c r="B976" s="424">
        <v>14.1213</v>
      </c>
      <c r="C976" s="425">
        <v>16.7937</v>
      </c>
      <c r="D976" s="171"/>
      <c r="E976" s="425">
        <v>13.3709</v>
      </c>
      <c r="F976" s="425">
        <v>16.7256</v>
      </c>
      <c r="G976" s="425">
        <v>13.1469</v>
      </c>
      <c r="H976" s="171"/>
      <c r="I976" s="171"/>
      <c r="J976" s="425">
        <v>19.2231</v>
      </c>
      <c r="K976" s="182">
        <v>10799.85</v>
      </c>
      <c r="L976" s="36"/>
      <c r="M976" s="36"/>
      <c r="N976" s="36"/>
      <c r="O976" s="36"/>
      <c r="P976" s="36"/>
      <c r="Q976" s="36"/>
      <c r="R976" s="36"/>
      <c r="S976" s="36"/>
      <c r="T976" s="36"/>
      <c r="U976" s="36"/>
      <c r="V976" s="36"/>
      <c r="W976" s="36"/>
      <c r="X976" s="36"/>
      <c r="Y976" s="36"/>
      <c r="Z976" s="36"/>
      <c r="AA976" s="36"/>
      <c r="AB976" s="36"/>
      <c r="AC976" s="36"/>
    </row>
    <row r="977" ht="15.75" customHeight="1">
      <c r="A977" s="423">
        <v>43270.0</v>
      </c>
      <c r="B977" s="424">
        <v>14.0216</v>
      </c>
      <c r="C977" s="425">
        <v>16.802</v>
      </c>
      <c r="D977" s="171"/>
      <c r="E977" s="425">
        <v>13.3781</v>
      </c>
      <c r="F977" s="425">
        <v>16.617</v>
      </c>
      <c r="G977" s="425">
        <v>13.1517</v>
      </c>
      <c r="H977" s="171"/>
      <c r="I977" s="171"/>
      <c r="J977" s="425">
        <v>19.353</v>
      </c>
      <c r="K977" s="182">
        <v>10710.45</v>
      </c>
      <c r="L977" s="36"/>
      <c r="M977" s="36"/>
      <c r="N977" s="36"/>
      <c r="O977" s="36"/>
      <c r="P977" s="36"/>
      <c r="Q977" s="36"/>
      <c r="R977" s="36"/>
      <c r="S977" s="36"/>
      <c r="T977" s="36"/>
      <c r="U977" s="36"/>
      <c r="V977" s="36"/>
      <c r="W977" s="36"/>
      <c r="X977" s="36"/>
      <c r="Y977" s="36"/>
      <c r="Z977" s="36"/>
      <c r="AA977" s="36"/>
      <c r="AB977" s="36"/>
      <c r="AC977" s="36"/>
    </row>
    <row r="978" ht="15.75" customHeight="1">
      <c r="A978" s="423">
        <v>43270.0</v>
      </c>
      <c r="B978" s="424">
        <v>14.0216</v>
      </c>
      <c r="C978" s="425">
        <v>16.802</v>
      </c>
      <c r="D978" s="171"/>
      <c r="E978" s="425">
        <v>13.3781</v>
      </c>
      <c r="F978" s="425">
        <v>16.617</v>
      </c>
      <c r="G978" s="425">
        <v>13.1517</v>
      </c>
      <c r="H978" s="171"/>
      <c r="I978" s="171"/>
      <c r="J978" s="425">
        <v>19.353</v>
      </c>
      <c r="K978" s="182">
        <v>10710.45</v>
      </c>
      <c r="L978" s="36"/>
      <c r="M978" s="36"/>
      <c r="N978" s="36"/>
      <c r="O978" s="36"/>
      <c r="P978" s="36"/>
      <c r="Q978" s="36"/>
      <c r="R978" s="36"/>
      <c r="S978" s="36"/>
      <c r="T978" s="36"/>
      <c r="U978" s="36"/>
      <c r="V978" s="36"/>
      <c r="W978" s="36"/>
      <c r="X978" s="36"/>
      <c r="Y978" s="36"/>
      <c r="Z978" s="36"/>
      <c r="AA978" s="36"/>
      <c r="AB978" s="36"/>
      <c r="AC978" s="36"/>
    </row>
    <row r="979" ht="15.75" customHeight="1">
      <c r="A979" s="423">
        <v>43270.0</v>
      </c>
      <c r="B979" s="424">
        <v>14.0216</v>
      </c>
      <c r="C979" s="425">
        <v>16.7988</v>
      </c>
      <c r="D979" s="171"/>
      <c r="E979" s="425">
        <v>13.3781</v>
      </c>
      <c r="F979" s="425">
        <v>16.617</v>
      </c>
      <c r="G979" s="425">
        <v>13.1517</v>
      </c>
      <c r="H979" s="171"/>
      <c r="I979" s="171"/>
      <c r="J979" s="425">
        <v>19.2013</v>
      </c>
      <c r="K979" s="182">
        <v>10710.45</v>
      </c>
      <c r="L979" s="36"/>
      <c r="M979" s="36"/>
      <c r="N979" s="36"/>
      <c r="O979" s="36"/>
      <c r="P979" s="36"/>
      <c r="Q979" s="36"/>
      <c r="R979" s="36"/>
      <c r="S979" s="36"/>
      <c r="T979" s="36"/>
      <c r="U979" s="36"/>
      <c r="V979" s="36"/>
      <c r="W979" s="36"/>
      <c r="X979" s="36"/>
      <c r="Y979" s="36"/>
      <c r="Z979" s="36"/>
      <c r="AA979" s="36"/>
      <c r="AB979" s="36"/>
      <c r="AC979" s="36"/>
    </row>
    <row r="980" ht="15.75" customHeight="1">
      <c r="A980" s="423">
        <v>43270.0</v>
      </c>
      <c r="B980" s="424">
        <v>14.0216</v>
      </c>
      <c r="C980" s="425">
        <v>16.7988</v>
      </c>
      <c r="D980" s="171"/>
      <c r="E980" s="425">
        <v>13.3781</v>
      </c>
      <c r="F980" s="425">
        <v>16.617</v>
      </c>
      <c r="G980" s="425">
        <v>13.1517</v>
      </c>
      <c r="H980" s="171"/>
      <c r="I980" s="171"/>
      <c r="J980" s="425">
        <v>19.2013</v>
      </c>
      <c r="K980" s="182">
        <v>10710.45</v>
      </c>
      <c r="L980" s="36"/>
      <c r="M980" s="36"/>
      <c r="N980" s="36"/>
      <c r="O980" s="36"/>
      <c r="P980" s="36"/>
      <c r="Q980" s="36"/>
      <c r="R980" s="36"/>
      <c r="S980" s="36"/>
      <c r="T980" s="36"/>
      <c r="U980" s="36"/>
      <c r="V980" s="36"/>
      <c r="W980" s="36"/>
      <c r="X980" s="36"/>
      <c r="Y980" s="36"/>
      <c r="Z980" s="36"/>
      <c r="AA980" s="36"/>
      <c r="AB980" s="36"/>
      <c r="AC980" s="36"/>
    </row>
    <row r="981" ht="15.75" customHeight="1">
      <c r="A981" s="423">
        <v>43271.0</v>
      </c>
      <c r="B981" s="424">
        <v>14.089</v>
      </c>
      <c r="C981" s="425">
        <v>16.817</v>
      </c>
      <c r="D981" s="171"/>
      <c r="E981" s="425">
        <v>13.3966</v>
      </c>
      <c r="F981" s="425">
        <v>16.6904</v>
      </c>
      <c r="G981" s="425">
        <v>13.157</v>
      </c>
      <c r="H981" s="171"/>
      <c r="I981" s="171"/>
      <c r="J981" s="425">
        <v>19.5171</v>
      </c>
      <c r="K981" s="182">
        <v>10772.05</v>
      </c>
      <c r="L981" s="36"/>
      <c r="M981" s="36"/>
      <c r="N981" s="36"/>
      <c r="O981" s="36"/>
      <c r="P981" s="36"/>
      <c r="Q981" s="36"/>
      <c r="R981" s="36"/>
      <c r="S981" s="36"/>
      <c r="T981" s="36"/>
      <c r="U981" s="36"/>
      <c r="V981" s="36"/>
      <c r="W981" s="36"/>
      <c r="X981" s="36"/>
      <c r="Y981" s="36"/>
      <c r="Z981" s="36"/>
      <c r="AA981" s="36"/>
      <c r="AB981" s="36"/>
      <c r="AC981" s="36"/>
    </row>
    <row r="982" ht="15.75" customHeight="1">
      <c r="A982" s="423">
        <v>43271.0</v>
      </c>
      <c r="B982" s="424">
        <v>14.089</v>
      </c>
      <c r="C982" s="425">
        <v>16.817</v>
      </c>
      <c r="D982" s="171"/>
      <c r="E982" s="425">
        <v>13.3966</v>
      </c>
      <c r="F982" s="425">
        <v>16.6904</v>
      </c>
      <c r="G982" s="425">
        <v>13.157</v>
      </c>
      <c r="H982" s="171"/>
      <c r="I982" s="171"/>
      <c r="J982" s="425">
        <v>19.5171</v>
      </c>
      <c r="K982" s="182">
        <v>10772.05</v>
      </c>
      <c r="L982" s="36"/>
      <c r="M982" s="36"/>
      <c r="N982" s="36"/>
      <c r="O982" s="36"/>
      <c r="P982" s="36"/>
      <c r="Q982" s="36"/>
      <c r="R982" s="36"/>
      <c r="S982" s="36"/>
      <c r="T982" s="36"/>
      <c r="U982" s="36"/>
      <c r="V982" s="36"/>
      <c r="W982" s="36"/>
      <c r="X982" s="36"/>
      <c r="Y982" s="36"/>
      <c r="Z982" s="36"/>
      <c r="AA982" s="36"/>
      <c r="AB982" s="36"/>
      <c r="AC982" s="36"/>
    </row>
    <row r="983" ht="15.75" customHeight="1">
      <c r="A983" s="423">
        <v>43271.0</v>
      </c>
      <c r="B983" s="424">
        <v>14.089</v>
      </c>
      <c r="C983" s="425">
        <v>16.8091</v>
      </c>
      <c r="D983" s="171"/>
      <c r="E983" s="425">
        <v>13.3966</v>
      </c>
      <c r="F983" s="425">
        <v>16.6904</v>
      </c>
      <c r="G983" s="425">
        <v>13.157</v>
      </c>
      <c r="H983" s="171"/>
      <c r="I983" s="171"/>
      <c r="J983" s="425">
        <v>19.4372</v>
      </c>
      <c r="K983" s="182">
        <v>10772.05</v>
      </c>
      <c r="L983" s="36"/>
      <c r="M983" s="36"/>
      <c r="N983" s="36"/>
      <c r="O983" s="36"/>
      <c r="P983" s="36"/>
      <c r="Q983" s="36"/>
      <c r="R983" s="36"/>
      <c r="S983" s="36"/>
      <c r="T983" s="36"/>
      <c r="U983" s="36"/>
      <c r="V983" s="36"/>
      <c r="W983" s="36"/>
      <c r="X983" s="36"/>
      <c r="Y983" s="36"/>
      <c r="Z983" s="36"/>
      <c r="AA983" s="36"/>
      <c r="AB983" s="36"/>
      <c r="AC983" s="36"/>
    </row>
    <row r="984" ht="15.75" customHeight="1">
      <c r="A984" s="423">
        <v>43271.0</v>
      </c>
      <c r="B984" s="424">
        <v>14.089</v>
      </c>
      <c r="C984" s="425">
        <v>16.8091</v>
      </c>
      <c r="D984" s="171"/>
      <c r="E984" s="425">
        <v>13.3966</v>
      </c>
      <c r="F984" s="425">
        <v>16.6904</v>
      </c>
      <c r="G984" s="425">
        <v>13.157</v>
      </c>
      <c r="H984" s="171"/>
      <c r="I984" s="171"/>
      <c r="J984" s="425">
        <v>19.4372</v>
      </c>
      <c r="K984" s="182">
        <v>10772.05</v>
      </c>
      <c r="L984" s="36"/>
      <c r="M984" s="36"/>
      <c r="N984" s="36"/>
      <c r="O984" s="36"/>
      <c r="P984" s="36"/>
      <c r="Q984" s="36"/>
      <c r="R984" s="36"/>
      <c r="S984" s="36"/>
      <c r="T984" s="36"/>
      <c r="U984" s="36"/>
      <c r="V984" s="36"/>
      <c r="W984" s="36"/>
      <c r="X984" s="36"/>
      <c r="Y984" s="36"/>
      <c r="Z984" s="36"/>
      <c r="AA984" s="36"/>
      <c r="AB984" s="36"/>
      <c r="AC984" s="36"/>
    </row>
    <row r="985" ht="15.75" customHeight="1">
      <c r="A985" s="423">
        <v>43272.0</v>
      </c>
      <c r="B985" s="424">
        <v>14.0463</v>
      </c>
      <c r="C985" s="425">
        <v>16.8236</v>
      </c>
      <c r="D985" s="171"/>
      <c r="E985" s="425">
        <v>13.425</v>
      </c>
      <c r="F985" s="425">
        <v>16.6422</v>
      </c>
      <c r="G985" s="425">
        <v>13.1668</v>
      </c>
      <c r="H985" s="171"/>
      <c r="I985" s="171"/>
      <c r="J985" s="425">
        <v>19.5044</v>
      </c>
      <c r="K985" s="182">
        <v>10741.1</v>
      </c>
      <c r="L985" s="36"/>
      <c r="M985" s="36"/>
      <c r="N985" s="36"/>
      <c r="O985" s="36"/>
      <c r="P985" s="36"/>
      <c r="Q985" s="36"/>
      <c r="R985" s="36"/>
      <c r="S985" s="36"/>
      <c r="T985" s="36"/>
      <c r="U985" s="36"/>
      <c r="V985" s="36"/>
      <c r="W985" s="36"/>
      <c r="X985" s="36"/>
      <c r="Y985" s="36"/>
      <c r="Z985" s="36"/>
      <c r="AA985" s="36"/>
      <c r="AB985" s="36"/>
      <c r="AC985" s="36"/>
    </row>
    <row r="986" ht="15.75" customHeight="1">
      <c r="A986" s="423">
        <v>43272.0</v>
      </c>
      <c r="B986" s="424">
        <v>14.0463</v>
      </c>
      <c r="C986" s="425">
        <v>16.8236</v>
      </c>
      <c r="D986" s="171"/>
      <c r="E986" s="425">
        <v>13.425</v>
      </c>
      <c r="F986" s="425">
        <v>16.6422</v>
      </c>
      <c r="G986" s="425">
        <v>13.1668</v>
      </c>
      <c r="H986" s="171"/>
      <c r="I986" s="171"/>
      <c r="J986" s="425">
        <v>19.5044</v>
      </c>
      <c r="K986" s="182">
        <v>10741.1</v>
      </c>
      <c r="L986" s="36"/>
      <c r="M986" s="36"/>
      <c r="N986" s="36"/>
      <c r="O986" s="36"/>
      <c r="P986" s="36"/>
      <c r="Q986" s="36"/>
      <c r="R986" s="36"/>
      <c r="S986" s="36"/>
      <c r="T986" s="36"/>
      <c r="U986" s="36"/>
      <c r="V986" s="36"/>
      <c r="W986" s="36"/>
      <c r="X986" s="36"/>
      <c r="Y986" s="36"/>
      <c r="Z986" s="36"/>
      <c r="AA986" s="36"/>
      <c r="AB986" s="36"/>
      <c r="AC986" s="36"/>
    </row>
    <row r="987" ht="15.75" customHeight="1">
      <c r="A987" s="423">
        <v>43272.0</v>
      </c>
      <c r="B987" s="424">
        <v>14.0463</v>
      </c>
      <c r="C987" s="425">
        <v>16.8215</v>
      </c>
      <c r="D987" s="171"/>
      <c r="E987" s="425">
        <v>13.425</v>
      </c>
      <c r="F987" s="425">
        <v>16.6422</v>
      </c>
      <c r="G987" s="425">
        <v>13.1668</v>
      </c>
      <c r="H987" s="171"/>
      <c r="I987" s="171"/>
      <c r="J987" s="425">
        <v>19.514</v>
      </c>
      <c r="K987" s="182">
        <v>10741.1</v>
      </c>
      <c r="L987" s="36"/>
      <c r="M987" s="36"/>
      <c r="N987" s="36"/>
      <c r="O987" s="36"/>
      <c r="P987" s="36"/>
      <c r="Q987" s="36"/>
      <c r="R987" s="36"/>
      <c r="S987" s="36"/>
      <c r="T987" s="36"/>
      <c r="U987" s="36"/>
      <c r="V987" s="36"/>
      <c r="W987" s="36"/>
      <c r="X987" s="36"/>
      <c r="Y987" s="36"/>
      <c r="Z987" s="36"/>
      <c r="AA987" s="36"/>
      <c r="AB987" s="36"/>
      <c r="AC987" s="36"/>
    </row>
    <row r="988" ht="15.75" customHeight="1">
      <c r="A988" s="423">
        <v>43272.0</v>
      </c>
      <c r="B988" s="424">
        <v>14.0463</v>
      </c>
      <c r="C988" s="425">
        <v>16.8215</v>
      </c>
      <c r="D988" s="171"/>
      <c r="E988" s="425">
        <v>13.425</v>
      </c>
      <c r="F988" s="425">
        <v>16.6422</v>
      </c>
      <c r="G988" s="425">
        <v>13.1668</v>
      </c>
      <c r="H988" s="171"/>
      <c r="I988" s="171"/>
      <c r="J988" s="425">
        <v>19.514</v>
      </c>
      <c r="K988" s="182">
        <v>10741.1</v>
      </c>
      <c r="L988" s="36"/>
      <c r="M988" s="36"/>
      <c r="N988" s="36"/>
      <c r="O988" s="36"/>
      <c r="P988" s="36"/>
      <c r="Q988" s="36"/>
      <c r="R988" s="36"/>
      <c r="S988" s="36"/>
      <c r="T988" s="36"/>
      <c r="U988" s="36"/>
      <c r="V988" s="36"/>
      <c r="W988" s="36"/>
      <c r="X988" s="36"/>
      <c r="Y988" s="36"/>
      <c r="Z988" s="36"/>
      <c r="AA988" s="36"/>
      <c r="AB988" s="36"/>
      <c r="AC988" s="36"/>
    </row>
    <row r="989" ht="15.75" customHeight="1">
      <c r="A989" s="423">
        <v>43273.0</v>
      </c>
      <c r="B989" s="424">
        <v>14.1186</v>
      </c>
      <c r="C989" s="425">
        <v>16.8307</v>
      </c>
      <c r="D989" s="171"/>
      <c r="E989" s="425">
        <v>13.4128</v>
      </c>
      <c r="F989" s="425">
        <v>16.7244</v>
      </c>
      <c r="G989" s="425">
        <v>13.165</v>
      </c>
      <c r="H989" s="171"/>
      <c r="I989" s="171"/>
      <c r="J989" s="425">
        <v>19.5208</v>
      </c>
      <c r="K989" s="182">
        <v>10821.85</v>
      </c>
      <c r="L989" s="36"/>
      <c r="M989" s="36"/>
      <c r="N989" s="36"/>
      <c r="O989" s="36"/>
      <c r="P989" s="36"/>
      <c r="Q989" s="36"/>
      <c r="R989" s="36"/>
      <c r="S989" s="36"/>
      <c r="T989" s="36"/>
      <c r="U989" s="36"/>
      <c r="V989" s="36"/>
      <c r="W989" s="36"/>
      <c r="X989" s="36"/>
      <c r="Y989" s="36"/>
      <c r="Z989" s="36"/>
      <c r="AA989" s="36"/>
      <c r="AB989" s="36"/>
      <c r="AC989" s="36"/>
    </row>
    <row r="990" ht="15.75" customHeight="1">
      <c r="A990" s="423">
        <v>43273.0</v>
      </c>
      <c r="B990" s="424">
        <v>14.1186</v>
      </c>
      <c r="C990" s="425">
        <v>16.8307</v>
      </c>
      <c r="D990" s="171"/>
      <c r="E990" s="425">
        <v>13.4128</v>
      </c>
      <c r="F990" s="425">
        <v>16.7244</v>
      </c>
      <c r="G990" s="425">
        <v>13.165</v>
      </c>
      <c r="H990" s="171"/>
      <c r="I990" s="171"/>
      <c r="J990" s="425">
        <v>19.5208</v>
      </c>
      <c r="K990" s="182">
        <v>10821.85</v>
      </c>
      <c r="L990" s="36"/>
      <c r="M990" s="36"/>
      <c r="N990" s="36"/>
      <c r="O990" s="36"/>
      <c r="P990" s="36"/>
      <c r="Q990" s="36"/>
      <c r="R990" s="36"/>
      <c r="S990" s="36"/>
      <c r="T990" s="36"/>
      <c r="U990" s="36"/>
      <c r="V990" s="36"/>
      <c r="W990" s="36"/>
      <c r="X990" s="36"/>
      <c r="Y990" s="36"/>
      <c r="Z990" s="36"/>
      <c r="AA990" s="36"/>
      <c r="AB990" s="36"/>
      <c r="AC990" s="36"/>
    </row>
    <row r="991" ht="15.75" customHeight="1">
      <c r="A991" s="423">
        <v>43273.0</v>
      </c>
      <c r="B991" s="424">
        <v>14.1186</v>
      </c>
      <c r="C991" s="425">
        <v>16.8281</v>
      </c>
      <c r="D991" s="171"/>
      <c r="E991" s="425">
        <v>13.4128</v>
      </c>
      <c r="F991" s="425">
        <v>16.7244</v>
      </c>
      <c r="G991" s="425">
        <v>13.165</v>
      </c>
      <c r="H991" s="171"/>
      <c r="I991" s="171"/>
      <c r="J991" s="425">
        <v>19.4943</v>
      </c>
      <c r="K991" s="182">
        <v>10821.85</v>
      </c>
      <c r="L991" s="36"/>
      <c r="M991" s="36"/>
      <c r="N991" s="36"/>
      <c r="O991" s="36"/>
      <c r="P991" s="36"/>
      <c r="Q991" s="36"/>
      <c r="R991" s="36"/>
      <c r="S991" s="36"/>
      <c r="T991" s="36"/>
      <c r="U991" s="36"/>
      <c r="V991" s="36"/>
      <c r="W991" s="36"/>
      <c r="X991" s="36"/>
      <c r="Y991" s="36"/>
      <c r="Z991" s="36"/>
      <c r="AA991" s="36"/>
      <c r="AB991" s="36"/>
      <c r="AC991" s="36"/>
    </row>
    <row r="992" ht="15.75" customHeight="1">
      <c r="A992" s="423">
        <v>43273.0</v>
      </c>
      <c r="B992" s="424">
        <v>14.1186</v>
      </c>
      <c r="C992" s="425">
        <v>16.8281</v>
      </c>
      <c r="D992" s="171"/>
      <c r="E992" s="425">
        <v>13.4128</v>
      </c>
      <c r="F992" s="425">
        <v>16.7244</v>
      </c>
      <c r="G992" s="425">
        <v>13.165</v>
      </c>
      <c r="H992" s="171"/>
      <c r="I992" s="171"/>
      <c r="J992" s="425">
        <v>19.4943</v>
      </c>
      <c r="K992" s="182">
        <v>10821.85</v>
      </c>
      <c r="L992" s="36"/>
      <c r="M992" s="36"/>
      <c r="N992" s="36"/>
      <c r="O992" s="36"/>
      <c r="P992" s="36"/>
      <c r="Q992" s="36"/>
      <c r="R992" s="36"/>
      <c r="S992" s="36"/>
      <c r="T992" s="36"/>
      <c r="U992" s="36"/>
      <c r="V992" s="36"/>
      <c r="W992" s="36"/>
      <c r="X992" s="36"/>
      <c r="Y992" s="36"/>
      <c r="Z992" s="36"/>
      <c r="AA992" s="36"/>
      <c r="AB992" s="36"/>
      <c r="AC992" s="36"/>
    </row>
    <row r="993" ht="15.75" customHeight="1">
      <c r="A993" s="423">
        <v>43276.0</v>
      </c>
      <c r="B993" s="424">
        <v>14.0661</v>
      </c>
      <c r="C993" s="425">
        <v>16.8417</v>
      </c>
      <c r="D993" s="171"/>
      <c r="E993" s="425">
        <v>13.4093</v>
      </c>
      <c r="F993" s="425">
        <v>16.6328</v>
      </c>
      <c r="G993" s="425">
        <v>13.1688</v>
      </c>
      <c r="H993" s="171"/>
      <c r="I993" s="171"/>
      <c r="J993" s="425">
        <v>19.7555</v>
      </c>
      <c r="K993" s="182">
        <v>10762.45</v>
      </c>
      <c r="L993" s="36"/>
      <c r="M993" s="36"/>
      <c r="N993" s="36"/>
      <c r="O993" s="36"/>
      <c r="P993" s="36"/>
      <c r="Q993" s="36"/>
      <c r="R993" s="36"/>
      <c r="S993" s="36"/>
      <c r="T993" s="36"/>
      <c r="U993" s="36"/>
      <c r="V993" s="36"/>
      <c r="W993" s="36"/>
      <c r="X993" s="36"/>
      <c r="Y993" s="36"/>
      <c r="Z993" s="36"/>
      <c r="AA993" s="36"/>
      <c r="AB993" s="36"/>
      <c r="AC993" s="36"/>
    </row>
    <row r="994" ht="15.75" customHeight="1">
      <c r="A994" s="423">
        <v>43276.0</v>
      </c>
      <c r="B994" s="424">
        <v>14.0661</v>
      </c>
      <c r="C994" s="425">
        <v>16.8417</v>
      </c>
      <c r="D994" s="171"/>
      <c r="E994" s="425">
        <v>13.4093</v>
      </c>
      <c r="F994" s="425">
        <v>16.6328</v>
      </c>
      <c r="G994" s="425">
        <v>13.1688</v>
      </c>
      <c r="H994" s="171"/>
      <c r="I994" s="171"/>
      <c r="J994" s="425">
        <v>19.7555</v>
      </c>
      <c r="K994" s="182">
        <v>10762.45</v>
      </c>
      <c r="L994" s="36"/>
      <c r="M994" s="36"/>
      <c r="N994" s="36"/>
      <c r="O994" s="36"/>
      <c r="P994" s="36"/>
      <c r="Q994" s="36"/>
      <c r="R994" s="36"/>
      <c r="S994" s="36"/>
      <c r="T994" s="36"/>
      <c r="U994" s="36"/>
      <c r="V994" s="36"/>
      <c r="W994" s="36"/>
      <c r="X994" s="36"/>
      <c r="Y994" s="36"/>
      <c r="Z994" s="36"/>
      <c r="AA994" s="36"/>
      <c r="AB994" s="36"/>
      <c r="AC994" s="36"/>
    </row>
    <row r="995" ht="15.75" customHeight="1">
      <c r="A995" s="423">
        <v>43276.0</v>
      </c>
      <c r="B995" s="424">
        <v>14.0661</v>
      </c>
      <c r="C995" s="425">
        <v>16.8351</v>
      </c>
      <c r="D995" s="171"/>
      <c r="E995" s="425">
        <v>13.4093</v>
      </c>
      <c r="F995" s="425">
        <v>16.6328</v>
      </c>
      <c r="G995" s="425">
        <v>13.1688</v>
      </c>
      <c r="H995" s="171"/>
      <c r="I995" s="171"/>
      <c r="J995" s="425">
        <v>19.6783</v>
      </c>
      <c r="K995" s="182">
        <v>10762.45</v>
      </c>
      <c r="L995" s="36"/>
      <c r="M995" s="36"/>
      <c r="N995" s="36"/>
      <c r="O995" s="36"/>
      <c r="P995" s="36"/>
      <c r="Q995" s="36"/>
      <c r="R995" s="36"/>
      <c r="S995" s="36"/>
      <c r="T995" s="36"/>
      <c r="U995" s="36"/>
      <c r="V995" s="36"/>
      <c r="W995" s="36"/>
      <c r="X995" s="36"/>
      <c r="Y995" s="36"/>
      <c r="Z995" s="36"/>
      <c r="AA995" s="36"/>
      <c r="AB995" s="36"/>
      <c r="AC995" s="36"/>
    </row>
    <row r="996" ht="15.75" customHeight="1">
      <c r="A996" s="423">
        <v>43276.0</v>
      </c>
      <c r="B996" s="424">
        <v>14.0661</v>
      </c>
      <c r="C996" s="425">
        <v>16.8351</v>
      </c>
      <c r="D996" s="171"/>
      <c r="E996" s="425">
        <v>13.4093</v>
      </c>
      <c r="F996" s="425">
        <v>16.6328</v>
      </c>
      <c r="G996" s="425">
        <v>13.1688</v>
      </c>
      <c r="H996" s="171"/>
      <c r="I996" s="171"/>
      <c r="J996" s="425">
        <v>19.6783</v>
      </c>
      <c r="K996" s="182">
        <v>10762.45</v>
      </c>
      <c r="L996" s="36"/>
      <c r="M996" s="36"/>
      <c r="N996" s="36"/>
      <c r="O996" s="36"/>
      <c r="P996" s="36"/>
      <c r="Q996" s="36"/>
      <c r="R996" s="36"/>
      <c r="S996" s="36"/>
      <c r="T996" s="36"/>
      <c r="U996" s="36"/>
      <c r="V996" s="36"/>
      <c r="W996" s="36"/>
      <c r="X996" s="36"/>
      <c r="Y996" s="36"/>
      <c r="Z996" s="36"/>
      <c r="AA996" s="36"/>
      <c r="AB996" s="36"/>
      <c r="AC996" s="36"/>
    </row>
    <row r="997" ht="15.75" customHeight="1">
      <c r="A997" s="423">
        <v>43277.0</v>
      </c>
      <c r="B997" s="424">
        <v>14.067</v>
      </c>
      <c r="C997" s="425">
        <v>16.8464</v>
      </c>
      <c r="D997" s="425">
        <v>16.9521</v>
      </c>
      <c r="E997" s="425">
        <v>13.4095</v>
      </c>
      <c r="F997" s="425">
        <v>16.6151</v>
      </c>
      <c r="G997" s="425">
        <v>13.1703</v>
      </c>
      <c r="H997" s="425">
        <v>21.1345</v>
      </c>
      <c r="I997" s="425">
        <v>16.6255</v>
      </c>
      <c r="J997" s="425">
        <v>19.8561</v>
      </c>
      <c r="K997" s="182">
        <v>10769.15</v>
      </c>
      <c r="L997" s="36"/>
      <c r="M997" s="36"/>
      <c r="N997" s="36"/>
      <c r="O997" s="36"/>
      <c r="P997" s="36"/>
      <c r="Q997" s="36"/>
      <c r="R997" s="36"/>
      <c r="S997" s="36"/>
      <c r="T997" s="36"/>
      <c r="U997" s="36"/>
      <c r="V997" s="36"/>
      <c r="W997" s="36"/>
      <c r="X997" s="36"/>
      <c r="Y997" s="36"/>
      <c r="Z997" s="36"/>
      <c r="AA997" s="36"/>
      <c r="AB997" s="36"/>
      <c r="AC997" s="36"/>
    </row>
    <row r="998" ht="15.75" customHeight="1">
      <c r="A998" s="423">
        <v>43277.0</v>
      </c>
      <c r="B998" s="424">
        <v>14.067</v>
      </c>
      <c r="C998" s="425">
        <v>16.8464</v>
      </c>
      <c r="D998" s="425">
        <v>16.9287</v>
      </c>
      <c r="E998" s="425">
        <v>13.4095</v>
      </c>
      <c r="F998" s="425">
        <v>16.6151</v>
      </c>
      <c r="G998" s="425">
        <v>13.1703</v>
      </c>
      <c r="H998" s="425">
        <v>20.9069</v>
      </c>
      <c r="I998" s="425">
        <v>16.5227</v>
      </c>
      <c r="J998" s="425">
        <v>19.8561</v>
      </c>
      <c r="K998" s="182">
        <v>10769.15</v>
      </c>
      <c r="L998" s="36"/>
      <c r="M998" s="36"/>
      <c r="N998" s="36"/>
      <c r="O998" s="36"/>
      <c r="P998" s="36"/>
      <c r="Q998" s="36"/>
      <c r="R998" s="36"/>
      <c r="S998" s="36"/>
      <c r="T998" s="36"/>
      <c r="U998" s="36"/>
      <c r="V998" s="36"/>
      <c r="W998" s="36"/>
      <c r="X998" s="36"/>
      <c r="Y998" s="36"/>
      <c r="Z998" s="36"/>
      <c r="AA998" s="36"/>
      <c r="AB998" s="36"/>
      <c r="AC998" s="36"/>
    </row>
    <row r="999" ht="15.75" customHeight="1">
      <c r="A999" s="423">
        <v>43277.0</v>
      </c>
      <c r="B999" s="424">
        <v>14.067</v>
      </c>
      <c r="C999" s="425">
        <v>16.8428</v>
      </c>
      <c r="D999" s="171"/>
      <c r="E999" s="425">
        <v>13.4095</v>
      </c>
      <c r="F999" s="425">
        <v>16.6151</v>
      </c>
      <c r="G999" s="425">
        <v>13.1703</v>
      </c>
      <c r="H999" s="171"/>
      <c r="I999" s="171"/>
      <c r="J999" s="425">
        <v>19.7358</v>
      </c>
      <c r="K999" s="182">
        <v>10769.15</v>
      </c>
      <c r="L999" s="36"/>
      <c r="M999" s="36"/>
      <c r="N999" s="36"/>
      <c r="O999" s="36"/>
      <c r="P999" s="36"/>
      <c r="Q999" s="36"/>
      <c r="R999" s="36"/>
      <c r="S999" s="36"/>
      <c r="T999" s="36"/>
      <c r="U999" s="36"/>
      <c r="V999" s="36"/>
      <c r="W999" s="36"/>
      <c r="X999" s="36"/>
      <c r="Y999" s="36"/>
      <c r="Z999" s="36"/>
      <c r="AA999" s="36"/>
      <c r="AB999" s="36"/>
      <c r="AC999" s="36"/>
    </row>
    <row r="1000" ht="15.75" customHeight="1">
      <c r="A1000" s="423">
        <v>43277.0</v>
      </c>
      <c r="B1000" s="424">
        <v>14.067</v>
      </c>
      <c r="C1000" s="425">
        <v>16.8428</v>
      </c>
      <c r="D1000" s="171"/>
      <c r="E1000" s="425">
        <v>13.4095</v>
      </c>
      <c r="F1000" s="425">
        <v>16.6151</v>
      </c>
      <c r="G1000" s="425">
        <v>13.1703</v>
      </c>
      <c r="H1000" s="171"/>
      <c r="I1000" s="171"/>
      <c r="J1000" s="425">
        <v>19.7358</v>
      </c>
      <c r="K1000" s="182">
        <v>10769.15</v>
      </c>
      <c r="L1000" s="36"/>
      <c r="M1000" s="36"/>
      <c r="N1000" s="36"/>
      <c r="O1000" s="36"/>
      <c r="P1000" s="36"/>
      <c r="Q1000" s="36"/>
      <c r="R1000" s="36"/>
      <c r="S1000" s="36"/>
      <c r="T1000" s="36"/>
      <c r="U1000" s="36"/>
      <c r="V1000" s="36"/>
      <c r="W1000" s="36"/>
      <c r="X1000" s="36"/>
      <c r="Y1000" s="36"/>
      <c r="Z1000" s="36"/>
      <c r="AA1000" s="36"/>
      <c r="AB1000" s="36"/>
      <c r="AC1000" s="36"/>
    </row>
    <row r="1001" ht="15.75" customHeight="1">
      <c r="A1001" s="423">
        <v>43278.0</v>
      </c>
      <c r="B1001" s="424">
        <v>13.9708</v>
      </c>
      <c r="C1001" s="425">
        <v>16.8498</v>
      </c>
      <c r="D1001" s="425">
        <v>17.0305</v>
      </c>
      <c r="E1001" s="425">
        <v>13.3977</v>
      </c>
      <c r="F1001" s="425">
        <v>16.4924</v>
      </c>
      <c r="G1001" s="425">
        <v>13.1677</v>
      </c>
      <c r="H1001" s="425">
        <v>21.2653</v>
      </c>
      <c r="I1001" s="425">
        <v>16.6158</v>
      </c>
      <c r="J1001" s="425">
        <v>19.9007</v>
      </c>
      <c r="K1001" s="182">
        <v>10671.4</v>
      </c>
      <c r="L1001" s="36"/>
      <c r="M1001" s="36"/>
      <c r="N1001" s="36"/>
      <c r="O1001" s="36"/>
      <c r="P1001" s="36"/>
      <c r="Q1001" s="36"/>
      <c r="R1001" s="36"/>
      <c r="S1001" s="36"/>
      <c r="T1001" s="36"/>
      <c r="U1001" s="36"/>
      <c r="V1001" s="36"/>
      <c r="W1001" s="36"/>
      <c r="X1001" s="36"/>
      <c r="Y1001" s="36"/>
      <c r="Z1001" s="36"/>
      <c r="AA1001" s="36"/>
      <c r="AB1001" s="36"/>
      <c r="AC1001" s="36"/>
    </row>
    <row r="1002" ht="15.75" customHeight="1">
      <c r="A1002" s="423">
        <v>43278.0</v>
      </c>
      <c r="B1002" s="424">
        <v>13.9708</v>
      </c>
      <c r="C1002" s="425">
        <v>16.8498</v>
      </c>
      <c r="D1002" s="425">
        <v>17.018</v>
      </c>
      <c r="E1002" s="425">
        <v>13.3977</v>
      </c>
      <c r="F1002" s="425">
        <v>16.4924</v>
      </c>
      <c r="G1002" s="425">
        <v>13.1677</v>
      </c>
      <c r="H1002" s="425">
        <v>21.2258</v>
      </c>
      <c r="I1002" s="425">
        <v>16.6454</v>
      </c>
      <c r="J1002" s="425">
        <v>19.9007</v>
      </c>
      <c r="K1002" s="182">
        <v>10671.4</v>
      </c>
      <c r="L1002" s="36"/>
      <c r="M1002" s="36"/>
      <c r="N1002" s="36"/>
      <c r="O1002" s="36"/>
      <c r="P1002" s="36"/>
      <c r="Q1002" s="36"/>
      <c r="R1002" s="36"/>
      <c r="S1002" s="36"/>
      <c r="T1002" s="36"/>
      <c r="U1002" s="36"/>
      <c r="V1002" s="36"/>
      <c r="W1002" s="36"/>
      <c r="X1002" s="36"/>
      <c r="Y1002" s="36"/>
      <c r="Z1002" s="36"/>
      <c r="AA1002" s="36"/>
      <c r="AB1002" s="36"/>
      <c r="AC1002" s="36"/>
    </row>
    <row r="1003" ht="15.75" customHeight="1">
      <c r="A1003" s="423">
        <v>43278.0</v>
      </c>
      <c r="B1003" s="424">
        <v>13.9708</v>
      </c>
      <c r="C1003" s="425">
        <v>16.8471</v>
      </c>
      <c r="D1003" s="425">
        <v>16.9972</v>
      </c>
      <c r="E1003" s="425">
        <v>13.3977</v>
      </c>
      <c r="F1003" s="425">
        <v>16.4924</v>
      </c>
      <c r="G1003" s="425">
        <v>13.1677</v>
      </c>
      <c r="H1003" s="425">
        <v>21.2513</v>
      </c>
      <c r="I1003" s="425">
        <v>16.6416</v>
      </c>
      <c r="J1003" s="425">
        <v>19.8707</v>
      </c>
      <c r="K1003" s="182">
        <v>10671.4</v>
      </c>
      <c r="L1003" s="36"/>
      <c r="M1003" s="36"/>
      <c r="N1003" s="36"/>
      <c r="O1003" s="36"/>
      <c r="P1003" s="36"/>
      <c r="Q1003" s="36"/>
      <c r="R1003" s="36"/>
      <c r="S1003" s="36"/>
      <c r="T1003" s="36"/>
      <c r="U1003" s="36"/>
      <c r="V1003" s="36"/>
      <c r="W1003" s="36"/>
      <c r="X1003" s="36"/>
      <c r="Y1003" s="36"/>
      <c r="Z1003" s="36"/>
      <c r="AA1003" s="36"/>
      <c r="AB1003" s="36"/>
      <c r="AC1003" s="36"/>
    </row>
    <row r="1004" ht="15.75" customHeight="1">
      <c r="A1004" s="423">
        <v>43278.0</v>
      </c>
      <c r="B1004" s="424">
        <v>13.9708</v>
      </c>
      <c r="C1004" s="425">
        <v>16.8471</v>
      </c>
      <c r="D1004" s="425">
        <v>16.9639</v>
      </c>
      <c r="E1004" s="425">
        <v>13.3977</v>
      </c>
      <c r="F1004" s="425">
        <v>16.4924</v>
      </c>
      <c r="G1004" s="425">
        <v>13.1677</v>
      </c>
      <c r="H1004" s="425">
        <v>21.2437</v>
      </c>
      <c r="I1004" s="425">
        <v>16.6939</v>
      </c>
      <c r="J1004" s="425">
        <v>19.8707</v>
      </c>
      <c r="K1004" s="182">
        <v>10671.4</v>
      </c>
      <c r="L1004" s="36"/>
      <c r="M1004" s="36"/>
      <c r="N1004" s="36"/>
      <c r="O1004" s="36"/>
      <c r="P1004" s="36"/>
      <c r="Q1004" s="36"/>
      <c r="R1004" s="36"/>
      <c r="S1004" s="36"/>
      <c r="T1004" s="36"/>
      <c r="U1004" s="36"/>
      <c r="V1004" s="36"/>
      <c r="W1004" s="36"/>
      <c r="X1004" s="36"/>
      <c r="Y1004" s="36"/>
      <c r="Z1004" s="36"/>
      <c r="AA1004" s="36"/>
      <c r="AB1004" s="36"/>
      <c r="AC1004" s="36"/>
    </row>
    <row r="1005" ht="15.75" customHeight="1">
      <c r="A1005" s="423">
        <v>43279.0</v>
      </c>
      <c r="B1005" s="424">
        <v>13.9059</v>
      </c>
      <c r="C1005" s="425">
        <v>16.8523</v>
      </c>
      <c r="D1005" s="425">
        <v>17.1394</v>
      </c>
      <c r="E1005" s="425">
        <v>13.3726</v>
      </c>
      <c r="F1005" s="425">
        <v>16.4136</v>
      </c>
      <c r="G1005" s="425">
        <v>13.1616</v>
      </c>
      <c r="H1005" s="425">
        <v>21.6116</v>
      </c>
      <c r="I1005" s="425">
        <v>17.012</v>
      </c>
      <c r="J1005" s="425">
        <v>19.786</v>
      </c>
      <c r="K1005" s="182">
        <v>10589.1</v>
      </c>
      <c r="L1005" s="36"/>
      <c r="M1005" s="36"/>
      <c r="N1005" s="36"/>
      <c r="O1005" s="36"/>
      <c r="P1005" s="36"/>
      <c r="Q1005" s="36"/>
      <c r="R1005" s="36"/>
      <c r="S1005" s="36"/>
      <c r="T1005" s="36"/>
      <c r="U1005" s="36"/>
      <c r="V1005" s="36"/>
      <c r="W1005" s="36"/>
      <c r="X1005" s="36"/>
      <c r="Y1005" s="36"/>
      <c r="Z1005" s="36"/>
      <c r="AA1005" s="36"/>
      <c r="AB1005" s="36"/>
      <c r="AC1005" s="36"/>
    </row>
    <row r="1006" ht="15.75" customHeight="1">
      <c r="A1006" s="423">
        <v>43279.0</v>
      </c>
      <c r="B1006" s="424">
        <v>13.9059</v>
      </c>
      <c r="C1006" s="425">
        <v>16.8523</v>
      </c>
      <c r="D1006" s="425">
        <v>17.1232</v>
      </c>
      <c r="E1006" s="425">
        <v>13.3726</v>
      </c>
      <c r="F1006" s="425">
        <v>16.4136</v>
      </c>
      <c r="G1006" s="425">
        <v>13.1616</v>
      </c>
      <c r="H1006" s="425">
        <v>21.5043</v>
      </c>
      <c r="I1006" s="425">
        <v>16.9518</v>
      </c>
      <c r="J1006" s="425">
        <v>19.786</v>
      </c>
      <c r="K1006" s="182">
        <v>10589.1</v>
      </c>
      <c r="L1006" s="36"/>
      <c r="M1006" s="36"/>
      <c r="N1006" s="36"/>
      <c r="O1006" s="36"/>
      <c r="P1006" s="36"/>
      <c r="Q1006" s="36"/>
      <c r="R1006" s="36"/>
      <c r="S1006" s="36"/>
      <c r="T1006" s="36"/>
      <c r="U1006" s="36"/>
      <c r="V1006" s="36"/>
      <c r="W1006" s="36"/>
      <c r="X1006" s="36"/>
      <c r="Y1006" s="36"/>
      <c r="Z1006" s="36"/>
      <c r="AA1006" s="36"/>
      <c r="AB1006" s="36"/>
      <c r="AC1006" s="36"/>
    </row>
    <row r="1007" ht="15.75" customHeight="1">
      <c r="A1007" s="423">
        <v>43279.0</v>
      </c>
      <c r="B1007" s="424">
        <v>13.9059</v>
      </c>
      <c r="C1007" s="425">
        <v>16.855</v>
      </c>
      <c r="D1007" s="425">
        <v>17.0898</v>
      </c>
      <c r="E1007" s="425">
        <v>13.3726</v>
      </c>
      <c r="F1007" s="425">
        <v>16.4136</v>
      </c>
      <c r="G1007" s="425">
        <v>13.1616</v>
      </c>
      <c r="H1007" s="425">
        <v>21.5957</v>
      </c>
      <c r="I1007" s="425">
        <v>16.9673</v>
      </c>
      <c r="J1007" s="425">
        <v>19.9121</v>
      </c>
      <c r="K1007" s="182">
        <v>10589.1</v>
      </c>
      <c r="L1007" s="36"/>
      <c r="M1007" s="36"/>
      <c r="N1007" s="36"/>
      <c r="O1007" s="36"/>
      <c r="P1007" s="36"/>
      <c r="Q1007" s="36"/>
      <c r="R1007" s="36"/>
      <c r="S1007" s="36"/>
      <c r="T1007" s="36"/>
      <c r="U1007" s="36"/>
      <c r="V1007" s="36"/>
      <c r="W1007" s="36"/>
      <c r="X1007" s="36"/>
      <c r="Y1007" s="36"/>
      <c r="Z1007" s="36"/>
      <c r="AA1007" s="36"/>
      <c r="AB1007" s="36"/>
      <c r="AC1007" s="36"/>
    </row>
    <row r="1008" ht="15.75" customHeight="1">
      <c r="A1008" s="423">
        <v>43279.0</v>
      </c>
      <c r="B1008" s="424">
        <v>13.9059</v>
      </c>
      <c r="C1008" s="425">
        <v>16.855</v>
      </c>
      <c r="D1008" s="425">
        <v>17.0422</v>
      </c>
      <c r="E1008" s="425">
        <v>13.3726</v>
      </c>
      <c r="F1008" s="425">
        <v>16.4136</v>
      </c>
      <c r="G1008" s="425">
        <v>13.1616</v>
      </c>
      <c r="H1008" s="425">
        <v>21.5226</v>
      </c>
      <c r="I1008" s="425">
        <v>16.8883</v>
      </c>
      <c r="J1008" s="425">
        <v>19.9121</v>
      </c>
      <c r="K1008" s="182">
        <v>10589.1</v>
      </c>
      <c r="L1008" s="36"/>
      <c r="M1008" s="36"/>
      <c r="N1008" s="36"/>
      <c r="O1008" s="36"/>
      <c r="P1008" s="36"/>
      <c r="Q1008" s="36"/>
      <c r="R1008" s="36"/>
      <c r="S1008" s="36"/>
      <c r="T1008" s="36"/>
      <c r="U1008" s="36"/>
      <c r="V1008" s="36"/>
      <c r="W1008" s="36"/>
      <c r="X1008" s="36"/>
      <c r="Y1008" s="36"/>
      <c r="Z1008" s="36"/>
      <c r="AA1008" s="36"/>
      <c r="AB1008" s="36"/>
      <c r="AC1008" s="36"/>
    </row>
    <row r="1009" ht="15.75" customHeight="1">
      <c r="A1009" s="423">
        <v>43280.0</v>
      </c>
      <c r="B1009" s="424">
        <v>14.0271</v>
      </c>
      <c r="C1009" s="425">
        <v>16.8533</v>
      </c>
      <c r="D1009" s="425">
        <v>17.2088</v>
      </c>
      <c r="E1009" s="425">
        <v>13.3861</v>
      </c>
      <c r="F1009" s="425">
        <v>16.5482</v>
      </c>
      <c r="G1009" s="425">
        <v>13.1651</v>
      </c>
      <c r="H1009" s="425">
        <v>21.6536</v>
      </c>
      <c r="I1009" s="425">
        <v>17.0327</v>
      </c>
      <c r="J1009" s="425">
        <v>19.7422</v>
      </c>
      <c r="K1009" s="182">
        <v>10714.3</v>
      </c>
      <c r="L1009" s="36"/>
      <c r="M1009" s="36"/>
      <c r="N1009" s="36"/>
      <c r="O1009" s="36"/>
      <c r="P1009" s="36"/>
      <c r="Q1009" s="36"/>
      <c r="R1009" s="36"/>
      <c r="S1009" s="36"/>
      <c r="T1009" s="36"/>
      <c r="U1009" s="36"/>
      <c r="V1009" s="36"/>
      <c r="W1009" s="36"/>
      <c r="X1009" s="36"/>
      <c r="Y1009" s="36"/>
      <c r="Z1009" s="36"/>
      <c r="AA1009" s="36"/>
      <c r="AB1009" s="36"/>
      <c r="AC1009" s="36"/>
    </row>
    <row r="1010" ht="15.75" customHeight="1">
      <c r="A1010" s="423">
        <v>43280.0</v>
      </c>
      <c r="B1010" s="424">
        <v>14.0271</v>
      </c>
      <c r="C1010" s="425">
        <v>16.8533</v>
      </c>
      <c r="D1010" s="425">
        <v>17.1813</v>
      </c>
      <c r="E1010" s="425">
        <v>13.3861</v>
      </c>
      <c r="F1010" s="425">
        <v>16.5482</v>
      </c>
      <c r="G1010" s="425">
        <v>13.1651</v>
      </c>
      <c r="H1010" s="425">
        <v>21.4569</v>
      </c>
      <c r="I1010" s="425">
        <v>16.9481</v>
      </c>
      <c r="J1010" s="425">
        <v>19.7422</v>
      </c>
      <c r="K1010" s="182">
        <v>10714.3</v>
      </c>
      <c r="L1010" s="36"/>
      <c r="M1010" s="36"/>
      <c r="N1010" s="36"/>
      <c r="O1010" s="36"/>
      <c r="P1010" s="36"/>
      <c r="Q1010" s="36"/>
      <c r="R1010" s="36"/>
      <c r="S1010" s="36"/>
      <c r="T1010" s="36"/>
      <c r="U1010" s="36"/>
      <c r="V1010" s="36"/>
      <c r="W1010" s="36"/>
      <c r="X1010" s="36"/>
      <c r="Y1010" s="36"/>
      <c r="Z1010" s="36"/>
      <c r="AA1010" s="36"/>
      <c r="AB1010" s="36"/>
      <c r="AC1010" s="36"/>
    </row>
    <row r="1011" ht="15.75" customHeight="1">
      <c r="A1011" s="423">
        <v>43280.0</v>
      </c>
      <c r="B1011" s="424">
        <v>14.0271</v>
      </c>
      <c r="C1011" s="425">
        <v>16.851</v>
      </c>
      <c r="D1011" s="425">
        <v>17.1621</v>
      </c>
      <c r="E1011" s="425">
        <v>13.3861</v>
      </c>
      <c r="F1011" s="425">
        <v>16.5482</v>
      </c>
      <c r="G1011" s="425">
        <v>13.1651</v>
      </c>
      <c r="H1011" s="425">
        <v>21.4465</v>
      </c>
      <c r="I1011" s="425">
        <v>16.9077</v>
      </c>
      <c r="J1011" s="425">
        <v>19.7033</v>
      </c>
      <c r="K1011" s="182">
        <v>10714.3</v>
      </c>
      <c r="L1011" s="36"/>
      <c r="M1011" s="36"/>
      <c r="N1011" s="36"/>
      <c r="O1011" s="36"/>
      <c r="P1011" s="36"/>
      <c r="Q1011" s="36"/>
      <c r="R1011" s="36"/>
      <c r="S1011" s="36"/>
      <c r="T1011" s="36"/>
      <c r="U1011" s="36"/>
      <c r="V1011" s="36"/>
      <c r="W1011" s="36"/>
      <c r="X1011" s="36"/>
      <c r="Y1011" s="36"/>
      <c r="Z1011" s="36"/>
      <c r="AA1011" s="36"/>
      <c r="AB1011" s="36"/>
      <c r="AC1011" s="36"/>
    </row>
    <row r="1012" ht="15.75" customHeight="1">
      <c r="A1012" s="423">
        <v>43280.0</v>
      </c>
      <c r="B1012" s="424">
        <v>14.0271</v>
      </c>
      <c r="C1012" s="425">
        <v>16.851</v>
      </c>
      <c r="D1012" s="425">
        <v>17.1603</v>
      </c>
      <c r="E1012" s="425">
        <v>13.3861</v>
      </c>
      <c r="F1012" s="425">
        <v>16.5482</v>
      </c>
      <c r="G1012" s="425">
        <v>13.1651</v>
      </c>
      <c r="H1012" s="425">
        <v>21.5156</v>
      </c>
      <c r="I1012" s="425">
        <v>16.9243</v>
      </c>
      <c r="J1012" s="425">
        <v>19.7033</v>
      </c>
      <c r="K1012" s="182">
        <v>10714.3</v>
      </c>
      <c r="L1012" s="36"/>
      <c r="M1012" s="36"/>
      <c r="N1012" s="36"/>
      <c r="O1012" s="36"/>
      <c r="P1012" s="36"/>
      <c r="Q1012" s="36"/>
      <c r="R1012" s="36"/>
      <c r="S1012" s="36"/>
      <c r="T1012" s="36"/>
      <c r="U1012" s="36"/>
      <c r="V1012" s="36"/>
      <c r="W1012" s="36"/>
      <c r="X1012" s="36"/>
      <c r="Y1012" s="36"/>
      <c r="Z1012" s="36"/>
      <c r="AA1012" s="36"/>
      <c r="AB1012" s="36"/>
      <c r="AC1012" s="36"/>
    </row>
    <row r="1013" ht="15.75" customHeight="1">
      <c r="A1013" s="423">
        <v>43281.0</v>
      </c>
      <c r="B1013" s="424">
        <v>14.0269</v>
      </c>
      <c r="C1013" s="425">
        <v>16.8617</v>
      </c>
      <c r="D1013" s="425">
        <v>17.2714</v>
      </c>
      <c r="E1013" s="425">
        <v>13.3882</v>
      </c>
      <c r="F1013" s="425">
        <v>16.5479</v>
      </c>
      <c r="G1013" s="425">
        <v>13.167</v>
      </c>
      <c r="H1013" s="425">
        <v>21.9844</v>
      </c>
      <c r="I1013" s="425">
        <v>17.1444</v>
      </c>
      <c r="J1013" s="425">
        <v>19.6507</v>
      </c>
      <c r="K1013" s="182">
        <v>10714.3</v>
      </c>
      <c r="L1013" s="36"/>
      <c r="M1013" s="36"/>
      <c r="N1013" s="36"/>
      <c r="O1013" s="36"/>
      <c r="P1013" s="36"/>
      <c r="Q1013" s="36"/>
      <c r="R1013" s="36"/>
      <c r="S1013" s="36"/>
      <c r="T1013" s="36"/>
      <c r="U1013" s="36"/>
      <c r="V1013" s="36"/>
      <c r="W1013" s="36"/>
      <c r="X1013" s="36"/>
      <c r="Y1013" s="36"/>
      <c r="Z1013" s="36"/>
      <c r="AA1013" s="36"/>
      <c r="AB1013" s="36"/>
      <c r="AC1013" s="36"/>
    </row>
    <row r="1014" ht="15.75" customHeight="1">
      <c r="A1014" s="423">
        <v>43281.0</v>
      </c>
      <c r="B1014" s="424">
        <v>14.0269</v>
      </c>
      <c r="C1014" s="425">
        <v>16.8617</v>
      </c>
      <c r="D1014" s="425">
        <v>17.263</v>
      </c>
      <c r="E1014" s="425">
        <v>13.3882</v>
      </c>
      <c r="F1014" s="425">
        <v>16.5479</v>
      </c>
      <c r="G1014" s="425">
        <v>13.167</v>
      </c>
      <c r="H1014" s="425">
        <v>21.9687</v>
      </c>
      <c r="I1014" s="425">
        <v>17.2191</v>
      </c>
      <c r="J1014" s="425">
        <v>19.6507</v>
      </c>
      <c r="K1014" s="182">
        <v>10714.3</v>
      </c>
      <c r="L1014" s="36"/>
      <c r="M1014" s="36"/>
      <c r="N1014" s="36"/>
      <c r="O1014" s="36"/>
      <c r="P1014" s="36"/>
      <c r="Q1014" s="36"/>
      <c r="R1014" s="36"/>
      <c r="S1014" s="36"/>
      <c r="T1014" s="36"/>
      <c r="U1014" s="36"/>
      <c r="V1014" s="36"/>
      <c r="W1014" s="36"/>
      <c r="X1014" s="36"/>
      <c r="Y1014" s="36"/>
      <c r="Z1014" s="36"/>
      <c r="AA1014" s="36"/>
      <c r="AB1014" s="36"/>
      <c r="AC1014" s="36"/>
    </row>
    <row r="1015" ht="15.75" customHeight="1">
      <c r="A1015" s="423">
        <v>43281.0</v>
      </c>
      <c r="B1015" s="424">
        <v>14.0269</v>
      </c>
      <c r="C1015" s="425">
        <v>16.8558</v>
      </c>
      <c r="D1015" s="425">
        <v>17.247</v>
      </c>
      <c r="E1015" s="425">
        <v>13.3882</v>
      </c>
      <c r="F1015" s="425">
        <v>16.5479</v>
      </c>
      <c r="G1015" s="425">
        <v>13.167</v>
      </c>
      <c r="H1015" s="425">
        <v>21.7993</v>
      </c>
      <c r="I1015" s="425">
        <v>17.0628</v>
      </c>
      <c r="J1015" s="425">
        <v>19.7568</v>
      </c>
      <c r="K1015" s="182">
        <v>10714.3</v>
      </c>
      <c r="L1015" s="36"/>
      <c r="M1015" s="36"/>
      <c r="N1015" s="36"/>
      <c r="O1015" s="36"/>
      <c r="P1015" s="36"/>
      <c r="Q1015" s="36"/>
      <c r="R1015" s="36"/>
      <c r="S1015" s="36"/>
      <c r="T1015" s="36"/>
      <c r="U1015" s="36"/>
      <c r="V1015" s="36"/>
      <c r="W1015" s="36"/>
      <c r="X1015" s="36"/>
      <c r="Y1015" s="36"/>
      <c r="Z1015" s="36"/>
      <c r="AA1015" s="36"/>
      <c r="AB1015" s="36"/>
      <c r="AC1015" s="36"/>
    </row>
    <row r="1016" ht="15.75" customHeight="1">
      <c r="A1016" s="423">
        <v>43281.0</v>
      </c>
      <c r="B1016" s="424">
        <v>14.0269</v>
      </c>
      <c r="C1016" s="425">
        <v>16.8558</v>
      </c>
      <c r="D1016" s="425">
        <v>17.2292</v>
      </c>
      <c r="E1016" s="425">
        <v>13.3882</v>
      </c>
      <c r="F1016" s="425">
        <v>16.5479</v>
      </c>
      <c r="G1016" s="425">
        <v>13.167</v>
      </c>
      <c r="H1016" s="425">
        <v>21.6551</v>
      </c>
      <c r="I1016" s="425">
        <v>16.966</v>
      </c>
      <c r="J1016" s="425">
        <v>19.7568</v>
      </c>
      <c r="K1016" s="182">
        <v>10714.3</v>
      </c>
      <c r="L1016" s="36"/>
      <c r="M1016" s="36"/>
      <c r="N1016" s="36"/>
      <c r="O1016" s="36"/>
      <c r="P1016" s="36"/>
      <c r="Q1016" s="36"/>
      <c r="R1016" s="36"/>
      <c r="S1016" s="36"/>
      <c r="T1016" s="36"/>
      <c r="U1016" s="36"/>
      <c r="V1016" s="36"/>
      <c r="W1016" s="36"/>
      <c r="X1016" s="36"/>
      <c r="Y1016" s="36"/>
      <c r="Z1016" s="36"/>
      <c r="AA1016" s="36"/>
      <c r="AB1016" s="36"/>
      <c r="AC1016" s="36"/>
    </row>
    <row r="1017" ht="15.75" customHeight="1">
      <c r="A1017" s="423">
        <v>43283.0</v>
      </c>
      <c r="B1017" s="424">
        <v>13.9617</v>
      </c>
      <c r="C1017" s="425">
        <v>16.8488</v>
      </c>
      <c r="D1017" s="425">
        <v>17.4151</v>
      </c>
      <c r="E1017" s="425">
        <v>13.3896</v>
      </c>
      <c r="F1017" s="425">
        <v>16.4728</v>
      </c>
      <c r="G1017" s="425">
        <v>13.1695</v>
      </c>
      <c r="H1017" s="425">
        <v>22.4705</v>
      </c>
      <c r="I1017" s="425">
        <v>17.2155</v>
      </c>
      <c r="J1017" s="425">
        <v>19.4868</v>
      </c>
      <c r="K1017" s="182">
        <v>10657.3</v>
      </c>
      <c r="L1017" s="36"/>
      <c r="M1017" s="36"/>
      <c r="N1017" s="36"/>
      <c r="O1017" s="36"/>
      <c r="P1017" s="36"/>
      <c r="Q1017" s="36"/>
      <c r="R1017" s="36"/>
      <c r="S1017" s="36"/>
      <c r="T1017" s="36"/>
      <c r="U1017" s="36"/>
      <c r="V1017" s="36"/>
      <c r="W1017" s="36"/>
      <c r="X1017" s="36"/>
      <c r="Y1017" s="36"/>
      <c r="Z1017" s="36"/>
      <c r="AA1017" s="36"/>
      <c r="AB1017" s="36"/>
      <c r="AC1017" s="36"/>
    </row>
    <row r="1018" ht="15.75" customHeight="1">
      <c r="A1018" s="423">
        <v>43283.0</v>
      </c>
      <c r="B1018" s="424">
        <v>13.9617</v>
      </c>
      <c r="C1018" s="425">
        <v>16.8488</v>
      </c>
      <c r="D1018" s="425">
        <v>17.3713</v>
      </c>
      <c r="E1018" s="425">
        <v>13.3896</v>
      </c>
      <c r="F1018" s="425">
        <v>16.4728</v>
      </c>
      <c r="G1018" s="425">
        <v>13.1695</v>
      </c>
      <c r="H1018" s="425">
        <v>22.2407</v>
      </c>
      <c r="I1018" s="425">
        <v>17.2482</v>
      </c>
      <c r="J1018" s="425">
        <v>19.4868</v>
      </c>
      <c r="K1018" s="182">
        <v>10657.3</v>
      </c>
      <c r="L1018" s="36"/>
      <c r="M1018" s="36"/>
      <c r="N1018" s="36"/>
      <c r="O1018" s="36"/>
      <c r="P1018" s="36"/>
      <c r="Q1018" s="36"/>
      <c r="R1018" s="36"/>
      <c r="S1018" s="36"/>
      <c r="T1018" s="36"/>
      <c r="U1018" s="36"/>
      <c r="V1018" s="36"/>
      <c r="W1018" s="36"/>
      <c r="X1018" s="36"/>
      <c r="Y1018" s="36"/>
      <c r="Z1018" s="36"/>
      <c r="AA1018" s="36"/>
      <c r="AB1018" s="36"/>
      <c r="AC1018" s="36"/>
    </row>
    <row r="1019" ht="15.75" customHeight="1">
      <c r="A1019" s="423">
        <v>43283.0</v>
      </c>
      <c r="B1019" s="424">
        <v>13.9617</v>
      </c>
      <c r="C1019" s="425">
        <v>16.8458</v>
      </c>
      <c r="D1019" s="425">
        <v>17.3444</v>
      </c>
      <c r="E1019" s="425">
        <v>13.3896</v>
      </c>
      <c r="F1019" s="425">
        <v>16.4728</v>
      </c>
      <c r="G1019" s="425">
        <v>13.1695</v>
      </c>
      <c r="H1019" s="425">
        <v>22.1763</v>
      </c>
      <c r="I1019" s="425">
        <v>17.2852</v>
      </c>
      <c r="J1019" s="425">
        <v>19.5732</v>
      </c>
      <c r="K1019" s="182">
        <v>10657.3</v>
      </c>
      <c r="L1019" s="36"/>
      <c r="M1019" s="36"/>
      <c r="N1019" s="36"/>
      <c r="O1019" s="36"/>
      <c r="P1019" s="36"/>
      <c r="Q1019" s="36"/>
      <c r="R1019" s="36"/>
      <c r="S1019" s="36"/>
      <c r="T1019" s="36"/>
      <c r="U1019" s="36"/>
      <c r="V1019" s="36"/>
      <c r="W1019" s="36"/>
      <c r="X1019" s="36"/>
      <c r="Y1019" s="36"/>
      <c r="Z1019" s="36"/>
      <c r="AA1019" s="36"/>
      <c r="AB1019" s="36"/>
      <c r="AC1019" s="36"/>
    </row>
    <row r="1020" ht="15.75" customHeight="1">
      <c r="A1020" s="423">
        <v>43283.0</v>
      </c>
      <c r="B1020" s="424">
        <v>13.9617</v>
      </c>
      <c r="C1020" s="425">
        <v>16.8458</v>
      </c>
      <c r="D1020" s="425">
        <v>17.2817</v>
      </c>
      <c r="E1020" s="425">
        <v>13.3896</v>
      </c>
      <c r="F1020" s="425">
        <v>16.4728</v>
      </c>
      <c r="G1020" s="425">
        <v>13.1695</v>
      </c>
      <c r="H1020" s="425">
        <v>21.9788</v>
      </c>
      <c r="I1020" s="425">
        <v>17.1776</v>
      </c>
      <c r="J1020" s="425">
        <v>19.5732</v>
      </c>
      <c r="K1020" s="182">
        <v>10657.3</v>
      </c>
      <c r="L1020" s="36"/>
      <c r="M1020" s="36"/>
      <c r="N1020" s="36"/>
      <c r="O1020" s="36"/>
      <c r="P1020" s="36"/>
      <c r="Q1020" s="36"/>
      <c r="R1020" s="36"/>
      <c r="S1020" s="36"/>
      <c r="T1020" s="36"/>
      <c r="U1020" s="36"/>
      <c r="V1020" s="36"/>
      <c r="W1020" s="36"/>
      <c r="X1020" s="36"/>
      <c r="Y1020" s="36"/>
      <c r="Z1020" s="36"/>
      <c r="AA1020" s="36"/>
      <c r="AB1020" s="36"/>
      <c r="AC1020" s="36"/>
    </row>
    <row r="1021" ht="15.75" customHeight="1">
      <c r="A1021" s="423">
        <v>43284.0</v>
      </c>
      <c r="B1021" s="424">
        <v>14.0267</v>
      </c>
      <c r="C1021" s="425">
        <v>16.8403</v>
      </c>
      <c r="D1021" s="425">
        <v>17.3997</v>
      </c>
      <c r="E1021" s="425">
        <v>13.3959</v>
      </c>
      <c r="F1021" s="425">
        <v>16.545</v>
      </c>
      <c r="G1021" s="425">
        <v>13.1733</v>
      </c>
      <c r="H1021" s="425">
        <v>22.4406</v>
      </c>
      <c r="I1021" s="425">
        <v>17.282</v>
      </c>
      <c r="J1021" s="425">
        <v>19.7094</v>
      </c>
      <c r="K1021" s="182">
        <v>10699.9</v>
      </c>
      <c r="L1021" s="36"/>
      <c r="M1021" s="36"/>
      <c r="N1021" s="36"/>
      <c r="O1021" s="36"/>
      <c r="P1021" s="36"/>
      <c r="Q1021" s="36"/>
      <c r="R1021" s="36"/>
      <c r="S1021" s="36"/>
      <c r="T1021" s="36"/>
      <c r="U1021" s="36"/>
      <c r="V1021" s="36"/>
      <c r="W1021" s="36"/>
      <c r="X1021" s="36"/>
      <c r="Y1021" s="36"/>
      <c r="Z1021" s="36"/>
      <c r="AA1021" s="36"/>
      <c r="AB1021" s="36"/>
      <c r="AC1021" s="36"/>
    </row>
    <row r="1022" ht="15.75" customHeight="1">
      <c r="A1022" s="423">
        <v>43284.0</v>
      </c>
      <c r="B1022" s="424">
        <v>14.0267</v>
      </c>
      <c r="C1022" s="425">
        <v>16.8403</v>
      </c>
      <c r="D1022" s="425">
        <v>17.3896</v>
      </c>
      <c r="E1022" s="425">
        <v>13.3959</v>
      </c>
      <c r="F1022" s="425">
        <v>16.545</v>
      </c>
      <c r="G1022" s="425">
        <v>13.1733</v>
      </c>
      <c r="H1022" s="425">
        <v>22.1163</v>
      </c>
      <c r="I1022" s="425">
        <v>17.056</v>
      </c>
      <c r="J1022" s="425">
        <v>19.7094</v>
      </c>
      <c r="K1022" s="182">
        <v>10699.9</v>
      </c>
      <c r="L1022" s="36"/>
      <c r="M1022" s="36"/>
      <c r="N1022" s="36"/>
      <c r="O1022" s="36"/>
      <c r="P1022" s="36"/>
      <c r="Q1022" s="36"/>
      <c r="R1022" s="36"/>
      <c r="S1022" s="36"/>
      <c r="T1022" s="36"/>
      <c r="U1022" s="36"/>
      <c r="V1022" s="36"/>
      <c r="W1022" s="36"/>
      <c r="X1022" s="36"/>
      <c r="Y1022" s="36"/>
      <c r="Z1022" s="36"/>
      <c r="AA1022" s="36"/>
      <c r="AB1022" s="36"/>
      <c r="AC1022" s="36"/>
    </row>
    <row r="1023" ht="15.75" customHeight="1">
      <c r="A1023" s="423">
        <v>43284.0</v>
      </c>
      <c r="B1023" s="424">
        <v>14.0267</v>
      </c>
      <c r="C1023" s="425">
        <v>16.8335</v>
      </c>
      <c r="D1023" s="425">
        <v>17.3721</v>
      </c>
      <c r="E1023" s="425">
        <v>13.3959</v>
      </c>
      <c r="F1023" s="425">
        <v>16.545</v>
      </c>
      <c r="G1023" s="425">
        <v>13.1733</v>
      </c>
      <c r="H1023" s="425">
        <v>22.0157</v>
      </c>
      <c r="I1023" s="425">
        <v>17.0417</v>
      </c>
      <c r="J1023" s="425">
        <v>19.595</v>
      </c>
      <c r="K1023" s="182">
        <v>10699.9</v>
      </c>
      <c r="L1023" s="36"/>
      <c r="M1023" s="36"/>
      <c r="N1023" s="36"/>
      <c r="O1023" s="36"/>
      <c r="P1023" s="36"/>
      <c r="Q1023" s="36"/>
      <c r="R1023" s="36"/>
      <c r="S1023" s="36"/>
      <c r="T1023" s="36"/>
      <c r="U1023" s="36"/>
      <c r="V1023" s="36"/>
      <c r="W1023" s="36"/>
      <c r="X1023" s="36"/>
      <c r="Y1023" s="36"/>
      <c r="Z1023" s="36"/>
      <c r="AA1023" s="36"/>
      <c r="AB1023" s="36"/>
      <c r="AC1023" s="36"/>
    </row>
    <row r="1024" ht="15.75" customHeight="1">
      <c r="A1024" s="423">
        <v>43284.0</v>
      </c>
      <c r="B1024" s="424">
        <v>14.0267</v>
      </c>
      <c r="C1024" s="425">
        <v>16.8335</v>
      </c>
      <c r="D1024" s="425">
        <v>17.3948</v>
      </c>
      <c r="E1024" s="425">
        <v>13.3959</v>
      </c>
      <c r="F1024" s="425">
        <v>16.545</v>
      </c>
      <c r="G1024" s="425">
        <v>13.1733</v>
      </c>
      <c r="H1024" s="425">
        <v>22.3753</v>
      </c>
      <c r="I1024" s="425">
        <v>17.1976</v>
      </c>
      <c r="J1024" s="425">
        <v>19.595</v>
      </c>
      <c r="K1024" s="182">
        <v>10699.9</v>
      </c>
      <c r="L1024" s="36"/>
      <c r="M1024" s="36"/>
      <c r="N1024" s="36"/>
      <c r="O1024" s="36"/>
      <c r="P1024" s="36"/>
      <c r="Q1024" s="36"/>
      <c r="R1024" s="36"/>
      <c r="S1024" s="36"/>
      <c r="T1024" s="36"/>
      <c r="U1024" s="36"/>
      <c r="V1024" s="36"/>
      <c r="W1024" s="36"/>
      <c r="X1024" s="36"/>
      <c r="Y1024" s="36"/>
      <c r="Z1024" s="36"/>
      <c r="AA1024" s="36"/>
      <c r="AB1024" s="36"/>
      <c r="AC1024" s="36"/>
    </row>
    <row r="1025" ht="15.75" customHeight="1">
      <c r="A1025" s="423">
        <v>43285.0</v>
      </c>
      <c r="B1025" s="424">
        <v>14.0969</v>
      </c>
      <c r="C1025" s="425">
        <v>16.8701</v>
      </c>
      <c r="D1025" s="425">
        <v>17.543</v>
      </c>
      <c r="E1025" s="425">
        <v>13.4151</v>
      </c>
      <c r="F1025" s="425">
        <v>16.619</v>
      </c>
      <c r="G1025" s="425">
        <v>13.1799</v>
      </c>
      <c r="H1025" s="425">
        <v>22.3363</v>
      </c>
      <c r="I1025" s="425">
        <v>17.1492</v>
      </c>
      <c r="J1025" s="425">
        <v>19.7775</v>
      </c>
      <c r="K1025" s="182">
        <v>10769.9</v>
      </c>
      <c r="L1025" s="36"/>
      <c r="M1025" s="36"/>
      <c r="N1025" s="36"/>
      <c r="O1025" s="36"/>
      <c r="P1025" s="36"/>
      <c r="Q1025" s="36"/>
      <c r="R1025" s="36"/>
      <c r="S1025" s="36"/>
      <c r="T1025" s="36"/>
      <c r="U1025" s="36"/>
      <c r="V1025" s="36"/>
      <c r="W1025" s="36"/>
      <c r="X1025" s="36"/>
      <c r="Y1025" s="36"/>
      <c r="Z1025" s="36"/>
      <c r="AA1025" s="36"/>
      <c r="AB1025" s="36"/>
      <c r="AC1025" s="36"/>
    </row>
    <row r="1026" ht="15.75" customHeight="1">
      <c r="A1026" s="423">
        <v>43285.0</v>
      </c>
      <c r="B1026" s="424">
        <v>14.0969</v>
      </c>
      <c r="C1026" s="425">
        <v>16.8701</v>
      </c>
      <c r="D1026" s="425">
        <v>17.5132</v>
      </c>
      <c r="E1026" s="425">
        <v>13.4151</v>
      </c>
      <c r="F1026" s="425">
        <v>16.619</v>
      </c>
      <c r="G1026" s="425">
        <v>13.1799</v>
      </c>
      <c r="H1026" s="425">
        <v>22.3264</v>
      </c>
      <c r="I1026" s="425">
        <v>17.1157</v>
      </c>
      <c r="J1026" s="425">
        <v>19.7775</v>
      </c>
      <c r="K1026" s="182">
        <v>10769.9</v>
      </c>
      <c r="L1026" s="36"/>
      <c r="M1026" s="36"/>
      <c r="N1026" s="36"/>
      <c r="O1026" s="36"/>
      <c r="P1026" s="36"/>
      <c r="Q1026" s="36"/>
      <c r="R1026" s="36"/>
      <c r="S1026" s="36"/>
      <c r="T1026" s="36"/>
      <c r="U1026" s="36"/>
      <c r="V1026" s="36"/>
      <c r="W1026" s="36"/>
      <c r="X1026" s="36"/>
      <c r="Y1026" s="36"/>
      <c r="Z1026" s="36"/>
      <c r="AA1026" s="36"/>
      <c r="AB1026" s="36"/>
      <c r="AC1026" s="36"/>
    </row>
    <row r="1027" ht="15.75" customHeight="1">
      <c r="A1027" s="423">
        <v>43285.0</v>
      </c>
      <c r="B1027" s="424">
        <v>14.0969</v>
      </c>
      <c r="C1027" s="425">
        <v>16.8674</v>
      </c>
      <c r="D1027" s="425">
        <v>17.4671</v>
      </c>
      <c r="E1027" s="425">
        <v>13.4151</v>
      </c>
      <c r="F1027" s="425">
        <v>16.619</v>
      </c>
      <c r="G1027" s="425">
        <v>13.1799</v>
      </c>
      <c r="H1027" s="425">
        <v>22.5656</v>
      </c>
      <c r="I1027" s="425">
        <v>17.311</v>
      </c>
      <c r="J1027" s="425">
        <v>19.7611</v>
      </c>
      <c r="K1027" s="182">
        <v>10769.9</v>
      </c>
      <c r="L1027" s="36"/>
      <c r="M1027" s="36"/>
      <c r="N1027" s="36"/>
      <c r="O1027" s="36"/>
      <c r="P1027" s="36"/>
      <c r="Q1027" s="36"/>
      <c r="R1027" s="36"/>
      <c r="S1027" s="36"/>
      <c r="T1027" s="36"/>
      <c r="U1027" s="36"/>
      <c r="V1027" s="36"/>
      <c r="W1027" s="36"/>
      <c r="X1027" s="36"/>
      <c r="Y1027" s="36"/>
      <c r="Z1027" s="36"/>
      <c r="AA1027" s="36"/>
      <c r="AB1027" s="36"/>
      <c r="AC1027" s="36"/>
    </row>
    <row r="1028" ht="15.75" customHeight="1">
      <c r="A1028" s="423">
        <v>43285.0</v>
      </c>
      <c r="B1028" s="424">
        <v>14.0969</v>
      </c>
      <c r="C1028" s="425">
        <v>16.8674</v>
      </c>
      <c r="D1028" s="425">
        <v>17.4125</v>
      </c>
      <c r="E1028" s="425">
        <v>13.4151</v>
      </c>
      <c r="F1028" s="425">
        <v>16.619</v>
      </c>
      <c r="G1028" s="425">
        <v>13.1799</v>
      </c>
      <c r="H1028" s="425">
        <v>22.5992</v>
      </c>
      <c r="I1028" s="425">
        <v>17.3625</v>
      </c>
      <c r="J1028" s="425">
        <v>19.7611</v>
      </c>
      <c r="K1028" s="182">
        <v>10769.9</v>
      </c>
      <c r="L1028" s="36"/>
      <c r="M1028" s="36"/>
      <c r="N1028" s="36"/>
      <c r="O1028" s="36"/>
      <c r="P1028" s="36"/>
      <c r="Q1028" s="36"/>
      <c r="R1028" s="36"/>
      <c r="S1028" s="36"/>
      <c r="T1028" s="36"/>
      <c r="U1028" s="36"/>
      <c r="V1028" s="36"/>
      <c r="W1028" s="36"/>
      <c r="X1028" s="36"/>
      <c r="Y1028" s="36"/>
      <c r="Z1028" s="36"/>
      <c r="AA1028" s="36"/>
      <c r="AB1028" s="36"/>
      <c r="AC1028" s="36"/>
    </row>
    <row r="1029" ht="15.75" customHeight="1">
      <c r="A1029" s="423">
        <v>43286.0</v>
      </c>
      <c r="B1029" s="424">
        <v>14.0883</v>
      </c>
      <c r="C1029" s="425">
        <v>16.849</v>
      </c>
      <c r="D1029" s="425">
        <v>17.519</v>
      </c>
      <c r="E1029" s="425">
        <v>13.4036</v>
      </c>
      <c r="F1029" s="425">
        <v>16.6155</v>
      </c>
      <c r="G1029" s="425">
        <v>13.1779</v>
      </c>
      <c r="H1029" s="425">
        <v>22.7879</v>
      </c>
      <c r="I1029" s="425">
        <v>17.3556</v>
      </c>
      <c r="J1029" s="425">
        <v>19.7891</v>
      </c>
      <c r="K1029" s="182">
        <v>10749.75</v>
      </c>
      <c r="L1029" s="36"/>
      <c r="M1029" s="36"/>
      <c r="N1029" s="36"/>
      <c r="O1029" s="36"/>
      <c r="P1029" s="36"/>
      <c r="Q1029" s="36"/>
      <c r="R1029" s="36"/>
      <c r="S1029" s="36"/>
      <c r="T1029" s="36"/>
      <c r="U1029" s="36"/>
      <c r="V1029" s="36"/>
      <c r="W1029" s="36"/>
      <c r="X1029" s="36"/>
      <c r="Y1029" s="36"/>
      <c r="Z1029" s="36"/>
      <c r="AA1029" s="36"/>
      <c r="AB1029" s="36"/>
      <c r="AC1029" s="36"/>
    </row>
    <row r="1030" ht="15.75" customHeight="1">
      <c r="A1030" s="423">
        <v>43286.0</v>
      </c>
      <c r="B1030" s="424">
        <v>14.0883</v>
      </c>
      <c r="C1030" s="425">
        <v>16.849</v>
      </c>
      <c r="D1030" s="425">
        <v>17.5547</v>
      </c>
      <c r="E1030" s="425">
        <v>13.4036</v>
      </c>
      <c r="F1030" s="425">
        <v>16.6155</v>
      </c>
      <c r="G1030" s="425">
        <v>13.1779</v>
      </c>
      <c r="H1030" s="425">
        <v>22.6564</v>
      </c>
      <c r="I1030" s="425">
        <v>17.247</v>
      </c>
      <c r="J1030" s="425">
        <v>19.7891</v>
      </c>
      <c r="K1030" s="182">
        <v>10749.75</v>
      </c>
      <c r="L1030" s="36"/>
      <c r="M1030" s="36"/>
      <c r="N1030" s="36"/>
      <c r="O1030" s="36"/>
      <c r="P1030" s="36"/>
      <c r="Q1030" s="36"/>
      <c r="R1030" s="36"/>
      <c r="S1030" s="36"/>
      <c r="T1030" s="36"/>
      <c r="U1030" s="36"/>
      <c r="V1030" s="36"/>
      <c r="W1030" s="36"/>
      <c r="X1030" s="36"/>
      <c r="Y1030" s="36"/>
      <c r="Z1030" s="36"/>
      <c r="AA1030" s="36"/>
      <c r="AB1030" s="36"/>
      <c r="AC1030" s="36"/>
    </row>
    <row r="1031" ht="15.75" customHeight="1">
      <c r="A1031" s="423">
        <v>43286.0</v>
      </c>
      <c r="B1031" s="424">
        <v>14.0883</v>
      </c>
      <c r="C1031" s="425">
        <v>16.8547</v>
      </c>
      <c r="D1031" s="425">
        <v>17.5519</v>
      </c>
      <c r="E1031" s="425">
        <v>13.4036</v>
      </c>
      <c r="F1031" s="425">
        <v>16.6155</v>
      </c>
      <c r="G1031" s="425">
        <v>13.1779</v>
      </c>
      <c r="H1031" s="425">
        <v>22.5742</v>
      </c>
      <c r="I1031" s="425">
        <v>17.2686</v>
      </c>
      <c r="J1031" s="425">
        <v>19.775</v>
      </c>
      <c r="K1031" s="182">
        <v>10749.75</v>
      </c>
      <c r="L1031" s="36"/>
      <c r="M1031" s="36"/>
      <c r="N1031" s="36"/>
      <c r="O1031" s="36"/>
      <c r="P1031" s="36"/>
      <c r="Q1031" s="36"/>
      <c r="R1031" s="36"/>
      <c r="S1031" s="36"/>
      <c r="T1031" s="36"/>
      <c r="U1031" s="36"/>
      <c r="V1031" s="36"/>
      <c r="W1031" s="36"/>
      <c r="X1031" s="36"/>
      <c r="Y1031" s="36"/>
      <c r="Z1031" s="36"/>
      <c r="AA1031" s="36"/>
      <c r="AB1031" s="36"/>
      <c r="AC1031" s="36"/>
    </row>
    <row r="1032" ht="15.75" customHeight="1">
      <c r="A1032" s="423">
        <v>43286.0</v>
      </c>
      <c r="B1032" s="424">
        <v>14.0883</v>
      </c>
      <c r="C1032" s="425">
        <v>16.8547</v>
      </c>
      <c r="D1032" s="425">
        <v>17.551</v>
      </c>
      <c r="E1032" s="425">
        <v>13.4036</v>
      </c>
      <c r="F1032" s="425">
        <v>16.6155</v>
      </c>
      <c r="G1032" s="425">
        <v>13.1779</v>
      </c>
      <c r="H1032" s="425">
        <v>22.4301</v>
      </c>
      <c r="I1032" s="425">
        <v>17.2702</v>
      </c>
      <c r="J1032" s="425">
        <v>19.775</v>
      </c>
      <c r="K1032" s="182">
        <v>10749.75</v>
      </c>
      <c r="L1032" s="36"/>
      <c r="M1032" s="36"/>
      <c r="N1032" s="36"/>
      <c r="O1032" s="36"/>
      <c r="P1032" s="36"/>
      <c r="Q1032" s="36"/>
      <c r="R1032" s="36"/>
      <c r="S1032" s="36"/>
      <c r="T1032" s="36"/>
      <c r="U1032" s="36"/>
      <c r="V1032" s="36"/>
      <c r="W1032" s="36"/>
      <c r="X1032" s="36"/>
      <c r="Y1032" s="36"/>
      <c r="Z1032" s="36"/>
      <c r="AA1032" s="36"/>
      <c r="AB1032" s="36"/>
      <c r="AC1032" s="36"/>
    </row>
    <row r="1033" ht="15.75" customHeight="1">
      <c r="A1033" s="423">
        <v>43287.0</v>
      </c>
      <c r="B1033" s="424">
        <v>14.1215</v>
      </c>
      <c r="C1033" s="425">
        <v>16.8521</v>
      </c>
      <c r="D1033" s="425">
        <v>17.5123</v>
      </c>
      <c r="E1033" s="425">
        <v>13.4093</v>
      </c>
      <c r="F1033" s="425">
        <v>16.6505</v>
      </c>
      <c r="G1033" s="425">
        <v>13.1828</v>
      </c>
      <c r="H1033" s="425">
        <v>22.8604</v>
      </c>
      <c r="I1033" s="425">
        <v>17.3517</v>
      </c>
      <c r="J1033" s="425">
        <v>19.8477</v>
      </c>
      <c r="K1033" s="182">
        <v>10772.65</v>
      </c>
      <c r="L1033" s="36"/>
      <c r="M1033" s="36"/>
      <c r="N1033" s="36"/>
      <c r="O1033" s="36"/>
      <c r="P1033" s="36"/>
      <c r="Q1033" s="36"/>
      <c r="R1033" s="36"/>
      <c r="S1033" s="36"/>
      <c r="T1033" s="36"/>
      <c r="U1033" s="36"/>
      <c r="V1033" s="36"/>
      <c r="W1033" s="36"/>
      <c r="X1033" s="36"/>
      <c r="Y1033" s="36"/>
      <c r="Z1033" s="36"/>
      <c r="AA1033" s="36"/>
      <c r="AB1033" s="36"/>
      <c r="AC1033" s="36"/>
    </row>
    <row r="1034" ht="15.75" customHeight="1">
      <c r="A1034" s="423">
        <v>43287.0</v>
      </c>
      <c r="B1034" s="424">
        <v>14.1215</v>
      </c>
      <c r="C1034" s="425">
        <v>16.8521</v>
      </c>
      <c r="D1034" s="425">
        <v>17.4965</v>
      </c>
      <c r="E1034" s="425">
        <v>13.4093</v>
      </c>
      <c r="F1034" s="425">
        <v>16.6505</v>
      </c>
      <c r="G1034" s="425">
        <v>13.1828</v>
      </c>
      <c r="H1034" s="425">
        <v>22.6919</v>
      </c>
      <c r="I1034" s="425">
        <v>17.2917</v>
      </c>
      <c r="J1034" s="425">
        <v>19.8477</v>
      </c>
      <c r="K1034" s="182">
        <v>10772.65</v>
      </c>
      <c r="L1034" s="36"/>
      <c r="M1034" s="36"/>
      <c r="N1034" s="36"/>
      <c r="O1034" s="36"/>
      <c r="P1034" s="36"/>
      <c r="Q1034" s="36"/>
      <c r="R1034" s="36"/>
      <c r="S1034" s="36"/>
      <c r="T1034" s="36"/>
      <c r="U1034" s="36"/>
      <c r="V1034" s="36"/>
      <c r="W1034" s="36"/>
      <c r="X1034" s="36"/>
      <c r="Y1034" s="36"/>
      <c r="Z1034" s="36"/>
      <c r="AA1034" s="36"/>
      <c r="AB1034" s="36"/>
      <c r="AC1034" s="36"/>
    </row>
    <row r="1035" ht="15.75" customHeight="1">
      <c r="A1035" s="423">
        <v>43287.0</v>
      </c>
      <c r="B1035" s="424">
        <v>14.1215</v>
      </c>
      <c r="C1035" s="425">
        <v>16.8514</v>
      </c>
      <c r="D1035" s="425">
        <v>17.4997</v>
      </c>
      <c r="E1035" s="425">
        <v>13.4093</v>
      </c>
      <c r="F1035" s="425">
        <v>16.6505</v>
      </c>
      <c r="G1035" s="425">
        <v>13.1828</v>
      </c>
      <c r="H1035" s="425">
        <v>22.732</v>
      </c>
      <c r="I1035" s="425">
        <v>17.3019</v>
      </c>
      <c r="J1035" s="425">
        <v>19.8373</v>
      </c>
      <c r="K1035" s="182">
        <v>10772.65</v>
      </c>
      <c r="L1035" s="36"/>
      <c r="M1035" s="36"/>
      <c r="N1035" s="36"/>
      <c r="O1035" s="36"/>
      <c r="P1035" s="36"/>
      <c r="Q1035" s="36"/>
      <c r="R1035" s="36"/>
      <c r="S1035" s="36"/>
      <c r="T1035" s="36"/>
      <c r="U1035" s="36"/>
      <c r="V1035" s="36"/>
      <c r="W1035" s="36"/>
      <c r="X1035" s="36"/>
      <c r="Y1035" s="36"/>
      <c r="Z1035" s="36"/>
      <c r="AA1035" s="36"/>
      <c r="AB1035" s="36"/>
      <c r="AC1035" s="36"/>
    </row>
    <row r="1036" ht="15.75" customHeight="1">
      <c r="A1036" s="423">
        <v>43287.0</v>
      </c>
      <c r="B1036" s="424">
        <v>14.1215</v>
      </c>
      <c r="C1036" s="425">
        <v>16.8514</v>
      </c>
      <c r="D1036" s="425">
        <v>17.5167</v>
      </c>
      <c r="E1036" s="425">
        <v>13.4093</v>
      </c>
      <c r="F1036" s="425">
        <v>16.6505</v>
      </c>
      <c r="G1036" s="425">
        <v>13.1828</v>
      </c>
      <c r="H1036" s="425">
        <v>22.8661</v>
      </c>
      <c r="I1036" s="425">
        <v>17.3578</v>
      </c>
      <c r="J1036" s="425">
        <v>19.8373</v>
      </c>
      <c r="K1036" s="182">
        <v>10772.65</v>
      </c>
      <c r="L1036" s="36"/>
      <c r="M1036" s="36"/>
      <c r="N1036" s="36"/>
      <c r="O1036" s="36"/>
      <c r="P1036" s="36"/>
      <c r="Q1036" s="36"/>
      <c r="R1036" s="36"/>
      <c r="S1036" s="36"/>
      <c r="T1036" s="36"/>
      <c r="U1036" s="36"/>
      <c r="V1036" s="36"/>
      <c r="W1036" s="36"/>
      <c r="X1036" s="36"/>
      <c r="Y1036" s="36"/>
      <c r="Z1036" s="36"/>
      <c r="AA1036" s="36"/>
      <c r="AB1036" s="36"/>
      <c r="AC1036" s="36"/>
    </row>
    <row r="1037" ht="15.75" customHeight="1">
      <c r="A1037" s="423">
        <v>43290.0</v>
      </c>
      <c r="B1037" s="424">
        <v>14.2248</v>
      </c>
      <c r="C1037" s="425">
        <v>16.8548</v>
      </c>
      <c r="D1037" s="425">
        <v>17.5805</v>
      </c>
      <c r="E1037" s="425">
        <v>13.4121</v>
      </c>
      <c r="F1037" s="425">
        <v>16.7787</v>
      </c>
      <c r="G1037" s="425">
        <v>13.1876</v>
      </c>
      <c r="H1037" s="425">
        <v>23.153</v>
      </c>
      <c r="I1037" s="425">
        <v>17.513</v>
      </c>
      <c r="J1037" s="425">
        <v>19.8193</v>
      </c>
      <c r="K1037" s="182">
        <v>10852.9</v>
      </c>
      <c r="L1037" s="36"/>
      <c r="M1037" s="36"/>
      <c r="N1037" s="36"/>
      <c r="O1037" s="36"/>
      <c r="P1037" s="36"/>
      <c r="Q1037" s="36"/>
      <c r="R1037" s="36"/>
      <c r="S1037" s="36"/>
      <c r="T1037" s="36"/>
      <c r="U1037" s="36"/>
      <c r="V1037" s="36"/>
      <c r="W1037" s="36"/>
      <c r="X1037" s="36"/>
      <c r="Y1037" s="36"/>
      <c r="Z1037" s="36"/>
      <c r="AA1037" s="36"/>
      <c r="AB1037" s="36"/>
      <c r="AC1037" s="36"/>
    </row>
    <row r="1038" ht="15.75" customHeight="1">
      <c r="A1038" s="423">
        <v>43290.0</v>
      </c>
      <c r="B1038" s="424">
        <v>14.2248</v>
      </c>
      <c r="C1038" s="425">
        <v>16.8548</v>
      </c>
      <c r="D1038" s="425">
        <v>17.5628</v>
      </c>
      <c r="E1038" s="425">
        <v>13.4121</v>
      </c>
      <c r="F1038" s="425">
        <v>16.7787</v>
      </c>
      <c r="G1038" s="425">
        <v>13.1876</v>
      </c>
      <c r="H1038" s="425">
        <v>22.9932</v>
      </c>
      <c r="I1038" s="425">
        <v>17.2895</v>
      </c>
      <c r="J1038" s="425">
        <v>19.8193</v>
      </c>
      <c r="K1038" s="182">
        <v>10852.9</v>
      </c>
      <c r="L1038" s="36"/>
      <c r="M1038" s="36"/>
      <c r="N1038" s="36"/>
      <c r="O1038" s="36"/>
      <c r="P1038" s="36"/>
      <c r="Q1038" s="36"/>
      <c r="R1038" s="36"/>
      <c r="S1038" s="36"/>
      <c r="T1038" s="36"/>
      <c r="U1038" s="36"/>
      <c r="V1038" s="36"/>
      <c r="W1038" s="36"/>
      <c r="X1038" s="36"/>
      <c r="Y1038" s="36"/>
      <c r="Z1038" s="36"/>
      <c r="AA1038" s="36"/>
      <c r="AB1038" s="36"/>
      <c r="AC1038" s="36"/>
    </row>
    <row r="1039" ht="15.75" customHeight="1">
      <c r="A1039" s="423">
        <v>43290.0</v>
      </c>
      <c r="B1039" s="424">
        <v>14.2248</v>
      </c>
      <c r="C1039" s="425">
        <v>16.8551</v>
      </c>
      <c r="D1039" s="425">
        <v>17.5509</v>
      </c>
      <c r="E1039" s="425">
        <v>13.4121</v>
      </c>
      <c r="F1039" s="425">
        <v>16.7787</v>
      </c>
      <c r="G1039" s="425">
        <v>13.1876</v>
      </c>
      <c r="H1039" s="425">
        <v>22.9222</v>
      </c>
      <c r="I1039" s="425">
        <v>17.2458</v>
      </c>
      <c r="J1039" s="425">
        <v>19.8081</v>
      </c>
      <c r="K1039" s="182">
        <v>10852.9</v>
      </c>
      <c r="L1039" s="36"/>
      <c r="M1039" s="36"/>
      <c r="N1039" s="36"/>
      <c r="O1039" s="36"/>
      <c r="P1039" s="36"/>
      <c r="Q1039" s="36"/>
      <c r="R1039" s="36"/>
      <c r="S1039" s="36"/>
      <c r="T1039" s="36"/>
      <c r="U1039" s="36"/>
      <c r="V1039" s="36"/>
      <c r="W1039" s="36"/>
      <c r="X1039" s="36"/>
      <c r="Y1039" s="36"/>
      <c r="Z1039" s="36"/>
      <c r="AA1039" s="36"/>
      <c r="AB1039" s="36"/>
      <c r="AC1039" s="36"/>
    </row>
    <row r="1040" ht="15.75" customHeight="1">
      <c r="A1040" s="423">
        <v>43290.0</v>
      </c>
      <c r="B1040" s="424">
        <v>14.2248</v>
      </c>
      <c r="C1040" s="425">
        <v>16.8551</v>
      </c>
      <c r="D1040" s="425">
        <v>17.5351</v>
      </c>
      <c r="E1040" s="425">
        <v>13.4121</v>
      </c>
      <c r="F1040" s="425">
        <v>16.7787</v>
      </c>
      <c r="G1040" s="425">
        <v>13.1876</v>
      </c>
      <c r="H1040" s="425">
        <v>22.8047</v>
      </c>
      <c r="I1040" s="425">
        <v>17.2712</v>
      </c>
      <c r="J1040" s="425">
        <v>19.8081</v>
      </c>
      <c r="K1040" s="182">
        <v>10852.9</v>
      </c>
      <c r="L1040" s="36"/>
      <c r="M1040" s="36"/>
      <c r="N1040" s="36"/>
      <c r="O1040" s="36"/>
      <c r="P1040" s="36"/>
      <c r="Q1040" s="36"/>
      <c r="R1040" s="36"/>
      <c r="S1040" s="36"/>
      <c r="T1040" s="36"/>
      <c r="U1040" s="36"/>
      <c r="V1040" s="36"/>
      <c r="W1040" s="36"/>
      <c r="X1040" s="36"/>
      <c r="Y1040" s="36"/>
      <c r="Z1040" s="36"/>
      <c r="AA1040" s="36"/>
      <c r="AB1040" s="36"/>
      <c r="AC1040" s="36"/>
    </row>
    <row r="1041" ht="15.75" customHeight="1">
      <c r="A1041" s="423">
        <v>43291.0</v>
      </c>
      <c r="B1041" s="424">
        <v>14.3221</v>
      </c>
      <c r="C1041" s="425">
        <v>16.8578</v>
      </c>
      <c r="D1041" s="425">
        <v>17.6114</v>
      </c>
      <c r="E1041" s="425">
        <v>13.4144</v>
      </c>
      <c r="F1041" s="425">
        <v>16.8707</v>
      </c>
      <c r="G1041" s="425">
        <v>13.1904</v>
      </c>
      <c r="H1041" s="425">
        <v>23.4811</v>
      </c>
      <c r="I1041" s="425">
        <v>17.8931</v>
      </c>
      <c r="J1041" s="425">
        <v>19.5461</v>
      </c>
      <c r="K1041" s="182">
        <v>10947.25</v>
      </c>
      <c r="L1041" s="36"/>
      <c r="M1041" s="36"/>
      <c r="N1041" s="36"/>
      <c r="O1041" s="36"/>
      <c r="P1041" s="36"/>
      <c r="Q1041" s="36"/>
      <c r="R1041" s="36"/>
      <c r="S1041" s="36"/>
      <c r="T1041" s="36"/>
      <c r="U1041" s="36"/>
      <c r="V1041" s="36"/>
      <c r="W1041" s="36"/>
      <c r="X1041" s="36"/>
      <c r="Y1041" s="36"/>
      <c r="Z1041" s="36"/>
      <c r="AA1041" s="36"/>
      <c r="AB1041" s="36"/>
      <c r="AC1041" s="36"/>
    </row>
    <row r="1042" ht="15.75" customHeight="1">
      <c r="A1042" s="423">
        <v>43291.0</v>
      </c>
      <c r="B1042" s="424">
        <v>14.3221</v>
      </c>
      <c r="C1042" s="425">
        <v>16.8578</v>
      </c>
      <c r="D1042" s="425">
        <v>17.5867</v>
      </c>
      <c r="E1042" s="425">
        <v>13.4144</v>
      </c>
      <c r="F1042" s="425">
        <v>16.8707</v>
      </c>
      <c r="G1042" s="425">
        <v>13.1904</v>
      </c>
      <c r="H1042" s="425">
        <v>23.249</v>
      </c>
      <c r="I1042" s="425">
        <v>17.6353</v>
      </c>
      <c r="J1042" s="425">
        <v>19.5461</v>
      </c>
      <c r="K1042" s="182">
        <v>10947.25</v>
      </c>
      <c r="L1042" s="36"/>
      <c r="M1042" s="36"/>
      <c r="N1042" s="36"/>
      <c r="O1042" s="36"/>
      <c r="P1042" s="36"/>
      <c r="Q1042" s="36"/>
      <c r="R1042" s="36"/>
      <c r="S1042" s="36"/>
      <c r="T1042" s="36"/>
      <c r="U1042" s="36"/>
      <c r="V1042" s="36"/>
      <c r="W1042" s="36"/>
      <c r="X1042" s="36"/>
      <c r="Y1042" s="36"/>
      <c r="Z1042" s="36"/>
      <c r="AA1042" s="36"/>
      <c r="AB1042" s="36"/>
      <c r="AC1042" s="36"/>
    </row>
    <row r="1043" ht="15.75" customHeight="1">
      <c r="A1043" s="423">
        <v>43291.0</v>
      </c>
      <c r="B1043" s="424">
        <v>14.3221</v>
      </c>
      <c r="C1043" s="425">
        <v>16.8553</v>
      </c>
      <c r="D1043" s="425">
        <v>17.5867</v>
      </c>
      <c r="E1043" s="425">
        <v>13.4144</v>
      </c>
      <c r="F1043" s="425">
        <v>16.8707</v>
      </c>
      <c r="G1043" s="425">
        <v>13.1904</v>
      </c>
      <c r="H1043" s="425">
        <v>23.1496</v>
      </c>
      <c r="I1043" s="425">
        <v>17.5721</v>
      </c>
      <c r="J1043" s="425">
        <v>19.6798</v>
      </c>
      <c r="K1043" s="182">
        <v>10947.25</v>
      </c>
      <c r="L1043" s="36"/>
      <c r="M1043" s="36"/>
      <c r="N1043" s="36"/>
      <c r="O1043" s="36"/>
      <c r="P1043" s="36"/>
      <c r="Q1043" s="36"/>
      <c r="R1043" s="36"/>
      <c r="S1043" s="36"/>
      <c r="T1043" s="36"/>
      <c r="U1043" s="36"/>
      <c r="V1043" s="36"/>
      <c r="W1043" s="36"/>
      <c r="X1043" s="36"/>
      <c r="Y1043" s="36"/>
      <c r="Z1043" s="36"/>
      <c r="AA1043" s="36"/>
      <c r="AB1043" s="36"/>
      <c r="AC1043" s="36"/>
    </row>
    <row r="1044" ht="15.75" customHeight="1">
      <c r="A1044" s="423">
        <v>43291.0</v>
      </c>
      <c r="B1044" s="424">
        <v>14.3221</v>
      </c>
      <c r="C1044" s="425">
        <v>16.8553</v>
      </c>
      <c r="D1044" s="425">
        <v>17.5902</v>
      </c>
      <c r="E1044" s="425">
        <v>13.4144</v>
      </c>
      <c r="F1044" s="425">
        <v>16.8707</v>
      </c>
      <c r="G1044" s="425">
        <v>13.1904</v>
      </c>
      <c r="H1044" s="425">
        <v>23.2174</v>
      </c>
      <c r="I1044" s="425">
        <v>17.6058</v>
      </c>
      <c r="J1044" s="425">
        <v>19.6798</v>
      </c>
      <c r="K1044" s="182">
        <v>10947.25</v>
      </c>
      <c r="L1044" s="36"/>
      <c r="M1044" s="36"/>
      <c r="N1044" s="36"/>
      <c r="O1044" s="36"/>
      <c r="P1044" s="36"/>
      <c r="Q1044" s="36"/>
      <c r="R1044" s="36"/>
      <c r="S1044" s="36"/>
      <c r="T1044" s="36"/>
      <c r="U1044" s="36"/>
      <c r="V1044" s="36"/>
      <c r="W1044" s="36"/>
      <c r="X1044" s="36"/>
      <c r="Y1044" s="36"/>
      <c r="Z1044" s="36"/>
      <c r="AA1044" s="36"/>
      <c r="AB1044" s="36"/>
      <c r="AC1044" s="36"/>
    </row>
    <row r="1045" ht="15.75" customHeight="1">
      <c r="A1045" s="423">
        <v>43292.0</v>
      </c>
      <c r="B1045" s="424">
        <v>14.327</v>
      </c>
      <c r="C1045" s="425">
        <v>16.8624</v>
      </c>
      <c r="D1045" s="425">
        <v>17.6669</v>
      </c>
      <c r="E1045" s="425">
        <v>13.4259</v>
      </c>
      <c r="F1045" s="425">
        <v>16.8676</v>
      </c>
      <c r="G1045" s="425">
        <v>13.1967</v>
      </c>
      <c r="H1045" s="425">
        <v>22.9683</v>
      </c>
      <c r="I1045" s="425">
        <v>17.4849</v>
      </c>
      <c r="J1045" s="425">
        <v>19.537</v>
      </c>
      <c r="K1045" s="182">
        <v>10948.3</v>
      </c>
      <c r="L1045" s="36"/>
      <c r="M1045" s="36"/>
      <c r="N1045" s="36"/>
      <c r="O1045" s="36"/>
      <c r="P1045" s="36"/>
      <c r="Q1045" s="36"/>
      <c r="R1045" s="36"/>
      <c r="S1045" s="36"/>
      <c r="T1045" s="36"/>
      <c r="U1045" s="36"/>
      <c r="V1045" s="36"/>
      <c r="W1045" s="36"/>
      <c r="X1045" s="36"/>
      <c r="Y1045" s="36"/>
      <c r="Z1045" s="36"/>
      <c r="AA1045" s="36"/>
      <c r="AB1045" s="36"/>
      <c r="AC1045" s="36"/>
    </row>
    <row r="1046" ht="15.75" customHeight="1">
      <c r="A1046" s="423">
        <v>43292.0</v>
      </c>
      <c r="B1046" s="424">
        <v>14.327</v>
      </c>
      <c r="C1046" s="425">
        <v>16.8624</v>
      </c>
      <c r="D1046" s="425">
        <v>17.6804</v>
      </c>
      <c r="E1046" s="425">
        <v>13.4259</v>
      </c>
      <c r="F1046" s="425">
        <v>16.8676</v>
      </c>
      <c r="G1046" s="425">
        <v>13.1967</v>
      </c>
      <c r="H1046" s="425">
        <v>23.4842</v>
      </c>
      <c r="I1046" s="425">
        <v>17.7788</v>
      </c>
      <c r="J1046" s="425">
        <v>19.537</v>
      </c>
      <c r="K1046" s="182">
        <v>10948.3</v>
      </c>
      <c r="L1046" s="36"/>
      <c r="M1046" s="36"/>
      <c r="N1046" s="36"/>
      <c r="O1046" s="36"/>
      <c r="P1046" s="36"/>
      <c r="Q1046" s="36"/>
      <c r="R1046" s="36"/>
      <c r="S1046" s="36"/>
      <c r="T1046" s="36"/>
      <c r="U1046" s="36"/>
      <c r="V1046" s="36"/>
      <c r="W1046" s="36"/>
      <c r="X1046" s="36"/>
      <c r="Y1046" s="36"/>
      <c r="Z1046" s="36"/>
      <c r="AA1046" s="36"/>
      <c r="AB1046" s="36"/>
      <c r="AC1046" s="36"/>
    </row>
    <row r="1047" ht="15.75" customHeight="1">
      <c r="A1047" s="423">
        <v>43292.0</v>
      </c>
      <c r="B1047" s="424">
        <v>14.327</v>
      </c>
      <c r="C1047" s="425">
        <v>16.8594</v>
      </c>
      <c r="D1047" s="425">
        <v>17.6775</v>
      </c>
      <c r="E1047" s="425">
        <v>13.4259</v>
      </c>
      <c r="F1047" s="425">
        <v>16.8676</v>
      </c>
      <c r="G1047" s="425">
        <v>13.1967</v>
      </c>
      <c r="H1047" s="425">
        <v>23.6097</v>
      </c>
      <c r="I1047" s="425">
        <v>17.9172</v>
      </c>
      <c r="J1047" s="425">
        <v>19.531</v>
      </c>
      <c r="K1047" s="182">
        <v>10948.3</v>
      </c>
      <c r="L1047" s="36"/>
      <c r="M1047" s="36"/>
      <c r="N1047" s="36"/>
      <c r="O1047" s="36"/>
      <c r="P1047" s="36"/>
      <c r="Q1047" s="36"/>
      <c r="R1047" s="36"/>
      <c r="S1047" s="36"/>
      <c r="T1047" s="36"/>
      <c r="U1047" s="36"/>
      <c r="V1047" s="36"/>
      <c r="W1047" s="36"/>
      <c r="X1047" s="36"/>
      <c r="Y1047" s="36"/>
      <c r="Z1047" s="36"/>
      <c r="AA1047" s="36"/>
      <c r="AB1047" s="36"/>
      <c r="AC1047" s="36"/>
    </row>
    <row r="1048" ht="15.75" customHeight="1">
      <c r="A1048" s="423">
        <v>43292.0</v>
      </c>
      <c r="B1048" s="424">
        <v>14.327</v>
      </c>
      <c r="C1048" s="425">
        <v>16.8594</v>
      </c>
      <c r="D1048" s="425">
        <v>17.6641</v>
      </c>
      <c r="E1048" s="425">
        <v>13.4259</v>
      </c>
      <c r="F1048" s="425">
        <v>16.8676</v>
      </c>
      <c r="G1048" s="425">
        <v>13.1967</v>
      </c>
      <c r="H1048" s="425">
        <v>23.4795</v>
      </c>
      <c r="I1048" s="425">
        <v>17.8673</v>
      </c>
      <c r="J1048" s="425">
        <v>19.531</v>
      </c>
      <c r="K1048" s="182">
        <v>10948.3</v>
      </c>
      <c r="L1048" s="36"/>
      <c r="M1048" s="36"/>
      <c r="N1048" s="36"/>
      <c r="O1048" s="36"/>
      <c r="P1048" s="36"/>
      <c r="Q1048" s="36"/>
      <c r="R1048" s="36"/>
      <c r="S1048" s="36"/>
      <c r="T1048" s="36"/>
      <c r="U1048" s="36"/>
      <c r="V1048" s="36"/>
      <c r="W1048" s="36"/>
      <c r="X1048" s="36"/>
      <c r="Y1048" s="36"/>
      <c r="Z1048" s="36"/>
      <c r="AA1048" s="36"/>
      <c r="AB1048" s="36"/>
      <c r="AC1048" s="36"/>
    </row>
    <row r="1049" ht="15.75" customHeight="1">
      <c r="A1049" s="423">
        <v>43293.0</v>
      </c>
      <c r="B1049" s="424">
        <v>14.411</v>
      </c>
      <c r="C1049" s="425">
        <v>16.8638</v>
      </c>
      <c r="D1049" s="425">
        <v>17.6861</v>
      </c>
      <c r="E1049" s="425">
        <v>13.465</v>
      </c>
      <c r="F1049" s="425">
        <v>16.9477</v>
      </c>
      <c r="G1049" s="425">
        <v>13.2082</v>
      </c>
      <c r="H1049" s="425">
        <v>23.216</v>
      </c>
      <c r="I1049" s="425">
        <v>17.6527</v>
      </c>
      <c r="J1049" s="425">
        <v>19.6044</v>
      </c>
      <c r="K1049" s="182">
        <v>11023.2</v>
      </c>
      <c r="L1049" s="36"/>
      <c r="M1049" s="36"/>
      <c r="N1049" s="36"/>
      <c r="O1049" s="36"/>
      <c r="P1049" s="36"/>
      <c r="Q1049" s="36"/>
      <c r="R1049" s="36"/>
      <c r="S1049" s="36"/>
      <c r="T1049" s="36"/>
      <c r="U1049" s="36"/>
      <c r="V1049" s="36"/>
      <c r="W1049" s="36"/>
      <c r="X1049" s="36"/>
      <c r="Y1049" s="36"/>
      <c r="Z1049" s="36"/>
      <c r="AA1049" s="36"/>
      <c r="AB1049" s="36"/>
      <c r="AC1049" s="36"/>
    </row>
    <row r="1050" ht="15.75" customHeight="1">
      <c r="A1050" s="423">
        <v>43293.0</v>
      </c>
      <c r="B1050" s="424">
        <v>14.411</v>
      </c>
      <c r="C1050" s="425">
        <v>16.8638</v>
      </c>
      <c r="D1050" s="425">
        <v>17.6791</v>
      </c>
      <c r="E1050" s="425">
        <v>13.465</v>
      </c>
      <c r="F1050" s="425">
        <v>16.9477</v>
      </c>
      <c r="G1050" s="425">
        <v>13.2082</v>
      </c>
      <c r="H1050" s="425">
        <v>23.1271</v>
      </c>
      <c r="I1050" s="425">
        <v>17.6138</v>
      </c>
      <c r="J1050" s="425">
        <v>19.6044</v>
      </c>
      <c r="K1050" s="182">
        <v>11023.2</v>
      </c>
      <c r="L1050" s="36"/>
      <c r="M1050" s="36"/>
      <c r="N1050" s="36"/>
      <c r="O1050" s="36"/>
      <c r="P1050" s="36"/>
      <c r="Q1050" s="36"/>
      <c r="R1050" s="36"/>
      <c r="S1050" s="36"/>
      <c r="T1050" s="36"/>
      <c r="U1050" s="36"/>
      <c r="V1050" s="36"/>
      <c r="W1050" s="36"/>
      <c r="X1050" s="36"/>
      <c r="Y1050" s="36"/>
      <c r="Z1050" s="36"/>
      <c r="AA1050" s="36"/>
      <c r="AB1050" s="36"/>
      <c r="AC1050" s="36"/>
    </row>
    <row r="1051" ht="15.75" customHeight="1">
      <c r="A1051" s="423">
        <v>43293.0</v>
      </c>
      <c r="B1051" s="424">
        <v>14.411</v>
      </c>
      <c r="C1051" s="425">
        <v>16.8614</v>
      </c>
      <c r="D1051" s="425">
        <v>17.6709</v>
      </c>
      <c r="E1051" s="425">
        <v>13.465</v>
      </c>
      <c r="F1051" s="425">
        <v>16.9477</v>
      </c>
      <c r="G1051" s="425">
        <v>13.2082</v>
      </c>
      <c r="H1051" s="425">
        <v>23.1513</v>
      </c>
      <c r="I1051" s="425">
        <v>17.5505</v>
      </c>
      <c r="J1051" s="425">
        <v>19.4423</v>
      </c>
      <c r="K1051" s="182">
        <v>11023.2</v>
      </c>
      <c r="L1051" s="36"/>
      <c r="M1051" s="36"/>
      <c r="N1051" s="36"/>
      <c r="O1051" s="36"/>
      <c r="P1051" s="36"/>
      <c r="Q1051" s="36"/>
      <c r="R1051" s="36"/>
      <c r="S1051" s="36"/>
      <c r="T1051" s="36"/>
      <c r="U1051" s="36"/>
      <c r="V1051" s="36"/>
      <c r="W1051" s="36"/>
      <c r="X1051" s="36"/>
      <c r="Y1051" s="36"/>
      <c r="Z1051" s="36"/>
      <c r="AA1051" s="36"/>
      <c r="AB1051" s="36"/>
      <c r="AC1051" s="36"/>
    </row>
    <row r="1052" ht="15.75" customHeight="1">
      <c r="A1052" s="423">
        <v>43293.0</v>
      </c>
      <c r="B1052" s="424">
        <v>14.411</v>
      </c>
      <c r="C1052" s="425">
        <v>16.8614</v>
      </c>
      <c r="D1052" s="425">
        <v>17.6608</v>
      </c>
      <c r="E1052" s="425">
        <v>13.465</v>
      </c>
      <c r="F1052" s="425">
        <v>16.9477</v>
      </c>
      <c r="G1052" s="425">
        <v>13.2082</v>
      </c>
      <c r="H1052" s="425">
        <v>23.1246</v>
      </c>
      <c r="I1052" s="425">
        <v>17.5218</v>
      </c>
      <c r="J1052" s="425">
        <v>19.4423</v>
      </c>
      <c r="K1052" s="182">
        <v>11023.2</v>
      </c>
      <c r="L1052" s="36"/>
      <c r="M1052" s="36"/>
      <c r="N1052" s="36"/>
      <c r="O1052" s="36"/>
      <c r="P1052" s="36"/>
      <c r="Q1052" s="36"/>
      <c r="R1052" s="36"/>
      <c r="S1052" s="36"/>
      <c r="T1052" s="36"/>
      <c r="U1052" s="36"/>
      <c r="V1052" s="36"/>
      <c r="W1052" s="36"/>
      <c r="X1052" s="36"/>
      <c r="Y1052" s="36"/>
      <c r="Z1052" s="36"/>
      <c r="AA1052" s="36"/>
      <c r="AB1052" s="36"/>
      <c r="AC1052" s="36"/>
    </row>
    <row r="1053" ht="15.75" customHeight="1">
      <c r="A1053" s="423">
        <v>43294.0</v>
      </c>
      <c r="B1053" s="424">
        <v>14.4002</v>
      </c>
      <c r="C1053" s="425">
        <v>16.8589</v>
      </c>
      <c r="D1053" s="425">
        <v>17.7662</v>
      </c>
      <c r="E1053" s="425">
        <v>13.4626</v>
      </c>
      <c r="F1053" s="425">
        <v>16.931</v>
      </c>
      <c r="G1053" s="425">
        <v>13.2081</v>
      </c>
      <c r="H1053" s="425">
        <v>23.4959</v>
      </c>
      <c r="I1053" s="425">
        <v>17.7555</v>
      </c>
      <c r="J1053" s="425">
        <v>19.7663</v>
      </c>
      <c r="K1053" s="182">
        <v>11018.9</v>
      </c>
      <c r="L1053" s="36"/>
      <c r="M1053" s="36"/>
      <c r="N1053" s="36"/>
      <c r="O1053" s="36"/>
      <c r="P1053" s="36"/>
      <c r="Q1053" s="36"/>
      <c r="R1053" s="36"/>
      <c r="S1053" s="36"/>
      <c r="T1053" s="36"/>
      <c r="U1053" s="36"/>
      <c r="V1053" s="36"/>
      <c r="W1053" s="36"/>
      <c r="X1053" s="36"/>
      <c r="Y1053" s="36"/>
      <c r="Z1053" s="36"/>
      <c r="AA1053" s="36"/>
      <c r="AB1053" s="36"/>
      <c r="AC1053" s="36"/>
    </row>
    <row r="1054" ht="15.75" customHeight="1">
      <c r="A1054" s="423">
        <v>43294.0</v>
      </c>
      <c r="B1054" s="424">
        <v>14.4002</v>
      </c>
      <c r="C1054" s="425">
        <v>16.8589</v>
      </c>
      <c r="D1054" s="425">
        <v>17.748</v>
      </c>
      <c r="E1054" s="425">
        <v>13.4626</v>
      </c>
      <c r="F1054" s="425">
        <v>16.931</v>
      </c>
      <c r="G1054" s="425">
        <v>13.2081</v>
      </c>
      <c r="H1054" s="425">
        <v>23.4811</v>
      </c>
      <c r="I1054" s="425">
        <v>17.7896</v>
      </c>
      <c r="J1054" s="425">
        <v>19.7663</v>
      </c>
      <c r="K1054" s="182">
        <v>11018.9</v>
      </c>
      <c r="L1054" s="36"/>
      <c r="M1054" s="36"/>
      <c r="N1054" s="36"/>
      <c r="O1054" s="36"/>
      <c r="P1054" s="36"/>
      <c r="Q1054" s="36"/>
      <c r="R1054" s="36"/>
      <c r="S1054" s="36"/>
      <c r="T1054" s="36"/>
      <c r="U1054" s="36"/>
      <c r="V1054" s="36"/>
      <c r="W1054" s="36"/>
      <c r="X1054" s="36"/>
      <c r="Y1054" s="36"/>
      <c r="Z1054" s="36"/>
      <c r="AA1054" s="36"/>
      <c r="AB1054" s="36"/>
      <c r="AC1054" s="36"/>
    </row>
    <row r="1055" ht="15.75" customHeight="1">
      <c r="A1055" s="423">
        <v>43294.0</v>
      </c>
      <c r="B1055" s="424">
        <v>14.4002</v>
      </c>
      <c r="C1055" s="425">
        <v>16.8653</v>
      </c>
      <c r="D1055" s="425">
        <v>17.6894</v>
      </c>
      <c r="E1055" s="425">
        <v>13.4626</v>
      </c>
      <c r="F1055" s="425">
        <v>16.931</v>
      </c>
      <c r="G1055" s="425">
        <v>13.2081</v>
      </c>
      <c r="H1055" s="425">
        <v>23.1757</v>
      </c>
      <c r="I1055" s="425">
        <v>17.5995</v>
      </c>
      <c r="J1055" s="425">
        <v>19.7361</v>
      </c>
      <c r="K1055" s="182">
        <v>11018.9</v>
      </c>
      <c r="L1055" s="36"/>
      <c r="M1055" s="36"/>
      <c r="N1055" s="36"/>
      <c r="O1055" s="36"/>
      <c r="P1055" s="36"/>
      <c r="Q1055" s="36"/>
      <c r="R1055" s="36"/>
      <c r="S1055" s="36"/>
      <c r="T1055" s="36"/>
      <c r="U1055" s="36"/>
      <c r="V1055" s="36"/>
      <c r="W1055" s="36"/>
      <c r="X1055" s="36"/>
      <c r="Y1055" s="36"/>
      <c r="Z1055" s="36"/>
      <c r="AA1055" s="36"/>
      <c r="AB1055" s="36"/>
      <c r="AC1055" s="36"/>
    </row>
    <row r="1056" ht="15.75" customHeight="1">
      <c r="A1056" s="423">
        <v>43294.0</v>
      </c>
      <c r="B1056" s="424">
        <v>14.4002</v>
      </c>
      <c r="C1056" s="425">
        <v>16.8653</v>
      </c>
      <c r="D1056" s="425">
        <v>17.6742</v>
      </c>
      <c r="E1056" s="425">
        <v>13.4626</v>
      </c>
      <c r="F1056" s="425">
        <v>16.931</v>
      </c>
      <c r="G1056" s="425">
        <v>13.2081</v>
      </c>
      <c r="H1056" s="425">
        <v>23.167</v>
      </c>
      <c r="I1056" s="425">
        <v>17.6018</v>
      </c>
      <c r="J1056" s="425">
        <v>19.7361</v>
      </c>
      <c r="K1056" s="182">
        <v>11018.9</v>
      </c>
      <c r="L1056" s="36"/>
      <c r="M1056" s="36"/>
      <c r="N1056" s="36"/>
      <c r="O1056" s="36"/>
      <c r="P1056" s="36"/>
      <c r="Q1056" s="36"/>
      <c r="R1056" s="36"/>
      <c r="S1056" s="36"/>
      <c r="T1056" s="36"/>
      <c r="U1056" s="36"/>
      <c r="V1056" s="36"/>
      <c r="W1056" s="36"/>
      <c r="X1056" s="36"/>
      <c r="Y1056" s="36"/>
      <c r="Z1056" s="36"/>
      <c r="AA1056" s="36"/>
      <c r="AB1056" s="36"/>
      <c r="AC1056" s="36"/>
    </row>
    <row r="1057" ht="15.75" customHeight="1">
      <c r="A1057" s="423">
        <v>43297.0</v>
      </c>
      <c r="B1057" s="424">
        <v>14.2797</v>
      </c>
      <c r="C1057" s="425">
        <v>16.8468</v>
      </c>
      <c r="D1057" s="425">
        <v>17.7715</v>
      </c>
      <c r="E1057" s="425">
        <v>13.4613</v>
      </c>
      <c r="F1057" s="425">
        <v>16.8059</v>
      </c>
      <c r="G1057" s="425">
        <v>13.2122</v>
      </c>
      <c r="H1057" s="425">
        <v>23.0537</v>
      </c>
      <c r="I1057" s="425">
        <v>17.3236</v>
      </c>
      <c r="J1057" s="425">
        <v>19.5741</v>
      </c>
      <c r="K1057" s="182">
        <v>10936.85</v>
      </c>
      <c r="L1057" s="36"/>
      <c r="M1057" s="36"/>
      <c r="N1057" s="36"/>
      <c r="O1057" s="36"/>
      <c r="P1057" s="36"/>
      <c r="Q1057" s="36"/>
      <c r="R1057" s="36"/>
      <c r="S1057" s="36"/>
      <c r="T1057" s="36"/>
      <c r="U1057" s="36"/>
      <c r="V1057" s="36"/>
      <c r="W1057" s="36"/>
      <c r="X1057" s="36"/>
      <c r="Y1057" s="36"/>
      <c r="Z1057" s="36"/>
      <c r="AA1057" s="36"/>
      <c r="AB1057" s="36"/>
      <c r="AC1057" s="36"/>
    </row>
    <row r="1058" ht="15.75" customHeight="1">
      <c r="A1058" s="423">
        <v>43297.0</v>
      </c>
      <c r="B1058" s="424">
        <v>14.2797</v>
      </c>
      <c r="C1058" s="425">
        <v>16.8468</v>
      </c>
      <c r="D1058" s="425">
        <v>17.8349</v>
      </c>
      <c r="E1058" s="425">
        <v>13.4613</v>
      </c>
      <c r="F1058" s="425">
        <v>16.8059</v>
      </c>
      <c r="G1058" s="425">
        <v>13.2122</v>
      </c>
      <c r="H1058" s="425">
        <v>23.59</v>
      </c>
      <c r="I1058" s="425">
        <v>17.6176</v>
      </c>
      <c r="J1058" s="425">
        <v>19.5741</v>
      </c>
      <c r="K1058" s="182">
        <v>10936.85</v>
      </c>
      <c r="L1058" s="36"/>
      <c r="M1058" s="36"/>
      <c r="N1058" s="36"/>
      <c r="O1058" s="36"/>
      <c r="P1058" s="36"/>
      <c r="Q1058" s="36"/>
      <c r="R1058" s="36"/>
      <c r="S1058" s="36"/>
      <c r="T1058" s="36"/>
      <c r="U1058" s="36"/>
      <c r="V1058" s="36"/>
      <c r="W1058" s="36"/>
      <c r="X1058" s="36"/>
      <c r="Y1058" s="36"/>
      <c r="Z1058" s="36"/>
      <c r="AA1058" s="36"/>
      <c r="AB1058" s="36"/>
      <c r="AC1058" s="36"/>
    </row>
    <row r="1059" ht="15.75" customHeight="1">
      <c r="A1059" s="423">
        <v>43297.0</v>
      </c>
      <c r="B1059" s="424">
        <v>14.2797</v>
      </c>
      <c r="C1059" s="425">
        <v>16.8533</v>
      </c>
      <c r="D1059" s="425">
        <v>17.8337</v>
      </c>
      <c r="E1059" s="425">
        <v>13.4613</v>
      </c>
      <c r="F1059" s="425">
        <v>16.8059</v>
      </c>
      <c r="G1059" s="425">
        <v>13.2122</v>
      </c>
      <c r="H1059" s="425">
        <v>23.4</v>
      </c>
      <c r="I1059" s="425">
        <v>17.5497</v>
      </c>
      <c r="J1059" s="425">
        <v>19.642</v>
      </c>
      <c r="K1059" s="182">
        <v>10936.85</v>
      </c>
      <c r="L1059" s="36"/>
      <c r="M1059" s="36"/>
      <c r="N1059" s="36"/>
      <c r="O1059" s="36"/>
      <c r="P1059" s="36"/>
      <c r="Q1059" s="36"/>
      <c r="R1059" s="36"/>
      <c r="S1059" s="36"/>
      <c r="T1059" s="36"/>
      <c r="U1059" s="36"/>
      <c r="V1059" s="36"/>
      <c r="W1059" s="36"/>
      <c r="X1059" s="36"/>
      <c r="Y1059" s="36"/>
      <c r="Z1059" s="36"/>
      <c r="AA1059" s="36"/>
      <c r="AB1059" s="36"/>
      <c r="AC1059" s="36"/>
    </row>
    <row r="1060" ht="15.75" customHeight="1">
      <c r="A1060" s="423">
        <v>43297.0</v>
      </c>
      <c r="B1060" s="424">
        <v>14.2797</v>
      </c>
      <c r="C1060" s="425">
        <v>16.8533</v>
      </c>
      <c r="D1060" s="425">
        <v>17.8099</v>
      </c>
      <c r="E1060" s="425">
        <v>13.4613</v>
      </c>
      <c r="F1060" s="425">
        <v>16.8059</v>
      </c>
      <c r="G1060" s="425">
        <v>13.2122</v>
      </c>
      <c r="H1060" s="425">
        <v>23.4055</v>
      </c>
      <c r="I1060" s="425">
        <v>17.5895</v>
      </c>
      <c r="J1060" s="425">
        <v>19.642</v>
      </c>
      <c r="K1060" s="182">
        <v>10936.85</v>
      </c>
      <c r="L1060" s="36"/>
      <c r="M1060" s="36"/>
      <c r="N1060" s="36"/>
      <c r="O1060" s="36"/>
      <c r="P1060" s="36"/>
      <c r="Q1060" s="36"/>
      <c r="R1060" s="36"/>
      <c r="S1060" s="36"/>
      <c r="T1060" s="36"/>
      <c r="U1060" s="36"/>
      <c r="V1060" s="36"/>
      <c r="W1060" s="36"/>
      <c r="X1060" s="36"/>
      <c r="Y1060" s="36"/>
      <c r="Z1060" s="36"/>
      <c r="AA1060" s="36"/>
      <c r="AB1060" s="36"/>
      <c r="AC1060" s="36"/>
    </row>
    <row r="1061" ht="15.75" customHeight="1">
      <c r="A1061" s="423">
        <v>43298.0</v>
      </c>
      <c r="B1061" s="424">
        <v>14.3581</v>
      </c>
      <c r="C1061" s="425">
        <v>16.8362</v>
      </c>
      <c r="D1061" s="425">
        <v>17.9774</v>
      </c>
      <c r="E1061" s="425">
        <v>13.4898</v>
      </c>
      <c r="F1061" s="425">
        <v>16.905</v>
      </c>
      <c r="G1061" s="425">
        <v>13.2212</v>
      </c>
      <c r="H1061" s="425">
        <v>24.2368</v>
      </c>
      <c r="I1061" s="425">
        <v>17.727</v>
      </c>
      <c r="J1061" s="425">
        <v>19.7777</v>
      </c>
      <c r="K1061" s="182">
        <v>11008.05</v>
      </c>
      <c r="L1061" s="36"/>
      <c r="M1061" s="36"/>
      <c r="N1061" s="36"/>
      <c r="O1061" s="36"/>
      <c r="P1061" s="36"/>
      <c r="Q1061" s="36"/>
      <c r="R1061" s="36"/>
      <c r="S1061" s="36"/>
      <c r="T1061" s="36"/>
      <c r="U1061" s="36"/>
      <c r="V1061" s="36"/>
      <c r="W1061" s="36"/>
      <c r="X1061" s="36"/>
      <c r="Y1061" s="36"/>
      <c r="Z1061" s="36"/>
      <c r="AA1061" s="36"/>
      <c r="AB1061" s="36"/>
      <c r="AC1061" s="36"/>
    </row>
    <row r="1062" ht="15.75" customHeight="1">
      <c r="A1062" s="423">
        <v>43298.0</v>
      </c>
      <c r="B1062" s="424">
        <v>14.3581</v>
      </c>
      <c r="C1062" s="425">
        <v>16.8362</v>
      </c>
      <c r="D1062" s="425">
        <v>17.9018</v>
      </c>
      <c r="E1062" s="425">
        <v>13.4898</v>
      </c>
      <c r="F1062" s="425">
        <v>16.905</v>
      </c>
      <c r="G1062" s="425">
        <v>13.2212</v>
      </c>
      <c r="H1062" s="425">
        <v>24.1143</v>
      </c>
      <c r="I1062" s="425">
        <v>17.7454</v>
      </c>
      <c r="J1062" s="425">
        <v>19.7777</v>
      </c>
      <c r="K1062" s="182">
        <v>11008.05</v>
      </c>
      <c r="L1062" s="36"/>
      <c r="M1062" s="36"/>
      <c r="N1062" s="36"/>
      <c r="O1062" s="36"/>
      <c r="P1062" s="36"/>
      <c r="Q1062" s="36"/>
      <c r="R1062" s="36"/>
      <c r="S1062" s="36"/>
      <c r="T1062" s="36"/>
      <c r="U1062" s="36"/>
      <c r="V1062" s="36"/>
      <c r="W1062" s="36"/>
      <c r="X1062" s="36"/>
      <c r="Y1062" s="36"/>
      <c r="Z1062" s="36"/>
      <c r="AA1062" s="36"/>
      <c r="AB1062" s="36"/>
      <c r="AC1062" s="36"/>
    </row>
    <row r="1063" ht="15.75" customHeight="1">
      <c r="A1063" s="423">
        <v>43298.0</v>
      </c>
      <c r="B1063" s="424">
        <v>14.3581</v>
      </c>
      <c r="C1063" s="425">
        <v>16.8478</v>
      </c>
      <c r="D1063" s="425">
        <v>17.8666</v>
      </c>
      <c r="E1063" s="425">
        <v>13.4898</v>
      </c>
      <c r="F1063" s="425">
        <v>16.905</v>
      </c>
      <c r="G1063" s="425">
        <v>13.2212</v>
      </c>
      <c r="H1063" s="425">
        <v>23.9268</v>
      </c>
      <c r="I1063" s="425">
        <v>17.6716</v>
      </c>
      <c r="J1063" s="425">
        <v>19.6446</v>
      </c>
      <c r="K1063" s="182">
        <v>11008.05</v>
      </c>
      <c r="L1063" s="36"/>
      <c r="M1063" s="36"/>
      <c r="N1063" s="36"/>
      <c r="O1063" s="36"/>
      <c r="P1063" s="36"/>
      <c r="Q1063" s="36"/>
      <c r="R1063" s="36"/>
      <c r="S1063" s="36"/>
      <c r="T1063" s="36"/>
      <c r="U1063" s="36"/>
      <c r="V1063" s="36"/>
      <c r="W1063" s="36"/>
      <c r="X1063" s="36"/>
      <c r="Y1063" s="36"/>
      <c r="Z1063" s="36"/>
      <c r="AA1063" s="36"/>
      <c r="AB1063" s="36"/>
      <c r="AC1063" s="36"/>
    </row>
    <row r="1064" ht="15.75" customHeight="1">
      <c r="A1064" s="423">
        <v>43298.0</v>
      </c>
      <c r="B1064" s="424">
        <v>14.3581</v>
      </c>
      <c r="C1064" s="425">
        <v>16.8478</v>
      </c>
      <c r="D1064" s="425">
        <v>17.7979</v>
      </c>
      <c r="E1064" s="425">
        <v>13.4898</v>
      </c>
      <c r="F1064" s="425">
        <v>16.905</v>
      </c>
      <c r="G1064" s="425">
        <v>13.2212</v>
      </c>
      <c r="H1064" s="425">
        <v>23.4002</v>
      </c>
      <c r="I1064" s="425">
        <v>17.4077</v>
      </c>
      <c r="J1064" s="425">
        <v>19.6446</v>
      </c>
      <c r="K1064" s="182">
        <v>11008.05</v>
      </c>
      <c r="L1064" s="36"/>
      <c r="M1064" s="36"/>
      <c r="N1064" s="36"/>
      <c r="O1064" s="36"/>
      <c r="P1064" s="36"/>
      <c r="Q1064" s="36"/>
      <c r="R1064" s="36"/>
      <c r="S1064" s="36"/>
      <c r="T1064" s="36"/>
      <c r="U1064" s="36"/>
      <c r="V1064" s="36"/>
      <c r="W1064" s="36"/>
      <c r="X1064" s="36"/>
      <c r="Y1064" s="36"/>
      <c r="Z1064" s="36"/>
      <c r="AA1064" s="36"/>
      <c r="AB1064" s="36"/>
      <c r="AC1064" s="36"/>
    </row>
    <row r="1065" ht="15.75" customHeight="1">
      <c r="A1065" s="423">
        <v>43299.0</v>
      </c>
      <c r="B1065" s="424">
        <v>14.3105</v>
      </c>
      <c r="C1065" s="425">
        <v>16.8456</v>
      </c>
      <c r="D1065" s="425">
        <v>17.9525</v>
      </c>
      <c r="E1065" s="425">
        <v>13.4865</v>
      </c>
      <c r="F1065" s="425">
        <v>16.8523</v>
      </c>
      <c r="G1065" s="425">
        <v>13.2209</v>
      </c>
      <c r="H1065" s="425">
        <v>23.9232</v>
      </c>
      <c r="I1065" s="425">
        <v>17.4701</v>
      </c>
      <c r="J1065" s="425">
        <v>19.9928</v>
      </c>
      <c r="K1065" s="182">
        <v>10980.45</v>
      </c>
      <c r="L1065" s="36"/>
      <c r="M1065" s="36"/>
      <c r="N1065" s="36"/>
      <c r="O1065" s="36"/>
      <c r="P1065" s="36"/>
      <c r="Q1065" s="36"/>
      <c r="R1065" s="36"/>
      <c r="S1065" s="36"/>
      <c r="T1065" s="36"/>
      <c r="U1065" s="36"/>
      <c r="V1065" s="36"/>
      <c r="W1065" s="36"/>
      <c r="X1065" s="36"/>
      <c r="Y1065" s="36"/>
      <c r="Z1065" s="36"/>
      <c r="AA1065" s="36"/>
      <c r="AB1065" s="36"/>
      <c r="AC1065" s="36"/>
    </row>
    <row r="1066" ht="15.75" customHeight="1">
      <c r="A1066" s="423">
        <v>43299.0</v>
      </c>
      <c r="B1066" s="424">
        <v>14.3105</v>
      </c>
      <c r="C1066" s="425">
        <v>16.8456</v>
      </c>
      <c r="D1066" s="425">
        <v>17.9681</v>
      </c>
      <c r="E1066" s="425">
        <v>13.4865</v>
      </c>
      <c r="F1066" s="425">
        <v>16.8523</v>
      </c>
      <c r="G1066" s="425">
        <v>13.2209</v>
      </c>
      <c r="H1066" s="425">
        <v>24.1952</v>
      </c>
      <c r="I1066" s="425">
        <v>17.6764</v>
      </c>
      <c r="J1066" s="425">
        <v>19.9928</v>
      </c>
      <c r="K1066" s="182">
        <v>10980.45</v>
      </c>
      <c r="L1066" s="36"/>
      <c r="M1066" s="36"/>
      <c r="N1066" s="36"/>
      <c r="O1066" s="36"/>
      <c r="P1066" s="36"/>
      <c r="Q1066" s="36"/>
      <c r="R1066" s="36"/>
      <c r="S1066" s="36"/>
      <c r="T1066" s="36"/>
      <c r="U1066" s="36"/>
      <c r="V1066" s="36"/>
      <c r="W1066" s="36"/>
      <c r="X1066" s="36"/>
      <c r="Y1066" s="36"/>
      <c r="Z1066" s="36"/>
      <c r="AA1066" s="36"/>
      <c r="AB1066" s="36"/>
      <c r="AC1066" s="36"/>
    </row>
    <row r="1067" ht="15.75" customHeight="1">
      <c r="A1067" s="423">
        <v>43299.0</v>
      </c>
      <c r="B1067" s="424">
        <v>14.3105</v>
      </c>
      <c r="C1067" s="425">
        <v>16.8432</v>
      </c>
      <c r="D1067" s="425">
        <v>17.9385</v>
      </c>
      <c r="E1067" s="425">
        <v>13.4865</v>
      </c>
      <c r="F1067" s="425">
        <v>16.8523</v>
      </c>
      <c r="G1067" s="425">
        <v>13.2209</v>
      </c>
      <c r="H1067" s="425">
        <v>24.1718</v>
      </c>
      <c r="I1067" s="425">
        <v>17.6491</v>
      </c>
      <c r="J1067" s="425">
        <v>19.8568</v>
      </c>
      <c r="K1067" s="182">
        <v>10980.45</v>
      </c>
      <c r="L1067" s="36"/>
      <c r="M1067" s="36"/>
      <c r="N1067" s="36"/>
      <c r="O1067" s="36"/>
      <c r="P1067" s="36"/>
      <c r="Q1067" s="36"/>
      <c r="R1067" s="36"/>
      <c r="S1067" s="36"/>
      <c r="T1067" s="36"/>
      <c r="U1067" s="36"/>
      <c r="V1067" s="36"/>
      <c r="W1067" s="36"/>
      <c r="X1067" s="36"/>
      <c r="Y1067" s="36"/>
      <c r="Z1067" s="36"/>
      <c r="AA1067" s="36"/>
      <c r="AB1067" s="36"/>
      <c r="AC1067" s="36"/>
    </row>
    <row r="1068" ht="15.75" customHeight="1">
      <c r="A1068" s="423">
        <v>43299.0</v>
      </c>
      <c r="B1068" s="424">
        <v>14.3105</v>
      </c>
      <c r="C1068" s="425">
        <v>16.8432</v>
      </c>
      <c r="D1068" s="425">
        <v>17.973</v>
      </c>
      <c r="E1068" s="425">
        <v>13.4865</v>
      </c>
      <c r="F1068" s="425">
        <v>16.8523</v>
      </c>
      <c r="G1068" s="425">
        <v>13.2209</v>
      </c>
      <c r="H1068" s="425">
        <v>24.1842</v>
      </c>
      <c r="I1068" s="425">
        <v>17.6662</v>
      </c>
      <c r="J1068" s="425">
        <v>19.8568</v>
      </c>
      <c r="K1068" s="182">
        <v>10980.45</v>
      </c>
      <c r="L1068" s="36"/>
      <c r="M1068" s="36"/>
      <c r="N1068" s="36"/>
      <c r="O1068" s="36"/>
      <c r="P1068" s="36"/>
      <c r="Q1068" s="36"/>
      <c r="R1068" s="36"/>
      <c r="S1068" s="36"/>
      <c r="T1068" s="36"/>
      <c r="U1068" s="36"/>
      <c r="V1068" s="36"/>
      <c r="W1068" s="36"/>
      <c r="X1068" s="36"/>
      <c r="Y1068" s="36"/>
      <c r="Z1068" s="36"/>
      <c r="AA1068" s="36"/>
      <c r="AB1068" s="36"/>
      <c r="AC1068" s="36"/>
    </row>
    <row r="1069" ht="15.75" customHeight="1">
      <c r="A1069" s="423">
        <v>43300.0</v>
      </c>
      <c r="B1069" s="424">
        <v>14.2893</v>
      </c>
      <c r="C1069" s="425">
        <v>16.828</v>
      </c>
      <c r="D1069" s="425">
        <v>17.9183</v>
      </c>
      <c r="E1069" s="425">
        <v>13.48</v>
      </c>
      <c r="F1069" s="425">
        <v>16.8248</v>
      </c>
      <c r="G1069" s="425">
        <v>13.2204</v>
      </c>
      <c r="H1069" s="425">
        <v>24.0079</v>
      </c>
      <c r="I1069" s="425">
        <v>17.6347</v>
      </c>
      <c r="J1069" s="425">
        <v>19.9906</v>
      </c>
      <c r="K1069" s="182">
        <v>10957.1</v>
      </c>
      <c r="L1069" s="36"/>
      <c r="M1069" s="36"/>
      <c r="N1069" s="36"/>
      <c r="O1069" s="36"/>
      <c r="P1069" s="36"/>
      <c r="Q1069" s="36"/>
      <c r="R1069" s="36"/>
      <c r="S1069" s="36"/>
      <c r="T1069" s="36"/>
      <c r="U1069" s="36"/>
      <c r="V1069" s="36"/>
      <c r="W1069" s="36"/>
      <c r="X1069" s="36"/>
      <c r="Y1069" s="36"/>
      <c r="Z1069" s="36"/>
      <c r="AA1069" s="36"/>
      <c r="AB1069" s="36"/>
      <c r="AC1069" s="36"/>
    </row>
    <row r="1070" ht="15.75" customHeight="1">
      <c r="A1070" s="423">
        <v>43300.0</v>
      </c>
      <c r="B1070" s="424">
        <v>14.2893</v>
      </c>
      <c r="C1070" s="425">
        <v>16.828</v>
      </c>
      <c r="D1070" s="425">
        <v>17.9248</v>
      </c>
      <c r="E1070" s="425">
        <v>13.48</v>
      </c>
      <c r="F1070" s="425">
        <v>16.8248</v>
      </c>
      <c r="G1070" s="425">
        <v>13.2204</v>
      </c>
      <c r="H1070" s="425">
        <v>24.0368</v>
      </c>
      <c r="I1070" s="425">
        <v>17.6697</v>
      </c>
      <c r="J1070" s="425">
        <v>19.9906</v>
      </c>
      <c r="K1070" s="182">
        <v>10957.1</v>
      </c>
      <c r="L1070" s="36"/>
      <c r="M1070" s="36"/>
      <c r="N1070" s="36"/>
      <c r="O1070" s="36"/>
      <c r="P1070" s="36"/>
      <c r="Q1070" s="36"/>
      <c r="R1070" s="36"/>
      <c r="S1070" s="36"/>
      <c r="T1070" s="36"/>
      <c r="U1070" s="36"/>
      <c r="V1070" s="36"/>
      <c r="W1070" s="36"/>
      <c r="X1070" s="36"/>
      <c r="Y1070" s="36"/>
      <c r="Z1070" s="36"/>
      <c r="AA1070" s="36"/>
      <c r="AB1070" s="36"/>
      <c r="AC1070" s="36"/>
    </row>
    <row r="1071" ht="15.75" customHeight="1">
      <c r="A1071" s="423">
        <v>43300.0</v>
      </c>
      <c r="B1071" s="424">
        <v>14.2893</v>
      </c>
      <c r="C1071" s="425">
        <v>16.8358</v>
      </c>
      <c r="D1071" s="425">
        <v>17.9023</v>
      </c>
      <c r="E1071" s="425">
        <v>13.48</v>
      </c>
      <c r="F1071" s="425">
        <v>16.8248</v>
      </c>
      <c r="G1071" s="425">
        <v>13.2204</v>
      </c>
      <c r="H1071" s="425">
        <v>23.8399</v>
      </c>
      <c r="I1071" s="425">
        <v>17.4017</v>
      </c>
      <c r="J1071" s="425">
        <v>19.9878</v>
      </c>
      <c r="K1071" s="182">
        <v>10957.1</v>
      </c>
      <c r="L1071" s="36"/>
      <c r="M1071" s="36"/>
      <c r="N1071" s="36"/>
      <c r="O1071" s="36"/>
      <c r="P1071" s="36"/>
      <c r="Q1071" s="36"/>
      <c r="R1071" s="36"/>
      <c r="S1071" s="36"/>
      <c r="T1071" s="36"/>
      <c r="U1071" s="36"/>
      <c r="V1071" s="36"/>
      <c r="W1071" s="36"/>
      <c r="X1071" s="36"/>
      <c r="Y1071" s="36"/>
      <c r="Z1071" s="36"/>
      <c r="AA1071" s="36"/>
      <c r="AB1071" s="36"/>
      <c r="AC1071" s="36"/>
    </row>
    <row r="1072" ht="15.75" customHeight="1">
      <c r="A1072" s="423">
        <v>43300.0</v>
      </c>
      <c r="B1072" s="424">
        <v>14.2893</v>
      </c>
      <c r="C1072" s="425">
        <v>16.8358</v>
      </c>
      <c r="D1072" s="425">
        <v>17.9097</v>
      </c>
      <c r="E1072" s="425">
        <v>13.48</v>
      </c>
      <c r="F1072" s="425">
        <v>16.8248</v>
      </c>
      <c r="G1072" s="425">
        <v>13.2204</v>
      </c>
      <c r="H1072" s="425">
        <v>24.0911</v>
      </c>
      <c r="I1072" s="425">
        <v>17.5212</v>
      </c>
      <c r="J1072" s="425">
        <v>19.9878</v>
      </c>
      <c r="K1072" s="182">
        <v>10957.1</v>
      </c>
      <c r="L1072" s="36"/>
      <c r="M1072" s="36"/>
      <c r="N1072" s="36"/>
      <c r="O1072" s="36"/>
      <c r="P1072" s="36"/>
      <c r="Q1072" s="36"/>
      <c r="R1072" s="36"/>
      <c r="S1072" s="36"/>
      <c r="T1072" s="36"/>
      <c r="U1072" s="36"/>
      <c r="V1072" s="36"/>
      <c r="W1072" s="36"/>
      <c r="X1072" s="36"/>
      <c r="Y1072" s="36"/>
      <c r="Z1072" s="36"/>
      <c r="AA1072" s="36"/>
      <c r="AB1072" s="36"/>
      <c r="AC1072" s="36"/>
    </row>
    <row r="1073" ht="15.75" customHeight="1">
      <c r="A1073" s="423">
        <v>43301.0</v>
      </c>
      <c r="B1073" s="424">
        <v>14.3582</v>
      </c>
      <c r="C1073" s="425">
        <v>16.8281</v>
      </c>
      <c r="D1073" s="425">
        <v>17.9018</v>
      </c>
      <c r="E1073" s="425">
        <v>13.4792</v>
      </c>
      <c r="F1073" s="425">
        <v>16.895</v>
      </c>
      <c r="G1073" s="425">
        <v>13.2219</v>
      </c>
      <c r="H1073" s="425">
        <v>24.0927</v>
      </c>
      <c r="I1073" s="425">
        <v>17.7347</v>
      </c>
      <c r="J1073" s="425">
        <v>20.092</v>
      </c>
      <c r="K1073" s="182">
        <v>11010.2</v>
      </c>
      <c r="L1073" s="36"/>
      <c r="M1073" s="36"/>
      <c r="N1073" s="36"/>
      <c r="O1073" s="36"/>
      <c r="P1073" s="36"/>
      <c r="Q1073" s="36"/>
      <c r="R1073" s="36"/>
      <c r="S1073" s="36"/>
      <c r="T1073" s="36"/>
      <c r="U1073" s="36"/>
      <c r="V1073" s="36"/>
      <c r="W1073" s="36"/>
      <c r="X1073" s="36"/>
      <c r="Y1073" s="36"/>
      <c r="Z1073" s="36"/>
      <c r="AA1073" s="36"/>
      <c r="AB1073" s="36"/>
      <c r="AC1073" s="36"/>
    </row>
    <row r="1074" ht="15.75" customHeight="1">
      <c r="A1074" s="423">
        <v>43301.0</v>
      </c>
      <c r="B1074" s="424">
        <v>14.3582</v>
      </c>
      <c r="C1074" s="425">
        <v>16.8281</v>
      </c>
      <c r="D1074" s="425">
        <v>17.9172</v>
      </c>
      <c r="E1074" s="425">
        <v>13.4792</v>
      </c>
      <c r="F1074" s="425">
        <v>16.895</v>
      </c>
      <c r="G1074" s="425">
        <v>13.2219</v>
      </c>
      <c r="H1074" s="425">
        <v>24.0717</v>
      </c>
      <c r="I1074" s="425">
        <v>17.7723</v>
      </c>
      <c r="J1074" s="425">
        <v>20.092</v>
      </c>
      <c r="K1074" s="182">
        <v>11010.2</v>
      </c>
      <c r="L1074" s="36"/>
      <c r="M1074" s="36"/>
      <c r="N1074" s="36"/>
      <c r="O1074" s="36"/>
      <c r="P1074" s="36"/>
      <c r="Q1074" s="36"/>
      <c r="R1074" s="36"/>
      <c r="S1074" s="36"/>
      <c r="T1074" s="36"/>
      <c r="U1074" s="36"/>
      <c r="V1074" s="36"/>
      <c r="W1074" s="36"/>
      <c r="X1074" s="36"/>
      <c r="Y1074" s="36"/>
      <c r="Z1074" s="36"/>
      <c r="AA1074" s="36"/>
      <c r="AB1074" s="36"/>
      <c r="AC1074" s="36"/>
    </row>
    <row r="1075" ht="15.75" customHeight="1">
      <c r="A1075" s="423">
        <v>43301.0</v>
      </c>
      <c r="B1075" s="424">
        <v>14.3582</v>
      </c>
      <c r="C1075" s="425">
        <v>16.8236</v>
      </c>
      <c r="D1075" s="425">
        <v>17.9195</v>
      </c>
      <c r="E1075" s="425">
        <v>13.4792</v>
      </c>
      <c r="F1075" s="425">
        <v>16.895</v>
      </c>
      <c r="G1075" s="425">
        <v>13.2219</v>
      </c>
      <c r="H1075" s="425">
        <v>24.0939</v>
      </c>
      <c r="I1075" s="425">
        <v>17.7486</v>
      </c>
      <c r="J1075" s="425">
        <v>20.0632</v>
      </c>
      <c r="K1075" s="182">
        <v>11010.2</v>
      </c>
      <c r="L1075" s="36"/>
      <c r="M1075" s="36"/>
      <c r="N1075" s="36"/>
      <c r="O1075" s="36"/>
      <c r="P1075" s="36"/>
      <c r="Q1075" s="36"/>
      <c r="R1075" s="36"/>
      <c r="S1075" s="36"/>
      <c r="T1075" s="36"/>
      <c r="U1075" s="36"/>
      <c r="V1075" s="36"/>
      <c r="W1075" s="36"/>
      <c r="X1075" s="36"/>
      <c r="Y1075" s="36"/>
      <c r="Z1075" s="36"/>
      <c r="AA1075" s="36"/>
      <c r="AB1075" s="36"/>
      <c r="AC1075" s="36"/>
    </row>
    <row r="1076" ht="15.75" customHeight="1">
      <c r="A1076" s="423">
        <v>43301.0</v>
      </c>
      <c r="B1076" s="424">
        <v>14.3582</v>
      </c>
      <c r="C1076" s="425">
        <v>16.8236</v>
      </c>
      <c r="D1076" s="425">
        <v>17.9168</v>
      </c>
      <c r="E1076" s="425">
        <v>13.4792</v>
      </c>
      <c r="F1076" s="425">
        <v>16.895</v>
      </c>
      <c r="G1076" s="425">
        <v>13.2219</v>
      </c>
      <c r="H1076" s="425">
        <v>24.0066</v>
      </c>
      <c r="I1076" s="425">
        <v>17.7001</v>
      </c>
      <c r="J1076" s="425">
        <v>20.0632</v>
      </c>
      <c r="K1076" s="182">
        <v>11010.2</v>
      </c>
      <c r="L1076" s="36"/>
      <c r="M1076" s="36"/>
      <c r="N1076" s="36"/>
      <c r="O1076" s="36"/>
      <c r="P1076" s="36"/>
      <c r="Q1076" s="36"/>
      <c r="R1076" s="36"/>
      <c r="S1076" s="36"/>
      <c r="T1076" s="36"/>
      <c r="U1076" s="36"/>
      <c r="V1076" s="36"/>
      <c r="W1076" s="36"/>
      <c r="X1076" s="36"/>
      <c r="Y1076" s="36"/>
      <c r="Z1076" s="36"/>
      <c r="AA1076" s="36"/>
      <c r="AB1076" s="36"/>
      <c r="AC1076" s="36"/>
    </row>
    <row r="1077" ht="15.75" customHeight="1">
      <c r="A1077" s="423">
        <v>43304.0</v>
      </c>
      <c r="B1077" s="424">
        <v>14.4433</v>
      </c>
      <c r="C1077" s="425">
        <v>16.8194</v>
      </c>
      <c r="D1077" s="425">
        <v>17.8963</v>
      </c>
      <c r="E1077" s="425">
        <v>13.4752</v>
      </c>
      <c r="F1077" s="425">
        <v>16.9932</v>
      </c>
      <c r="G1077" s="425">
        <v>13.2253</v>
      </c>
      <c r="H1077" s="425">
        <v>24.0738</v>
      </c>
      <c r="I1077" s="425">
        <v>17.6021</v>
      </c>
      <c r="J1077" s="425">
        <v>20.006</v>
      </c>
      <c r="K1077" s="182">
        <v>11084.75</v>
      </c>
      <c r="L1077" s="36"/>
      <c r="M1077" s="36"/>
      <c r="N1077" s="36"/>
      <c r="O1077" s="36"/>
      <c r="P1077" s="36"/>
      <c r="Q1077" s="36"/>
      <c r="R1077" s="36"/>
      <c r="S1077" s="36"/>
      <c r="T1077" s="36"/>
      <c r="U1077" s="36"/>
      <c r="V1077" s="36"/>
      <c r="W1077" s="36"/>
      <c r="X1077" s="36"/>
      <c r="Y1077" s="36"/>
      <c r="Z1077" s="36"/>
      <c r="AA1077" s="36"/>
      <c r="AB1077" s="36"/>
      <c r="AC1077" s="36"/>
    </row>
    <row r="1078" ht="15.75" customHeight="1">
      <c r="A1078" s="423">
        <v>43304.0</v>
      </c>
      <c r="B1078" s="424">
        <v>14.4433</v>
      </c>
      <c r="C1078" s="425">
        <v>16.8194</v>
      </c>
      <c r="D1078" s="425">
        <v>17.8957</v>
      </c>
      <c r="E1078" s="425">
        <v>13.4752</v>
      </c>
      <c r="F1078" s="425">
        <v>16.9932</v>
      </c>
      <c r="G1078" s="425">
        <v>13.2253</v>
      </c>
      <c r="H1078" s="425">
        <v>23.9213</v>
      </c>
      <c r="I1078" s="425">
        <v>17.6278</v>
      </c>
      <c r="J1078" s="425">
        <v>20.006</v>
      </c>
      <c r="K1078" s="182">
        <v>11084.75</v>
      </c>
      <c r="L1078" s="36"/>
      <c r="M1078" s="36"/>
      <c r="N1078" s="36"/>
      <c r="O1078" s="36"/>
      <c r="P1078" s="36"/>
      <c r="Q1078" s="36"/>
      <c r="R1078" s="36"/>
      <c r="S1078" s="36"/>
      <c r="T1078" s="36"/>
      <c r="U1078" s="36"/>
      <c r="V1078" s="36"/>
      <c r="W1078" s="36"/>
      <c r="X1078" s="36"/>
      <c r="Y1078" s="36"/>
      <c r="Z1078" s="36"/>
      <c r="AA1078" s="36"/>
      <c r="AB1078" s="36"/>
      <c r="AC1078" s="36"/>
    </row>
    <row r="1079" ht="15.75" customHeight="1">
      <c r="A1079" s="423">
        <v>43304.0</v>
      </c>
      <c r="B1079" s="424">
        <v>14.4433</v>
      </c>
      <c r="C1079" s="425">
        <v>16.8307</v>
      </c>
      <c r="D1079" s="425">
        <v>17.9044</v>
      </c>
      <c r="E1079" s="425">
        <v>13.4752</v>
      </c>
      <c r="F1079" s="425">
        <v>16.9932</v>
      </c>
      <c r="G1079" s="425">
        <v>13.2253</v>
      </c>
      <c r="H1079" s="425">
        <v>23.6593</v>
      </c>
      <c r="I1079" s="425">
        <v>17.5546</v>
      </c>
      <c r="J1079" s="425">
        <v>20.0393</v>
      </c>
      <c r="K1079" s="182">
        <v>11084.75</v>
      </c>
      <c r="L1079" s="36"/>
      <c r="M1079" s="36"/>
      <c r="N1079" s="36"/>
      <c r="O1079" s="36"/>
      <c r="P1079" s="36"/>
      <c r="Q1079" s="36"/>
      <c r="R1079" s="36"/>
      <c r="S1079" s="36"/>
      <c r="T1079" s="36"/>
      <c r="U1079" s="36"/>
      <c r="V1079" s="36"/>
      <c r="W1079" s="36"/>
      <c r="X1079" s="36"/>
      <c r="Y1079" s="36"/>
      <c r="Z1079" s="36"/>
      <c r="AA1079" s="36"/>
      <c r="AB1079" s="36"/>
      <c r="AC1079" s="36"/>
    </row>
    <row r="1080" ht="15.75" customHeight="1">
      <c r="A1080" s="423">
        <v>43304.0</v>
      </c>
      <c r="B1080" s="424">
        <v>14.4433</v>
      </c>
      <c r="C1080" s="425">
        <v>16.8307</v>
      </c>
      <c r="D1080" s="425">
        <v>17.9088</v>
      </c>
      <c r="E1080" s="425">
        <v>13.4752</v>
      </c>
      <c r="F1080" s="425">
        <v>16.9932</v>
      </c>
      <c r="G1080" s="425">
        <v>13.2253</v>
      </c>
      <c r="H1080" s="425">
        <v>23.9069</v>
      </c>
      <c r="I1080" s="425">
        <v>17.597</v>
      </c>
      <c r="J1080" s="425">
        <v>20.0393</v>
      </c>
      <c r="K1080" s="182">
        <v>11084.75</v>
      </c>
      <c r="L1080" s="36"/>
      <c r="M1080" s="36"/>
      <c r="N1080" s="36"/>
      <c r="O1080" s="36"/>
      <c r="P1080" s="36"/>
      <c r="Q1080" s="36"/>
      <c r="R1080" s="36"/>
      <c r="S1080" s="36"/>
      <c r="T1080" s="36"/>
      <c r="U1080" s="36"/>
      <c r="V1080" s="36"/>
      <c r="W1080" s="36"/>
      <c r="X1080" s="36"/>
      <c r="Y1080" s="36"/>
      <c r="Z1080" s="36"/>
      <c r="AA1080" s="36"/>
      <c r="AB1080" s="36"/>
      <c r="AC1080" s="36"/>
    </row>
    <row r="1081" ht="15.75" customHeight="1">
      <c r="A1081" s="423">
        <v>43305.0</v>
      </c>
      <c r="B1081" s="424">
        <v>14.5072</v>
      </c>
      <c r="C1081" s="425">
        <v>16.8466</v>
      </c>
      <c r="D1081" s="425">
        <v>17.8889</v>
      </c>
      <c r="E1081" s="425">
        <v>13.486</v>
      </c>
      <c r="F1081" s="425">
        <v>17.0692</v>
      </c>
      <c r="G1081" s="425">
        <v>13.2286</v>
      </c>
      <c r="H1081" s="425">
        <v>23.3595</v>
      </c>
      <c r="I1081" s="425">
        <v>17.3125</v>
      </c>
      <c r="J1081" s="425">
        <v>20.0803</v>
      </c>
      <c r="K1081" s="182">
        <v>11134.3</v>
      </c>
      <c r="L1081" s="36"/>
      <c r="M1081" s="36"/>
      <c r="N1081" s="36"/>
      <c r="O1081" s="36"/>
      <c r="P1081" s="36"/>
      <c r="Q1081" s="36"/>
      <c r="R1081" s="36"/>
      <c r="S1081" s="36"/>
      <c r="T1081" s="36"/>
      <c r="U1081" s="36"/>
      <c r="V1081" s="36"/>
      <c r="W1081" s="36"/>
      <c r="X1081" s="36"/>
      <c r="Y1081" s="36"/>
      <c r="Z1081" s="36"/>
      <c r="AA1081" s="36"/>
      <c r="AB1081" s="36"/>
      <c r="AC1081" s="36"/>
    </row>
    <row r="1082" ht="15.75" customHeight="1">
      <c r="A1082" s="423">
        <v>43305.0</v>
      </c>
      <c r="B1082" s="424">
        <v>14.5072</v>
      </c>
      <c r="C1082" s="425">
        <v>16.8466</v>
      </c>
      <c r="D1082" s="425">
        <v>17.8793</v>
      </c>
      <c r="E1082" s="425">
        <v>13.486</v>
      </c>
      <c r="F1082" s="425">
        <v>17.0692</v>
      </c>
      <c r="G1082" s="425">
        <v>13.2286</v>
      </c>
      <c r="H1082" s="425">
        <v>23.2544</v>
      </c>
      <c r="I1082" s="425">
        <v>17.2105</v>
      </c>
      <c r="J1082" s="425">
        <v>20.0803</v>
      </c>
      <c r="K1082" s="182">
        <v>11134.3</v>
      </c>
      <c r="L1082" s="36"/>
      <c r="M1082" s="36"/>
      <c r="N1082" s="36"/>
      <c r="O1082" s="36"/>
      <c r="P1082" s="36"/>
      <c r="Q1082" s="36"/>
      <c r="R1082" s="36"/>
      <c r="S1082" s="36"/>
      <c r="T1082" s="36"/>
      <c r="U1082" s="36"/>
      <c r="V1082" s="36"/>
      <c r="W1082" s="36"/>
      <c r="X1082" s="36"/>
      <c r="Y1082" s="36"/>
      <c r="Z1082" s="36"/>
      <c r="AA1082" s="36"/>
      <c r="AB1082" s="36"/>
      <c r="AC1082" s="36"/>
    </row>
    <row r="1083" ht="15.75" customHeight="1">
      <c r="A1083" s="423">
        <v>43305.0</v>
      </c>
      <c r="B1083" s="424">
        <v>14.5072</v>
      </c>
      <c r="C1083" s="425">
        <v>16.8421</v>
      </c>
      <c r="D1083" s="425">
        <v>17.8942</v>
      </c>
      <c r="E1083" s="425">
        <v>13.486</v>
      </c>
      <c r="F1083" s="425">
        <v>17.0692</v>
      </c>
      <c r="G1083" s="425">
        <v>13.2286</v>
      </c>
      <c r="H1083" s="425">
        <v>23.5363</v>
      </c>
      <c r="I1083" s="425">
        <v>17.3046</v>
      </c>
      <c r="J1083" s="425">
        <v>20.0802</v>
      </c>
      <c r="K1083" s="182">
        <v>11134.3</v>
      </c>
      <c r="L1083" s="36"/>
      <c r="M1083" s="36"/>
      <c r="N1083" s="36"/>
      <c r="O1083" s="36"/>
      <c r="P1083" s="36"/>
      <c r="Q1083" s="36"/>
      <c r="R1083" s="36"/>
      <c r="S1083" s="36"/>
      <c r="T1083" s="36"/>
      <c r="U1083" s="36"/>
      <c r="V1083" s="36"/>
      <c r="W1083" s="36"/>
      <c r="X1083" s="36"/>
      <c r="Y1083" s="36"/>
      <c r="Z1083" s="36"/>
      <c r="AA1083" s="36"/>
      <c r="AB1083" s="36"/>
      <c r="AC1083" s="36"/>
    </row>
    <row r="1084" ht="15.75" customHeight="1">
      <c r="A1084" s="423">
        <v>43305.0</v>
      </c>
      <c r="B1084" s="424">
        <v>14.5072</v>
      </c>
      <c r="C1084" s="425">
        <v>16.8421</v>
      </c>
      <c r="D1084" s="425">
        <v>17.8983</v>
      </c>
      <c r="E1084" s="425">
        <v>13.486</v>
      </c>
      <c r="F1084" s="425">
        <v>17.0692</v>
      </c>
      <c r="G1084" s="425">
        <v>13.2286</v>
      </c>
      <c r="H1084" s="425">
        <v>23.7407</v>
      </c>
      <c r="I1084" s="425">
        <v>17.3827</v>
      </c>
      <c r="J1084" s="425">
        <v>20.0802</v>
      </c>
      <c r="K1084" s="182">
        <v>11134.3</v>
      </c>
      <c r="L1084" s="36"/>
      <c r="M1084" s="36"/>
      <c r="N1084" s="36"/>
      <c r="O1084" s="36"/>
      <c r="P1084" s="36"/>
      <c r="Q1084" s="36"/>
      <c r="R1084" s="36"/>
      <c r="S1084" s="36"/>
      <c r="T1084" s="36"/>
      <c r="U1084" s="36"/>
      <c r="V1084" s="36"/>
      <c r="W1084" s="36"/>
      <c r="X1084" s="36"/>
      <c r="Y1084" s="36"/>
      <c r="Z1084" s="36"/>
      <c r="AA1084" s="36"/>
      <c r="AB1084" s="36"/>
      <c r="AC1084" s="36"/>
    </row>
    <row r="1085" ht="15.75" customHeight="1">
      <c r="A1085" s="423">
        <v>43306.0</v>
      </c>
      <c r="B1085" s="424">
        <v>14.484</v>
      </c>
      <c r="C1085" s="425">
        <v>16.8535</v>
      </c>
      <c r="D1085" s="425">
        <v>18.0227</v>
      </c>
      <c r="E1085" s="425">
        <v>13.488</v>
      </c>
      <c r="F1085" s="425">
        <v>17.0476</v>
      </c>
      <c r="G1085" s="425">
        <v>13.2301</v>
      </c>
      <c r="H1085" s="425">
        <v>22.6198</v>
      </c>
      <c r="I1085" s="425">
        <v>16.9716</v>
      </c>
      <c r="J1085" s="425">
        <v>19.9619</v>
      </c>
      <c r="K1085" s="182">
        <v>11132.0</v>
      </c>
      <c r="L1085" s="36"/>
      <c r="M1085" s="36"/>
      <c r="N1085" s="36"/>
      <c r="O1085" s="36"/>
      <c r="P1085" s="36"/>
      <c r="Q1085" s="36"/>
      <c r="R1085" s="36"/>
      <c r="S1085" s="36"/>
      <c r="T1085" s="36"/>
      <c r="U1085" s="36"/>
      <c r="V1085" s="36"/>
      <c r="W1085" s="36"/>
      <c r="X1085" s="36"/>
      <c r="Y1085" s="36"/>
      <c r="Z1085" s="36"/>
      <c r="AA1085" s="36"/>
      <c r="AB1085" s="36"/>
      <c r="AC1085" s="36"/>
    </row>
    <row r="1086" ht="15.75" customHeight="1">
      <c r="A1086" s="423">
        <v>43306.0</v>
      </c>
      <c r="B1086" s="424">
        <v>14.484</v>
      </c>
      <c r="C1086" s="425">
        <v>16.8535</v>
      </c>
      <c r="D1086" s="425">
        <v>18.0526</v>
      </c>
      <c r="E1086" s="425">
        <v>13.488</v>
      </c>
      <c r="F1086" s="425">
        <v>17.0476</v>
      </c>
      <c r="G1086" s="425">
        <v>13.2301</v>
      </c>
      <c r="H1086" s="425">
        <v>23.3379</v>
      </c>
      <c r="I1086" s="425">
        <v>17.3951</v>
      </c>
      <c r="J1086" s="425">
        <v>19.9619</v>
      </c>
      <c r="K1086" s="182">
        <v>11132.0</v>
      </c>
      <c r="L1086" s="36"/>
      <c r="M1086" s="36"/>
      <c r="N1086" s="36"/>
      <c r="O1086" s="36"/>
      <c r="P1086" s="36"/>
      <c r="Q1086" s="36"/>
      <c r="R1086" s="36"/>
      <c r="S1086" s="36"/>
      <c r="T1086" s="36"/>
      <c r="U1086" s="36"/>
      <c r="V1086" s="36"/>
      <c r="W1086" s="36"/>
      <c r="X1086" s="36"/>
      <c r="Y1086" s="36"/>
      <c r="Z1086" s="36"/>
      <c r="AA1086" s="36"/>
      <c r="AB1086" s="36"/>
      <c r="AC1086" s="36"/>
    </row>
    <row r="1087" ht="15.75" customHeight="1">
      <c r="A1087" s="423">
        <v>43306.0</v>
      </c>
      <c r="B1087" s="424">
        <v>14.484</v>
      </c>
      <c r="C1087" s="425">
        <v>16.851</v>
      </c>
      <c r="D1087" s="425">
        <v>18.0136</v>
      </c>
      <c r="E1087" s="425">
        <v>13.488</v>
      </c>
      <c r="F1087" s="425">
        <v>17.0476</v>
      </c>
      <c r="G1087" s="425">
        <v>13.2301</v>
      </c>
      <c r="H1087" s="425">
        <v>23.0627</v>
      </c>
      <c r="I1087" s="425">
        <v>17.2051</v>
      </c>
      <c r="J1087" s="425">
        <v>19.9748</v>
      </c>
      <c r="K1087" s="182">
        <v>11132.0</v>
      </c>
      <c r="L1087" s="36"/>
      <c r="M1087" s="36"/>
      <c r="N1087" s="36"/>
      <c r="O1087" s="36"/>
      <c r="P1087" s="36"/>
      <c r="Q1087" s="36"/>
      <c r="R1087" s="36"/>
      <c r="S1087" s="36"/>
      <c r="T1087" s="36"/>
      <c r="U1087" s="36"/>
      <c r="V1087" s="36"/>
      <c r="W1087" s="36"/>
      <c r="X1087" s="36"/>
      <c r="Y1087" s="36"/>
      <c r="Z1087" s="36"/>
      <c r="AA1087" s="36"/>
      <c r="AB1087" s="36"/>
      <c r="AC1087" s="36"/>
    </row>
    <row r="1088" ht="15.75" customHeight="1">
      <c r="A1088" s="423">
        <v>43306.0</v>
      </c>
      <c r="B1088" s="424">
        <v>14.484</v>
      </c>
      <c r="C1088" s="425">
        <v>16.851</v>
      </c>
      <c r="D1088" s="425">
        <v>17.9043</v>
      </c>
      <c r="E1088" s="425">
        <v>13.488</v>
      </c>
      <c r="F1088" s="425">
        <v>17.0476</v>
      </c>
      <c r="G1088" s="425">
        <v>13.2301</v>
      </c>
      <c r="H1088" s="425">
        <v>23.4188</v>
      </c>
      <c r="I1088" s="425">
        <v>17.3938</v>
      </c>
      <c r="J1088" s="425">
        <v>19.9748</v>
      </c>
      <c r="K1088" s="182">
        <v>11132.0</v>
      </c>
      <c r="L1088" s="36"/>
      <c r="M1088" s="36"/>
      <c r="N1088" s="36"/>
      <c r="O1088" s="36"/>
      <c r="P1088" s="36"/>
      <c r="Q1088" s="36"/>
      <c r="R1088" s="36"/>
      <c r="S1088" s="36"/>
      <c r="T1088" s="36"/>
      <c r="U1088" s="36"/>
      <c r="V1088" s="36"/>
      <c r="W1088" s="36"/>
      <c r="X1088" s="36"/>
      <c r="Y1088" s="36"/>
      <c r="Z1088" s="36"/>
      <c r="AA1088" s="36"/>
      <c r="AB1088" s="36"/>
      <c r="AC1088" s="36"/>
    </row>
    <row r="1089" ht="15.75" customHeight="1">
      <c r="A1089" s="423">
        <v>43307.0</v>
      </c>
      <c r="B1089" s="424">
        <v>14.5262</v>
      </c>
      <c r="C1089" s="425">
        <v>16.8555</v>
      </c>
      <c r="D1089" s="425">
        <v>18.3183</v>
      </c>
      <c r="E1089" s="425">
        <v>13.5011</v>
      </c>
      <c r="F1089" s="425">
        <v>17.0908</v>
      </c>
      <c r="G1089" s="425">
        <v>13.2332</v>
      </c>
      <c r="H1089" s="425">
        <v>21.8118</v>
      </c>
      <c r="I1089" s="425">
        <v>16.4465</v>
      </c>
      <c r="J1089" s="425">
        <v>20.0694</v>
      </c>
      <c r="K1089" s="182">
        <v>11167.3</v>
      </c>
      <c r="L1089" s="36"/>
      <c r="M1089" s="36"/>
      <c r="N1089" s="36"/>
      <c r="O1089" s="36"/>
      <c r="P1089" s="36"/>
      <c r="Q1089" s="36"/>
      <c r="R1089" s="36"/>
      <c r="S1089" s="36"/>
      <c r="T1089" s="36"/>
      <c r="U1089" s="36"/>
      <c r="V1089" s="36"/>
      <c r="W1089" s="36"/>
      <c r="X1089" s="36"/>
      <c r="Y1089" s="36"/>
      <c r="Z1089" s="36"/>
      <c r="AA1089" s="36"/>
      <c r="AB1089" s="36"/>
      <c r="AC1089" s="36"/>
    </row>
    <row r="1090" ht="15.75" customHeight="1">
      <c r="A1090" s="423">
        <v>43307.0</v>
      </c>
      <c r="B1090" s="424">
        <v>14.5262</v>
      </c>
      <c r="C1090" s="425">
        <v>16.8555</v>
      </c>
      <c r="D1090" s="425">
        <v>18.3473</v>
      </c>
      <c r="E1090" s="425">
        <v>13.5011</v>
      </c>
      <c r="F1090" s="425">
        <v>17.0908</v>
      </c>
      <c r="G1090" s="425">
        <v>13.2332</v>
      </c>
      <c r="H1090" s="425">
        <v>21.8248</v>
      </c>
      <c r="I1090" s="425">
        <v>16.4674</v>
      </c>
      <c r="J1090" s="425">
        <v>20.0694</v>
      </c>
      <c r="K1090" s="182">
        <v>11167.3</v>
      </c>
      <c r="L1090" s="36"/>
      <c r="M1090" s="36"/>
      <c r="N1090" s="36"/>
      <c r="O1090" s="36"/>
      <c r="P1090" s="36"/>
      <c r="Q1090" s="36"/>
      <c r="R1090" s="36"/>
      <c r="S1090" s="36"/>
      <c r="T1090" s="36"/>
      <c r="U1090" s="36"/>
      <c r="V1090" s="36"/>
      <c r="W1090" s="36"/>
      <c r="X1090" s="36"/>
      <c r="Y1090" s="36"/>
      <c r="Z1090" s="36"/>
      <c r="AA1090" s="36"/>
      <c r="AB1090" s="36"/>
      <c r="AC1090" s="36"/>
    </row>
    <row r="1091" ht="15.75" customHeight="1">
      <c r="A1091" s="423">
        <v>43307.0</v>
      </c>
      <c r="B1091" s="424">
        <v>14.5262</v>
      </c>
      <c r="C1091" s="425">
        <v>16.8541</v>
      </c>
      <c r="D1091" s="425">
        <v>18.351</v>
      </c>
      <c r="E1091" s="425">
        <v>13.5011</v>
      </c>
      <c r="F1091" s="425">
        <v>17.0908</v>
      </c>
      <c r="G1091" s="425">
        <v>13.2332</v>
      </c>
      <c r="H1091" s="425">
        <v>21.9054</v>
      </c>
      <c r="I1091" s="425">
        <v>16.5263</v>
      </c>
      <c r="J1091" s="425">
        <v>19.9826</v>
      </c>
      <c r="K1091" s="182">
        <v>11167.3</v>
      </c>
      <c r="L1091" s="36"/>
      <c r="M1091" s="36"/>
      <c r="N1091" s="36"/>
      <c r="O1091" s="36"/>
      <c r="P1091" s="36"/>
      <c r="Q1091" s="36"/>
      <c r="R1091" s="36"/>
      <c r="S1091" s="36"/>
      <c r="T1091" s="36"/>
      <c r="U1091" s="36"/>
      <c r="V1091" s="36"/>
      <c r="W1091" s="36"/>
      <c r="X1091" s="36"/>
      <c r="Y1091" s="36"/>
      <c r="Z1091" s="36"/>
      <c r="AA1091" s="36"/>
      <c r="AB1091" s="36"/>
      <c r="AC1091" s="36"/>
    </row>
    <row r="1092" ht="15.75" customHeight="1">
      <c r="A1092" s="423">
        <v>43307.0</v>
      </c>
      <c r="B1092" s="424">
        <v>14.5262</v>
      </c>
      <c r="C1092" s="425">
        <v>16.8541</v>
      </c>
      <c r="D1092" s="425">
        <v>18.1899</v>
      </c>
      <c r="E1092" s="425">
        <v>13.5011</v>
      </c>
      <c r="F1092" s="425">
        <v>17.0908</v>
      </c>
      <c r="G1092" s="425">
        <v>13.2332</v>
      </c>
      <c r="H1092" s="425">
        <v>21.8704</v>
      </c>
      <c r="I1092" s="425">
        <v>16.5207</v>
      </c>
      <c r="J1092" s="425">
        <v>19.9826</v>
      </c>
      <c r="K1092" s="182">
        <v>11167.3</v>
      </c>
      <c r="L1092" s="36"/>
      <c r="M1092" s="36"/>
      <c r="N1092" s="36"/>
      <c r="O1092" s="36"/>
      <c r="P1092" s="36"/>
      <c r="Q1092" s="36"/>
      <c r="R1092" s="36"/>
      <c r="S1092" s="36"/>
      <c r="T1092" s="36"/>
      <c r="U1092" s="36"/>
      <c r="V1092" s="36"/>
      <c r="W1092" s="36"/>
      <c r="X1092" s="36"/>
      <c r="Y1092" s="36"/>
      <c r="Z1092" s="36"/>
      <c r="AA1092" s="36"/>
      <c r="AB1092" s="36"/>
      <c r="AC1092" s="36"/>
    </row>
    <row r="1093" ht="15.75" customHeight="1">
      <c r="A1093" s="423">
        <v>43308.0</v>
      </c>
      <c r="B1093" s="424">
        <v>14.6427</v>
      </c>
      <c r="C1093" s="425">
        <v>16.8757</v>
      </c>
      <c r="D1093" s="425">
        <v>18.681</v>
      </c>
      <c r="E1093" s="425">
        <v>13.4966</v>
      </c>
      <c r="F1093" s="425">
        <v>17.2235</v>
      </c>
      <c r="G1093" s="425">
        <v>13.2351</v>
      </c>
      <c r="H1093" s="425">
        <v>21.8408</v>
      </c>
      <c r="I1093" s="425">
        <v>16.2238</v>
      </c>
      <c r="J1093" s="425">
        <v>20.2565</v>
      </c>
      <c r="K1093" s="182">
        <v>11278.35</v>
      </c>
      <c r="L1093" s="36"/>
      <c r="M1093" s="36"/>
      <c r="N1093" s="36"/>
      <c r="O1093" s="36"/>
      <c r="P1093" s="36"/>
      <c r="Q1093" s="36"/>
      <c r="R1093" s="36"/>
      <c r="S1093" s="36"/>
      <c r="T1093" s="36"/>
      <c r="U1093" s="36"/>
      <c r="V1093" s="36"/>
      <c r="W1093" s="36"/>
      <c r="X1093" s="36"/>
      <c r="Y1093" s="36"/>
      <c r="Z1093" s="36"/>
      <c r="AA1093" s="36"/>
      <c r="AB1093" s="36"/>
      <c r="AC1093" s="36"/>
    </row>
    <row r="1094" ht="15.75" customHeight="1">
      <c r="A1094" s="423">
        <v>43308.0</v>
      </c>
      <c r="B1094" s="424">
        <v>14.6427</v>
      </c>
      <c r="C1094" s="425">
        <v>16.8757</v>
      </c>
      <c r="D1094" s="425">
        <v>18.5701</v>
      </c>
      <c r="E1094" s="425">
        <v>13.4966</v>
      </c>
      <c r="F1094" s="425">
        <v>17.2235</v>
      </c>
      <c r="G1094" s="425">
        <v>13.2351</v>
      </c>
      <c r="H1094" s="425">
        <v>21.8125</v>
      </c>
      <c r="I1094" s="425">
        <v>16.3694</v>
      </c>
      <c r="J1094" s="425">
        <v>20.2565</v>
      </c>
      <c r="K1094" s="182">
        <v>11278.35</v>
      </c>
      <c r="L1094" s="36"/>
      <c r="M1094" s="36"/>
      <c r="N1094" s="36"/>
      <c r="O1094" s="36"/>
      <c r="P1094" s="36"/>
      <c r="Q1094" s="36"/>
      <c r="R1094" s="36"/>
      <c r="S1094" s="36"/>
      <c r="T1094" s="36"/>
      <c r="U1094" s="36"/>
      <c r="V1094" s="36"/>
      <c r="W1094" s="36"/>
      <c r="X1094" s="36"/>
      <c r="Y1094" s="36"/>
      <c r="Z1094" s="36"/>
      <c r="AA1094" s="36"/>
      <c r="AB1094" s="36"/>
      <c r="AC1094" s="36"/>
    </row>
    <row r="1095" ht="15.75" customHeight="1">
      <c r="A1095" s="423">
        <v>43308.0</v>
      </c>
      <c r="B1095" s="424">
        <v>14.6427</v>
      </c>
      <c r="C1095" s="425">
        <v>16.8676</v>
      </c>
      <c r="D1095" s="425">
        <v>18.5057</v>
      </c>
      <c r="E1095" s="425">
        <v>13.4966</v>
      </c>
      <c r="F1095" s="425">
        <v>17.2235</v>
      </c>
      <c r="G1095" s="425">
        <v>13.2351</v>
      </c>
      <c r="H1095" s="425">
        <v>21.6509</v>
      </c>
      <c r="I1095" s="425">
        <v>16.3113</v>
      </c>
      <c r="J1095" s="425">
        <v>20.1757</v>
      </c>
      <c r="K1095" s="182">
        <v>11278.35</v>
      </c>
      <c r="L1095" s="36"/>
      <c r="M1095" s="36"/>
      <c r="N1095" s="36"/>
      <c r="O1095" s="36"/>
      <c r="P1095" s="36"/>
      <c r="Q1095" s="36"/>
      <c r="R1095" s="36"/>
      <c r="S1095" s="36"/>
      <c r="T1095" s="36"/>
      <c r="U1095" s="36"/>
      <c r="V1095" s="36"/>
      <c r="W1095" s="36"/>
      <c r="X1095" s="36"/>
      <c r="Y1095" s="36"/>
      <c r="Z1095" s="36"/>
      <c r="AA1095" s="36"/>
      <c r="AB1095" s="36"/>
      <c r="AC1095" s="36"/>
    </row>
    <row r="1096" ht="15.75" customHeight="1">
      <c r="A1096" s="423">
        <v>43308.0</v>
      </c>
      <c r="B1096" s="424">
        <v>14.6427</v>
      </c>
      <c r="C1096" s="425">
        <v>16.8676</v>
      </c>
      <c r="D1096" s="425">
        <v>18.4572</v>
      </c>
      <c r="E1096" s="425">
        <v>13.4966</v>
      </c>
      <c r="F1096" s="425">
        <v>17.2235</v>
      </c>
      <c r="G1096" s="425">
        <v>13.2351</v>
      </c>
      <c r="H1096" s="425">
        <v>21.3569</v>
      </c>
      <c r="I1096" s="425">
        <v>16.1645</v>
      </c>
      <c r="J1096" s="425">
        <v>20.1757</v>
      </c>
      <c r="K1096" s="182">
        <v>11278.35</v>
      </c>
      <c r="L1096" s="36"/>
      <c r="M1096" s="36"/>
      <c r="N1096" s="36"/>
      <c r="O1096" s="36"/>
      <c r="P1096" s="36"/>
      <c r="Q1096" s="36"/>
      <c r="R1096" s="36"/>
      <c r="S1096" s="36"/>
      <c r="T1096" s="36"/>
      <c r="U1096" s="36"/>
      <c r="V1096" s="36"/>
      <c r="W1096" s="36"/>
      <c r="X1096" s="36"/>
      <c r="Y1096" s="36"/>
      <c r="Z1096" s="36"/>
      <c r="AA1096" s="36"/>
      <c r="AB1096" s="36"/>
      <c r="AC1096" s="36"/>
    </row>
    <row r="1097" ht="15.75" customHeight="1">
      <c r="A1097" s="423">
        <v>43311.0</v>
      </c>
      <c r="B1097" s="424">
        <v>14.6812</v>
      </c>
      <c r="C1097" s="425">
        <v>16.8634</v>
      </c>
      <c r="D1097" s="425">
        <v>18.5694</v>
      </c>
      <c r="E1097" s="425">
        <v>13.4978</v>
      </c>
      <c r="F1097" s="425">
        <v>17.2594</v>
      </c>
      <c r="G1097" s="425">
        <v>13.2385</v>
      </c>
      <c r="H1097" s="425">
        <v>22.5784</v>
      </c>
      <c r="I1097" s="425">
        <v>16.7116</v>
      </c>
      <c r="J1097" s="425">
        <v>20.2221</v>
      </c>
      <c r="K1097" s="182">
        <v>11319.55</v>
      </c>
      <c r="L1097" s="36"/>
      <c r="M1097" s="36"/>
      <c r="N1097" s="36"/>
      <c r="O1097" s="36"/>
      <c r="P1097" s="36"/>
      <c r="Q1097" s="36"/>
      <c r="R1097" s="36"/>
      <c r="S1097" s="36"/>
      <c r="T1097" s="36"/>
      <c r="U1097" s="36"/>
      <c r="V1097" s="36"/>
      <c r="W1097" s="36"/>
      <c r="X1097" s="36"/>
      <c r="Y1097" s="36"/>
      <c r="Z1097" s="36"/>
      <c r="AA1097" s="36"/>
      <c r="AB1097" s="36"/>
      <c r="AC1097" s="36"/>
    </row>
    <row r="1098" ht="15.75" customHeight="1">
      <c r="A1098" s="423">
        <v>43311.0</v>
      </c>
      <c r="B1098" s="424">
        <v>14.6812</v>
      </c>
      <c r="C1098" s="425">
        <v>16.8634</v>
      </c>
      <c r="D1098" s="425">
        <v>18.5184</v>
      </c>
      <c r="E1098" s="425">
        <v>13.4978</v>
      </c>
      <c r="F1098" s="425">
        <v>17.2594</v>
      </c>
      <c r="G1098" s="425">
        <v>13.2385</v>
      </c>
      <c r="H1098" s="425">
        <v>22.3647</v>
      </c>
      <c r="I1098" s="425">
        <v>16.5535</v>
      </c>
      <c r="J1098" s="425">
        <v>20.2221</v>
      </c>
      <c r="K1098" s="182">
        <v>11319.55</v>
      </c>
      <c r="L1098" s="36"/>
      <c r="M1098" s="36"/>
      <c r="N1098" s="36"/>
      <c r="O1098" s="36"/>
      <c r="P1098" s="36"/>
      <c r="Q1098" s="36"/>
      <c r="R1098" s="36"/>
      <c r="S1098" s="36"/>
      <c r="T1098" s="36"/>
      <c r="U1098" s="36"/>
      <c r="V1098" s="36"/>
      <c r="W1098" s="36"/>
      <c r="X1098" s="36"/>
      <c r="Y1098" s="36"/>
      <c r="Z1098" s="36"/>
      <c r="AA1098" s="36"/>
      <c r="AB1098" s="36"/>
      <c r="AC1098" s="36"/>
    </row>
    <row r="1099" ht="15.75" customHeight="1">
      <c r="A1099" s="423">
        <v>43311.0</v>
      </c>
      <c r="B1099" s="424">
        <v>14.6812</v>
      </c>
      <c r="C1099" s="425">
        <v>16.8767</v>
      </c>
      <c r="D1099" s="425">
        <v>18.5631</v>
      </c>
      <c r="E1099" s="425">
        <v>13.4978</v>
      </c>
      <c r="F1099" s="425">
        <v>17.2594</v>
      </c>
      <c r="G1099" s="425">
        <v>13.2385</v>
      </c>
      <c r="H1099" s="425">
        <v>22.2367</v>
      </c>
      <c r="I1099" s="425">
        <v>16.5217</v>
      </c>
      <c r="J1099" s="425">
        <v>20.2652</v>
      </c>
      <c r="K1099" s="182">
        <v>11319.55</v>
      </c>
      <c r="L1099" s="36"/>
      <c r="M1099" s="36"/>
      <c r="N1099" s="36"/>
      <c r="O1099" s="36"/>
      <c r="P1099" s="36"/>
      <c r="Q1099" s="36"/>
      <c r="R1099" s="36"/>
      <c r="S1099" s="36"/>
      <c r="T1099" s="36"/>
      <c r="U1099" s="36"/>
      <c r="V1099" s="36"/>
      <c r="W1099" s="36"/>
      <c r="X1099" s="36"/>
      <c r="Y1099" s="36"/>
      <c r="Z1099" s="36"/>
      <c r="AA1099" s="36"/>
      <c r="AB1099" s="36"/>
      <c r="AC1099" s="36"/>
    </row>
    <row r="1100" ht="15.75" customHeight="1">
      <c r="A1100" s="423">
        <v>43311.0</v>
      </c>
      <c r="B1100" s="424">
        <v>14.6812</v>
      </c>
      <c r="C1100" s="425">
        <v>16.8767</v>
      </c>
      <c r="D1100" s="425">
        <v>18.6414</v>
      </c>
      <c r="E1100" s="425">
        <v>13.4978</v>
      </c>
      <c r="F1100" s="425">
        <v>17.2594</v>
      </c>
      <c r="G1100" s="425">
        <v>13.2385</v>
      </c>
      <c r="H1100" s="425">
        <v>22.1078</v>
      </c>
      <c r="I1100" s="425">
        <v>16.4861</v>
      </c>
      <c r="J1100" s="425">
        <v>20.2652</v>
      </c>
      <c r="K1100" s="182">
        <v>11319.55</v>
      </c>
      <c r="L1100" s="36"/>
      <c r="M1100" s="36"/>
      <c r="N1100" s="36"/>
      <c r="O1100" s="36"/>
      <c r="P1100" s="36"/>
      <c r="Q1100" s="36"/>
      <c r="R1100" s="36"/>
      <c r="S1100" s="36"/>
      <c r="T1100" s="36"/>
      <c r="U1100" s="36"/>
      <c r="V1100" s="36"/>
      <c r="W1100" s="36"/>
      <c r="X1100" s="36"/>
      <c r="Y1100" s="36"/>
      <c r="Z1100" s="36"/>
      <c r="AA1100" s="36"/>
      <c r="AB1100" s="36"/>
      <c r="AC1100" s="36"/>
    </row>
    <row r="1101" ht="15.75" customHeight="1">
      <c r="A1101" s="423">
        <v>43312.0</v>
      </c>
      <c r="B1101" s="424">
        <v>14.7556</v>
      </c>
      <c r="C1101" s="425">
        <v>16.8618</v>
      </c>
      <c r="D1101" s="425">
        <v>18.6294</v>
      </c>
      <c r="E1101" s="425">
        <v>13.5088</v>
      </c>
      <c r="F1101" s="425">
        <v>17.3383</v>
      </c>
      <c r="G1101" s="425">
        <v>13.2422</v>
      </c>
      <c r="H1101" s="425">
        <v>22.1954</v>
      </c>
      <c r="I1101" s="425">
        <v>16.5502</v>
      </c>
      <c r="J1101" s="425">
        <v>20.2642</v>
      </c>
      <c r="K1101" s="182">
        <v>11356.5</v>
      </c>
      <c r="L1101" s="36"/>
      <c r="M1101" s="36"/>
      <c r="N1101" s="36"/>
      <c r="O1101" s="36"/>
      <c r="P1101" s="36"/>
      <c r="Q1101" s="36"/>
      <c r="R1101" s="36"/>
      <c r="S1101" s="36"/>
      <c r="T1101" s="36"/>
      <c r="U1101" s="36"/>
      <c r="V1101" s="36"/>
      <c r="W1101" s="36"/>
      <c r="X1101" s="36"/>
      <c r="Y1101" s="36"/>
      <c r="Z1101" s="36"/>
      <c r="AA1101" s="36"/>
      <c r="AB1101" s="36"/>
      <c r="AC1101" s="36"/>
    </row>
    <row r="1102" ht="15.75" customHeight="1">
      <c r="A1102" s="423">
        <v>43312.0</v>
      </c>
      <c r="B1102" s="424">
        <v>14.7556</v>
      </c>
      <c r="C1102" s="425">
        <v>16.8618</v>
      </c>
      <c r="D1102" s="425">
        <v>18.6139</v>
      </c>
      <c r="E1102" s="425">
        <v>13.5088</v>
      </c>
      <c r="F1102" s="425">
        <v>17.3383</v>
      </c>
      <c r="G1102" s="425">
        <v>13.2422</v>
      </c>
      <c r="H1102" s="425">
        <v>22.1179</v>
      </c>
      <c r="I1102" s="425">
        <v>16.5264</v>
      </c>
      <c r="J1102" s="425">
        <v>20.2642</v>
      </c>
      <c r="K1102" s="182">
        <v>11356.5</v>
      </c>
      <c r="L1102" s="36"/>
      <c r="M1102" s="36"/>
      <c r="N1102" s="36"/>
      <c r="O1102" s="36"/>
      <c r="P1102" s="36"/>
      <c r="Q1102" s="36"/>
      <c r="R1102" s="36"/>
      <c r="S1102" s="36"/>
      <c r="T1102" s="36"/>
      <c r="U1102" s="36"/>
      <c r="V1102" s="36"/>
      <c r="W1102" s="36"/>
      <c r="X1102" s="36"/>
      <c r="Y1102" s="36"/>
      <c r="Z1102" s="36"/>
      <c r="AA1102" s="36"/>
      <c r="AB1102" s="36"/>
      <c r="AC1102" s="36"/>
    </row>
    <row r="1103" ht="15.75" customHeight="1">
      <c r="A1103" s="423">
        <v>43312.0</v>
      </c>
      <c r="B1103" s="424">
        <v>14.7556</v>
      </c>
      <c r="C1103" s="425">
        <v>16.8585</v>
      </c>
      <c r="D1103" s="425">
        <v>18.5909</v>
      </c>
      <c r="E1103" s="425">
        <v>13.5088</v>
      </c>
      <c r="F1103" s="425">
        <v>17.3383</v>
      </c>
      <c r="G1103" s="425">
        <v>13.2422</v>
      </c>
      <c r="H1103" s="425">
        <v>22.0636</v>
      </c>
      <c r="I1103" s="425">
        <v>16.4235</v>
      </c>
      <c r="J1103" s="425">
        <v>20.2413</v>
      </c>
      <c r="K1103" s="182">
        <v>11356.5</v>
      </c>
      <c r="L1103" s="36"/>
      <c r="M1103" s="36"/>
      <c r="N1103" s="36"/>
      <c r="O1103" s="36"/>
      <c r="P1103" s="36"/>
      <c r="Q1103" s="36"/>
      <c r="R1103" s="36"/>
      <c r="S1103" s="36"/>
      <c r="T1103" s="36"/>
      <c r="U1103" s="36"/>
      <c r="V1103" s="36"/>
      <c r="W1103" s="36"/>
      <c r="X1103" s="36"/>
      <c r="Y1103" s="36"/>
      <c r="Z1103" s="36"/>
      <c r="AA1103" s="36"/>
      <c r="AB1103" s="36"/>
      <c r="AC1103" s="36"/>
    </row>
    <row r="1104" ht="15.75" customHeight="1">
      <c r="A1104" s="423">
        <v>43312.0</v>
      </c>
      <c r="B1104" s="424">
        <v>14.7556</v>
      </c>
      <c r="C1104" s="425">
        <v>16.8585</v>
      </c>
      <c r="D1104" s="425">
        <v>18.6107</v>
      </c>
      <c r="E1104" s="425">
        <v>13.5088</v>
      </c>
      <c r="F1104" s="425">
        <v>17.3383</v>
      </c>
      <c r="G1104" s="425">
        <v>13.2422</v>
      </c>
      <c r="H1104" s="425">
        <v>22.3583</v>
      </c>
      <c r="I1104" s="425">
        <v>16.6174</v>
      </c>
      <c r="J1104" s="425">
        <v>20.2413</v>
      </c>
      <c r="K1104" s="182">
        <v>11356.5</v>
      </c>
      <c r="L1104" s="36"/>
      <c r="M1104" s="36"/>
      <c r="N1104" s="36"/>
      <c r="O1104" s="36"/>
      <c r="P1104" s="36"/>
      <c r="Q1104" s="36"/>
      <c r="R1104" s="36"/>
      <c r="S1104" s="36"/>
      <c r="T1104" s="36"/>
      <c r="U1104" s="36"/>
      <c r="V1104" s="36"/>
      <c r="W1104" s="36"/>
      <c r="X1104" s="36"/>
      <c r="Y1104" s="36"/>
      <c r="Z1104" s="36"/>
      <c r="AA1104" s="36"/>
      <c r="AB1104" s="36"/>
      <c r="AC1104" s="36"/>
    </row>
    <row r="1105" ht="15.75" customHeight="1">
      <c r="A1105" s="423">
        <v>43313.0</v>
      </c>
      <c r="B1105" s="424">
        <v>14.7506</v>
      </c>
      <c r="C1105" s="425">
        <v>16.8594</v>
      </c>
      <c r="D1105" s="425">
        <v>18.338</v>
      </c>
      <c r="E1105" s="425">
        <v>13.5538</v>
      </c>
      <c r="F1105" s="425">
        <v>17.3352</v>
      </c>
      <c r="G1105" s="425">
        <v>13.2506</v>
      </c>
      <c r="H1105" s="425">
        <v>22.2967</v>
      </c>
      <c r="I1105" s="425">
        <v>16.5893</v>
      </c>
      <c r="J1105" s="425">
        <v>20.1827</v>
      </c>
      <c r="K1105" s="182">
        <v>11346.2</v>
      </c>
      <c r="L1105" s="36"/>
      <c r="M1105" s="36"/>
      <c r="N1105" s="36"/>
      <c r="O1105" s="36"/>
      <c r="P1105" s="36"/>
      <c r="Q1105" s="36"/>
      <c r="R1105" s="36"/>
      <c r="S1105" s="36"/>
      <c r="T1105" s="36"/>
      <c r="U1105" s="36"/>
      <c r="V1105" s="36"/>
      <c r="W1105" s="36"/>
      <c r="X1105" s="36"/>
      <c r="Y1105" s="36"/>
      <c r="Z1105" s="36"/>
      <c r="AA1105" s="36"/>
      <c r="AB1105" s="36"/>
      <c r="AC1105" s="36"/>
    </row>
    <row r="1106" ht="15.75" customHeight="1">
      <c r="A1106" s="423">
        <v>43313.0</v>
      </c>
      <c r="B1106" s="424">
        <v>14.7506</v>
      </c>
      <c r="C1106" s="425">
        <v>16.8594</v>
      </c>
      <c r="D1106" s="425">
        <v>18.3301</v>
      </c>
      <c r="E1106" s="425">
        <v>13.5538</v>
      </c>
      <c r="F1106" s="425">
        <v>17.3352</v>
      </c>
      <c r="G1106" s="425">
        <v>13.2506</v>
      </c>
      <c r="H1106" s="425">
        <v>22.4978</v>
      </c>
      <c r="I1106" s="425">
        <v>16.7861</v>
      </c>
      <c r="J1106" s="425">
        <v>20.1827</v>
      </c>
      <c r="K1106" s="182">
        <v>11346.2</v>
      </c>
      <c r="L1106" s="36"/>
      <c r="M1106" s="36"/>
      <c r="N1106" s="36"/>
      <c r="O1106" s="36"/>
      <c r="P1106" s="36"/>
      <c r="Q1106" s="36"/>
      <c r="R1106" s="36"/>
      <c r="S1106" s="36"/>
      <c r="T1106" s="36"/>
      <c r="U1106" s="36"/>
      <c r="V1106" s="36"/>
      <c r="W1106" s="36"/>
      <c r="X1106" s="36"/>
      <c r="Y1106" s="36"/>
      <c r="Z1106" s="36"/>
      <c r="AA1106" s="36"/>
      <c r="AB1106" s="36"/>
      <c r="AC1106" s="36"/>
    </row>
    <row r="1107" ht="15.75" customHeight="1">
      <c r="A1107" s="423">
        <v>43313.0</v>
      </c>
      <c r="B1107" s="424">
        <v>14.7506</v>
      </c>
      <c r="C1107" s="425">
        <v>16.8698</v>
      </c>
      <c r="D1107" s="425">
        <v>18.3409</v>
      </c>
      <c r="E1107" s="425">
        <v>13.5538</v>
      </c>
      <c r="F1107" s="425">
        <v>17.3352</v>
      </c>
      <c r="G1107" s="425">
        <v>13.2506</v>
      </c>
      <c r="H1107" s="425">
        <v>22.4609</v>
      </c>
      <c r="I1107" s="425">
        <v>16.7542</v>
      </c>
      <c r="J1107" s="425">
        <v>20.286</v>
      </c>
      <c r="K1107" s="182">
        <v>11346.2</v>
      </c>
      <c r="L1107" s="36"/>
      <c r="M1107" s="36"/>
      <c r="N1107" s="36"/>
      <c r="O1107" s="36"/>
      <c r="P1107" s="36"/>
      <c r="Q1107" s="36"/>
      <c r="R1107" s="36"/>
      <c r="S1107" s="36"/>
      <c r="T1107" s="36"/>
      <c r="U1107" s="36"/>
      <c r="V1107" s="36"/>
      <c r="W1107" s="36"/>
      <c r="X1107" s="36"/>
      <c r="Y1107" s="36"/>
      <c r="Z1107" s="36"/>
      <c r="AA1107" s="36"/>
      <c r="AB1107" s="36"/>
      <c r="AC1107" s="36"/>
    </row>
    <row r="1108" ht="15.75" customHeight="1">
      <c r="A1108" s="423">
        <v>43313.0</v>
      </c>
      <c r="B1108" s="424">
        <v>14.7506</v>
      </c>
      <c r="C1108" s="425">
        <v>16.8698</v>
      </c>
      <c r="D1108" s="425">
        <v>18.3932</v>
      </c>
      <c r="E1108" s="425">
        <v>13.5538</v>
      </c>
      <c r="F1108" s="425">
        <v>17.3352</v>
      </c>
      <c r="G1108" s="425">
        <v>13.2506</v>
      </c>
      <c r="H1108" s="425">
        <v>22.1877</v>
      </c>
      <c r="I1108" s="425">
        <v>16.4752</v>
      </c>
      <c r="J1108" s="425">
        <v>20.286</v>
      </c>
      <c r="K1108" s="182">
        <v>11346.2</v>
      </c>
      <c r="L1108" s="36"/>
      <c r="M1108" s="36"/>
      <c r="N1108" s="36"/>
      <c r="O1108" s="36"/>
      <c r="P1108" s="36"/>
      <c r="Q1108" s="36"/>
      <c r="R1108" s="36"/>
      <c r="S1108" s="36"/>
      <c r="T1108" s="36"/>
      <c r="U1108" s="36"/>
      <c r="V1108" s="36"/>
      <c r="W1108" s="36"/>
      <c r="X1108" s="36"/>
      <c r="Y1108" s="36"/>
      <c r="Z1108" s="36"/>
      <c r="AA1108" s="36"/>
      <c r="AB1108" s="36"/>
      <c r="AC1108" s="36"/>
    </row>
    <row r="1109" ht="15.75" customHeight="1">
      <c r="A1109" s="423">
        <v>43314.0</v>
      </c>
      <c r="B1109" s="424">
        <v>14.6407</v>
      </c>
      <c r="C1109" s="425">
        <v>16.8719</v>
      </c>
      <c r="D1109" s="425">
        <v>18.223</v>
      </c>
      <c r="E1109" s="425">
        <v>13.5515</v>
      </c>
      <c r="F1109" s="425">
        <v>17.2093</v>
      </c>
      <c r="G1109" s="425">
        <v>13.2514</v>
      </c>
      <c r="H1109" s="425">
        <v>22.0818</v>
      </c>
      <c r="I1109" s="425">
        <v>16.4821</v>
      </c>
      <c r="J1109" s="425">
        <v>20.2683</v>
      </c>
      <c r="K1109" s="182">
        <v>11244.7</v>
      </c>
      <c r="L1109" s="36"/>
      <c r="M1109" s="36"/>
      <c r="N1109" s="36"/>
      <c r="O1109" s="36"/>
      <c r="P1109" s="36"/>
      <c r="Q1109" s="36"/>
      <c r="R1109" s="36"/>
      <c r="S1109" s="36"/>
      <c r="T1109" s="36"/>
      <c r="U1109" s="36"/>
      <c r="V1109" s="36"/>
      <c r="W1109" s="36"/>
      <c r="X1109" s="36"/>
      <c r="Y1109" s="36"/>
      <c r="Z1109" s="36"/>
      <c r="AA1109" s="36"/>
      <c r="AB1109" s="36"/>
      <c r="AC1109" s="36"/>
    </row>
    <row r="1110" ht="15.75" customHeight="1">
      <c r="A1110" s="423">
        <v>43314.0</v>
      </c>
      <c r="B1110" s="424">
        <v>14.6407</v>
      </c>
      <c r="C1110" s="425">
        <v>16.8719</v>
      </c>
      <c r="D1110" s="425">
        <v>18.2451</v>
      </c>
      <c r="E1110" s="425">
        <v>13.5515</v>
      </c>
      <c r="F1110" s="425">
        <v>17.2093</v>
      </c>
      <c r="G1110" s="425">
        <v>13.2514</v>
      </c>
      <c r="H1110" s="425">
        <v>22.1511</v>
      </c>
      <c r="I1110" s="425">
        <v>16.5203</v>
      </c>
      <c r="J1110" s="425">
        <v>20.2683</v>
      </c>
      <c r="K1110" s="182">
        <v>11244.7</v>
      </c>
      <c r="L1110" s="36"/>
      <c r="M1110" s="36"/>
      <c r="N1110" s="36"/>
      <c r="O1110" s="36"/>
      <c r="P1110" s="36"/>
      <c r="Q1110" s="36"/>
      <c r="R1110" s="36"/>
      <c r="S1110" s="36"/>
      <c r="T1110" s="36"/>
      <c r="U1110" s="36"/>
      <c r="V1110" s="36"/>
      <c r="W1110" s="36"/>
      <c r="X1110" s="36"/>
      <c r="Y1110" s="36"/>
      <c r="Z1110" s="36"/>
      <c r="AA1110" s="36"/>
      <c r="AB1110" s="36"/>
      <c r="AC1110" s="36"/>
    </row>
    <row r="1111" ht="15.75" customHeight="1">
      <c r="A1111" s="423">
        <v>43314.0</v>
      </c>
      <c r="B1111" s="424">
        <v>14.6407</v>
      </c>
      <c r="C1111" s="425">
        <v>16.8739</v>
      </c>
      <c r="D1111" s="425">
        <v>18.3466</v>
      </c>
      <c r="E1111" s="425">
        <v>13.5515</v>
      </c>
      <c r="F1111" s="425">
        <v>17.2093</v>
      </c>
      <c r="G1111" s="425">
        <v>13.2514</v>
      </c>
      <c r="H1111" s="425">
        <v>22.1005</v>
      </c>
      <c r="I1111" s="425">
        <v>16.5745</v>
      </c>
      <c r="J1111" s="425">
        <v>20.3026</v>
      </c>
      <c r="K1111" s="182">
        <v>11244.7</v>
      </c>
      <c r="L1111" s="36"/>
      <c r="M1111" s="36"/>
      <c r="N1111" s="36"/>
      <c r="O1111" s="36"/>
      <c r="P1111" s="36"/>
      <c r="Q1111" s="36"/>
      <c r="R1111" s="36"/>
      <c r="S1111" s="36"/>
      <c r="T1111" s="36"/>
      <c r="U1111" s="36"/>
      <c r="V1111" s="36"/>
      <c r="W1111" s="36"/>
      <c r="X1111" s="36"/>
      <c r="Y1111" s="36"/>
      <c r="Z1111" s="36"/>
      <c r="AA1111" s="36"/>
      <c r="AB1111" s="36"/>
      <c r="AC1111" s="36"/>
    </row>
    <row r="1112" ht="15.75" customHeight="1">
      <c r="A1112" s="423">
        <v>43314.0</v>
      </c>
      <c r="B1112" s="424">
        <v>14.6407</v>
      </c>
      <c r="C1112" s="425">
        <v>16.8739</v>
      </c>
      <c r="D1112" s="425">
        <v>18.3405</v>
      </c>
      <c r="E1112" s="425">
        <v>13.5515</v>
      </c>
      <c r="F1112" s="425">
        <v>17.2093</v>
      </c>
      <c r="G1112" s="425">
        <v>13.2514</v>
      </c>
      <c r="H1112" s="425">
        <v>22.1872</v>
      </c>
      <c r="I1112" s="425">
        <v>16.6528</v>
      </c>
      <c r="J1112" s="425">
        <v>20.3026</v>
      </c>
      <c r="K1112" s="182">
        <v>11244.7</v>
      </c>
      <c r="L1112" s="36"/>
      <c r="M1112" s="36"/>
      <c r="N1112" s="36"/>
      <c r="O1112" s="36"/>
      <c r="P1112" s="36"/>
      <c r="Q1112" s="36"/>
      <c r="R1112" s="36"/>
      <c r="S1112" s="36"/>
      <c r="T1112" s="36"/>
      <c r="U1112" s="36"/>
      <c r="V1112" s="36"/>
      <c r="W1112" s="36"/>
      <c r="X1112" s="36"/>
      <c r="Y1112" s="36"/>
      <c r="Z1112" s="36"/>
      <c r="AA1112" s="36"/>
      <c r="AB1112" s="36"/>
      <c r="AC1112" s="36"/>
    </row>
    <row r="1113" ht="15.75" customHeight="1">
      <c r="A1113" s="423">
        <v>43315.0</v>
      </c>
      <c r="B1113" s="424">
        <v>14.7446</v>
      </c>
      <c r="C1113" s="425">
        <v>16.8822</v>
      </c>
      <c r="D1113" s="425">
        <v>18.2371</v>
      </c>
      <c r="E1113" s="425">
        <v>13.5314</v>
      </c>
      <c r="F1113" s="425">
        <v>17.3399</v>
      </c>
      <c r="G1113" s="425">
        <v>13.2495</v>
      </c>
      <c r="H1113" s="425">
        <v>21.536</v>
      </c>
      <c r="I1113" s="425">
        <v>16.1882</v>
      </c>
      <c r="J1113" s="425">
        <v>20.4521</v>
      </c>
      <c r="K1113" s="182">
        <v>11360.8</v>
      </c>
      <c r="L1113" s="36"/>
      <c r="M1113" s="36"/>
      <c r="N1113" s="36"/>
      <c r="O1113" s="36"/>
      <c r="P1113" s="36"/>
      <c r="Q1113" s="36"/>
      <c r="R1113" s="36"/>
      <c r="S1113" s="36"/>
      <c r="T1113" s="36"/>
      <c r="U1113" s="36"/>
      <c r="V1113" s="36"/>
      <c r="W1113" s="36"/>
      <c r="X1113" s="36"/>
      <c r="Y1113" s="36"/>
      <c r="Z1113" s="36"/>
      <c r="AA1113" s="36"/>
      <c r="AB1113" s="36"/>
      <c r="AC1113" s="36"/>
    </row>
    <row r="1114" ht="15.75" customHeight="1">
      <c r="A1114" s="423">
        <v>43315.0</v>
      </c>
      <c r="B1114" s="424">
        <v>14.7446</v>
      </c>
      <c r="C1114" s="425">
        <v>16.8822</v>
      </c>
      <c r="D1114" s="425">
        <v>18.271</v>
      </c>
      <c r="E1114" s="425">
        <v>13.5314</v>
      </c>
      <c r="F1114" s="425">
        <v>17.3399</v>
      </c>
      <c r="G1114" s="425">
        <v>13.2495</v>
      </c>
      <c r="H1114" s="425">
        <v>21.7704</v>
      </c>
      <c r="I1114" s="425">
        <v>16.3584</v>
      </c>
      <c r="J1114" s="425">
        <v>20.4521</v>
      </c>
      <c r="K1114" s="182">
        <v>11360.8</v>
      </c>
      <c r="L1114" s="36"/>
      <c r="M1114" s="36"/>
      <c r="N1114" s="36"/>
      <c r="O1114" s="36"/>
      <c r="P1114" s="36"/>
      <c r="Q1114" s="36"/>
      <c r="R1114" s="36"/>
      <c r="S1114" s="36"/>
      <c r="T1114" s="36"/>
      <c r="U1114" s="36"/>
      <c r="V1114" s="36"/>
      <c r="W1114" s="36"/>
      <c r="X1114" s="36"/>
      <c r="Y1114" s="36"/>
      <c r="Z1114" s="36"/>
      <c r="AA1114" s="36"/>
      <c r="AB1114" s="36"/>
      <c r="AC1114" s="36"/>
    </row>
    <row r="1115" ht="15.75" customHeight="1">
      <c r="A1115" s="423">
        <v>43315.0</v>
      </c>
      <c r="B1115" s="424">
        <v>14.7446</v>
      </c>
      <c r="C1115" s="425">
        <v>16.8741</v>
      </c>
      <c r="D1115" s="425">
        <v>18.2536</v>
      </c>
      <c r="E1115" s="425">
        <v>13.5314</v>
      </c>
      <c r="F1115" s="425">
        <v>17.3399</v>
      </c>
      <c r="G1115" s="425">
        <v>13.2495</v>
      </c>
      <c r="H1115" s="425">
        <v>21.7812</v>
      </c>
      <c r="I1115" s="425">
        <v>16.3852</v>
      </c>
      <c r="J1115" s="425">
        <v>20.3669</v>
      </c>
      <c r="K1115" s="182">
        <v>11360.8</v>
      </c>
      <c r="L1115" s="36"/>
      <c r="M1115" s="36"/>
      <c r="N1115" s="36"/>
      <c r="O1115" s="36"/>
      <c r="P1115" s="36"/>
      <c r="Q1115" s="36"/>
      <c r="R1115" s="36"/>
      <c r="S1115" s="36"/>
      <c r="T1115" s="36"/>
      <c r="U1115" s="36"/>
      <c r="V1115" s="36"/>
      <c r="W1115" s="36"/>
      <c r="X1115" s="36"/>
      <c r="Y1115" s="36"/>
      <c r="Z1115" s="36"/>
      <c r="AA1115" s="36"/>
      <c r="AB1115" s="36"/>
      <c r="AC1115" s="36"/>
    </row>
    <row r="1116" ht="15.75" customHeight="1">
      <c r="A1116" s="423">
        <v>43315.0</v>
      </c>
      <c r="B1116" s="424">
        <v>14.7446</v>
      </c>
      <c r="C1116" s="425">
        <v>16.8741</v>
      </c>
      <c r="D1116" s="425">
        <v>18.2211</v>
      </c>
      <c r="E1116" s="425">
        <v>13.5314</v>
      </c>
      <c r="F1116" s="425">
        <v>17.3399</v>
      </c>
      <c r="G1116" s="425">
        <v>13.2495</v>
      </c>
      <c r="H1116" s="425">
        <v>21.9947</v>
      </c>
      <c r="I1116" s="425">
        <v>16.4315</v>
      </c>
      <c r="J1116" s="425">
        <v>20.3669</v>
      </c>
      <c r="K1116" s="182">
        <v>11360.8</v>
      </c>
      <c r="L1116" s="36"/>
      <c r="M1116" s="36"/>
      <c r="N1116" s="36"/>
      <c r="O1116" s="36"/>
      <c r="P1116" s="36"/>
      <c r="Q1116" s="36"/>
      <c r="R1116" s="36"/>
      <c r="S1116" s="36"/>
      <c r="T1116" s="36"/>
      <c r="U1116" s="36"/>
      <c r="V1116" s="36"/>
      <c r="W1116" s="36"/>
      <c r="X1116" s="36"/>
      <c r="Y1116" s="36"/>
      <c r="Z1116" s="36"/>
      <c r="AA1116" s="36"/>
      <c r="AB1116" s="36"/>
      <c r="AC1116" s="36"/>
    </row>
    <row r="1117" ht="15.75" customHeight="1">
      <c r="A1117" s="423">
        <v>43318.0</v>
      </c>
      <c r="B1117" s="424">
        <v>14.7686</v>
      </c>
      <c r="C1117" s="425">
        <v>16.8907</v>
      </c>
      <c r="D1117" s="425">
        <v>18.0977</v>
      </c>
      <c r="E1117" s="425">
        <v>13.5328</v>
      </c>
      <c r="F1117" s="425">
        <v>17.3786</v>
      </c>
      <c r="G1117" s="425">
        <v>13.2536</v>
      </c>
      <c r="H1117" s="425">
        <v>21.517</v>
      </c>
      <c r="I1117" s="425">
        <v>16.2689</v>
      </c>
      <c r="J1117" s="425">
        <v>20.5448</v>
      </c>
      <c r="K1117" s="182">
        <v>11387.1</v>
      </c>
      <c r="L1117" s="36"/>
      <c r="M1117" s="36"/>
      <c r="N1117" s="36"/>
      <c r="O1117" s="36"/>
      <c r="P1117" s="36"/>
      <c r="Q1117" s="36"/>
      <c r="R1117" s="36"/>
      <c r="S1117" s="36"/>
      <c r="T1117" s="36"/>
      <c r="U1117" s="36"/>
      <c r="V1117" s="36"/>
      <c r="W1117" s="36"/>
      <c r="X1117" s="36"/>
      <c r="Y1117" s="36"/>
      <c r="Z1117" s="36"/>
      <c r="AA1117" s="36"/>
      <c r="AB1117" s="36"/>
      <c r="AC1117" s="36"/>
    </row>
    <row r="1118" ht="15.75" customHeight="1">
      <c r="A1118" s="423">
        <v>43318.0</v>
      </c>
      <c r="B1118" s="424">
        <v>14.7686</v>
      </c>
      <c r="C1118" s="425">
        <v>16.8907</v>
      </c>
      <c r="D1118" s="425">
        <v>18.1299</v>
      </c>
      <c r="E1118" s="425">
        <v>13.5328</v>
      </c>
      <c r="F1118" s="425">
        <v>17.3786</v>
      </c>
      <c r="G1118" s="425">
        <v>13.2536</v>
      </c>
      <c r="H1118" s="425">
        <v>21.4284</v>
      </c>
      <c r="I1118" s="425">
        <v>16.2575</v>
      </c>
      <c r="J1118" s="425">
        <v>20.5448</v>
      </c>
      <c r="K1118" s="182">
        <v>11387.1</v>
      </c>
      <c r="L1118" s="36"/>
      <c r="M1118" s="36"/>
      <c r="N1118" s="36"/>
      <c r="O1118" s="36"/>
      <c r="P1118" s="36"/>
      <c r="Q1118" s="36"/>
      <c r="R1118" s="36"/>
      <c r="S1118" s="36"/>
      <c r="T1118" s="36"/>
      <c r="U1118" s="36"/>
      <c r="V1118" s="36"/>
      <c r="W1118" s="36"/>
      <c r="X1118" s="36"/>
      <c r="Y1118" s="36"/>
      <c r="Z1118" s="36"/>
      <c r="AA1118" s="36"/>
      <c r="AB1118" s="36"/>
      <c r="AC1118" s="36"/>
    </row>
    <row r="1119" ht="15.75" customHeight="1">
      <c r="A1119" s="423">
        <v>43318.0</v>
      </c>
      <c r="B1119" s="424">
        <v>14.7686</v>
      </c>
      <c r="C1119" s="425">
        <v>16.8899</v>
      </c>
      <c r="D1119" s="425">
        <v>18.1691</v>
      </c>
      <c r="E1119" s="425">
        <v>13.5328</v>
      </c>
      <c r="F1119" s="425">
        <v>17.3786</v>
      </c>
      <c r="G1119" s="425">
        <v>13.2536</v>
      </c>
      <c r="H1119" s="425">
        <v>21.1893</v>
      </c>
      <c r="I1119" s="425">
        <v>16.0196</v>
      </c>
      <c r="J1119" s="425">
        <v>20.5904</v>
      </c>
      <c r="K1119" s="182">
        <v>11387.1</v>
      </c>
      <c r="L1119" s="36"/>
      <c r="M1119" s="36"/>
      <c r="N1119" s="36"/>
      <c r="O1119" s="36"/>
      <c r="P1119" s="36"/>
      <c r="Q1119" s="36"/>
      <c r="R1119" s="36"/>
      <c r="S1119" s="36"/>
      <c r="T1119" s="36"/>
      <c r="U1119" s="36"/>
      <c r="V1119" s="36"/>
      <c r="W1119" s="36"/>
      <c r="X1119" s="36"/>
      <c r="Y1119" s="36"/>
      <c r="Z1119" s="36"/>
      <c r="AA1119" s="36"/>
      <c r="AB1119" s="36"/>
      <c r="AC1119" s="36"/>
    </row>
    <row r="1120" ht="15.75" customHeight="1">
      <c r="A1120" s="423">
        <v>43318.0</v>
      </c>
      <c r="B1120" s="424">
        <v>14.7686</v>
      </c>
      <c r="C1120" s="425">
        <v>16.8899</v>
      </c>
      <c r="D1120" s="425">
        <v>18.216</v>
      </c>
      <c r="E1120" s="425">
        <v>13.5328</v>
      </c>
      <c r="F1120" s="425">
        <v>17.3786</v>
      </c>
      <c r="G1120" s="425">
        <v>13.2536</v>
      </c>
      <c r="H1120" s="425">
        <v>21.5164</v>
      </c>
      <c r="I1120" s="425">
        <v>16.1866</v>
      </c>
      <c r="J1120" s="425">
        <v>20.5904</v>
      </c>
      <c r="K1120" s="182">
        <v>11387.1</v>
      </c>
      <c r="L1120" s="36"/>
      <c r="M1120" s="36"/>
      <c r="N1120" s="36"/>
      <c r="O1120" s="36"/>
      <c r="P1120" s="36"/>
      <c r="Q1120" s="36"/>
      <c r="R1120" s="36"/>
      <c r="S1120" s="36"/>
      <c r="T1120" s="36"/>
      <c r="U1120" s="36"/>
      <c r="V1120" s="36"/>
      <c r="W1120" s="36"/>
      <c r="X1120" s="36"/>
      <c r="Y1120" s="36"/>
      <c r="Z1120" s="36"/>
      <c r="AA1120" s="36"/>
      <c r="AB1120" s="36"/>
      <c r="AC1120" s="36"/>
    </row>
    <row r="1121" ht="15.75" customHeight="1">
      <c r="A1121" s="423">
        <v>43319.0</v>
      </c>
      <c r="B1121" s="424">
        <v>14.7735</v>
      </c>
      <c r="C1121" s="425">
        <v>16.8889</v>
      </c>
      <c r="D1121" s="425">
        <v>18.3999</v>
      </c>
      <c r="E1121" s="425">
        <v>13.525</v>
      </c>
      <c r="F1121" s="425">
        <v>17.3899</v>
      </c>
      <c r="G1121" s="425">
        <v>13.2532</v>
      </c>
      <c r="H1121" s="425">
        <v>22.0661</v>
      </c>
      <c r="I1121" s="425">
        <v>16.5873</v>
      </c>
      <c r="J1121" s="425">
        <v>20.5404</v>
      </c>
      <c r="K1121" s="182">
        <v>11389.45</v>
      </c>
      <c r="L1121" s="36"/>
      <c r="M1121" s="36"/>
      <c r="N1121" s="36"/>
      <c r="O1121" s="36"/>
      <c r="P1121" s="36"/>
      <c r="Q1121" s="36"/>
      <c r="R1121" s="36"/>
      <c r="S1121" s="36"/>
      <c r="T1121" s="36"/>
      <c r="U1121" s="36"/>
      <c r="V1121" s="36"/>
      <c r="W1121" s="36"/>
      <c r="X1121" s="36"/>
      <c r="Y1121" s="36"/>
      <c r="Z1121" s="36"/>
      <c r="AA1121" s="36"/>
      <c r="AB1121" s="36"/>
      <c r="AC1121" s="36"/>
    </row>
    <row r="1122" ht="15.75" customHeight="1">
      <c r="A1122" s="423">
        <v>43319.0</v>
      </c>
      <c r="B1122" s="424">
        <v>14.7735</v>
      </c>
      <c r="C1122" s="425">
        <v>16.8889</v>
      </c>
      <c r="D1122" s="425">
        <v>18.2464</v>
      </c>
      <c r="E1122" s="425">
        <v>13.525</v>
      </c>
      <c r="F1122" s="425">
        <v>17.3899</v>
      </c>
      <c r="G1122" s="425">
        <v>13.2532</v>
      </c>
      <c r="H1122" s="425">
        <v>21.9158</v>
      </c>
      <c r="I1122" s="425">
        <v>16.5574</v>
      </c>
      <c r="J1122" s="425">
        <v>20.5404</v>
      </c>
      <c r="K1122" s="182">
        <v>11389.45</v>
      </c>
      <c r="L1122" s="36"/>
      <c r="M1122" s="36"/>
      <c r="N1122" s="36"/>
      <c r="O1122" s="36"/>
      <c r="P1122" s="36"/>
      <c r="Q1122" s="36"/>
      <c r="R1122" s="36"/>
      <c r="S1122" s="36"/>
      <c r="T1122" s="36"/>
      <c r="U1122" s="36"/>
      <c r="V1122" s="36"/>
      <c r="W1122" s="36"/>
      <c r="X1122" s="36"/>
      <c r="Y1122" s="36"/>
      <c r="Z1122" s="36"/>
      <c r="AA1122" s="36"/>
      <c r="AB1122" s="36"/>
      <c r="AC1122" s="36"/>
    </row>
    <row r="1123" ht="15.75" customHeight="1">
      <c r="A1123" s="423">
        <v>43319.0</v>
      </c>
      <c r="B1123" s="424">
        <v>14.7735</v>
      </c>
      <c r="C1123" s="425">
        <v>16.8874</v>
      </c>
      <c r="D1123" s="425">
        <v>18.2436</v>
      </c>
      <c r="E1123" s="425">
        <v>13.525</v>
      </c>
      <c r="F1123" s="425">
        <v>17.3899</v>
      </c>
      <c r="G1123" s="425">
        <v>13.2532</v>
      </c>
      <c r="H1123" s="425">
        <v>21.9164</v>
      </c>
      <c r="I1123" s="425">
        <v>16.5579</v>
      </c>
      <c r="J1123" s="425">
        <v>20.5189</v>
      </c>
      <c r="K1123" s="182">
        <v>11389.45</v>
      </c>
      <c r="L1123" s="36"/>
      <c r="M1123" s="36"/>
      <c r="N1123" s="36"/>
      <c r="O1123" s="36"/>
      <c r="P1123" s="36"/>
      <c r="Q1123" s="36"/>
      <c r="R1123" s="36"/>
      <c r="S1123" s="36"/>
      <c r="T1123" s="36"/>
      <c r="U1123" s="36"/>
      <c r="V1123" s="36"/>
      <c r="W1123" s="36"/>
      <c r="X1123" s="36"/>
      <c r="Y1123" s="36"/>
      <c r="Z1123" s="36"/>
      <c r="AA1123" s="36"/>
      <c r="AB1123" s="36"/>
      <c r="AC1123" s="36"/>
    </row>
    <row r="1124" ht="15.75" customHeight="1">
      <c r="A1124" s="423">
        <v>43319.0</v>
      </c>
      <c r="B1124" s="424">
        <v>14.7735</v>
      </c>
      <c r="C1124" s="425">
        <v>16.8874</v>
      </c>
      <c r="D1124" s="425">
        <v>18.1788</v>
      </c>
      <c r="E1124" s="425">
        <v>13.525</v>
      </c>
      <c r="F1124" s="425">
        <v>17.3899</v>
      </c>
      <c r="G1124" s="425">
        <v>13.2532</v>
      </c>
      <c r="H1124" s="425">
        <v>21.7747</v>
      </c>
      <c r="I1124" s="425">
        <v>16.4038</v>
      </c>
      <c r="J1124" s="425">
        <v>20.5189</v>
      </c>
      <c r="K1124" s="182">
        <v>11389.45</v>
      </c>
      <c r="L1124" s="36"/>
      <c r="M1124" s="36"/>
      <c r="N1124" s="36"/>
      <c r="O1124" s="36"/>
      <c r="P1124" s="36"/>
      <c r="Q1124" s="36"/>
      <c r="R1124" s="36"/>
      <c r="S1124" s="36"/>
      <c r="T1124" s="36"/>
      <c r="U1124" s="36"/>
      <c r="V1124" s="36"/>
      <c r="W1124" s="36"/>
      <c r="X1124" s="36"/>
      <c r="Y1124" s="36"/>
      <c r="Z1124" s="36"/>
      <c r="AA1124" s="36"/>
      <c r="AB1124" s="36"/>
      <c r="AC1124" s="36"/>
    </row>
    <row r="1125" ht="15.75" customHeight="1">
      <c r="A1125" s="423">
        <v>43320.0</v>
      </c>
      <c r="B1125" s="424">
        <v>14.837</v>
      </c>
      <c r="C1125" s="425">
        <v>16.8896</v>
      </c>
      <c r="D1125" s="425">
        <v>18.4311</v>
      </c>
      <c r="E1125" s="425">
        <v>13.5307</v>
      </c>
      <c r="F1125" s="425">
        <v>17.4491</v>
      </c>
      <c r="G1125" s="425">
        <v>13.2581</v>
      </c>
      <c r="H1125" s="425">
        <v>22.4673</v>
      </c>
      <c r="I1125" s="425">
        <v>16.7272</v>
      </c>
      <c r="J1125" s="425">
        <v>20.418</v>
      </c>
      <c r="K1125" s="182">
        <v>11450.0</v>
      </c>
      <c r="L1125" s="36"/>
      <c r="M1125" s="36"/>
      <c r="N1125" s="36"/>
      <c r="O1125" s="36"/>
      <c r="P1125" s="36"/>
      <c r="Q1125" s="36"/>
      <c r="R1125" s="36"/>
      <c r="S1125" s="36"/>
      <c r="T1125" s="36"/>
      <c r="U1125" s="36"/>
      <c r="V1125" s="36"/>
      <c r="W1125" s="36"/>
      <c r="X1125" s="36"/>
      <c r="Y1125" s="36"/>
      <c r="Z1125" s="36"/>
      <c r="AA1125" s="36"/>
      <c r="AB1125" s="36"/>
      <c r="AC1125" s="36"/>
    </row>
    <row r="1126" ht="15.75" customHeight="1">
      <c r="A1126" s="423">
        <v>43320.0</v>
      </c>
      <c r="B1126" s="424">
        <v>14.837</v>
      </c>
      <c r="C1126" s="425">
        <v>16.8896</v>
      </c>
      <c r="D1126" s="425">
        <v>18.4387</v>
      </c>
      <c r="E1126" s="425">
        <v>13.5307</v>
      </c>
      <c r="F1126" s="425">
        <v>17.4491</v>
      </c>
      <c r="G1126" s="425">
        <v>13.2581</v>
      </c>
      <c r="H1126" s="425">
        <v>22.5075</v>
      </c>
      <c r="I1126" s="425">
        <v>16.7646</v>
      </c>
      <c r="J1126" s="425">
        <v>20.418</v>
      </c>
      <c r="K1126" s="182">
        <v>11450.0</v>
      </c>
      <c r="L1126" s="36"/>
      <c r="M1126" s="36"/>
      <c r="N1126" s="36"/>
      <c r="O1126" s="36"/>
      <c r="P1126" s="36"/>
      <c r="Q1126" s="36"/>
      <c r="R1126" s="36"/>
      <c r="S1126" s="36"/>
      <c r="T1126" s="36"/>
      <c r="U1126" s="36"/>
      <c r="V1126" s="36"/>
      <c r="W1126" s="36"/>
      <c r="X1126" s="36"/>
      <c r="Y1126" s="36"/>
      <c r="Z1126" s="36"/>
      <c r="AA1126" s="36"/>
      <c r="AB1126" s="36"/>
      <c r="AC1126" s="36"/>
    </row>
    <row r="1127" ht="15.75" customHeight="1">
      <c r="A1127" s="423">
        <v>43320.0</v>
      </c>
      <c r="B1127" s="424">
        <v>14.837</v>
      </c>
      <c r="C1127" s="425">
        <v>16.8881</v>
      </c>
      <c r="D1127" s="425">
        <v>18.4362</v>
      </c>
      <c r="E1127" s="425">
        <v>13.5307</v>
      </c>
      <c r="F1127" s="425">
        <v>17.4491</v>
      </c>
      <c r="G1127" s="425">
        <v>13.2581</v>
      </c>
      <c r="H1127" s="425">
        <v>22.3096</v>
      </c>
      <c r="I1127" s="425">
        <v>16.5909</v>
      </c>
      <c r="J1127" s="425">
        <v>20.4537</v>
      </c>
      <c r="K1127" s="182">
        <v>11450.0</v>
      </c>
      <c r="L1127" s="36"/>
      <c r="M1127" s="36"/>
      <c r="N1127" s="36"/>
      <c r="O1127" s="36"/>
      <c r="P1127" s="36"/>
      <c r="Q1127" s="36"/>
      <c r="R1127" s="36"/>
      <c r="S1127" s="36"/>
      <c r="T1127" s="36"/>
      <c r="U1127" s="36"/>
      <c r="V1127" s="36"/>
      <c r="W1127" s="36"/>
      <c r="X1127" s="36"/>
      <c r="Y1127" s="36"/>
      <c r="Z1127" s="36"/>
      <c r="AA1127" s="36"/>
      <c r="AB1127" s="36"/>
      <c r="AC1127" s="36"/>
    </row>
    <row r="1128" ht="15.75" customHeight="1">
      <c r="A1128" s="423">
        <v>43320.0</v>
      </c>
      <c r="B1128" s="424">
        <v>14.837</v>
      </c>
      <c r="C1128" s="425">
        <v>16.8881</v>
      </c>
      <c r="D1128" s="425">
        <v>18.3896</v>
      </c>
      <c r="E1128" s="425">
        <v>13.5307</v>
      </c>
      <c r="F1128" s="425">
        <v>17.4491</v>
      </c>
      <c r="G1128" s="425">
        <v>13.2581</v>
      </c>
      <c r="H1128" s="425">
        <v>22.2701</v>
      </c>
      <c r="I1128" s="425">
        <v>16.6194</v>
      </c>
      <c r="J1128" s="425">
        <v>20.4537</v>
      </c>
      <c r="K1128" s="182">
        <v>11450.0</v>
      </c>
      <c r="L1128" s="36"/>
      <c r="M1128" s="36"/>
      <c r="N1128" s="36"/>
      <c r="O1128" s="36"/>
      <c r="P1128" s="36"/>
      <c r="Q1128" s="36"/>
      <c r="R1128" s="36"/>
      <c r="S1128" s="36"/>
      <c r="T1128" s="36"/>
      <c r="U1128" s="36"/>
      <c r="V1128" s="36"/>
      <c r="W1128" s="36"/>
      <c r="X1128" s="36"/>
      <c r="Y1128" s="36"/>
      <c r="Z1128" s="36"/>
      <c r="AA1128" s="36"/>
      <c r="AB1128" s="36"/>
      <c r="AC1128" s="36"/>
    </row>
    <row r="1129" ht="15.75" customHeight="1">
      <c r="A1129" s="423">
        <v>43321.0</v>
      </c>
      <c r="B1129" s="424">
        <v>14.8484</v>
      </c>
      <c r="C1129" s="425">
        <v>16.8774</v>
      </c>
      <c r="D1129" s="425">
        <v>18.4705</v>
      </c>
      <c r="E1129" s="425">
        <v>13.5602</v>
      </c>
      <c r="F1129" s="425">
        <v>17.4751</v>
      </c>
      <c r="G1129" s="425">
        <v>13.2647</v>
      </c>
      <c r="H1129" s="425">
        <v>22.75</v>
      </c>
      <c r="I1129" s="425">
        <v>17.0726</v>
      </c>
      <c r="J1129" s="425">
        <v>20.001</v>
      </c>
      <c r="K1129" s="182">
        <v>11470.7</v>
      </c>
      <c r="L1129" s="36"/>
      <c r="M1129" s="36"/>
      <c r="N1129" s="36"/>
      <c r="O1129" s="36"/>
      <c r="P1129" s="36"/>
      <c r="Q1129" s="36"/>
      <c r="R1129" s="36"/>
      <c r="S1129" s="36"/>
      <c r="T1129" s="36"/>
      <c r="U1129" s="36"/>
      <c r="V1129" s="36"/>
      <c r="W1129" s="36"/>
      <c r="X1129" s="36"/>
      <c r="Y1129" s="36"/>
      <c r="Z1129" s="36"/>
      <c r="AA1129" s="36"/>
      <c r="AB1129" s="36"/>
      <c r="AC1129" s="36"/>
    </row>
    <row r="1130" ht="15.75" customHeight="1">
      <c r="A1130" s="423">
        <v>43321.0</v>
      </c>
      <c r="B1130" s="424">
        <v>14.8484</v>
      </c>
      <c r="C1130" s="425">
        <v>16.8774</v>
      </c>
      <c r="D1130" s="425">
        <v>18.4365</v>
      </c>
      <c r="E1130" s="425">
        <v>13.5602</v>
      </c>
      <c r="F1130" s="425">
        <v>17.4751</v>
      </c>
      <c r="G1130" s="425">
        <v>13.2647</v>
      </c>
      <c r="H1130" s="425">
        <v>22.7758</v>
      </c>
      <c r="I1130" s="425">
        <v>17.0268</v>
      </c>
      <c r="J1130" s="425">
        <v>20.001</v>
      </c>
      <c r="K1130" s="182">
        <v>11470.7</v>
      </c>
      <c r="L1130" s="36"/>
      <c r="M1130" s="36"/>
      <c r="N1130" s="36"/>
      <c r="O1130" s="36"/>
      <c r="P1130" s="36"/>
      <c r="Q1130" s="36"/>
      <c r="R1130" s="36"/>
      <c r="S1130" s="36"/>
      <c r="T1130" s="36"/>
      <c r="U1130" s="36"/>
      <c r="V1130" s="36"/>
      <c r="W1130" s="36"/>
      <c r="X1130" s="36"/>
      <c r="Y1130" s="36"/>
      <c r="Z1130" s="36"/>
      <c r="AA1130" s="36"/>
      <c r="AB1130" s="36"/>
      <c r="AC1130" s="36"/>
    </row>
    <row r="1131" ht="15.75" customHeight="1">
      <c r="A1131" s="423">
        <v>43321.0</v>
      </c>
      <c r="B1131" s="424">
        <v>14.8484</v>
      </c>
      <c r="C1131" s="425">
        <v>16.8667</v>
      </c>
      <c r="D1131" s="425">
        <v>18.4402</v>
      </c>
      <c r="E1131" s="425">
        <v>13.5602</v>
      </c>
      <c r="F1131" s="425">
        <v>17.4751</v>
      </c>
      <c r="G1131" s="425">
        <v>13.2647</v>
      </c>
      <c r="H1131" s="425">
        <v>22.5914</v>
      </c>
      <c r="I1131" s="425">
        <v>16.8335</v>
      </c>
      <c r="J1131" s="425">
        <v>20.3746</v>
      </c>
      <c r="K1131" s="182">
        <v>11470.7</v>
      </c>
      <c r="L1131" s="36"/>
      <c r="M1131" s="36"/>
      <c r="N1131" s="36"/>
      <c r="O1131" s="36"/>
      <c r="P1131" s="36"/>
      <c r="Q1131" s="36"/>
      <c r="R1131" s="36"/>
      <c r="S1131" s="36"/>
      <c r="T1131" s="36"/>
      <c r="U1131" s="36"/>
      <c r="V1131" s="36"/>
      <c r="W1131" s="36"/>
      <c r="X1131" s="36"/>
      <c r="Y1131" s="36"/>
      <c r="Z1131" s="36"/>
      <c r="AA1131" s="36"/>
      <c r="AB1131" s="36"/>
      <c r="AC1131" s="36"/>
    </row>
    <row r="1132" ht="15.75" customHeight="1">
      <c r="A1132" s="423">
        <v>43321.0</v>
      </c>
      <c r="B1132" s="424">
        <v>14.8484</v>
      </c>
      <c r="C1132" s="425">
        <v>16.8667</v>
      </c>
      <c r="D1132" s="425">
        <v>18.4367</v>
      </c>
      <c r="E1132" s="425">
        <v>13.5602</v>
      </c>
      <c r="F1132" s="425">
        <v>17.4751</v>
      </c>
      <c r="G1132" s="425">
        <v>13.2647</v>
      </c>
      <c r="H1132" s="425">
        <v>22.464</v>
      </c>
      <c r="I1132" s="425">
        <v>16.721</v>
      </c>
      <c r="J1132" s="425">
        <v>20.3746</v>
      </c>
      <c r="K1132" s="182">
        <v>11470.7</v>
      </c>
      <c r="L1132" s="36"/>
      <c r="M1132" s="36"/>
      <c r="N1132" s="36"/>
      <c r="O1132" s="36"/>
      <c r="P1132" s="36"/>
      <c r="Q1132" s="36"/>
      <c r="R1132" s="36"/>
      <c r="S1132" s="36"/>
      <c r="T1132" s="36"/>
      <c r="U1132" s="36"/>
      <c r="V1132" s="36"/>
      <c r="W1132" s="36"/>
      <c r="X1132" s="36"/>
      <c r="Y1132" s="36"/>
      <c r="Z1132" s="36"/>
      <c r="AA1132" s="36"/>
      <c r="AB1132" s="36"/>
      <c r="AC1132" s="36"/>
    </row>
    <row r="1133" ht="15.75" customHeight="1">
      <c r="A1133" s="423">
        <v>43322.0</v>
      </c>
      <c r="B1133" s="424">
        <v>14.8013</v>
      </c>
      <c r="C1133" s="425">
        <v>16.876</v>
      </c>
      <c r="D1133" s="425">
        <v>18.436</v>
      </c>
      <c r="E1133" s="425">
        <v>13.5571</v>
      </c>
      <c r="F1133" s="425">
        <v>17.437</v>
      </c>
      <c r="G1133" s="425">
        <v>13.2654</v>
      </c>
      <c r="H1133" s="425">
        <v>22.9018</v>
      </c>
      <c r="I1133" s="425">
        <v>17.1041</v>
      </c>
      <c r="J1133" s="425">
        <v>19.7136</v>
      </c>
      <c r="K1133" s="182">
        <v>11429.5</v>
      </c>
      <c r="L1133" s="36"/>
      <c r="M1133" s="36"/>
      <c r="N1133" s="36"/>
      <c r="O1133" s="36"/>
      <c r="P1133" s="36"/>
      <c r="Q1133" s="36"/>
      <c r="R1133" s="36"/>
      <c r="S1133" s="36"/>
      <c r="T1133" s="36"/>
      <c r="U1133" s="36"/>
      <c r="V1133" s="36"/>
      <c r="W1133" s="36"/>
      <c r="X1133" s="36"/>
      <c r="Y1133" s="36"/>
      <c r="Z1133" s="36"/>
      <c r="AA1133" s="36"/>
      <c r="AB1133" s="36"/>
      <c r="AC1133" s="36"/>
    </row>
    <row r="1134" ht="15.75" customHeight="1">
      <c r="A1134" s="423">
        <v>43322.0</v>
      </c>
      <c r="B1134" s="424">
        <v>14.8013</v>
      </c>
      <c r="C1134" s="425">
        <v>16.876</v>
      </c>
      <c r="D1134" s="425">
        <v>18.4488</v>
      </c>
      <c r="E1134" s="425">
        <v>13.5571</v>
      </c>
      <c r="F1134" s="425">
        <v>17.437</v>
      </c>
      <c r="G1134" s="425">
        <v>13.2654</v>
      </c>
      <c r="H1134" s="425">
        <v>22.762</v>
      </c>
      <c r="I1134" s="425">
        <v>17.031</v>
      </c>
      <c r="J1134" s="425">
        <v>19.7136</v>
      </c>
      <c r="K1134" s="182">
        <v>11429.5</v>
      </c>
      <c r="L1134" s="36"/>
      <c r="M1134" s="36"/>
      <c r="N1134" s="36"/>
      <c r="O1134" s="36"/>
      <c r="P1134" s="36"/>
      <c r="Q1134" s="36"/>
      <c r="R1134" s="36"/>
      <c r="S1134" s="36"/>
      <c r="T1134" s="36"/>
      <c r="U1134" s="36"/>
      <c r="V1134" s="36"/>
      <c r="W1134" s="36"/>
      <c r="X1134" s="36"/>
      <c r="Y1134" s="36"/>
      <c r="Z1134" s="36"/>
      <c r="AA1134" s="36"/>
      <c r="AB1134" s="36"/>
      <c r="AC1134" s="36"/>
    </row>
    <row r="1135" ht="15.75" customHeight="1">
      <c r="A1135" s="423">
        <v>43322.0</v>
      </c>
      <c r="B1135" s="424">
        <v>14.8013</v>
      </c>
      <c r="C1135" s="425">
        <v>16.8693</v>
      </c>
      <c r="D1135" s="425">
        <v>18.4397</v>
      </c>
      <c r="E1135" s="425">
        <v>13.5571</v>
      </c>
      <c r="F1135" s="425">
        <v>17.437</v>
      </c>
      <c r="G1135" s="425">
        <v>13.2654</v>
      </c>
      <c r="H1135" s="425">
        <v>22.7313</v>
      </c>
      <c r="I1135" s="425">
        <v>17.0677</v>
      </c>
      <c r="J1135" s="425">
        <v>19.9083</v>
      </c>
      <c r="K1135" s="182">
        <v>11429.5</v>
      </c>
      <c r="L1135" s="36"/>
      <c r="M1135" s="36"/>
      <c r="N1135" s="36"/>
      <c r="O1135" s="36"/>
      <c r="P1135" s="36"/>
      <c r="Q1135" s="36"/>
      <c r="R1135" s="36"/>
      <c r="S1135" s="36"/>
      <c r="T1135" s="36"/>
      <c r="U1135" s="36"/>
      <c r="V1135" s="36"/>
      <c r="W1135" s="36"/>
      <c r="X1135" s="36"/>
      <c r="Y1135" s="36"/>
      <c r="Z1135" s="36"/>
      <c r="AA1135" s="36"/>
      <c r="AB1135" s="36"/>
      <c r="AC1135" s="36"/>
    </row>
    <row r="1136" ht="15.75" customHeight="1">
      <c r="A1136" s="423">
        <v>43322.0</v>
      </c>
      <c r="B1136" s="424">
        <v>14.8013</v>
      </c>
      <c r="C1136" s="425">
        <v>16.8693</v>
      </c>
      <c r="D1136" s="425">
        <v>18.4448</v>
      </c>
      <c r="E1136" s="425">
        <v>13.5571</v>
      </c>
      <c r="F1136" s="425">
        <v>17.437</v>
      </c>
      <c r="G1136" s="425">
        <v>13.2654</v>
      </c>
      <c r="H1136" s="425">
        <v>22.714</v>
      </c>
      <c r="I1136" s="425">
        <v>17.0347</v>
      </c>
      <c r="J1136" s="425">
        <v>19.9083</v>
      </c>
      <c r="K1136" s="182">
        <v>11429.5</v>
      </c>
      <c r="L1136" s="36"/>
      <c r="M1136" s="36"/>
      <c r="N1136" s="36"/>
      <c r="O1136" s="36"/>
      <c r="P1136" s="36"/>
      <c r="Q1136" s="36"/>
      <c r="R1136" s="36"/>
      <c r="S1136" s="36"/>
      <c r="T1136" s="36"/>
      <c r="U1136" s="36"/>
      <c r="V1136" s="36"/>
      <c r="W1136" s="36"/>
      <c r="X1136" s="36"/>
      <c r="Y1136" s="36"/>
      <c r="Z1136" s="36"/>
      <c r="AA1136" s="36"/>
      <c r="AB1136" s="36"/>
      <c r="AC1136" s="36"/>
    </row>
    <row r="1137" ht="15.75" customHeight="1">
      <c r="A1137" s="423">
        <v>43325.0</v>
      </c>
      <c r="B1137" s="424">
        <v>14.7245</v>
      </c>
      <c r="C1137" s="425">
        <v>16.9041</v>
      </c>
      <c r="D1137" s="425">
        <v>18.4329</v>
      </c>
      <c r="E1137" s="425">
        <v>13.521</v>
      </c>
      <c r="F1137" s="425">
        <v>17.3547</v>
      </c>
      <c r="G1137" s="425">
        <v>13.2635</v>
      </c>
      <c r="H1137" s="425">
        <v>23.0308</v>
      </c>
      <c r="I1137" s="425">
        <v>17.2169</v>
      </c>
      <c r="J1137" s="425">
        <v>19.8817</v>
      </c>
      <c r="K1137" s="182">
        <v>11355.75</v>
      </c>
      <c r="L1137" s="36"/>
      <c r="M1137" s="36"/>
      <c r="N1137" s="36"/>
      <c r="O1137" s="36"/>
      <c r="P1137" s="36"/>
      <c r="Q1137" s="36"/>
      <c r="R1137" s="36"/>
      <c r="S1137" s="36"/>
      <c r="T1137" s="36"/>
      <c r="U1137" s="36"/>
      <c r="V1137" s="36"/>
      <c r="W1137" s="36"/>
      <c r="X1137" s="36"/>
      <c r="Y1137" s="36"/>
      <c r="Z1137" s="36"/>
      <c r="AA1137" s="36"/>
      <c r="AB1137" s="36"/>
      <c r="AC1137" s="36"/>
    </row>
    <row r="1138" ht="15.75" customHeight="1">
      <c r="A1138" s="423">
        <v>43325.0</v>
      </c>
      <c r="B1138" s="424">
        <v>14.7245</v>
      </c>
      <c r="C1138" s="425">
        <v>16.9041</v>
      </c>
      <c r="D1138" s="425">
        <v>18.4295</v>
      </c>
      <c r="E1138" s="425">
        <v>13.521</v>
      </c>
      <c r="F1138" s="425">
        <v>17.3547</v>
      </c>
      <c r="G1138" s="425">
        <v>13.2635</v>
      </c>
      <c r="H1138" s="425">
        <v>22.8435</v>
      </c>
      <c r="I1138" s="425">
        <v>17.0772</v>
      </c>
      <c r="J1138" s="425">
        <v>19.8817</v>
      </c>
      <c r="K1138" s="182">
        <v>11355.75</v>
      </c>
      <c r="L1138" s="36"/>
      <c r="M1138" s="36"/>
      <c r="N1138" s="36"/>
      <c r="O1138" s="36"/>
      <c r="P1138" s="36"/>
      <c r="Q1138" s="36"/>
      <c r="R1138" s="36"/>
      <c r="S1138" s="36"/>
      <c r="T1138" s="36"/>
      <c r="U1138" s="36"/>
      <c r="V1138" s="36"/>
      <c r="W1138" s="36"/>
      <c r="X1138" s="36"/>
      <c r="Y1138" s="36"/>
      <c r="Z1138" s="36"/>
      <c r="AA1138" s="36"/>
      <c r="AB1138" s="36"/>
      <c r="AC1138" s="36"/>
    </row>
    <row r="1139" ht="15.75" customHeight="1">
      <c r="A1139" s="423">
        <v>43325.0</v>
      </c>
      <c r="B1139" s="424">
        <v>14.7245</v>
      </c>
      <c r="C1139" s="425">
        <v>16.8962</v>
      </c>
      <c r="D1139" s="425">
        <v>18.406</v>
      </c>
      <c r="E1139" s="425">
        <v>13.521</v>
      </c>
      <c r="F1139" s="425">
        <v>17.3547</v>
      </c>
      <c r="G1139" s="425">
        <v>13.2635</v>
      </c>
      <c r="H1139" s="425">
        <v>22.7553</v>
      </c>
      <c r="I1139" s="425">
        <v>17.0097</v>
      </c>
      <c r="J1139" s="425">
        <v>19.7238</v>
      </c>
      <c r="K1139" s="182">
        <v>11355.75</v>
      </c>
      <c r="L1139" s="36"/>
      <c r="M1139" s="36"/>
      <c r="N1139" s="36"/>
      <c r="O1139" s="36"/>
      <c r="P1139" s="36"/>
      <c r="Q1139" s="36"/>
      <c r="R1139" s="36"/>
      <c r="S1139" s="36"/>
      <c r="T1139" s="36"/>
      <c r="U1139" s="36"/>
      <c r="V1139" s="36"/>
      <c r="W1139" s="36"/>
      <c r="X1139" s="36"/>
      <c r="Y1139" s="36"/>
      <c r="Z1139" s="36"/>
      <c r="AA1139" s="36"/>
      <c r="AB1139" s="36"/>
      <c r="AC1139" s="36"/>
    </row>
    <row r="1140" ht="15.75" customHeight="1">
      <c r="A1140" s="423">
        <v>43325.0</v>
      </c>
      <c r="B1140" s="424">
        <v>14.7245</v>
      </c>
      <c r="C1140" s="425">
        <v>16.8962</v>
      </c>
      <c r="D1140" s="425">
        <v>18.4064</v>
      </c>
      <c r="E1140" s="425">
        <v>13.521</v>
      </c>
      <c r="F1140" s="425">
        <v>17.3547</v>
      </c>
      <c r="G1140" s="425">
        <v>13.2635</v>
      </c>
      <c r="H1140" s="425">
        <v>22.9632</v>
      </c>
      <c r="I1140" s="425">
        <v>17.1443</v>
      </c>
      <c r="J1140" s="425">
        <v>19.7238</v>
      </c>
      <c r="K1140" s="182">
        <v>11355.75</v>
      </c>
      <c r="L1140" s="36"/>
      <c r="M1140" s="36"/>
      <c r="N1140" s="36"/>
      <c r="O1140" s="36"/>
      <c r="P1140" s="36"/>
      <c r="Q1140" s="36"/>
      <c r="R1140" s="36"/>
      <c r="S1140" s="36"/>
      <c r="T1140" s="36"/>
      <c r="U1140" s="36"/>
      <c r="V1140" s="36"/>
      <c r="W1140" s="36"/>
      <c r="X1140" s="36"/>
      <c r="Y1140" s="36"/>
      <c r="Z1140" s="36"/>
      <c r="AA1140" s="36"/>
      <c r="AB1140" s="36"/>
      <c r="AC1140" s="36"/>
    </row>
    <row r="1141" ht="15.75" customHeight="1">
      <c r="A1141" s="423">
        <v>43326.0</v>
      </c>
      <c r="B1141" s="424">
        <v>14.8248</v>
      </c>
      <c r="C1141" s="425">
        <v>16.9108</v>
      </c>
      <c r="D1141" s="425">
        <v>18.457</v>
      </c>
      <c r="E1141" s="425">
        <v>13.5249</v>
      </c>
      <c r="F1141" s="425">
        <v>17.4583</v>
      </c>
      <c r="G1141" s="425">
        <v>13.2652</v>
      </c>
      <c r="H1141" s="425">
        <v>23.1773</v>
      </c>
      <c r="I1141" s="425">
        <v>17.3482</v>
      </c>
      <c r="J1141" s="425">
        <v>19.858</v>
      </c>
      <c r="K1141" s="182">
        <v>11435.1</v>
      </c>
      <c r="L1141" s="36"/>
      <c r="M1141" s="36"/>
      <c r="N1141" s="36"/>
      <c r="O1141" s="36"/>
      <c r="P1141" s="36"/>
      <c r="Q1141" s="36"/>
      <c r="R1141" s="36"/>
      <c r="S1141" s="36"/>
      <c r="T1141" s="36"/>
      <c r="U1141" s="36"/>
      <c r="V1141" s="36"/>
      <c r="W1141" s="36"/>
      <c r="X1141" s="36"/>
      <c r="Y1141" s="36"/>
      <c r="Z1141" s="36"/>
      <c r="AA1141" s="36"/>
      <c r="AB1141" s="36"/>
      <c r="AC1141" s="36"/>
    </row>
    <row r="1142" ht="15.75" customHeight="1">
      <c r="A1142" s="423">
        <v>43326.0</v>
      </c>
      <c r="B1142" s="424">
        <v>14.8248</v>
      </c>
      <c r="C1142" s="425">
        <v>16.9108</v>
      </c>
      <c r="D1142" s="425">
        <v>18.4596</v>
      </c>
      <c r="E1142" s="425">
        <v>13.5249</v>
      </c>
      <c r="F1142" s="425">
        <v>17.4583</v>
      </c>
      <c r="G1142" s="425">
        <v>13.2652</v>
      </c>
      <c r="H1142" s="425">
        <v>23.3688</v>
      </c>
      <c r="I1142" s="425">
        <v>17.4543</v>
      </c>
      <c r="J1142" s="425">
        <v>19.858</v>
      </c>
      <c r="K1142" s="182">
        <v>11435.1</v>
      </c>
      <c r="L1142" s="36"/>
      <c r="M1142" s="36"/>
      <c r="N1142" s="36"/>
      <c r="O1142" s="36"/>
      <c r="P1142" s="36"/>
      <c r="Q1142" s="36"/>
      <c r="R1142" s="36"/>
      <c r="S1142" s="36"/>
      <c r="T1142" s="36"/>
      <c r="U1142" s="36"/>
      <c r="V1142" s="36"/>
      <c r="W1142" s="36"/>
      <c r="X1142" s="36"/>
      <c r="Y1142" s="36"/>
      <c r="Z1142" s="36"/>
      <c r="AA1142" s="36"/>
      <c r="AB1142" s="36"/>
      <c r="AC1142" s="36"/>
    </row>
    <row r="1143" ht="15.75" customHeight="1">
      <c r="A1143" s="423">
        <v>43326.0</v>
      </c>
      <c r="B1143" s="424">
        <v>14.8248</v>
      </c>
      <c r="C1143" s="425">
        <v>16.9041</v>
      </c>
      <c r="D1143" s="425">
        <v>18.4565</v>
      </c>
      <c r="E1143" s="425">
        <v>13.5249</v>
      </c>
      <c r="F1143" s="425">
        <v>17.4583</v>
      </c>
      <c r="G1143" s="425">
        <v>13.2652</v>
      </c>
      <c r="H1143" s="425">
        <v>23.3934</v>
      </c>
      <c r="I1143" s="425">
        <v>17.48</v>
      </c>
      <c r="J1143" s="425">
        <v>19.7483</v>
      </c>
      <c r="K1143" s="182">
        <v>11435.1</v>
      </c>
      <c r="L1143" s="36"/>
      <c r="M1143" s="36"/>
      <c r="N1143" s="36"/>
      <c r="O1143" s="36"/>
      <c r="P1143" s="36"/>
      <c r="Q1143" s="36"/>
      <c r="R1143" s="36"/>
      <c r="S1143" s="36"/>
      <c r="T1143" s="36"/>
      <c r="U1143" s="36"/>
      <c r="V1143" s="36"/>
      <c r="W1143" s="36"/>
      <c r="X1143" s="36"/>
      <c r="Y1143" s="36"/>
      <c r="Z1143" s="36"/>
      <c r="AA1143" s="36"/>
      <c r="AB1143" s="36"/>
      <c r="AC1143" s="36"/>
    </row>
    <row r="1144" ht="15.75" customHeight="1">
      <c r="A1144" s="423">
        <v>43326.0</v>
      </c>
      <c r="B1144" s="424">
        <v>14.8248</v>
      </c>
      <c r="C1144" s="425">
        <v>16.9041</v>
      </c>
      <c r="D1144" s="425">
        <v>18.4427</v>
      </c>
      <c r="E1144" s="425">
        <v>13.5249</v>
      </c>
      <c r="F1144" s="425">
        <v>17.4583</v>
      </c>
      <c r="G1144" s="425">
        <v>13.2652</v>
      </c>
      <c r="H1144" s="425">
        <v>23.2275</v>
      </c>
      <c r="I1144" s="425">
        <v>17.4436</v>
      </c>
      <c r="J1144" s="425">
        <v>19.7483</v>
      </c>
      <c r="K1144" s="182">
        <v>11435.1</v>
      </c>
      <c r="L1144" s="36"/>
      <c r="M1144" s="36"/>
      <c r="N1144" s="36"/>
      <c r="O1144" s="36"/>
      <c r="P1144" s="36"/>
      <c r="Q1144" s="36"/>
      <c r="R1144" s="36"/>
      <c r="S1144" s="36"/>
      <c r="T1144" s="36"/>
      <c r="U1144" s="36"/>
      <c r="V1144" s="36"/>
      <c r="W1144" s="36"/>
      <c r="X1144" s="36"/>
      <c r="Y1144" s="36"/>
      <c r="Z1144" s="36"/>
      <c r="AA1144" s="36"/>
      <c r="AB1144" s="36"/>
      <c r="AC1144" s="36"/>
    </row>
    <row r="1145" ht="15.75" customHeight="1">
      <c r="A1145" s="423">
        <v>43328.0</v>
      </c>
      <c r="B1145" s="424">
        <v>14.7744</v>
      </c>
      <c r="C1145" s="425">
        <v>16.9082</v>
      </c>
      <c r="D1145" s="425">
        <v>18.4778</v>
      </c>
      <c r="E1145" s="425">
        <v>13.4973</v>
      </c>
      <c r="F1145" s="425">
        <v>17.3962</v>
      </c>
      <c r="G1145" s="425">
        <v>13.2637</v>
      </c>
      <c r="H1145" s="425">
        <v>24.1805</v>
      </c>
      <c r="I1145" s="425">
        <v>17.836</v>
      </c>
      <c r="J1145" s="425">
        <v>19.8448</v>
      </c>
      <c r="K1145" s="182">
        <v>11385.05</v>
      </c>
      <c r="L1145" s="36"/>
      <c r="M1145" s="36"/>
      <c r="N1145" s="36"/>
      <c r="O1145" s="36"/>
      <c r="P1145" s="36"/>
      <c r="Q1145" s="36"/>
      <c r="R1145" s="36"/>
      <c r="S1145" s="36"/>
      <c r="T1145" s="36"/>
      <c r="U1145" s="36"/>
      <c r="V1145" s="36"/>
      <c r="W1145" s="36"/>
      <c r="X1145" s="36"/>
      <c r="Y1145" s="36"/>
      <c r="Z1145" s="36"/>
      <c r="AA1145" s="36"/>
      <c r="AB1145" s="36"/>
      <c r="AC1145" s="36"/>
    </row>
    <row r="1146" ht="15.75" customHeight="1">
      <c r="A1146" s="423">
        <v>43328.0</v>
      </c>
      <c r="B1146" s="424">
        <v>14.7744</v>
      </c>
      <c r="C1146" s="425">
        <v>16.9082</v>
      </c>
      <c r="D1146" s="425">
        <v>18.4747</v>
      </c>
      <c r="E1146" s="425">
        <v>13.4973</v>
      </c>
      <c r="F1146" s="425">
        <v>17.3962</v>
      </c>
      <c r="G1146" s="425">
        <v>13.2637</v>
      </c>
      <c r="H1146" s="425">
        <v>24.0033</v>
      </c>
      <c r="I1146" s="425">
        <v>17.7204</v>
      </c>
      <c r="J1146" s="425">
        <v>19.8448</v>
      </c>
      <c r="K1146" s="182">
        <v>11385.05</v>
      </c>
      <c r="L1146" s="36"/>
      <c r="M1146" s="36"/>
      <c r="N1146" s="36"/>
      <c r="O1146" s="36"/>
      <c r="P1146" s="36"/>
      <c r="Q1146" s="36"/>
      <c r="R1146" s="36"/>
      <c r="S1146" s="36"/>
      <c r="T1146" s="36"/>
      <c r="U1146" s="36"/>
      <c r="V1146" s="36"/>
      <c r="W1146" s="36"/>
      <c r="X1146" s="36"/>
      <c r="Y1146" s="36"/>
      <c r="Z1146" s="36"/>
      <c r="AA1146" s="36"/>
      <c r="AB1146" s="36"/>
      <c r="AC1146" s="36"/>
    </row>
    <row r="1147" ht="15.75" customHeight="1">
      <c r="A1147" s="423">
        <v>43328.0</v>
      </c>
      <c r="B1147" s="424">
        <v>14.7744</v>
      </c>
      <c r="C1147" s="425">
        <v>16.9186</v>
      </c>
      <c r="D1147" s="425">
        <v>18.4722</v>
      </c>
      <c r="E1147" s="425">
        <v>13.4973</v>
      </c>
      <c r="F1147" s="425">
        <v>17.3962</v>
      </c>
      <c r="G1147" s="425">
        <v>13.2637</v>
      </c>
      <c r="H1147" s="425">
        <v>23.7833</v>
      </c>
      <c r="I1147" s="425">
        <v>17.7096</v>
      </c>
      <c r="J1147" s="425">
        <v>19.8199</v>
      </c>
      <c r="K1147" s="182">
        <v>11385.05</v>
      </c>
      <c r="L1147" s="36"/>
      <c r="M1147" s="36"/>
      <c r="N1147" s="36"/>
      <c r="O1147" s="36"/>
      <c r="P1147" s="36"/>
      <c r="Q1147" s="36"/>
      <c r="R1147" s="36"/>
      <c r="S1147" s="36"/>
      <c r="T1147" s="36"/>
      <c r="U1147" s="36"/>
      <c r="V1147" s="36"/>
      <c r="W1147" s="36"/>
      <c r="X1147" s="36"/>
      <c r="Y1147" s="36"/>
      <c r="Z1147" s="36"/>
      <c r="AA1147" s="36"/>
      <c r="AB1147" s="36"/>
      <c r="AC1147" s="36"/>
    </row>
    <row r="1148" ht="15.75" customHeight="1">
      <c r="A1148" s="423">
        <v>43328.0</v>
      </c>
      <c r="B1148" s="424">
        <v>14.7744</v>
      </c>
      <c r="C1148" s="425">
        <v>16.9186</v>
      </c>
      <c r="D1148" s="425">
        <v>18.451</v>
      </c>
      <c r="E1148" s="425">
        <v>13.4973</v>
      </c>
      <c r="F1148" s="425">
        <v>17.3962</v>
      </c>
      <c r="G1148" s="425">
        <v>13.2637</v>
      </c>
      <c r="H1148" s="425">
        <v>23.5812</v>
      </c>
      <c r="I1148" s="425">
        <v>17.6559</v>
      </c>
      <c r="J1148" s="425">
        <v>19.8199</v>
      </c>
      <c r="K1148" s="182">
        <v>11385.05</v>
      </c>
      <c r="L1148" s="36"/>
      <c r="M1148" s="36"/>
      <c r="N1148" s="36"/>
      <c r="O1148" s="36"/>
      <c r="P1148" s="36"/>
      <c r="Q1148" s="36"/>
      <c r="R1148" s="36"/>
      <c r="S1148" s="36"/>
      <c r="T1148" s="36"/>
      <c r="U1148" s="36"/>
      <c r="V1148" s="36"/>
      <c r="W1148" s="36"/>
      <c r="X1148" s="36"/>
      <c r="Y1148" s="36"/>
      <c r="Z1148" s="36"/>
      <c r="AA1148" s="36"/>
      <c r="AB1148" s="36"/>
      <c r="AC1148" s="36"/>
    </row>
    <row r="1149" ht="15.75" customHeight="1">
      <c r="A1149" s="423">
        <v>43329.0</v>
      </c>
      <c r="B1149" s="424">
        <v>14.8846</v>
      </c>
      <c r="C1149" s="425">
        <v>16.9193</v>
      </c>
      <c r="D1149" s="425">
        <v>18.1245</v>
      </c>
      <c r="E1149" s="425">
        <v>13.4996</v>
      </c>
      <c r="F1149" s="425">
        <v>17.5035</v>
      </c>
      <c r="G1149" s="425">
        <v>13.2657</v>
      </c>
      <c r="H1149" s="425">
        <v>24.3057</v>
      </c>
      <c r="I1149" s="425">
        <v>17.8081</v>
      </c>
      <c r="J1149" s="425">
        <v>19.596</v>
      </c>
      <c r="K1149" s="182">
        <v>11470.75</v>
      </c>
      <c r="L1149" s="36"/>
      <c r="M1149" s="36"/>
      <c r="N1149" s="36"/>
      <c r="O1149" s="36"/>
      <c r="P1149" s="36"/>
      <c r="Q1149" s="36"/>
      <c r="R1149" s="36"/>
      <c r="S1149" s="36"/>
      <c r="T1149" s="36"/>
      <c r="U1149" s="36"/>
      <c r="V1149" s="36"/>
      <c r="W1149" s="36"/>
      <c r="X1149" s="36"/>
      <c r="Y1149" s="36"/>
      <c r="Z1149" s="36"/>
      <c r="AA1149" s="36"/>
      <c r="AB1149" s="36"/>
      <c r="AC1149" s="36"/>
    </row>
    <row r="1150" ht="15.75" customHeight="1">
      <c r="A1150" s="423">
        <v>43329.0</v>
      </c>
      <c r="B1150" s="424">
        <v>14.8846</v>
      </c>
      <c r="C1150" s="425">
        <v>16.9193</v>
      </c>
      <c r="D1150" s="425">
        <v>18.0665</v>
      </c>
      <c r="E1150" s="425">
        <v>13.4996</v>
      </c>
      <c r="F1150" s="425">
        <v>17.5035</v>
      </c>
      <c r="G1150" s="425">
        <v>13.2657</v>
      </c>
      <c r="H1150" s="425">
        <v>24.279</v>
      </c>
      <c r="I1150" s="425">
        <v>17.7931</v>
      </c>
      <c r="J1150" s="425">
        <v>19.596</v>
      </c>
      <c r="K1150" s="182">
        <v>11470.75</v>
      </c>
      <c r="L1150" s="36"/>
      <c r="M1150" s="36"/>
      <c r="N1150" s="36"/>
      <c r="O1150" s="36"/>
      <c r="P1150" s="36"/>
      <c r="Q1150" s="36"/>
      <c r="R1150" s="36"/>
      <c r="S1150" s="36"/>
      <c r="T1150" s="36"/>
      <c r="U1150" s="36"/>
      <c r="V1150" s="36"/>
      <c r="W1150" s="36"/>
      <c r="X1150" s="36"/>
      <c r="Y1150" s="36"/>
      <c r="Z1150" s="36"/>
      <c r="AA1150" s="36"/>
      <c r="AB1150" s="36"/>
      <c r="AC1150" s="36"/>
    </row>
    <row r="1151" ht="15.75" customHeight="1">
      <c r="A1151" s="423">
        <v>43329.0</v>
      </c>
      <c r="B1151" s="424">
        <v>14.8846</v>
      </c>
      <c r="C1151" s="425">
        <v>16.9111</v>
      </c>
      <c r="D1151" s="425">
        <v>18.1908</v>
      </c>
      <c r="E1151" s="425">
        <v>13.4996</v>
      </c>
      <c r="F1151" s="425">
        <v>17.5035</v>
      </c>
      <c r="G1151" s="425">
        <v>13.2657</v>
      </c>
      <c r="H1151" s="425">
        <v>24.2322</v>
      </c>
      <c r="I1151" s="425">
        <v>17.7903999999999</v>
      </c>
      <c r="J1151" s="425">
        <v>19.7086</v>
      </c>
      <c r="K1151" s="182">
        <v>11470.75</v>
      </c>
      <c r="L1151" s="36"/>
      <c r="M1151" s="36"/>
      <c r="N1151" s="36"/>
      <c r="O1151" s="36"/>
      <c r="P1151" s="36"/>
      <c r="Q1151" s="36"/>
      <c r="R1151" s="36"/>
      <c r="S1151" s="36"/>
      <c r="T1151" s="36"/>
      <c r="U1151" s="36"/>
      <c r="V1151" s="36"/>
      <c r="W1151" s="36"/>
      <c r="X1151" s="36"/>
      <c r="Y1151" s="36"/>
      <c r="Z1151" s="36"/>
      <c r="AA1151" s="36"/>
      <c r="AB1151" s="36"/>
      <c r="AC1151" s="36"/>
    </row>
    <row r="1152" ht="15.75" customHeight="1">
      <c r="A1152" s="423">
        <v>43329.0</v>
      </c>
      <c r="B1152" s="424">
        <v>14.8846</v>
      </c>
      <c r="C1152" s="425">
        <v>16.9111</v>
      </c>
      <c r="D1152" s="425">
        <v>18.4709</v>
      </c>
      <c r="E1152" s="425">
        <v>13.4996</v>
      </c>
      <c r="F1152" s="425">
        <v>17.5035</v>
      </c>
      <c r="G1152" s="425">
        <v>13.2657</v>
      </c>
      <c r="H1152" s="425">
        <v>24.1406</v>
      </c>
      <c r="I1152" s="425">
        <v>17.789</v>
      </c>
      <c r="J1152" s="425">
        <v>19.7086</v>
      </c>
      <c r="K1152" s="182">
        <v>11470.75</v>
      </c>
      <c r="L1152" s="36"/>
      <c r="M1152" s="36"/>
      <c r="N1152" s="36"/>
      <c r="O1152" s="36"/>
      <c r="P1152" s="36"/>
      <c r="Q1152" s="36"/>
      <c r="R1152" s="36"/>
      <c r="S1152" s="36"/>
      <c r="T1152" s="36"/>
      <c r="U1152" s="36"/>
      <c r="V1152" s="36"/>
      <c r="W1152" s="36"/>
      <c r="X1152" s="36"/>
      <c r="Y1152" s="36"/>
      <c r="Z1152" s="36"/>
      <c r="AA1152" s="36"/>
      <c r="AB1152" s="36"/>
      <c r="AC1152" s="36"/>
    </row>
    <row r="1153" ht="15.75" customHeight="1">
      <c r="A1153" s="423">
        <v>43332.0</v>
      </c>
      <c r="B1153" s="424">
        <v>14.9918</v>
      </c>
      <c r="C1153" s="425">
        <v>16.9118</v>
      </c>
      <c r="D1153" s="425">
        <v>18.1144</v>
      </c>
      <c r="E1153" s="425">
        <v>13.5231</v>
      </c>
      <c r="F1153" s="425">
        <v>17.5983</v>
      </c>
      <c r="G1153" s="425">
        <v>13.275</v>
      </c>
      <c r="H1153" s="425">
        <v>24.2065</v>
      </c>
      <c r="I1153" s="425">
        <v>17.7654</v>
      </c>
      <c r="J1153" s="425">
        <v>19.5728</v>
      </c>
      <c r="K1153" s="182">
        <v>11551.75</v>
      </c>
      <c r="L1153" s="36"/>
      <c r="M1153" s="36"/>
      <c r="N1153" s="36"/>
      <c r="O1153" s="36"/>
      <c r="P1153" s="36"/>
      <c r="Q1153" s="36"/>
      <c r="R1153" s="36"/>
      <c r="S1153" s="36"/>
      <c r="T1153" s="36"/>
      <c r="U1153" s="36"/>
      <c r="V1153" s="36"/>
      <c r="W1153" s="36"/>
      <c r="X1153" s="36"/>
      <c r="Y1153" s="36"/>
      <c r="Z1153" s="36"/>
      <c r="AA1153" s="36"/>
      <c r="AB1153" s="36"/>
      <c r="AC1153" s="36"/>
    </row>
    <row r="1154" ht="15.75" customHeight="1">
      <c r="A1154" s="423">
        <v>43332.0</v>
      </c>
      <c r="B1154" s="424">
        <v>14.9918</v>
      </c>
      <c r="C1154" s="425">
        <v>16.9118</v>
      </c>
      <c r="D1154" s="425">
        <v>18.1059</v>
      </c>
      <c r="E1154" s="425">
        <v>13.5231</v>
      </c>
      <c r="F1154" s="425">
        <v>17.5983</v>
      </c>
      <c r="G1154" s="425">
        <v>13.275</v>
      </c>
      <c r="H1154" s="425">
        <v>23.8587</v>
      </c>
      <c r="I1154" s="425">
        <v>17.6292</v>
      </c>
      <c r="J1154" s="425">
        <v>19.5728</v>
      </c>
      <c r="K1154" s="182">
        <v>11551.75</v>
      </c>
      <c r="L1154" s="36"/>
      <c r="M1154" s="36"/>
      <c r="N1154" s="36"/>
      <c r="O1154" s="36"/>
      <c r="P1154" s="36"/>
      <c r="Q1154" s="36"/>
      <c r="R1154" s="36"/>
      <c r="S1154" s="36"/>
      <c r="T1154" s="36"/>
      <c r="U1154" s="36"/>
      <c r="V1154" s="36"/>
      <c r="W1154" s="36"/>
      <c r="X1154" s="36"/>
      <c r="Y1154" s="36"/>
      <c r="Z1154" s="36"/>
      <c r="AA1154" s="36"/>
      <c r="AB1154" s="36"/>
      <c r="AC1154" s="36"/>
    </row>
    <row r="1155" ht="15.75" customHeight="1">
      <c r="A1155" s="423">
        <v>43332.0</v>
      </c>
      <c r="B1155" s="424">
        <v>14.9918</v>
      </c>
      <c r="C1155" s="425">
        <v>16.9092</v>
      </c>
      <c r="D1155" s="425">
        <v>18.1002</v>
      </c>
      <c r="E1155" s="425">
        <v>13.5231</v>
      </c>
      <c r="F1155" s="425">
        <v>17.5983</v>
      </c>
      <c r="G1155" s="425">
        <v>13.275</v>
      </c>
      <c r="H1155" s="425">
        <v>24.1417</v>
      </c>
      <c r="I1155" s="425">
        <v>17.7683</v>
      </c>
      <c r="J1155" s="425">
        <v>19.5634</v>
      </c>
      <c r="K1155" s="182">
        <v>11551.75</v>
      </c>
      <c r="L1155" s="36"/>
      <c r="M1155" s="36"/>
      <c r="N1155" s="36"/>
      <c r="O1155" s="36"/>
      <c r="P1155" s="36"/>
      <c r="Q1155" s="36"/>
      <c r="R1155" s="36"/>
      <c r="S1155" s="36"/>
      <c r="T1155" s="36"/>
      <c r="U1155" s="36"/>
      <c r="V1155" s="36"/>
      <c r="W1155" s="36"/>
      <c r="X1155" s="36"/>
      <c r="Y1155" s="36"/>
      <c r="Z1155" s="36"/>
      <c r="AA1155" s="36"/>
      <c r="AB1155" s="36"/>
      <c r="AC1155" s="36"/>
    </row>
    <row r="1156" ht="15.75" customHeight="1">
      <c r="A1156" s="423">
        <v>43332.0</v>
      </c>
      <c r="B1156" s="424">
        <v>14.9918</v>
      </c>
      <c r="C1156" s="425">
        <v>16.9092</v>
      </c>
      <c r="D1156" s="425">
        <v>18.1285</v>
      </c>
      <c r="E1156" s="425">
        <v>13.5231</v>
      </c>
      <c r="F1156" s="425">
        <v>17.5983</v>
      </c>
      <c r="G1156" s="425">
        <v>13.275</v>
      </c>
      <c r="H1156" s="425">
        <v>24.199</v>
      </c>
      <c r="I1156" s="425">
        <v>17.8462</v>
      </c>
      <c r="J1156" s="425">
        <v>19.5634</v>
      </c>
      <c r="K1156" s="182">
        <v>11551.75</v>
      </c>
      <c r="L1156" s="36"/>
      <c r="M1156" s="36"/>
      <c r="N1156" s="36"/>
      <c r="O1156" s="36"/>
      <c r="P1156" s="36"/>
      <c r="Q1156" s="36"/>
      <c r="R1156" s="36"/>
      <c r="S1156" s="36"/>
      <c r="T1156" s="36"/>
      <c r="U1156" s="36"/>
      <c r="V1156" s="36"/>
      <c r="W1156" s="36"/>
      <c r="X1156" s="36"/>
      <c r="Y1156" s="36"/>
      <c r="Z1156" s="36"/>
      <c r="AA1156" s="36"/>
      <c r="AB1156" s="36"/>
      <c r="AC1156" s="36"/>
    </row>
    <row r="1157" ht="15.75" customHeight="1">
      <c r="A1157" s="423">
        <v>43333.0</v>
      </c>
      <c r="B1157" s="424">
        <v>15.0105</v>
      </c>
      <c r="C1157" s="425">
        <v>16.909</v>
      </c>
      <c r="D1157" s="425">
        <v>18.0374</v>
      </c>
      <c r="E1157" s="425">
        <v>13.5317</v>
      </c>
      <c r="F1157" s="425">
        <v>17.6155</v>
      </c>
      <c r="G1157" s="425">
        <v>13.2762</v>
      </c>
      <c r="H1157" s="425">
        <v>24.3267</v>
      </c>
      <c r="I1157" s="425">
        <v>18.0525</v>
      </c>
      <c r="J1157" s="425">
        <v>19.6926</v>
      </c>
      <c r="K1157" s="182">
        <v>11570.9</v>
      </c>
      <c r="L1157" s="36"/>
      <c r="M1157" s="36"/>
      <c r="N1157" s="36"/>
      <c r="O1157" s="36"/>
      <c r="P1157" s="36"/>
      <c r="Q1157" s="36"/>
      <c r="R1157" s="36"/>
      <c r="S1157" s="36"/>
      <c r="T1157" s="36"/>
      <c r="U1157" s="36"/>
      <c r="V1157" s="36"/>
      <c r="W1157" s="36"/>
      <c r="X1157" s="36"/>
      <c r="Y1157" s="36"/>
      <c r="Z1157" s="36"/>
      <c r="AA1157" s="36"/>
      <c r="AB1157" s="36"/>
      <c r="AC1157" s="36"/>
    </row>
    <row r="1158" ht="15.75" customHeight="1">
      <c r="A1158" s="423">
        <v>43333.0</v>
      </c>
      <c r="B1158" s="424">
        <v>15.0105</v>
      </c>
      <c r="C1158" s="425">
        <v>16.909</v>
      </c>
      <c r="D1158" s="425">
        <v>18.0724</v>
      </c>
      <c r="E1158" s="425">
        <v>13.5317</v>
      </c>
      <c r="F1158" s="425">
        <v>17.6155</v>
      </c>
      <c r="G1158" s="425">
        <v>13.2762</v>
      </c>
      <c r="H1158" s="425">
        <v>24.4832</v>
      </c>
      <c r="I1158" s="425">
        <v>18.0443</v>
      </c>
      <c r="J1158" s="425">
        <v>19.6926</v>
      </c>
      <c r="K1158" s="182">
        <v>11570.9</v>
      </c>
      <c r="L1158" s="36"/>
      <c r="M1158" s="36"/>
      <c r="N1158" s="36"/>
      <c r="O1158" s="36"/>
      <c r="P1158" s="36"/>
      <c r="Q1158" s="36"/>
      <c r="R1158" s="36"/>
      <c r="S1158" s="36"/>
      <c r="T1158" s="36"/>
      <c r="U1158" s="36"/>
      <c r="V1158" s="36"/>
      <c r="W1158" s="36"/>
      <c r="X1158" s="36"/>
      <c r="Y1158" s="36"/>
      <c r="Z1158" s="36"/>
      <c r="AA1158" s="36"/>
      <c r="AB1158" s="36"/>
      <c r="AC1158" s="36"/>
    </row>
    <row r="1159" ht="15.75" customHeight="1">
      <c r="A1159" s="423">
        <v>43333.0</v>
      </c>
      <c r="B1159" s="424">
        <v>15.0105</v>
      </c>
      <c r="C1159" s="425">
        <v>16.8976</v>
      </c>
      <c r="D1159" s="425">
        <v>18.0695</v>
      </c>
      <c r="E1159" s="425">
        <v>13.5317</v>
      </c>
      <c r="F1159" s="425">
        <v>17.6155</v>
      </c>
      <c r="G1159" s="425">
        <v>13.2762</v>
      </c>
      <c r="H1159" s="425">
        <v>24.3714</v>
      </c>
      <c r="I1159" s="425">
        <v>18.0044</v>
      </c>
      <c r="J1159" s="425">
        <v>19.5203</v>
      </c>
      <c r="K1159" s="182">
        <v>11570.9</v>
      </c>
      <c r="L1159" s="36"/>
      <c r="M1159" s="36"/>
      <c r="N1159" s="36"/>
      <c r="O1159" s="36"/>
      <c r="P1159" s="36"/>
      <c r="Q1159" s="36"/>
      <c r="R1159" s="36"/>
      <c r="S1159" s="36"/>
      <c r="T1159" s="36"/>
      <c r="U1159" s="36"/>
      <c r="V1159" s="36"/>
      <c r="W1159" s="36"/>
      <c r="X1159" s="36"/>
      <c r="Y1159" s="36"/>
      <c r="Z1159" s="36"/>
      <c r="AA1159" s="36"/>
      <c r="AB1159" s="36"/>
      <c r="AC1159" s="36"/>
    </row>
    <row r="1160" ht="15.75" customHeight="1">
      <c r="A1160" s="423">
        <v>43333.0</v>
      </c>
      <c r="B1160" s="424">
        <v>15.0105</v>
      </c>
      <c r="C1160" s="425">
        <v>16.8976</v>
      </c>
      <c r="D1160" s="425">
        <v>18.0869</v>
      </c>
      <c r="E1160" s="425">
        <v>13.5317</v>
      </c>
      <c r="F1160" s="425">
        <v>17.6155</v>
      </c>
      <c r="G1160" s="425">
        <v>13.2762</v>
      </c>
      <c r="H1160" s="425">
        <v>24.2504</v>
      </c>
      <c r="I1160" s="425">
        <v>17.8762</v>
      </c>
      <c r="J1160" s="425">
        <v>19.5203</v>
      </c>
      <c r="K1160" s="182">
        <v>11570.9</v>
      </c>
      <c r="L1160" s="36"/>
      <c r="M1160" s="36"/>
      <c r="N1160" s="36"/>
      <c r="O1160" s="36"/>
      <c r="P1160" s="36"/>
      <c r="Q1160" s="36"/>
      <c r="R1160" s="36"/>
      <c r="S1160" s="36"/>
      <c r="T1160" s="36"/>
      <c r="U1160" s="36"/>
      <c r="V1160" s="36"/>
      <c r="W1160" s="36"/>
      <c r="X1160" s="36"/>
      <c r="Y1160" s="36"/>
      <c r="Z1160" s="36"/>
      <c r="AA1160" s="36"/>
      <c r="AB1160" s="36"/>
      <c r="AC1160" s="36"/>
    </row>
    <row r="1161" ht="15.75" customHeight="1">
      <c r="A1161" s="423">
        <v>43335.0</v>
      </c>
      <c r="B1161" s="424">
        <v>15.0369</v>
      </c>
      <c r="C1161" s="425">
        <v>16.9079</v>
      </c>
      <c r="D1161" s="425">
        <v>18.0231</v>
      </c>
      <c r="E1161" s="425">
        <v>13.5048</v>
      </c>
      <c r="F1161" s="425">
        <v>17.6539</v>
      </c>
      <c r="G1161" s="425">
        <v>13.2767</v>
      </c>
      <c r="H1161" s="425">
        <v>24.5825</v>
      </c>
      <c r="I1161" s="425">
        <v>18.0825</v>
      </c>
      <c r="J1161" s="425">
        <v>19.7967</v>
      </c>
      <c r="K1161" s="182">
        <v>11582.75</v>
      </c>
      <c r="L1161" s="36"/>
      <c r="M1161" s="36"/>
      <c r="N1161" s="36"/>
      <c r="O1161" s="36"/>
      <c r="P1161" s="36"/>
      <c r="Q1161" s="36"/>
      <c r="R1161" s="36"/>
      <c r="S1161" s="36"/>
      <c r="T1161" s="36"/>
      <c r="U1161" s="36"/>
      <c r="V1161" s="36"/>
      <c r="W1161" s="36"/>
      <c r="X1161" s="36"/>
      <c r="Y1161" s="36"/>
      <c r="Z1161" s="36"/>
      <c r="AA1161" s="36"/>
      <c r="AB1161" s="36"/>
      <c r="AC1161" s="36"/>
    </row>
    <row r="1162" ht="15.75" customHeight="1">
      <c r="A1162" s="423">
        <v>43335.0</v>
      </c>
      <c r="B1162" s="424">
        <v>15.0369</v>
      </c>
      <c r="C1162" s="425">
        <v>16.9079</v>
      </c>
      <c r="D1162" s="425">
        <v>18.0645</v>
      </c>
      <c r="E1162" s="425">
        <v>13.5048</v>
      </c>
      <c r="F1162" s="425">
        <v>17.6539</v>
      </c>
      <c r="G1162" s="425">
        <v>13.2767</v>
      </c>
      <c r="H1162" s="425">
        <v>24.4835</v>
      </c>
      <c r="I1162" s="425">
        <v>17.9819</v>
      </c>
      <c r="J1162" s="425">
        <v>19.7967</v>
      </c>
      <c r="K1162" s="182">
        <v>11582.75</v>
      </c>
      <c r="L1162" s="36"/>
      <c r="M1162" s="36"/>
      <c r="N1162" s="36"/>
      <c r="O1162" s="36"/>
      <c r="P1162" s="36"/>
      <c r="Q1162" s="36"/>
      <c r="R1162" s="36"/>
      <c r="S1162" s="36"/>
      <c r="T1162" s="36"/>
      <c r="U1162" s="36"/>
      <c r="V1162" s="36"/>
      <c r="W1162" s="36"/>
      <c r="X1162" s="36"/>
      <c r="Y1162" s="36"/>
      <c r="Z1162" s="36"/>
      <c r="AA1162" s="36"/>
      <c r="AB1162" s="36"/>
      <c r="AC1162" s="36"/>
    </row>
    <row r="1163" ht="15.75" customHeight="1">
      <c r="A1163" s="423">
        <v>43335.0</v>
      </c>
      <c r="B1163" s="424">
        <v>15.0369</v>
      </c>
      <c r="C1163" s="425">
        <v>16.9106</v>
      </c>
      <c r="D1163" s="425">
        <v>18.0615</v>
      </c>
      <c r="E1163" s="425">
        <v>13.5048</v>
      </c>
      <c r="F1163" s="425">
        <v>17.6539</v>
      </c>
      <c r="G1163" s="425">
        <v>13.2767</v>
      </c>
      <c r="H1163" s="425">
        <v>24.3792</v>
      </c>
      <c r="I1163" s="425">
        <v>18.0055</v>
      </c>
      <c r="J1163" s="425">
        <v>19.8284</v>
      </c>
      <c r="K1163" s="182">
        <v>11582.75</v>
      </c>
      <c r="L1163" s="36"/>
      <c r="M1163" s="36"/>
      <c r="N1163" s="36"/>
      <c r="O1163" s="36"/>
      <c r="P1163" s="36"/>
      <c r="Q1163" s="36"/>
      <c r="R1163" s="36"/>
      <c r="S1163" s="36"/>
      <c r="T1163" s="36"/>
      <c r="U1163" s="36"/>
      <c r="V1163" s="36"/>
      <c r="W1163" s="36"/>
      <c r="X1163" s="36"/>
      <c r="Y1163" s="36"/>
      <c r="Z1163" s="36"/>
      <c r="AA1163" s="36"/>
      <c r="AB1163" s="36"/>
      <c r="AC1163" s="36"/>
    </row>
    <row r="1164" ht="15.75" customHeight="1">
      <c r="A1164" s="423">
        <v>43335.0</v>
      </c>
      <c r="B1164" s="424">
        <v>15.0369</v>
      </c>
      <c r="C1164" s="425">
        <v>16.9106</v>
      </c>
      <c r="D1164" s="425">
        <v>18.0339</v>
      </c>
      <c r="E1164" s="425">
        <v>13.5048</v>
      </c>
      <c r="F1164" s="425">
        <v>17.6539</v>
      </c>
      <c r="G1164" s="425">
        <v>13.2767</v>
      </c>
      <c r="H1164" s="425">
        <v>24.3357</v>
      </c>
      <c r="I1164" s="425">
        <v>18.0863</v>
      </c>
      <c r="J1164" s="425">
        <v>19.8284</v>
      </c>
      <c r="K1164" s="182">
        <v>11582.75</v>
      </c>
      <c r="L1164" s="36"/>
      <c r="M1164" s="36"/>
      <c r="N1164" s="36"/>
      <c r="O1164" s="36"/>
      <c r="P1164" s="36"/>
      <c r="Q1164" s="36"/>
      <c r="R1164" s="36"/>
      <c r="S1164" s="36"/>
      <c r="T1164" s="36"/>
      <c r="U1164" s="36"/>
      <c r="V1164" s="36"/>
      <c r="W1164" s="36"/>
      <c r="X1164" s="36"/>
      <c r="Y1164" s="36"/>
      <c r="Z1164" s="36"/>
      <c r="AA1164" s="36"/>
      <c r="AB1164" s="36"/>
      <c r="AC1164" s="36"/>
    </row>
    <row r="1165" ht="15.75" customHeight="1">
      <c r="A1165" s="423">
        <v>43336.0</v>
      </c>
      <c r="B1165" s="424">
        <v>14.9992</v>
      </c>
      <c r="C1165" s="425">
        <v>16.9091</v>
      </c>
      <c r="D1165" s="425">
        <v>17.9925</v>
      </c>
      <c r="E1165" s="425">
        <v>13.502</v>
      </c>
      <c r="F1165" s="425">
        <v>17.5907</v>
      </c>
      <c r="G1165" s="425">
        <v>13.2779</v>
      </c>
      <c r="H1165" s="425">
        <v>24.4418</v>
      </c>
      <c r="I1165" s="425">
        <v>18.0568</v>
      </c>
      <c r="J1165" s="425">
        <v>19.6592</v>
      </c>
      <c r="K1165" s="182">
        <v>11557.1</v>
      </c>
      <c r="L1165" s="36"/>
      <c r="M1165" s="36"/>
      <c r="N1165" s="36"/>
      <c r="O1165" s="36"/>
      <c r="P1165" s="36"/>
      <c r="Q1165" s="36"/>
      <c r="R1165" s="36"/>
      <c r="S1165" s="36"/>
      <c r="T1165" s="36"/>
      <c r="U1165" s="36"/>
      <c r="V1165" s="36"/>
      <c r="W1165" s="36"/>
      <c r="X1165" s="36"/>
      <c r="Y1165" s="36"/>
      <c r="Z1165" s="36"/>
      <c r="AA1165" s="36"/>
      <c r="AB1165" s="36"/>
      <c r="AC1165" s="36"/>
    </row>
    <row r="1166" ht="15.75" customHeight="1">
      <c r="A1166" s="423">
        <v>43336.0</v>
      </c>
      <c r="B1166" s="424">
        <v>14.9992</v>
      </c>
      <c r="C1166" s="425">
        <v>16.9091</v>
      </c>
      <c r="D1166" s="425">
        <v>18.0151</v>
      </c>
      <c r="E1166" s="425">
        <v>13.502</v>
      </c>
      <c r="F1166" s="425">
        <v>17.5907</v>
      </c>
      <c r="G1166" s="425">
        <v>13.2779</v>
      </c>
      <c r="H1166" s="425">
        <v>24.5042</v>
      </c>
      <c r="I1166" s="425">
        <v>18.0936</v>
      </c>
      <c r="J1166" s="425">
        <v>19.6592</v>
      </c>
      <c r="K1166" s="182">
        <v>11557.1</v>
      </c>
      <c r="L1166" s="36"/>
      <c r="M1166" s="36"/>
      <c r="N1166" s="36"/>
      <c r="O1166" s="36"/>
      <c r="P1166" s="36"/>
      <c r="Q1166" s="36"/>
      <c r="R1166" s="36"/>
      <c r="S1166" s="36"/>
      <c r="T1166" s="36"/>
      <c r="U1166" s="36"/>
      <c r="V1166" s="36"/>
      <c r="W1166" s="36"/>
      <c r="X1166" s="36"/>
      <c r="Y1166" s="36"/>
      <c r="Z1166" s="36"/>
      <c r="AA1166" s="36"/>
      <c r="AB1166" s="36"/>
      <c r="AC1166" s="36"/>
    </row>
    <row r="1167" ht="15.75" customHeight="1">
      <c r="A1167" s="423">
        <v>43336.0</v>
      </c>
      <c r="B1167" s="424">
        <v>14.9992</v>
      </c>
      <c r="C1167" s="425">
        <v>16.909</v>
      </c>
      <c r="D1167" s="425">
        <v>18.0422</v>
      </c>
      <c r="E1167" s="425">
        <v>13.502</v>
      </c>
      <c r="F1167" s="425">
        <v>17.5907</v>
      </c>
      <c r="G1167" s="425">
        <v>13.2779</v>
      </c>
      <c r="H1167" s="425">
        <v>24.4165</v>
      </c>
      <c r="I1167" s="425">
        <v>17.9766</v>
      </c>
      <c r="J1167" s="425">
        <v>19.7286</v>
      </c>
      <c r="K1167" s="182">
        <v>11557.1</v>
      </c>
      <c r="L1167" s="36"/>
      <c r="M1167" s="36"/>
      <c r="N1167" s="36"/>
      <c r="O1167" s="36"/>
      <c r="P1167" s="36"/>
      <c r="Q1167" s="36"/>
      <c r="R1167" s="36"/>
      <c r="S1167" s="36"/>
      <c r="T1167" s="36"/>
      <c r="U1167" s="36"/>
      <c r="V1167" s="36"/>
      <c r="W1167" s="36"/>
      <c r="X1167" s="36"/>
      <c r="Y1167" s="36"/>
      <c r="Z1167" s="36"/>
      <c r="AA1167" s="36"/>
      <c r="AB1167" s="36"/>
      <c r="AC1167" s="36"/>
    </row>
    <row r="1168" ht="15.75" customHeight="1">
      <c r="A1168" s="423">
        <v>43336.0</v>
      </c>
      <c r="B1168" s="424">
        <v>14.9992</v>
      </c>
      <c r="C1168" s="425">
        <v>16.909</v>
      </c>
      <c r="D1168" s="425">
        <v>18.023</v>
      </c>
      <c r="E1168" s="425">
        <v>13.502</v>
      </c>
      <c r="F1168" s="425">
        <v>17.5907</v>
      </c>
      <c r="G1168" s="425">
        <v>13.2779</v>
      </c>
      <c r="H1168" s="425">
        <v>24.3577</v>
      </c>
      <c r="I1168" s="425">
        <v>17.9754</v>
      </c>
      <c r="J1168" s="425">
        <v>19.7286</v>
      </c>
      <c r="K1168" s="182">
        <v>11557.1</v>
      </c>
      <c r="L1168" s="36"/>
      <c r="M1168" s="36"/>
      <c r="N1168" s="36"/>
      <c r="O1168" s="36"/>
      <c r="P1168" s="36"/>
      <c r="Q1168" s="36"/>
      <c r="R1168" s="36"/>
      <c r="S1168" s="36"/>
      <c r="T1168" s="36"/>
      <c r="U1168" s="36"/>
      <c r="V1168" s="36"/>
      <c r="W1168" s="36"/>
      <c r="X1168" s="36"/>
      <c r="Y1168" s="36"/>
      <c r="Z1168" s="36"/>
      <c r="AA1168" s="36"/>
      <c r="AB1168" s="36"/>
      <c r="AC1168" s="36"/>
    </row>
    <row r="1169" ht="15.75" customHeight="1">
      <c r="A1169" s="423">
        <v>43339.0</v>
      </c>
      <c r="B1169" s="424">
        <v>15.146</v>
      </c>
      <c r="C1169" s="425">
        <v>16.9251</v>
      </c>
      <c r="D1169" s="425">
        <v>17.9414</v>
      </c>
      <c r="E1169" s="425">
        <v>13.4983</v>
      </c>
      <c r="F1169" s="425">
        <v>17.756</v>
      </c>
      <c r="G1169" s="425">
        <v>13.2829</v>
      </c>
      <c r="H1169" s="425">
        <v>24.4761</v>
      </c>
      <c r="I1169" s="425">
        <v>18.3127</v>
      </c>
      <c r="J1169" s="425">
        <v>19.3995</v>
      </c>
      <c r="K1169" s="182">
        <v>11691.95</v>
      </c>
      <c r="L1169" s="36"/>
      <c r="M1169" s="36"/>
      <c r="N1169" s="36"/>
      <c r="O1169" s="36"/>
      <c r="P1169" s="36"/>
      <c r="Q1169" s="36"/>
      <c r="R1169" s="36"/>
      <c r="S1169" s="36"/>
      <c r="T1169" s="36"/>
      <c r="U1169" s="36"/>
      <c r="V1169" s="36"/>
      <c r="W1169" s="36"/>
      <c r="X1169" s="36"/>
      <c r="Y1169" s="36"/>
      <c r="Z1169" s="36"/>
      <c r="AA1169" s="36"/>
      <c r="AB1169" s="36"/>
      <c r="AC1169" s="36"/>
    </row>
    <row r="1170" ht="15.75" customHeight="1">
      <c r="A1170" s="423">
        <v>43339.0</v>
      </c>
      <c r="B1170" s="424">
        <v>15.146</v>
      </c>
      <c r="C1170" s="425">
        <v>16.9251</v>
      </c>
      <c r="D1170" s="425">
        <v>17.9307</v>
      </c>
      <c r="E1170" s="425">
        <v>13.4983</v>
      </c>
      <c r="F1170" s="425">
        <v>17.756</v>
      </c>
      <c r="G1170" s="425">
        <v>13.2829</v>
      </c>
      <c r="H1170" s="425">
        <v>24.2225</v>
      </c>
      <c r="I1170" s="425">
        <v>18.0325</v>
      </c>
      <c r="J1170" s="425">
        <v>19.3995</v>
      </c>
      <c r="K1170" s="182">
        <v>11691.95</v>
      </c>
      <c r="L1170" s="36"/>
      <c r="M1170" s="36"/>
      <c r="N1170" s="36"/>
      <c r="O1170" s="36"/>
      <c r="P1170" s="36"/>
      <c r="Q1170" s="36"/>
      <c r="R1170" s="36"/>
      <c r="S1170" s="36"/>
      <c r="T1170" s="36"/>
      <c r="U1170" s="36"/>
      <c r="V1170" s="36"/>
      <c r="W1170" s="36"/>
      <c r="X1170" s="36"/>
      <c r="Y1170" s="36"/>
      <c r="Z1170" s="36"/>
      <c r="AA1170" s="36"/>
      <c r="AB1170" s="36"/>
      <c r="AC1170" s="36"/>
    </row>
    <row r="1171" ht="15.75" customHeight="1">
      <c r="A1171" s="423">
        <v>43339.0</v>
      </c>
      <c r="B1171" s="424">
        <v>15.146</v>
      </c>
      <c r="C1171" s="425">
        <v>16.9199</v>
      </c>
      <c r="D1171" s="425">
        <v>17.9781</v>
      </c>
      <c r="E1171" s="425">
        <v>13.4983</v>
      </c>
      <c r="F1171" s="425">
        <v>17.756</v>
      </c>
      <c r="G1171" s="425">
        <v>13.2829</v>
      </c>
      <c r="H1171" s="425">
        <v>24.2901</v>
      </c>
      <c r="I1171" s="425">
        <v>18.0225</v>
      </c>
      <c r="J1171" s="425">
        <v>19.544</v>
      </c>
      <c r="K1171" s="182">
        <v>11691.95</v>
      </c>
      <c r="L1171" s="36"/>
      <c r="M1171" s="36"/>
      <c r="N1171" s="36"/>
      <c r="O1171" s="36"/>
      <c r="P1171" s="36"/>
      <c r="Q1171" s="36"/>
      <c r="R1171" s="36"/>
      <c r="S1171" s="36"/>
      <c r="T1171" s="36"/>
      <c r="U1171" s="36"/>
      <c r="V1171" s="36"/>
      <c r="W1171" s="36"/>
      <c r="X1171" s="36"/>
      <c r="Y1171" s="36"/>
      <c r="Z1171" s="36"/>
      <c r="AA1171" s="36"/>
      <c r="AB1171" s="36"/>
      <c r="AC1171" s="36"/>
    </row>
    <row r="1172" ht="15.75" customHeight="1">
      <c r="A1172" s="423">
        <v>43339.0</v>
      </c>
      <c r="B1172" s="424">
        <v>15.146</v>
      </c>
      <c r="C1172" s="425">
        <v>16.9199</v>
      </c>
      <c r="D1172" s="425">
        <v>17.9815</v>
      </c>
      <c r="E1172" s="425">
        <v>13.4983</v>
      </c>
      <c r="F1172" s="425">
        <v>17.756</v>
      </c>
      <c r="G1172" s="425">
        <v>13.2829</v>
      </c>
      <c r="H1172" s="425">
        <v>24.3123</v>
      </c>
      <c r="I1172" s="425">
        <v>18.0177</v>
      </c>
      <c r="J1172" s="425">
        <v>19.544</v>
      </c>
      <c r="K1172" s="182">
        <v>11691.95</v>
      </c>
      <c r="L1172" s="36"/>
      <c r="M1172" s="36"/>
      <c r="N1172" s="36"/>
      <c r="O1172" s="36"/>
      <c r="P1172" s="36"/>
      <c r="Q1172" s="36"/>
      <c r="R1172" s="36"/>
      <c r="S1172" s="36"/>
      <c r="T1172" s="36"/>
      <c r="U1172" s="36"/>
      <c r="V1172" s="36"/>
      <c r="W1172" s="36"/>
      <c r="X1172" s="36"/>
      <c r="Y1172" s="36"/>
      <c r="Z1172" s="36"/>
      <c r="AA1172" s="36"/>
      <c r="AB1172" s="36"/>
      <c r="AC1172" s="36"/>
    </row>
    <row r="1173" ht="15.75" customHeight="1">
      <c r="A1173" s="423">
        <v>43340.0</v>
      </c>
      <c r="B1173" s="424">
        <v>15.175</v>
      </c>
      <c r="C1173" s="425">
        <v>16.9574</v>
      </c>
      <c r="D1173" s="425">
        <v>18.0371</v>
      </c>
      <c r="E1173" s="425">
        <v>13.4952</v>
      </c>
      <c r="F1173" s="425">
        <v>17.8048</v>
      </c>
      <c r="G1173" s="425">
        <v>13.2837</v>
      </c>
      <c r="H1173" s="425">
        <v>25.0756</v>
      </c>
      <c r="I1173" s="425">
        <v>18.4084</v>
      </c>
      <c r="J1173" s="425">
        <v>19.3831</v>
      </c>
      <c r="K1173" s="182">
        <v>11738.5</v>
      </c>
      <c r="L1173" s="36"/>
      <c r="M1173" s="36"/>
      <c r="N1173" s="36"/>
      <c r="O1173" s="36"/>
      <c r="P1173" s="36"/>
      <c r="Q1173" s="36"/>
      <c r="R1173" s="36"/>
      <c r="S1173" s="36"/>
      <c r="T1173" s="36"/>
      <c r="U1173" s="36"/>
      <c r="V1173" s="36"/>
      <c r="W1173" s="36"/>
      <c r="X1173" s="36"/>
      <c r="Y1173" s="36"/>
      <c r="Z1173" s="36"/>
      <c r="AA1173" s="36"/>
      <c r="AB1173" s="36"/>
      <c r="AC1173" s="36"/>
    </row>
    <row r="1174" ht="15.75" customHeight="1">
      <c r="A1174" s="423">
        <v>43340.0</v>
      </c>
      <c r="B1174" s="424">
        <v>15.175</v>
      </c>
      <c r="C1174" s="425">
        <v>16.9574</v>
      </c>
      <c r="D1174" s="425">
        <v>18.0337</v>
      </c>
      <c r="E1174" s="425">
        <v>13.4952</v>
      </c>
      <c r="F1174" s="425">
        <v>17.8048</v>
      </c>
      <c r="G1174" s="425">
        <v>13.2837</v>
      </c>
      <c r="H1174" s="425">
        <v>24.9949</v>
      </c>
      <c r="I1174" s="425">
        <v>18.4574</v>
      </c>
      <c r="J1174" s="425">
        <v>19.3831</v>
      </c>
      <c r="K1174" s="182">
        <v>11738.5</v>
      </c>
      <c r="L1174" s="36"/>
      <c r="M1174" s="36"/>
      <c r="N1174" s="36"/>
      <c r="O1174" s="36"/>
      <c r="P1174" s="36"/>
      <c r="Q1174" s="36"/>
      <c r="R1174" s="36"/>
      <c r="S1174" s="36"/>
      <c r="T1174" s="36"/>
      <c r="U1174" s="36"/>
      <c r="V1174" s="36"/>
      <c r="W1174" s="36"/>
      <c r="X1174" s="36"/>
      <c r="Y1174" s="36"/>
      <c r="Z1174" s="36"/>
      <c r="AA1174" s="36"/>
      <c r="AB1174" s="36"/>
      <c r="AC1174" s="36"/>
    </row>
    <row r="1175" ht="15.75" customHeight="1">
      <c r="A1175" s="423">
        <v>43340.0</v>
      </c>
      <c r="B1175" s="424">
        <v>15.175</v>
      </c>
      <c r="C1175" s="425">
        <v>16.9415</v>
      </c>
      <c r="D1175" s="425">
        <v>18.041</v>
      </c>
      <c r="E1175" s="425">
        <v>13.4952</v>
      </c>
      <c r="F1175" s="425">
        <v>17.8048</v>
      </c>
      <c r="G1175" s="425">
        <v>13.2837</v>
      </c>
      <c r="H1175" s="425">
        <v>24.9768</v>
      </c>
      <c r="I1175" s="425">
        <v>18.4481</v>
      </c>
      <c r="J1175" s="425">
        <v>19.2736</v>
      </c>
      <c r="K1175" s="182">
        <v>11738.5</v>
      </c>
      <c r="L1175" s="36"/>
      <c r="M1175" s="36"/>
      <c r="N1175" s="36"/>
      <c r="O1175" s="36"/>
      <c r="P1175" s="36"/>
      <c r="Q1175" s="36"/>
      <c r="R1175" s="36"/>
      <c r="S1175" s="36"/>
      <c r="T1175" s="36"/>
      <c r="U1175" s="36"/>
      <c r="V1175" s="36"/>
      <c r="W1175" s="36"/>
      <c r="X1175" s="36"/>
      <c r="Y1175" s="36"/>
      <c r="Z1175" s="36"/>
      <c r="AA1175" s="36"/>
      <c r="AB1175" s="36"/>
      <c r="AC1175" s="36"/>
    </row>
    <row r="1176" ht="15.75" customHeight="1">
      <c r="A1176" s="423">
        <v>43340.0</v>
      </c>
      <c r="B1176" s="424">
        <v>15.175</v>
      </c>
      <c r="C1176" s="425">
        <v>16.9415</v>
      </c>
      <c r="D1176" s="425">
        <v>18.0005</v>
      </c>
      <c r="E1176" s="425">
        <v>13.4952</v>
      </c>
      <c r="F1176" s="425">
        <v>17.8048</v>
      </c>
      <c r="G1176" s="425">
        <v>13.2837</v>
      </c>
      <c r="H1176" s="425">
        <v>24.7321</v>
      </c>
      <c r="I1176" s="425">
        <v>18.3256</v>
      </c>
      <c r="J1176" s="425">
        <v>19.2736</v>
      </c>
      <c r="K1176" s="182">
        <v>11738.5</v>
      </c>
      <c r="L1176" s="36"/>
      <c r="M1176" s="36"/>
      <c r="N1176" s="36"/>
      <c r="O1176" s="36"/>
      <c r="P1176" s="36"/>
      <c r="Q1176" s="36"/>
      <c r="R1176" s="36"/>
      <c r="S1176" s="36"/>
      <c r="T1176" s="36"/>
      <c r="U1176" s="36"/>
      <c r="V1176" s="36"/>
      <c r="W1176" s="36"/>
      <c r="X1176" s="36"/>
      <c r="Y1176" s="36"/>
      <c r="Z1176" s="36"/>
      <c r="AA1176" s="36"/>
      <c r="AB1176" s="36"/>
      <c r="AC1176" s="36"/>
    </row>
    <row r="1177" ht="15.75" customHeight="1">
      <c r="A1177" s="423">
        <v>43341.0</v>
      </c>
      <c r="B1177" s="424">
        <v>15.1095</v>
      </c>
      <c r="C1177" s="425">
        <v>16.9729</v>
      </c>
      <c r="D1177" s="425">
        <v>18.1586</v>
      </c>
      <c r="E1177" s="425">
        <v>13.4898</v>
      </c>
      <c r="F1177" s="425">
        <v>17.7385</v>
      </c>
      <c r="G1177" s="425">
        <v>13.2844</v>
      </c>
      <c r="H1177" s="425">
        <v>25.0923</v>
      </c>
      <c r="I1177" s="425">
        <v>18.4055</v>
      </c>
      <c r="J1177" s="425">
        <v>19.5656</v>
      </c>
      <c r="K1177" s="182">
        <v>11691.9</v>
      </c>
      <c r="L1177" s="36"/>
      <c r="M1177" s="36"/>
      <c r="N1177" s="36"/>
      <c r="O1177" s="36"/>
      <c r="P1177" s="36"/>
      <c r="Q1177" s="36"/>
      <c r="R1177" s="36"/>
      <c r="S1177" s="36"/>
      <c r="T1177" s="36"/>
      <c r="U1177" s="36"/>
      <c r="V1177" s="36"/>
      <c r="W1177" s="36"/>
      <c r="X1177" s="36"/>
      <c r="Y1177" s="36"/>
      <c r="Z1177" s="36"/>
      <c r="AA1177" s="36"/>
      <c r="AB1177" s="36"/>
      <c r="AC1177" s="36"/>
    </row>
    <row r="1178" ht="15.75" customHeight="1">
      <c r="A1178" s="423">
        <v>43341.0</v>
      </c>
      <c r="B1178" s="424">
        <v>15.1095</v>
      </c>
      <c r="C1178" s="425">
        <v>16.9729</v>
      </c>
      <c r="D1178" s="425">
        <v>18.14</v>
      </c>
      <c r="E1178" s="425">
        <v>13.4898</v>
      </c>
      <c r="F1178" s="425">
        <v>17.7385</v>
      </c>
      <c r="G1178" s="425">
        <v>13.2844</v>
      </c>
      <c r="H1178" s="425">
        <v>25.0246</v>
      </c>
      <c r="I1178" s="425">
        <v>18.3445</v>
      </c>
      <c r="J1178" s="425">
        <v>19.5656</v>
      </c>
      <c r="K1178" s="182">
        <v>11691.9</v>
      </c>
      <c r="L1178" s="36"/>
      <c r="M1178" s="36"/>
      <c r="N1178" s="36"/>
      <c r="O1178" s="36"/>
      <c r="P1178" s="36"/>
      <c r="Q1178" s="36"/>
      <c r="R1178" s="36"/>
      <c r="S1178" s="36"/>
      <c r="T1178" s="36"/>
      <c r="U1178" s="36"/>
      <c r="V1178" s="36"/>
      <c r="W1178" s="36"/>
      <c r="X1178" s="36"/>
      <c r="Y1178" s="36"/>
      <c r="Z1178" s="36"/>
      <c r="AA1178" s="36"/>
      <c r="AB1178" s="36"/>
      <c r="AC1178" s="36"/>
    </row>
    <row r="1179" ht="15.75" customHeight="1">
      <c r="A1179" s="423">
        <v>43341.0</v>
      </c>
      <c r="B1179" s="424">
        <v>15.1095</v>
      </c>
      <c r="C1179" s="425">
        <v>16.9547</v>
      </c>
      <c r="D1179" s="425">
        <v>18.1105</v>
      </c>
      <c r="E1179" s="425">
        <v>13.4898</v>
      </c>
      <c r="F1179" s="425">
        <v>17.7385</v>
      </c>
      <c r="G1179" s="425">
        <v>13.2844</v>
      </c>
      <c r="H1179" s="425">
        <v>24.8677</v>
      </c>
      <c r="I1179" s="425">
        <v>18.2426</v>
      </c>
      <c r="J1179" s="425">
        <v>19.3381</v>
      </c>
      <c r="K1179" s="182">
        <v>11691.9</v>
      </c>
      <c r="L1179" s="36"/>
      <c r="M1179" s="36"/>
      <c r="N1179" s="36"/>
      <c r="O1179" s="36"/>
      <c r="P1179" s="36"/>
      <c r="Q1179" s="36"/>
      <c r="R1179" s="36"/>
      <c r="S1179" s="36"/>
      <c r="T1179" s="36"/>
      <c r="U1179" s="36"/>
      <c r="V1179" s="36"/>
      <c r="W1179" s="36"/>
      <c r="X1179" s="36"/>
      <c r="Y1179" s="36"/>
      <c r="Z1179" s="36"/>
      <c r="AA1179" s="36"/>
      <c r="AB1179" s="36"/>
      <c r="AC1179" s="36"/>
    </row>
    <row r="1180" ht="15.75" customHeight="1">
      <c r="A1180" s="423">
        <v>43341.0</v>
      </c>
      <c r="B1180" s="424">
        <v>15.1095</v>
      </c>
      <c r="C1180" s="425">
        <v>16.9547</v>
      </c>
      <c r="D1180" s="425">
        <v>18.0482</v>
      </c>
      <c r="E1180" s="425">
        <v>13.4898</v>
      </c>
      <c r="F1180" s="425">
        <v>17.7385</v>
      </c>
      <c r="G1180" s="425">
        <v>13.2844</v>
      </c>
      <c r="H1180" s="425">
        <v>25.0676</v>
      </c>
      <c r="I1180" s="425">
        <v>18.3938</v>
      </c>
      <c r="J1180" s="425">
        <v>19.3381</v>
      </c>
      <c r="K1180" s="182">
        <v>11691.9</v>
      </c>
      <c r="L1180" s="36"/>
      <c r="M1180" s="36"/>
      <c r="N1180" s="36"/>
      <c r="O1180" s="36"/>
      <c r="P1180" s="36"/>
      <c r="Q1180" s="36"/>
      <c r="R1180" s="36"/>
      <c r="S1180" s="36"/>
      <c r="T1180" s="36"/>
      <c r="U1180" s="36"/>
      <c r="V1180" s="36"/>
      <c r="W1180" s="36"/>
      <c r="X1180" s="36"/>
      <c r="Y1180" s="36"/>
      <c r="Z1180" s="36"/>
      <c r="AA1180" s="36"/>
      <c r="AB1180" s="36"/>
      <c r="AC1180" s="36"/>
    </row>
    <row r="1181" ht="15.75" customHeight="1">
      <c r="A1181" s="423">
        <v>43342.0</v>
      </c>
      <c r="B1181" s="424">
        <v>15.091</v>
      </c>
      <c r="C1181" s="425">
        <v>16.9881</v>
      </c>
      <c r="D1181" s="425">
        <v>18.2423</v>
      </c>
      <c r="E1181" s="425">
        <v>13.4796</v>
      </c>
      <c r="F1181" s="425">
        <v>17.724</v>
      </c>
      <c r="G1181" s="425">
        <v>13.283</v>
      </c>
      <c r="H1181" s="425">
        <v>25.4769</v>
      </c>
      <c r="I1181" s="425">
        <v>18.5912</v>
      </c>
      <c r="J1181" s="425">
        <v>19.6013</v>
      </c>
      <c r="K1181" s="182">
        <v>11676.8</v>
      </c>
      <c r="L1181" s="36"/>
      <c r="M1181" s="36"/>
      <c r="N1181" s="36"/>
      <c r="O1181" s="36"/>
      <c r="P1181" s="36"/>
      <c r="Q1181" s="36"/>
      <c r="R1181" s="36"/>
      <c r="S1181" s="36"/>
      <c r="T1181" s="36"/>
      <c r="U1181" s="36"/>
      <c r="V1181" s="36"/>
      <c r="W1181" s="36"/>
      <c r="X1181" s="36"/>
      <c r="Y1181" s="36"/>
      <c r="Z1181" s="36"/>
      <c r="AA1181" s="36"/>
      <c r="AB1181" s="36"/>
      <c r="AC1181" s="36"/>
    </row>
    <row r="1182" ht="15.75" customHeight="1">
      <c r="A1182" s="423">
        <v>43342.0</v>
      </c>
      <c r="B1182" s="424">
        <v>15.091</v>
      </c>
      <c r="C1182" s="425">
        <v>16.9881</v>
      </c>
      <c r="D1182" s="425">
        <v>18.2286</v>
      </c>
      <c r="E1182" s="425">
        <v>13.4796</v>
      </c>
      <c r="F1182" s="425">
        <v>17.724</v>
      </c>
      <c r="G1182" s="425">
        <v>13.283</v>
      </c>
      <c r="H1182" s="425">
        <v>25.3546</v>
      </c>
      <c r="I1182" s="425">
        <v>18.4628</v>
      </c>
      <c r="J1182" s="425">
        <v>19.6013</v>
      </c>
      <c r="K1182" s="182">
        <v>11676.8</v>
      </c>
      <c r="L1182" s="36"/>
      <c r="M1182" s="36"/>
      <c r="N1182" s="36"/>
      <c r="O1182" s="36"/>
      <c r="P1182" s="36"/>
      <c r="Q1182" s="36"/>
      <c r="R1182" s="36"/>
      <c r="S1182" s="36"/>
      <c r="T1182" s="36"/>
      <c r="U1182" s="36"/>
      <c r="V1182" s="36"/>
      <c r="W1182" s="36"/>
      <c r="X1182" s="36"/>
      <c r="Y1182" s="36"/>
      <c r="Z1182" s="36"/>
      <c r="AA1182" s="36"/>
      <c r="AB1182" s="36"/>
      <c r="AC1182" s="36"/>
    </row>
    <row r="1183" ht="15.75" customHeight="1">
      <c r="A1183" s="423">
        <v>43342.0</v>
      </c>
      <c r="B1183" s="424">
        <v>15.091</v>
      </c>
      <c r="C1183" s="425">
        <v>16.986</v>
      </c>
      <c r="D1183" s="425">
        <v>18.2296</v>
      </c>
      <c r="E1183" s="425">
        <v>13.4796</v>
      </c>
      <c r="F1183" s="425">
        <v>17.724</v>
      </c>
      <c r="G1183" s="425">
        <v>13.283</v>
      </c>
      <c r="H1183" s="425">
        <v>25.275</v>
      </c>
      <c r="I1183" s="425">
        <v>18.4001</v>
      </c>
      <c r="J1183" s="425">
        <v>19.6007</v>
      </c>
      <c r="K1183" s="182">
        <v>11676.8</v>
      </c>
      <c r="L1183" s="36"/>
      <c r="M1183" s="36"/>
      <c r="N1183" s="36"/>
      <c r="O1183" s="36"/>
      <c r="P1183" s="36"/>
      <c r="Q1183" s="36"/>
      <c r="R1183" s="36"/>
      <c r="S1183" s="36"/>
      <c r="T1183" s="36"/>
      <c r="U1183" s="36"/>
      <c r="V1183" s="36"/>
      <c r="W1183" s="36"/>
      <c r="X1183" s="36"/>
      <c r="Y1183" s="36"/>
      <c r="Z1183" s="36"/>
      <c r="AA1183" s="36"/>
      <c r="AB1183" s="36"/>
      <c r="AC1183" s="36"/>
    </row>
    <row r="1184" ht="15.75" customHeight="1">
      <c r="A1184" s="423">
        <v>43342.0</v>
      </c>
      <c r="B1184" s="424">
        <v>15.091</v>
      </c>
      <c r="C1184" s="425">
        <v>16.986</v>
      </c>
      <c r="D1184" s="425">
        <v>18.2268</v>
      </c>
      <c r="E1184" s="425">
        <v>13.4796</v>
      </c>
      <c r="F1184" s="425">
        <v>17.724</v>
      </c>
      <c r="G1184" s="425">
        <v>13.283</v>
      </c>
      <c r="H1184" s="425">
        <v>25.1452</v>
      </c>
      <c r="I1184" s="425">
        <v>18.3211</v>
      </c>
      <c r="J1184" s="425">
        <v>19.6007</v>
      </c>
      <c r="K1184" s="182">
        <v>11676.8</v>
      </c>
      <c r="L1184" s="36"/>
      <c r="M1184" s="36"/>
      <c r="N1184" s="36"/>
      <c r="O1184" s="36"/>
      <c r="P1184" s="36"/>
      <c r="Q1184" s="36"/>
      <c r="R1184" s="36"/>
      <c r="S1184" s="36"/>
      <c r="T1184" s="36"/>
      <c r="U1184" s="36"/>
      <c r="V1184" s="36"/>
      <c r="W1184" s="36"/>
      <c r="X1184" s="36"/>
      <c r="Y1184" s="36"/>
      <c r="Z1184" s="36"/>
      <c r="AA1184" s="36"/>
      <c r="AB1184" s="36"/>
      <c r="AC1184" s="36"/>
    </row>
    <row r="1185" ht="15.75" customHeight="1">
      <c r="A1185" s="423">
        <v>43343.0</v>
      </c>
      <c r="B1185" s="424">
        <v>15.0969</v>
      </c>
      <c r="C1185" s="425">
        <v>17.0208</v>
      </c>
      <c r="D1185" s="425">
        <v>18.1723</v>
      </c>
      <c r="E1185" s="425">
        <v>13.4647</v>
      </c>
      <c r="F1185" s="425">
        <v>17.7341</v>
      </c>
      <c r="G1185" s="425">
        <v>13.2846</v>
      </c>
      <c r="H1185" s="425">
        <v>25.8284</v>
      </c>
      <c r="I1185" s="425">
        <v>18.7644</v>
      </c>
      <c r="J1185" s="425">
        <v>19.3932</v>
      </c>
      <c r="K1185" s="182">
        <v>11680.5</v>
      </c>
      <c r="L1185" s="36"/>
      <c r="M1185" s="36"/>
      <c r="N1185" s="36"/>
      <c r="O1185" s="36"/>
      <c r="P1185" s="36"/>
      <c r="Q1185" s="36"/>
      <c r="R1185" s="36"/>
      <c r="S1185" s="36"/>
      <c r="T1185" s="36"/>
      <c r="U1185" s="36"/>
      <c r="V1185" s="36"/>
      <c r="W1185" s="36"/>
      <c r="X1185" s="36"/>
      <c r="Y1185" s="36"/>
      <c r="Z1185" s="36"/>
      <c r="AA1185" s="36"/>
      <c r="AB1185" s="36"/>
      <c r="AC1185" s="36"/>
    </row>
    <row r="1186" ht="15.75" customHeight="1">
      <c r="A1186" s="423">
        <v>43343.0</v>
      </c>
      <c r="B1186" s="424">
        <v>15.0969</v>
      </c>
      <c r="C1186" s="425">
        <v>17.0208</v>
      </c>
      <c r="D1186" s="425">
        <v>18.2557</v>
      </c>
      <c r="E1186" s="425">
        <v>13.4647</v>
      </c>
      <c r="F1186" s="425">
        <v>17.7341</v>
      </c>
      <c r="G1186" s="425">
        <v>13.2846</v>
      </c>
      <c r="H1186" s="425">
        <v>25.8866</v>
      </c>
      <c r="I1186" s="425">
        <v>18.7705</v>
      </c>
      <c r="J1186" s="425">
        <v>19.3932</v>
      </c>
      <c r="K1186" s="182">
        <v>11680.5</v>
      </c>
      <c r="L1186" s="36"/>
      <c r="M1186" s="36"/>
      <c r="N1186" s="36"/>
      <c r="O1186" s="36"/>
      <c r="P1186" s="36"/>
      <c r="Q1186" s="36"/>
      <c r="R1186" s="36"/>
      <c r="S1186" s="36"/>
      <c r="T1186" s="36"/>
      <c r="U1186" s="36"/>
      <c r="V1186" s="36"/>
      <c r="W1186" s="36"/>
      <c r="X1186" s="36"/>
      <c r="Y1186" s="36"/>
      <c r="Z1186" s="36"/>
      <c r="AA1186" s="36"/>
      <c r="AB1186" s="36"/>
      <c r="AC1186" s="36"/>
    </row>
    <row r="1187" ht="15.75" customHeight="1">
      <c r="A1187" s="423">
        <v>43343.0</v>
      </c>
      <c r="B1187" s="424">
        <v>15.0969</v>
      </c>
      <c r="C1187" s="425">
        <v>17.0013</v>
      </c>
      <c r="D1187" s="425">
        <v>18.2599</v>
      </c>
      <c r="E1187" s="425">
        <v>13.4647</v>
      </c>
      <c r="F1187" s="425">
        <v>17.7341</v>
      </c>
      <c r="G1187" s="425">
        <v>13.2846</v>
      </c>
      <c r="H1187" s="425">
        <v>25.7759</v>
      </c>
      <c r="I1187" s="425">
        <v>18.6724</v>
      </c>
      <c r="J1187" s="425">
        <v>19.5725</v>
      </c>
      <c r="K1187" s="182">
        <v>11680.5</v>
      </c>
      <c r="L1187" s="36"/>
      <c r="M1187" s="36"/>
      <c r="N1187" s="36"/>
      <c r="O1187" s="36"/>
      <c r="P1187" s="36"/>
      <c r="Q1187" s="36"/>
      <c r="R1187" s="36"/>
      <c r="S1187" s="36"/>
      <c r="T1187" s="36"/>
      <c r="U1187" s="36"/>
      <c r="V1187" s="36"/>
      <c r="W1187" s="36"/>
      <c r="X1187" s="36"/>
      <c r="Y1187" s="36"/>
      <c r="Z1187" s="36"/>
      <c r="AA1187" s="36"/>
      <c r="AB1187" s="36"/>
      <c r="AC1187" s="36"/>
    </row>
    <row r="1188" ht="15.75" customHeight="1">
      <c r="A1188" s="423">
        <v>43343.0</v>
      </c>
      <c r="B1188" s="424">
        <v>15.0969</v>
      </c>
      <c r="C1188" s="425">
        <v>17.0013</v>
      </c>
      <c r="D1188" s="425">
        <v>18.2591</v>
      </c>
      <c r="E1188" s="425">
        <v>13.4647</v>
      </c>
      <c r="F1188" s="425">
        <v>17.7341</v>
      </c>
      <c r="G1188" s="425">
        <v>13.2846</v>
      </c>
      <c r="H1188" s="425">
        <v>25.6749</v>
      </c>
      <c r="I1188" s="425">
        <v>18.5948</v>
      </c>
      <c r="J1188" s="425">
        <v>19.5725</v>
      </c>
      <c r="K1188" s="182">
        <v>11680.5</v>
      </c>
      <c r="L1188" s="36"/>
      <c r="M1188" s="36"/>
      <c r="N1188" s="36"/>
      <c r="O1188" s="36"/>
      <c r="P1188" s="36"/>
      <c r="Q1188" s="36"/>
      <c r="R1188" s="36"/>
      <c r="S1188" s="36"/>
      <c r="T1188" s="36"/>
      <c r="U1188" s="36"/>
      <c r="V1188" s="36"/>
      <c r="W1188" s="36"/>
      <c r="X1188" s="36"/>
      <c r="Y1188" s="36"/>
      <c r="Z1188" s="36"/>
      <c r="AA1188" s="36"/>
      <c r="AB1188" s="36"/>
      <c r="AC1188" s="36"/>
    </row>
    <row r="1189" ht="15.75" customHeight="1">
      <c r="A1189" s="423">
        <v>43346.0</v>
      </c>
      <c r="B1189" s="424">
        <v>14.9847</v>
      </c>
      <c r="C1189" s="425">
        <v>17.0176</v>
      </c>
      <c r="D1189" s="425">
        <v>18.2197</v>
      </c>
      <c r="E1189" s="425">
        <v>13.4398</v>
      </c>
      <c r="F1189" s="425">
        <v>17.5999</v>
      </c>
      <c r="G1189" s="425">
        <v>13.2869</v>
      </c>
      <c r="H1189" s="425">
        <v>26.049</v>
      </c>
      <c r="I1189" s="425">
        <v>18.7438</v>
      </c>
      <c r="J1189" s="425">
        <v>19.2798</v>
      </c>
      <c r="K1189" s="182">
        <v>11582.35</v>
      </c>
      <c r="L1189" s="36"/>
      <c r="M1189" s="36"/>
      <c r="N1189" s="36"/>
      <c r="O1189" s="36"/>
      <c r="P1189" s="36"/>
      <c r="Q1189" s="36"/>
      <c r="R1189" s="36"/>
      <c r="S1189" s="36"/>
      <c r="T1189" s="36"/>
      <c r="U1189" s="36"/>
      <c r="V1189" s="36"/>
      <c r="W1189" s="36"/>
      <c r="X1189" s="36"/>
      <c r="Y1189" s="36"/>
      <c r="Z1189" s="36"/>
      <c r="AA1189" s="36"/>
      <c r="AB1189" s="36"/>
      <c r="AC1189" s="36"/>
    </row>
    <row r="1190" ht="15.75" customHeight="1">
      <c r="A1190" s="423">
        <v>43346.0</v>
      </c>
      <c r="B1190" s="424">
        <v>14.9847</v>
      </c>
      <c r="C1190" s="425">
        <v>17.0176</v>
      </c>
      <c r="D1190" s="425">
        <v>18.1991</v>
      </c>
      <c r="E1190" s="425">
        <v>13.4398</v>
      </c>
      <c r="F1190" s="425">
        <v>17.5999</v>
      </c>
      <c r="G1190" s="425">
        <v>13.2869</v>
      </c>
      <c r="H1190" s="425">
        <v>26.1572</v>
      </c>
      <c r="I1190" s="425">
        <v>18.7856</v>
      </c>
      <c r="J1190" s="425">
        <v>19.2798</v>
      </c>
      <c r="K1190" s="182">
        <v>11582.35</v>
      </c>
      <c r="L1190" s="36"/>
      <c r="M1190" s="36"/>
      <c r="N1190" s="36"/>
      <c r="O1190" s="36"/>
      <c r="P1190" s="36"/>
      <c r="Q1190" s="36"/>
      <c r="R1190" s="36"/>
      <c r="S1190" s="36"/>
      <c r="T1190" s="36"/>
      <c r="U1190" s="36"/>
      <c r="V1190" s="36"/>
      <c r="W1190" s="36"/>
      <c r="X1190" s="36"/>
      <c r="Y1190" s="36"/>
      <c r="Z1190" s="36"/>
      <c r="AA1190" s="36"/>
      <c r="AB1190" s="36"/>
      <c r="AC1190" s="36"/>
    </row>
    <row r="1191" ht="15.75" customHeight="1">
      <c r="A1191" s="423">
        <v>43346.0</v>
      </c>
      <c r="B1191" s="424">
        <v>14.9847</v>
      </c>
      <c r="C1191" s="425">
        <v>17.0198</v>
      </c>
      <c r="D1191" s="425">
        <v>18.1612</v>
      </c>
      <c r="E1191" s="425">
        <v>13.4398</v>
      </c>
      <c r="F1191" s="425">
        <v>17.5999</v>
      </c>
      <c r="G1191" s="425">
        <v>13.2869</v>
      </c>
      <c r="H1191" s="425">
        <v>25.8891</v>
      </c>
      <c r="I1191" s="425">
        <v>18.6781</v>
      </c>
      <c r="J1191" s="425">
        <v>19.2581</v>
      </c>
      <c r="K1191" s="182">
        <v>11582.35</v>
      </c>
      <c r="L1191" s="36"/>
      <c r="M1191" s="36"/>
      <c r="N1191" s="36"/>
      <c r="O1191" s="36"/>
      <c r="P1191" s="36"/>
      <c r="Q1191" s="36"/>
      <c r="R1191" s="36"/>
      <c r="S1191" s="36"/>
      <c r="T1191" s="36"/>
      <c r="U1191" s="36"/>
      <c r="V1191" s="36"/>
      <c r="W1191" s="36"/>
      <c r="X1191" s="36"/>
      <c r="Y1191" s="36"/>
      <c r="Z1191" s="36"/>
      <c r="AA1191" s="36"/>
      <c r="AB1191" s="36"/>
      <c r="AC1191" s="36"/>
    </row>
    <row r="1192" ht="15.75" customHeight="1">
      <c r="A1192" s="423">
        <v>43346.0</v>
      </c>
      <c r="B1192" s="424">
        <v>14.9847</v>
      </c>
      <c r="C1192" s="425">
        <v>17.0198</v>
      </c>
      <c r="D1192" s="425">
        <v>18.1463</v>
      </c>
      <c r="E1192" s="425">
        <v>13.4398</v>
      </c>
      <c r="F1192" s="425">
        <v>17.5999</v>
      </c>
      <c r="G1192" s="425">
        <v>13.2869</v>
      </c>
      <c r="H1192" s="425">
        <v>25.7988</v>
      </c>
      <c r="I1192" s="425">
        <v>18.6631</v>
      </c>
      <c r="J1192" s="425">
        <v>19.2581</v>
      </c>
      <c r="K1192" s="182">
        <v>11582.35</v>
      </c>
      <c r="L1192" s="36"/>
      <c r="M1192" s="36"/>
      <c r="N1192" s="36"/>
      <c r="O1192" s="36"/>
      <c r="P1192" s="36"/>
      <c r="Q1192" s="36"/>
      <c r="R1192" s="36"/>
      <c r="S1192" s="36"/>
      <c r="T1192" s="36"/>
      <c r="U1192" s="36"/>
      <c r="V1192" s="36"/>
      <c r="W1192" s="36"/>
      <c r="X1192" s="36"/>
      <c r="Y1192" s="36"/>
      <c r="Z1192" s="36"/>
      <c r="AA1192" s="36"/>
      <c r="AB1192" s="36"/>
      <c r="AC1192" s="36"/>
    </row>
    <row r="1193" ht="15.75" customHeight="1">
      <c r="A1193" s="423">
        <v>43347.0</v>
      </c>
      <c r="B1193" s="424">
        <v>14.8851</v>
      </c>
      <c r="C1193" s="425">
        <v>17.0214</v>
      </c>
      <c r="D1193" s="425">
        <v>18.2598</v>
      </c>
      <c r="E1193" s="425">
        <v>13.3919</v>
      </c>
      <c r="F1193" s="425">
        <v>17.4718</v>
      </c>
      <c r="G1193" s="425">
        <v>13.2809</v>
      </c>
      <c r="H1193" s="425">
        <v>26.0735</v>
      </c>
      <c r="I1193" s="425">
        <v>18.5277</v>
      </c>
      <c r="J1193" s="425">
        <v>19.2772</v>
      </c>
      <c r="K1193" s="182">
        <v>11520.3</v>
      </c>
      <c r="L1193" s="36"/>
      <c r="M1193" s="36"/>
      <c r="N1193" s="36"/>
      <c r="O1193" s="36"/>
      <c r="P1193" s="36"/>
      <c r="Q1193" s="36"/>
      <c r="R1193" s="36"/>
      <c r="S1193" s="36"/>
      <c r="T1193" s="36"/>
      <c r="U1193" s="36"/>
      <c r="V1193" s="36"/>
      <c r="W1193" s="36"/>
      <c r="X1193" s="36"/>
      <c r="Y1193" s="36"/>
      <c r="Z1193" s="36"/>
      <c r="AA1193" s="36"/>
      <c r="AB1193" s="36"/>
      <c r="AC1193" s="36"/>
    </row>
    <row r="1194" ht="15.75" customHeight="1">
      <c r="A1194" s="423">
        <v>43347.0</v>
      </c>
      <c r="B1194" s="424">
        <v>14.8851</v>
      </c>
      <c r="C1194" s="425">
        <v>17.0214</v>
      </c>
      <c r="D1194" s="425">
        <v>18.2438</v>
      </c>
      <c r="E1194" s="425">
        <v>13.3919</v>
      </c>
      <c r="F1194" s="425">
        <v>17.4718</v>
      </c>
      <c r="G1194" s="425">
        <v>13.2809</v>
      </c>
      <c r="H1194" s="425">
        <v>25.9357</v>
      </c>
      <c r="I1194" s="425">
        <v>18.5345</v>
      </c>
      <c r="J1194" s="425">
        <v>19.2772</v>
      </c>
      <c r="K1194" s="182">
        <v>11520.3</v>
      </c>
      <c r="L1194" s="36"/>
      <c r="M1194" s="36"/>
      <c r="N1194" s="36"/>
      <c r="O1194" s="36"/>
      <c r="P1194" s="36"/>
      <c r="Q1194" s="36"/>
      <c r="R1194" s="36"/>
      <c r="S1194" s="36"/>
      <c r="T1194" s="36"/>
      <c r="U1194" s="36"/>
      <c r="V1194" s="36"/>
      <c r="W1194" s="36"/>
      <c r="X1194" s="36"/>
      <c r="Y1194" s="36"/>
      <c r="Z1194" s="36"/>
      <c r="AA1194" s="36"/>
      <c r="AB1194" s="36"/>
      <c r="AC1194" s="36"/>
    </row>
    <row r="1195" ht="15.75" customHeight="1">
      <c r="A1195" s="423">
        <v>43347.0</v>
      </c>
      <c r="B1195" s="424">
        <v>14.8851</v>
      </c>
      <c r="C1195" s="425">
        <v>17.0118</v>
      </c>
      <c r="D1195" s="425">
        <v>18.2409</v>
      </c>
      <c r="E1195" s="425">
        <v>13.3919</v>
      </c>
      <c r="F1195" s="425">
        <v>17.4718</v>
      </c>
      <c r="G1195" s="425">
        <v>13.2809</v>
      </c>
      <c r="H1195" s="425">
        <v>26.0446</v>
      </c>
      <c r="I1195" s="425">
        <v>18.5973</v>
      </c>
      <c r="J1195" s="425">
        <v>19.3202</v>
      </c>
      <c r="K1195" s="182">
        <v>11520.3</v>
      </c>
      <c r="L1195" s="36"/>
      <c r="M1195" s="36"/>
      <c r="N1195" s="36"/>
      <c r="O1195" s="36"/>
      <c r="P1195" s="36"/>
      <c r="Q1195" s="36"/>
      <c r="R1195" s="36"/>
      <c r="S1195" s="36"/>
      <c r="T1195" s="36"/>
      <c r="U1195" s="36"/>
      <c r="V1195" s="36"/>
      <c r="W1195" s="36"/>
      <c r="X1195" s="36"/>
      <c r="Y1195" s="36"/>
      <c r="Z1195" s="36"/>
      <c r="AA1195" s="36"/>
      <c r="AB1195" s="36"/>
      <c r="AC1195" s="36"/>
    </row>
    <row r="1196" ht="15.75" customHeight="1">
      <c r="A1196" s="423">
        <v>43347.0</v>
      </c>
      <c r="B1196" s="424">
        <v>14.8851</v>
      </c>
      <c r="C1196" s="425">
        <v>17.0118</v>
      </c>
      <c r="D1196" s="425">
        <v>18.2405</v>
      </c>
      <c r="E1196" s="425">
        <v>13.3919</v>
      </c>
      <c r="F1196" s="425">
        <v>17.4718</v>
      </c>
      <c r="G1196" s="425">
        <v>13.2809</v>
      </c>
      <c r="H1196" s="425">
        <v>26.0141</v>
      </c>
      <c r="I1196" s="425">
        <v>18.6408</v>
      </c>
      <c r="J1196" s="425">
        <v>19.3202</v>
      </c>
      <c r="K1196" s="182">
        <v>11520.3</v>
      </c>
      <c r="L1196" s="36"/>
      <c r="M1196" s="36"/>
      <c r="N1196" s="36"/>
      <c r="O1196" s="36"/>
      <c r="P1196" s="36"/>
      <c r="Q1196" s="36"/>
      <c r="R1196" s="36"/>
      <c r="S1196" s="36"/>
      <c r="T1196" s="36"/>
      <c r="U1196" s="36"/>
      <c r="V1196" s="36"/>
      <c r="W1196" s="36"/>
      <c r="X1196" s="36"/>
      <c r="Y1196" s="36"/>
      <c r="Z1196" s="36"/>
      <c r="AA1196" s="36"/>
      <c r="AB1196" s="36"/>
      <c r="AC1196" s="36"/>
    </row>
    <row r="1197" ht="15.75" customHeight="1">
      <c r="A1197" s="423">
        <v>43348.0</v>
      </c>
      <c r="B1197" s="424">
        <v>14.8474</v>
      </c>
      <c r="C1197" s="425">
        <v>17.0292</v>
      </c>
      <c r="D1197" s="425">
        <v>18.2521</v>
      </c>
      <c r="E1197" s="425">
        <v>13.3916</v>
      </c>
      <c r="F1197" s="425">
        <v>17.4081</v>
      </c>
      <c r="G1197" s="425">
        <v>13.2815</v>
      </c>
      <c r="H1197" s="425">
        <v>26.6159</v>
      </c>
      <c r="I1197" s="425">
        <v>18.9139</v>
      </c>
      <c r="J1197" s="425">
        <v>19.296</v>
      </c>
      <c r="K1197" s="182">
        <v>11476.95</v>
      </c>
      <c r="L1197" s="36"/>
      <c r="M1197" s="36"/>
      <c r="N1197" s="36"/>
      <c r="O1197" s="36"/>
      <c r="P1197" s="36"/>
      <c r="Q1197" s="36"/>
      <c r="R1197" s="36"/>
      <c r="S1197" s="36"/>
      <c r="T1197" s="36"/>
      <c r="U1197" s="36"/>
      <c r="V1197" s="36"/>
      <c r="W1197" s="36"/>
      <c r="X1197" s="36"/>
      <c r="Y1197" s="36"/>
      <c r="Z1197" s="36"/>
      <c r="AA1197" s="36"/>
      <c r="AB1197" s="36"/>
      <c r="AC1197" s="36"/>
    </row>
    <row r="1198" ht="15.75" customHeight="1">
      <c r="A1198" s="423">
        <v>43348.0</v>
      </c>
      <c r="B1198" s="424">
        <v>14.8474</v>
      </c>
      <c r="C1198" s="425">
        <v>17.0292</v>
      </c>
      <c r="D1198" s="425">
        <v>18.2447</v>
      </c>
      <c r="E1198" s="425">
        <v>13.3916</v>
      </c>
      <c r="F1198" s="425">
        <v>17.4081</v>
      </c>
      <c r="G1198" s="425">
        <v>13.2815</v>
      </c>
      <c r="H1198" s="425">
        <v>26.4583</v>
      </c>
      <c r="I1198" s="425">
        <v>18.7498</v>
      </c>
      <c r="J1198" s="425">
        <v>19.296</v>
      </c>
      <c r="K1198" s="182">
        <v>11476.95</v>
      </c>
      <c r="L1198" s="36"/>
      <c r="M1198" s="36"/>
      <c r="N1198" s="36"/>
      <c r="O1198" s="36"/>
      <c r="P1198" s="36"/>
      <c r="Q1198" s="36"/>
      <c r="R1198" s="36"/>
      <c r="S1198" s="36"/>
      <c r="T1198" s="36"/>
      <c r="U1198" s="36"/>
      <c r="V1198" s="36"/>
      <c r="W1198" s="36"/>
      <c r="X1198" s="36"/>
      <c r="Y1198" s="36"/>
      <c r="Z1198" s="36"/>
      <c r="AA1198" s="36"/>
      <c r="AB1198" s="36"/>
      <c r="AC1198" s="36"/>
    </row>
    <row r="1199" ht="15.75" customHeight="1">
      <c r="A1199" s="423">
        <v>43348.0</v>
      </c>
      <c r="B1199" s="424">
        <v>14.8474</v>
      </c>
      <c r="C1199" s="425">
        <v>17.0272</v>
      </c>
      <c r="D1199" s="425">
        <v>18.2369</v>
      </c>
      <c r="E1199" s="425">
        <v>13.3916</v>
      </c>
      <c r="F1199" s="425">
        <v>17.4081</v>
      </c>
      <c r="G1199" s="425">
        <v>13.2815</v>
      </c>
      <c r="H1199" s="425">
        <v>26.2838</v>
      </c>
      <c r="I1199" s="425">
        <v>18.5697</v>
      </c>
      <c r="J1199" s="425">
        <v>19.1278</v>
      </c>
      <c r="K1199" s="182">
        <v>11476.95</v>
      </c>
      <c r="L1199" s="36"/>
      <c r="M1199" s="36"/>
      <c r="N1199" s="36"/>
      <c r="O1199" s="36"/>
      <c r="P1199" s="36"/>
      <c r="Q1199" s="36"/>
      <c r="R1199" s="36"/>
      <c r="S1199" s="36"/>
      <c r="T1199" s="36"/>
      <c r="U1199" s="36"/>
      <c r="V1199" s="36"/>
      <c r="W1199" s="36"/>
      <c r="X1199" s="36"/>
      <c r="Y1199" s="36"/>
      <c r="Z1199" s="36"/>
      <c r="AA1199" s="36"/>
      <c r="AB1199" s="36"/>
      <c r="AC1199" s="36"/>
    </row>
    <row r="1200" ht="15.75" customHeight="1">
      <c r="A1200" s="423">
        <v>43348.0</v>
      </c>
      <c r="B1200" s="424">
        <v>14.8474</v>
      </c>
      <c r="C1200" s="425">
        <v>17.0272</v>
      </c>
      <c r="D1200" s="425">
        <v>18.2685</v>
      </c>
      <c r="E1200" s="425">
        <v>13.3916</v>
      </c>
      <c r="F1200" s="425">
        <v>17.4081</v>
      </c>
      <c r="G1200" s="425">
        <v>13.2815</v>
      </c>
      <c r="H1200" s="425">
        <v>26.3084</v>
      </c>
      <c r="I1200" s="425">
        <v>18.5792</v>
      </c>
      <c r="J1200" s="425">
        <v>19.1278</v>
      </c>
      <c r="K1200" s="182">
        <v>11476.95</v>
      </c>
      <c r="L1200" s="36"/>
      <c r="M1200" s="36"/>
      <c r="N1200" s="36"/>
      <c r="O1200" s="36"/>
      <c r="P1200" s="36"/>
      <c r="Q1200" s="36"/>
      <c r="R1200" s="36"/>
      <c r="S1200" s="36"/>
      <c r="T1200" s="36"/>
      <c r="U1200" s="36"/>
      <c r="V1200" s="36"/>
      <c r="W1200" s="36"/>
      <c r="X1200" s="36"/>
      <c r="Y1200" s="36"/>
      <c r="Z1200" s="36"/>
      <c r="AA1200" s="36"/>
      <c r="AB1200" s="36"/>
      <c r="AC1200" s="36"/>
    </row>
    <row r="1201" ht="15.75" customHeight="1">
      <c r="A1201" s="423">
        <v>43349.0</v>
      </c>
      <c r="B1201" s="424">
        <v>14.9161</v>
      </c>
      <c r="C1201" s="425">
        <v>17.0697</v>
      </c>
      <c r="D1201" s="425">
        <v>18.2301</v>
      </c>
      <c r="E1201" s="425">
        <v>13.387</v>
      </c>
      <c r="F1201" s="425">
        <v>17.4724</v>
      </c>
      <c r="G1201" s="425">
        <v>13.2825</v>
      </c>
      <c r="H1201" s="425">
        <v>26.7111</v>
      </c>
      <c r="I1201" s="425">
        <v>18.9504</v>
      </c>
      <c r="J1201" s="425">
        <v>19.3512</v>
      </c>
      <c r="K1201" s="182">
        <v>11536.9</v>
      </c>
      <c r="L1201" s="36"/>
      <c r="M1201" s="36"/>
      <c r="N1201" s="36"/>
      <c r="O1201" s="36"/>
      <c r="P1201" s="36"/>
      <c r="Q1201" s="36"/>
      <c r="R1201" s="36"/>
      <c r="S1201" s="36"/>
      <c r="T1201" s="36"/>
      <c r="U1201" s="36"/>
      <c r="V1201" s="36"/>
      <c r="W1201" s="36"/>
      <c r="X1201" s="36"/>
      <c r="Y1201" s="36"/>
      <c r="Z1201" s="36"/>
      <c r="AA1201" s="36"/>
      <c r="AB1201" s="36"/>
      <c r="AC1201" s="36"/>
    </row>
    <row r="1202" ht="15.75" customHeight="1">
      <c r="A1202" s="423">
        <v>43349.0</v>
      </c>
      <c r="B1202" s="424">
        <v>14.9161</v>
      </c>
      <c r="C1202" s="425">
        <v>17.0697</v>
      </c>
      <c r="D1202" s="425">
        <v>18.239</v>
      </c>
      <c r="E1202" s="425">
        <v>13.387</v>
      </c>
      <c r="F1202" s="425">
        <v>17.4724</v>
      </c>
      <c r="G1202" s="425">
        <v>13.2825</v>
      </c>
      <c r="H1202" s="425">
        <v>26.6219</v>
      </c>
      <c r="I1202" s="425">
        <v>18.9592</v>
      </c>
      <c r="J1202" s="425">
        <v>19.3512</v>
      </c>
      <c r="K1202" s="182">
        <v>11536.9</v>
      </c>
      <c r="L1202" s="36"/>
      <c r="M1202" s="36"/>
      <c r="N1202" s="36"/>
      <c r="O1202" s="36"/>
      <c r="P1202" s="36"/>
      <c r="Q1202" s="36"/>
      <c r="R1202" s="36"/>
      <c r="S1202" s="36"/>
      <c r="T1202" s="36"/>
      <c r="U1202" s="36"/>
      <c r="V1202" s="36"/>
      <c r="W1202" s="36"/>
      <c r="X1202" s="36"/>
      <c r="Y1202" s="36"/>
      <c r="Z1202" s="36"/>
      <c r="AA1202" s="36"/>
      <c r="AB1202" s="36"/>
      <c r="AC1202" s="36"/>
    </row>
    <row r="1203" ht="15.75" customHeight="1">
      <c r="A1203" s="423">
        <v>43349.0</v>
      </c>
      <c r="B1203" s="424">
        <v>14.9161</v>
      </c>
      <c r="C1203" s="425">
        <v>17.065</v>
      </c>
      <c r="D1203" s="425">
        <v>18.233</v>
      </c>
      <c r="E1203" s="425">
        <v>13.387</v>
      </c>
      <c r="F1203" s="425">
        <v>17.4724</v>
      </c>
      <c r="G1203" s="425">
        <v>13.2825</v>
      </c>
      <c r="H1203" s="425">
        <v>26.504</v>
      </c>
      <c r="I1203" s="425">
        <v>19.0065</v>
      </c>
      <c r="J1203" s="425">
        <v>19.4325</v>
      </c>
      <c r="K1203" s="182">
        <v>11536.9</v>
      </c>
      <c r="L1203" s="36"/>
      <c r="M1203" s="36"/>
      <c r="N1203" s="36"/>
      <c r="O1203" s="36"/>
      <c r="P1203" s="36"/>
      <c r="Q1203" s="36"/>
      <c r="R1203" s="36"/>
      <c r="S1203" s="36"/>
      <c r="T1203" s="36"/>
      <c r="U1203" s="36"/>
      <c r="V1203" s="36"/>
      <c r="W1203" s="36"/>
      <c r="X1203" s="36"/>
      <c r="Y1203" s="36"/>
      <c r="Z1203" s="36"/>
      <c r="AA1203" s="36"/>
      <c r="AB1203" s="36"/>
      <c r="AC1203" s="36"/>
    </row>
    <row r="1204" ht="15.75" customHeight="1">
      <c r="A1204" s="423">
        <v>43349.0</v>
      </c>
      <c r="B1204" s="424">
        <v>14.9161</v>
      </c>
      <c r="C1204" s="425">
        <v>17.065</v>
      </c>
      <c r="D1204" s="425">
        <v>18.2325</v>
      </c>
      <c r="E1204" s="425">
        <v>13.387</v>
      </c>
      <c r="F1204" s="425">
        <v>17.4724</v>
      </c>
      <c r="G1204" s="425">
        <v>13.2825</v>
      </c>
      <c r="H1204" s="425">
        <v>26.6058</v>
      </c>
      <c r="I1204" s="425">
        <v>18.9929</v>
      </c>
      <c r="J1204" s="425">
        <v>19.4325</v>
      </c>
      <c r="K1204" s="182">
        <v>11536.9</v>
      </c>
      <c r="L1204" s="36"/>
      <c r="M1204" s="36"/>
      <c r="N1204" s="36"/>
      <c r="O1204" s="36"/>
      <c r="P1204" s="36"/>
      <c r="Q1204" s="36"/>
      <c r="R1204" s="36"/>
      <c r="S1204" s="36"/>
      <c r="T1204" s="36"/>
      <c r="U1204" s="36"/>
      <c r="V1204" s="36"/>
      <c r="W1204" s="36"/>
      <c r="X1204" s="36"/>
      <c r="Y1204" s="36"/>
      <c r="Z1204" s="36"/>
      <c r="AA1204" s="36"/>
      <c r="AB1204" s="36"/>
      <c r="AC1204" s="36"/>
    </row>
    <row r="1205" ht="15.75" customHeight="1">
      <c r="A1205" s="423">
        <v>43350.0</v>
      </c>
      <c r="B1205" s="424">
        <v>14.9861</v>
      </c>
      <c r="C1205" s="425">
        <v>17.083</v>
      </c>
      <c r="D1205" s="425">
        <v>18.2521</v>
      </c>
      <c r="E1205" s="425">
        <v>13.4118</v>
      </c>
      <c r="F1205" s="425">
        <v>17.5482</v>
      </c>
      <c r="G1205" s="425">
        <v>13.2882</v>
      </c>
      <c r="H1205" s="425">
        <v>26.6642</v>
      </c>
      <c r="I1205" s="425">
        <v>18.9416</v>
      </c>
      <c r="J1205" s="425">
        <v>19.4782</v>
      </c>
      <c r="K1205" s="182">
        <v>11589.1</v>
      </c>
      <c r="L1205" s="36"/>
      <c r="M1205" s="36"/>
      <c r="N1205" s="36"/>
      <c r="O1205" s="36"/>
      <c r="P1205" s="36"/>
      <c r="Q1205" s="36"/>
      <c r="R1205" s="36"/>
      <c r="S1205" s="36"/>
      <c r="T1205" s="36"/>
      <c r="U1205" s="36"/>
      <c r="V1205" s="36"/>
      <c r="W1205" s="36"/>
      <c r="X1205" s="36"/>
      <c r="Y1205" s="36"/>
      <c r="Z1205" s="36"/>
      <c r="AA1205" s="36"/>
      <c r="AB1205" s="36"/>
      <c r="AC1205" s="36"/>
    </row>
    <row r="1206" ht="15.75" customHeight="1">
      <c r="A1206" s="423">
        <v>43350.0</v>
      </c>
      <c r="B1206" s="424">
        <v>14.9861</v>
      </c>
      <c r="C1206" s="425">
        <v>17.083</v>
      </c>
      <c r="D1206" s="425">
        <v>18.239</v>
      </c>
      <c r="E1206" s="425">
        <v>13.4118</v>
      </c>
      <c r="F1206" s="425">
        <v>17.5482</v>
      </c>
      <c r="G1206" s="425">
        <v>13.2882</v>
      </c>
      <c r="H1206" s="425">
        <v>26.5533</v>
      </c>
      <c r="I1206" s="425">
        <v>18.8837</v>
      </c>
      <c r="J1206" s="425">
        <v>19.4782</v>
      </c>
      <c r="K1206" s="182">
        <v>11589.1</v>
      </c>
      <c r="L1206" s="36"/>
      <c r="M1206" s="36"/>
      <c r="N1206" s="36"/>
      <c r="O1206" s="36"/>
      <c r="P1206" s="36"/>
      <c r="Q1206" s="36"/>
      <c r="R1206" s="36"/>
      <c r="S1206" s="36"/>
      <c r="T1206" s="36"/>
      <c r="U1206" s="36"/>
      <c r="V1206" s="36"/>
      <c r="W1206" s="36"/>
      <c r="X1206" s="36"/>
      <c r="Y1206" s="36"/>
      <c r="Z1206" s="36"/>
      <c r="AA1206" s="36"/>
      <c r="AB1206" s="36"/>
      <c r="AC1206" s="36"/>
    </row>
    <row r="1207" ht="15.75" customHeight="1">
      <c r="A1207" s="423">
        <v>43350.0</v>
      </c>
      <c r="B1207" s="424">
        <v>14.9861</v>
      </c>
      <c r="C1207" s="425">
        <v>17.0776</v>
      </c>
      <c r="D1207" s="425">
        <v>18.2326</v>
      </c>
      <c r="E1207" s="425">
        <v>13.4118</v>
      </c>
      <c r="F1207" s="425">
        <v>17.5482</v>
      </c>
      <c r="G1207" s="425">
        <v>13.2882</v>
      </c>
      <c r="H1207" s="425">
        <v>26.7738</v>
      </c>
      <c r="I1207" s="425">
        <v>19.0194</v>
      </c>
      <c r="J1207" s="425">
        <v>19.352</v>
      </c>
      <c r="K1207" s="182">
        <v>11589.1</v>
      </c>
      <c r="L1207" s="36"/>
      <c r="M1207" s="36"/>
      <c r="N1207" s="36"/>
      <c r="O1207" s="36"/>
      <c r="P1207" s="36"/>
      <c r="Q1207" s="36"/>
      <c r="R1207" s="36"/>
      <c r="S1207" s="36"/>
      <c r="T1207" s="36"/>
      <c r="U1207" s="36"/>
      <c r="V1207" s="36"/>
      <c r="W1207" s="36"/>
      <c r="X1207" s="36"/>
      <c r="Y1207" s="36"/>
      <c r="Z1207" s="36"/>
      <c r="AA1207" s="36"/>
      <c r="AB1207" s="36"/>
      <c r="AC1207" s="36"/>
    </row>
    <row r="1208" ht="15.75" customHeight="1">
      <c r="A1208" s="423">
        <v>43350.0</v>
      </c>
      <c r="B1208" s="424">
        <v>14.9861</v>
      </c>
      <c r="C1208" s="425">
        <v>17.0776</v>
      </c>
      <c r="D1208" s="425">
        <v>18.2333</v>
      </c>
      <c r="E1208" s="425">
        <v>13.4118</v>
      </c>
      <c r="F1208" s="425">
        <v>17.5482</v>
      </c>
      <c r="G1208" s="425">
        <v>13.2882</v>
      </c>
      <c r="H1208" s="425">
        <v>26.645</v>
      </c>
      <c r="I1208" s="425">
        <v>18.9315</v>
      </c>
      <c r="J1208" s="425">
        <v>19.352</v>
      </c>
      <c r="K1208" s="182">
        <v>11589.1</v>
      </c>
      <c r="L1208" s="36"/>
      <c r="M1208" s="36"/>
      <c r="N1208" s="36"/>
      <c r="O1208" s="36"/>
      <c r="P1208" s="36"/>
      <c r="Q1208" s="36"/>
      <c r="R1208" s="36"/>
      <c r="S1208" s="36"/>
      <c r="T1208" s="36"/>
      <c r="U1208" s="36"/>
      <c r="V1208" s="36"/>
      <c r="W1208" s="36"/>
      <c r="X1208" s="36"/>
      <c r="Y1208" s="36"/>
      <c r="Z1208" s="36"/>
      <c r="AA1208" s="36"/>
      <c r="AB1208" s="36"/>
      <c r="AC1208" s="36"/>
    </row>
    <row r="1209" ht="15.75" customHeight="1">
      <c r="A1209" s="423">
        <v>43353.0</v>
      </c>
      <c r="B1209" s="424">
        <v>14.8298</v>
      </c>
      <c r="C1209" s="425">
        <v>17.1006</v>
      </c>
      <c r="D1209" s="425">
        <v>18.2883</v>
      </c>
      <c r="E1209" s="425">
        <v>13.3451</v>
      </c>
      <c r="F1209" s="425">
        <v>17.3622</v>
      </c>
      <c r="G1209" s="425">
        <v>13.2847</v>
      </c>
      <c r="H1209" s="425">
        <v>26.8431</v>
      </c>
      <c r="I1209" s="425">
        <v>19.1262</v>
      </c>
      <c r="J1209" s="425">
        <v>19.4435</v>
      </c>
      <c r="K1209" s="182">
        <v>11438.1</v>
      </c>
      <c r="L1209" s="36"/>
      <c r="M1209" s="36"/>
      <c r="N1209" s="36"/>
      <c r="O1209" s="36"/>
      <c r="P1209" s="36"/>
      <c r="Q1209" s="36"/>
      <c r="R1209" s="36"/>
      <c r="S1209" s="36"/>
      <c r="T1209" s="36"/>
      <c r="U1209" s="36"/>
      <c r="V1209" s="36"/>
      <c r="W1209" s="36"/>
      <c r="X1209" s="36"/>
      <c r="Y1209" s="36"/>
      <c r="Z1209" s="36"/>
      <c r="AA1209" s="36"/>
      <c r="AB1209" s="36"/>
      <c r="AC1209" s="36"/>
    </row>
    <row r="1210" ht="15.75" customHeight="1">
      <c r="A1210" s="423">
        <v>43353.0</v>
      </c>
      <c r="B1210" s="424">
        <v>14.8298</v>
      </c>
      <c r="C1210" s="425">
        <v>17.1006</v>
      </c>
      <c r="D1210" s="425">
        <v>18.2645</v>
      </c>
      <c r="E1210" s="425">
        <v>13.3451</v>
      </c>
      <c r="F1210" s="425">
        <v>17.3622</v>
      </c>
      <c r="G1210" s="425">
        <v>13.2847</v>
      </c>
      <c r="H1210" s="425">
        <v>27.0308</v>
      </c>
      <c r="I1210" s="425">
        <v>19.1886</v>
      </c>
      <c r="J1210" s="425">
        <v>19.4435</v>
      </c>
      <c r="K1210" s="182">
        <v>11438.1</v>
      </c>
      <c r="L1210" s="36"/>
      <c r="M1210" s="36"/>
      <c r="N1210" s="36"/>
      <c r="O1210" s="36"/>
      <c r="P1210" s="36"/>
      <c r="Q1210" s="36"/>
      <c r="R1210" s="36"/>
      <c r="S1210" s="36"/>
      <c r="T1210" s="36"/>
      <c r="U1210" s="36"/>
      <c r="V1210" s="36"/>
      <c r="W1210" s="36"/>
      <c r="X1210" s="36"/>
      <c r="Y1210" s="36"/>
      <c r="Z1210" s="36"/>
      <c r="AA1210" s="36"/>
      <c r="AB1210" s="36"/>
      <c r="AC1210" s="36"/>
    </row>
    <row r="1211" ht="15.75" customHeight="1">
      <c r="A1211" s="423">
        <v>43353.0</v>
      </c>
      <c r="B1211" s="424">
        <v>14.8298</v>
      </c>
      <c r="C1211" s="425">
        <v>17.0975</v>
      </c>
      <c r="D1211" s="425">
        <v>18.2609</v>
      </c>
      <c r="E1211" s="425">
        <v>13.3451</v>
      </c>
      <c r="F1211" s="425">
        <v>17.3622</v>
      </c>
      <c r="G1211" s="425">
        <v>13.2847</v>
      </c>
      <c r="H1211" s="425">
        <v>26.9278</v>
      </c>
      <c r="I1211" s="425">
        <v>19.1403</v>
      </c>
      <c r="J1211" s="425">
        <v>19.5664</v>
      </c>
      <c r="K1211" s="182">
        <v>11438.1</v>
      </c>
      <c r="L1211" s="36"/>
      <c r="M1211" s="36"/>
      <c r="N1211" s="36"/>
      <c r="O1211" s="36"/>
      <c r="P1211" s="36"/>
      <c r="Q1211" s="36"/>
      <c r="R1211" s="36"/>
      <c r="S1211" s="36"/>
      <c r="T1211" s="36"/>
      <c r="U1211" s="36"/>
      <c r="V1211" s="36"/>
      <c r="W1211" s="36"/>
      <c r="X1211" s="36"/>
      <c r="Y1211" s="36"/>
      <c r="Z1211" s="36"/>
      <c r="AA1211" s="36"/>
      <c r="AB1211" s="36"/>
      <c r="AC1211" s="36"/>
    </row>
    <row r="1212" ht="15.75" customHeight="1">
      <c r="A1212" s="423">
        <v>43353.0</v>
      </c>
      <c r="B1212" s="424">
        <v>14.8298</v>
      </c>
      <c r="C1212" s="425">
        <v>17.0975</v>
      </c>
      <c r="D1212" s="425">
        <v>18.258</v>
      </c>
      <c r="E1212" s="425">
        <v>13.3451</v>
      </c>
      <c r="F1212" s="425">
        <v>17.3622</v>
      </c>
      <c r="G1212" s="425">
        <v>13.2847</v>
      </c>
      <c r="H1212" s="425">
        <v>26.7746</v>
      </c>
      <c r="I1212" s="425">
        <v>18.9748</v>
      </c>
      <c r="J1212" s="425">
        <v>19.5664</v>
      </c>
      <c r="K1212" s="182">
        <v>11438.1</v>
      </c>
      <c r="L1212" s="36"/>
      <c r="M1212" s="36"/>
      <c r="N1212" s="36"/>
      <c r="O1212" s="36"/>
      <c r="P1212" s="36"/>
      <c r="Q1212" s="36"/>
      <c r="R1212" s="36"/>
      <c r="S1212" s="36"/>
      <c r="T1212" s="36"/>
      <c r="U1212" s="36"/>
      <c r="V1212" s="36"/>
      <c r="W1212" s="36"/>
      <c r="X1212" s="36"/>
      <c r="Y1212" s="36"/>
      <c r="Z1212" s="36"/>
      <c r="AA1212" s="36"/>
      <c r="AB1212" s="36"/>
      <c r="AC1212" s="36"/>
    </row>
    <row r="1213" ht="15.75" customHeight="1">
      <c r="A1213" s="423">
        <v>43354.0</v>
      </c>
      <c r="B1213" s="424">
        <v>14.6576</v>
      </c>
      <c r="C1213" s="425">
        <v>17.1304</v>
      </c>
      <c r="D1213" s="425">
        <v>18.3575</v>
      </c>
      <c r="E1213" s="425">
        <v>13.336</v>
      </c>
      <c r="F1213" s="425">
        <v>17.1715</v>
      </c>
      <c r="G1213" s="425">
        <v>13.2848</v>
      </c>
      <c r="H1213" s="425">
        <v>26.6898</v>
      </c>
      <c r="I1213" s="425">
        <v>19.1241</v>
      </c>
      <c r="J1213" s="425">
        <v>19.7576</v>
      </c>
      <c r="K1213" s="182">
        <v>11287.5</v>
      </c>
      <c r="L1213" s="36"/>
      <c r="M1213" s="36"/>
      <c r="N1213" s="36"/>
      <c r="O1213" s="36"/>
      <c r="P1213" s="36"/>
      <c r="Q1213" s="36"/>
      <c r="R1213" s="36"/>
      <c r="S1213" s="36"/>
      <c r="T1213" s="36"/>
      <c r="U1213" s="36"/>
      <c r="V1213" s="36"/>
      <c r="W1213" s="36"/>
      <c r="X1213" s="36"/>
      <c r="Y1213" s="36"/>
      <c r="Z1213" s="36"/>
      <c r="AA1213" s="36"/>
      <c r="AB1213" s="36"/>
      <c r="AC1213" s="36"/>
    </row>
    <row r="1214" ht="15.75" customHeight="1">
      <c r="A1214" s="423">
        <v>43354.0</v>
      </c>
      <c r="B1214" s="424">
        <v>14.6576</v>
      </c>
      <c r="C1214" s="425">
        <v>17.1304</v>
      </c>
      <c r="D1214" s="425">
        <v>18.3442</v>
      </c>
      <c r="E1214" s="425">
        <v>13.336</v>
      </c>
      <c r="F1214" s="425">
        <v>17.1715</v>
      </c>
      <c r="G1214" s="425">
        <v>13.2848</v>
      </c>
      <c r="H1214" s="425">
        <v>27.1087</v>
      </c>
      <c r="I1214" s="425">
        <v>19.3254</v>
      </c>
      <c r="J1214" s="425">
        <v>19.7576</v>
      </c>
      <c r="K1214" s="182">
        <v>11287.5</v>
      </c>
      <c r="L1214" s="36"/>
      <c r="M1214" s="36"/>
      <c r="N1214" s="36"/>
      <c r="O1214" s="36"/>
      <c r="P1214" s="36"/>
      <c r="Q1214" s="36"/>
      <c r="R1214" s="36"/>
      <c r="S1214" s="36"/>
      <c r="T1214" s="36"/>
      <c r="U1214" s="36"/>
      <c r="V1214" s="36"/>
      <c r="W1214" s="36"/>
      <c r="X1214" s="36"/>
      <c r="Y1214" s="36"/>
      <c r="Z1214" s="36"/>
      <c r="AA1214" s="36"/>
      <c r="AB1214" s="36"/>
      <c r="AC1214" s="36"/>
    </row>
    <row r="1215" ht="15.75" customHeight="1">
      <c r="A1215" s="423">
        <v>43354.0</v>
      </c>
      <c r="B1215" s="424">
        <v>14.6576</v>
      </c>
      <c r="C1215" s="425">
        <v>17.1268</v>
      </c>
      <c r="D1215" s="425">
        <v>18.3411</v>
      </c>
      <c r="E1215" s="425">
        <v>13.336</v>
      </c>
      <c r="F1215" s="425">
        <v>17.1715</v>
      </c>
      <c r="G1215" s="425">
        <v>13.2848</v>
      </c>
      <c r="H1215" s="425">
        <v>27.1758</v>
      </c>
      <c r="I1215" s="425">
        <v>19.309</v>
      </c>
      <c r="J1215" s="425">
        <v>19.7336</v>
      </c>
      <c r="K1215" s="182">
        <v>11287.5</v>
      </c>
      <c r="L1215" s="36"/>
      <c r="M1215" s="36"/>
      <c r="N1215" s="36"/>
      <c r="O1215" s="36"/>
      <c r="P1215" s="36"/>
      <c r="Q1215" s="36"/>
      <c r="R1215" s="36"/>
      <c r="S1215" s="36"/>
      <c r="T1215" s="36"/>
      <c r="U1215" s="36"/>
      <c r="V1215" s="36"/>
      <c r="W1215" s="36"/>
      <c r="X1215" s="36"/>
      <c r="Y1215" s="36"/>
      <c r="Z1215" s="36"/>
      <c r="AA1215" s="36"/>
      <c r="AB1215" s="36"/>
      <c r="AC1215" s="36"/>
    </row>
    <row r="1216" ht="15.75" customHeight="1">
      <c r="A1216" s="423">
        <v>43354.0</v>
      </c>
      <c r="B1216" s="424">
        <v>14.6576</v>
      </c>
      <c r="C1216" s="425">
        <v>17.1268</v>
      </c>
      <c r="D1216" s="425">
        <v>18.3496</v>
      </c>
      <c r="E1216" s="425">
        <v>13.336</v>
      </c>
      <c r="F1216" s="425">
        <v>17.1715</v>
      </c>
      <c r="G1216" s="425">
        <v>13.2848</v>
      </c>
      <c r="H1216" s="425">
        <v>27.0739</v>
      </c>
      <c r="I1216" s="425">
        <v>19.209</v>
      </c>
      <c r="J1216" s="425">
        <v>19.7336</v>
      </c>
      <c r="K1216" s="182">
        <v>11287.5</v>
      </c>
      <c r="L1216" s="36"/>
      <c r="M1216" s="36"/>
      <c r="N1216" s="36"/>
      <c r="O1216" s="36"/>
      <c r="P1216" s="36"/>
      <c r="Q1216" s="36"/>
      <c r="R1216" s="36"/>
      <c r="S1216" s="36"/>
      <c r="T1216" s="36"/>
      <c r="U1216" s="36"/>
      <c r="V1216" s="36"/>
      <c r="W1216" s="36"/>
      <c r="X1216" s="36"/>
      <c r="Y1216" s="36"/>
      <c r="Z1216" s="36"/>
      <c r="AA1216" s="36"/>
      <c r="AB1216" s="36"/>
      <c r="AC1216" s="36"/>
    </row>
    <row r="1217" ht="15.75" customHeight="1">
      <c r="A1217" s="423">
        <v>43355.0</v>
      </c>
      <c r="B1217" s="424">
        <v>14.7409</v>
      </c>
      <c r="C1217" s="425">
        <v>17.1202</v>
      </c>
      <c r="D1217" s="425">
        <v>18.4071</v>
      </c>
      <c r="E1217" s="425">
        <v>13.3655</v>
      </c>
      <c r="F1217" s="425">
        <v>17.258</v>
      </c>
      <c r="G1217" s="425">
        <v>13.289</v>
      </c>
      <c r="H1217" s="425">
        <v>25.6544</v>
      </c>
      <c r="I1217" s="425">
        <v>18.9484</v>
      </c>
      <c r="J1217" s="425">
        <v>19.79</v>
      </c>
      <c r="K1217" s="182">
        <v>11369.9</v>
      </c>
      <c r="L1217" s="36"/>
      <c r="M1217" s="36"/>
      <c r="N1217" s="36"/>
      <c r="O1217" s="36"/>
      <c r="P1217" s="36"/>
      <c r="Q1217" s="36"/>
      <c r="R1217" s="36"/>
      <c r="S1217" s="36"/>
      <c r="T1217" s="36"/>
      <c r="U1217" s="36"/>
      <c r="V1217" s="36"/>
      <c r="W1217" s="36"/>
      <c r="X1217" s="36"/>
      <c r="Y1217" s="36"/>
      <c r="Z1217" s="36"/>
      <c r="AA1217" s="36"/>
      <c r="AB1217" s="36"/>
      <c r="AC1217" s="36"/>
    </row>
    <row r="1218" ht="15.75" customHeight="1">
      <c r="A1218" s="423">
        <v>43355.0</v>
      </c>
      <c r="B1218" s="424">
        <v>14.7409</v>
      </c>
      <c r="C1218" s="425">
        <v>17.1202</v>
      </c>
      <c r="D1218" s="425">
        <v>18.4064</v>
      </c>
      <c r="E1218" s="425">
        <v>13.3655</v>
      </c>
      <c r="F1218" s="425">
        <v>17.258</v>
      </c>
      <c r="G1218" s="425">
        <v>13.289</v>
      </c>
      <c r="H1218" s="425">
        <v>25.8744</v>
      </c>
      <c r="I1218" s="425">
        <v>19.0132</v>
      </c>
      <c r="J1218" s="425">
        <v>19.79</v>
      </c>
      <c r="K1218" s="182">
        <v>11369.9</v>
      </c>
      <c r="L1218" s="36"/>
      <c r="M1218" s="36"/>
      <c r="N1218" s="36"/>
      <c r="O1218" s="36"/>
      <c r="P1218" s="36"/>
      <c r="Q1218" s="36"/>
      <c r="R1218" s="36"/>
      <c r="S1218" s="36"/>
      <c r="T1218" s="36"/>
      <c r="U1218" s="36"/>
      <c r="V1218" s="36"/>
      <c r="W1218" s="36"/>
      <c r="X1218" s="36"/>
      <c r="Y1218" s="36"/>
      <c r="Z1218" s="36"/>
      <c r="AA1218" s="36"/>
      <c r="AB1218" s="36"/>
      <c r="AC1218" s="36"/>
    </row>
    <row r="1219" ht="15.75" customHeight="1">
      <c r="A1219" s="423">
        <v>43355.0</v>
      </c>
      <c r="B1219" s="424">
        <v>14.7409</v>
      </c>
      <c r="C1219" s="425">
        <v>17.132</v>
      </c>
      <c r="D1219" s="425">
        <v>18.3899</v>
      </c>
      <c r="E1219" s="425">
        <v>13.3655</v>
      </c>
      <c r="F1219" s="425">
        <v>17.258</v>
      </c>
      <c r="G1219" s="425">
        <v>13.289</v>
      </c>
      <c r="H1219" s="425">
        <v>26.1988</v>
      </c>
      <c r="I1219" s="425">
        <v>19.109</v>
      </c>
      <c r="J1219" s="425">
        <v>19.7977</v>
      </c>
      <c r="K1219" s="182">
        <v>11369.9</v>
      </c>
      <c r="L1219" s="36"/>
      <c r="M1219" s="36"/>
      <c r="N1219" s="36"/>
      <c r="O1219" s="36"/>
      <c r="P1219" s="36"/>
      <c r="Q1219" s="36"/>
      <c r="R1219" s="36"/>
      <c r="S1219" s="36"/>
      <c r="T1219" s="36"/>
      <c r="U1219" s="36"/>
      <c r="V1219" s="36"/>
      <c r="W1219" s="36"/>
      <c r="X1219" s="36"/>
      <c r="Y1219" s="36"/>
      <c r="Z1219" s="36"/>
      <c r="AA1219" s="36"/>
      <c r="AB1219" s="36"/>
      <c r="AC1219" s="36"/>
    </row>
    <row r="1220" ht="15.75" customHeight="1">
      <c r="A1220" s="423">
        <v>43355.0</v>
      </c>
      <c r="B1220" s="424">
        <v>14.7409</v>
      </c>
      <c r="C1220" s="425">
        <v>17.132</v>
      </c>
      <c r="D1220" s="425">
        <v>18.353</v>
      </c>
      <c r="E1220" s="425">
        <v>13.3655</v>
      </c>
      <c r="F1220" s="425">
        <v>17.258</v>
      </c>
      <c r="G1220" s="425">
        <v>13.289</v>
      </c>
      <c r="H1220" s="425">
        <v>26.4567</v>
      </c>
      <c r="I1220" s="425">
        <v>19.1151</v>
      </c>
      <c r="J1220" s="425">
        <v>19.7977</v>
      </c>
      <c r="K1220" s="182">
        <v>11369.9</v>
      </c>
      <c r="L1220" s="36"/>
      <c r="M1220" s="36"/>
      <c r="N1220" s="36"/>
      <c r="O1220" s="36"/>
      <c r="P1220" s="36"/>
      <c r="Q1220" s="36"/>
      <c r="R1220" s="36"/>
      <c r="S1220" s="36"/>
      <c r="T1220" s="36"/>
      <c r="U1220" s="36"/>
      <c r="V1220" s="36"/>
      <c r="W1220" s="36"/>
      <c r="X1220" s="36"/>
      <c r="Y1220" s="36"/>
      <c r="Z1220" s="36"/>
      <c r="AA1220" s="36"/>
      <c r="AB1220" s="36"/>
      <c r="AC1220" s="36"/>
    </row>
    <row r="1221" ht="15.75" customHeight="1">
      <c r="A1221" s="423">
        <v>43357.0</v>
      </c>
      <c r="B1221" s="424">
        <v>14.8839</v>
      </c>
      <c r="C1221" s="425">
        <v>17.1107</v>
      </c>
      <c r="D1221" s="425">
        <v>18.4417</v>
      </c>
      <c r="E1221" s="425">
        <v>13.3812</v>
      </c>
      <c r="F1221" s="425">
        <v>17.4255</v>
      </c>
      <c r="G1221" s="425">
        <v>13.2937</v>
      </c>
      <c r="H1221" s="425">
        <v>26.237</v>
      </c>
      <c r="I1221" s="425">
        <v>19.4876</v>
      </c>
      <c r="J1221" s="425">
        <v>19.8014</v>
      </c>
      <c r="K1221" s="182">
        <v>11515.2</v>
      </c>
      <c r="L1221" s="36"/>
      <c r="M1221" s="36"/>
      <c r="N1221" s="36"/>
      <c r="O1221" s="36"/>
      <c r="P1221" s="36"/>
      <c r="Q1221" s="36"/>
      <c r="R1221" s="36"/>
      <c r="S1221" s="36"/>
      <c r="T1221" s="36"/>
      <c r="U1221" s="36"/>
      <c r="V1221" s="36"/>
      <c r="W1221" s="36"/>
      <c r="X1221" s="36"/>
      <c r="Y1221" s="36"/>
      <c r="Z1221" s="36"/>
      <c r="AA1221" s="36"/>
      <c r="AB1221" s="36"/>
      <c r="AC1221" s="36"/>
    </row>
    <row r="1222" ht="15.75" customHeight="1">
      <c r="A1222" s="423">
        <v>43357.0</v>
      </c>
      <c r="B1222" s="424">
        <v>14.8839</v>
      </c>
      <c r="C1222" s="425">
        <v>17.1107</v>
      </c>
      <c r="D1222" s="425">
        <v>18.4399</v>
      </c>
      <c r="E1222" s="425">
        <v>13.3812</v>
      </c>
      <c r="F1222" s="425">
        <v>17.4255</v>
      </c>
      <c r="G1222" s="425">
        <v>13.2937</v>
      </c>
      <c r="H1222" s="425">
        <v>26.0549</v>
      </c>
      <c r="I1222" s="425">
        <v>19.4445</v>
      </c>
      <c r="J1222" s="425">
        <v>19.8014</v>
      </c>
      <c r="K1222" s="182">
        <v>11515.2</v>
      </c>
      <c r="L1222" s="36"/>
      <c r="M1222" s="36"/>
      <c r="N1222" s="36"/>
      <c r="O1222" s="36"/>
      <c r="P1222" s="36"/>
      <c r="Q1222" s="36"/>
      <c r="R1222" s="36"/>
      <c r="S1222" s="36"/>
      <c r="T1222" s="36"/>
      <c r="U1222" s="36"/>
      <c r="V1222" s="36"/>
      <c r="W1222" s="36"/>
      <c r="X1222" s="36"/>
      <c r="Y1222" s="36"/>
      <c r="Z1222" s="36"/>
      <c r="AA1222" s="36"/>
      <c r="AB1222" s="36"/>
      <c r="AC1222" s="36"/>
    </row>
    <row r="1223" ht="15.75" customHeight="1">
      <c r="A1223" s="423">
        <v>43357.0</v>
      </c>
      <c r="B1223" s="424">
        <v>14.8839</v>
      </c>
      <c r="C1223" s="425">
        <v>17.1057</v>
      </c>
      <c r="D1223" s="425">
        <v>18.4457</v>
      </c>
      <c r="E1223" s="425">
        <v>13.3812</v>
      </c>
      <c r="F1223" s="425">
        <v>17.4255</v>
      </c>
      <c r="G1223" s="425">
        <v>13.2937</v>
      </c>
      <c r="H1223" s="425">
        <v>26.3082</v>
      </c>
      <c r="I1223" s="425">
        <v>19.4605</v>
      </c>
      <c r="J1223" s="425">
        <v>19.7691</v>
      </c>
      <c r="K1223" s="182">
        <v>11515.2</v>
      </c>
      <c r="L1223" s="36"/>
      <c r="M1223" s="36"/>
      <c r="N1223" s="36"/>
      <c r="O1223" s="36"/>
      <c r="P1223" s="36"/>
      <c r="Q1223" s="36"/>
      <c r="R1223" s="36"/>
      <c r="S1223" s="36"/>
      <c r="T1223" s="36"/>
      <c r="U1223" s="36"/>
      <c r="V1223" s="36"/>
      <c r="W1223" s="36"/>
      <c r="X1223" s="36"/>
      <c r="Y1223" s="36"/>
      <c r="Z1223" s="36"/>
      <c r="AA1223" s="36"/>
      <c r="AB1223" s="36"/>
      <c r="AC1223" s="36"/>
    </row>
    <row r="1224" ht="15.75" customHeight="1">
      <c r="A1224" s="423">
        <v>43357.0</v>
      </c>
      <c r="B1224" s="424">
        <v>14.8839</v>
      </c>
      <c r="C1224" s="425">
        <v>17.1057</v>
      </c>
      <c r="D1224" s="425">
        <v>18.4266</v>
      </c>
      <c r="E1224" s="425">
        <v>13.3812</v>
      </c>
      <c r="F1224" s="425">
        <v>17.4255</v>
      </c>
      <c r="G1224" s="425">
        <v>13.2937</v>
      </c>
      <c r="H1224" s="425">
        <v>25.922</v>
      </c>
      <c r="I1224" s="425">
        <v>19.2367</v>
      </c>
      <c r="J1224" s="425">
        <v>19.7691</v>
      </c>
      <c r="K1224" s="182">
        <v>11515.2</v>
      </c>
      <c r="L1224" s="36"/>
      <c r="M1224" s="36"/>
      <c r="N1224" s="36"/>
      <c r="O1224" s="36"/>
      <c r="P1224" s="36"/>
      <c r="Q1224" s="36"/>
      <c r="R1224" s="36"/>
      <c r="S1224" s="36"/>
      <c r="T1224" s="36"/>
      <c r="U1224" s="36"/>
      <c r="V1224" s="36"/>
      <c r="W1224" s="36"/>
      <c r="X1224" s="36"/>
      <c r="Y1224" s="36"/>
      <c r="Z1224" s="36"/>
      <c r="AA1224" s="36"/>
      <c r="AB1224" s="36"/>
      <c r="AC1224" s="36"/>
    </row>
    <row r="1225" ht="15.75" customHeight="1">
      <c r="A1225" s="423">
        <v>43360.0</v>
      </c>
      <c r="B1225" s="424">
        <v>14.7612</v>
      </c>
      <c r="C1225" s="425">
        <v>17.117</v>
      </c>
      <c r="D1225" s="425">
        <v>18.5162</v>
      </c>
      <c r="E1225" s="425">
        <v>13.3991</v>
      </c>
      <c r="F1225" s="425">
        <v>17.277</v>
      </c>
      <c r="G1225" s="425">
        <v>13.3007</v>
      </c>
      <c r="H1225" s="425">
        <v>26.9016</v>
      </c>
      <c r="I1225" s="425">
        <v>19.6586</v>
      </c>
      <c r="J1225" s="425">
        <v>19.8467</v>
      </c>
      <c r="K1225" s="182">
        <v>11377.75</v>
      </c>
      <c r="L1225" s="36"/>
      <c r="M1225" s="36"/>
      <c r="N1225" s="36"/>
      <c r="O1225" s="36"/>
      <c r="P1225" s="36"/>
      <c r="Q1225" s="36"/>
      <c r="R1225" s="36"/>
      <c r="S1225" s="36"/>
      <c r="T1225" s="36"/>
      <c r="U1225" s="36"/>
      <c r="V1225" s="36"/>
      <c r="W1225" s="36"/>
      <c r="X1225" s="36"/>
      <c r="Y1225" s="36"/>
      <c r="Z1225" s="36"/>
      <c r="AA1225" s="36"/>
      <c r="AB1225" s="36"/>
      <c r="AC1225" s="36"/>
    </row>
    <row r="1226" ht="15.75" customHeight="1">
      <c r="A1226" s="423">
        <v>43360.0</v>
      </c>
      <c r="B1226" s="424">
        <v>14.7612</v>
      </c>
      <c r="C1226" s="425">
        <v>17.117</v>
      </c>
      <c r="D1226" s="425">
        <v>18.5116</v>
      </c>
      <c r="E1226" s="425">
        <v>13.3991</v>
      </c>
      <c r="F1226" s="425">
        <v>17.277</v>
      </c>
      <c r="G1226" s="425">
        <v>13.3007</v>
      </c>
      <c r="H1226" s="425">
        <v>26.8609</v>
      </c>
      <c r="I1226" s="425">
        <v>19.5924</v>
      </c>
      <c r="J1226" s="425">
        <v>19.8467</v>
      </c>
      <c r="K1226" s="182">
        <v>11377.75</v>
      </c>
      <c r="L1226" s="36"/>
      <c r="M1226" s="36"/>
      <c r="N1226" s="36"/>
      <c r="O1226" s="36"/>
      <c r="P1226" s="36"/>
      <c r="Q1226" s="36"/>
      <c r="R1226" s="36"/>
      <c r="S1226" s="36"/>
      <c r="T1226" s="36"/>
      <c r="U1226" s="36"/>
      <c r="V1226" s="36"/>
      <c r="W1226" s="36"/>
      <c r="X1226" s="36"/>
      <c r="Y1226" s="36"/>
      <c r="Z1226" s="36"/>
      <c r="AA1226" s="36"/>
      <c r="AB1226" s="36"/>
      <c r="AC1226" s="36"/>
    </row>
    <row r="1227" ht="15.75" customHeight="1">
      <c r="A1227" s="423">
        <v>43360.0</v>
      </c>
      <c r="B1227" s="424">
        <v>14.7612</v>
      </c>
      <c r="C1227" s="425">
        <v>17.1104</v>
      </c>
      <c r="D1227" s="425">
        <v>18.5026</v>
      </c>
      <c r="E1227" s="425">
        <v>13.3991</v>
      </c>
      <c r="F1227" s="425">
        <v>17.277</v>
      </c>
      <c r="G1227" s="425">
        <v>13.3007</v>
      </c>
      <c r="H1227" s="425">
        <v>26.6229</v>
      </c>
      <c r="I1227" s="425">
        <v>19.5123</v>
      </c>
      <c r="J1227" s="425">
        <v>19.8111</v>
      </c>
      <c r="K1227" s="182">
        <v>11377.75</v>
      </c>
      <c r="L1227" s="36"/>
      <c r="M1227" s="36"/>
      <c r="N1227" s="36"/>
      <c r="O1227" s="36"/>
      <c r="P1227" s="36"/>
      <c r="Q1227" s="36"/>
      <c r="R1227" s="36"/>
      <c r="S1227" s="36"/>
      <c r="T1227" s="36"/>
      <c r="U1227" s="36"/>
      <c r="V1227" s="36"/>
      <c r="W1227" s="36"/>
      <c r="X1227" s="36"/>
      <c r="Y1227" s="36"/>
      <c r="Z1227" s="36"/>
      <c r="AA1227" s="36"/>
      <c r="AB1227" s="36"/>
      <c r="AC1227" s="36"/>
    </row>
    <row r="1228" ht="15.75" customHeight="1">
      <c r="A1228" s="423">
        <v>43360.0</v>
      </c>
      <c r="B1228" s="424">
        <v>14.7612</v>
      </c>
      <c r="C1228" s="425">
        <v>17.1104</v>
      </c>
      <c r="D1228" s="425">
        <v>18.4662</v>
      </c>
      <c r="E1228" s="425">
        <v>13.3991</v>
      </c>
      <c r="F1228" s="425">
        <v>17.277</v>
      </c>
      <c r="G1228" s="425">
        <v>13.3007</v>
      </c>
      <c r="H1228" s="425">
        <v>26.4934</v>
      </c>
      <c r="I1228" s="425">
        <v>19.5208</v>
      </c>
      <c r="J1228" s="425">
        <v>19.8111</v>
      </c>
      <c r="K1228" s="182">
        <v>11377.75</v>
      </c>
      <c r="L1228" s="36"/>
      <c r="M1228" s="36"/>
      <c r="N1228" s="36"/>
      <c r="O1228" s="36"/>
      <c r="P1228" s="36"/>
      <c r="Q1228" s="36"/>
      <c r="R1228" s="36"/>
      <c r="S1228" s="36"/>
      <c r="T1228" s="36"/>
      <c r="U1228" s="36"/>
      <c r="V1228" s="36"/>
      <c r="W1228" s="36"/>
      <c r="X1228" s="36"/>
      <c r="Y1228" s="36"/>
      <c r="Z1228" s="36"/>
      <c r="AA1228" s="36"/>
      <c r="AB1228" s="36"/>
      <c r="AC1228" s="36"/>
    </row>
    <row r="1229" ht="15.75" customHeight="1">
      <c r="A1229" s="423">
        <v>43361.0</v>
      </c>
      <c r="B1229" s="424">
        <v>14.6697</v>
      </c>
      <c r="C1229" s="425">
        <v>17.1099</v>
      </c>
      <c r="D1229" s="425">
        <v>18.7079</v>
      </c>
      <c r="E1229" s="425">
        <v>13.3872</v>
      </c>
      <c r="F1229" s="425">
        <v>17.1652</v>
      </c>
      <c r="G1229" s="425">
        <v>13.3007</v>
      </c>
      <c r="H1229" s="425">
        <v>27.0862</v>
      </c>
      <c r="I1229" s="425">
        <v>19.6657</v>
      </c>
      <c r="J1229" s="425">
        <v>19.8266</v>
      </c>
      <c r="K1229" s="182">
        <v>11278.9</v>
      </c>
      <c r="L1229" s="36"/>
      <c r="M1229" s="36"/>
      <c r="N1229" s="36"/>
      <c r="O1229" s="36"/>
      <c r="P1229" s="36"/>
      <c r="Q1229" s="36"/>
      <c r="R1229" s="36"/>
      <c r="S1229" s="36"/>
      <c r="T1229" s="36"/>
      <c r="U1229" s="36"/>
      <c r="V1229" s="36"/>
      <c r="W1229" s="36"/>
      <c r="X1229" s="36"/>
      <c r="Y1229" s="36"/>
      <c r="Z1229" s="36"/>
      <c r="AA1229" s="36"/>
      <c r="AB1229" s="36"/>
      <c r="AC1229" s="36"/>
    </row>
    <row r="1230" ht="15.75" customHeight="1">
      <c r="A1230" s="423">
        <v>43361.0</v>
      </c>
      <c r="B1230" s="424">
        <v>14.6697</v>
      </c>
      <c r="C1230" s="425">
        <v>17.1099</v>
      </c>
      <c r="D1230" s="425">
        <v>18.6859</v>
      </c>
      <c r="E1230" s="425">
        <v>13.3872</v>
      </c>
      <c r="F1230" s="425">
        <v>17.1652</v>
      </c>
      <c r="G1230" s="425">
        <v>13.3007</v>
      </c>
      <c r="H1230" s="425">
        <v>26.985</v>
      </c>
      <c r="I1230" s="425">
        <v>19.6035</v>
      </c>
      <c r="J1230" s="425">
        <v>19.8266</v>
      </c>
      <c r="K1230" s="182">
        <v>11278.9</v>
      </c>
      <c r="L1230" s="36"/>
      <c r="M1230" s="36"/>
      <c r="N1230" s="36"/>
      <c r="O1230" s="36"/>
      <c r="P1230" s="36"/>
      <c r="Q1230" s="36"/>
      <c r="R1230" s="36"/>
      <c r="S1230" s="36"/>
      <c r="T1230" s="36"/>
      <c r="U1230" s="36"/>
      <c r="V1230" s="36"/>
      <c r="W1230" s="36"/>
      <c r="X1230" s="36"/>
      <c r="Y1230" s="36"/>
      <c r="Z1230" s="36"/>
      <c r="AA1230" s="36"/>
      <c r="AB1230" s="36"/>
      <c r="AC1230" s="36"/>
    </row>
    <row r="1231" ht="15.75" customHeight="1">
      <c r="A1231" s="423">
        <v>43361.0</v>
      </c>
      <c r="B1231" s="424">
        <v>14.6697</v>
      </c>
      <c r="C1231" s="425">
        <v>17.1239</v>
      </c>
      <c r="D1231" s="425">
        <v>18.5978</v>
      </c>
      <c r="E1231" s="425">
        <v>13.3872</v>
      </c>
      <c r="F1231" s="425">
        <v>17.1652</v>
      </c>
      <c r="G1231" s="425">
        <v>13.3007</v>
      </c>
      <c r="H1231" s="425">
        <v>26.9161</v>
      </c>
      <c r="I1231" s="425">
        <v>19.6283</v>
      </c>
      <c r="J1231" s="425">
        <v>19.8641</v>
      </c>
      <c r="K1231" s="182">
        <v>11278.9</v>
      </c>
      <c r="L1231" s="36"/>
      <c r="M1231" s="36"/>
      <c r="N1231" s="36"/>
      <c r="O1231" s="36"/>
      <c r="P1231" s="36"/>
      <c r="Q1231" s="36"/>
      <c r="R1231" s="36"/>
      <c r="S1231" s="36"/>
      <c r="T1231" s="36"/>
      <c r="U1231" s="36"/>
      <c r="V1231" s="36"/>
      <c r="W1231" s="36"/>
      <c r="X1231" s="36"/>
      <c r="Y1231" s="36"/>
      <c r="Z1231" s="36"/>
      <c r="AA1231" s="36"/>
      <c r="AB1231" s="36"/>
      <c r="AC1231" s="36"/>
    </row>
    <row r="1232" ht="15.75" customHeight="1">
      <c r="A1232" s="423">
        <v>43361.0</v>
      </c>
      <c r="B1232" s="424">
        <v>14.6697</v>
      </c>
      <c r="C1232" s="425">
        <v>17.1239</v>
      </c>
      <c r="D1232" s="425">
        <v>18.5202</v>
      </c>
      <c r="E1232" s="425">
        <v>13.3872</v>
      </c>
      <c r="F1232" s="425">
        <v>17.1652</v>
      </c>
      <c r="G1232" s="425">
        <v>13.3007</v>
      </c>
      <c r="H1232" s="425">
        <v>26.771</v>
      </c>
      <c r="I1232" s="425">
        <v>19.5688</v>
      </c>
      <c r="J1232" s="425">
        <v>19.8641</v>
      </c>
      <c r="K1232" s="182">
        <v>11278.9</v>
      </c>
      <c r="L1232" s="36"/>
      <c r="M1232" s="36"/>
      <c r="N1232" s="36"/>
      <c r="O1232" s="36"/>
      <c r="P1232" s="36"/>
      <c r="Q1232" s="36"/>
      <c r="R1232" s="36"/>
      <c r="S1232" s="36"/>
      <c r="T1232" s="36"/>
      <c r="U1232" s="36"/>
      <c r="V1232" s="36"/>
      <c r="W1232" s="36"/>
      <c r="X1232" s="36"/>
      <c r="Y1232" s="36"/>
      <c r="Z1232" s="36"/>
      <c r="AA1232" s="36"/>
      <c r="AB1232" s="36"/>
      <c r="AC1232" s="36"/>
    </row>
    <row r="1233" ht="15.75" customHeight="1">
      <c r="A1233" s="423">
        <v>43362.0</v>
      </c>
      <c r="B1233" s="424">
        <v>14.6217</v>
      </c>
      <c r="C1233" s="425">
        <v>17.0704</v>
      </c>
      <c r="D1233" s="425">
        <v>18.7365</v>
      </c>
      <c r="E1233" s="425">
        <v>13.4246</v>
      </c>
      <c r="F1233" s="425">
        <v>17.1002</v>
      </c>
      <c r="G1233" s="425">
        <v>13.3049</v>
      </c>
      <c r="H1233" s="425">
        <v>27.0303</v>
      </c>
      <c r="I1233" s="425">
        <v>19.5004</v>
      </c>
      <c r="J1233" s="425">
        <v>19.8382</v>
      </c>
      <c r="K1233" s="182">
        <v>11234.35</v>
      </c>
      <c r="L1233" s="36"/>
      <c r="M1233" s="36"/>
      <c r="N1233" s="36"/>
      <c r="O1233" s="36"/>
      <c r="P1233" s="36"/>
      <c r="Q1233" s="36"/>
      <c r="R1233" s="36"/>
      <c r="S1233" s="36"/>
      <c r="T1233" s="36"/>
      <c r="U1233" s="36"/>
      <c r="V1233" s="36"/>
      <c r="W1233" s="36"/>
      <c r="X1233" s="36"/>
      <c r="Y1233" s="36"/>
      <c r="Z1233" s="36"/>
      <c r="AA1233" s="36"/>
      <c r="AB1233" s="36"/>
      <c r="AC1233" s="36"/>
    </row>
    <row r="1234" ht="15.75" customHeight="1">
      <c r="A1234" s="423">
        <v>43362.0</v>
      </c>
      <c r="B1234" s="424">
        <v>14.6217</v>
      </c>
      <c r="C1234" s="425">
        <v>17.0704</v>
      </c>
      <c r="D1234" s="425">
        <v>18.738</v>
      </c>
      <c r="E1234" s="425">
        <v>13.4246</v>
      </c>
      <c r="F1234" s="425">
        <v>17.1002</v>
      </c>
      <c r="G1234" s="425">
        <v>13.3049</v>
      </c>
      <c r="H1234" s="425">
        <v>27.0716</v>
      </c>
      <c r="I1234" s="425">
        <v>19.5599</v>
      </c>
      <c r="J1234" s="425">
        <v>19.8382</v>
      </c>
      <c r="K1234" s="182">
        <v>11234.35</v>
      </c>
      <c r="L1234" s="36"/>
      <c r="M1234" s="36"/>
      <c r="N1234" s="36"/>
      <c r="O1234" s="36"/>
      <c r="P1234" s="36"/>
      <c r="Q1234" s="36"/>
      <c r="R1234" s="36"/>
      <c r="S1234" s="36"/>
      <c r="T1234" s="36"/>
      <c r="U1234" s="36"/>
      <c r="V1234" s="36"/>
      <c r="W1234" s="36"/>
      <c r="X1234" s="36"/>
      <c r="Y1234" s="36"/>
      <c r="Z1234" s="36"/>
      <c r="AA1234" s="36"/>
      <c r="AB1234" s="36"/>
      <c r="AC1234" s="36"/>
    </row>
    <row r="1235" ht="15.75" customHeight="1">
      <c r="A1235" s="423">
        <v>43362.0</v>
      </c>
      <c r="B1235" s="424">
        <v>14.6217</v>
      </c>
      <c r="C1235" s="425">
        <v>17.0957</v>
      </c>
      <c r="D1235" s="425">
        <v>18.7299</v>
      </c>
      <c r="E1235" s="425">
        <v>13.4246</v>
      </c>
      <c r="F1235" s="425">
        <v>17.1002</v>
      </c>
      <c r="G1235" s="425">
        <v>13.3049</v>
      </c>
      <c r="H1235" s="425">
        <v>26.9777</v>
      </c>
      <c r="I1235" s="425">
        <v>19.5461</v>
      </c>
      <c r="J1235" s="425">
        <v>19.8673</v>
      </c>
      <c r="K1235" s="182">
        <v>11234.35</v>
      </c>
      <c r="L1235" s="36"/>
      <c r="M1235" s="36"/>
      <c r="N1235" s="36"/>
      <c r="O1235" s="36"/>
      <c r="P1235" s="36"/>
      <c r="Q1235" s="36"/>
      <c r="R1235" s="36"/>
      <c r="S1235" s="36"/>
      <c r="T1235" s="36"/>
      <c r="U1235" s="36"/>
      <c r="V1235" s="36"/>
      <c r="W1235" s="36"/>
      <c r="X1235" s="36"/>
      <c r="Y1235" s="36"/>
      <c r="Z1235" s="36"/>
      <c r="AA1235" s="36"/>
      <c r="AB1235" s="36"/>
      <c r="AC1235" s="36"/>
    </row>
    <row r="1236" ht="15.75" customHeight="1">
      <c r="A1236" s="423">
        <v>43362.0</v>
      </c>
      <c r="B1236" s="424">
        <v>14.6217</v>
      </c>
      <c r="C1236" s="425">
        <v>17.0957</v>
      </c>
      <c r="D1236" s="425">
        <v>18.7099</v>
      </c>
      <c r="E1236" s="425">
        <v>13.4246</v>
      </c>
      <c r="F1236" s="425">
        <v>17.1002</v>
      </c>
      <c r="G1236" s="425">
        <v>13.3049</v>
      </c>
      <c r="H1236" s="425">
        <v>26.9313</v>
      </c>
      <c r="I1236" s="425">
        <v>19.5567</v>
      </c>
      <c r="J1236" s="425">
        <v>19.8673</v>
      </c>
      <c r="K1236" s="182">
        <v>11234.35</v>
      </c>
      <c r="L1236" s="36"/>
      <c r="M1236" s="36"/>
      <c r="N1236" s="36"/>
      <c r="O1236" s="36"/>
      <c r="P1236" s="36"/>
      <c r="Q1236" s="36"/>
      <c r="R1236" s="36"/>
      <c r="S1236" s="36"/>
      <c r="T1236" s="36"/>
      <c r="U1236" s="36"/>
      <c r="V1236" s="36"/>
      <c r="W1236" s="36"/>
      <c r="X1236" s="36"/>
      <c r="Y1236" s="36"/>
      <c r="Z1236" s="36"/>
      <c r="AA1236" s="36"/>
      <c r="AB1236" s="36"/>
      <c r="AC1236" s="36"/>
    </row>
    <row r="1237" ht="15.75" customHeight="1">
      <c r="A1237" s="423">
        <v>43364.0</v>
      </c>
      <c r="B1237" s="424">
        <v>14.4794</v>
      </c>
      <c r="C1237" s="425">
        <v>17.0585</v>
      </c>
      <c r="D1237" s="425">
        <v>18.7568</v>
      </c>
      <c r="E1237" s="425">
        <v>13.4325</v>
      </c>
      <c r="F1237" s="425">
        <v>16.9414</v>
      </c>
      <c r="G1237" s="425">
        <v>13.309</v>
      </c>
      <c r="H1237" s="425">
        <v>27.1077</v>
      </c>
      <c r="I1237" s="425">
        <v>19.6371</v>
      </c>
      <c r="J1237" s="425">
        <v>19.9063</v>
      </c>
      <c r="K1237" s="182">
        <v>11143.1</v>
      </c>
      <c r="L1237" s="36"/>
      <c r="M1237" s="36"/>
      <c r="N1237" s="36"/>
      <c r="O1237" s="36"/>
      <c r="P1237" s="36"/>
      <c r="Q1237" s="36"/>
      <c r="R1237" s="36"/>
      <c r="S1237" s="36"/>
      <c r="T1237" s="36"/>
      <c r="U1237" s="36"/>
      <c r="V1237" s="36"/>
      <c r="W1237" s="36"/>
      <c r="X1237" s="36"/>
      <c r="Y1237" s="36"/>
      <c r="Z1237" s="36"/>
      <c r="AA1237" s="36"/>
      <c r="AB1237" s="36"/>
      <c r="AC1237" s="36"/>
    </row>
    <row r="1238" ht="15.75" customHeight="1">
      <c r="A1238" s="423">
        <v>43364.0</v>
      </c>
      <c r="B1238" s="424">
        <v>14.4794</v>
      </c>
      <c r="C1238" s="425">
        <v>17.0585</v>
      </c>
      <c r="D1238" s="425">
        <v>18.7442</v>
      </c>
      <c r="E1238" s="425">
        <v>13.4325</v>
      </c>
      <c r="F1238" s="425">
        <v>16.9414</v>
      </c>
      <c r="G1238" s="425">
        <v>13.309</v>
      </c>
      <c r="H1238" s="425">
        <v>27.1338</v>
      </c>
      <c r="I1238" s="425">
        <v>19.6582</v>
      </c>
      <c r="J1238" s="425">
        <v>19.9063</v>
      </c>
      <c r="K1238" s="182">
        <v>11143.1</v>
      </c>
      <c r="L1238" s="36"/>
      <c r="M1238" s="36"/>
      <c r="N1238" s="36"/>
      <c r="O1238" s="36"/>
      <c r="P1238" s="36"/>
      <c r="Q1238" s="36"/>
      <c r="R1238" s="36"/>
      <c r="S1238" s="36"/>
      <c r="T1238" s="36"/>
      <c r="U1238" s="36"/>
      <c r="V1238" s="36"/>
      <c r="W1238" s="36"/>
      <c r="X1238" s="36"/>
      <c r="Y1238" s="36"/>
      <c r="Z1238" s="36"/>
      <c r="AA1238" s="36"/>
      <c r="AB1238" s="36"/>
      <c r="AC1238" s="36"/>
    </row>
    <row r="1239" ht="15.75" customHeight="1">
      <c r="A1239" s="423">
        <v>43364.0</v>
      </c>
      <c r="B1239" s="424">
        <v>14.4794</v>
      </c>
      <c r="C1239" s="425">
        <v>17.0558</v>
      </c>
      <c r="D1239" s="425">
        <v>18.7362</v>
      </c>
      <c r="E1239" s="425">
        <v>13.4325</v>
      </c>
      <c r="F1239" s="425">
        <v>16.9414</v>
      </c>
      <c r="G1239" s="425">
        <v>13.309</v>
      </c>
      <c r="H1239" s="425">
        <v>27.1207</v>
      </c>
      <c r="I1239" s="425">
        <v>19.6295</v>
      </c>
      <c r="J1239" s="425">
        <v>19.8653</v>
      </c>
      <c r="K1239" s="182">
        <v>11143.1</v>
      </c>
      <c r="L1239" s="36"/>
      <c r="M1239" s="36"/>
      <c r="N1239" s="36"/>
      <c r="O1239" s="36"/>
      <c r="P1239" s="36"/>
      <c r="Q1239" s="36"/>
      <c r="R1239" s="36"/>
      <c r="S1239" s="36"/>
      <c r="T1239" s="36"/>
      <c r="U1239" s="36"/>
      <c r="V1239" s="36"/>
      <c r="W1239" s="36"/>
      <c r="X1239" s="36"/>
      <c r="Y1239" s="36"/>
      <c r="Z1239" s="36"/>
      <c r="AA1239" s="36"/>
      <c r="AB1239" s="36"/>
      <c r="AC1239" s="36"/>
    </row>
    <row r="1240" ht="15.75" customHeight="1">
      <c r="A1240" s="423">
        <v>43364.0</v>
      </c>
      <c r="B1240" s="424">
        <v>14.4794</v>
      </c>
      <c r="C1240" s="425">
        <v>17.0558</v>
      </c>
      <c r="D1240" s="425">
        <v>18.7245</v>
      </c>
      <c r="E1240" s="425">
        <v>13.4325</v>
      </c>
      <c r="F1240" s="425">
        <v>16.9414</v>
      </c>
      <c r="G1240" s="425">
        <v>13.309</v>
      </c>
      <c r="H1240" s="425">
        <v>27.0821</v>
      </c>
      <c r="I1240" s="425">
        <v>19.5211</v>
      </c>
      <c r="J1240" s="425">
        <v>19.8653</v>
      </c>
      <c r="K1240" s="182">
        <v>11143.1</v>
      </c>
      <c r="L1240" s="36"/>
      <c r="M1240" s="36"/>
      <c r="N1240" s="36"/>
      <c r="O1240" s="36"/>
      <c r="P1240" s="36"/>
      <c r="Q1240" s="36"/>
      <c r="R1240" s="36"/>
      <c r="S1240" s="36"/>
      <c r="T1240" s="36"/>
      <c r="U1240" s="36"/>
      <c r="V1240" s="36"/>
      <c r="W1240" s="36"/>
      <c r="X1240" s="36"/>
      <c r="Y1240" s="36"/>
      <c r="Z1240" s="36"/>
      <c r="AA1240" s="36"/>
      <c r="AB1240" s="36"/>
      <c r="AC1240" s="36"/>
    </row>
    <row r="1241" ht="15.75" customHeight="1">
      <c r="A1241" s="423">
        <v>43367.0</v>
      </c>
      <c r="B1241" s="424">
        <v>14.3158</v>
      </c>
      <c r="C1241" s="425">
        <v>17.0284</v>
      </c>
      <c r="D1241" s="426">
        <v>18.7233</v>
      </c>
      <c r="E1241" s="425">
        <v>13.4129</v>
      </c>
      <c r="F1241" s="425">
        <v>16.7425</v>
      </c>
      <c r="G1241" s="425">
        <v>13.3079</v>
      </c>
      <c r="H1241" s="426">
        <v>26.5029</v>
      </c>
      <c r="I1241" s="426">
        <v>19.3357</v>
      </c>
      <c r="J1241" s="425">
        <v>19.8716</v>
      </c>
      <c r="K1241" s="182">
        <v>10967.4</v>
      </c>
      <c r="L1241" s="36"/>
      <c r="M1241" s="36"/>
      <c r="N1241" s="36"/>
      <c r="O1241" s="36"/>
      <c r="P1241" s="36"/>
      <c r="Q1241" s="36"/>
      <c r="R1241" s="36"/>
      <c r="S1241" s="36"/>
      <c r="T1241" s="36"/>
      <c r="U1241" s="36"/>
      <c r="V1241" s="36"/>
      <c r="W1241" s="36"/>
      <c r="X1241" s="36"/>
      <c r="Y1241" s="36"/>
      <c r="Z1241" s="36"/>
      <c r="AA1241" s="36"/>
      <c r="AB1241" s="36"/>
      <c r="AC1241" s="36"/>
    </row>
    <row r="1242" ht="15.75" customHeight="1">
      <c r="A1242" s="423">
        <v>43367.0</v>
      </c>
      <c r="B1242" s="424">
        <v>14.3158</v>
      </c>
      <c r="C1242" s="425">
        <v>17.0284</v>
      </c>
      <c r="D1242" s="426">
        <v>18.7534</v>
      </c>
      <c r="E1242" s="425">
        <v>13.4129</v>
      </c>
      <c r="F1242" s="425">
        <v>16.7425</v>
      </c>
      <c r="G1242" s="425">
        <v>13.3079</v>
      </c>
      <c r="H1242" s="426">
        <v>26.4146</v>
      </c>
      <c r="I1242" s="426">
        <v>19.3412</v>
      </c>
      <c r="J1242" s="425">
        <v>19.8716</v>
      </c>
      <c r="K1242" s="182">
        <v>10967.4</v>
      </c>
      <c r="L1242" s="36"/>
      <c r="M1242" s="36"/>
      <c r="N1242" s="36"/>
      <c r="O1242" s="36"/>
      <c r="P1242" s="36"/>
      <c r="Q1242" s="36"/>
      <c r="R1242" s="36"/>
      <c r="S1242" s="36"/>
      <c r="T1242" s="36"/>
      <c r="U1242" s="36"/>
      <c r="V1242" s="36"/>
      <c r="W1242" s="36"/>
      <c r="X1242" s="36"/>
      <c r="Y1242" s="36"/>
      <c r="Z1242" s="36"/>
      <c r="AA1242" s="36"/>
      <c r="AB1242" s="36"/>
      <c r="AC1242" s="36"/>
    </row>
    <row r="1243" ht="15.75" customHeight="1">
      <c r="A1243" s="423">
        <v>43367.0</v>
      </c>
      <c r="B1243" s="424">
        <v>14.3158</v>
      </c>
      <c r="C1243" s="425">
        <v>17.0461</v>
      </c>
      <c r="D1243" s="426">
        <v>18.7474</v>
      </c>
      <c r="E1243" s="425">
        <v>13.4129</v>
      </c>
      <c r="F1243" s="425">
        <v>16.7425</v>
      </c>
      <c r="G1243" s="425">
        <v>13.3079</v>
      </c>
      <c r="H1243" s="426">
        <v>26.657</v>
      </c>
      <c r="I1243" s="426">
        <v>19.479</v>
      </c>
      <c r="J1243" s="425">
        <v>19.818</v>
      </c>
      <c r="K1243" s="182">
        <v>10967.4</v>
      </c>
      <c r="L1243" s="36"/>
      <c r="M1243" s="36"/>
      <c r="N1243" s="36"/>
      <c r="O1243" s="36"/>
      <c r="P1243" s="36"/>
      <c r="Q1243" s="36"/>
      <c r="R1243" s="36"/>
      <c r="S1243" s="36"/>
      <c r="T1243" s="36"/>
      <c r="U1243" s="36"/>
      <c r="V1243" s="36"/>
      <c r="W1243" s="36"/>
      <c r="X1243" s="36"/>
      <c r="Y1243" s="36"/>
      <c r="Z1243" s="36"/>
      <c r="AA1243" s="36"/>
      <c r="AB1243" s="36"/>
      <c r="AC1243" s="36"/>
    </row>
    <row r="1244" ht="15.75" customHeight="1">
      <c r="A1244" s="423">
        <v>43367.0</v>
      </c>
      <c r="B1244" s="424">
        <v>14.3158</v>
      </c>
      <c r="C1244" s="425">
        <v>17.0461</v>
      </c>
      <c r="D1244" s="426">
        <v>18.7536</v>
      </c>
      <c r="E1244" s="425">
        <v>13.4129</v>
      </c>
      <c r="F1244" s="425">
        <v>16.7425</v>
      </c>
      <c r="G1244" s="425">
        <v>13.3079</v>
      </c>
      <c r="H1244" s="426">
        <v>26.9455</v>
      </c>
      <c r="I1244" s="426">
        <v>19.602</v>
      </c>
      <c r="J1244" s="425">
        <v>19.818</v>
      </c>
      <c r="K1244" s="182">
        <v>10967.4</v>
      </c>
      <c r="L1244" s="36"/>
      <c r="M1244" s="36"/>
      <c r="N1244" s="36"/>
      <c r="O1244" s="36"/>
      <c r="P1244" s="36"/>
      <c r="Q1244" s="36"/>
      <c r="R1244" s="36"/>
      <c r="S1244" s="36"/>
      <c r="T1244" s="36"/>
      <c r="U1244" s="36"/>
      <c r="V1244" s="36"/>
      <c r="W1244" s="36"/>
      <c r="X1244" s="36"/>
      <c r="Y1244" s="36"/>
      <c r="Z1244" s="36"/>
      <c r="AA1244" s="36"/>
      <c r="AB1244" s="36"/>
      <c r="AC1244" s="36"/>
    </row>
    <row r="1245" ht="15.75" customHeight="1">
      <c r="A1245" s="423">
        <v>43368.0</v>
      </c>
      <c r="B1245" s="424">
        <v>14.4129</v>
      </c>
      <c r="C1245" s="425">
        <v>17.0294</v>
      </c>
      <c r="D1245" s="426">
        <v>18.6897</v>
      </c>
      <c r="E1245" s="425">
        <v>13.4143</v>
      </c>
      <c r="F1245" s="425">
        <v>16.8378</v>
      </c>
      <c r="G1245" s="425">
        <v>13.3073</v>
      </c>
      <c r="H1245" s="426">
        <v>27.0654</v>
      </c>
      <c r="I1245" s="426">
        <v>19.6005</v>
      </c>
      <c r="J1245" s="425">
        <v>20.0164</v>
      </c>
      <c r="K1245" s="182">
        <v>11067.45</v>
      </c>
      <c r="L1245" s="36"/>
      <c r="M1245" s="36"/>
      <c r="N1245" s="36"/>
      <c r="O1245" s="36"/>
      <c r="P1245" s="36"/>
      <c r="Q1245" s="36"/>
      <c r="R1245" s="36"/>
      <c r="S1245" s="36"/>
      <c r="T1245" s="36"/>
      <c r="U1245" s="36"/>
      <c r="V1245" s="36"/>
      <c r="W1245" s="36"/>
      <c r="X1245" s="36"/>
      <c r="Y1245" s="36"/>
      <c r="Z1245" s="36"/>
      <c r="AA1245" s="36"/>
      <c r="AB1245" s="36"/>
      <c r="AC1245" s="36"/>
    </row>
    <row r="1246" ht="15.75" customHeight="1">
      <c r="A1246" s="423">
        <v>43368.0</v>
      </c>
      <c r="B1246" s="424">
        <v>14.4129</v>
      </c>
      <c r="C1246" s="425">
        <v>17.0294</v>
      </c>
      <c r="D1246" s="426">
        <v>18.6711</v>
      </c>
      <c r="E1246" s="425">
        <v>13.4143</v>
      </c>
      <c r="F1246" s="425">
        <v>16.8378</v>
      </c>
      <c r="G1246" s="425">
        <v>13.3073</v>
      </c>
      <c r="H1246" s="426">
        <v>27.0379</v>
      </c>
      <c r="I1246" s="426">
        <v>19.6044</v>
      </c>
      <c r="J1246" s="425">
        <v>20.0164</v>
      </c>
      <c r="K1246" s="182">
        <v>11067.45</v>
      </c>
      <c r="L1246" s="36"/>
      <c r="M1246" s="36"/>
      <c r="N1246" s="36"/>
      <c r="O1246" s="36"/>
      <c r="P1246" s="36"/>
      <c r="Q1246" s="36"/>
      <c r="R1246" s="36"/>
      <c r="S1246" s="36"/>
      <c r="T1246" s="36"/>
      <c r="U1246" s="36"/>
      <c r="V1246" s="36"/>
      <c r="W1246" s="36"/>
      <c r="X1246" s="36"/>
      <c r="Y1246" s="36"/>
      <c r="Z1246" s="36"/>
      <c r="AA1246" s="36"/>
      <c r="AB1246" s="36"/>
      <c r="AC1246" s="36"/>
    </row>
    <row r="1247" ht="15.75" customHeight="1">
      <c r="A1247" s="423">
        <v>43368.0</v>
      </c>
      <c r="B1247" s="424">
        <v>14.4129</v>
      </c>
      <c r="C1247" s="425">
        <v>17.0207</v>
      </c>
      <c r="D1247" s="426">
        <v>18.7228</v>
      </c>
      <c r="E1247" s="425">
        <v>13.4143</v>
      </c>
      <c r="F1247" s="425">
        <v>16.8378</v>
      </c>
      <c r="G1247" s="425">
        <v>13.3073</v>
      </c>
      <c r="H1247" s="426">
        <v>26.8219</v>
      </c>
      <c r="I1247" s="426">
        <v>19.4249</v>
      </c>
      <c r="J1247" s="425">
        <v>19.9588</v>
      </c>
      <c r="K1247" s="182">
        <v>11067.45</v>
      </c>
      <c r="L1247" s="36"/>
      <c r="M1247" s="36"/>
      <c r="N1247" s="36"/>
      <c r="O1247" s="36"/>
      <c r="P1247" s="36"/>
      <c r="Q1247" s="36"/>
      <c r="R1247" s="36"/>
      <c r="S1247" s="36"/>
      <c r="T1247" s="36"/>
      <c r="U1247" s="36"/>
      <c r="V1247" s="36"/>
      <c r="W1247" s="36"/>
      <c r="X1247" s="36"/>
      <c r="Y1247" s="36"/>
      <c r="Z1247" s="36"/>
      <c r="AA1247" s="36"/>
      <c r="AB1247" s="36"/>
      <c r="AC1247" s="36"/>
    </row>
    <row r="1248" ht="15.75" customHeight="1">
      <c r="A1248" s="423">
        <v>43368.0</v>
      </c>
      <c r="B1248" s="424">
        <v>14.4129</v>
      </c>
      <c r="C1248" s="425">
        <v>17.0207</v>
      </c>
      <c r="D1248" s="426">
        <v>18.7278</v>
      </c>
      <c r="E1248" s="425">
        <v>13.4143</v>
      </c>
      <c r="F1248" s="425">
        <v>16.8378</v>
      </c>
      <c r="G1248" s="425">
        <v>13.3073</v>
      </c>
      <c r="H1248" s="426">
        <v>26.6217</v>
      </c>
      <c r="I1248" s="426">
        <v>19.3607</v>
      </c>
      <c r="J1248" s="425">
        <v>19.9588</v>
      </c>
      <c r="K1248" s="182">
        <v>11067.45</v>
      </c>
      <c r="L1248" s="36"/>
      <c r="M1248" s="36"/>
      <c r="N1248" s="36"/>
      <c r="O1248" s="36"/>
      <c r="P1248" s="36"/>
      <c r="Q1248" s="36"/>
      <c r="R1248" s="36"/>
      <c r="S1248" s="36"/>
      <c r="T1248" s="36"/>
      <c r="U1248" s="36"/>
      <c r="V1248" s="36"/>
      <c r="W1248" s="36"/>
      <c r="X1248" s="36"/>
      <c r="Y1248" s="36"/>
      <c r="Z1248" s="36"/>
      <c r="AA1248" s="36"/>
      <c r="AB1248" s="36"/>
      <c r="AC1248" s="36"/>
    </row>
    <row r="1249" ht="15.75" customHeight="1">
      <c r="A1249" s="423">
        <v>43369.0</v>
      </c>
      <c r="B1249" s="424">
        <v>14.4143</v>
      </c>
      <c r="C1249" s="425">
        <v>17.0495</v>
      </c>
      <c r="D1249" s="426">
        <v>18.7756</v>
      </c>
      <c r="E1249" s="425">
        <v>13.4465</v>
      </c>
      <c r="F1249" s="425">
        <v>16.8493</v>
      </c>
      <c r="G1249" s="425">
        <v>13.3132</v>
      </c>
      <c r="H1249" s="426">
        <v>27.4142</v>
      </c>
      <c r="I1249" s="426">
        <v>19.8951</v>
      </c>
      <c r="J1249" s="425">
        <v>19.9005</v>
      </c>
      <c r="K1249" s="182">
        <v>11053.8</v>
      </c>
      <c r="L1249" s="36"/>
      <c r="M1249" s="36"/>
      <c r="N1249" s="36"/>
      <c r="O1249" s="36"/>
      <c r="P1249" s="36"/>
      <c r="Q1249" s="36"/>
      <c r="R1249" s="36"/>
      <c r="S1249" s="36"/>
      <c r="T1249" s="36"/>
      <c r="U1249" s="36"/>
      <c r="V1249" s="36"/>
      <c r="W1249" s="36"/>
      <c r="X1249" s="36"/>
      <c r="Y1249" s="36"/>
      <c r="Z1249" s="36"/>
      <c r="AA1249" s="36"/>
      <c r="AB1249" s="36"/>
      <c r="AC1249" s="36"/>
    </row>
    <row r="1250" ht="15.75" customHeight="1">
      <c r="A1250" s="423">
        <v>43369.0</v>
      </c>
      <c r="B1250" s="424">
        <v>14.4143</v>
      </c>
      <c r="C1250" s="425">
        <v>17.0495</v>
      </c>
      <c r="D1250" s="426">
        <v>18.7418</v>
      </c>
      <c r="E1250" s="425">
        <v>13.4465</v>
      </c>
      <c r="F1250" s="425">
        <v>16.8493</v>
      </c>
      <c r="G1250" s="425">
        <v>13.3132</v>
      </c>
      <c r="H1250" s="426">
        <v>27.2732</v>
      </c>
      <c r="I1250" s="426">
        <v>19.7385</v>
      </c>
      <c r="J1250" s="425">
        <v>19.9005</v>
      </c>
      <c r="K1250" s="182">
        <v>11053.8</v>
      </c>
      <c r="L1250" s="36"/>
      <c r="M1250" s="36"/>
      <c r="N1250" s="36"/>
      <c r="O1250" s="36"/>
      <c r="P1250" s="36"/>
      <c r="Q1250" s="36"/>
      <c r="R1250" s="36"/>
      <c r="S1250" s="36"/>
      <c r="T1250" s="36"/>
      <c r="U1250" s="36"/>
      <c r="V1250" s="36"/>
      <c r="W1250" s="36"/>
      <c r="X1250" s="36"/>
      <c r="Y1250" s="36"/>
      <c r="Z1250" s="36"/>
      <c r="AA1250" s="36"/>
      <c r="AB1250" s="36"/>
      <c r="AC1250" s="36"/>
    </row>
    <row r="1251" ht="15.75" customHeight="1">
      <c r="A1251" s="423">
        <v>43369.0</v>
      </c>
      <c r="B1251" s="424">
        <v>14.4143</v>
      </c>
      <c r="C1251" s="425">
        <v>17.0477</v>
      </c>
      <c r="D1251" s="426">
        <v>18.7358</v>
      </c>
      <c r="E1251" s="425">
        <v>13.4465</v>
      </c>
      <c r="F1251" s="425">
        <v>16.8493</v>
      </c>
      <c r="G1251" s="425">
        <v>13.3132</v>
      </c>
      <c r="H1251" s="426">
        <v>27.3007</v>
      </c>
      <c r="I1251" s="426">
        <v>19.7308</v>
      </c>
      <c r="J1251" s="425">
        <v>19.9706</v>
      </c>
      <c r="K1251" s="182">
        <v>11053.8</v>
      </c>
      <c r="L1251" s="36"/>
      <c r="M1251" s="36"/>
      <c r="N1251" s="36"/>
      <c r="O1251" s="36"/>
      <c r="P1251" s="36"/>
      <c r="Q1251" s="36"/>
      <c r="R1251" s="36"/>
      <c r="S1251" s="36"/>
      <c r="T1251" s="36"/>
      <c r="U1251" s="36"/>
      <c r="V1251" s="36"/>
      <c r="W1251" s="36"/>
      <c r="X1251" s="36"/>
      <c r="Y1251" s="36"/>
      <c r="Z1251" s="36"/>
      <c r="AA1251" s="36"/>
      <c r="AB1251" s="36"/>
      <c r="AC1251" s="36"/>
    </row>
    <row r="1252" ht="15.75" customHeight="1">
      <c r="A1252" s="423">
        <v>43369.0</v>
      </c>
      <c r="B1252" s="424">
        <v>14.4143</v>
      </c>
      <c r="C1252" s="425">
        <v>17.0477</v>
      </c>
      <c r="D1252" s="426">
        <v>18.7142</v>
      </c>
      <c r="E1252" s="425">
        <v>13.4465</v>
      </c>
      <c r="F1252" s="425">
        <v>16.8493</v>
      </c>
      <c r="G1252" s="425">
        <v>13.3132</v>
      </c>
      <c r="H1252" s="426">
        <v>27.2843</v>
      </c>
      <c r="I1252" s="426">
        <v>19.6747</v>
      </c>
      <c r="J1252" s="425">
        <v>19.9706</v>
      </c>
      <c r="K1252" s="182">
        <v>11053.8</v>
      </c>
      <c r="L1252" s="36"/>
      <c r="M1252" s="36"/>
      <c r="N1252" s="36"/>
      <c r="O1252" s="36"/>
      <c r="P1252" s="36"/>
      <c r="Q1252" s="36"/>
      <c r="R1252" s="36"/>
      <c r="S1252" s="36"/>
      <c r="T1252" s="36"/>
      <c r="U1252" s="36"/>
      <c r="V1252" s="36"/>
      <c r="W1252" s="36"/>
      <c r="X1252" s="36"/>
      <c r="Y1252" s="36"/>
      <c r="Z1252" s="36"/>
      <c r="AA1252" s="36"/>
      <c r="AB1252" s="36"/>
      <c r="AC1252" s="36"/>
    </row>
    <row r="1253" ht="15.75" customHeight="1">
      <c r="A1253" s="423">
        <v>43370.0</v>
      </c>
      <c r="B1253" s="424">
        <v>14.3375</v>
      </c>
      <c r="C1253" s="425">
        <v>17.0621</v>
      </c>
      <c r="D1253" s="426">
        <v>18.7927</v>
      </c>
      <c r="E1253" s="425">
        <v>13.4759</v>
      </c>
      <c r="F1253" s="425">
        <v>16.7607</v>
      </c>
      <c r="G1253" s="425">
        <v>13.3213</v>
      </c>
      <c r="H1253" s="426">
        <v>27.5134</v>
      </c>
      <c r="I1253" s="426">
        <v>20.1385</v>
      </c>
      <c r="J1253" s="425">
        <v>19.9886</v>
      </c>
      <c r="K1253" s="182">
        <v>10977.55</v>
      </c>
      <c r="L1253" s="36"/>
      <c r="M1253" s="36"/>
      <c r="N1253" s="36"/>
      <c r="O1253" s="36"/>
      <c r="P1253" s="36"/>
      <c r="Q1253" s="36"/>
      <c r="R1253" s="36"/>
      <c r="S1253" s="36"/>
      <c r="T1253" s="36"/>
      <c r="U1253" s="36"/>
      <c r="V1253" s="36"/>
      <c r="W1253" s="36"/>
      <c r="X1253" s="36"/>
      <c r="Y1253" s="36"/>
      <c r="Z1253" s="36"/>
      <c r="AA1253" s="36"/>
      <c r="AB1253" s="36"/>
      <c r="AC1253" s="36"/>
    </row>
    <row r="1254" ht="15.75" customHeight="1">
      <c r="A1254" s="423">
        <v>43370.0</v>
      </c>
      <c r="B1254" s="424">
        <v>14.3375</v>
      </c>
      <c r="C1254" s="425">
        <v>17.0621</v>
      </c>
      <c r="D1254" s="426">
        <v>18.8001</v>
      </c>
      <c r="E1254" s="425">
        <v>13.4759</v>
      </c>
      <c r="F1254" s="425">
        <v>16.7607</v>
      </c>
      <c r="G1254" s="425">
        <v>13.3213</v>
      </c>
      <c r="H1254" s="426">
        <v>27.6116</v>
      </c>
      <c r="I1254" s="426">
        <v>20.1559</v>
      </c>
      <c r="J1254" s="425">
        <v>19.9886</v>
      </c>
      <c r="K1254" s="182">
        <v>10977.55</v>
      </c>
      <c r="L1254" s="36"/>
      <c r="M1254" s="36"/>
      <c r="N1254" s="36"/>
      <c r="O1254" s="36"/>
      <c r="P1254" s="36"/>
      <c r="Q1254" s="36"/>
      <c r="R1254" s="36"/>
      <c r="S1254" s="36"/>
      <c r="T1254" s="36"/>
      <c r="U1254" s="36"/>
      <c r="V1254" s="36"/>
      <c r="W1254" s="36"/>
      <c r="X1254" s="36"/>
      <c r="Y1254" s="36"/>
      <c r="Z1254" s="36"/>
      <c r="AA1254" s="36"/>
      <c r="AB1254" s="36"/>
      <c r="AC1254" s="36"/>
    </row>
    <row r="1255" ht="15.75" customHeight="1">
      <c r="A1255" s="423">
        <v>43370.0</v>
      </c>
      <c r="B1255" s="424">
        <v>14.3375</v>
      </c>
      <c r="C1255" s="425">
        <v>17.0482</v>
      </c>
      <c r="D1255" s="426">
        <v>18.7789</v>
      </c>
      <c r="E1255" s="425">
        <v>13.4759</v>
      </c>
      <c r="F1255" s="425">
        <v>16.7607</v>
      </c>
      <c r="G1255" s="425">
        <v>13.3213</v>
      </c>
      <c r="H1255" s="426">
        <v>27.4417</v>
      </c>
      <c r="I1255" s="426">
        <v>19.9798</v>
      </c>
      <c r="J1255" s="425">
        <v>19.8437</v>
      </c>
      <c r="K1255" s="182">
        <v>10977.55</v>
      </c>
      <c r="L1255" s="36"/>
      <c r="M1255" s="36"/>
      <c r="N1255" s="36"/>
      <c r="O1255" s="36"/>
      <c r="P1255" s="36"/>
      <c r="Q1255" s="36"/>
      <c r="R1255" s="36"/>
      <c r="S1255" s="36"/>
      <c r="T1255" s="36"/>
      <c r="U1255" s="36"/>
      <c r="V1255" s="36"/>
      <c r="W1255" s="36"/>
      <c r="X1255" s="36"/>
      <c r="Y1255" s="36"/>
      <c r="Z1255" s="36"/>
      <c r="AA1255" s="36"/>
      <c r="AB1255" s="36"/>
      <c r="AC1255" s="36"/>
    </row>
    <row r="1256" ht="15.75" customHeight="1">
      <c r="A1256" s="423">
        <v>43370.0</v>
      </c>
      <c r="B1256" s="424">
        <v>14.3375</v>
      </c>
      <c r="C1256" s="425">
        <v>17.0482</v>
      </c>
      <c r="D1256" s="426">
        <v>18.7755</v>
      </c>
      <c r="E1256" s="425">
        <v>13.4759</v>
      </c>
      <c r="F1256" s="425">
        <v>16.7607</v>
      </c>
      <c r="G1256" s="425">
        <v>13.3213</v>
      </c>
      <c r="H1256" s="426">
        <v>27.3228</v>
      </c>
      <c r="I1256" s="426">
        <v>19.9219</v>
      </c>
      <c r="J1256" s="425">
        <v>19.8437</v>
      </c>
      <c r="K1256" s="182">
        <v>10977.55</v>
      </c>
      <c r="L1256" s="36"/>
      <c r="M1256" s="36"/>
      <c r="N1256" s="36"/>
      <c r="O1256" s="36"/>
      <c r="P1256" s="36"/>
      <c r="Q1256" s="36"/>
      <c r="R1256" s="36"/>
      <c r="S1256" s="36"/>
      <c r="T1256" s="36"/>
      <c r="U1256" s="36"/>
      <c r="V1256" s="36"/>
      <c r="W1256" s="36"/>
      <c r="X1256" s="36"/>
      <c r="Y1256" s="36"/>
      <c r="Z1256" s="36"/>
      <c r="AA1256" s="36"/>
      <c r="AB1256" s="36"/>
      <c r="AC1256" s="36"/>
    </row>
    <row r="1257" ht="15.75" customHeight="1">
      <c r="A1257" s="423">
        <v>43371.0</v>
      </c>
      <c r="B1257" s="424">
        <v>14.2696</v>
      </c>
      <c r="C1257" s="425">
        <v>17.046</v>
      </c>
      <c r="D1257" s="426">
        <v>18.8427</v>
      </c>
      <c r="E1257" s="425">
        <v>13.4852</v>
      </c>
      <c r="F1257" s="425">
        <v>16.6804</v>
      </c>
      <c r="G1257" s="425">
        <v>13.3253</v>
      </c>
      <c r="H1257" s="426">
        <v>27.4476</v>
      </c>
      <c r="I1257" s="426">
        <v>20.1162</v>
      </c>
      <c r="J1257" s="425">
        <v>19.9949</v>
      </c>
      <c r="K1257" s="182">
        <v>10930.45</v>
      </c>
      <c r="L1257" s="36"/>
      <c r="M1257" s="36"/>
      <c r="N1257" s="36"/>
      <c r="O1257" s="36"/>
      <c r="P1257" s="36"/>
      <c r="Q1257" s="36"/>
      <c r="R1257" s="36"/>
      <c r="S1257" s="36"/>
      <c r="T1257" s="36"/>
      <c r="U1257" s="36"/>
      <c r="V1257" s="36"/>
      <c r="W1257" s="36"/>
      <c r="X1257" s="36"/>
      <c r="Y1257" s="36"/>
      <c r="Z1257" s="36"/>
      <c r="AA1257" s="36"/>
      <c r="AB1257" s="36"/>
      <c r="AC1257" s="36"/>
    </row>
    <row r="1258" ht="15.75" customHeight="1">
      <c r="A1258" s="423">
        <v>43371.0</v>
      </c>
      <c r="B1258" s="424">
        <v>14.2696</v>
      </c>
      <c r="C1258" s="425">
        <v>17.046</v>
      </c>
      <c r="D1258" s="426">
        <v>18.8357</v>
      </c>
      <c r="E1258" s="425">
        <v>13.4852</v>
      </c>
      <c r="F1258" s="425">
        <v>16.6804</v>
      </c>
      <c r="G1258" s="425">
        <v>13.3253</v>
      </c>
      <c r="H1258" s="426">
        <v>27.5657</v>
      </c>
      <c r="I1258" s="426">
        <v>20.1683</v>
      </c>
      <c r="J1258" s="425">
        <v>19.9949</v>
      </c>
      <c r="K1258" s="182">
        <v>10930.45</v>
      </c>
      <c r="L1258" s="36"/>
      <c r="M1258" s="36"/>
      <c r="N1258" s="36"/>
      <c r="O1258" s="36"/>
      <c r="P1258" s="36"/>
      <c r="Q1258" s="36"/>
      <c r="R1258" s="36"/>
      <c r="S1258" s="36"/>
      <c r="T1258" s="36"/>
      <c r="U1258" s="36"/>
      <c r="V1258" s="36"/>
      <c r="W1258" s="36"/>
      <c r="X1258" s="36"/>
      <c r="Y1258" s="36"/>
      <c r="Z1258" s="36"/>
      <c r="AA1258" s="36"/>
      <c r="AB1258" s="36"/>
      <c r="AC1258" s="36"/>
    </row>
    <row r="1259" ht="15.75" customHeight="1">
      <c r="A1259" s="423">
        <v>43371.0</v>
      </c>
      <c r="B1259" s="424">
        <v>14.2696</v>
      </c>
      <c r="C1259" s="425">
        <v>17.0625</v>
      </c>
      <c r="D1259" s="426">
        <v>18.8144</v>
      </c>
      <c r="E1259" s="425">
        <v>13.4852</v>
      </c>
      <c r="F1259" s="425">
        <v>16.6804</v>
      </c>
      <c r="G1259" s="425">
        <v>13.3253</v>
      </c>
      <c r="H1259" s="426">
        <v>27.3341</v>
      </c>
      <c r="I1259" s="426">
        <v>20.0189</v>
      </c>
      <c r="J1259" s="425">
        <v>20.008</v>
      </c>
      <c r="K1259" s="182">
        <v>10930.45</v>
      </c>
      <c r="L1259" s="36"/>
      <c r="M1259" s="36"/>
      <c r="N1259" s="36"/>
      <c r="O1259" s="36"/>
      <c r="P1259" s="36"/>
      <c r="Q1259" s="36"/>
      <c r="R1259" s="36"/>
      <c r="S1259" s="36"/>
      <c r="T1259" s="36"/>
      <c r="U1259" s="36"/>
      <c r="V1259" s="36"/>
      <c r="W1259" s="36"/>
      <c r="X1259" s="36"/>
      <c r="Y1259" s="36"/>
      <c r="Z1259" s="36"/>
      <c r="AA1259" s="36"/>
      <c r="AB1259" s="36"/>
      <c r="AC1259" s="36"/>
    </row>
    <row r="1260" ht="15.75" customHeight="1">
      <c r="A1260" s="423">
        <v>43371.0</v>
      </c>
      <c r="B1260" s="424">
        <v>14.2696</v>
      </c>
      <c r="C1260" s="425">
        <v>17.0625</v>
      </c>
      <c r="D1260" s="426">
        <v>18.8026</v>
      </c>
      <c r="E1260" s="425">
        <v>13.4852</v>
      </c>
      <c r="F1260" s="425">
        <v>16.6804</v>
      </c>
      <c r="G1260" s="425">
        <v>13.3253</v>
      </c>
      <c r="H1260" s="426">
        <v>27.5061</v>
      </c>
      <c r="I1260" s="426">
        <v>20.1717</v>
      </c>
      <c r="J1260" s="425">
        <v>20.008</v>
      </c>
      <c r="K1260" s="182">
        <v>10930.45</v>
      </c>
      <c r="L1260" s="36"/>
      <c r="M1260" s="36"/>
      <c r="N1260" s="36"/>
      <c r="O1260" s="36"/>
      <c r="P1260" s="36"/>
      <c r="Q1260" s="36"/>
      <c r="R1260" s="36"/>
      <c r="S1260" s="36"/>
      <c r="T1260" s="36"/>
      <c r="U1260" s="36"/>
      <c r="V1260" s="36"/>
      <c r="W1260" s="36"/>
      <c r="X1260" s="36"/>
      <c r="Y1260" s="36"/>
      <c r="Z1260" s="36"/>
      <c r="AA1260" s="36"/>
      <c r="AB1260" s="36"/>
      <c r="AC1260" s="36"/>
    </row>
    <row r="1261" ht="15.75" customHeight="1">
      <c r="A1261" s="423">
        <v>43373.0</v>
      </c>
      <c r="B1261" s="424">
        <v>14.2693</v>
      </c>
      <c r="C1261" s="425">
        <v>17.0272</v>
      </c>
      <c r="D1261" s="426">
        <v>18.8808</v>
      </c>
      <c r="E1261" s="425">
        <v>13.4896</v>
      </c>
      <c r="F1261" s="425">
        <v>16.68</v>
      </c>
      <c r="G1261" s="425">
        <v>13.3289</v>
      </c>
      <c r="H1261" s="426">
        <v>27.5959</v>
      </c>
      <c r="I1261" s="426">
        <v>20.4195</v>
      </c>
      <c r="J1261" s="425">
        <v>20.0258</v>
      </c>
      <c r="K1261" s="182">
        <v>10930.45</v>
      </c>
      <c r="L1261" s="36"/>
      <c r="M1261" s="36"/>
      <c r="N1261" s="36"/>
      <c r="O1261" s="36"/>
      <c r="P1261" s="36"/>
      <c r="Q1261" s="36"/>
      <c r="R1261" s="36"/>
      <c r="S1261" s="36"/>
      <c r="T1261" s="36"/>
      <c r="U1261" s="36"/>
      <c r="V1261" s="36"/>
      <c r="W1261" s="36"/>
      <c r="X1261" s="36"/>
      <c r="Y1261" s="36"/>
      <c r="Z1261" s="36"/>
      <c r="AA1261" s="36"/>
      <c r="AB1261" s="36"/>
      <c r="AC1261" s="36"/>
    </row>
    <row r="1262" ht="15.75" customHeight="1">
      <c r="A1262" s="423">
        <v>43373.0</v>
      </c>
      <c r="B1262" s="424">
        <v>14.2693</v>
      </c>
      <c r="C1262" s="425">
        <v>17.0272</v>
      </c>
      <c r="D1262" s="426">
        <v>18.8906</v>
      </c>
      <c r="E1262" s="425">
        <v>13.4896</v>
      </c>
      <c r="F1262" s="425">
        <v>16.68</v>
      </c>
      <c r="G1262" s="425">
        <v>13.3289</v>
      </c>
      <c r="H1262" s="426">
        <v>27.5855</v>
      </c>
      <c r="I1262" s="426">
        <v>20.2671</v>
      </c>
      <c r="J1262" s="425">
        <v>20.0258</v>
      </c>
      <c r="K1262" s="182">
        <v>10930.45</v>
      </c>
      <c r="L1262" s="36"/>
      <c r="M1262" s="36"/>
      <c r="N1262" s="36"/>
      <c r="O1262" s="36"/>
      <c r="P1262" s="36"/>
      <c r="Q1262" s="36"/>
      <c r="R1262" s="36"/>
      <c r="S1262" s="36"/>
      <c r="T1262" s="36"/>
      <c r="U1262" s="36"/>
      <c r="V1262" s="36"/>
      <c r="W1262" s="36"/>
      <c r="X1262" s="36"/>
      <c r="Y1262" s="36"/>
      <c r="Z1262" s="36"/>
      <c r="AA1262" s="36"/>
      <c r="AB1262" s="36"/>
      <c r="AC1262" s="36"/>
    </row>
    <row r="1263" ht="15.75" customHeight="1">
      <c r="A1263" s="423">
        <v>43373.0</v>
      </c>
      <c r="B1263" s="424">
        <v>14.2693</v>
      </c>
      <c r="C1263" s="425">
        <v>17.0455</v>
      </c>
      <c r="D1263" s="426">
        <v>18.8996</v>
      </c>
      <c r="E1263" s="425">
        <v>13.4896</v>
      </c>
      <c r="F1263" s="425">
        <v>16.68</v>
      </c>
      <c r="G1263" s="425">
        <v>13.3289</v>
      </c>
      <c r="H1263" s="426">
        <v>27.4701</v>
      </c>
      <c r="I1263" s="426">
        <v>20.2711</v>
      </c>
      <c r="J1263" s="425">
        <v>19.9369</v>
      </c>
      <c r="K1263" s="182">
        <v>10930.45</v>
      </c>
      <c r="L1263" s="36"/>
      <c r="M1263" s="36"/>
      <c r="N1263" s="36"/>
      <c r="O1263" s="36"/>
      <c r="P1263" s="36"/>
      <c r="Q1263" s="36"/>
      <c r="R1263" s="36"/>
      <c r="S1263" s="36"/>
      <c r="T1263" s="36"/>
      <c r="U1263" s="36"/>
      <c r="V1263" s="36"/>
      <c r="W1263" s="36"/>
      <c r="X1263" s="36"/>
      <c r="Y1263" s="36"/>
      <c r="Z1263" s="36"/>
      <c r="AA1263" s="36"/>
      <c r="AB1263" s="36"/>
      <c r="AC1263" s="36"/>
    </row>
    <row r="1264" ht="15.75" customHeight="1">
      <c r="A1264" s="423">
        <v>43373.0</v>
      </c>
      <c r="B1264" s="424">
        <v>14.2693</v>
      </c>
      <c r="C1264" s="425">
        <v>17.0455</v>
      </c>
      <c r="D1264" s="426">
        <v>18.8716</v>
      </c>
      <c r="E1264" s="425">
        <v>13.4896</v>
      </c>
      <c r="F1264" s="425">
        <v>16.68</v>
      </c>
      <c r="G1264" s="425">
        <v>13.3289</v>
      </c>
      <c r="H1264" s="426">
        <v>27.4429</v>
      </c>
      <c r="I1264" s="426">
        <v>20.1745</v>
      </c>
      <c r="J1264" s="425">
        <v>19.9369</v>
      </c>
      <c r="K1264" s="182">
        <v>10930.45</v>
      </c>
      <c r="L1264" s="36"/>
      <c r="M1264" s="36"/>
      <c r="N1264" s="36"/>
      <c r="O1264" s="36"/>
      <c r="P1264" s="36"/>
      <c r="Q1264" s="36"/>
      <c r="R1264" s="36"/>
      <c r="S1264" s="36"/>
      <c r="T1264" s="36"/>
      <c r="U1264" s="36"/>
      <c r="V1264" s="36"/>
      <c r="W1264" s="36"/>
      <c r="X1264" s="36"/>
      <c r="Y1264" s="36"/>
      <c r="Z1264" s="36"/>
      <c r="AA1264" s="36"/>
      <c r="AB1264" s="36"/>
      <c r="AC1264" s="36"/>
    </row>
    <row r="1265" ht="15.75" customHeight="1">
      <c r="A1265" s="423">
        <v>43374.0</v>
      </c>
      <c r="B1265" s="424">
        <v>14.328</v>
      </c>
      <c r="C1265" s="425">
        <v>17.0013</v>
      </c>
      <c r="D1265" s="426">
        <v>18.9054</v>
      </c>
      <c r="E1265" s="425">
        <v>13.5161</v>
      </c>
      <c r="F1265" s="425">
        <v>16.7264</v>
      </c>
      <c r="G1265" s="425">
        <v>13.3339</v>
      </c>
      <c r="H1265" s="426">
        <v>27.7895</v>
      </c>
      <c r="I1265" s="426">
        <v>20.5912</v>
      </c>
      <c r="J1265" s="425">
        <v>19.9577</v>
      </c>
      <c r="K1265" s="182">
        <v>11008.3</v>
      </c>
      <c r="L1265" s="36"/>
      <c r="M1265" s="36"/>
      <c r="N1265" s="36"/>
      <c r="O1265" s="36"/>
      <c r="P1265" s="36"/>
      <c r="Q1265" s="36"/>
      <c r="R1265" s="36"/>
      <c r="S1265" s="36"/>
      <c r="T1265" s="36"/>
      <c r="U1265" s="36"/>
      <c r="V1265" s="36"/>
      <c r="W1265" s="36"/>
      <c r="X1265" s="36"/>
      <c r="Y1265" s="36"/>
      <c r="Z1265" s="36"/>
      <c r="AA1265" s="36"/>
      <c r="AB1265" s="36"/>
      <c r="AC1265" s="36"/>
    </row>
    <row r="1266" ht="15.75" customHeight="1">
      <c r="A1266" s="423">
        <v>43374.0</v>
      </c>
      <c r="B1266" s="424">
        <v>14.328</v>
      </c>
      <c r="C1266" s="425">
        <v>17.0013</v>
      </c>
      <c r="D1266" s="426">
        <v>18.8966</v>
      </c>
      <c r="E1266" s="425">
        <v>13.5161</v>
      </c>
      <c r="F1266" s="425">
        <v>16.7264</v>
      </c>
      <c r="G1266" s="425">
        <v>13.3339</v>
      </c>
      <c r="H1266" s="426">
        <v>27.8008</v>
      </c>
      <c r="I1266" s="426">
        <v>20.5294</v>
      </c>
      <c r="J1266" s="425">
        <v>19.9577</v>
      </c>
      <c r="K1266" s="182">
        <v>11008.3</v>
      </c>
      <c r="L1266" s="36"/>
      <c r="M1266" s="36"/>
      <c r="N1266" s="36"/>
      <c r="O1266" s="36"/>
      <c r="P1266" s="36"/>
      <c r="Q1266" s="36"/>
      <c r="R1266" s="36"/>
      <c r="S1266" s="36"/>
      <c r="T1266" s="36"/>
      <c r="U1266" s="36"/>
      <c r="V1266" s="36"/>
      <c r="W1266" s="36"/>
      <c r="X1266" s="36"/>
      <c r="Y1266" s="36"/>
      <c r="Z1266" s="36"/>
      <c r="AA1266" s="36"/>
      <c r="AB1266" s="36"/>
      <c r="AC1266" s="36"/>
    </row>
    <row r="1267" ht="15.75" customHeight="1">
      <c r="A1267" s="423">
        <v>43374.0</v>
      </c>
      <c r="B1267" s="424">
        <v>14.328</v>
      </c>
      <c r="C1267" s="425">
        <v>17.0244</v>
      </c>
      <c r="D1267" s="426">
        <v>18.8954</v>
      </c>
      <c r="E1267" s="425">
        <v>13.5161</v>
      </c>
      <c r="F1267" s="425">
        <v>16.7264</v>
      </c>
      <c r="G1267" s="425">
        <v>13.3339</v>
      </c>
      <c r="H1267" s="426">
        <v>27.6824</v>
      </c>
      <c r="I1267" s="426">
        <v>20.3867</v>
      </c>
      <c r="J1267" s="425">
        <v>19.997</v>
      </c>
      <c r="K1267" s="182">
        <v>11008.3</v>
      </c>
      <c r="L1267" s="36"/>
      <c r="M1267" s="36"/>
      <c r="N1267" s="36"/>
      <c r="O1267" s="36"/>
      <c r="P1267" s="36"/>
      <c r="Q1267" s="36"/>
      <c r="R1267" s="36"/>
      <c r="S1267" s="36"/>
      <c r="T1267" s="36"/>
      <c r="U1267" s="36"/>
      <c r="V1267" s="36"/>
      <c r="W1267" s="36"/>
      <c r="X1267" s="36"/>
      <c r="Y1267" s="36"/>
      <c r="Z1267" s="36"/>
      <c r="AA1267" s="36"/>
      <c r="AB1267" s="36"/>
      <c r="AC1267" s="36"/>
    </row>
    <row r="1268" ht="15.75" customHeight="1">
      <c r="A1268" s="423">
        <v>43374.0</v>
      </c>
      <c r="B1268" s="424">
        <v>14.328</v>
      </c>
      <c r="C1268" s="425">
        <v>17.0244</v>
      </c>
      <c r="D1268" s="426">
        <v>18.8987</v>
      </c>
      <c r="E1268" s="425">
        <v>13.5161</v>
      </c>
      <c r="F1268" s="425">
        <v>16.7264</v>
      </c>
      <c r="G1268" s="425">
        <v>13.3339</v>
      </c>
      <c r="H1268" s="426">
        <v>27.5629</v>
      </c>
      <c r="I1268" s="426">
        <v>20.417</v>
      </c>
      <c r="J1268" s="425">
        <v>19.997</v>
      </c>
      <c r="K1268" s="182">
        <v>11008.3</v>
      </c>
      <c r="L1268" s="36"/>
      <c r="M1268" s="36"/>
      <c r="N1268" s="36"/>
      <c r="O1268" s="36"/>
      <c r="P1268" s="36"/>
      <c r="Q1268" s="36"/>
      <c r="R1268" s="36"/>
      <c r="S1268" s="36"/>
      <c r="T1268" s="36"/>
      <c r="U1268" s="36"/>
      <c r="V1268" s="36"/>
      <c r="W1268" s="36"/>
      <c r="X1268" s="36"/>
      <c r="Y1268" s="36"/>
      <c r="Z1268" s="36"/>
      <c r="AA1268" s="36"/>
      <c r="AB1268" s="36"/>
      <c r="AC1268" s="36"/>
    </row>
    <row r="1269" ht="15.75" customHeight="1">
      <c r="A1269" s="423">
        <v>43376.0</v>
      </c>
      <c r="B1269" s="424">
        <v>14.1774</v>
      </c>
      <c r="C1269" s="425">
        <v>16.9749</v>
      </c>
      <c r="D1269" s="426">
        <v>18.9545</v>
      </c>
      <c r="E1269" s="425">
        <v>13.4622</v>
      </c>
      <c r="F1269" s="425">
        <v>16.5489</v>
      </c>
      <c r="G1269" s="425">
        <v>13.331</v>
      </c>
      <c r="H1269" s="426">
        <v>27.8797</v>
      </c>
      <c r="I1269" s="426">
        <v>20.5516</v>
      </c>
      <c r="J1269" s="425">
        <v>19.8565</v>
      </c>
      <c r="K1269" s="182">
        <v>10858.25</v>
      </c>
      <c r="L1269" s="36"/>
      <c r="M1269" s="36"/>
      <c r="N1269" s="36"/>
      <c r="O1269" s="36"/>
      <c r="P1269" s="36"/>
      <c r="Q1269" s="36"/>
      <c r="R1269" s="36"/>
      <c r="S1269" s="36"/>
      <c r="T1269" s="36"/>
      <c r="U1269" s="36"/>
      <c r="V1269" s="36"/>
      <c r="W1269" s="36"/>
      <c r="X1269" s="36"/>
      <c r="Y1269" s="36"/>
      <c r="Z1269" s="36"/>
      <c r="AA1269" s="36"/>
      <c r="AB1269" s="36"/>
      <c r="AC1269" s="36"/>
    </row>
    <row r="1270" ht="15.75" customHeight="1">
      <c r="A1270" s="423">
        <v>43376.0</v>
      </c>
      <c r="B1270" s="424">
        <v>14.1774</v>
      </c>
      <c r="C1270" s="425">
        <v>16.9749</v>
      </c>
      <c r="D1270" s="426">
        <v>18.9525</v>
      </c>
      <c r="E1270" s="425">
        <v>13.4622</v>
      </c>
      <c r="F1270" s="425">
        <v>16.5489</v>
      </c>
      <c r="G1270" s="425">
        <v>13.331</v>
      </c>
      <c r="H1270" s="426">
        <v>27.6761</v>
      </c>
      <c r="I1270" s="426">
        <v>20.5164</v>
      </c>
      <c r="J1270" s="425">
        <v>19.8565</v>
      </c>
      <c r="K1270" s="182">
        <v>10858.25</v>
      </c>
      <c r="L1270" s="36"/>
      <c r="M1270" s="36"/>
      <c r="N1270" s="36"/>
      <c r="O1270" s="36"/>
      <c r="P1270" s="36"/>
      <c r="Q1270" s="36"/>
      <c r="R1270" s="36"/>
      <c r="S1270" s="36"/>
      <c r="T1270" s="36"/>
      <c r="U1270" s="36"/>
      <c r="V1270" s="36"/>
      <c r="W1270" s="36"/>
      <c r="X1270" s="36"/>
      <c r="Y1270" s="36"/>
      <c r="Z1270" s="36"/>
      <c r="AA1270" s="36"/>
      <c r="AB1270" s="36"/>
      <c r="AC1270" s="36"/>
    </row>
    <row r="1271" ht="15.75" customHeight="1">
      <c r="A1271" s="423">
        <v>43376.0</v>
      </c>
      <c r="B1271" s="424">
        <v>14.1774</v>
      </c>
      <c r="C1271" s="425">
        <v>16.9781</v>
      </c>
      <c r="D1271" s="426">
        <v>18.9541</v>
      </c>
      <c r="E1271" s="425">
        <v>13.4622</v>
      </c>
      <c r="F1271" s="425">
        <v>16.5489</v>
      </c>
      <c r="G1271" s="425">
        <v>13.331</v>
      </c>
      <c r="H1271" s="426">
        <v>27.6061</v>
      </c>
      <c r="I1271" s="426">
        <v>20.4028</v>
      </c>
      <c r="J1271" s="425">
        <v>19.8801</v>
      </c>
      <c r="K1271" s="182">
        <v>10858.25</v>
      </c>
      <c r="L1271" s="36"/>
      <c r="M1271" s="36"/>
      <c r="N1271" s="36"/>
      <c r="O1271" s="36"/>
      <c r="P1271" s="36"/>
      <c r="Q1271" s="36"/>
      <c r="R1271" s="36"/>
      <c r="S1271" s="36"/>
      <c r="T1271" s="36"/>
      <c r="U1271" s="36"/>
      <c r="V1271" s="36"/>
      <c r="W1271" s="36"/>
      <c r="X1271" s="36"/>
      <c r="Y1271" s="36"/>
      <c r="Z1271" s="36"/>
      <c r="AA1271" s="36"/>
      <c r="AB1271" s="36"/>
      <c r="AC1271" s="36"/>
    </row>
    <row r="1272" ht="15.75" customHeight="1">
      <c r="A1272" s="423">
        <v>43376.0</v>
      </c>
      <c r="B1272" s="424">
        <v>14.1774</v>
      </c>
      <c r="C1272" s="425">
        <v>16.9781</v>
      </c>
      <c r="D1272" s="426">
        <v>18.914</v>
      </c>
      <c r="E1272" s="425">
        <v>13.4622</v>
      </c>
      <c r="F1272" s="425">
        <v>16.5489</v>
      </c>
      <c r="G1272" s="425">
        <v>13.331</v>
      </c>
      <c r="H1272" s="426">
        <v>27.8229</v>
      </c>
      <c r="I1272" s="426">
        <v>20.5346</v>
      </c>
      <c r="J1272" s="425">
        <v>19.8801</v>
      </c>
      <c r="K1272" s="182">
        <v>10858.25</v>
      </c>
      <c r="L1272" s="36"/>
      <c r="M1272" s="36"/>
      <c r="N1272" s="36"/>
      <c r="O1272" s="36"/>
      <c r="P1272" s="36"/>
      <c r="Q1272" s="36"/>
      <c r="R1272" s="36"/>
      <c r="S1272" s="36"/>
      <c r="T1272" s="36"/>
      <c r="U1272" s="36"/>
      <c r="V1272" s="36"/>
      <c r="W1272" s="36"/>
      <c r="X1272" s="36"/>
      <c r="Y1272" s="36"/>
      <c r="Z1272" s="36"/>
      <c r="AA1272" s="36"/>
      <c r="AB1272" s="36"/>
      <c r="AC1272" s="36"/>
    </row>
    <row r="1273" ht="15.75" customHeight="1">
      <c r="A1273" s="423">
        <v>43377.0</v>
      </c>
      <c r="B1273" s="424">
        <v>13.8842</v>
      </c>
      <c r="C1273" s="425">
        <v>16.9886</v>
      </c>
      <c r="D1273" s="426">
        <v>18.9182</v>
      </c>
      <c r="E1273" s="425">
        <v>13.4369</v>
      </c>
      <c r="F1273" s="425">
        <v>16.2458</v>
      </c>
      <c r="G1273" s="425">
        <v>13.3286</v>
      </c>
      <c r="H1273" s="426">
        <v>26.6369</v>
      </c>
      <c r="I1273" s="426">
        <v>19.8565</v>
      </c>
      <c r="J1273" s="425">
        <v>19.6249</v>
      </c>
      <c r="K1273" s="182">
        <v>10599.25</v>
      </c>
      <c r="L1273" s="36"/>
      <c r="M1273" s="36"/>
      <c r="N1273" s="36"/>
      <c r="O1273" s="36"/>
      <c r="P1273" s="36"/>
      <c r="Q1273" s="36"/>
      <c r="R1273" s="36"/>
      <c r="S1273" s="36"/>
      <c r="T1273" s="36"/>
      <c r="U1273" s="36"/>
      <c r="V1273" s="36"/>
      <c r="W1273" s="36"/>
      <c r="X1273" s="36"/>
      <c r="Y1273" s="36"/>
      <c r="Z1273" s="36"/>
      <c r="AA1273" s="36"/>
      <c r="AB1273" s="36"/>
      <c r="AC1273" s="36"/>
    </row>
    <row r="1274" ht="15.75" customHeight="1">
      <c r="A1274" s="423">
        <v>43377.0</v>
      </c>
      <c r="B1274" s="424">
        <v>13.8842</v>
      </c>
      <c r="C1274" s="425">
        <v>16.9886</v>
      </c>
      <c r="D1274" s="426">
        <v>18.9369</v>
      </c>
      <c r="E1274" s="425">
        <v>13.4369</v>
      </c>
      <c r="F1274" s="425">
        <v>16.2458</v>
      </c>
      <c r="G1274" s="425">
        <v>13.3286</v>
      </c>
      <c r="H1274" s="426">
        <v>26.7141</v>
      </c>
      <c r="I1274" s="426">
        <v>20.0058</v>
      </c>
      <c r="J1274" s="425">
        <v>19.6249</v>
      </c>
      <c r="K1274" s="182">
        <v>10599.25</v>
      </c>
      <c r="L1274" s="36"/>
      <c r="M1274" s="36"/>
      <c r="N1274" s="36"/>
      <c r="O1274" s="36"/>
      <c r="P1274" s="36"/>
      <c r="Q1274" s="36"/>
      <c r="R1274" s="36"/>
      <c r="S1274" s="36"/>
      <c r="T1274" s="36"/>
      <c r="U1274" s="36"/>
      <c r="V1274" s="36"/>
      <c r="W1274" s="36"/>
      <c r="X1274" s="36"/>
      <c r="Y1274" s="36"/>
      <c r="Z1274" s="36"/>
      <c r="AA1274" s="36"/>
      <c r="AB1274" s="36"/>
      <c r="AC1274" s="36"/>
    </row>
    <row r="1275" ht="15.75" customHeight="1">
      <c r="A1275" s="423">
        <v>43377.0</v>
      </c>
      <c r="B1275" s="424">
        <v>13.8842</v>
      </c>
      <c r="C1275" s="425">
        <v>16.9791</v>
      </c>
      <c r="D1275" s="426">
        <v>18.9535</v>
      </c>
      <c r="E1275" s="425">
        <v>13.4369</v>
      </c>
      <c r="F1275" s="425">
        <v>16.2458</v>
      </c>
      <c r="G1275" s="425">
        <v>13.3286</v>
      </c>
      <c r="H1275" s="426">
        <v>27.3659</v>
      </c>
      <c r="I1275" s="426">
        <v>20.2124</v>
      </c>
      <c r="J1275" s="425">
        <v>19.7325</v>
      </c>
      <c r="K1275" s="182">
        <v>10599.25</v>
      </c>
      <c r="L1275" s="36"/>
      <c r="M1275" s="36"/>
      <c r="N1275" s="36"/>
      <c r="O1275" s="36"/>
      <c r="P1275" s="36"/>
      <c r="Q1275" s="36"/>
      <c r="R1275" s="36"/>
      <c r="S1275" s="36"/>
      <c r="T1275" s="36"/>
      <c r="U1275" s="36"/>
      <c r="V1275" s="36"/>
      <c r="W1275" s="36"/>
      <c r="X1275" s="36"/>
      <c r="Y1275" s="36"/>
      <c r="Z1275" s="36"/>
      <c r="AA1275" s="36"/>
      <c r="AB1275" s="36"/>
      <c r="AC1275" s="36"/>
    </row>
    <row r="1276" ht="15.75" customHeight="1">
      <c r="A1276" s="423">
        <v>43377.0</v>
      </c>
      <c r="B1276" s="424">
        <v>13.8842</v>
      </c>
      <c r="C1276" s="425">
        <v>16.9791</v>
      </c>
      <c r="D1276" s="426">
        <v>18.9532</v>
      </c>
      <c r="E1276" s="425">
        <v>13.4369</v>
      </c>
      <c r="F1276" s="425">
        <v>16.2458</v>
      </c>
      <c r="G1276" s="425">
        <v>13.3286</v>
      </c>
      <c r="H1276" s="426">
        <v>27.7289</v>
      </c>
      <c r="I1276" s="426">
        <v>20.3814</v>
      </c>
      <c r="J1276" s="425">
        <v>19.7325</v>
      </c>
      <c r="K1276" s="182">
        <v>10599.25</v>
      </c>
      <c r="L1276" s="36"/>
      <c r="M1276" s="36"/>
      <c r="N1276" s="36"/>
      <c r="O1276" s="36"/>
      <c r="P1276" s="36"/>
      <c r="Q1276" s="36"/>
      <c r="R1276" s="36"/>
      <c r="S1276" s="36"/>
      <c r="T1276" s="36"/>
      <c r="U1276" s="36"/>
      <c r="V1276" s="36"/>
      <c r="W1276" s="36"/>
      <c r="X1276" s="36"/>
      <c r="Y1276" s="36"/>
      <c r="Z1276" s="36"/>
      <c r="AA1276" s="36"/>
      <c r="AB1276" s="36"/>
      <c r="AC1276" s="36"/>
    </row>
    <row r="1277" ht="15.75" customHeight="1">
      <c r="A1277" s="423">
        <v>43378.0</v>
      </c>
      <c r="B1277" s="424">
        <v>13.6086</v>
      </c>
      <c r="C1277" s="425">
        <v>16.9946</v>
      </c>
      <c r="D1277" s="426">
        <v>18.9409</v>
      </c>
      <c r="E1277" s="425">
        <v>13.5114</v>
      </c>
      <c r="F1277" s="425">
        <v>15.9641</v>
      </c>
      <c r="G1277" s="425">
        <v>13.3436</v>
      </c>
      <c r="H1277" s="426">
        <v>27.4412</v>
      </c>
      <c r="I1277" s="426">
        <v>20.0604</v>
      </c>
      <c r="J1277" s="425">
        <v>19.525</v>
      </c>
      <c r="K1277" s="182">
        <v>10316.45</v>
      </c>
      <c r="L1277" s="36"/>
      <c r="M1277" s="36"/>
      <c r="N1277" s="36"/>
      <c r="O1277" s="36"/>
      <c r="P1277" s="36"/>
      <c r="Q1277" s="36"/>
      <c r="R1277" s="36"/>
      <c r="S1277" s="36"/>
      <c r="T1277" s="36"/>
      <c r="U1277" s="36"/>
      <c r="V1277" s="36"/>
      <c r="W1277" s="36"/>
      <c r="X1277" s="36"/>
      <c r="Y1277" s="36"/>
      <c r="Z1277" s="36"/>
      <c r="AA1277" s="36"/>
      <c r="AB1277" s="36"/>
      <c r="AC1277" s="36"/>
    </row>
    <row r="1278" ht="15.75" customHeight="1">
      <c r="A1278" s="423">
        <v>43378.0</v>
      </c>
      <c r="B1278" s="424">
        <v>13.6086</v>
      </c>
      <c r="C1278" s="425">
        <v>16.9946</v>
      </c>
      <c r="D1278" s="426">
        <v>18.9216</v>
      </c>
      <c r="E1278" s="425">
        <v>13.5114</v>
      </c>
      <c r="F1278" s="425">
        <v>15.9641</v>
      </c>
      <c r="G1278" s="425">
        <v>13.3436</v>
      </c>
      <c r="H1278" s="426">
        <v>27.5688</v>
      </c>
      <c r="I1278" s="426">
        <v>20.2039</v>
      </c>
      <c r="J1278" s="425">
        <v>19.525</v>
      </c>
      <c r="K1278" s="182">
        <v>10316.45</v>
      </c>
      <c r="L1278" s="36"/>
      <c r="M1278" s="36"/>
      <c r="N1278" s="36"/>
      <c r="O1278" s="36"/>
      <c r="P1278" s="36"/>
      <c r="Q1278" s="36"/>
      <c r="R1278" s="36"/>
      <c r="S1278" s="36"/>
      <c r="T1278" s="36"/>
      <c r="U1278" s="36"/>
      <c r="V1278" s="36"/>
      <c r="W1278" s="36"/>
      <c r="X1278" s="36"/>
      <c r="Y1278" s="36"/>
      <c r="Z1278" s="36"/>
      <c r="AA1278" s="36"/>
      <c r="AB1278" s="36"/>
      <c r="AC1278" s="36"/>
    </row>
    <row r="1279" ht="15.75" customHeight="1">
      <c r="A1279" s="423">
        <v>43378.0</v>
      </c>
      <c r="B1279" s="424">
        <v>13.6086</v>
      </c>
      <c r="C1279" s="425">
        <v>16.9951</v>
      </c>
      <c r="D1279" s="426">
        <v>18.919</v>
      </c>
      <c r="E1279" s="425">
        <v>13.5114</v>
      </c>
      <c r="F1279" s="425">
        <v>15.9641</v>
      </c>
      <c r="G1279" s="425">
        <v>13.3436</v>
      </c>
      <c r="H1279" s="426">
        <v>27.5694</v>
      </c>
      <c r="I1279" s="426">
        <v>20.2244</v>
      </c>
      <c r="J1279" s="425">
        <v>19.6653</v>
      </c>
      <c r="K1279" s="182">
        <v>10316.45</v>
      </c>
      <c r="L1279" s="36"/>
      <c r="M1279" s="36"/>
      <c r="N1279" s="36"/>
      <c r="O1279" s="36"/>
      <c r="P1279" s="36"/>
      <c r="Q1279" s="36"/>
      <c r="R1279" s="36"/>
      <c r="S1279" s="36"/>
      <c r="T1279" s="36"/>
      <c r="U1279" s="36"/>
      <c r="V1279" s="36"/>
      <c r="W1279" s="36"/>
      <c r="X1279" s="36"/>
      <c r="Y1279" s="36"/>
      <c r="Z1279" s="36"/>
      <c r="AA1279" s="36"/>
      <c r="AB1279" s="36"/>
      <c r="AC1279" s="36"/>
    </row>
    <row r="1280" ht="15.75" customHeight="1">
      <c r="A1280" s="423">
        <v>43378.0</v>
      </c>
      <c r="B1280" s="424">
        <v>13.6086</v>
      </c>
      <c r="C1280" s="425">
        <v>16.9951</v>
      </c>
      <c r="D1280" s="426">
        <v>18.9248</v>
      </c>
      <c r="E1280" s="425">
        <v>13.5114</v>
      </c>
      <c r="F1280" s="425">
        <v>15.9641</v>
      </c>
      <c r="G1280" s="425">
        <v>13.3436</v>
      </c>
      <c r="H1280" s="426">
        <v>27.2557</v>
      </c>
      <c r="I1280" s="426">
        <v>20.055</v>
      </c>
      <c r="J1280" s="425">
        <v>19.6653</v>
      </c>
      <c r="K1280" s="182">
        <v>10316.45</v>
      </c>
      <c r="L1280" s="36"/>
      <c r="M1280" s="36"/>
      <c r="N1280" s="36"/>
      <c r="O1280" s="36"/>
      <c r="P1280" s="36"/>
      <c r="Q1280" s="36"/>
      <c r="R1280" s="36"/>
      <c r="S1280" s="36"/>
      <c r="T1280" s="36"/>
      <c r="U1280" s="36"/>
      <c r="V1280" s="36"/>
      <c r="W1280" s="36"/>
      <c r="X1280" s="36"/>
      <c r="Y1280" s="36"/>
      <c r="Z1280" s="36"/>
      <c r="AA1280" s="36"/>
      <c r="AB1280" s="36"/>
      <c r="AC1280" s="36"/>
    </row>
    <row r="1281" ht="15.75" customHeight="1">
      <c r="A1281" s="423">
        <v>43381.0</v>
      </c>
      <c r="B1281" s="424">
        <v>13.6561</v>
      </c>
      <c r="C1281" s="425">
        <v>17.0101</v>
      </c>
      <c r="D1281" s="426">
        <v>18.9353</v>
      </c>
      <c r="E1281" s="425">
        <v>13.5425</v>
      </c>
      <c r="F1281" s="425">
        <v>15.9904</v>
      </c>
      <c r="G1281" s="425">
        <v>13.3533</v>
      </c>
      <c r="H1281" s="426">
        <v>27.3436</v>
      </c>
      <c r="I1281" s="426">
        <v>20.0915</v>
      </c>
      <c r="J1281" s="425">
        <v>19.7415</v>
      </c>
      <c r="K1281" s="182">
        <v>10348.05</v>
      </c>
      <c r="L1281" s="36"/>
      <c r="M1281" s="36"/>
      <c r="N1281" s="36"/>
      <c r="O1281" s="36"/>
      <c r="P1281" s="36"/>
      <c r="Q1281" s="36"/>
      <c r="R1281" s="36"/>
      <c r="S1281" s="36"/>
      <c r="T1281" s="36"/>
      <c r="U1281" s="36"/>
      <c r="V1281" s="36"/>
      <c r="W1281" s="36"/>
      <c r="X1281" s="36"/>
      <c r="Y1281" s="36"/>
      <c r="Z1281" s="36"/>
      <c r="AA1281" s="36"/>
      <c r="AB1281" s="36"/>
      <c r="AC1281" s="36"/>
    </row>
    <row r="1282" ht="15.75" customHeight="1">
      <c r="A1282" s="423">
        <v>43381.0</v>
      </c>
      <c r="B1282" s="424">
        <v>13.6561</v>
      </c>
      <c r="C1282" s="425">
        <v>17.0101</v>
      </c>
      <c r="D1282" s="426">
        <v>18.9335</v>
      </c>
      <c r="E1282" s="425">
        <v>13.5425</v>
      </c>
      <c r="F1282" s="425">
        <v>15.9904</v>
      </c>
      <c r="G1282" s="425">
        <v>13.3533</v>
      </c>
      <c r="H1282" s="426">
        <v>27.1944</v>
      </c>
      <c r="I1282" s="426">
        <v>20.0624</v>
      </c>
      <c r="J1282" s="425">
        <v>19.7415</v>
      </c>
      <c r="K1282" s="182">
        <v>10348.05</v>
      </c>
      <c r="L1282" s="36"/>
      <c r="M1282" s="36"/>
      <c r="N1282" s="36"/>
      <c r="O1282" s="36"/>
      <c r="P1282" s="36"/>
      <c r="Q1282" s="36"/>
      <c r="R1282" s="36"/>
      <c r="S1282" s="36"/>
      <c r="T1282" s="36"/>
      <c r="U1282" s="36"/>
      <c r="V1282" s="36"/>
      <c r="W1282" s="36"/>
      <c r="X1282" s="36"/>
      <c r="Y1282" s="36"/>
      <c r="Z1282" s="36"/>
      <c r="AA1282" s="36"/>
      <c r="AB1282" s="36"/>
      <c r="AC1282" s="36"/>
    </row>
    <row r="1283" ht="15.75" customHeight="1">
      <c r="A1283" s="423">
        <v>43381.0</v>
      </c>
      <c r="B1283" s="424">
        <v>13.6561</v>
      </c>
      <c r="C1283" s="425">
        <v>16.9957</v>
      </c>
      <c r="D1283" s="426">
        <v>18.9437</v>
      </c>
      <c r="E1283" s="425">
        <v>13.5425</v>
      </c>
      <c r="F1283" s="425">
        <v>15.9904</v>
      </c>
      <c r="G1283" s="425">
        <v>13.3533</v>
      </c>
      <c r="H1283" s="426">
        <v>27.0143</v>
      </c>
      <c r="I1283" s="426">
        <v>19.8872</v>
      </c>
      <c r="J1283" s="425">
        <v>19.5911</v>
      </c>
      <c r="K1283" s="182">
        <v>10348.05</v>
      </c>
      <c r="L1283" s="36"/>
      <c r="M1283" s="36"/>
      <c r="N1283" s="36"/>
      <c r="O1283" s="36"/>
      <c r="P1283" s="36"/>
      <c r="Q1283" s="36"/>
      <c r="R1283" s="36"/>
      <c r="S1283" s="36"/>
      <c r="T1283" s="36"/>
      <c r="U1283" s="36"/>
      <c r="V1283" s="36"/>
      <c r="W1283" s="36"/>
      <c r="X1283" s="36"/>
      <c r="Y1283" s="36"/>
      <c r="Z1283" s="36"/>
      <c r="AA1283" s="36"/>
      <c r="AB1283" s="36"/>
      <c r="AC1283" s="36"/>
    </row>
    <row r="1284" ht="15.75" customHeight="1">
      <c r="A1284" s="423">
        <v>43381.0</v>
      </c>
      <c r="B1284" s="424">
        <v>13.6561</v>
      </c>
      <c r="C1284" s="425">
        <v>16.9957</v>
      </c>
      <c r="D1284" s="426">
        <v>18.947</v>
      </c>
      <c r="E1284" s="425">
        <v>13.5425</v>
      </c>
      <c r="F1284" s="425">
        <v>15.9904</v>
      </c>
      <c r="G1284" s="425">
        <v>13.3533</v>
      </c>
      <c r="H1284" s="426">
        <v>27.1567</v>
      </c>
      <c r="I1284" s="426">
        <v>19.8844</v>
      </c>
      <c r="J1284" s="425">
        <v>19.5911</v>
      </c>
      <c r="K1284" s="182">
        <v>10348.05</v>
      </c>
      <c r="L1284" s="36"/>
      <c r="M1284" s="36"/>
      <c r="N1284" s="36"/>
      <c r="O1284" s="36"/>
      <c r="P1284" s="36"/>
      <c r="Q1284" s="36"/>
      <c r="R1284" s="36"/>
      <c r="S1284" s="36"/>
      <c r="T1284" s="36"/>
      <c r="U1284" s="36"/>
      <c r="V1284" s="36"/>
      <c r="W1284" s="36"/>
      <c r="X1284" s="36"/>
      <c r="Y1284" s="36"/>
      <c r="Z1284" s="36"/>
      <c r="AA1284" s="36"/>
      <c r="AB1284" s="36"/>
      <c r="AC1284" s="36"/>
    </row>
    <row r="1285" ht="15.75" customHeight="1">
      <c r="A1285" s="423">
        <v>43382.0</v>
      </c>
      <c r="B1285" s="424">
        <v>13.5858</v>
      </c>
      <c r="C1285" s="425">
        <v>17.0318</v>
      </c>
      <c r="D1285" s="426">
        <v>18.9589</v>
      </c>
      <c r="E1285" s="425">
        <v>13.4952</v>
      </c>
      <c r="F1285" s="425">
        <v>15.931</v>
      </c>
      <c r="G1285" s="425">
        <v>13.3493</v>
      </c>
      <c r="H1285" s="426">
        <v>27.7309</v>
      </c>
      <c r="I1285" s="426">
        <v>20.2505</v>
      </c>
      <c r="J1285" s="425">
        <v>19.7852</v>
      </c>
      <c r="K1285" s="182">
        <v>10301.05</v>
      </c>
      <c r="L1285" s="36"/>
      <c r="M1285" s="36"/>
      <c r="N1285" s="36"/>
      <c r="O1285" s="36"/>
      <c r="P1285" s="36"/>
      <c r="Q1285" s="36"/>
      <c r="R1285" s="36"/>
      <c r="S1285" s="36"/>
      <c r="T1285" s="36"/>
      <c r="U1285" s="36"/>
      <c r="V1285" s="36"/>
      <c r="W1285" s="36"/>
      <c r="X1285" s="36"/>
      <c r="Y1285" s="36"/>
      <c r="Z1285" s="36"/>
      <c r="AA1285" s="36"/>
      <c r="AB1285" s="36"/>
      <c r="AC1285" s="36"/>
    </row>
    <row r="1286" ht="15.75" customHeight="1">
      <c r="A1286" s="423">
        <v>43382.0</v>
      </c>
      <c r="B1286" s="424">
        <v>13.5858</v>
      </c>
      <c r="C1286" s="425">
        <v>17.0318</v>
      </c>
      <c r="D1286" s="426">
        <v>18.9456</v>
      </c>
      <c r="E1286" s="425">
        <v>13.4952</v>
      </c>
      <c r="F1286" s="425">
        <v>15.931</v>
      </c>
      <c r="G1286" s="425">
        <v>13.3493</v>
      </c>
      <c r="H1286" s="426">
        <v>27.6064</v>
      </c>
      <c r="I1286" s="426">
        <v>20.1849</v>
      </c>
      <c r="J1286" s="425">
        <v>19.7852</v>
      </c>
      <c r="K1286" s="182">
        <v>10301.05</v>
      </c>
      <c r="L1286" s="36"/>
      <c r="M1286" s="36"/>
      <c r="N1286" s="36"/>
      <c r="O1286" s="36"/>
      <c r="P1286" s="36"/>
      <c r="Q1286" s="36"/>
      <c r="R1286" s="36"/>
      <c r="S1286" s="36"/>
      <c r="T1286" s="36"/>
      <c r="U1286" s="36"/>
      <c r="V1286" s="36"/>
      <c r="W1286" s="36"/>
      <c r="X1286" s="36"/>
      <c r="Y1286" s="36"/>
      <c r="Z1286" s="36"/>
      <c r="AA1286" s="36"/>
      <c r="AB1286" s="36"/>
      <c r="AC1286" s="36"/>
    </row>
    <row r="1287" ht="15.75" customHeight="1">
      <c r="A1287" s="423">
        <v>43382.0</v>
      </c>
      <c r="B1287" s="424">
        <v>13.5858</v>
      </c>
      <c r="C1287" s="425">
        <v>17.0194</v>
      </c>
      <c r="D1287" s="426">
        <v>18.949</v>
      </c>
      <c r="E1287" s="425">
        <v>13.4952</v>
      </c>
      <c r="F1287" s="425">
        <v>15.931</v>
      </c>
      <c r="G1287" s="425">
        <v>13.3493</v>
      </c>
      <c r="H1287" s="426">
        <v>27.3379</v>
      </c>
      <c r="I1287" s="426">
        <v>20.026</v>
      </c>
      <c r="J1287" s="425">
        <v>19.858</v>
      </c>
      <c r="K1287" s="182">
        <v>10301.05</v>
      </c>
      <c r="L1287" s="36"/>
      <c r="M1287" s="36"/>
      <c r="N1287" s="36"/>
      <c r="O1287" s="36"/>
      <c r="P1287" s="36"/>
      <c r="Q1287" s="36"/>
      <c r="R1287" s="36"/>
      <c r="S1287" s="36"/>
      <c r="T1287" s="36"/>
      <c r="U1287" s="36"/>
      <c r="V1287" s="36"/>
      <c r="W1287" s="36"/>
      <c r="X1287" s="36"/>
      <c r="Y1287" s="36"/>
      <c r="Z1287" s="36"/>
      <c r="AA1287" s="36"/>
      <c r="AB1287" s="36"/>
      <c r="AC1287" s="36"/>
    </row>
    <row r="1288" ht="15.75" customHeight="1">
      <c r="A1288" s="423">
        <v>43382.0</v>
      </c>
      <c r="B1288" s="424">
        <v>13.5858</v>
      </c>
      <c r="C1288" s="425">
        <v>17.0194</v>
      </c>
      <c r="D1288" s="426">
        <v>18.9291</v>
      </c>
      <c r="E1288" s="425">
        <v>13.4952</v>
      </c>
      <c r="F1288" s="425">
        <v>15.931</v>
      </c>
      <c r="G1288" s="425">
        <v>13.3493</v>
      </c>
      <c r="H1288" s="426">
        <v>27.5691</v>
      </c>
      <c r="I1288" s="426">
        <v>20.2168</v>
      </c>
      <c r="J1288" s="425">
        <v>19.858</v>
      </c>
      <c r="K1288" s="182">
        <v>10301.05</v>
      </c>
      <c r="L1288" s="36"/>
      <c r="M1288" s="36"/>
      <c r="N1288" s="36"/>
      <c r="O1288" s="36"/>
      <c r="P1288" s="36"/>
      <c r="Q1288" s="36"/>
      <c r="R1288" s="36"/>
      <c r="S1288" s="36"/>
      <c r="T1288" s="36"/>
      <c r="U1288" s="36"/>
      <c r="V1288" s="36"/>
      <c r="W1288" s="36"/>
      <c r="X1288" s="36"/>
      <c r="Y1288" s="36"/>
      <c r="Z1288" s="36"/>
      <c r="AA1288" s="36"/>
      <c r="AB1288" s="36"/>
      <c r="AC1288" s="36"/>
    </row>
    <row r="1289" ht="15.75" customHeight="1">
      <c r="A1289" s="423">
        <v>43383.0</v>
      </c>
      <c r="B1289" s="424">
        <v>13.7618</v>
      </c>
      <c r="C1289" s="425">
        <v>17.0312</v>
      </c>
      <c r="D1289" s="426">
        <v>19.0005</v>
      </c>
      <c r="E1289" s="425">
        <v>13.5178</v>
      </c>
      <c r="F1289" s="425">
        <v>16.1432</v>
      </c>
      <c r="G1289" s="425">
        <v>13.3533</v>
      </c>
      <c r="H1289" s="426">
        <v>28.1689</v>
      </c>
      <c r="I1289" s="426">
        <v>20.2358</v>
      </c>
      <c r="J1289" s="425">
        <v>19.9055</v>
      </c>
      <c r="K1289" s="182">
        <v>10460.1</v>
      </c>
      <c r="L1289" s="36"/>
      <c r="M1289" s="36"/>
      <c r="N1289" s="36"/>
      <c r="O1289" s="36"/>
      <c r="P1289" s="36"/>
      <c r="Q1289" s="36"/>
      <c r="R1289" s="36"/>
      <c r="S1289" s="36"/>
      <c r="T1289" s="36"/>
      <c r="U1289" s="36"/>
      <c r="V1289" s="36"/>
      <c r="W1289" s="36"/>
      <c r="X1289" s="36"/>
      <c r="Y1289" s="36"/>
      <c r="Z1289" s="36"/>
      <c r="AA1289" s="36"/>
      <c r="AB1289" s="36"/>
      <c r="AC1289" s="36"/>
    </row>
    <row r="1290" ht="15.75" customHeight="1">
      <c r="A1290" s="423">
        <v>43383.0</v>
      </c>
      <c r="B1290" s="424">
        <v>13.7618</v>
      </c>
      <c r="C1290" s="425">
        <v>17.0312</v>
      </c>
      <c r="D1290" s="426">
        <v>18.9938</v>
      </c>
      <c r="E1290" s="425">
        <v>13.5178</v>
      </c>
      <c r="F1290" s="425">
        <v>16.1432</v>
      </c>
      <c r="G1290" s="425">
        <v>13.3533</v>
      </c>
      <c r="H1290" s="426">
        <v>28.1512</v>
      </c>
      <c r="I1290" s="426">
        <v>20.2961</v>
      </c>
      <c r="J1290" s="425">
        <v>19.9055</v>
      </c>
      <c r="K1290" s="182">
        <v>10460.1</v>
      </c>
      <c r="L1290" s="36"/>
      <c r="M1290" s="36"/>
      <c r="N1290" s="36"/>
      <c r="O1290" s="36"/>
      <c r="P1290" s="36"/>
      <c r="Q1290" s="36"/>
      <c r="R1290" s="36"/>
      <c r="S1290" s="36"/>
      <c r="T1290" s="36"/>
      <c r="U1290" s="36"/>
      <c r="V1290" s="36"/>
      <c r="W1290" s="36"/>
      <c r="X1290" s="36"/>
      <c r="Y1290" s="36"/>
      <c r="Z1290" s="36"/>
      <c r="AA1290" s="36"/>
      <c r="AB1290" s="36"/>
      <c r="AC1290" s="36"/>
    </row>
    <row r="1291" ht="15.75" customHeight="1">
      <c r="A1291" s="423">
        <v>43383.0</v>
      </c>
      <c r="B1291" s="424">
        <v>13.7618</v>
      </c>
      <c r="C1291" s="425">
        <v>17.0473</v>
      </c>
      <c r="D1291" s="426">
        <v>18.9915</v>
      </c>
      <c r="E1291" s="425">
        <v>13.5178</v>
      </c>
      <c r="F1291" s="425">
        <v>16.1432</v>
      </c>
      <c r="G1291" s="425">
        <v>13.3533</v>
      </c>
      <c r="H1291" s="426">
        <v>27.8825</v>
      </c>
      <c r="I1291" s="426">
        <v>20.226</v>
      </c>
      <c r="J1291" s="425">
        <v>19.7729</v>
      </c>
      <c r="K1291" s="182">
        <v>10460.1</v>
      </c>
      <c r="L1291" s="36"/>
      <c r="M1291" s="36"/>
      <c r="N1291" s="36"/>
      <c r="O1291" s="36"/>
      <c r="P1291" s="36"/>
      <c r="Q1291" s="36"/>
      <c r="R1291" s="36"/>
      <c r="S1291" s="36"/>
      <c r="T1291" s="36"/>
      <c r="U1291" s="36"/>
      <c r="V1291" s="36"/>
      <c r="W1291" s="36"/>
      <c r="X1291" s="36"/>
      <c r="Y1291" s="36"/>
      <c r="Z1291" s="36"/>
      <c r="AA1291" s="36"/>
      <c r="AB1291" s="36"/>
      <c r="AC1291" s="36"/>
    </row>
    <row r="1292" ht="15.75" customHeight="1">
      <c r="A1292" s="423">
        <v>43383.0</v>
      </c>
      <c r="B1292" s="424">
        <v>13.7618</v>
      </c>
      <c r="C1292" s="425">
        <v>17.0473</v>
      </c>
      <c r="D1292" s="426">
        <v>18.9953</v>
      </c>
      <c r="E1292" s="425">
        <v>13.5178</v>
      </c>
      <c r="F1292" s="425">
        <v>16.1432</v>
      </c>
      <c r="G1292" s="425">
        <v>13.3533</v>
      </c>
      <c r="H1292" s="426">
        <v>27.9912</v>
      </c>
      <c r="I1292" s="426">
        <v>20.3595</v>
      </c>
      <c r="J1292" s="425">
        <v>19.7729</v>
      </c>
      <c r="K1292" s="182">
        <v>10460.1</v>
      </c>
      <c r="L1292" s="36"/>
      <c r="M1292" s="36"/>
      <c r="N1292" s="36"/>
      <c r="O1292" s="36"/>
      <c r="P1292" s="36"/>
      <c r="Q1292" s="36"/>
      <c r="R1292" s="36"/>
      <c r="S1292" s="36"/>
      <c r="T1292" s="36"/>
      <c r="U1292" s="36"/>
      <c r="V1292" s="36"/>
      <c r="W1292" s="36"/>
      <c r="X1292" s="36"/>
      <c r="Y1292" s="36"/>
      <c r="Z1292" s="36"/>
      <c r="AA1292" s="36"/>
      <c r="AB1292" s="36"/>
      <c r="AC1292" s="36"/>
    </row>
    <row r="1293" ht="15.75" customHeight="1">
      <c r="A1293" s="423">
        <v>43384.0</v>
      </c>
      <c r="B1293" s="424">
        <v>13.5543</v>
      </c>
      <c r="C1293" s="425">
        <v>17.0268</v>
      </c>
      <c r="D1293" s="426">
        <v>18.991</v>
      </c>
      <c r="E1293" s="425">
        <v>13.5388</v>
      </c>
      <c r="F1293" s="425">
        <v>15.8911</v>
      </c>
      <c r="G1293" s="425">
        <v>13.3573</v>
      </c>
      <c r="H1293" s="426">
        <v>28.7439</v>
      </c>
      <c r="I1293" s="426">
        <v>20.6353</v>
      </c>
      <c r="J1293" s="425">
        <v>19.7314</v>
      </c>
      <c r="K1293" s="182">
        <v>10234.65</v>
      </c>
      <c r="L1293" s="36"/>
      <c r="M1293" s="36"/>
      <c r="N1293" s="36"/>
      <c r="O1293" s="36"/>
      <c r="P1293" s="36"/>
      <c r="Q1293" s="36"/>
      <c r="R1293" s="36"/>
      <c r="S1293" s="36"/>
      <c r="T1293" s="36"/>
      <c r="U1293" s="36"/>
      <c r="V1293" s="36"/>
      <c r="W1293" s="36"/>
      <c r="X1293" s="36"/>
      <c r="Y1293" s="36"/>
      <c r="Z1293" s="36"/>
      <c r="AA1293" s="36"/>
      <c r="AB1293" s="36"/>
      <c r="AC1293" s="36"/>
    </row>
    <row r="1294" ht="15.75" customHeight="1">
      <c r="A1294" s="423">
        <v>43384.0</v>
      </c>
      <c r="B1294" s="424">
        <v>13.5543</v>
      </c>
      <c r="C1294" s="425">
        <v>17.0268</v>
      </c>
      <c r="D1294" s="426">
        <v>18.998</v>
      </c>
      <c r="E1294" s="425">
        <v>13.5388</v>
      </c>
      <c r="F1294" s="425">
        <v>15.8911</v>
      </c>
      <c r="G1294" s="425">
        <v>13.3573</v>
      </c>
      <c r="H1294" s="426">
        <v>28.4682</v>
      </c>
      <c r="I1294" s="426">
        <v>20.4668</v>
      </c>
      <c r="J1294" s="425">
        <v>19.7314</v>
      </c>
      <c r="K1294" s="182">
        <v>10234.65</v>
      </c>
      <c r="L1294" s="36"/>
      <c r="M1294" s="36"/>
      <c r="N1294" s="36"/>
      <c r="O1294" s="36"/>
      <c r="P1294" s="36"/>
      <c r="Q1294" s="36"/>
      <c r="R1294" s="36"/>
      <c r="S1294" s="36"/>
      <c r="T1294" s="36"/>
      <c r="U1294" s="36"/>
      <c r="V1294" s="36"/>
      <c r="W1294" s="36"/>
      <c r="X1294" s="36"/>
      <c r="Y1294" s="36"/>
      <c r="Z1294" s="36"/>
      <c r="AA1294" s="36"/>
      <c r="AB1294" s="36"/>
      <c r="AC1294" s="36"/>
    </row>
    <row r="1295" ht="15.75" customHeight="1">
      <c r="A1295" s="423">
        <v>43384.0</v>
      </c>
      <c r="B1295" s="424">
        <v>13.5543</v>
      </c>
      <c r="C1295" s="425">
        <v>17.0244</v>
      </c>
      <c r="D1295" s="426">
        <v>18.9927</v>
      </c>
      <c r="E1295" s="425">
        <v>13.5388</v>
      </c>
      <c r="F1295" s="425">
        <v>15.8911</v>
      </c>
      <c r="G1295" s="425">
        <v>13.3573</v>
      </c>
      <c r="H1295" s="426">
        <v>28.2559</v>
      </c>
      <c r="I1295" s="426">
        <v>20.2907</v>
      </c>
      <c r="J1295" s="425">
        <v>19.8424</v>
      </c>
      <c r="K1295" s="182">
        <v>10234.65</v>
      </c>
      <c r="L1295" s="36"/>
      <c r="M1295" s="36"/>
      <c r="N1295" s="36"/>
      <c r="O1295" s="36"/>
      <c r="P1295" s="36"/>
      <c r="Q1295" s="36"/>
      <c r="R1295" s="36"/>
      <c r="S1295" s="36"/>
      <c r="T1295" s="36"/>
      <c r="U1295" s="36"/>
      <c r="V1295" s="36"/>
      <c r="W1295" s="36"/>
      <c r="X1295" s="36"/>
      <c r="Y1295" s="36"/>
      <c r="Z1295" s="36"/>
      <c r="AA1295" s="36"/>
      <c r="AB1295" s="36"/>
      <c r="AC1295" s="36"/>
    </row>
    <row r="1296" ht="15.75" customHeight="1">
      <c r="A1296" s="423">
        <v>43384.0</v>
      </c>
      <c r="B1296" s="424">
        <v>13.5543</v>
      </c>
      <c r="C1296" s="425">
        <v>17.0244</v>
      </c>
      <c r="D1296" s="426">
        <v>18.9967</v>
      </c>
      <c r="E1296" s="425">
        <v>13.5388</v>
      </c>
      <c r="F1296" s="425">
        <v>15.8911</v>
      </c>
      <c r="G1296" s="425">
        <v>13.3573</v>
      </c>
      <c r="H1296" s="426">
        <v>28.2856</v>
      </c>
      <c r="I1296" s="426">
        <v>20.2801</v>
      </c>
      <c r="J1296" s="425">
        <v>19.8424</v>
      </c>
      <c r="K1296" s="182">
        <v>10234.65</v>
      </c>
      <c r="L1296" s="36"/>
      <c r="M1296" s="36"/>
      <c r="N1296" s="36"/>
      <c r="O1296" s="36"/>
      <c r="P1296" s="36"/>
      <c r="Q1296" s="36"/>
      <c r="R1296" s="36"/>
      <c r="S1296" s="36"/>
      <c r="T1296" s="36"/>
      <c r="U1296" s="36"/>
      <c r="V1296" s="36"/>
      <c r="W1296" s="36"/>
      <c r="X1296" s="36"/>
      <c r="Y1296" s="36"/>
      <c r="Z1296" s="36"/>
      <c r="AA1296" s="36"/>
      <c r="AB1296" s="36"/>
      <c r="AC1296" s="36"/>
    </row>
    <row r="1297" ht="15.75" customHeight="1">
      <c r="A1297" s="423">
        <v>43385.0</v>
      </c>
      <c r="B1297" s="424">
        <v>13.8054</v>
      </c>
      <c r="C1297" s="425">
        <v>17.0119</v>
      </c>
      <c r="D1297" s="426">
        <v>18.9583</v>
      </c>
      <c r="E1297" s="425">
        <v>13.5446</v>
      </c>
      <c r="F1297" s="425">
        <v>16.1725</v>
      </c>
      <c r="G1297" s="425">
        <v>13.36</v>
      </c>
      <c r="H1297" s="426">
        <v>28.8793</v>
      </c>
      <c r="I1297" s="426">
        <v>20.7424</v>
      </c>
      <c r="J1297" s="425">
        <v>19.7766</v>
      </c>
      <c r="K1297" s="182">
        <v>10472.5</v>
      </c>
      <c r="L1297" s="36"/>
      <c r="M1297" s="36"/>
      <c r="N1297" s="36"/>
      <c r="O1297" s="36"/>
      <c r="P1297" s="36"/>
      <c r="Q1297" s="36"/>
      <c r="R1297" s="36"/>
      <c r="S1297" s="36"/>
      <c r="T1297" s="36"/>
      <c r="U1297" s="36"/>
      <c r="V1297" s="36"/>
      <c r="W1297" s="36"/>
      <c r="X1297" s="36"/>
      <c r="Y1297" s="36"/>
      <c r="Z1297" s="36"/>
      <c r="AA1297" s="36"/>
      <c r="AB1297" s="36"/>
      <c r="AC1297" s="36"/>
    </row>
    <row r="1298" ht="15.75" customHeight="1">
      <c r="A1298" s="423">
        <v>43385.0</v>
      </c>
      <c r="B1298" s="424">
        <v>13.8054</v>
      </c>
      <c r="C1298" s="425">
        <v>17.0119</v>
      </c>
      <c r="D1298" s="426">
        <v>18.9625</v>
      </c>
      <c r="E1298" s="425">
        <v>13.5446</v>
      </c>
      <c r="F1298" s="425">
        <v>16.1725</v>
      </c>
      <c r="G1298" s="425">
        <v>13.36</v>
      </c>
      <c r="H1298" s="426">
        <v>28.6903</v>
      </c>
      <c r="I1298" s="426">
        <v>20.624</v>
      </c>
      <c r="J1298" s="425">
        <v>19.7766</v>
      </c>
      <c r="K1298" s="182">
        <v>10472.5</v>
      </c>
      <c r="L1298" s="36"/>
      <c r="M1298" s="36"/>
      <c r="N1298" s="36"/>
      <c r="O1298" s="36"/>
      <c r="P1298" s="36"/>
      <c r="Q1298" s="36"/>
      <c r="R1298" s="36"/>
      <c r="S1298" s="36"/>
      <c r="T1298" s="36"/>
      <c r="U1298" s="36"/>
      <c r="V1298" s="36"/>
      <c r="W1298" s="36"/>
      <c r="X1298" s="36"/>
      <c r="Y1298" s="36"/>
      <c r="Z1298" s="36"/>
      <c r="AA1298" s="36"/>
      <c r="AB1298" s="36"/>
      <c r="AC1298" s="36"/>
    </row>
    <row r="1299" ht="15.75" customHeight="1">
      <c r="A1299" s="423">
        <v>43385.0</v>
      </c>
      <c r="B1299" s="424">
        <v>13.8054</v>
      </c>
      <c r="C1299" s="425">
        <v>17.0257</v>
      </c>
      <c r="D1299" s="426">
        <v>18.9788</v>
      </c>
      <c r="E1299" s="425">
        <v>13.5446</v>
      </c>
      <c r="F1299" s="425">
        <v>16.1725</v>
      </c>
      <c r="G1299" s="425">
        <v>13.36</v>
      </c>
      <c r="H1299" s="426">
        <v>28.6548</v>
      </c>
      <c r="I1299" s="426">
        <v>20.6348</v>
      </c>
      <c r="J1299" s="425">
        <v>19.6834</v>
      </c>
      <c r="K1299" s="182">
        <v>10472.5</v>
      </c>
      <c r="L1299" s="36"/>
      <c r="M1299" s="36"/>
      <c r="N1299" s="36"/>
      <c r="O1299" s="36"/>
      <c r="P1299" s="36"/>
      <c r="Q1299" s="36"/>
      <c r="R1299" s="36"/>
      <c r="S1299" s="36"/>
      <c r="T1299" s="36"/>
      <c r="U1299" s="36"/>
      <c r="V1299" s="36"/>
      <c r="W1299" s="36"/>
      <c r="X1299" s="36"/>
      <c r="Y1299" s="36"/>
      <c r="Z1299" s="36"/>
      <c r="AA1299" s="36"/>
      <c r="AB1299" s="36"/>
      <c r="AC1299" s="36"/>
    </row>
    <row r="1300" ht="15.75" customHeight="1">
      <c r="A1300" s="423">
        <v>43385.0</v>
      </c>
      <c r="B1300" s="424">
        <v>13.8054</v>
      </c>
      <c r="C1300" s="425">
        <v>17.0257</v>
      </c>
      <c r="D1300" s="426">
        <v>18.9777</v>
      </c>
      <c r="E1300" s="425">
        <v>13.5446</v>
      </c>
      <c r="F1300" s="425">
        <v>16.1725</v>
      </c>
      <c r="G1300" s="425">
        <v>13.36</v>
      </c>
      <c r="H1300" s="426">
        <v>28.5505</v>
      </c>
      <c r="I1300" s="426">
        <v>20.5992</v>
      </c>
      <c r="J1300" s="425">
        <v>19.6834</v>
      </c>
      <c r="K1300" s="182">
        <v>10472.5</v>
      </c>
      <c r="L1300" s="36"/>
      <c r="M1300" s="36"/>
      <c r="N1300" s="36"/>
      <c r="O1300" s="36"/>
      <c r="P1300" s="36"/>
      <c r="Q1300" s="36"/>
      <c r="R1300" s="36"/>
      <c r="S1300" s="36"/>
      <c r="T1300" s="36"/>
      <c r="U1300" s="36"/>
      <c r="V1300" s="36"/>
      <c r="W1300" s="36"/>
      <c r="X1300" s="36"/>
      <c r="Y1300" s="36"/>
      <c r="Z1300" s="36"/>
      <c r="AA1300" s="36"/>
      <c r="AB1300" s="36"/>
      <c r="AC1300" s="36"/>
    </row>
    <row r="1301" ht="15.75" customHeight="1">
      <c r="A1301" s="423">
        <v>43388.0</v>
      </c>
      <c r="B1301" s="424">
        <v>13.8493</v>
      </c>
      <c r="C1301" s="425">
        <v>17.0074</v>
      </c>
      <c r="D1301" s="426">
        <v>18.9178</v>
      </c>
      <c r="E1301" s="425">
        <v>13.5818</v>
      </c>
      <c r="F1301" s="425">
        <v>16.2196</v>
      </c>
      <c r="G1301" s="425">
        <v>13.3695</v>
      </c>
      <c r="H1301" s="426">
        <v>28.0374</v>
      </c>
      <c r="I1301" s="426">
        <v>20.3379</v>
      </c>
      <c r="J1301" s="425">
        <v>19.8762</v>
      </c>
      <c r="K1301" s="182">
        <v>10512.5</v>
      </c>
      <c r="L1301" s="36"/>
      <c r="M1301" s="36"/>
      <c r="N1301" s="36"/>
      <c r="O1301" s="36"/>
      <c r="P1301" s="36"/>
      <c r="Q1301" s="36"/>
      <c r="R1301" s="36"/>
      <c r="S1301" s="36"/>
      <c r="T1301" s="36"/>
      <c r="U1301" s="36"/>
      <c r="V1301" s="36"/>
      <c r="W1301" s="36"/>
      <c r="X1301" s="36"/>
      <c r="Y1301" s="36"/>
      <c r="Z1301" s="36"/>
      <c r="AA1301" s="36"/>
      <c r="AB1301" s="36"/>
      <c r="AC1301" s="36"/>
    </row>
    <row r="1302" ht="15.75" customHeight="1">
      <c r="A1302" s="423">
        <v>43388.0</v>
      </c>
      <c r="B1302" s="424">
        <v>13.8493</v>
      </c>
      <c r="C1302" s="425">
        <v>17.0074</v>
      </c>
      <c r="D1302" s="426">
        <v>18.9241</v>
      </c>
      <c r="E1302" s="425">
        <v>13.5818</v>
      </c>
      <c r="F1302" s="425">
        <v>16.2196</v>
      </c>
      <c r="G1302" s="425">
        <v>13.3695</v>
      </c>
      <c r="H1302" s="426">
        <v>28.6937</v>
      </c>
      <c r="I1302" s="426">
        <v>20.6844</v>
      </c>
      <c r="J1302" s="425">
        <v>19.8762</v>
      </c>
      <c r="K1302" s="182">
        <v>10512.5</v>
      </c>
      <c r="L1302" s="36"/>
      <c r="M1302" s="36"/>
      <c r="N1302" s="36"/>
      <c r="O1302" s="36"/>
      <c r="P1302" s="36"/>
      <c r="Q1302" s="36"/>
      <c r="R1302" s="36"/>
      <c r="S1302" s="36"/>
      <c r="T1302" s="36"/>
      <c r="U1302" s="36"/>
      <c r="V1302" s="36"/>
      <c r="W1302" s="36"/>
      <c r="X1302" s="36"/>
      <c r="Y1302" s="36"/>
      <c r="Z1302" s="36"/>
      <c r="AA1302" s="36"/>
      <c r="AB1302" s="36"/>
      <c r="AC1302" s="36"/>
    </row>
    <row r="1303" ht="15.75" customHeight="1">
      <c r="A1303" s="423">
        <v>43388.0</v>
      </c>
      <c r="B1303" s="424">
        <v>13.8493</v>
      </c>
      <c r="C1303" s="425">
        <v>17.0051</v>
      </c>
      <c r="D1303" s="426">
        <v>18.9757</v>
      </c>
      <c r="E1303" s="425">
        <v>13.5818</v>
      </c>
      <c r="F1303" s="425">
        <v>16.2196</v>
      </c>
      <c r="G1303" s="425">
        <v>13.3695</v>
      </c>
      <c r="H1303" s="426">
        <v>28.7937</v>
      </c>
      <c r="I1303" s="426">
        <v>20.7355</v>
      </c>
      <c r="J1303" s="425">
        <v>19.8652</v>
      </c>
      <c r="K1303" s="182">
        <v>10512.5</v>
      </c>
      <c r="L1303" s="36"/>
      <c r="M1303" s="36"/>
      <c r="N1303" s="36"/>
      <c r="O1303" s="36"/>
      <c r="P1303" s="36"/>
      <c r="Q1303" s="36"/>
      <c r="R1303" s="36"/>
      <c r="S1303" s="36"/>
      <c r="T1303" s="36"/>
      <c r="U1303" s="36"/>
      <c r="V1303" s="36"/>
      <c r="W1303" s="36"/>
      <c r="X1303" s="36"/>
      <c r="Y1303" s="36"/>
      <c r="Z1303" s="36"/>
      <c r="AA1303" s="36"/>
      <c r="AB1303" s="36"/>
      <c r="AC1303" s="36"/>
    </row>
    <row r="1304" ht="15.75" customHeight="1">
      <c r="A1304" s="423">
        <v>43388.0</v>
      </c>
      <c r="B1304" s="424">
        <v>13.8493</v>
      </c>
      <c r="C1304" s="425">
        <v>17.0051</v>
      </c>
      <c r="D1304" s="426">
        <v>18.9643</v>
      </c>
      <c r="E1304" s="425">
        <v>13.5818</v>
      </c>
      <c r="F1304" s="425">
        <v>16.2196</v>
      </c>
      <c r="G1304" s="425">
        <v>13.3695</v>
      </c>
      <c r="H1304" s="426">
        <v>28.8855</v>
      </c>
      <c r="I1304" s="426">
        <v>20.7613</v>
      </c>
      <c r="J1304" s="425">
        <v>19.8652</v>
      </c>
      <c r="K1304" s="182">
        <v>10512.5</v>
      </c>
      <c r="L1304" s="36"/>
      <c r="M1304" s="36"/>
      <c r="N1304" s="36"/>
      <c r="O1304" s="36"/>
      <c r="P1304" s="36"/>
      <c r="Q1304" s="36"/>
      <c r="R1304" s="36"/>
      <c r="S1304" s="36"/>
      <c r="T1304" s="36"/>
      <c r="U1304" s="36"/>
      <c r="V1304" s="36"/>
      <c r="W1304" s="36"/>
      <c r="X1304" s="36"/>
      <c r="Y1304" s="36"/>
      <c r="Z1304" s="36"/>
      <c r="AA1304" s="36"/>
      <c r="AB1304" s="36"/>
      <c r="AC1304" s="36"/>
    </row>
    <row r="1305" ht="15.75" customHeight="1">
      <c r="A1305" s="423">
        <v>43389.0</v>
      </c>
      <c r="B1305" s="424">
        <v>13.9249</v>
      </c>
      <c r="C1305" s="425">
        <v>17.0195</v>
      </c>
      <c r="D1305" s="426">
        <v>18.9601</v>
      </c>
      <c r="E1305" s="425">
        <v>13.6085</v>
      </c>
      <c r="F1305" s="425">
        <v>16.3085</v>
      </c>
      <c r="G1305" s="425">
        <v>13.374</v>
      </c>
      <c r="H1305" s="426">
        <v>27.4943</v>
      </c>
      <c r="I1305" s="426">
        <v>19.9658</v>
      </c>
      <c r="J1305" s="425">
        <v>19.9575</v>
      </c>
      <c r="K1305" s="182">
        <v>10584.75</v>
      </c>
      <c r="L1305" s="36"/>
      <c r="M1305" s="36"/>
      <c r="N1305" s="36"/>
      <c r="O1305" s="36"/>
      <c r="P1305" s="36"/>
      <c r="Q1305" s="36"/>
      <c r="R1305" s="36"/>
      <c r="S1305" s="36"/>
      <c r="T1305" s="36"/>
      <c r="U1305" s="36"/>
      <c r="V1305" s="36"/>
      <c r="W1305" s="36"/>
      <c r="X1305" s="36"/>
      <c r="Y1305" s="36"/>
      <c r="Z1305" s="36"/>
      <c r="AA1305" s="36"/>
      <c r="AB1305" s="36"/>
      <c r="AC1305" s="36"/>
    </row>
    <row r="1306" ht="15.75" customHeight="1">
      <c r="A1306" s="423">
        <v>43389.0</v>
      </c>
      <c r="B1306" s="424">
        <v>13.9249</v>
      </c>
      <c r="C1306" s="425">
        <v>17.0195</v>
      </c>
      <c r="D1306" s="426">
        <v>18.9346</v>
      </c>
      <c r="E1306" s="425">
        <v>13.6085</v>
      </c>
      <c r="F1306" s="425">
        <v>16.3085</v>
      </c>
      <c r="G1306" s="425">
        <v>13.374</v>
      </c>
      <c r="H1306" s="426">
        <v>27.3968</v>
      </c>
      <c r="I1306" s="426">
        <v>19.9126</v>
      </c>
      <c r="J1306" s="425">
        <v>19.9575</v>
      </c>
      <c r="K1306" s="182">
        <v>10584.75</v>
      </c>
      <c r="L1306" s="36"/>
      <c r="M1306" s="36"/>
      <c r="N1306" s="36"/>
      <c r="O1306" s="36"/>
      <c r="P1306" s="36"/>
      <c r="Q1306" s="36"/>
      <c r="R1306" s="36"/>
      <c r="S1306" s="36"/>
      <c r="T1306" s="36"/>
      <c r="U1306" s="36"/>
      <c r="V1306" s="36"/>
      <c r="W1306" s="36"/>
      <c r="X1306" s="36"/>
      <c r="Y1306" s="36"/>
      <c r="Z1306" s="36"/>
      <c r="AA1306" s="36"/>
      <c r="AB1306" s="36"/>
      <c r="AC1306" s="36"/>
    </row>
    <row r="1307" ht="15.75" customHeight="1">
      <c r="A1307" s="423">
        <v>43389.0</v>
      </c>
      <c r="B1307" s="424">
        <v>13.9249</v>
      </c>
      <c r="C1307" s="425">
        <v>17.0127</v>
      </c>
      <c r="D1307" s="426">
        <v>18.9337</v>
      </c>
      <c r="E1307" s="425">
        <v>13.6085</v>
      </c>
      <c r="F1307" s="425">
        <v>16.3085</v>
      </c>
      <c r="G1307" s="425">
        <v>13.374</v>
      </c>
      <c r="H1307" s="426">
        <v>27.8262</v>
      </c>
      <c r="I1307" s="426">
        <v>20.169</v>
      </c>
      <c r="J1307" s="425">
        <v>19.8996</v>
      </c>
      <c r="K1307" s="182">
        <v>10584.75</v>
      </c>
      <c r="L1307" s="36"/>
      <c r="M1307" s="36"/>
      <c r="N1307" s="36"/>
      <c r="O1307" s="36"/>
      <c r="P1307" s="36"/>
      <c r="Q1307" s="36"/>
      <c r="R1307" s="36"/>
      <c r="S1307" s="36"/>
      <c r="T1307" s="36"/>
      <c r="U1307" s="36"/>
      <c r="V1307" s="36"/>
      <c r="W1307" s="36"/>
      <c r="X1307" s="36"/>
      <c r="Y1307" s="36"/>
      <c r="Z1307" s="36"/>
      <c r="AA1307" s="36"/>
      <c r="AB1307" s="36"/>
      <c r="AC1307" s="36"/>
    </row>
    <row r="1308" ht="15.75" customHeight="1">
      <c r="A1308" s="423">
        <v>43389.0</v>
      </c>
      <c r="B1308" s="424">
        <v>13.9249</v>
      </c>
      <c r="C1308" s="425">
        <v>17.0127</v>
      </c>
      <c r="D1308" s="426">
        <v>18.9486</v>
      </c>
      <c r="E1308" s="425">
        <v>13.6085</v>
      </c>
      <c r="F1308" s="425">
        <v>16.3085</v>
      </c>
      <c r="G1308" s="425">
        <v>13.374</v>
      </c>
      <c r="H1308" s="426">
        <v>27.7467</v>
      </c>
      <c r="I1308" s="426">
        <v>20.1588</v>
      </c>
      <c r="J1308" s="425">
        <v>19.8996</v>
      </c>
      <c r="K1308" s="182">
        <v>10584.75</v>
      </c>
      <c r="L1308" s="36"/>
      <c r="M1308" s="36"/>
      <c r="N1308" s="36"/>
      <c r="O1308" s="36"/>
      <c r="P1308" s="36"/>
      <c r="Q1308" s="36"/>
      <c r="R1308" s="36"/>
      <c r="S1308" s="36"/>
      <c r="T1308" s="36"/>
      <c r="U1308" s="36"/>
      <c r="V1308" s="36"/>
      <c r="W1308" s="36"/>
      <c r="X1308" s="36"/>
      <c r="Y1308" s="36"/>
      <c r="Z1308" s="36"/>
      <c r="AA1308" s="36"/>
      <c r="AB1308" s="36"/>
      <c r="AC1308" s="36"/>
    </row>
    <row r="1309" ht="15.75" customHeight="1">
      <c r="A1309" s="423">
        <v>43390.0</v>
      </c>
      <c r="B1309" s="424">
        <v>13.7863</v>
      </c>
      <c r="C1309" s="425">
        <v>17.0428</v>
      </c>
      <c r="D1309" s="426">
        <v>18.9689</v>
      </c>
      <c r="E1309" s="425">
        <v>13.5951</v>
      </c>
      <c r="F1309" s="425">
        <v>16.1664</v>
      </c>
      <c r="G1309" s="425">
        <v>13.373</v>
      </c>
      <c r="H1309" s="426">
        <v>28.0308</v>
      </c>
      <c r="I1309" s="426">
        <v>20.2469</v>
      </c>
      <c r="J1309" s="425">
        <v>19.9482</v>
      </c>
      <c r="K1309" s="182">
        <v>10453.05</v>
      </c>
      <c r="L1309" s="36"/>
      <c r="M1309" s="36"/>
      <c r="N1309" s="36"/>
      <c r="O1309" s="36"/>
      <c r="P1309" s="36"/>
      <c r="Q1309" s="36"/>
      <c r="R1309" s="36"/>
      <c r="S1309" s="36"/>
      <c r="T1309" s="36"/>
      <c r="U1309" s="36"/>
      <c r="V1309" s="36"/>
      <c r="W1309" s="36"/>
      <c r="X1309" s="36"/>
      <c r="Y1309" s="36"/>
      <c r="Z1309" s="36"/>
      <c r="AA1309" s="36"/>
      <c r="AB1309" s="36"/>
      <c r="AC1309" s="36"/>
    </row>
    <row r="1310" ht="15.75" customHeight="1">
      <c r="A1310" s="423">
        <v>43390.0</v>
      </c>
      <c r="B1310" s="424">
        <v>13.7863</v>
      </c>
      <c r="C1310" s="425">
        <v>17.0428</v>
      </c>
      <c r="D1310" s="426">
        <v>18.9976</v>
      </c>
      <c r="E1310" s="425">
        <v>13.5951</v>
      </c>
      <c r="F1310" s="425">
        <v>16.1664</v>
      </c>
      <c r="G1310" s="425">
        <v>13.373</v>
      </c>
      <c r="H1310" s="426">
        <v>27.995</v>
      </c>
      <c r="I1310" s="426">
        <v>20.1495</v>
      </c>
      <c r="J1310" s="425">
        <v>19.9482</v>
      </c>
      <c r="K1310" s="182">
        <v>10453.05</v>
      </c>
      <c r="L1310" s="36"/>
      <c r="M1310" s="36"/>
      <c r="N1310" s="36"/>
      <c r="O1310" s="36"/>
      <c r="P1310" s="36"/>
      <c r="Q1310" s="36"/>
      <c r="R1310" s="36"/>
      <c r="S1310" s="36"/>
      <c r="T1310" s="36"/>
      <c r="U1310" s="36"/>
      <c r="V1310" s="36"/>
      <c r="W1310" s="36"/>
      <c r="X1310" s="36"/>
      <c r="Y1310" s="36"/>
      <c r="Z1310" s="36"/>
      <c r="AA1310" s="36"/>
      <c r="AB1310" s="36"/>
      <c r="AC1310" s="36"/>
    </row>
    <row r="1311" ht="15.75" customHeight="1">
      <c r="A1311" s="423">
        <v>43390.0</v>
      </c>
      <c r="B1311" s="424">
        <v>13.7863</v>
      </c>
      <c r="C1311" s="425">
        <v>17.0304</v>
      </c>
      <c r="D1311" s="426">
        <v>18.9594</v>
      </c>
      <c r="E1311" s="425">
        <v>13.5951</v>
      </c>
      <c r="F1311" s="425">
        <v>16.1664</v>
      </c>
      <c r="G1311" s="425">
        <v>13.373</v>
      </c>
      <c r="H1311" s="426">
        <v>27.8226</v>
      </c>
      <c r="I1311" s="426">
        <v>20.0419</v>
      </c>
      <c r="J1311" s="425">
        <v>19.97</v>
      </c>
      <c r="K1311" s="182">
        <v>10453.05</v>
      </c>
      <c r="L1311" s="36"/>
      <c r="M1311" s="36"/>
      <c r="N1311" s="36"/>
      <c r="O1311" s="36"/>
      <c r="P1311" s="36"/>
      <c r="Q1311" s="36"/>
      <c r="R1311" s="36"/>
      <c r="S1311" s="36"/>
      <c r="T1311" s="36"/>
      <c r="U1311" s="36"/>
      <c r="V1311" s="36"/>
      <c r="W1311" s="36"/>
      <c r="X1311" s="36"/>
      <c r="Y1311" s="36"/>
      <c r="Z1311" s="36"/>
      <c r="AA1311" s="36"/>
      <c r="AB1311" s="36"/>
      <c r="AC1311" s="36"/>
    </row>
    <row r="1312" ht="15.75" customHeight="1">
      <c r="A1312" s="423">
        <v>43390.0</v>
      </c>
      <c r="B1312" s="424">
        <v>13.7863</v>
      </c>
      <c r="C1312" s="425">
        <v>17.0304</v>
      </c>
      <c r="D1312" s="426">
        <v>18.9565</v>
      </c>
      <c r="E1312" s="425">
        <v>13.5951</v>
      </c>
      <c r="F1312" s="425">
        <v>16.1664</v>
      </c>
      <c r="G1312" s="425">
        <v>13.373</v>
      </c>
      <c r="H1312" s="426">
        <v>27.8234</v>
      </c>
      <c r="I1312" s="426">
        <v>20.0425</v>
      </c>
      <c r="J1312" s="425">
        <v>19.97</v>
      </c>
      <c r="K1312" s="182">
        <v>10453.05</v>
      </c>
      <c r="L1312" s="36"/>
      <c r="M1312" s="36"/>
      <c r="N1312" s="36"/>
      <c r="O1312" s="36"/>
      <c r="P1312" s="36"/>
      <c r="Q1312" s="36"/>
      <c r="R1312" s="36"/>
      <c r="S1312" s="36"/>
      <c r="T1312" s="36"/>
      <c r="U1312" s="36"/>
      <c r="V1312" s="36"/>
      <c r="W1312" s="36"/>
      <c r="X1312" s="36"/>
      <c r="Y1312" s="36"/>
      <c r="Z1312" s="36"/>
      <c r="AA1312" s="36"/>
      <c r="AB1312" s="36"/>
      <c r="AC1312" s="36"/>
    </row>
    <row r="1313" ht="15.75" customHeight="1">
      <c r="A1313" s="423">
        <v>43392.0</v>
      </c>
      <c r="B1313" s="424">
        <v>13.6464</v>
      </c>
      <c r="C1313" s="425">
        <v>17.0653</v>
      </c>
      <c r="D1313" s="426">
        <v>18.9527</v>
      </c>
      <c r="E1313" s="425">
        <v>13.6024</v>
      </c>
      <c r="F1313" s="425">
        <v>16.0201</v>
      </c>
      <c r="G1313" s="425">
        <v>13.377</v>
      </c>
      <c r="H1313" s="426">
        <v>28.3786</v>
      </c>
      <c r="I1313" s="426">
        <v>20.4572</v>
      </c>
      <c r="J1313" s="425">
        <v>19.9345</v>
      </c>
      <c r="K1313" s="182">
        <v>10303.55</v>
      </c>
      <c r="L1313" s="36"/>
      <c r="M1313" s="36"/>
      <c r="N1313" s="36"/>
      <c r="O1313" s="36"/>
      <c r="P1313" s="36"/>
      <c r="Q1313" s="36"/>
      <c r="R1313" s="36"/>
      <c r="S1313" s="36"/>
      <c r="T1313" s="36"/>
      <c r="U1313" s="36"/>
      <c r="V1313" s="36"/>
      <c r="W1313" s="36"/>
      <c r="X1313" s="36"/>
      <c r="Y1313" s="36"/>
      <c r="Z1313" s="36"/>
      <c r="AA1313" s="36"/>
      <c r="AB1313" s="36"/>
      <c r="AC1313" s="36"/>
    </row>
    <row r="1314" ht="15.75" customHeight="1">
      <c r="A1314" s="423">
        <v>43392.0</v>
      </c>
      <c r="B1314" s="424">
        <v>13.6464</v>
      </c>
      <c r="C1314" s="425">
        <v>17.0653</v>
      </c>
      <c r="D1314" s="426">
        <v>18.9436</v>
      </c>
      <c r="E1314" s="425">
        <v>13.6024</v>
      </c>
      <c r="F1314" s="425">
        <v>16.0201</v>
      </c>
      <c r="G1314" s="425">
        <v>13.377</v>
      </c>
      <c r="H1314" s="426">
        <v>28.2457</v>
      </c>
      <c r="I1314" s="426">
        <v>20.4023</v>
      </c>
      <c r="J1314" s="425">
        <v>19.9345</v>
      </c>
      <c r="K1314" s="182">
        <v>10303.55</v>
      </c>
      <c r="L1314" s="36"/>
      <c r="M1314" s="36"/>
      <c r="N1314" s="36"/>
      <c r="O1314" s="36"/>
      <c r="P1314" s="36"/>
      <c r="Q1314" s="36"/>
      <c r="R1314" s="36"/>
      <c r="S1314" s="36"/>
      <c r="T1314" s="36"/>
      <c r="U1314" s="36"/>
      <c r="V1314" s="36"/>
      <c r="W1314" s="36"/>
      <c r="X1314" s="36"/>
      <c r="Y1314" s="36"/>
      <c r="Z1314" s="36"/>
      <c r="AA1314" s="36"/>
      <c r="AB1314" s="36"/>
      <c r="AC1314" s="36"/>
    </row>
    <row r="1315" ht="15.75" customHeight="1">
      <c r="A1315" s="423">
        <v>43392.0</v>
      </c>
      <c r="B1315" s="424">
        <v>13.6464</v>
      </c>
      <c r="C1315" s="425">
        <v>17.0484</v>
      </c>
      <c r="D1315" s="426">
        <v>18.9473</v>
      </c>
      <c r="E1315" s="425">
        <v>13.6024</v>
      </c>
      <c r="F1315" s="425">
        <v>16.0201</v>
      </c>
      <c r="G1315" s="425">
        <v>13.377</v>
      </c>
      <c r="H1315" s="426">
        <v>28.3036</v>
      </c>
      <c r="I1315" s="426">
        <v>20.4048</v>
      </c>
      <c r="J1315" s="425">
        <v>19.9385</v>
      </c>
      <c r="K1315" s="182">
        <v>10303.55</v>
      </c>
      <c r="L1315" s="36"/>
      <c r="M1315" s="36"/>
      <c r="N1315" s="36"/>
      <c r="O1315" s="36"/>
      <c r="P1315" s="36"/>
      <c r="Q1315" s="36"/>
      <c r="R1315" s="36"/>
      <c r="S1315" s="36"/>
      <c r="T1315" s="36"/>
      <c r="U1315" s="36"/>
      <c r="V1315" s="36"/>
      <c r="W1315" s="36"/>
      <c r="X1315" s="36"/>
      <c r="Y1315" s="36"/>
      <c r="Z1315" s="36"/>
      <c r="AA1315" s="36"/>
      <c r="AB1315" s="36"/>
      <c r="AC1315" s="36"/>
    </row>
    <row r="1316" ht="15.75" customHeight="1">
      <c r="A1316" s="423">
        <v>43392.0</v>
      </c>
      <c r="B1316" s="424">
        <v>13.6464</v>
      </c>
      <c r="C1316" s="425">
        <v>17.0484</v>
      </c>
      <c r="D1316" s="426">
        <v>18.95</v>
      </c>
      <c r="E1316" s="425">
        <v>13.6024</v>
      </c>
      <c r="F1316" s="425">
        <v>16.0201</v>
      </c>
      <c r="G1316" s="425">
        <v>13.377</v>
      </c>
      <c r="H1316" s="426">
        <v>28.095</v>
      </c>
      <c r="I1316" s="426">
        <v>20.2331</v>
      </c>
      <c r="J1316" s="425">
        <v>19.9385</v>
      </c>
      <c r="K1316" s="182">
        <v>10303.55</v>
      </c>
      <c r="L1316" s="36"/>
      <c r="M1316" s="36"/>
      <c r="N1316" s="36"/>
      <c r="O1316" s="36"/>
      <c r="P1316" s="36"/>
      <c r="Q1316" s="36"/>
      <c r="R1316" s="36"/>
      <c r="S1316" s="36"/>
      <c r="T1316" s="36"/>
      <c r="U1316" s="36"/>
      <c r="V1316" s="36"/>
      <c r="W1316" s="36"/>
      <c r="X1316" s="36"/>
      <c r="Y1316" s="36"/>
      <c r="Z1316" s="36"/>
      <c r="AA1316" s="36"/>
      <c r="AB1316" s="36"/>
      <c r="AC1316" s="36"/>
    </row>
    <row r="1317" ht="15.75" customHeight="1">
      <c r="A1317" s="423">
        <v>43395.0</v>
      </c>
      <c r="B1317" s="424">
        <v>13.567</v>
      </c>
      <c r="C1317" s="425">
        <v>17.0805</v>
      </c>
      <c r="D1317" s="426">
        <v>18.9922</v>
      </c>
      <c r="E1317" s="425">
        <v>13.6096</v>
      </c>
      <c r="F1317" s="425">
        <v>15.9342</v>
      </c>
      <c r="G1317" s="425">
        <v>13.3793</v>
      </c>
      <c r="H1317" s="426">
        <v>28.5592</v>
      </c>
      <c r="I1317" s="426">
        <v>20.7653</v>
      </c>
      <c r="J1317" s="425">
        <v>19.9187</v>
      </c>
      <c r="K1317" s="182">
        <v>10245.25</v>
      </c>
      <c r="L1317" s="36"/>
      <c r="M1317" s="36"/>
      <c r="N1317" s="36"/>
      <c r="O1317" s="36"/>
      <c r="P1317" s="36"/>
      <c r="Q1317" s="36"/>
      <c r="R1317" s="36"/>
      <c r="S1317" s="36"/>
      <c r="T1317" s="36"/>
      <c r="U1317" s="36"/>
      <c r="V1317" s="36"/>
      <c r="W1317" s="36"/>
      <c r="X1317" s="36"/>
      <c r="Y1317" s="36"/>
      <c r="Z1317" s="36"/>
      <c r="AA1317" s="36"/>
      <c r="AB1317" s="36"/>
      <c r="AC1317" s="36"/>
    </row>
    <row r="1318" ht="15.75" customHeight="1">
      <c r="A1318" s="423">
        <v>43395.0</v>
      </c>
      <c r="B1318" s="424">
        <v>13.567</v>
      </c>
      <c r="C1318" s="425">
        <v>17.0805</v>
      </c>
      <c r="D1318" s="426">
        <v>18.9811</v>
      </c>
      <c r="E1318" s="425">
        <v>13.6096</v>
      </c>
      <c r="F1318" s="425">
        <v>15.9342</v>
      </c>
      <c r="G1318" s="425">
        <v>13.3793</v>
      </c>
      <c r="H1318" s="426">
        <v>28.5005</v>
      </c>
      <c r="I1318" s="426">
        <v>20.6614</v>
      </c>
      <c r="J1318" s="425">
        <v>19.9187</v>
      </c>
      <c r="K1318" s="182">
        <v>10245.25</v>
      </c>
      <c r="L1318" s="36"/>
      <c r="M1318" s="36"/>
      <c r="N1318" s="36"/>
      <c r="O1318" s="36"/>
      <c r="P1318" s="36"/>
      <c r="Q1318" s="36"/>
      <c r="R1318" s="36"/>
      <c r="S1318" s="36"/>
      <c r="T1318" s="36"/>
      <c r="U1318" s="36"/>
      <c r="V1318" s="36"/>
      <c r="W1318" s="36"/>
      <c r="X1318" s="36"/>
      <c r="Y1318" s="36"/>
      <c r="Z1318" s="36"/>
      <c r="AA1318" s="36"/>
      <c r="AB1318" s="36"/>
      <c r="AC1318" s="36"/>
    </row>
    <row r="1319" ht="15.75" customHeight="1">
      <c r="A1319" s="423">
        <v>43395.0</v>
      </c>
      <c r="B1319" s="424">
        <v>13.567</v>
      </c>
      <c r="C1319" s="425">
        <v>17.0758</v>
      </c>
      <c r="D1319" s="426">
        <v>18.957</v>
      </c>
      <c r="E1319" s="425">
        <v>13.6096</v>
      </c>
      <c r="F1319" s="425">
        <v>15.9342</v>
      </c>
      <c r="G1319" s="425">
        <v>13.3793</v>
      </c>
      <c r="H1319" s="426">
        <v>28.4275</v>
      </c>
      <c r="I1319" s="426">
        <v>20.5485</v>
      </c>
      <c r="J1319" s="425">
        <v>19.8448</v>
      </c>
      <c r="K1319" s="182">
        <v>10245.25</v>
      </c>
      <c r="L1319" s="36"/>
      <c r="M1319" s="36"/>
      <c r="N1319" s="36"/>
      <c r="O1319" s="36"/>
      <c r="P1319" s="36"/>
      <c r="Q1319" s="36"/>
      <c r="R1319" s="36"/>
      <c r="S1319" s="36"/>
      <c r="T1319" s="36"/>
      <c r="U1319" s="36"/>
      <c r="V1319" s="36"/>
      <c r="W1319" s="36"/>
      <c r="X1319" s="36"/>
      <c r="Y1319" s="36"/>
      <c r="Z1319" s="36"/>
      <c r="AA1319" s="36"/>
      <c r="AB1319" s="36"/>
      <c r="AC1319" s="36"/>
    </row>
    <row r="1320" ht="15.75" customHeight="1">
      <c r="A1320" s="423">
        <v>43395.0</v>
      </c>
      <c r="B1320" s="424">
        <v>13.567</v>
      </c>
      <c r="C1320" s="425">
        <v>17.0758</v>
      </c>
      <c r="D1320" s="426">
        <v>18.9553</v>
      </c>
      <c r="E1320" s="425">
        <v>13.6096</v>
      </c>
      <c r="F1320" s="425">
        <v>15.9342</v>
      </c>
      <c r="G1320" s="425">
        <v>13.3793</v>
      </c>
      <c r="H1320" s="426">
        <v>28.2182</v>
      </c>
      <c r="I1320" s="426">
        <v>20.3555</v>
      </c>
      <c r="J1320" s="425">
        <v>19.8448</v>
      </c>
      <c r="K1320" s="182">
        <v>10245.25</v>
      </c>
      <c r="L1320" s="36"/>
      <c r="M1320" s="36"/>
      <c r="N1320" s="36"/>
      <c r="O1320" s="36"/>
      <c r="P1320" s="36"/>
      <c r="Q1320" s="36"/>
      <c r="R1320" s="36"/>
      <c r="S1320" s="36"/>
      <c r="T1320" s="36"/>
      <c r="U1320" s="36"/>
      <c r="V1320" s="36"/>
      <c r="W1320" s="36"/>
      <c r="X1320" s="36"/>
      <c r="Y1320" s="36"/>
      <c r="Z1320" s="36"/>
      <c r="AA1320" s="36"/>
      <c r="AB1320" s="36"/>
      <c r="AC1320" s="36"/>
    </row>
    <row r="1321" ht="15.75" customHeight="1">
      <c r="A1321" s="423">
        <v>43396.0</v>
      </c>
      <c r="B1321" s="424">
        <v>13.4408</v>
      </c>
      <c r="C1321" s="425">
        <v>17.0918</v>
      </c>
      <c r="D1321" s="426">
        <v>18.9873</v>
      </c>
      <c r="E1321" s="425">
        <v>13.6237</v>
      </c>
      <c r="F1321" s="425">
        <v>15.7913</v>
      </c>
      <c r="G1321" s="425">
        <v>13.3892</v>
      </c>
      <c r="H1321" s="426">
        <v>28.6808</v>
      </c>
      <c r="I1321" s="426">
        <v>20.7336</v>
      </c>
      <c r="J1321" s="425">
        <v>19.9515</v>
      </c>
      <c r="K1321" s="182">
        <v>10146.8</v>
      </c>
      <c r="L1321" s="36"/>
      <c r="M1321" s="36"/>
      <c r="N1321" s="36"/>
      <c r="O1321" s="36"/>
      <c r="P1321" s="36"/>
      <c r="Q1321" s="36"/>
      <c r="R1321" s="36"/>
      <c r="S1321" s="36"/>
      <c r="T1321" s="36"/>
      <c r="U1321" s="36"/>
      <c r="V1321" s="36"/>
      <c r="W1321" s="36"/>
      <c r="X1321" s="36"/>
      <c r="Y1321" s="36"/>
      <c r="Z1321" s="36"/>
      <c r="AA1321" s="36"/>
      <c r="AB1321" s="36"/>
      <c r="AC1321" s="36"/>
    </row>
    <row r="1322" ht="15.75" customHeight="1">
      <c r="A1322" s="423">
        <v>43396.0</v>
      </c>
      <c r="B1322" s="424">
        <v>13.4408</v>
      </c>
      <c r="C1322" s="425">
        <v>17.0918</v>
      </c>
      <c r="D1322" s="426">
        <v>18.9807</v>
      </c>
      <c r="E1322" s="425">
        <v>13.6237</v>
      </c>
      <c r="F1322" s="425">
        <v>15.7913</v>
      </c>
      <c r="G1322" s="425">
        <v>13.3892</v>
      </c>
      <c r="H1322" s="426">
        <v>28.6399</v>
      </c>
      <c r="I1322" s="426">
        <v>20.6988</v>
      </c>
      <c r="J1322" s="425">
        <v>19.9515</v>
      </c>
      <c r="K1322" s="182">
        <v>10146.8</v>
      </c>
      <c r="L1322" s="36"/>
      <c r="M1322" s="36"/>
      <c r="N1322" s="36"/>
      <c r="O1322" s="36"/>
      <c r="P1322" s="36"/>
      <c r="Q1322" s="36"/>
      <c r="R1322" s="36"/>
      <c r="S1322" s="36"/>
      <c r="T1322" s="36"/>
      <c r="U1322" s="36"/>
      <c r="V1322" s="36"/>
      <c r="W1322" s="36"/>
      <c r="X1322" s="36"/>
      <c r="Y1322" s="36"/>
      <c r="Z1322" s="36"/>
      <c r="AA1322" s="36"/>
      <c r="AB1322" s="36"/>
      <c r="AC1322" s="36"/>
    </row>
    <row r="1323" ht="15.75" customHeight="1">
      <c r="A1323" s="423">
        <v>43396.0</v>
      </c>
      <c r="B1323" s="424">
        <v>13.4408</v>
      </c>
      <c r="C1323" s="425">
        <v>17.0923</v>
      </c>
      <c r="D1323" s="426">
        <v>18.9966</v>
      </c>
      <c r="E1323" s="425">
        <v>13.6237</v>
      </c>
      <c r="F1323" s="425">
        <v>15.7913</v>
      </c>
      <c r="G1323" s="425">
        <v>13.3892</v>
      </c>
      <c r="H1323" s="426">
        <v>28.5971</v>
      </c>
      <c r="I1323" s="426">
        <v>20.721</v>
      </c>
      <c r="J1323" s="425">
        <v>19.8913</v>
      </c>
      <c r="K1323" s="182">
        <v>10146.8</v>
      </c>
      <c r="L1323" s="36"/>
      <c r="M1323" s="36"/>
      <c r="N1323" s="36"/>
      <c r="O1323" s="36"/>
      <c r="P1323" s="36"/>
      <c r="Q1323" s="36"/>
      <c r="R1323" s="36"/>
      <c r="S1323" s="36"/>
      <c r="T1323" s="36"/>
      <c r="U1323" s="36"/>
      <c r="V1323" s="36"/>
      <c r="W1323" s="36"/>
      <c r="X1323" s="36"/>
      <c r="Y1323" s="36"/>
      <c r="Z1323" s="36"/>
      <c r="AA1323" s="36"/>
      <c r="AB1323" s="36"/>
      <c r="AC1323" s="36"/>
    </row>
    <row r="1324" ht="15.75" customHeight="1">
      <c r="A1324" s="423">
        <v>43396.0</v>
      </c>
      <c r="B1324" s="424">
        <v>13.4408</v>
      </c>
      <c r="C1324" s="425">
        <v>17.0923</v>
      </c>
      <c r="D1324" s="426">
        <v>18.9917</v>
      </c>
      <c r="E1324" s="425">
        <v>13.6237</v>
      </c>
      <c r="F1324" s="425">
        <v>15.7913</v>
      </c>
      <c r="G1324" s="425">
        <v>13.3892</v>
      </c>
      <c r="H1324" s="426">
        <v>28.6209</v>
      </c>
      <c r="I1324" s="426">
        <v>20.7544</v>
      </c>
      <c r="J1324" s="425">
        <v>19.8913</v>
      </c>
      <c r="K1324" s="182">
        <v>10146.8</v>
      </c>
      <c r="L1324" s="36"/>
      <c r="M1324" s="36"/>
      <c r="N1324" s="36"/>
      <c r="O1324" s="36"/>
      <c r="P1324" s="36"/>
      <c r="Q1324" s="36"/>
      <c r="R1324" s="36"/>
      <c r="S1324" s="36"/>
      <c r="T1324" s="36"/>
      <c r="U1324" s="36"/>
      <c r="V1324" s="36"/>
      <c r="W1324" s="36"/>
      <c r="X1324" s="36"/>
      <c r="Y1324" s="36"/>
      <c r="Z1324" s="36"/>
      <c r="AA1324" s="36"/>
      <c r="AB1324" s="36"/>
      <c r="AC1324" s="36"/>
    </row>
    <row r="1325" ht="15.75" customHeight="1">
      <c r="A1325" s="423">
        <v>43397.0</v>
      </c>
      <c r="B1325" s="424">
        <v>13.5055</v>
      </c>
      <c r="C1325" s="425">
        <v>17.1096</v>
      </c>
      <c r="D1325" s="426">
        <v>18.9876</v>
      </c>
      <c r="E1325" s="425">
        <v>13.6405</v>
      </c>
      <c r="F1325" s="425">
        <v>15.8572</v>
      </c>
      <c r="G1325" s="425">
        <v>13.3951</v>
      </c>
      <c r="H1325" s="426">
        <v>29.3881</v>
      </c>
      <c r="I1325" s="426">
        <v>21.1571</v>
      </c>
      <c r="J1325" s="425">
        <v>19.8706</v>
      </c>
      <c r="K1325" s="182">
        <v>10224.75</v>
      </c>
      <c r="L1325" s="36"/>
      <c r="M1325" s="36"/>
      <c r="N1325" s="36"/>
      <c r="O1325" s="36"/>
      <c r="P1325" s="36"/>
      <c r="Q1325" s="36"/>
      <c r="R1325" s="36"/>
      <c r="S1325" s="36"/>
      <c r="T1325" s="36"/>
      <c r="U1325" s="36"/>
      <c r="V1325" s="36"/>
      <c r="W1325" s="36"/>
      <c r="X1325" s="36"/>
      <c r="Y1325" s="36"/>
      <c r="Z1325" s="36"/>
      <c r="AA1325" s="36"/>
      <c r="AB1325" s="36"/>
      <c r="AC1325" s="36"/>
    </row>
    <row r="1326" ht="15.75" customHeight="1">
      <c r="A1326" s="423">
        <v>43397.0</v>
      </c>
      <c r="B1326" s="424">
        <v>13.5055</v>
      </c>
      <c r="C1326" s="425">
        <v>17.1096</v>
      </c>
      <c r="D1326" s="426">
        <v>18.9854</v>
      </c>
      <c r="E1326" s="425">
        <v>13.6405</v>
      </c>
      <c r="F1326" s="425">
        <v>15.8572</v>
      </c>
      <c r="G1326" s="425">
        <v>13.3951</v>
      </c>
      <c r="H1326" s="426">
        <v>29.2653</v>
      </c>
      <c r="I1326" s="426">
        <v>20.9852</v>
      </c>
      <c r="J1326" s="425">
        <v>19.8706</v>
      </c>
      <c r="K1326" s="182">
        <v>10224.75</v>
      </c>
      <c r="L1326" s="36"/>
      <c r="M1326" s="36"/>
      <c r="N1326" s="36"/>
      <c r="O1326" s="36"/>
      <c r="P1326" s="36"/>
      <c r="Q1326" s="36"/>
      <c r="R1326" s="36"/>
      <c r="S1326" s="36"/>
      <c r="T1326" s="36"/>
      <c r="U1326" s="36"/>
      <c r="V1326" s="36"/>
      <c r="W1326" s="36"/>
      <c r="X1326" s="36"/>
      <c r="Y1326" s="36"/>
      <c r="Z1326" s="36"/>
      <c r="AA1326" s="36"/>
      <c r="AB1326" s="36"/>
      <c r="AC1326" s="36"/>
    </row>
    <row r="1327" ht="15.75" customHeight="1">
      <c r="A1327" s="423">
        <v>43397.0</v>
      </c>
      <c r="B1327" s="424">
        <v>13.5055</v>
      </c>
      <c r="C1327" s="425">
        <v>17.1063</v>
      </c>
      <c r="D1327" s="426">
        <v>18.9792</v>
      </c>
      <c r="E1327" s="425">
        <v>13.6405</v>
      </c>
      <c r="F1327" s="425">
        <v>15.8572</v>
      </c>
      <c r="G1327" s="425">
        <v>13.3951</v>
      </c>
      <c r="H1327" s="426">
        <v>29.2024</v>
      </c>
      <c r="I1327" s="426">
        <v>21.045</v>
      </c>
      <c r="J1327" s="425">
        <v>19.8791</v>
      </c>
      <c r="K1327" s="182">
        <v>10224.75</v>
      </c>
      <c r="L1327" s="36"/>
      <c r="M1327" s="36"/>
      <c r="N1327" s="36"/>
      <c r="O1327" s="36"/>
      <c r="P1327" s="36"/>
      <c r="Q1327" s="36"/>
      <c r="R1327" s="36"/>
      <c r="S1327" s="36"/>
      <c r="T1327" s="36"/>
      <c r="U1327" s="36"/>
      <c r="V1327" s="36"/>
      <c r="W1327" s="36"/>
      <c r="X1327" s="36"/>
      <c r="Y1327" s="36"/>
      <c r="Z1327" s="36"/>
      <c r="AA1327" s="36"/>
      <c r="AB1327" s="36"/>
      <c r="AC1327" s="36"/>
    </row>
    <row r="1328" ht="15.75" customHeight="1">
      <c r="A1328" s="423">
        <v>43397.0</v>
      </c>
      <c r="B1328" s="424">
        <v>13.5055</v>
      </c>
      <c r="C1328" s="425">
        <v>17.1063</v>
      </c>
      <c r="D1328" s="426">
        <v>18.9868</v>
      </c>
      <c r="E1328" s="425">
        <v>13.6405</v>
      </c>
      <c r="F1328" s="425">
        <v>15.8572</v>
      </c>
      <c r="G1328" s="425">
        <v>13.3951</v>
      </c>
      <c r="H1328" s="426">
        <v>28.9321</v>
      </c>
      <c r="I1328" s="426">
        <v>20.9511</v>
      </c>
      <c r="J1328" s="425">
        <v>19.8791</v>
      </c>
      <c r="K1328" s="182">
        <v>10224.75</v>
      </c>
      <c r="L1328" s="36"/>
      <c r="M1328" s="36"/>
      <c r="N1328" s="36"/>
      <c r="O1328" s="36"/>
      <c r="P1328" s="36"/>
      <c r="Q1328" s="36"/>
      <c r="R1328" s="36"/>
      <c r="S1328" s="36"/>
      <c r="T1328" s="36"/>
      <c r="U1328" s="36"/>
      <c r="V1328" s="36"/>
      <c r="W1328" s="36"/>
      <c r="X1328" s="36"/>
      <c r="Y1328" s="36"/>
      <c r="Z1328" s="36"/>
      <c r="AA1328" s="36"/>
      <c r="AB1328" s="36"/>
      <c r="AC1328" s="36"/>
    </row>
    <row r="1329" ht="15.75" customHeight="1">
      <c r="A1329" s="423">
        <v>43398.0</v>
      </c>
      <c r="B1329" s="424">
        <v>13.4129</v>
      </c>
      <c r="C1329" s="425">
        <v>17.096</v>
      </c>
      <c r="D1329" s="426">
        <v>18.9825</v>
      </c>
      <c r="E1329" s="425">
        <v>13.6443</v>
      </c>
      <c r="F1329" s="425">
        <v>15.761</v>
      </c>
      <c r="G1329" s="425">
        <v>13.396</v>
      </c>
      <c r="H1329" s="426">
        <v>29.2489</v>
      </c>
      <c r="I1329" s="426">
        <v>21.0492</v>
      </c>
      <c r="J1329" s="425">
        <v>19.6381</v>
      </c>
      <c r="K1329" s="182">
        <v>10124.9</v>
      </c>
      <c r="L1329" s="36"/>
      <c r="M1329" s="36"/>
      <c r="N1329" s="36"/>
      <c r="O1329" s="36"/>
      <c r="P1329" s="36"/>
      <c r="Q1329" s="36"/>
      <c r="R1329" s="36"/>
      <c r="S1329" s="36"/>
      <c r="T1329" s="36"/>
      <c r="U1329" s="36"/>
      <c r="V1329" s="36"/>
      <c r="W1329" s="36"/>
      <c r="X1329" s="36"/>
      <c r="Y1329" s="36"/>
      <c r="Z1329" s="36"/>
      <c r="AA1329" s="36"/>
      <c r="AB1329" s="36"/>
      <c r="AC1329" s="36"/>
    </row>
    <row r="1330" ht="15.75" customHeight="1">
      <c r="A1330" s="423">
        <v>43398.0</v>
      </c>
      <c r="B1330" s="424">
        <v>13.4129</v>
      </c>
      <c r="C1330" s="425">
        <v>17.096</v>
      </c>
      <c r="D1330" s="426">
        <v>19.0011</v>
      </c>
      <c r="E1330" s="425">
        <v>13.6443</v>
      </c>
      <c r="F1330" s="425">
        <v>15.761</v>
      </c>
      <c r="G1330" s="425">
        <v>13.396</v>
      </c>
      <c r="H1330" s="426">
        <v>29.511</v>
      </c>
      <c r="I1330" s="426">
        <v>21.2056</v>
      </c>
      <c r="J1330" s="425">
        <v>19.6381</v>
      </c>
      <c r="K1330" s="182">
        <v>10124.9</v>
      </c>
      <c r="L1330" s="36"/>
      <c r="M1330" s="36"/>
      <c r="N1330" s="36"/>
      <c r="O1330" s="36"/>
      <c r="P1330" s="36"/>
      <c r="Q1330" s="36"/>
      <c r="R1330" s="36"/>
      <c r="S1330" s="36"/>
      <c r="T1330" s="36"/>
      <c r="U1330" s="36"/>
      <c r="V1330" s="36"/>
      <c r="W1330" s="36"/>
      <c r="X1330" s="36"/>
      <c r="Y1330" s="36"/>
      <c r="Z1330" s="36"/>
      <c r="AA1330" s="36"/>
      <c r="AB1330" s="36"/>
      <c r="AC1330" s="36"/>
    </row>
    <row r="1331" ht="15.75" customHeight="1">
      <c r="A1331" s="423">
        <v>43398.0</v>
      </c>
      <c r="B1331" s="424">
        <v>13.4129</v>
      </c>
      <c r="C1331" s="425">
        <v>17.1038</v>
      </c>
      <c r="D1331" s="426">
        <v>19.0004</v>
      </c>
      <c r="E1331" s="425">
        <v>13.6443</v>
      </c>
      <c r="F1331" s="425">
        <v>15.761</v>
      </c>
      <c r="G1331" s="425">
        <v>13.396</v>
      </c>
      <c r="H1331" s="426">
        <v>29.4206</v>
      </c>
      <c r="I1331" s="426">
        <v>21.2162</v>
      </c>
      <c r="J1331" s="425">
        <v>19.7388</v>
      </c>
      <c r="K1331" s="182">
        <v>10124.9</v>
      </c>
      <c r="L1331" s="36"/>
      <c r="M1331" s="36"/>
      <c r="N1331" s="36"/>
      <c r="O1331" s="36"/>
      <c r="P1331" s="36"/>
      <c r="Q1331" s="36"/>
      <c r="R1331" s="36"/>
      <c r="S1331" s="36"/>
      <c r="T1331" s="36"/>
      <c r="U1331" s="36"/>
      <c r="V1331" s="36"/>
      <c r="W1331" s="36"/>
      <c r="X1331" s="36"/>
      <c r="Y1331" s="36"/>
      <c r="Z1331" s="36"/>
      <c r="AA1331" s="36"/>
      <c r="AB1331" s="36"/>
      <c r="AC1331" s="36"/>
    </row>
    <row r="1332" ht="15.75" customHeight="1">
      <c r="A1332" s="423">
        <v>43398.0</v>
      </c>
      <c r="B1332" s="424">
        <v>13.4129</v>
      </c>
      <c r="C1332" s="425">
        <v>17.1038</v>
      </c>
      <c r="D1332" s="426">
        <v>18.9956</v>
      </c>
      <c r="E1332" s="425">
        <v>13.6443</v>
      </c>
      <c r="F1332" s="425">
        <v>15.761</v>
      </c>
      <c r="G1332" s="425">
        <v>13.396</v>
      </c>
      <c r="H1332" s="426">
        <v>29.4144</v>
      </c>
      <c r="I1332" s="426">
        <v>21.1425</v>
      </c>
      <c r="J1332" s="425">
        <v>19.7388</v>
      </c>
      <c r="K1332" s="182">
        <v>10124.9</v>
      </c>
      <c r="L1332" s="36"/>
      <c r="M1332" s="36"/>
      <c r="N1332" s="36"/>
      <c r="O1332" s="36"/>
      <c r="P1332" s="36"/>
      <c r="Q1332" s="36"/>
      <c r="R1332" s="36"/>
      <c r="S1332" s="36"/>
      <c r="T1332" s="36"/>
      <c r="U1332" s="36"/>
      <c r="V1332" s="36"/>
      <c r="W1332" s="36"/>
      <c r="X1332" s="36"/>
      <c r="Y1332" s="36"/>
      <c r="Z1332" s="36"/>
      <c r="AA1332" s="36"/>
      <c r="AB1332" s="36"/>
      <c r="AC1332" s="36"/>
    </row>
    <row r="1333" ht="15.75" customHeight="1">
      <c r="A1333" s="423">
        <v>43399.0</v>
      </c>
      <c r="B1333" s="424">
        <v>13.3032</v>
      </c>
      <c r="C1333" s="425">
        <v>17.1025</v>
      </c>
      <c r="D1333" s="426">
        <v>18.9881</v>
      </c>
      <c r="E1333" s="425">
        <v>13.6415</v>
      </c>
      <c r="F1333" s="425">
        <v>15.6396</v>
      </c>
      <c r="G1333" s="425">
        <v>13.3956</v>
      </c>
      <c r="H1333" s="426">
        <v>29.2604</v>
      </c>
      <c r="I1333" s="426">
        <v>20.8927</v>
      </c>
      <c r="J1333" s="425">
        <v>19.7906</v>
      </c>
      <c r="K1333" s="182">
        <v>10030.0</v>
      </c>
      <c r="L1333" s="36"/>
      <c r="M1333" s="36"/>
      <c r="N1333" s="36"/>
      <c r="O1333" s="36"/>
      <c r="P1333" s="36"/>
      <c r="Q1333" s="36"/>
      <c r="R1333" s="36"/>
      <c r="S1333" s="36"/>
      <c r="T1333" s="36"/>
      <c r="U1333" s="36"/>
      <c r="V1333" s="36"/>
      <c r="W1333" s="36"/>
      <c r="X1333" s="36"/>
      <c r="Y1333" s="36"/>
      <c r="Z1333" s="36"/>
      <c r="AA1333" s="36"/>
      <c r="AB1333" s="36"/>
      <c r="AC1333" s="36"/>
    </row>
    <row r="1334" ht="15.75" customHeight="1">
      <c r="A1334" s="423">
        <v>43399.0</v>
      </c>
      <c r="B1334" s="424">
        <v>13.3032</v>
      </c>
      <c r="C1334" s="425">
        <v>17.1025</v>
      </c>
      <c r="D1334" s="426">
        <v>18.9851</v>
      </c>
      <c r="E1334" s="425">
        <v>13.6415</v>
      </c>
      <c r="F1334" s="425">
        <v>15.6396</v>
      </c>
      <c r="G1334" s="425">
        <v>13.3956</v>
      </c>
      <c r="H1334" s="426">
        <v>29.334</v>
      </c>
      <c r="I1334" s="426">
        <v>21.0261</v>
      </c>
      <c r="J1334" s="425">
        <v>19.7906</v>
      </c>
      <c r="K1334" s="182">
        <v>10030.0</v>
      </c>
      <c r="L1334" s="36"/>
      <c r="M1334" s="36"/>
      <c r="N1334" s="36"/>
      <c r="O1334" s="36"/>
      <c r="P1334" s="36"/>
      <c r="Q1334" s="36"/>
      <c r="R1334" s="36"/>
      <c r="S1334" s="36"/>
      <c r="T1334" s="36"/>
      <c r="U1334" s="36"/>
      <c r="V1334" s="36"/>
      <c r="W1334" s="36"/>
      <c r="X1334" s="36"/>
      <c r="Y1334" s="36"/>
      <c r="Z1334" s="36"/>
      <c r="AA1334" s="36"/>
      <c r="AB1334" s="36"/>
      <c r="AC1334" s="36"/>
    </row>
    <row r="1335" ht="15.75" customHeight="1">
      <c r="A1335" s="423">
        <v>43399.0</v>
      </c>
      <c r="B1335" s="424">
        <v>13.3032</v>
      </c>
      <c r="C1335" s="425">
        <v>17.0993</v>
      </c>
      <c r="D1335" s="426">
        <v>18.9907</v>
      </c>
      <c r="E1335" s="425">
        <v>13.6415</v>
      </c>
      <c r="F1335" s="425">
        <v>15.6396</v>
      </c>
      <c r="G1335" s="425">
        <v>13.3956</v>
      </c>
      <c r="H1335" s="426">
        <v>29.2905</v>
      </c>
      <c r="I1335" s="426">
        <v>20.9736</v>
      </c>
      <c r="J1335" s="425">
        <v>19.79</v>
      </c>
      <c r="K1335" s="182">
        <v>10030.0</v>
      </c>
      <c r="L1335" s="36"/>
      <c r="M1335" s="36"/>
      <c r="N1335" s="36"/>
      <c r="O1335" s="36"/>
      <c r="P1335" s="36"/>
      <c r="Q1335" s="36"/>
      <c r="R1335" s="36"/>
      <c r="S1335" s="36"/>
      <c r="T1335" s="36"/>
      <c r="U1335" s="36"/>
      <c r="V1335" s="36"/>
      <c r="W1335" s="36"/>
      <c r="X1335" s="36"/>
      <c r="Y1335" s="36"/>
      <c r="Z1335" s="36"/>
      <c r="AA1335" s="36"/>
      <c r="AB1335" s="36"/>
      <c r="AC1335" s="36"/>
    </row>
    <row r="1336" ht="15.75" customHeight="1">
      <c r="A1336" s="423">
        <v>43399.0</v>
      </c>
      <c r="B1336" s="424">
        <v>13.3032</v>
      </c>
      <c r="C1336" s="425">
        <v>17.0993</v>
      </c>
      <c r="D1336" s="426">
        <v>18.9886</v>
      </c>
      <c r="E1336" s="425">
        <v>13.6415</v>
      </c>
      <c r="F1336" s="425">
        <v>15.6396</v>
      </c>
      <c r="G1336" s="425">
        <v>13.3956</v>
      </c>
      <c r="H1336" s="426">
        <v>29.0895</v>
      </c>
      <c r="I1336" s="426">
        <v>20.9378</v>
      </c>
      <c r="J1336" s="425">
        <v>19.79</v>
      </c>
      <c r="K1336" s="182">
        <v>10030.0</v>
      </c>
      <c r="L1336" s="36"/>
      <c r="M1336" s="36"/>
      <c r="N1336" s="36"/>
      <c r="O1336" s="36"/>
      <c r="P1336" s="36"/>
      <c r="Q1336" s="36"/>
      <c r="R1336" s="36"/>
      <c r="S1336" s="36"/>
      <c r="T1336" s="36"/>
      <c r="U1336" s="36"/>
      <c r="V1336" s="36"/>
      <c r="W1336" s="36"/>
      <c r="X1336" s="36"/>
      <c r="Y1336" s="36"/>
      <c r="Z1336" s="36"/>
      <c r="AA1336" s="36"/>
      <c r="AB1336" s="36"/>
      <c r="AC1336" s="36"/>
    </row>
    <row r="1337" ht="15.75" customHeight="1">
      <c r="A1337" s="423">
        <v>43402.0</v>
      </c>
      <c r="B1337" s="424">
        <v>13.5193</v>
      </c>
      <c r="C1337" s="425">
        <v>17.119</v>
      </c>
      <c r="D1337" s="426">
        <v>18.9398</v>
      </c>
      <c r="E1337" s="425">
        <v>13.6764</v>
      </c>
      <c r="F1337" s="425">
        <v>15.9061</v>
      </c>
      <c r="G1337" s="425">
        <v>13.4093</v>
      </c>
      <c r="H1337" s="426">
        <v>29.4057</v>
      </c>
      <c r="I1337" s="426">
        <v>21.0292</v>
      </c>
      <c r="J1337" s="425">
        <v>19.7917</v>
      </c>
      <c r="K1337" s="182">
        <v>10250.85</v>
      </c>
      <c r="L1337" s="36"/>
      <c r="M1337" s="36"/>
      <c r="N1337" s="36"/>
      <c r="O1337" s="36"/>
      <c r="P1337" s="36"/>
      <c r="Q1337" s="36"/>
      <c r="R1337" s="36"/>
      <c r="S1337" s="36"/>
      <c r="T1337" s="36"/>
      <c r="U1337" s="36"/>
      <c r="V1337" s="36"/>
      <c r="W1337" s="36"/>
      <c r="X1337" s="36"/>
      <c r="Y1337" s="36"/>
      <c r="Z1337" s="36"/>
      <c r="AA1337" s="36"/>
      <c r="AB1337" s="36"/>
      <c r="AC1337" s="36"/>
    </row>
    <row r="1338" ht="15.75" customHeight="1">
      <c r="A1338" s="423">
        <v>43402.0</v>
      </c>
      <c r="B1338" s="424">
        <v>13.5193</v>
      </c>
      <c r="C1338" s="425">
        <v>17.119</v>
      </c>
      <c r="D1338" s="426">
        <v>18.9179</v>
      </c>
      <c r="E1338" s="425">
        <v>13.6764</v>
      </c>
      <c r="F1338" s="425">
        <v>15.9061</v>
      </c>
      <c r="G1338" s="425">
        <v>13.4093</v>
      </c>
      <c r="H1338" s="426">
        <v>29.2165</v>
      </c>
      <c r="I1338" s="426">
        <v>20.8782</v>
      </c>
      <c r="J1338" s="425">
        <v>19.7917</v>
      </c>
      <c r="K1338" s="182">
        <v>10250.85</v>
      </c>
      <c r="L1338" s="36"/>
      <c r="M1338" s="36"/>
      <c r="N1338" s="36"/>
      <c r="O1338" s="36"/>
      <c r="P1338" s="36"/>
      <c r="Q1338" s="36"/>
      <c r="R1338" s="36"/>
      <c r="S1338" s="36"/>
      <c r="T1338" s="36"/>
      <c r="U1338" s="36"/>
      <c r="V1338" s="36"/>
      <c r="W1338" s="36"/>
      <c r="X1338" s="36"/>
      <c r="Y1338" s="36"/>
      <c r="Z1338" s="36"/>
      <c r="AA1338" s="36"/>
      <c r="AB1338" s="36"/>
      <c r="AC1338" s="36"/>
    </row>
    <row r="1339" ht="15.75" customHeight="1">
      <c r="A1339" s="423">
        <v>43402.0</v>
      </c>
      <c r="B1339" s="424">
        <v>13.5193</v>
      </c>
      <c r="C1339" s="425">
        <v>17.1148</v>
      </c>
      <c r="D1339" s="426">
        <v>18.9491</v>
      </c>
      <c r="E1339" s="425">
        <v>13.6764</v>
      </c>
      <c r="F1339" s="425">
        <v>15.9061</v>
      </c>
      <c r="G1339" s="425">
        <v>13.4093</v>
      </c>
      <c r="H1339" s="426">
        <v>28.9688</v>
      </c>
      <c r="I1339" s="426">
        <v>20.7194</v>
      </c>
      <c r="J1339" s="425">
        <v>19.7264</v>
      </c>
      <c r="K1339" s="182">
        <v>10250.85</v>
      </c>
      <c r="L1339" s="36"/>
      <c r="M1339" s="36"/>
      <c r="N1339" s="36"/>
      <c r="O1339" s="36"/>
      <c r="P1339" s="36"/>
      <c r="Q1339" s="36"/>
      <c r="R1339" s="36"/>
      <c r="S1339" s="36"/>
      <c r="T1339" s="36"/>
      <c r="U1339" s="36"/>
      <c r="V1339" s="36"/>
      <c r="W1339" s="36"/>
      <c r="X1339" s="36"/>
      <c r="Y1339" s="36"/>
      <c r="Z1339" s="36"/>
      <c r="AA1339" s="36"/>
      <c r="AB1339" s="36"/>
      <c r="AC1339" s="36"/>
    </row>
    <row r="1340" ht="15.75" customHeight="1">
      <c r="A1340" s="423">
        <v>43402.0</v>
      </c>
      <c r="B1340" s="424">
        <v>13.5193</v>
      </c>
      <c r="C1340" s="425">
        <v>17.1148</v>
      </c>
      <c r="D1340" s="426">
        <v>18.9325</v>
      </c>
      <c r="E1340" s="425">
        <v>13.6764</v>
      </c>
      <c r="F1340" s="425">
        <v>15.9061</v>
      </c>
      <c r="G1340" s="425">
        <v>13.4093</v>
      </c>
      <c r="H1340" s="426">
        <v>29.1728</v>
      </c>
      <c r="I1340" s="426">
        <v>20.8235</v>
      </c>
      <c r="J1340" s="425">
        <v>19.7264</v>
      </c>
      <c r="K1340" s="182">
        <v>10250.85</v>
      </c>
      <c r="L1340" s="36"/>
      <c r="M1340" s="36"/>
      <c r="N1340" s="36"/>
      <c r="O1340" s="36"/>
      <c r="P1340" s="36"/>
      <c r="Q1340" s="36"/>
      <c r="R1340" s="36"/>
      <c r="S1340" s="36"/>
      <c r="T1340" s="36"/>
      <c r="U1340" s="36"/>
      <c r="V1340" s="36"/>
      <c r="W1340" s="36"/>
      <c r="X1340" s="36"/>
      <c r="Y1340" s="36"/>
      <c r="Z1340" s="36"/>
      <c r="AA1340" s="36"/>
      <c r="AB1340" s="36"/>
      <c r="AC1340" s="36"/>
    </row>
    <row r="1341" ht="15.75" customHeight="1">
      <c r="A1341" s="423">
        <v>43403.0</v>
      </c>
      <c r="B1341" s="424">
        <v>13.4695</v>
      </c>
      <c r="C1341" s="425">
        <v>17.1395</v>
      </c>
      <c r="D1341" s="426">
        <v>18.9529</v>
      </c>
      <c r="E1341" s="425">
        <v>13.6719</v>
      </c>
      <c r="F1341" s="425">
        <v>15.8618</v>
      </c>
      <c r="G1341" s="425">
        <v>13.4041</v>
      </c>
      <c r="H1341" s="426">
        <v>29.5887</v>
      </c>
      <c r="I1341" s="426">
        <v>21.1589</v>
      </c>
      <c r="J1341" s="425">
        <v>19.8483</v>
      </c>
      <c r="K1341" s="182">
        <v>10198.4</v>
      </c>
      <c r="L1341" s="36"/>
      <c r="M1341" s="36"/>
      <c r="N1341" s="36"/>
      <c r="O1341" s="36"/>
      <c r="P1341" s="36"/>
      <c r="Q1341" s="36"/>
      <c r="R1341" s="36"/>
      <c r="S1341" s="36"/>
      <c r="T1341" s="36"/>
      <c r="U1341" s="36"/>
      <c r="V1341" s="36"/>
      <c r="W1341" s="36"/>
      <c r="X1341" s="36"/>
      <c r="Y1341" s="36"/>
      <c r="Z1341" s="36"/>
      <c r="AA1341" s="36"/>
      <c r="AB1341" s="36"/>
      <c r="AC1341" s="36"/>
    </row>
    <row r="1342" ht="15.75" customHeight="1">
      <c r="A1342" s="423">
        <v>43403.0</v>
      </c>
      <c r="B1342" s="424">
        <v>13.4695</v>
      </c>
      <c r="C1342" s="425">
        <v>17.1395</v>
      </c>
      <c r="D1342" s="426">
        <v>18.976</v>
      </c>
      <c r="E1342" s="425">
        <v>13.6719</v>
      </c>
      <c r="F1342" s="425">
        <v>15.8618</v>
      </c>
      <c r="G1342" s="425">
        <v>13.4041</v>
      </c>
      <c r="H1342" s="426">
        <v>29.5184</v>
      </c>
      <c r="I1342" s="426">
        <v>21.1163</v>
      </c>
      <c r="J1342" s="425">
        <v>19.8483</v>
      </c>
      <c r="K1342" s="182">
        <v>10198.4</v>
      </c>
      <c r="L1342" s="36"/>
      <c r="M1342" s="36"/>
      <c r="N1342" s="36"/>
      <c r="O1342" s="36"/>
      <c r="P1342" s="36"/>
      <c r="Q1342" s="36"/>
      <c r="R1342" s="36"/>
      <c r="S1342" s="36"/>
      <c r="T1342" s="36"/>
      <c r="U1342" s="36"/>
      <c r="V1342" s="36"/>
      <c r="W1342" s="36"/>
      <c r="X1342" s="36"/>
      <c r="Y1342" s="36"/>
      <c r="Z1342" s="36"/>
      <c r="AA1342" s="36"/>
      <c r="AB1342" s="36"/>
      <c r="AC1342" s="36"/>
    </row>
    <row r="1343" ht="15.75" customHeight="1">
      <c r="A1343" s="423">
        <v>43403.0</v>
      </c>
      <c r="B1343" s="424">
        <v>13.4695</v>
      </c>
      <c r="C1343" s="425">
        <v>17.1346</v>
      </c>
      <c r="D1343" s="426">
        <v>19.0135</v>
      </c>
      <c r="E1343" s="425">
        <v>13.6719</v>
      </c>
      <c r="F1343" s="425">
        <v>15.8618</v>
      </c>
      <c r="G1343" s="425">
        <v>13.4041</v>
      </c>
      <c r="H1343" s="426">
        <v>29.5349</v>
      </c>
      <c r="I1343" s="426">
        <v>21.0961</v>
      </c>
      <c r="J1343" s="425">
        <v>19.8598</v>
      </c>
      <c r="K1343" s="182">
        <v>10198.4</v>
      </c>
      <c r="L1343" s="36"/>
      <c r="M1343" s="36"/>
      <c r="N1343" s="36"/>
      <c r="O1343" s="36"/>
      <c r="P1343" s="36"/>
      <c r="Q1343" s="36"/>
      <c r="R1343" s="36"/>
      <c r="S1343" s="36"/>
      <c r="T1343" s="36"/>
      <c r="U1343" s="36"/>
      <c r="V1343" s="36"/>
      <c r="W1343" s="36"/>
      <c r="X1343" s="36"/>
      <c r="Y1343" s="36"/>
      <c r="Z1343" s="36"/>
      <c r="AA1343" s="36"/>
      <c r="AB1343" s="36"/>
      <c r="AC1343" s="36"/>
    </row>
    <row r="1344" ht="15.75" customHeight="1">
      <c r="A1344" s="423">
        <v>43403.0</v>
      </c>
      <c r="B1344" s="424">
        <v>13.4695</v>
      </c>
      <c r="C1344" s="425">
        <v>17.1346</v>
      </c>
      <c r="D1344" s="426">
        <v>19.0153</v>
      </c>
      <c r="E1344" s="425">
        <v>13.6719</v>
      </c>
      <c r="F1344" s="425">
        <v>15.8618</v>
      </c>
      <c r="G1344" s="425">
        <v>13.4041</v>
      </c>
      <c r="H1344" s="426">
        <v>29.4632</v>
      </c>
      <c r="I1344" s="426">
        <v>21.0548</v>
      </c>
      <c r="J1344" s="425">
        <v>19.8598</v>
      </c>
      <c r="K1344" s="182">
        <v>10198.4</v>
      </c>
      <c r="L1344" s="36"/>
      <c r="M1344" s="36"/>
      <c r="N1344" s="36"/>
      <c r="O1344" s="36"/>
      <c r="P1344" s="36"/>
      <c r="Q1344" s="36"/>
      <c r="R1344" s="36"/>
      <c r="S1344" s="36"/>
      <c r="T1344" s="36"/>
      <c r="U1344" s="36"/>
      <c r="V1344" s="36"/>
      <c r="W1344" s="36"/>
      <c r="X1344" s="36"/>
      <c r="Y1344" s="36"/>
      <c r="Z1344" s="36"/>
      <c r="AA1344" s="36"/>
      <c r="AB1344" s="36"/>
      <c r="AC1344" s="36"/>
    </row>
    <row r="1345" ht="15.75" customHeight="1">
      <c r="A1345" s="423">
        <v>43404.0</v>
      </c>
      <c r="B1345" s="424">
        <v>13.6195</v>
      </c>
      <c r="C1345" s="425">
        <v>17.1537</v>
      </c>
      <c r="D1345" s="426">
        <v>18.9551</v>
      </c>
      <c r="E1345" s="425">
        <v>13.6716</v>
      </c>
      <c r="F1345" s="425">
        <v>16.035</v>
      </c>
      <c r="G1345" s="425">
        <v>13.41</v>
      </c>
      <c r="H1345" s="426">
        <v>29.8225</v>
      </c>
      <c r="I1345" s="426">
        <v>21.2027</v>
      </c>
      <c r="J1345" s="425">
        <v>20.0005</v>
      </c>
      <c r="K1345" s="182">
        <v>10386.6</v>
      </c>
      <c r="L1345" s="36"/>
      <c r="M1345" s="36"/>
      <c r="N1345" s="36"/>
      <c r="O1345" s="36"/>
      <c r="P1345" s="36"/>
      <c r="Q1345" s="36"/>
      <c r="R1345" s="36"/>
      <c r="S1345" s="36"/>
      <c r="T1345" s="36"/>
      <c r="U1345" s="36"/>
      <c r="V1345" s="36"/>
      <c r="W1345" s="36"/>
      <c r="X1345" s="36"/>
      <c r="Y1345" s="36"/>
      <c r="Z1345" s="36"/>
      <c r="AA1345" s="36"/>
      <c r="AB1345" s="36"/>
      <c r="AC1345" s="36"/>
    </row>
    <row r="1346" ht="15.75" customHeight="1">
      <c r="A1346" s="423">
        <v>43404.0</v>
      </c>
      <c r="B1346" s="424">
        <v>13.6195</v>
      </c>
      <c r="C1346" s="425">
        <v>17.1537</v>
      </c>
      <c r="D1346" s="426">
        <v>18.9515</v>
      </c>
      <c r="E1346" s="425">
        <v>13.6716</v>
      </c>
      <c r="F1346" s="425">
        <v>16.035</v>
      </c>
      <c r="G1346" s="425">
        <v>13.41</v>
      </c>
      <c r="H1346" s="426">
        <v>29.8567</v>
      </c>
      <c r="I1346" s="426">
        <v>21.1971</v>
      </c>
      <c r="J1346" s="425">
        <v>20.0005</v>
      </c>
      <c r="K1346" s="182">
        <v>10386.6</v>
      </c>
      <c r="L1346" s="36"/>
      <c r="M1346" s="36"/>
      <c r="N1346" s="36"/>
      <c r="O1346" s="36"/>
      <c r="P1346" s="36"/>
      <c r="Q1346" s="36"/>
      <c r="R1346" s="36"/>
      <c r="S1346" s="36"/>
      <c r="T1346" s="36"/>
      <c r="U1346" s="36"/>
      <c r="V1346" s="36"/>
      <c r="W1346" s="36"/>
      <c r="X1346" s="36"/>
      <c r="Y1346" s="36"/>
      <c r="Z1346" s="36"/>
      <c r="AA1346" s="36"/>
      <c r="AB1346" s="36"/>
      <c r="AC1346" s="36"/>
    </row>
    <row r="1347" ht="15.75" customHeight="1">
      <c r="A1347" s="423">
        <v>43404.0</v>
      </c>
      <c r="B1347" s="424">
        <v>13.6195</v>
      </c>
      <c r="C1347" s="425">
        <v>17.1441</v>
      </c>
      <c r="D1347" s="426">
        <v>18.9539</v>
      </c>
      <c r="E1347" s="425">
        <v>13.6716</v>
      </c>
      <c r="F1347" s="425">
        <v>16.035</v>
      </c>
      <c r="G1347" s="425">
        <v>13.41</v>
      </c>
      <c r="H1347" s="426">
        <v>29.7834</v>
      </c>
      <c r="I1347" s="426">
        <v>21.2462</v>
      </c>
      <c r="J1347" s="425">
        <v>19.8869</v>
      </c>
      <c r="K1347" s="182">
        <v>10386.6</v>
      </c>
      <c r="L1347" s="36"/>
      <c r="M1347" s="36"/>
      <c r="N1347" s="36"/>
      <c r="O1347" s="36"/>
      <c r="P1347" s="36"/>
      <c r="Q1347" s="36"/>
      <c r="R1347" s="36"/>
      <c r="S1347" s="36"/>
      <c r="T1347" s="36"/>
      <c r="U1347" s="36"/>
      <c r="V1347" s="36"/>
      <c r="W1347" s="36"/>
      <c r="X1347" s="36"/>
      <c r="Y1347" s="36"/>
      <c r="Z1347" s="36"/>
      <c r="AA1347" s="36"/>
      <c r="AB1347" s="36"/>
      <c r="AC1347" s="36"/>
    </row>
    <row r="1348" ht="15.75" customHeight="1">
      <c r="A1348" s="423">
        <v>43404.0</v>
      </c>
      <c r="B1348" s="424">
        <v>13.6195</v>
      </c>
      <c r="C1348" s="425">
        <v>17.1441</v>
      </c>
      <c r="D1348" s="426">
        <v>18.9546</v>
      </c>
      <c r="E1348" s="425">
        <v>13.6716</v>
      </c>
      <c r="F1348" s="425">
        <v>16.035</v>
      </c>
      <c r="G1348" s="425">
        <v>13.41</v>
      </c>
      <c r="H1348" s="426">
        <v>29.6798</v>
      </c>
      <c r="I1348" s="426">
        <v>21.2332</v>
      </c>
      <c r="J1348" s="425">
        <v>19.8869</v>
      </c>
      <c r="K1348" s="182">
        <v>10386.6</v>
      </c>
      <c r="L1348" s="36"/>
      <c r="M1348" s="36"/>
      <c r="N1348" s="36"/>
      <c r="O1348" s="36"/>
      <c r="P1348" s="36"/>
      <c r="Q1348" s="36"/>
      <c r="R1348" s="36"/>
      <c r="S1348" s="36"/>
      <c r="T1348" s="36"/>
      <c r="U1348" s="36"/>
      <c r="V1348" s="36"/>
      <c r="W1348" s="36"/>
      <c r="X1348" s="36"/>
      <c r="Y1348" s="36"/>
      <c r="Z1348" s="36"/>
      <c r="AA1348" s="36"/>
      <c r="AB1348" s="36"/>
      <c r="AC1348" s="36"/>
    </row>
    <row r="1349" ht="15.75" customHeight="1">
      <c r="A1349" s="423">
        <v>43405.0</v>
      </c>
      <c r="B1349" s="424">
        <v>13.6196</v>
      </c>
      <c r="C1349" s="425">
        <v>17.1773</v>
      </c>
      <c r="D1349" s="426">
        <v>18.9657</v>
      </c>
      <c r="E1349" s="425">
        <v>13.6909</v>
      </c>
      <c r="F1349" s="425">
        <v>16.0166</v>
      </c>
      <c r="G1349" s="425">
        <v>13.4166</v>
      </c>
      <c r="H1349" s="426">
        <v>29.5731</v>
      </c>
      <c r="I1349" s="426">
        <v>20.8117</v>
      </c>
      <c r="J1349" s="425">
        <v>20.1142</v>
      </c>
      <c r="K1349" s="182">
        <v>10380.45</v>
      </c>
      <c r="L1349" s="36"/>
      <c r="M1349" s="36"/>
      <c r="N1349" s="36"/>
      <c r="O1349" s="36"/>
      <c r="P1349" s="36"/>
      <c r="Q1349" s="36"/>
      <c r="R1349" s="36"/>
      <c r="S1349" s="36"/>
      <c r="T1349" s="36"/>
      <c r="U1349" s="36"/>
      <c r="V1349" s="36"/>
      <c r="W1349" s="36"/>
      <c r="X1349" s="36"/>
      <c r="Y1349" s="36"/>
      <c r="Z1349" s="36"/>
      <c r="AA1349" s="36"/>
      <c r="AB1349" s="36"/>
      <c r="AC1349" s="36"/>
    </row>
    <row r="1350" ht="15.75" customHeight="1">
      <c r="A1350" s="423">
        <v>43405.0</v>
      </c>
      <c r="B1350" s="424">
        <v>13.6196</v>
      </c>
      <c r="C1350" s="425">
        <v>17.1773</v>
      </c>
      <c r="D1350" s="426">
        <v>18.9606</v>
      </c>
      <c r="E1350" s="425">
        <v>13.6909</v>
      </c>
      <c r="F1350" s="425">
        <v>16.0166</v>
      </c>
      <c r="G1350" s="425">
        <v>13.4166</v>
      </c>
      <c r="H1350" s="426">
        <v>29.574</v>
      </c>
      <c r="I1350" s="426">
        <v>20.8255</v>
      </c>
      <c r="J1350" s="425">
        <v>20.1142</v>
      </c>
      <c r="K1350" s="182">
        <v>10380.45</v>
      </c>
      <c r="L1350" s="36"/>
      <c r="M1350" s="36"/>
      <c r="N1350" s="36"/>
      <c r="O1350" s="36"/>
      <c r="P1350" s="36"/>
      <c r="Q1350" s="36"/>
      <c r="R1350" s="36"/>
      <c r="S1350" s="36"/>
      <c r="T1350" s="36"/>
      <c r="U1350" s="36"/>
      <c r="V1350" s="36"/>
      <c r="W1350" s="36"/>
      <c r="X1350" s="36"/>
      <c r="Y1350" s="36"/>
      <c r="Z1350" s="36"/>
      <c r="AA1350" s="36"/>
      <c r="AB1350" s="36"/>
      <c r="AC1350" s="36"/>
    </row>
    <row r="1351" ht="15.75" customHeight="1">
      <c r="A1351" s="423">
        <v>43405.0</v>
      </c>
      <c r="B1351" s="424">
        <v>13.6196</v>
      </c>
      <c r="C1351" s="425">
        <v>17.1671</v>
      </c>
      <c r="D1351" s="426">
        <v>18.9574</v>
      </c>
      <c r="E1351" s="425">
        <v>13.6909</v>
      </c>
      <c r="F1351" s="425">
        <v>16.0166</v>
      </c>
      <c r="G1351" s="425">
        <v>13.4166</v>
      </c>
      <c r="H1351" s="426">
        <v>29.5177</v>
      </c>
      <c r="I1351" s="426">
        <v>20.8305</v>
      </c>
      <c r="J1351" s="425">
        <v>20.1174</v>
      </c>
      <c r="K1351" s="182">
        <v>10380.45</v>
      </c>
      <c r="L1351" s="36"/>
      <c r="M1351" s="36"/>
      <c r="N1351" s="36"/>
      <c r="O1351" s="36"/>
      <c r="P1351" s="36"/>
      <c r="Q1351" s="36"/>
      <c r="R1351" s="36"/>
      <c r="S1351" s="36"/>
      <c r="T1351" s="36"/>
      <c r="U1351" s="36"/>
      <c r="V1351" s="36"/>
      <c r="W1351" s="36"/>
      <c r="X1351" s="36"/>
      <c r="Y1351" s="36"/>
      <c r="Z1351" s="36"/>
      <c r="AA1351" s="36"/>
      <c r="AB1351" s="36"/>
      <c r="AC1351" s="36"/>
    </row>
    <row r="1352" ht="15.75" customHeight="1">
      <c r="A1352" s="423">
        <v>43405.0</v>
      </c>
      <c r="B1352" s="424">
        <v>13.6196</v>
      </c>
      <c r="C1352" s="425">
        <v>17.1671</v>
      </c>
      <c r="D1352" s="426">
        <v>18.9544</v>
      </c>
      <c r="E1352" s="425">
        <v>13.6909</v>
      </c>
      <c r="F1352" s="425">
        <v>16.0166</v>
      </c>
      <c r="G1352" s="425">
        <v>13.4166</v>
      </c>
      <c r="H1352" s="426">
        <v>29.7395</v>
      </c>
      <c r="I1352" s="426">
        <v>21.0</v>
      </c>
      <c r="J1352" s="425">
        <v>20.1174</v>
      </c>
      <c r="K1352" s="182">
        <v>10380.45</v>
      </c>
      <c r="L1352" s="36"/>
      <c r="M1352" s="36"/>
      <c r="N1352" s="36"/>
      <c r="O1352" s="36"/>
      <c r="P1352" s="36"/>
      <c r="Q1352" s="36"/>
      <c r="R1352" s="36"/>
      <c r="S1352" s="36"/>
      <c r="T1352" s="36"/>
      <c r="U1352" s="36"/>
      <c r="V1352" s="36"/>
      <c r="W1352" s="36"/>
      <c r="X1352" s="36"/>
      <c r="Y1352" s="36"/>
      <c r="Z1352" s="36"/>
      <c r="AA1352" s="36"/>
      <c r="AB1352" s="36"/>
      <c r="AC1352" s="36"/>
    </row>
    <row r="1353" ht="15.75" customHeight="1">
      <c r="A1353" s="423">
        <v>43406.0</v>
      </c>
      <c r="B1353" s="424">
        <v>13.8052</v>
      </c>
      <c r="C1353" s="425">
        <v>17.1879</v>
      </c>
      <c r="D1353" s="426">
        <v>18.9461</v>
      </c>
      <c r="E1353" s="425">
        <v>13.7186</v>
      </c>
      <c r="F1353" s="425">
        <v>16.2234</v>
      </c>
      <c r="G1353" s="425">
        <v>13.4308</v>
      </c>
      <c r="H1353" s="426">
        <v>29.9682</v>
      </c>
      <c r="I1353" s="426">
        <v>21.1648</v>
      </c>
      <c r="J1353" s="425">
        <v>20.1639</v>
      </c>
      <c r="K1353" s="182">
        <v>10553.0</v>
      </c>
      <c r="L1353" s="36"/>
      <c r="M1353" s="36"/>
      <c r="N1353" s="36"/>
      <c r="O1353" s="36"/>
      <c r="P1353" s="36"/>
      <c r="Q1353" s="36"/>
      <c r="R1353" s="36"/>
      <c r="S1353" s="36"/>
      <c r="T1353" s="36"/>
      <c r="U1353" s="36"/>
      <c r="V1353" s="36"/>
      <c r="W1353" s="36"/>
      <c r="X1353" s="36"/>
      <c r="Y1353" s="36"/>
      <c r="Z1353" s="36"/>
      <c r="AA1353" s="36"/>
      <c r="AB1353" s="36"/>
      <c r="AC1353" s="36"/>
    </row>
    <row r="1354" ht="15.75" customHeight="1">
      <c r="A1354" s="423">
        <v>43406.0</v>
      </c>
      <c r="B1354" s="424">
        <v>13.8052</v>
      </c>
      <c r="C1354" s="425">
        <v>17.1879</v>
      </c>
      <c r="D1354" s="426">
        <v>18.9755</v>
      </c>
      <c r="E1354" s="425">
        <v>13.7186</v>
      </c>
      <c r="F1354" s="425">
        <v>16.2234</v>
      </c>
      <c r="G1354" s="425">
        <v>13.4308</v>
      </c>
      <c r="H1354" s="426">
        <v>29.8807</v>
      </c>
      <c r="I1354" s="426">
        <v>21.0963</v>
      </c>
      <c r="J1354" s="425">
        <v>20.1639</v>
      </c>
      <c r="K1354" s="182">
        <v>10553.0</v>
      </c>
      <c r="L1354" s="36"/>
      <c r="M1354" s="36"/>
      <c r="N1354" s="36"/>
      <c r="O1354" s="36"/>
      <c r="P1354" s="36"/>
      <c r="Q1354" s="36"/>
      <c r="R1354" s="36"/>
      <c r="S1354" s="36"/>
      <c r="T1354" s="36"/>
      <c r="U1354" s="36"/>
      <c r="V1354" s="36"/>
      <c r="W1354" s="36"/>
      <c r="X1354" s="36"/>
      <c r="Y1354" s="36"/>
      <c r="Z1354" s="36"/>
      <c r="AA1354" s="36"/>
      <c r="AB1354" s="36"/>
      <c r="AC1354" s="36"/>
    </row>
    <row r="1355" ht="15.75" customHeight="1">
      <c r="A1355" s="423">
        <v>43406.0</v>
      </c>
      <c r="B1355" s="424">
        <v>13.8052</v>
      </c>
      <c r="C1355" s="425">
        <v>17.1756</v>
      </c>
      <c r="D1355" s="426">
        <v>18.9765</v>
      </c>
      <c r="E1355" s="425">
        <v>13.7186</v>
      </c>
      <c r="F1355" s="425">
        <v>16.2234</v>
      </c>
      <c r="G1355" s="425">
        <v>13.4308</v>
      </c>
      <c r="H1355" s="426">
        <v>29.6858</v>
      </c>
      <c r="I1355" s="426">
        <v>20.9083</v>
      </c>
      <c r="J1355" s="425">
        <v>20.1788</v>
      </c>
      <c r="K1355" s="182">
        <v>10553.0</v>
      </c>
      <c r="L1355" s="36"/>
      <c r="M1355" s="36"/>
      <c r="N1355" s="36"/>
      <c r="O1355" s="36"/>
      <c r="P1355" s="36"/>
      <c r="Q1355" s="36"/>
      <c r="R1355" s="36"/>
      <c r="S1355" s="36"/>
      <c r="T1355" s="36"/>
      <c r="U1355" s="36"/>
      <c r="V1355" s="36"/>
      <c r="W1355" s="36"/>
      <c r="X1355" s="36"/>
      <c r="Y1355" s="36"/>
      <c r="Z1355" s="36"/>
      <c r="AA1355" s="36"/>
      <c r="AB1355" s="36"/>
      <c r="AC1355" s="36"/>
    </row>
    <row r="1356" ht="15.75" customHeight="1">
      <c r="A1356" s="423">
        <v>43406.0</v>
      </c>
      <c r="B1356" s="424">
        <v>13.8052</v>
      </c>
      <c r="C1356" s="425">
        <v>17.1756</v>
      </c>
      <c r="D1356" s="426">
        <v>18.9739</v>
      </c>
      <c r="E1356" s="425">
        <v>13.7186</v>
      </c>
      <c r="F1356" s="425">
        <v>16.2234</v>
      </c>
      <c r="G1356" s="425">
        <v>13.4308</v>
      </c>
      <c r="H1356" s="426">
        <v>29.399</v>
      </c>
      <c r="I1356" s="426">
        <v>20.7</v>
      </c>
      <c r="J1356" s="425">
        <v>20.1788</v>
      </c>
      <c r="K1356" s="182">
        <v>10553.0</v>
      </c>
      <c r="L1356" s="36"/>
      <c r="M1356" s="36"/>
      <c r="N1356" s="36"/>
      <c r="O1356" s="36"/>
      <c r="P1356" s="36"/>
      <c r="Q1356" s="36"/>
      <c r="R1356" s="36"/>
      <c r="S1356" s="36"/>
      <c r="T1356" s="36"/>
      <c r="U1356" s="36"/>
      <c r="V1356" s="36"/>
      <c r="W1356" s="36"/>
      <c r="X1356" s="36"/>
      <c r="Y1356" s="36"/>
      <c r="Z1356" s="36"/>
      <c r="AA1356" s="36"/>
      <c r="AB1356" s="36"/>
      <c r="AC1356" s="36"/>
    </row>
    <row r="1357" ht="15.75" customHeight="1">
      <c r="A1357" s="423">
        <v>43409.0</v>
      </c>
      <c r="B1357" s="424">
        <v>13.7788</v>
      </c>
      <c r="C1357" s="425">
        <v>17.2007</v>
      </c>
      <c r="D1357" s="426">
        <v>18.9372</v>
      </c>
      <c r="E1357" s="425">
        <v>13.7146</v>
      </c>
      <c r="F1357" s="425">
        <v>16.1927</v>
      </c>
      <c r="G1357" s="425">
        <v>13.4333</v>
      </c>
      <c r="H1357" s="426">
        <v>29.9269</v>
      </c>
      <c r="I1357" s="426">
        <v>21.2388</v>
      </c>
      <c r="J1357" s="425">
        <v>20.1481</v>
      </c>
      <c r="K1357" s="182">
        <v>10524.0</v>
      </c>
      <c r="L1357" s="36"/>
      <c r="M1357" s="36"/>
      <c r="N1357" s="36"/>
      <c r="O1357" s="36"/>
      <c r="P1357" s="36"/>
      <c r="Q1357" s="36"/>
      <c r="R1357" s="36"/>
      <c r="S1357" s="36"/>
      <c r="T1357" s="36"/>
      <c r="U1357" s="36"/>
      <c r="V1357" s="36"/>
      <c r="W1357" s="36"/>
      <c r="X1357" s="36"/>
      <c r="Y1357" s="36"/>
      <c r="Z1357" s="36"/>
      <c r="AA1357" s="36"/>
      <c r="AB1357" s="36"/>
      <c r="AC1357" s="36"/>
    </row>
    <row r="1358" ht="15.75" customHeight="1">
      <c r="A1358" s="423">
        <v>43409.0</v>
      </c>
      <c r="B1358" s="424">
        <v>13.7788</v>
      </c>
      <c r="C1358" s="425">
        <v>17.2007</v>
      </c>
      <c r="D1358" s="426">
        <v>18.9283</v>
      </c>
      <c r="E1358" s="425">
        <v>13.7146</v>
      </c>
      <c r="F1358" s="425">
        <v>16.1927</v>
      </c>
      <c r="G1358" s="425">
        <v>13.4333</v>
      </c>
      <c r="H1358" s="426">
        <v>29.6252</v>
      </c>
      <c r="I1358" s="426">
        <v>21.0491</v>
      </c>
      <c r="J1358" s="425">
        <v>20.1481</v>
      </c>
      <c r="K1358" s="182">
        <v>10524.0</v>
      </c>
      <c r="L1358" s="36"/>
      <c r="M1358" s="36"/>
      <c r="N1358" s="36"/>
      <c r="O1358" s="36"/>
      <c r="P1358" s="36"/>
      <c r="Q1358" s="36"/>
      <c r="R1358" s="36"/>
      <c r="S1358" s="36"/>
      <c r="T1358" s="36"/>
      <c r="U1358" s="36"/>
      <c r="V1358" s="36"/>
      <c r="W1358" s="36"/>
      <c r="X1358" s="36"/>
      <c r="Y1358" s="36"/>
      <c r="Z1358" s="36"/>
      <c r="AA1358" s="36"/>
      <c r="AB1358" s="36"/>
      <c r="AC1358" s="36"/>
    </row>
    <row r="1359" ht="15.75" customHeight="1">
      <c r="A1359" s="423">
        <v>43409.0</v>
      </c>
      <c r="B1359" s="424">
        <v>13.7788</v>
      </c>
      <c r="C1359" s="425">
        <v>17.192</v>
      </c>
      <c r="D1359" s="426">
        <v>18.9183</v>
      </c>
      <c r="E1359" s="425">
        <v>13.7146</v>
      </c>
      <c r="F1359" s="425">
        <v>16.1927</v>
      </c>
      <c r="G1359" s="425">
        <v>13.4333</v>
      </c>
      <c r="H1359" s="426">
        <v>29.6802</v>
      </c>
      <c r="I1359" s="426">
        <v>20.9326</v>
      </c>
      <c r="J1359" s="425">
        <v>20.0164</v>
      </c>
      <c r="K1359" s="182">
        <v>10524.0</v>
      </c>
      <c r="L1359" s="36"/>
      <c r="M1359" s="36"/>
      <c r="N1359" s="36"/>
      <c r="O1359" s="36"/>
      <c r="P1359" s="36"/>
      <c r="Q1359" s="36"/>
      <c r="R1359" s="36"/>
      <c r="S1359" s="36"/>
      <c r="T1359" s="36"/>
      <c r="U1359" s="36"/>
      <c r="V1359" s="36"/>
      <c r="W1359" s="36"/>
      <c r="X1359" s="36"/>
      <c r="Y1359" s="36"/>
      <c r="Z1359" s="36"/>
      <c r="AA1359" s="36"/>
      <c r="AB1359" s="36"/>
      <c r="AC1359" s="36"/>
    </row>
    <row r="1360" ht="15.75" customHeight="1">
      <c r="A1360" s="423">
        <v>43409.0</v>
      </c>
      <c r="B1360" s="424">
        <v>13.7788</v>
      </c>
      <c r="C1360" s="425">
        <v>17.192</v>
      </c>
      <c r="D1360" s="426">
        <v>18.9269</v>
      </c>
      <c r="E1360" s="425">
        <v>13.7146</v>
      </c>
      <c r="F1360" s="425">
        <v>16.1927</v>
      </c>
      <c r="G1360" s="425">
        <v>13.4333</v>
      </c>
      <c r="H1360" s="426">
        <v>29.8089</v>
      </c>
      <c r="I1360" s="426">
        <v>21.0039</v>
      </c>
      <c r="J1360" s="425">
        <v>20.0164</v>
      </c>
      <c r="K1360" s="182">
        <v>10524.0</v>
      </c>
      <c r="L1360" s="36"/>
      <c r="M1360" s="36"/>
      <c r="N1360" s="36"/>
      <c r="O1360" s="36"/>
      <c r="P1360" s="36"/>
      <c r="Q1360" s="36"/>
      <c r="R1360" s="36"/>
      <c r="S1360" s="36"/>
      <c r="T1360" s="36"/>
      <c r="U1360" s="36"/>
      <c r="V1360" s="36"/>
      <c r="W1360" s="36"/>
      <c r="X1360" s="36"/>
      <c r="Y1360" s="36"/>
      <c r="Z1360" s="36"/>
      <c r="AA1360" s="36"/>
      <c r="AB1360" s="36"/>
      <c r="AC1360" s="36"/>
    </row>
    <row r="1361" ht="15.75" customHeight="1">
      <c r="A1361" s="423">
        <v>43410.0</v>
      </c>
      <c r="B1361" s="424">
        <v>13.7826</v>
      </c>
      <c r="C1361" s="425">
        <v>17.2051</v>
      </c>
      <c r="D1361" s="426">
        <v>18.8999</v>
      </c>
      <c r="E1361" s="425">
        <v>13.7255</v>
      </c>
      <c r="F1361" s="425">
        <v>16.2012</v>
      </c>
      <c r="G1361" s="425">
        <v>13.4439</v>
      </c>
      <c r="H1361" s="426">
        <v>30.7657</v>
      </c>
      <c r="I1361" s="426">
        <v>21.4954</v>
      </c>
      <c r="J1361" s="425">
        <v>20.0558</v>
      </c>
      <c r="K1361" s="182">
        <v>10530.0</v>
      </c>
      <c r="L1361" s="36"/>
      <c r="M1361" s="36"/>
      <c r="N1361" s="36"/>
      <c r="O1361" s="36"/>
      <c r="P1361" s="36"/>
      <c r="Q1361" s="36"/>
      <c r="R1361" s="36"/>
      <c r="S1361" s="36"/>
      <c r="T1361" s="36"/>
      <c r="U1361" s="36"/>
      <c r="V1361" s="36"/>
      <c r="W1361" s="36"/>
      <c r="X1361" s="36"/>
      <c r="Y1361" s="36"/>
      <c r="Z1361" s="36"/>
      <c r="AA1361" s="36"/>
      <c r="AB1361" s="36"/>
      <c r="AC1361" s="36"/>
    </row>
    <row r="1362" ht="15.75" customHeight="1">
      <c r="A1362" s="423">
        <v>43410.0</v>
      </c>
      <c r="B1362" s="424">
        <v>13.7826</v>
      </c>
      <c r="C1362" s="425">
        <v>17.2051</v>
      </c>
      <c r="D1362" s="426">
        <v>18.9264</v>
      </c>
      <c r="E1362" s="425">
        <v>13.7255</v>
      </c>
      <c r="F1362" s="425">
        <v>16.2012</v>
      </c>
      <c r="G1362" s="425">
        <v>13.4439</v>
      </c>
      <c r="H1362" s="426">
        <v>30.5949</v>
      </c>
      <c r="I1362" s="426">
        <v>21.5</v>
      </c>
      <c r="J1362" s="425">
        <v>20.0558</v>
      </c>
      <c r="K1362" s="182">
        <v>10530.0</v>
      </c>
      <c r="L1362" s="36"/>
      <c r="M1362" s="36"/>
      <c r="N1362" s="36"/>
      <c r="O1362" s="36"/>
      <c r="P1362" s="36"/>
      <c r="Q1362" s="36"/>
      <c r="R1362" s="36"/>
      <c r="S1362" s="36"/>
      <c r="T1362" s="36"/>
      <c r="U1362" s="36"/>
      <c r="V1362" s="36"/>
      <c r="W1362" s="36"/>
      <c r="X1362" s="36"/>
      <c r="Y1362" s="36"/>
      <c r="Z1362" s="36"/>
      <c r="AA1362" s="36"/>
      <c r="AB1362" s="36"/>
      <c r="AC1362" s="36"/>
    </row>
    <row r="1363" ht="15.75" customHeight="1">
      <c r="A1363" s="423">
        <v>43410.0</v>
      </c>
      <c r="B1363" s="424">
        <v>13.7826</v>
      </c>
      <c r="C1363" s="425">
        <v>17.2021</v>
      </c>
      <c r="D1363" s="426">
        <v>18.94</v>
      </c>
      <c r="E1363" s="425">
        <v>13.7255</v>
      </c>
      <c r="F1363" s="425">
        <v>16.2012</v>
      </c>
      <c r="G1363" s="425">
        <v>13.4439</v>
      </c>
      <c r="H1363" s="426">
        <v>30.3904</v>
      </c>
      <c r="I1363" s="426">
        <v>21.5106</v>
      </c>
      <c r="J1363" s="425">
        <v>20.0856</v>
      </c>
      <c r="K1363" s="182">
        <v>10530.0</v>
      </c>
      <c r="L1363" s="36"/>
      <c r="M1363" s="36"/>
      <c r="N1363" s="36"/>
      <c r="O1363" s="36"/>
      <c r="P1363" s="36"/>
      <c r="Q1363" s="36"/>
      <c r="R1363" s="36"/>
      <c r="S1363" s="36"/>
      <c r="T1363" s="36"/>
      <c r="U1363" s="36"/>
      <c r="V1363" s="36"/>
      <c r="W1363" s="36"/>
      <c r="X1363" s="36"/>
      <c r="Y1363" s="36"/>
      <c r="Z1363" s="36"/>
      <c r="AA1363" s="36"/>
      <c r="AB1363" s="36"/>
      <c r="AC1363" s="36"/>
    </row>
    <row r="1364" ht="15.75" customHeight="1">
      <c r="A1364" s="423">
        <v>43410.0</v>
      </c>
      <c r="B1364" s="424">
        <v>13.7826</v>
      </c>
      <c r="C1364" s="425">
        <v>17.2021</v>
      </c>
      <c r="D1364" s="426">
        <v>18.9349</v>
      </c>
      <c r="E1364" s="425">
        <v>13.7255</v>
      </c>
      <c r="F1364" s="425">
        <v>16.2012</v>
      </c>
      <c r="G1364" s="425">
        <v>13.4439</v>
      </c>
      <c r="H1364" s="426">
        <v>30.1145</v>
      </c>
      <c r="I1364" s="426">
        <v>21.3449</v>
      </c>
      <c r="J1364" s="425">
        <v>20.0856</v>
      </c>
      <c r="K1364" s="182">
        <v>10530.0</v>
      </c>
      <c r="L1364" s="36"/>
      <c r="M1364" s="36"/>
      <c r="N1364" s="36"/>
      <c r="O1364" s="36"/>
      <c r="P1364" s="36"/>
      <c r="Q1364" s="36"/>
      <c r="R1364" s="36"/>
      <c r="S1364" s="36"/>
      <c r="T1364" s="36"/>
      <c r="U1364" s="36"/>
      <c r="V1364" s="36"/>
      <c r="W1364" s="36"/>
      <c r="X1364" s="36"/>
      <c r="Y1364" s="36"/>
      <c r="Z1364" s="36"/>
      <c r="AA1364" s="36"/>
      <c r="AB1364" s="36"/>
      <c r="AC1364" s="36"/>
    </row>
    <row r="1365" ht="15.75" customHeight="1">
      <c r="A1365" s="423">
        <v>43413.0</v>
      </c>
      <c r="B1365" s="424">
        <v>13.8529</v>
      </c>
      <c r="C1365" s="425">
        <v>17.2144</v>
      </c>
      <c r="D1365" s="426">
        <v>18.8272</v>
      </c>
      <c r="E1365" s="425">
        <v>13.7467</v>
      </c>
      <c r="F1365" s="425">
        <v>16.3016</v>
      </c>
      <c r="G1365" s="425">
        <v>13.4532</v>
      </c>
      <c r="H1365" s="426">
        <v>30.8308</v>
      </c>
      <c r="I1365" s="426">
        <v>21.5615</v>
      </c>
      <c r="J1365" s="425">
        <v>20.2105</v>
      </c>
      <c r="K1365" s="182">
        <v>10585.2</v>
      </c>
      <c r="L1365" s="36"/>
      <c r="M1365" s="36"/>
      <c r="N1365" s="36"/>
      <c r="O1365" s="36"/>
      <c r="P1365" s="36"/>
      <c r="Q1365" s="36"/>
      <c r="R1365" s="36"/>
      <c r="S1365" s="36"/>
      <c r="T1365" s="36"/>
      <c r="U1365" s="36"/>
      <c r="V1365" s="36"/>
      <c r="W1365" s="36"/>
      <c r="X1365" s="36"/>
      <c r="Y1365" s="36"/>
      <c r="Z1365" s="36"/>
      <c r="AA1365" s="36"/>
      <c r="AB1365" s="36"/>
      <c r="AC1365" s="36"/>
    </row>
    <row r="1366" ht="15.75" customHeight="1">
      <c r="A1366" s="423">
        <v>43413.0</v>
      </c>
      <c r="B1366" s="424">
        <v>13.8529</v>
      </c>
      <c r="C1366" s="425">
        <v>17.2144</v>
      </c>
      <c r="D1366" s="426">
        <v>18.9136</v>
      </c>
      <c r="E1366" s="425">
        <v>13.7467</v>
      </c>
      <c r="F1366" s="425">
        <v>16.3016</v>
      </c>
      <c r="G1366" s="425">
        <v>13.4532</v>
      </c>
      <c r="H1366" s="426">
        <v>30.8096</v>
      </c>
      <c r="I1366" s="426">
        <v>21.5803</v>
      </c>
      <c r="J1366" s="425">
        <v>20.2105</v>
      </c>
      <c r="K1366" s="182">
        <v>10585.2</v>
      </c>
      <c r="L1366" s="36"/>
      <c r="M1366" s="36"/>
      <c r="N1366" s="36"/>
      <c r="O1366" s="36"/>
      <c r="P1366" s="36"/>
      <c r="Q1366" s="36"/>
      <c r="R1366" s="36"/>
      <c r="S1366" s="36"/>
      <c r="T1366" s="36"/>
      <c r="U1366" s="36"/>
      <c r="V1366" s="36"/>
      <c r="W1366" s="36"/>
      <c r="X1366" s="36"/>
      <c r="Y1366" s="36"/>
      <c r="Z1366" s="36"/>
      <c r="AA1366" s="36"/>
      <c r="AB1366" s="36"/>
      <c r="AC1366" s="36"/>
    </row>
    <row r="1367" ht="15.75" customHeight="1">
      <c r="A1367" s="423">
        <v>43413.0</v>
      </c>
      <c r="B1367" s="424">
        <v>13.8529</v>
      </c>
      <c r="C1367" s="425">
        <v>17.2083</v>
      </c>
      <c r="D1367" s="426">
        <v>18.9012</v>
      </c>
      <c r="E1367" s="425">
        <v>13.7467</v>
      </c>
      <c r="F1367" s="425">
        <v>16.3016</v>
      </c>
      <c r="G1367" s="425">
        <v>13.4532</v>
      </c>
      <c r="H1367" s="426">
        <v>30.8497</v>
      </c>
      <c r="I1367" s="426">
        <v>21.6392</v>
      </c>
      <c r="J1367" s="425">
        <v>20.1184</v>
      </c>
      <c r="K1367" s="182">
        <v>10585.2</v>
      </c>
      <c r="L1367" s="36"/>
      <c r="M1367" s="36"/>
      <c r="N1367" s="36"/>
      <c r="O1367" s="36"/>
      <c r="P1367" s="36"/>
      <c r="Q1367" s="36"/>
      <c r="R1367" s="36"/>
      <c r="S1367" s="36"/>
      <c r="T1367" s="36"/>
      <c r="U1367" s="36"/>
      <c r="V1367" s="36"/>
      <c r="W1367" s="36"/>
      <c r="X1367" s="36"/>
      <c r="Y1367" s="36"/>
      <c r="Z1367" s="36"/>
      <c r="AA1367" s="36"/>
      <c r="AB1367" s="36"/>
      <c r="AC1367" s="36"/>
    </row>
    <row r="1368" ht="15.75" customHeight="1">
      <c r="A1368" s="423">
        <v>43413.0</v>
      </c>
      <c r="B1368" s="424">
        <v>13.8529</v>
      </c>
      <c r="C1368" s="425">
        <v>17.2083</v>
      </c>
      <c r="D1368" s="426">
        <v>18.8975</v>
      </c>
      <c r="E1368" s="425">
        <v>13.7467</v>
      </c>
      <c r="F1368" s="425">
        <v>16.3016</v>
      </c>
      <c r="G1368" s="425">
        <v>13.4532</v>
      </c>
      <c r="H1368" s="426">
        <v>30.7995</v>
      </c>
      <c r="I1368" s="426">
        <v>21.5885</v>
      </c>
      <c r="J1368" s="425">
        <v>20.1184</v>
      </c>
      <c r="K1368" s="182">
        <v>10585.2</v>
      </c>
      <c r="L1368" s="36"/>
      <c r="M1368" s="36"/>
      <c r="N1368" s="36"/>
      <c r="O1368" s="36"/>
      <c r="P1368" s="36"/>
      <c r="Q1368" s="36"/>
      <c r="R1368" s="36"/>
      <c r="S1368" s="36"/>
      <c r="T1368" s="36"/>
      <c r="U1368" s="36"/>
      <c r="V1368" s="36"/>
      <c r="W1368" s="36"/>
      <c r="X1368" s="36"/>
      <c r="Y1368" s="36"/>
      <c r="Z1368" s="36"/>
      <c r="AA1368" s="36"/>
      <c r="AB1368" s="36"/>
      <c r="AC1368" s="36"/>
    </row>
    <row r="1369" ht="15.75" customHeight="1">
      <c r="A1369" s="423">
        <v>43416.0</v>
      </c>
      <c r="B1369" s="424">
        <v>13.7331</v>
      </c>
      <c r="C1369" s="425">
        <v>17.2152</v>
      </c>
      <c r="D1369" s="426">
        <v>18.8617</v>
      </c>
      <c r="E1369" s="425">
        <v>13.7367</v>
      </c>
      <c r="F1369" s="425">
        <v>16.1644</v>
      </c>
      <c r="G1369" s="425">
        <v>13.4591</v>
      </c>
      <c r="H1369" s="426">
        <v>30.738</v>
      </c>
      <c r="I1369" s="426">
        <v>21.4887</v>
      </c>
      <c r="J1369" s="425">
        <v>20.2837</v>
      </c>
      <c r="K1369" s="182">
        <v>10482.2</v>
      </c>
      <c r="L1369" s="36"/>
      <c r="M1369" s="36"/>
      <c r="N1369" s="36"/>
      <c r="O1369" s="36"/>
      <c r="P1369" s="36"/>
      <c r="Q1369" s="36"/>
      <c r="R1369" s="36"/>
      <c r="S1369" s="36"/>
      <c r="T1369" s="36"/>
      <c r="U1369" s="36"/>
      <c r="V1369" s="36"/>
      <c r="W1369" s="36"/>
      <c r="X1369" s="36"/>
      <c r="Y1369" s="36"/>
      <c r="Z1369" s="36"/>
      <c r="AA1369" s="36"/>
      <c r="AB1369" s="36"/>
      <c r="AC1369" s="36"/>
    </row>
    <row r="1370" ht="15.75" customHeight="1">
      <c r="A1370" s="423">
        <v>43416.0</v>
      </c>
      <c r="B1370" s="424">
        <v>13.7331</v>
      </c>
      <c r="C1370" s="425">
        <v>17.2152</v>
      </c>
      <c r="D1370" s="426">
        <v>18.8838</v>
      </c>
      <c r="E1370" s="425">
        <v>13.7367</v>
      </c>
      <c r="F1370" s="425">
        <v>16.1644</v>
      </c>
      <c r="G1370" s="425">
        <v>13.4591</v>
      </c>
      <c r="H1370" s="426">
        <v>30.9157</v>
      </c>
      <c r="I1370" s="426">
        <v>21.4894</v>
      </c>
      <c r="J1370" s="425">
        <v>20.2837</v>
      </c>
      <c r="K1370" s="182">
        <v>10482.2</v>
      </c>
      <c r="L1370" s="36"/>
      <c r="M1370" s="36"/>
      <c r="N1370" s="36"/>
      <c r="O1370" s="36"/>
      <c r="P1370" s="36"/>
      <c r="Q1370" s="36"/>
      <c r="R1370" s="36"/>
      <c r="S1370" s="36"/>
      <c r="T1370" s="36"/>
      <c r="U1370" s="36"/>
      <c r="V1370" s="36"/>
      <c r="W1370" s="36"/>
      <c r="X1370" s="36"/>
      <c r="Y1370" s="36"/>
      <c r="Z1370" s="36"/>
      <c r="AA1370" s="36"/>
      <c r="AB1370" s="36"/>
      <c r="AC1370" s="36"/>
    </row>
    <row r="1371" ht="15.75" customHeight="1">
      <c r="A1371" s="423">
        <v>43416.0</v>
      </c>
      <c r="B1371" s="424">
        <v>13.7331</v>
      </c>
      <c r="C1371" s="425">
        <v>17.2123</v>
      </c>
      <c r="D1371" s="426">
        <v>18.8822</v>
      </c>
      <c r="E1371" s="425">
        <v>13.7367</v>
      </c>
      <c r="F1371" s="425">
        <v>16.1644</v>
      </c>
      <c r="G1371" s="425">
        <v>13.4591</v>
      </c>
      <c r="H1371" s="426">
        <v>31.0011</v>
      </c>
      <c r="I1371" s="426">
        <v>21.6455</v>
      </c>
      <c r="J1371" s="425">
        <v>20.297</v>
      </c>
      <c r="K1371" s="182">
        <v>10482.2</v>
      </c>
      <c r="L1371" s="36"/>
      <c r="M1371" s="36"/>
      <c r="N1371" s="36"/>
      <c r="O1371" s="36"/>
      <c r="P1371" s="36"/>
      <c r="Q1371" s="36"/>
      <c r="R1371" s="36"/>
      <c r="S1371" s="36"/>
      <c r="T1371" s="36"/>
      <c r="U1371" s="36"/>
      <c r="V1371" s="36"/>
      <c r="W1371" s="36"/>
      <c r="X1371" s="36"/>
      <c r="Y1371" s="36"/>
      <c r="Z1371" s="36"/>
      <c r="AA1371" s="36"/>
      <c r="AB1371" s="36"/>
      <c r="AC1371" s="36"/>
    </row>
    <row r="1372" ht="15.75" customHeight="1">
      <c r="A1372" s="423">
        <v>43416.0</v>
      </c>
      <c r="B1372" s="424">
        <v>13.7331</v>
      </c>
      <c r="C1372" s="425">
        <v>17.2123</v>
      </c>
      <c r="D1372" s="426">
        <v>18.8789</v>
      </c>
      <c r="E1372" s="425">
        <v>13.7367</v>
      </c>
      <c r="F1372" s="425">
        <v>16.1644</v>
      </c>
      <c r="G1372" s="425">
        <v>13.4591</v>
      </c>
      <c r="H1372" s="426">
        <v>31.0025</v>
      </c>
      <c r="I1372" s="426">
        <v>21.6468</v>
      </c>
      <c r="J1372" s="425">
        <v>20.297</v>
      </c>
      <c r="K1372" s="182">
        <v>10482.2</v>
      </c>
      <c r="L1372" s="36"/>
      <c r="M1372" s="36"/>
      <c r="N1372" s="36"/>
      <c r="O1372" s="36"/>
      <c r="P1372" s="36"/>
      <c r="Q1372" s="36"/>
      <c r="R1372" s="36"/>
      <c r="S1372" s="36"/>
      <c r="T1372" s="36"/>
      <c r="U1372" s="36"/>
      <c r="V1372" s="36"/>
      <c r="W1372" s="36"/>
      <c r="X1372" s="36"/>
      <c r="Y1372" s="36"/>
      <c r="Z1372" s="36"/>
      <c r="AA1372" s="36"/>
      <c r="AB1372" s="36"/>
      <c r="AC1372" s="36"/>
    </row>
    <row r="1373" ht="15.75" customHeight="1">
      <c r="A1373" s="423">
        <v>43417.0</v>
      </c>
      <c r="B1373" s="424">
        <v>13.8358</v>
      </c>
      <c r="C1373" s="425">
        <v>17.2248</v>
      </c>
      <c r="D1373" s="426">
        <v>18.9502</v>
      </c>
      <c r="E1373" s="425">
        <v>13.7588</v>
      </c>
      <c r="F1373" s="425">
        <v>16.2655</v>
      </c>
      <c r="G1373" s="425">
        <v>13.4697</v>
      </c>
      <c r="H1373" s="426">
        <v>31.3594</v>
      </c>
      <c r="I1373" s="426">
        <v>21.8393</v>
      </c>
      <c r="J1373" s="425">
        <v>20.4773</v>
      </c>
      <c r="K1373" s="182">
        <v>10582.5</v>
      </c>
      <c r="L1373" s="36"/>
      <c r="M1373" s="36"/>
      <c r="N1373" s="36"/>
      <c r="O1373" s="36"/>
      <c r="P1373" s="36"/>
      <c r="Q1373" s="36"/>
      <c r="R1373" s="36"/>
      <c r="S1373" s="36"/>
      <c r="T1373" s="36"/>
      <c r="U1373" s="36"/>
      <c r="V1373" s="36"/>
      <c r="W1373" s="36"/>
      <c r="X1373" s="36"/>
      <c r="Y1373" s="36"/>
      <c r="Z1373" s="36"/>
      <c r="AA1373" s="36"/>
      <c r="AB1373" s="36"/>
      <c r="AC1373" s="36"/>
    </row>
    <row r="1374" ht="15.75" customHeight="1">
      <c r="A1374" s="423">
        <v>43417.0</v>
      </c>
      <c r="B1374" s="424">
        <v>13.8358</v>
      </c>
      <c r="C1374" s="425">
        <v>17.2248</v>
      </c>
      <c r="D1374" s="426">
        <v>18.9433</v>
      </c>
      <c r="E1374" s="425">
        <v>13.7588</v>
      </c>
      <c r="F1374" s="425">
        <v>16.2655</v>
      </c>
      <c r="G1374" s="425">
        <v>13.4697</v>
      </c>
      <c r="H1374" s="426">
        <v>31.232</v>
      </c>
      <c r="I1374" s="426">
        <v>21.7362</v>
      </c>
      <c r="J1374" s="425">
        <v>20.4773</v>
      </c>
      <c r="K1374" s="182">
        <v>10582.5</v>
      </c>
      <c r="L1374" s="36"/>
      <c r="M1374" s="36"/>
      <c r="N1374" s="36"/>
      <c r="O1374" s="36"/>
      <c r="P1374" s="36"/>
      <c r="Q1374" s="36"/>
      <c r="R1374" s="36"/>
      <c r="S1374" s="36"/>
      <c r="T1374" s="36"/>
      <c r="U1374" s="36"/>
      <c r="V1374" s="36"/>
      <c r="W1374" s="36"/>
      <c r="X1374" s="36"/>
      <c r="Y1374" s="36"/>
      <c r="Z1374" s="36"/>
      <c r="AA1374" s="36"/>
      <c r="AB1374" s="36"/>
      <c r="AC1374" s="36"/>
    </row>
    <row r="1375" ht="15.75" customHeight="1">
      <c r="A1375" s="423">
        <v>43417.0</v>
      </c>
      <c r="B1375" s="424">
        <v>13.8358</v>
      </c>
      <c r="C1375" s="425">
        <v>17.2212</v>
      </c>
      <c r="D1375" s="426">
        <v>18.8776</v>
      </c>
      <c r="E1375" s="425">
        <v>13.7588</v>
      </c>
      <c r="F1375" s="425">
        <v>16.2655</v>
      </c>
      <c r="G1375" s="425">
        <v>13.4697</v>
      </c>
      <c r="H1375" s="426">
        <v>31.0589</v>
      </c>
      <c r="I1375" s="426">
        <v>21.6208</v>
      </c>
      <c r="J1375" s="425">
        <v>20.3561</v>
      </c>
      <c r="K1375" s="182">
        <v>10582.5</v>
      </c>
      <c r="L1375" s="36"/>
      <c r="M1375" s="36"/>
      <c r="N1375" s="36"/>
      <c r="O1375" s="36"/>
      <c r="P1375" s="36"/>
      <c r="Q1375" s="36"/>
      <c r="R1375" s="36"/>
      <c r="S1375" s="36"/>
      <c r="T1375" s="36"/>
      <c r="U1375" s="36"/>
      <c r="V1375" s="36"/>
      <c r="W1375" s="36"/>
      <c r="X1375" s="36"/>
      <c r="Y1375" s="36"/>
      <c r="Z1375" s="36"/>
      <c r="AA1375" s="36"/>
      <c r="AB1375" s="36"/>
      <c r="AC1375" s="36"/>
    </row>
    <row r="1376" ht="15.75" customHeight="1">
      <c r="A1376" s="423">
        <v>43417.0</v>
      </c>
      <c r="B1376" s="424">
        <v>13.8358</v>
      </c>
      <c r="C1376" s="425">
        <v>17.2212</v>
      </c>
      <c r="D1376" s="426">
        <v>18.8768</v>
      </c>
      <c r="E1376" s="425">
        <v>13.7588</v>
      </c>
      <c r="F1376" s="425">
        <v>16.2655</v>
      </c>
      <c r="G1376" s="425">
        <v>13.4697</v>
      </c>
      <c r="H1376" s="426">
        <v>30.8744</v>
      </c>
      <c r="I1376" s="426">
        <v>21.5144</v>
      </c>
      <c r="J1376" s="425">
        <v>20.3561</v>
      </c>
      <c r="K1376" s="182">
        <v>10582.5</v>
      </c>
      <c r="L1376" s="36"/>
      <c r="M1376" s="36"/>
      <c r="N1376" s="36"/>
      <c r="O1376" s="36"/>
      <c r="P1376" s="36"/>
      <c r="Q1376" s="36"/>
      <c r="R1376" s="36"/>
      <c r="S1376" s="36"/>
      <c r="T1376" s="36"/>
      <c r="U1376" s="36"/>
      <c r="V1376" s="36"/>
      <c r="W1376" s="36"/>
      <c r="X1376" s="36"/>
      <c r="Y1376" s="36"/>
      <c r="Z1376" s="36"/>
      <c r="AA1376" s="36"/>
      <c r="AB1376" s="36"/>
      <c r="AC1376" s="36"/>
    </row>
    <row r="1377" ht="15.75" customHeight="1">
      <c r="A1377" s="423">
        <v>43418.0</v>
      </c>
      <c r="B1377" s="424">
        <v>13.831</v>
      </c>
      <c r="C1377" s="425">
        <v>17.2458</v>
      </c>
      <c r="D1377" s="426">
        <v>18.8609</v>
      </c>
      <c r="E1377" s="425">
        <v>13.776</v>
      </c>
      <c r="F1377" s="425">
        <v>16.2704</v>
      </c>
      <c r="G1377" s="425">
        <v>13.4805</v>
      </c>
      <c r="H1377" s="426">
        <v>31.3481</v>
      </c>
      <c r="I1377" s="426">
        <v>21.9077</v>
      </c>
      <c r="J1377" s="425">
        <v>20.5949</v>
      </c>
      <c r="K1377" s="182">
        <v>10576.3</v>
      </c>
      <c r="L1377" s="36"/>
      <c r="M1377" s="36"/>
      <c r="N1377" s="36"/>
      <c r="O1377" s="36"/>
      <c r="P1377" s="36"/>
      <c r="Q1377" s="36"/>
      <c r="R1377" s="36"/>
      <c r="S1377" s="36"/>
      <c r="T1377" s="36"/>
      <c r="U1377" s="36"/>
      <c r="V1377" s="36"/>
      <c r="W1377" s="36"/>
      <c r="X1377" s="36"/>
      <c r="Y1377" s="36"/>
      <c r="Z1377" s="36"/>
      <c r="AA1377" s="36"/>
      <c r="AB1377" s="36"/>
      <c r="AC1377" s="36"/>
    </row>
    <row r="1378" ht="15.75" customHeight="1">
      <c r="A1378" s="423">
        <v>43418.0</v>
      </c>
      <c r="B1378" s="424">
        <v>13.831</v>
      </c>
      <c r="C1378" s="425">
        <v>17.2458</v>
      </c>
      <c r="D1378" s="426">
        <v>18.869</v>
      </c>
      <c r="E1378" s="425">
        <v>13.776</v>
      </c>
      <c r="F1378" s="425">
        <v>16.2704</v>
      </c>
      <c r="G1378" s="425">
        <v>13.4805</v>
      </c>
      <c r="H1378" s="426">
        <v>31.2651</v>
      </c>
      <c r="I1378" s="426">
        <v>21.8644</v>
      </c>
      <c r="J1378" s="425">
        <v>20.5949</v>
      </c>
      <c r="K1378" s="182">
        <v>10576.3</v>
      </c>
      <c r="L1378" s="36"/>
      <c r="M1378" s="36"/>
      <c r="N1378" s="36"/>
      <c r="O1378" s="36"/>
      <c r="P1378" s="36"/>
      <c r="Q1378" s="36"/>
      <c r="R1378" s="36"/>
      <c r="S1378" s="36"/>
      <c r="T1378" s="36"/>
      <c r="U1378" s="36"/>
      <c r="V1378" s="36"/>
      <c r="W1378" s="36"/>
      <c r="X1378" s="36"/>
      <c r="Y1378" s="36"/>
      <c r="Z1378" s="36"/>
      <c r="AA1378" s="36"/>
      <c r="AB1378" s="36"/>
      <c r="AC1378" s="36"/>
    </row>
    <row r="1379" ht="15.75" customHeight="1">
      <c r="A1379" s="423">
        <v>43418.0</v>
      </c>
      <c r="B1379" s="424">
        <v>13.831</v>
      </c>
      <c r="C1379" s="425">
        <v>17.2332</v>
      </c>
      <c r="D1379" s="426">
        <v>18.8754</v>
      </c>
      <c r="E1379" s="425">
        <v>13.776</v>
      </c>
      <c r="F1379" s="425">
        <v>16.2704</v>
      </c>
      <c r="G1379" s="425">
        <v>13.4805</v>
      </c>
      <c r="H1379" s="426">
        <v>31.2667</v>
      </c>
      <c r="I1379" s="426">
        <v>21.829</v>
      </c>
      <c r="J1379" s="425">
        <v>20.5278</v>
      </c>
      <c r="K1379" s="182">
        <v>10576.3</v>
      </c>
      <c r="L1379" s="36"/>
      <c r="M1379" s="36"/>
      <c r="N1379" s="36"/>
      <c r="O1379" s="36"/>
      <c r="P1379" s="36"/>
      <c r="Q1379" s="36"/>
      <c r="R1379" s="36"/>
      <c r="S1379" s="36"/>
      <c r="T1379" s="36"/>
      <c r="U1379" s="36"/>
      <c r="V1379" s="36"/>
      <c r="W1379" s="36"/>
      <c r="X1379" s="36"/>
      <c r="Y1379" s="36"/>
      <c r="Z1379" s="36"/>
      <c r="AA1379" s="36"/>
      <c r="AB1379" s="36"/>
      <c r="AC1379" s="36"/>
    </row>
    <row r="1380" ht="15.75" customHeight="1">
      <c r="A1380" s="423">
        <v>43418.0</v>
      </c>
      <c r="B1380" s="424">
        <v>13.831</v>
      </c>
      <c r="C1380" s="425">
        <v>17.2332</v>
      </c>
      <c r="D1380" s="426">
        <v>18.935</v>
      </c>
      <c r="E1380" s="425">
        <v>13.776</v>
      </c>
      <c r="F1380" s="425">
        <v>16.2704</v>
      </c>
      <c r="G1380" s="425">
        <v>13.4805</v>
      </c>
      <c r="H1380" s="426">
        <v>31.3334</v>
      </c>
      <c r="I1380" s="426">
        <v>21.8521</v>
      </c>
      <c r="J1380" s="425">
        <v>20.5278</v>
      </c>
      <c r="K1380" s="182">
        <v>10576.3</v>
      </c>
      <c r="L1380" s="36"/>
      <c r="M1380" s="36"/>
      <c r="N1380" s="36"/>
      <c r="O1380" s="36"/>
      <c r="P1380" s="36"/>
      <c r="Q1380" s="36"/>
      <c r="R1380" s="36"/>
      <c r="S1380" s="36"/>
      <c r="T1380" s="36"/>
      <c r="U1380" s="36"/>
      <c r="V1380" s="36"/>
      <c r="W1380" s="36"/>
      <c r="X1380" s="36"/>
      <c r="Y1380" s="36"/>
      <c r="Z1380" s="36"/>
      <c r="AA1380" s="36"/>
      <c r="AB1380" s="36"/>
      <c r="AC1380" s="36"/>
    </row>
    <row r="1381" ht="15.75" customHeight="1">
      <c r="A1381" s="423">
        <v>43419.0</v>
      </c>
      <c r="B1381" s="424">
        <v>13.8665</v>
      </c>
      <c r="C1381" s="425">
        <v>17.2524</v>
      </c>
      <c r="D1381" s="426">
        <v>18.8609</v>
      </c>
      <c r="E1381" s="425">
        <v>13.7729</v>
      </c>
      <c r="F1381" s="425">
        <v>16.3333</v>
      </c>
      <c r="G1381" s="425">
        <v>13.4812</v>
      </c>
      <c r="H1381" s="426">
        <v>30.71</v>
      </c>
      <c r="I1381" s="426">
        <v>22.0231</v>
      </c>
      <c r="J1381" s="425">
        <v>20.501</v>
      </c>
      <c r="K1381" s="182">
        <v>10616.7</v>
      </c>
      <c r="L1381" s="36"/>
      <c r="M1381" s="36"/>
      <c r="N1381" s="36"/>
      <c r="O1381" s="36"/>
      <c r="P1381" s="36"/>
      <c r="Q1381" s="36"/>
      <c r="R1381" s="36"/>
      <c r="S1381" s="36"/>
      <c r="T1381" s="36"/>
      <c r="U1381" s="36"/>
      <c r="V1381" s="36"/>
      <c r="W1381" s="36"/>
      <c r="X1381" s="36"/>
      <c r="Y1381" s="36"/>
      <c r="Z1381" s="36"/>
      <c r="AA1381" s="36"/>
      <c r="AB1381" s="36"/>
      <c r="AC1381" s="36"/>
    </row>
    <row r="1382" ht="15.75" customHeight="1">
      <c r="A1382" s="423">
        <v>43419.0</v>
      </c>
      <c r="B1382" s="424">
        <v>13.8665</v>
      </c>
      <c r="C1382" s="425">
        <v>17.2524</v>
      </c>
      <c r="D1382" s="426">
        <v>18.8885</v>
      </c>
      <c r="E1382" s="425">
        <v>13.7729</v>
      </c>
      <c r="F1382" s="425">
        <v>16.3333</v>
      </c>
      <c r="G1382" s="425">
        <v>13.4812</v>
      </c>
      <c r="H1382" s="426">
        <v>31.0355</v>
      </c>
      <c r="I1382" s="426">
        <v>22.0013</v>
      </c>
      <c r="J1382" s="425">
        <v>20.501</v>
      </c>
      <c r="K1382" s="182">
        <v>10616.7</v>
      </c>
      <c r="L1382" s="36"/>
      <c r="M1382" s="36"/>
      <c r="N1382" s="36"/>
      <c r="O1382" s="36"/>
      <c r="P1382" s="36"/>
      <c r="Q1382" s="36"/>
      <c r="R1382" s="36"/>
      <c r="S1382" s="36"/>
      <c r="T1382" s="36"/>
      <c r="U1382" s="36"/>
      <c r="V1382" s="36"/>
      <c r="W1382" s="36"/>
      <c r="X1382" s="36"/>
      <c r="Y1382" s="36"/>
      <c r="Z1382" s="36"/>
      <c r="AA1382" s="36"/>
      <c r="AB1382" s="36"/>
      <c r="AC1382" s="36"/>
    </row>
    <row r="1383" ht="15.75" customHeight="1">
      <c r="A1383" s="423">
        <v>43419.0</v>
      </c>
      <c r="B1383" s="424">
        <v>13.8665</v>
      </c>
      <c r="C1383" s="425">
        <v>17.2496</v>
      </c>
      <c r="D1383" s="426">
        <v>18.7973</v>
      </c>
      <c r="E1383" s="425">
        <v>13.7729</v>
      </c>
      <c r="F1383" s="425">
        <v>16.3333</v>
      </c>
      <c r="G1383" s="425">
        <v>13.4812</v>
      </c>
      <c r="H1383" s="426">
        <v>30.9462</v>
      </c>
      <c r="I1383" s="426">
        <v>21.8652</v>
      </c>
      <c r="J1383" s="425">
        <v>20.6046</v>
      </c>
      <c r="K1383" s="182">
        <v>10616.7</v>
      </c>
      <c r="L1383" s="36"/>
      <c r="M1383" s="36"/>
      <c r="N1383" s="36"/>
      <c r="O1383" s="36"/>
      <c r="P1383" s="36"/>
      <c r="Q1383" s="36"/>
      <c r="R1383" s="36"/>
      <c r="S1383" s="36"/>
      <c r="T1383" s="36"/>
      <c r="U1383" s="36"/>
      <c r="V1383" s="36"/>
      <c r="W1383" s="36"/>
      <c r="X1383" s="36"/>
      <c r="Y1383" s="36"/>
      <c r="Z1383" s="36"/>
      <c r="AA1383" s="36"/>
      <c r="AB1383" s="36"/>
      <c r="AC1383" s="36"/>
    </row>
    <row r="1384" ht="15.75" customHeight="1">
      <c r="A1384" s="423">
        <v>43419.0</v>
      </c>
      <c r="B1384" s="424">
        <v>13.8665</v>
      </c>
      <c r="C1384" s="425">
        <v>17.2496</v>
      </c>
      <c r="D1384" s="426">
        <v>18.8827</v>
      </c>
      <c r="E1384" s="425">
        <v>13.7729</v>
      </c>
      <c r="F1384" s="425">
        <v>16.3333</v>
      </c>
      <c r="G1384" s="425">
        <v>13.4812</v>
      </c>
      <c r="H1384" s="426">
        <v>31.3234</v>
      </c>
      <c r="I1384" s="426">
        <v>21.9476</v>
      </c>
      <c r="J1384" s="425">
        <v>20.6046</v>
      </c>
      <c r="K1384" s="182">
        <v>10616.7</v>
      </c>
      <c r="L1384" s="36"/>
      <c r="M1384" s="36"/>
      <c r="N1384" s="36"/>
      <c r="O1384" s="36"/>
      <c r="P1384" s="36"/>
      <c r="Q1384" s="36"/>
      <c r="R1384" s="36"/>
      <c r="S1384" s="36"/>
      <c r="T1384" s="36"/>
      <c r="U1384" s="36"/>
      <c r="V1384" s="36"/>
      <c r="W1384" s="36"/>
      <c r="X1384" s="36"/>
      <c r="Y1384" s="36"/>
      <c r="Z1384" s="36"/>
      <c r="AA1384" s="36"/>
      <c r="AB1384" s="36"/>
      <c r="AC1384" s="36"/>
    </row>
    <row r="1385" ht="15.75" customHeight="1">
      <c r="A1385" s="423">
        <v>43420.0</v>
      </c>
      <c r="B1385" s="424">
        <v>13.9346</v>
      </c>
      <c r="C1385" s="425">
        <v>17.2651</v>
      </c>
      <c r="D1385" s="426">
        <v>18.8956</v>
      </c>
      <c r="E1385" s="425">
        <v>13.7454</v>
      </c>
      <c r="F1385" s="425">
        <v>16.4096</v>
      </c>
      <c r="G1385" s="425">
        <v>13.4822</v>
      </c>
      <c r="H1385" s="426">
        <v>30.8443</v>
      </c>
      <c r="I1385" s="426">
        <v>22.4425</v>
      </c>
      <c r="J1385" s="425">
        <v>20.6416</v>
      </c>
      <c r="K1385" s="182">
        <v>10682.2</v>
      </c>
      <c r="L1385" s="36"/>
      <c r="M1385" s="36"/>
      <c r="N1385" s="36"/>
      <c r="O1385" s="36"/>
      <c r="P1385" s="36"/>
      <c r="Q1385" s="36"/>
      <c r="R1385" s="36"/>
      <c r="S1385" s="36"/>
      <c r="T1385" s="36"/>
      <c r="U1385" s="36"/>
      <c r="V1385" s="36"/>
      <c r="W1385" s="36"/>
      <c r="X1385" s="36"/>
      <c r="Y1385" s="36"/>
      <c r="Z1385" s="36"/>
      <c r="AA1385" s="36"/>
      <c r="AB1385" s="36"/>
      <c r="AC1385" s="36"/>
    </row>
    <row r="1386" ht="15.75" customHeight="1">
      <c r="A1386" s="423">
        <v>43420.0</v>
      </c>
      <c r="B1386" s="424">
        <v>13.9346</v>
      </c>
      <c r="C1386" s="425">
        <v>17.2651</v>
      </c>
      <c r="D1386" s="426">
        <v>18.9094</v>
      </c>
      <c r="E1386" s="425">
        <v>13.7454</v>
      </c>
      <c r="F1386" s="425">
        <v>16.4096</v>
      </c>
      <c r="G1386" s="425">
        <v>13.4822</v>
      </c>
      <c r="H1386" s="426">
        <v>31.0272</v>
      </c>
      <c r="I1386" s="426">
        <v>22.4857</v>
      </c>
      <c r="J1386" s="425">
        <v>20.6416</v>
      </c>
      <c r="K1386" s="182">
        <v>10682.2</v>
      </c>
      <c r="L1386" s="36"/>
      <c r="M1386" s="36"/>
      <c r="N1386" s="36"/>
      <c r="O1386" s="36"/>
      <c r="P1386" s="36"/>
      <c r="Q1386" s="36"/>
      <c r="R1386" s="36"/>
      <c r="S1386" s="36"/>
      <c r="T1386" s="36"/>
      <c r="U1386" s="36"/>
      <c r="V1386" s="36"/>
      <c r="W1386" s="36"/>
      <c r="X1386" s="36"/>
      <c r="Y1386" s="36"/>
      <c r="Z1386" s="36"/>
      <c r="AA1386" s="36"/>
      <c r="AB1386" s="36"/>
      <c r="AC1386" s="36"/>
    </row>
    <row r="1387" ht="15.75" customHeight="1">
      <c r="A1387" s="423">
        <v>43420.0</v>
      </c>
      <c r="B1387" s="424">
        <v>13.9346</v>
      </c>
      <c r="C1387" s="425">
        <v>17.2556</v>
      </c>
      <c r="D1387" s="426">
        <v>18.8785</v>
      </c>
      <c r="E1387" s="425">
        <v>13.7454</v>
      </c>
      <c r="F1387" s="425">
        <v>16.4096</v>
      </c>
      <c r="G1387" s="425">
        <v>13.4822</v>
      </c>
      <c r="H1387" s="426">
        <v>30.9508</v>
      </c>
      <c r="I1387" s="426">
        <v>22.283</v>
      </c>
      <c r="J1387" s="425">
        <v>20.6017</v>
      </c>
      <c r="K1387" s="182">
        <v>10682.2</v>
      </c>
      <c r="L1387" s="36"/>
      <c r="M1387" s="36"/>
      <c r="N1387" s="36"/>
      <c r="O1387" s="36"/>
      <c r="P1387" s="36"/>
      <c r="Q1387" s="36"/>
      <c r="R1387" s="36"/>
      <c r="S1387" s="36"/>
      <c r="T1387" s="36"/>
      <c r="U1387" s="36"/>
      <c r="V1387" s="36"/>
      <c r="W1387" s="36"/>
      <c r="X1387" s="36"/>
      <c r="Y1387" s="36"/>
      <c r="Z1387" s="36"/>
      <c r="AA1387" s="36"/>
      <c r="AB1387" s="36"/>
      <c r="AC1387" s="36"/>
    </row>
    <row r="1388" ht="15.75" customHeight="1">
      <c r="A1388" s="423">
        <v>43420.0</v>
      </c>
      <c r="B1388" s="424">
        <v>13.9346</v>
      </c>
      <c r="C1388" s="425">
        <v>17.2556</v>
      </c>
      <c r="D1388" s="426">
        <v>18.8643</v>
      </c>
      <c r="E1388" s="425">
        <v>13.7454</v>
      </c>
      <c r="F1388" s="425">
        <v>16.4096</v>
      </c>
      <c r="G1388" s="425">
        <v>13.4822</v>
      </c>
      <c r="H1388" s="426">
        <v>30.8313</v>
      </c>
      <c r="I1388" s="426">
        <v>22.1576</v>
      </c>
      <c r="J1388" s="425">
        <v>20.6017</v>
      </c>
      <c r="K1388" s="182">
        <v>10682.2</v>
      </c>
      <c r="L1388" s="36"/>
      <c r="M1388" s="36"/>
      <c r="N1388" s="36"/>
      <c r="O1388" s="36"/>
      <c r="P1388" s="36"/>
      <c r="Q1388" s="36"/>
      <c r="R1388" s="36"/>
      <c r="S1388" s="36"/>
      <c r="T1388" s="36"/>
      <c r="U1388" s="36"/>
      <c r="V1388" s="36"/>
      <c r="W1388" s="36"/>
      <c r="X1388" s="36"/>
      <c r="Y1388" s="36"/>
      <c r="Z1388" s="36"/>
      <c r="AA1388" s="36"/>
      <c r="AB1388" s="36"/>
      <c r="AC1388" s="36"/>
    </row>
    <row r="1389" ht="15.75" customHeight="1">
      <c r="A1389" s="423">
        <v>43423.0</v>
      </c>
      <c r="B1389" s="424">
        <v>14.0499</v>
      </c>
      <c r="C1389" s="425">
        <v>17.2679</v>
      </c>
      <c r="D1389" s="426">
        <v>18.8116</v>
      </c>
      <c r="E1389" s="425">
        <v>13.7999</v>
      </c>
      <c r="F1389" s="425">
        <v>16.5216</v>
      </c>
      <c r="G1389" s="425">
        <v>13.4929</v>
      </c>
      <c r="H1389" s="426">
        <v>30.1302</v>
      </c>
      <c r="I1389" s="426">
        <v>22.2746</v>
      </c>
      <c r="J1389" s="425">
        <v>20.6866</v>
      </c>
      <c r="K1389" s="182">
        <v>10763.4</v>
      </c>
      <c r="L1389" s="36"/>
      <c r="M1389" s="36"/>
      <c r="N1389" s="36"/>
      <c r="O1389" s="36"/>
      <c r="P1389" s="36"/>
      <c r="Q1389" s="36"/>
      <c r="R1389" s="36"/>
      <c r="S1389" s="36"/>
      <c r="T1389" s="36"/>
      <c r="U1389" s="36"/>
      <c r="V1389" s="36"/>
      <c r="W1389" s="36"/>
      <c r="X1389" s="36"/>
      <c r="Y1389" s="36"/>
      <c r="Z1389" s="36"/>
      <c r="AA1389" s="36"/>
      <c r="AB1389" s="36"/>
      <c r="AC1389" s="36"/>
    </row>
    <row r="1390" ht="15.75" customHeight="1">
      <c r="A1390" s="423">
        <v>43423.0</v>
      </c>
      <c r="B1390" s="424">
        <v>14.0499</v>
      </c>
      <c r="C1390" s="425">
        <v>17.2679</v>
      </c>
      <c r="D1390" s="426">
        <v>18.8102</v>
      </c>
      <c r="E1390" s="425">
        <v>13.7999</v>
      </c>
      <c r="F1390" s="425">
        <v>16.5216</v>
      </c>
      <c r="G1390" s="425">
        <v>13.4929</v>
      </c>
      <c r="H1390" s="426">
        <v>30.2854</v>
      </c>
      <c r="I1390" s="426">
        <v>22.3363</v>
      </c>
      <c r="J1390" s="425">
        <v>20.6866</v>
      </c>
      <c r="K1390" s="182">
        <v>10763.4</v>
      </c>
      <c r="L1390" s="36"/>
      <c r="M1390" s="36"/>
      <c r="N1390" s="36"/>
      <c r="O1390" s="36"/>
      <c r="P1390" s="36"/>
      <c r="Q1390" s="36"/>
      <c r="R1390" s="36"/>
      <c r="S1390" s="36"/>
      <c r="T1390" s="36"/>
      <c r="U1390" s="36"/>
      <c r="V1390" s="36"/>
      <c r="W1390" s="36"/>
      <c r="X1390" s="36"/>
      <c r="Y1390" s="36"/>
      <c r="Z1390" s="36"/>
      <c r="AA1390" s="36"/>
      <c r="AB1390" s="36"/>
      <c r="AC1390" s="36"/>
    </row>
    <row r="1391" ht="15.75" customHeight="1">
      <c r="A1391" s="423">
        <v>43423.0</v>
      </c>
      <c r="B1391" s="424">
        <v>14.0499</v>
      </c>
      <c r="C1391" s="425">
        <v>17.2648</v>
      </c>
      <c r="D1391" s="426">
        <v>18.8155</v>
      </c>
      <c r="E1391" s="425">
        <v>13.7999</v>
      </c>
      <c r="F1391" s="425">
        <v>16.5216</v>
      </c>
      <c r="G1391" s="425">
        <v>13.4929</v>
      </c>
      <c r="H1391" s="426">
        <v>30.4854</v>
      </c>
      <c r="I1391" s="426">
        <v>22.4567</v>
      </c>
      <c r="J1391" s="425">
        <v>20.6283</v>
      </c>
      <c r="K1391" s="182">
        <v>10763.4</v>
      </c>
      <c r="L1391" s="36"/>
      <c r="M1391" s="36"/>
      <c r="N1391" s="36"/>
      <c r="O1391" s="36"/>
      <c r="P1391" s="36"/>
      <c r="Q1391" s="36"/>
      <c r="R1391" s="36"/>
      <c r="S1391" s="36"/>
      <c r="T1391" s="36"/>
      <c r="U1391" s="36"/>
      <c r="V1391" s="36"/>
      <c r="W1391" s="36"/>
      <c r="X1391" s="36"/>
      <c r="Y1391" s="36"/>
      <c r="Z1391" s="36"/>
      <c r="AA1391" s="36"/>
      <c r="AB1391" s="36"/>
      <c r="AC1391" s="36"/>
    </row>
    <row r="1392" ht="15.75" customHeight="1">
      <c r="A1392" s="423">
        <v>43423.0</v>
      </c>
      <c r="B1392" s="424">
        <v>14.0499</v>
      </c>
      <c r="C1392" s="425">
        <v>17.2648</v>
      </c>
      <c r="D1392" s="426">
        <v>18.8773</v>
      </c>
      <c r="E1392" s="425">
        <v>13.7999</v>
      </c>
      <c r="F1392" s="425">
        <v>16.5216</v>
      </c>
      <c r="G1392" s="425">
        <v>13.4929</v>
      </c>
      <c r="H1392" s="426">
        <v>30.6279</v>
      </c>
      <c r="I1392" s="426">
        <v>22.4008</v>
      </c>
      <c r="J1392" s="425">
        <v>20.6283</v>
      </c>
      <c r="K1392" s="182">
        <v>10763.4</v>
      </c>
      <c r="L1392" s="36"/>
      <c r="M1392" s="36"/>
      <c r="N1392" s="36"/>
      <c r="O1392" s="36"/>
      <c r="P1392" s="36"/>
      <c r="Q1392" s="36"/>
      <c r="R1392" s="36"/>
      <c r="S1392" s="36"/>
      <c r="T1392" s="36"/>
      <c r="U1392" s="36"/>
      <c r="V1392" s="36"/>
      <c r="W1392" s="36"/>
      <c r="X1392" s="36"/>
      <c r="Y1392" s="36"/>
      <c r="Z1392" s="36"/>
      <c r="AA1392" s="36"/>
      <c r="AB1392" s="36"/>
      <c r="AC1392" s="36"/>
    </row>
    <row r="1393" ht="15.75" customHeight="1">
      <c r="A1393" s="423">
        <v>43424.0</v>
      </c>
      <c r="B1393" s="424">
        <v>13.9294</v>
      </c>
      <c r="C1393" s="425">
        <v>17.2794</v>
      </c>
      <c r="D1393" s="426">
        <v>18.7184</v>
      </c>
      <c r="E1393" s="425">
        <v>13.8046</v>
      </c>
      <c r="F1393" s="425">
        <v>16.3954</v>
      </c>
      <c r="G1393" s="425">
        <v>13.4969</v>
      </c>
      <c r="H1393" s="426">
        <v>28.8731</v>
      </c>
      <c r="I1393" s="426">
        <v>21.3182</v>
      </c>
      <c r="J1393" s="425">
        <v>20.6686</v>
      </c>
      <c r="K1393" s="182">
        <v>10656.2</v>
      </c>
      <c r="L1393" s="36"/>
      <c r="M1393" s="36"/>
      <c r="N1393" s="36"/>
      <c r="O1393" s="36"/>
      <c r="P1393" s="36"/>
      <c r="Q1393" s="36"/>
      <c r="R1393" s="36"/>
      <c r="S1393" s="36"/>
      <c r="T1393" s="36"/>
      <c r="U1393" s="36"/>
      <c r="V1393" s="36"/>
      <c r="W1393" s="36"/>
      <c r="X1393" s="36"/>
      <c r="Y1393" s="36"/>
      <c r="Z1393" s="36"/>
      <c r="AA1393" s="36"/>
      <c r="AB1393" s="36"/>
      <c r="AC1393" s="36"/>
    </row>
    <row r="1394" ht="15.75" customHeight="1">
      <c r="A1394" s="423">
        <v>43424.0</v>
      </c>
      <c r="B1394" s="424">
        <v>13.9294</v>
      </c>
      <c r="C1394" s="425">
        <v>17.2794</v>
      </c>
      <c r="D1394" s="426">
        <v>18.6976</v>
      </c>
      <c r="E1394" s="425">
        <v>13.8046</v>
      </c>
      <c r="F1394" s="425">
        <v>16.3954</v>
      </c>
      <c r="G1394" s="425">
        <v>13.4969</v>
      </c>
      <c r="H1394" s="426">
        <v>29.1455</v>
      </c>
      <c r="I1394" s="426">
        <v>21.6071</v>
      </c>
      <c r="J1394" s="425">
        <v>20.6686</v>
      </c>
      <c r="K1394" s="182">
        <v>10656.2</v>
      </c>
      <c r="L1394" s="36"/>
      <c r="M1394" s="36"/>
      <c r="N1394" s="36"/>
      <c r="O1394" s="36"/>
      <c r="P1394" s="36"/>
      <c r="Q1394" s="36"/>
      <c r="R1394" s="36"/>
      <c r="S1394" s="36"/>
      <c r="T1394" s="36"/>
      <c r="U1394" s="36"/>
      <c r="V1394" s="36"/>
      <c r="W1394" s="36"/>
      <c r="X1394" s="36"/>
      <c r="Y1394" s="36"/>
      <c r="Z1394" s="36"/>
      <c r="AA1394" s="36"/>
      <c r="AB1394" s="36"/>
      <c r="AC1394" s="36"/>
    </row>
    <row r="1395" ht="15.75" customHeight="1">
      <c r="A1395" s="423">
        <v>43424.0</v>
      </c>
      <c r="B1395" s="424">
        <v>13.9294</v>
      </c>
      <c r="C1395" s="425">
        <v>17.2746</v>
      </c>
      <c r="D1395" s="426">
        <v>18.7094</v>
      </c>
      <c r="E1395" s="425">
        <v>13.8046</v>
      </c>
      <c r="F1395" s="425">
        <v>16.3954</v>
      </c>
      <c r="G1395" s="425">
        <v>13.4969</v>
      </c>
      <c r="H1395" s="426">
        <v>29.2695</v>
      </c>
      <c r="I1395" s="426">
        <v>21.7495</v>
      </c>
      <c r="J1395" s="425">
        <v>20.7205</v>
      </c>
      <c r="K1395" s="182">
        <v>10656.2</v>
      </c>
      <c r="L1395" s="36"/>
      <c r="M1395" s="36"/>
      <c r="N1395" s="36"/>
      <c r="O1395" s="36"/>
      <c r="P1395" s="36"/>
      <c r="Q1395" s="36"/>
      <c r="R1395" s="36"/>
      <c r="S1395" s="36"/>
      <c r="T1395" s="36"/>
      <c r="U1395" s="36"/>
      <c r="V1395" s="36"/>
      <c r="W1395" s="36"/>
      <c r="X1395" s="36"/>
      <c r="Y1395" s="36"/>
      <c r="Z1395" s="36"/>
      <c r="AA1395" s="36"/>
      <c r="AB1395" s="36"/>
      <c r="AC1395" s="36"/>
    </row>
    <row r="1396" ht="15.75" customHeight="1">
      <c r="A1396" s="423">
        <v>43424.0</v>
      </c>
      <c r="B1396" s="424">
        <v>13.9294</v>
      </c>
      <c r="C1396" s="425">
        <v>17.2746</v>
      </c>
      <c r="D1396" s="426">
        <v>18.6738</v>
      </c>
      <c r="E1396" s="425">
        <v>13.8046</v>
      </c>
      <c r="F1396" s="425">
        <v>16.3954</v>
      </c>
      <c r="G1396" s="425">
        <v>13.4969</v>
      </c>
      <c r="H1396" s="426">
        <v>30.1882</v>
      </c>
      <c r="I1396" s="426">
        <v>22.2557</v>
      </c>
      <c r="J1396" s="425">
        <v>20.7205</v>
      </c>
      <c r="K1396" s="182">
        <v>10656.2</v>
      </c>
      <c r="L1396" s="36"/>
      <c r="M1396" s="36"/>
      <c r="N1396" s="36"/>
      <c r="O1396" s="36"/>
      <c r="P1396" s="36"/>
      <c r="Q1396" s="36"/>
      <c r="R1396" s="36"/>
      <c r="S1396" s="36"/>
      <c r="T1396" s="36"/>
      <c r="U1396" s="36"/>
      <c r="V1396" s="36"/>
      <c r="W1396" s="36"/>
      <c r="X1396" s="36"/>
      <c r="Y1396" s="36"/>
      <c r="Z1396" s="36"/>
      <c r="AA1396" s="36"/>
      <c r="AB1396" s="36"/>
      <c r="AC1396" s="36"/>
    </row>
    <row r="1397" ht="15.75" customHeight="1">
      <c r="A1397" s="423">
        <v>43425.0</v>
      </c>
      <c r="B1397" s="424">
        <v>13.8683</v>
      </c>
      <c r="C1397" s="425">
        <v>17.2824</v>
      </c>
      <c r="D1397" s="426">
        <v>18.7945</v>
      </c>
      <c r="E1397" s="425">
        <v>13.8068</v>
      </c>
      <c r="F1397" s="425">
        <v>16.341</v>
      </c>
      <c r="G1397" s="425">
        <v>13.499</v>
      </c>
      <c r="H1397" s="426">
        <v>29.6918</v>
      </c>
      <c r="I1397" s="426">
        <v>21.442</v>
      </c>
      <c r="J1397" s="425">
        <v>20.6639</v>
      </c>
      <c r="K1397" s="182">
        <v>10600.05</v>
      </c>
      <c r="L1397" s="36"/>
      <c r="M1397" s="36"/>
      <c r="N1397" s="36"/>
      <c r="O1397" s="36"/>
      <c r="P1397" s="36"/>
      <c r="Q1397" s="36"/>
      <c r="R1397" s="36"/>
      <c r="S1397" s="36"/>
      <c r="T1397" s="36"/>
      <c r="U1397" s="36"/>
      <c r="V1397" s="36"/>
      <c r="W1397" s="36"/>
      <c r="X1397" s="36"/>
      <c r="Y1397" s="36"/>
      <c r="Z1397" s="36"/>
      <c r="AA1397" s="36"/>
      <c r="AB1397" s="36"/>
      <c r="AC1397" s="36"/>
    </row>
    <row r="1398" ht="15.75" customHeight="1">
      <c r="A1398" s="423">
        <v>43425.0</v>
      </c>
      <c r="B1398" s="424">
        <v>13.8683</v>
      </c>
      <c r="C1398" s="425">
        <v>17.2824</v>
      </c>
      <c r="D1398" s="426">
        <v>18.7949</v>
      </c>
      <c r="E1398" s="425">
        <v>13.8068</v>
      </c>
      <c r="F1398" s="425">
        <v>16.341</v>
      </c>
      <c r="G1398" s="425">
        <v>13.499</v>
      </c>
      <c r="H1398" s="426">
        <v>29.4079</v>
      </c>
      <c r="I1398" s="426">
        <v>21.2775</v>
      </c>
      <c r="J1398" s="425">
        <v>20.6639</v>
      </c>
      <c r="K1398" s="182">
        <v>10600.05</v>
      </c>
      <c r="L1398" s="36"/>
      <c r="M1398" s="36"/>
      <c r="N1398" s="36"/>
      <c r="O1398" s="36"/>
      <c r="P1398" s="36"/>
      <c r="Q1398" s="36"/>
      <c r="R1398" s="36"/>
      <c r="S1398" s="36"/>
      <c r="T1398" s="36"/>
      <c r="U1398" s="36"/>
      <c r="V1398" s="36"/>
      <c r="W1398" s="36"/>
      <c r="X1398" s="36"/>
      <c r="Y1398" s="36"/>
      <c r="Z1398" s="36"/>
      <c r="AA1398" s="36"/>
      <c r="AB1398" s="36"/>
      <c r="AC1398" s="36"/>
    </row>
    <row r="1399" ht="15.75" customHeight="1">
      <c r="A1399" s="423">
        <v>43425.0</v>
      </c>
      <c r="B1399" s="424">
        <v>13.8683</v>
      </c>
      <c r="C1399" s="425">
        <v>17.2841</v>
      </c>
      <c r="D1399" s="426">
        <v>18.8108</v>
      </c>
      <c r="E1399" s="425">
        <v>13.8068</v>
      </c>
      <c r="F1399" s="425">
        <v>16.341</v>
      </c>
      <c r="G1399" s="425">
        <v>13.499</v>
      </c>
      <c r="H1399" s="426">
        <v>29.4523</v>
      </c>
      <c r="I1399" s="426">
        <v>21.4843</v>
      </c>
      <c r="J1399" s="425">
        <v>20.5684</v>
      </c>
      <c r="K1399" s="182">
        <v>10600.05</v>
      </c>
      <c r="L1399" s="36"/>
      <c r="M1399" s="36"/>
      <c r="N1399" s="36"/>
      <c r="O1399" s="36"/>
      <c r="P1399" s="36"/>
      <c r="Q1399" s="36"/>
      <c r="R1399" s="36"/>
      <c r="S1399" s="36"/>
      <c r="T1399" s="36"/>
      <c r="U1399" s="36"/>
      <c r="V1399" s="36"/>
      <c r="W1399" s="36"/>
      <c r="X1399" s="36"/>
      <c r="Y1399" s="36"/>
      <c r="Z1399" s="36"/>
      <c r="AA1399" s="36"/>
      <c r="AB1399" s="36"/>
      <c r="AC1399" s="36"/>
    </row>
    <row r="1400" ht="15.75" customHeight="1">
      <c r="A1400" s="423">
        <v>43425.0</v>
      </c>
      <c r="B1400" s="424">
        <v>13.8683</v>
      </c>
      <c r="C1400" s="425">
        <v>17.2841</v>
      </c>
      <c r="D1400" s="426">
        <v>18.7651</v>
      </c>
      <c r="E1400" s="425">
        <v>13.8068</v>
      </c>
      <c r="F1400" s="425">
        <v>16.341</v>
      </c>
      <c r="G1400" s="425">
        <v>13.499</v>
      </c>
      <c r="H1400" s="426">
        <v>29.0307</v>
      </c>
      <c r="I1400" s="426">
        <v>21.2921</v>
      </c>
      <c r="J1400" s="425">
        <v>20.5684</v>
      </c>
      <c r="K1400" s="182">
        <v>10600.05</v>
      </c>
      <c r="L1400" s="36"/>
      <c r="M1400" s="36"/>
      <c r="N1400" s="36"/>
      <c r="O1400" s="36"/>
      <c r="P1400" s="36"/>
      <c r="Q1400" s="36"/>
      <c r="R1400" s="36"/>
      <c r="S1400" s="36"/>
      <c r="T1400" s="36"/>
      <c r="U1400" s="36"/>
      <c r="V1400" s="36"/>
      <c r="W1400" s="36"/>
      <c r="X1400" s="36"/>
      <c r="Y1400" s="36"/>
      <c r="Z1400" s="36"/>
      <c r="AA1400" s="36"/>
      <c r="AB1400" s="36"/>
      <c r="AC1400" s="36"/>
    </row>
    <row r="1401" ht="15.75" customHeight="1">
      <c r="A1401" s="423">
        <v>43426.0</v>
      </c>
      <c r="B1401" s="424">
        <v>13.7762</v>
      </c>
      <c r="C1401" s="425">
        <v>17.2872</v>
      </c>
      <c r="D1401" s="426">
        <v>18.764</v>
      </c>
      <c r="E1401" s="425">
        <v>13.8472</v>
      </c>
      <c r="F1401" s="425">
        <v>16.248</v>
      </c>
      <c r="G1401" s="425">
        <v>13.5066</v>
      </c>
      <c r="H1401" s="426">
        <v>29.1208</v>
      </c>
      <c r="I1401" s="426">
        <v>21.0891</v>
      </c>
      <c r="J1401" s="425">
        <v>20.7127</v>
      </c>
      <c r="K1401" s="182">
        <v>10526.75</v>
      </c>
      <c r="L1401" s="36"/>
      <c r="M1401" s="36"/>
      <c r="N1401" s="36"/>
      <c r="O1401" s="36"/>
      <c r="P1401" s="36"/>
      <c r="Q1401" s="36"/>
      <c r="R1401" s="36"/>
      <c r="S1401" s="36"/>
      <c r="T1401" s="36"/>
      <c r="U1401" s="36"/>
      <c r="V1401" s="36"/>
      <c r="W1401" s="36"/>
      <c r="X1401" s="36"/>
      <c r="Y1401" s="36"/>
      <c r="Z1401" s="36"/>
      <c r="AA1401" s="36"/>
      <c r="AB1401" s="36"/>
      <c r="AC1401" s="36"/>
    </row>
    <row r="1402" ht="15.75" customHeight="1">
      <c r="A1402" s="423">
        <v>43426.0</v>
      </c>
      <c r="B1402" s="424">
        <v>13.7762</v>
      </c>
      <c r="C1402" s="425">
        <v>17.2872</v>
      </c>
      <c r="D1402" s="426">
        <v>18.7546</v>
      </c>
      <c r="E1402" s="425">
        <v>13.8472</v>
      </c>
      <c r="F1402" s="425">
        <v>16.248</v>
      </c>
      <c r="G1402" s="425">
        <v>13.5066</v>
      </c>
      <c r="H1402" s="426">
        <v>29.3493</v>
      </c>
      <c r="I1402" s="426">
        <v>21.2552</v>
      </c>
      <c r="J1402" s="425">
        <v>20.7127</v>
      </c>
      <c r="K1402" s="182">
        <v>10526.75</v>
      </c>
      <c r="L1402" s="36"/>
      <c r="M1402" s="36"/>
      <c r="N1402" s="36"/>
      <c r="O1402" s="36"/>
      <c r="P1402" s="36"/>
      <c r="Q1402" s="36"/>
      <c r="R1402" s="36"/>
      <c r="S1402" s="36"/>
      <c r="T1402" s="36"/>
      <c r="U1402" s="36"/>
      <c r="V1402" s="36"/>
      <c r="W1402" s="36"/>
      <c r="X1402" s="36"/>
      <c r="Y1402" s="36"/>
      <c r="Z1402" s="36"/>
      <c r="AA1402" s="36"/>
      <c r="AB1402" s="36"/>
      <c r="AC1402" s="36"/>
    </row>
    <row r="1403" ht="15.75" customHeight="1">
      <c r="A1403" s="423">
        <v>43426.0</v>
      </c>
      <c r="B1403" s="424">
        <v>13.7762</v>
      </c>
      <c r="C1403" s="425">
        <v>17.2855</v>
      </c>
      <c r="D1403" s="426">
        <v>18.7578</v>
      </c>
      <c r="E1403" s="425">
        <v>13.8472</v>
      </c>
      <c r="F1403" s="425">
        <v>16.248</v>
      </c>
      <c r="G1403" s="425">
        <v>13.5066</v>
      </c>
      <c r="H1403" s="426">
        <v>29.5912</v>
      </c>
      <c r="I1403" s="426">
        <v>21.4295</v>
      </c>
      <c r="J1403" s="425">
        <v>20.6094</v>
      </c>
      <c r="K1403" s="182">
        <v>10526.75</v>
      </c>
      <c r="L1403" s="36"/>
      <c r="M1403" s="36"/>
      <c r="N1403" s="36"/>
      <c r="O1403" s="36"/>
      <c r="P1403" s="36"/>
      <c r="Q1403" s="36"/>
      <c r="R1403" s="36"/>
      <c r="S1403" s="36"/>
      <c r="T1403" s="36"/>
      <c r="U1403" s="36"/>
      <c r="V1403" s="36"/>
      <c r="W1403" s="36"/>
      <c r="X1403" s="36"/>
      <c r="Y1403" s="36"/>
      <c r="Z1403" s="36"/>
      <c r="AA1403" s="36"/>
      <c r="AB1403" s="36"/>
      <c r="AC1403" s="36"/>
    </row>
    <row r="1404" ht="15.75" customHeight="1">
      <c r="A1404" s="423">
        <v>43426.0</v>
      </c>
      <c r="B1404" s="424">
        <v>13.7762</v>
      </c>
      <c r="C1404" s="425">
        <v>17.2855</v>
      </c>
      <c r="D1404" s="426">
        <v>18.8039</v>
      </c>
      <c r="E1404" s="425">
        <v>13.8472</v>
      </c>
      <c r="F1404" s="425">
        <v>16.248</v>
      </c>
      <c r="G1404" s="425">
        <v>13.5066</v>
      </c>
      <c r="H1404" s="426">
        <v>29.7685</v>
      </c>
      <c r="I1404" s="426">
        <v>21.3545</v>
      </c>
      <c r="J1404" s="425">
        <v>20.6094</v>
      </c>
      <c r="K1404" s="182">
        <v>10526.75</v>
      </c>
      <c r="L1404" s="36"/>
      <c r="M1404" s="36"/>
      <c r="N1404" s="36"/>
      <c r="O1404" s="36"/>
      <c r="P1404" s="36"/>
      <c r="Q1404" s="36"/>
      <c r="R1404" s="36"/>
      <c r="S1404" s="36"/>
      <c r="T1404" s="36"/>
      <c r="U1404" s="36"/>
      <c r="V1404" s="36"/>
      <c r="W1404" s="36"/>
      <c r="X1404" s="36"/>
      <c r="Y1404" s="36"/>
      <c r="Z1404" s="36"/>
      <c r="AA1404" s="36"/>
      <c r="AB1404" s="36"/>
      <c r="AC1404" s="36"/>
    </row>
    <row r="1405" ht="15.75" customHeight="1">
      <c r="A1405" s="423">
        <v>43430.0</v>
      </c>
      <c r="B1405" s="424">
        <v>13.8977</v>
      </c>
      <c r="C1405" s="425">
        <v>17.2998</v>
      </c>
      <c r="D1405" s="426">
        <v>18.6734</v>
      </c>
      <c r="E1405" s="425">
        <v>13.8514</v>
      </c>
      <c r="F1405" s="425">
        <v>16.3826</v>
      </c>
      <c r="G1405" s="425">
        <v>13.514</v>
      </c>
      <c r="H1405" s="426">
        <v>29.3036</v>
      </c>
      <c r="I1405" s="426">
        <v>21.2811</v>
      </c>
      <c r="J1405" s="425">
        <v>20.8536</v>
      </c>
      <c r="K1405" s="182">
        <v>10628.6</v>
      </c>
      <c r="L1405" s="36"/>
      <c r="M1405" s="36"/>
      <c r="N1405" s="36"/>
      <c r="O1405" s="36"/>
      <c r="P1405" s="36"/>
      <c r="Q1405" s="36"/>
      <c r="R1405" s="36"/>
      <c r="S1405" s="36"/>
      <c r="T1405" s="36"/>
      <c r="U1405" s="36"/>
      <c r="V1405" s="36"/>
      <c r="W1405" s="36"/>
      <c r="X1405" s="36"/>
      <c r="Y1405" s="36"/>
      <c r="Z1405" s="36"/>
      <c r="AA1405" s="36"/>
      <c r="AB1405" s="36"/>
      <c r="AC1405" s="36"/>
    </row>
    <row r="1406" ht="15.75" customHeight="1">
      <c r="A1406" s="423">
        <v>43430.0</v>
      </c>
      <c r="B1406" s="424">
        <v>13.8977</v>
      </c>
      <c r="C1406" s="425">
        <v>17.2998</v>
      </c>
      <c r="D1406" s="426">
        <v>18.6278</v>
      </c>
      <c r="E1406" s="425">
        <v>13.8514</v>
      </c>
      <c r="F1406" s="425">
        <v>16.3826</v>
      </c>
      <c r="G1406" s="425">
        <v>13.514</v>
      </c>
      <c r="H1406" s="426">
        <v>28.9359</v>
      </c>
      <c r="I1406" s="426">
        <v>21.0628</v>
      </c>
      <c r="J1406" s="425">
        <v>20.8536</v>
      </c>
      <c r="K1406" s="182">
        <v>10628.6</v>
      </c>
      <c r="L1406" s="36"/>
      <c r="M1406" s="36"/>
      <c r="N1406" s="36"/>
      <c r="O1406" s="36"/>
      <c r="P1406" s="36"/>
      <c r="Q1406" s="36"/>
      <c r="R1406" s="36"/>
      <c r="S1406" s="36"/>
      <c r="T1406" s="36"/>
      <c r="U1406" s="36"/>
      <c r="V1406" s="36"/>
      <c r="W1406" s="36"/>
      <c r="X1406" s="36"/>
      <c r="Y1406" s="36"/>
      <c r="Z1406" s="36"/>
      <c r="AA1406" s="36"/>
      <c r="AB1406" s="36"/>
      <c r="AC1406" s="36"/>
    </row>
    <row r="1407" ht="15.75" customHeight="1">
      <c r="A1407" s="423">
        <v>43430.0</v>
      </c>
      <c r="B1407" s="424">
        <v>13.8977</v>
      </c>
      <c r="C1407" s="425">
        <v>17.2963</v>
      </c>
      <c r="D1407" s="426">
        <v>18.6896</v>
      </c>
      <c r="E1407" s="425">
        <v>13.8514</v>
      </c>
      <c r="F1407" s="425">
        <v>16.3826</v>
      </c>
      <c r="G1407" s="425">
        <v>13.514</v>
      </c>
      <c r="H1407" s="426">
        <v>29.1762</v>
      </c>
      <c r="I1407" s="426">
        <v>21.1036</v>
      </c>
      <c r="J1407" s="425">
        <v>20.8316</v>
      </c>
      <c r="K1407" s="182">
        <v>10628.6</v>
      </c>
      <c r="L1407" s="36"/>
      <c r="M1407" s="36"/>
      <c r="N1407" s="36"/>
      <c r="O1407" s="36"/>
      <c r="P1407" s="36"/>
      <c r="Q1407" s="36"/>
      <c r="R1407" s="36"/>
      <c r="S1407" s="36"/>
      <c r="T1407" s="36"/>
      <c r="U1407" s="36"/>
      <c r="V1407" s="36"/>
      <c r="W1407" s="36"/>
      <c r="X1407" s="36"/>
      <c r="Y1407" s="36"/>
      <c r="Z1407" s="36"/>
      <c r="AA1407" s="36"/>
      <c r="AB1407" s="36"/>
      <c r="AC1407" s="36"/>
    </row>
    <row r="1408" ht="15.75" customHeight="1">
      <c r="A1408" s="423">
        <v>43430.0</v>
      </c>
      <c r="B1408" s="424">
        <v>13.8977</v>
      </c>
      <c r="C1408" s="425">
        <v>17.2963</v>
      </c>
      <c r="D1408" s="426">
        <v>18.7091</v>
      </c>
      <c r="E1408" s="425">
        <v>13.8514</v>
      </c>
      <c r="F1408" s="425">
        <v>16.3826</v>
      </c>
      <c r="G1408" s="425">
        <v>13.514</v>
      </c>
      <c r="H1408" s="426">
        <v>29.1575</v>
      </c>
      <c r="I1408" s="426">
        <v>21.0572</v>
      </c>
      <c r="J1408" s="425">
        <v>20.8316</v>
      </c>
      <c r="K1408" s="182">
        <v>10628.6</v>
      </c>
      <c r="L1408" s="36"/>
      <c r="M1408" s="36"/>
      <c r="N1408" s="36"/>
      <c r="O1408" s="36"/>
      <c r="P1408" s="36"/>
      <c r="Q1408" s="36"/>
      <c r="R1408" s="36"/>
      <c r="S1408" s="36"/>
      <c r="T1408" s="36"/>
      <c r="U1408" s="36"/>
      <c r="V1408" s="36"/>
      <c r="W1408" s="36"/>
      <c r="X1408" s="36"/>
      <c r="Y1408" s="36"/>
      <c r="Z1408" s="36"/>
      <c r="AA1408" s="36"/>
      <c r="AB1408" s="36"/>
      <c r="AC1408" s="36"/>
    </row>
    <row r="1409" ht="15.75" customHeight="1">
      <c r="A1409" s="423">
        <v>43431.0</v>
      </c>
      <c r="B1409" s="424">
        <v>13.9628</v>
      </c>
      <c r="C1409" s="425">
        <v>17.3003</v>
      </c>
      <c r="D1409" s="426">
        <v>18.5858</v>
      </c>
      <c r="E1409" s="425">
        <v>13.8488</v>
      </c>
      <c r="F1409" s="425">
        <v>16.4568</v>
      </c>
      <c r="G1409" s="425">
        <v>13.5165</v>
      </c>
      <c r="H1409" s="426">
        <v>29.3765</v>
      </c>
      <c r="I1409" s="426">
        <v>21.2493</v>
      </c>
      <c r="J1409" s="425">
        <v>20.8133</v>
      </c>
      <c r="K1409" s="182">
        <v>10685.6</v>
      </c>
      <c r="L1409" s="36"/>
      <c r="M1409" s="36"/>
      <c r="N1409" s="36"/>
      <c r="O1409" s="36"/>
      <c r="P1409" s="36"/>
      <c r="Q1409" s="36"/>
      <c r="R1409" s="36"/>
      <c r="S1409" s="36"/>
      <c r="T1409" s="36"/>
      <c r="U1409" s="36"/>
      <c r="V1409" s="36"/>
      <c r="W1409" s="36"/>
      <c r="X1409" s="36"/>
      <c r="Y1409" s="36"/>
      <c r="Z1409" s="36"/>
      <c r="AA1409" s="36"/>
      <c r="AB1409" s="36"/>
      <c r="AC1409" s="36"/>
    </row>
    <row r="1410" ht="15.75" customHeight="1">
      <c r="A1410" s="423">
        <v>43431.0</v>
      </c>
      <c r="B1410" s="424">
        <v>13.9628</v>
      </c>
      <c r="C1410" s="425">
        <v>17.3003</v>
      </c>
      <c r="D1410" s="426">
        <v>18.6111</v>
      </c>
      <c r="E1410" s="425">
        <v>13.8488</v>
      </c>
      <c r="F1410" s="425">
        <v>16.4568</v>
      </c>
      <c r="G1410" s="425">
        <v>13.5165</v>
      </c>
      <c r="H1410" s="426">
        <v>29.4981</v>
      </c>
      <c r="I1410" s="426">
        <v>21.3256</v>
      </c>
      <c r="J1410" s="425">
        <v>20.8133</v>
      </c>
      <c r="K1410" s="182">
        <v>10685.6</v>
      </c>
      <c r="L1410" s="36"/>
      <c r="M1410" s="36"/>
      <c r="N1410" s="36"/>
      <c r="O1410" s="36"/>
      <c r="P1410" s="36"/>
      <c r="Q1410" s="36"/>
      <c r="R1410" s="36"/>
      <c r="S1410" s="36"/>
      <c r="T1410" s="36"/>
      <c r="U1410" s="36"/>
      <c r="V1410" s="36"/>
      <c r="W1410" s="36"/>
      <c r="X1410" s="36"/>
      <c r="Y1410" s="36"/>
      <c r="Z1410" s="36"/>
      <c r="AA1410" s="36"/>
      <c r="AB1410" s="36"/>
      <c r="AC1410" s="36"/>
    </row>
    <row r="1411" ht="15.75" customHeight="1">
      <c r="A1411" s="423">
        <v>43431.0</v>
      </c>
      <c r="B1411" s="424">
        <v>13.9628</v>
      </c>
      <c r="C1411" s="425">
        <v>17.3035</v>
      </c>
      <c r="D1411" s="426">
        <v>18.6341</v>
      </c>
      <c r="E1411" s="425">
        <v>13.8488</v>
      </c>
      <c r="F1411" s="425">
        <v>16.4568</v>
      </c>
      <c r="G1411" s="425">
        <v>13.5165</v>
      </c>
      <c r="H1411" s="426">
        <v>29.4872</v>
      </c>
      <c r="I1411" s="426">
        <v>21.4423</v>
      </c>
      <c r="J1411" s="425">
        <v>20.8619</v>
      </c>
      <c r="K1411" s="182">
        <v>10685.6</v>
      </c>
      <c r="L1411" s="36"/>
      <c r="M1411" s="36"/>
      <c r="N1411" s="36"/>
      <c r="O1411" s="36"/>
      <c r="P1411" s="36"/>
      <c r="Q1411" s="36"/>
      <c r="R1411" s="36"/>
      <c r="S1411" s="36"/>
      <c r="T1411" s="36"/>
      <c r="U1411" s="36"/>
      <c r="V1411" s="36"/>
      <c r="W1411" s="36"/>
      <c r="X1411" s="36"/>
      <c r="Y1411" s="36"/>
      <c r="Z1411" s="36"/>
      <c r="AA1411" s="36"/>
      <c r="AB1411" s="36"/>
      <c r="AC1411" s="36"/>
    </row>
    <row r="1412" ht="15.75" customHeight="1">
      <c r="A1412" s="423">
        <v>43431.0</v>
      </c>
      <c r="B1412" s="424">
        <v>13.9628</v>
      </c>
      <c r="C1412" s="425">
        <v>17.3035</v>
      </c>
      <c r="D1412" s="426">
        <v>18.6268</v>
      </c>
      <c r="E1412" s="425">
        <v>13.8488</v>
      </c>
      <c r="F1412" s="425">
        <v>16.4568</v>
      </c>
      <c r="G1412" s="425">
        <v>13.5165</v>
      </c>
      <c r="H1412" s="426">
        <v>29.5109</v>
      </c>
      <c r="I1412" s="426">
        <v>21.4769</v>
      </c>
      <c r="J1412" s="425">
        <v>20.8619</v>
      </c>
      <c r="K1412" s="182">
        <v>10685.6</v>
      </c>
      <c r="L1412" s="36"/>
      <c r="M1412" s="36"/>
      <c r="N1412" s="36"/>
      <c r="O1412" s="36"/>
      <c r="P1412" s="36"/>
      <c r="Q1412" s="36"/>
      <c r="R1412" s="36"/>
      <c r="S1412" s="36"/>
      <c r="T1412" s="36"/>
      <c r="U1412" s="36"/>
      <c r="V1412" s="36"/>
      <c r="W1412" s="36"/>
      <c r="X1412" s="36"/>
      <c r="Y1412" s="36"/>
      <c r="Z1412" s="36"/>
      <c r="AA1412" s="36"/>
      <c r="AB1412" s="36"/>
      <c r="AC1412" s="36"/>
    </row>
    <row r="1413" ht="15.75" customHeight="1">
      <c r="A1413" s="423">
        <v>43432.0</v>
      </c>
      <c r="B1413" s="424">
        <v>13.9993</v>
      </c>
      <c r="C1413" s="425">
        <v>17.3138</v>
      </c>
      <c r="D1413" s="426">
        <v>18.672</v>
      </c>
      <c r="E1413" s="425">
        <v>13.8904</v>
      </c>
      <c r="F1413" s="425">
        <v>16.5189</v>
      </c>
      <c r="G1413" s="425">
        <v>13.53</v>
      </c>
      <c r="H1413" s="426">
        <v>28.8037</v>
      </c>
      <c r="I1413" s="426">
        <v>20.8588</v>
      </c>
      <c r="J1413" s="425">
        <v>21.0084</v>
      </c>
      <c r="K1413" s="182">
        <v>10728.85</v>
      </c>
      <c r="L1413" s="36"/>
      <c r="M1413" s="36"/>
      <c r="N1413" s="36"/>
      <c r="O1413" s="36"/>
      <c r="P1413" s="36"/>
      <c r="Q1413" s="36"/>
      <c r="R1413" s="36"/>
      <c r="S1413" s="36"/>
      <c r="T1413" s="36"/>
      <c r="U1413" s="36"/>
      <c r="V1413" s="36"/>
      <c r="W1413" s="36"/>
      <c r="X1413" s="36"/>
      <c r="Y1413" s="36"/>
      <c r="Z1413" s="36"/>
      <c r="AA1413" s="36"/>
      <c r="AB1413" s="36"/>
      <c r="AC1413" s="36"/>
    </row>
    <row r="1414" ht="15.75" customHeight="1">
      <c r="A1414" s="423">
        <v>43432.0</v>
      </c>
      <c r="B1414" s="424">
        <v>13.9993</v>
      </c>
      <c r="C1414" s="425">
        <v>17.3138</v>
      </c>
      <c r="D1414" s="426">
        <v>18.6459</v>
      </c>
      <c r="E1414" s="425">
        <v>13.8904</v>
      </c>
      <c r="F1414" s="425">
        <v>16.5189</v>
      </c>
      <c r="G1414" s="425">
        <v>13.53</v>
      </c>
      <c r="H1414" s="426">
        <v>28.6697</v>
      </c>
      <c r="I1414" s="426">
        <v>20.7102</v>
      </c>
      <c r="J1414" s="425">
        <v>21.0084</v>
      </c>
      <c r="K1414" s="182">
        <v>10728.85</v>
      </c>
      <c r="L1414" s="36"/>
      <c r="M1414" s="36"/>
      <c r="N1414" s="36"/>
      <c r="O1414" s="36"/>
      <c r="P1414" s="36"/>
      <c r="Q1414" s="36"/>
      <c r="R1414" s="36"/>
      <c r="S1414" s="36"/>
      <c r="T1414" s="36"/>
      <c r="U1414" s="36"/>
      <c r="V1414" s="36"/>
      <c r="W1414" s="36"/>
      <c r="X1414" s="36"/>
      <c r="Y1414" s="36"/>
      <c r="Z1414" s="36"/>
      <c r="AA1414" s="36"/>
      <c r="AB1414" s="36"/>
      <c r="AC1414" s="36"/>
    </row>
    <row r="1415" ht="15.75" customHeight="1">
      <c r="A1415" s="423">
        <v>43432.0</v>
      </c>
      <c r="B1415" s="424">
        <v>13.9993</v>
      </c>
      <c r="C1415" s="425">
        <v>17.3122</v>
      </c>
      <c r="D1415" s="426">
        <v>18.5906</v>
      </c>
      <c r="E1415" s="425">
        <v>13.8904</v>
      </c>
      <c r="F1415" s="425">
        <v>16.5189</v>
      </c>
      <c r="G1415" s="425">
        <v>13.53</v>
      </c>
      <c r="H1415" s="426">
        <v>28.9685</v>
      </c>
      <c r="I1415" s="426">
        <v>20.8887</v>
      </c>
      <c r="J1415" s="425">
        <v>20.9762</v>
      </c>
      <c r="K1415" s="182">
        <v>10728.85</v>
      </c>
      <c r="L1415" s="36"/>
      <c r="M1415" s="36"/>
      <c r="N1415" s="36"/>
      <c r="O1415" s="36"/>
      <c r="P1415" s="36"/>
      <c r="Q1415" s="36"/>
      <c r="R1415" s="36"/>
      <c r="S1415" s="36"/>
      <c r="T1415" s="36"/>
      <c r="U1415" s="36"/>
      <c r="V1415" s="36"/>
      <c r="W1415" s="36"/>
      <c r="X1415" s="36"/>
      <c r="Y1415" s="36"/>
      <c r="Z1415" s="36"/>
      <c r="AA1415" s="36"/>
      <c r="AB1415" s="36"/>
      <c r="AC1415" s="36"/>
    </row>
    <row r="1416" ht="15.75" customHeight="1">
      <c r="A1416" s="423">
        <v>43432.0</v>
      </c>
      <c r="B1416" s="424">
        <v>13.9993</v>
      </c>
      <c r="C1416" s="425">
        <v>17.3122</v>
      </c>
      <c r="D1416" s="426">
        <v>18.5998</v>
      </c>
      <c r="E1416" s="425">
        <v>13.8904</v>
      </c>
      <c r="F1416" s="425">
        <v>16.5189</v>
      </c>
      <c r="G1416" s="425">
        <v>13.53</v>
      </c>
      <c r="H1416" s="426">
        <v>29.1609</v>
      </c>
      <c r="I1416" s="426">
        <v>21.0783</v>
      </c>
      <c r="J1416" s="425">
        <v>20.9762</v>
      </c>
      <c r="K1416" s="182">
        <v>10728.85</v>
      </c>
      <c r="L1416" s="36"/>
      <c r="M1416" s="36"/>
      <c r="N1416" s="36"/>
      <c r="O1416" s="36"/>
      <c r="P1416" s="36"/>
      <c r="Q1416" s="36"/>
      <c r="R1416" s="36"/>
      <c r="S1416" s="36"/>
      <c r="T1416" s="36"/>
      <c r="U1416" s="36"/>
      <c r="V1416" s="36"/>
      <c r="W1416" s="36"/>
      <c r="X1416" s="36"/>
      <c r="Y1416" s="36"/>
      <c r="Z1416" s="36"/>
      <c r="AA1416" s="36"/>
      <c r="AB1416" s="36"/>
      <c r="AC1416" s="36"/>
    </row>
    <row r="1417" ht="15.75" customHeight="1">
      <c r="A1417" s="423">
        <v>43433.0</v>
      </c>
      <c r="B1417" s="424">
        <v>14.1523</v>
      </c>
      <c r="C1417" s="425">
        <v>17.3131</v>
      </c>
      <c r="D1417" s="426">
        <v>18.7053</v>
      </c>
      <c r="E1417" s="425">
        <v>13.9183</v>
      </c>
      <c r="F1417" s="425">
        <v>16.6837</v>
      </c>
      <c r="G1417" s="425">
        <v>13.5391</v>
      </c>
      <c r="H1417" s="426">
        <v>29.0785</v>
      </c>
      <c r="I1417" s="426">
        <v>21.1621</v>
      </c>
      <c r="J1417" s="425">
        <v>20.9417</v>
      </c>
      <c r="K1417" s="182">
        <v>10858.7</v>
      </c>
      <c r="L1417" s="36"/>
      <c r="M1417" s="36"/>
      <c r="N1417" s="36"/>
      <c r="O1417" s="36"/>
      <c r="P1417" s="36"/>
      <c r="Q1417" s="36"/>
      <c r="R1417" s="36"/>
      <c r="S1417" s="36"/>
      <c r="T1417" s="36"/>
      <c r="U1417" s="36"/>
      <c r="V1417" s="36"/>
      <c r="W1417" s="36"/>
      <c r="X1417" s="36"/>
      <c r="Y1417" s="36"/>
      <c r="Z1417" s="36"/>
      <c r="AA1417" s="36"/>
      <c r="AB1417" s="36"/>
      <c r="AC1417" s="36"/>
    </row>
    <row r="1418" ht="15.75" customHeight="1">
      <c r="A1418" s="423">
        <v>43433.0</v>
      </c>
      <c r="B1418" s="424">
        <v>14.1523</v>
      </c>
      <c r="C1418" s="425">
        <v>17.3131</v>
      </c>
      <c r="D1418" s="426">
        <v>18.7047</v>
      </c>
      <c r="E1418" s="425">
        <v>13.9183</v>
      </c>
      <c r="F1418" s="425">
        <v>16.6837</v>
      </c>
      <c r="G1418" s="425">
        <v>13.5391</v>
      </c>
      <c r="H1418" s="426">
        <v>29.0641</v>
      </c>
      <c r="I1418" s="426">
        <v>21.1703</v>
      </c>
      <c r="J1418" s="425">
        <v>20.9417</v>
      </c>
      <c r="K1418" s="182">
        <v>10858.7</v>
      </c>
      <c r="L1418" s="36"/>
      <c r="M1418" s="36"/>
      <c r="N1418" s="36"/>
      <c r="O1418" s="36"/>
      <c r="P1418" s="36"/>
      <c r="Q1418" s="36"/>
      <c r="R1418" s="36"/>
      <c r="S1418" s="36"/>
      <c r="T1418" s="36"/>
      <c r="U1418" s="36"/>
      <c r="V1418" s="36"/>
      <c r="W1418" s="36"/>
      <c r="X1418" s="36"/>
      <c r="Y1418" s="36"/>
      <c r="Z1418" s="36"/>
      <c r="AA1418" s="36"/>
      <c r="AB1418" s="36"/>
      <c r="AC1418" s="36"/>
    </row>
    <row r="1419" ht="15.75" customHeight="1">
      <c r="A1419" s="423">
        <v>43433.0</v>
      </c>
      <c r="B1419" s="424">
        <v>14.1523</v>
      </c>
      <c r="C1419" s="425">
        <v>17.3154</v>
      </c>
      <c r="D1419" s="426">
        <v>18.6977</v>
      </c>
      <c r="E1419" s="425">
        <v>13.9183</v>
      </c>
      <c r="F1419" s="425">
        <v>16.6837</v>
      </c>
      <c r="G1419" s="425">
        <v>13.5391</v>
      </c>
      <c r="H1419" s="426">
        <v>28.9004</v>
      </c>
      <c r="I1419" s="426">
        <v>21.1248</v>
      </c>
      <c r="J1419" s="425">
        <v>20.9542</v>
      </c>
      <c r="K1419" s="182">
        <v>10858.7</v>
      </c>
      <c r="L1419" s="36"/>
      <c r="M1419" s="36"/>
      <c r="N1419" s="36"/>
      <c r="O1419" s="36"/>
      <c r="P1419" s="36"/>
      <c r="Q1419" s="36"/>
      <c r="R1419" s="36"/>
      <c r="S1419" s="36"/>
      <c r="T1419" s="36"/>
      <c r="U1419" s="36"/>
      <c r="V1419" s="36"/>
      <c r="W1419" s="36"/>
      <c r="X1419" s="36"/>
      <c r="Y1419" s="36"/>
      <c r="Z1419" s="36"/>
      <c r="AA1419" s="36"/>
      <c r="AB1419" s="36"/>
      <c r="AC1419" s="36"/>
    </row>
    <row r="1420" ht="15.75" customHeight="1">
      <c r="A1420" s="423">
        <v>43433.0</v>
      </c>
      <c r="B1420" s="424">
        <v>14.1523</v>
      </c>
      <c r="C1420" s="425">
        <v>17.3154</v>
      </c>
      <c r="D1420" s="426">
        <v>18.6564</v>
      </c>
      <c r="E1420" s="425">
        <v>13.9183</v>
      </c>
      <c r="F1420" s="425">
        <v>16.6837</v>
      </c>
      <c r="G1420" s="425">
        <v>13.5391</v>
      </c>
      <c r="H1420" s="426">
        <v>28.7465</v>
      </c>
      <c r="I1420" s="426">
        <v>20.7976</v>
      </c>
      <c r="J1420" s="425">
        <v>20.9542</v>
      </c>
      <c r="K1420" s="182">
        <v>10858.7</v>
      </c>
      <c r="L1420" s="36"/>
      <c r="M1420" s="36"/>
      <c r="N1420" s="36"/>
      <c r="O1420" s="36"/>
      <c r="P1420" s="36"/>
      <c r="Q1420" s="36"/>
      <c r="R1420" s="36"/>
      <c r="S1420" s="36"/>
      <c r="T1420" s="36"/>
      <c r="U1420" s="36"/>
      <c r="V1420" s="36"/>
      <c r="W1420" s="36"/>
      <c r="X1420" s="36"/>
      <c r="Y1420" s="36"/>
      <c r="Z1420" s="36"/>
      <c r="AA1420" s="36"/>
      <c r="AB1420" s="36"/>
      <c r="AC1420" s="36"/>
    </row>
    <row r="1421" ht="15.75" customHeight="1">
      <c r="A1421" s="423">
        <v>43434.0</v>
      </c>
      <c r="B1421" s="424">
        <v>14.1828</v>
      </c>
      <c r="C1421" s="425">
        <v>17.3178</v>
      </c>
      <c r="D1421" s="426">
        <v>18.7729</v>
      </c>
      <c r="E1421" s="425">
        <v>13.931</v>
      </c>
      <c r="F1421" s="425">
        <v>16.6972</v>
      </c>
      <c r="G1421" s="425">
        <v>13.5476</v>
      </c>
      <c r="H1421" s="426">
        <v>28.5303</v>
      </c>
      <c r="I1421" s="426">
        <v>20.686</v>
      </c>
      <c r="J1421" s="425">
        <v>20.8289</v>
      </c>
      <c r="K1421" s="182">
        <v>10876.75</v>
      </c>
      <c r="L1421" s="36"/>
      <c r="M1421" s="36"/>
      <c r="N1421" s="36"/>
      <c r="O1421" s="36"/>
      <c r="P1421" s="36"/>
      <c r="Q1421" s="36"/>
      <c r="R1421" s="36"/>
      <c r="S1421" s="36"/>
      <c r="T1421" s="36"/>
      <c r="U1421" s="36"/>
      <c r="V1421" s="36"/>
      <c r="W1421" s="36"/>
      <c r="X1421" s="36"/>
      <c r="Y1421" s="36"/>
      <c r="Z1421" s="36"/>
      <c r="AA1421" s="36"/>
      <c r="AB1421" s="36"/>
      <c r="AC1421" s="36"/>
    </row>
    <row r="1422" ht="15.75" customHeight="1">
      <c r="A1422" s="423">
        <v>43434.0</v>
      </c>
      <c r="B1422" s="424">
        <v>14.1828</v>
      </c>
      <c r="C1422" s="425">
        <v>17.3178</v>
      </c>
      <c r="D1422" s="426">
        <v>18.7718</v>
      </c>
      <c r="E1422" s="425">
        <v>13.931</v>
      </c>
      <c r="F1422" s="425">
        <v>16.6972</v>
      </c>
      <c r="G1422" s="425">
        <v>13.5476</v>
      </c>
      <c r="H1422" s="426">
        <v>28.5366</v>
      </c>
      <c r="I1422" s="426">
        <v>20.645</v>
      </c>
      <c r="J1422" s="425">
        <v>20.8289</v>
      </c>
      <c r="K1422" s="182">
        <v>10876.75</v>
      </c>
      <c r="L1422" s="36"/>
      <c r="M1422" s="36"/>
      <c r="N1422" s="36"/>
      <c r="O1422" s="36"/>
      <c r="P1422" s="36"/>
      <c r="Q1422" s="36"/>
      <c r="R1422" s="36"/>
      <c r="S1422" s="36"/>
      <c r="T1422" s="36"/>
      <c r="U1422" s="36"/>
      <c r="V1422" s="36"/>
      <c r="W1422" s="36"/>
      <c r="X1422" s="36"/>
      <c r="Y1422" s="36"/>
      <c r="Z1422" s="36"/>
      <c r="AA1422" s="36"/>
      <c r="AB1422" s="36"/>
      <c r="AC1422" s="36"/>
    </row>
    <row r="1423" ht="15.75" customHeight="1">
      <c r="A1423" s="423">
        <v>43434.0</v>
      </c>
      <c r="B1423" s="424">
        <v>14.1828</v>
      </c>
      <c r="C1423" s="425">
        <v>17.315</v>
      </c>
      <c r="D1423" s="426">
        <v>18.7881</v>
      </c>
      <c r="E1423" s="425">
        <v>13.931</v>
      </c>
      <c r="F1423" s="425">
        <v>16.6972</v>
      </c>
      <c r="G1423" s="425">
        <v>13.5476</v>
      </c>
      <c r="H1423" s="426">
        <v>28.777</v>
      </c>
      <c r="I1423" s="426">
        <v>20.826</v>
      </c>
      <c r="J1423" s="425">
        <v>20.9524</v>
      </c>
      <c r="K1423" s="182">
        <v>10876.75</v>
      </c>
      <c r="L1423" s="36"/>
      <c r="M1423" s="36"/>
      <c r="N1423" s="36"/>
      <c r="O1423" s="36"/>
      <c r="P1423" s="36"/>
      <c r="Q1423" s="36"/>
      <c r="R1423" s="36"/>
      <c r="S1423" s="36"/>
      <c r="T1423" s="36"/>
      <c r="U1423" s="36"/>
      <c r="V1423" s="36"/>
      <c r="W1423" s="36"/>
      <c r="X1423" s="36"/>
      <c r="Y1423" s="36"/>
      <c r="Z1423" s="36"/>
      <c r="AA1423" s="36"/>
      <c r="AB1423" s="36"/>
      <c r="AC1423" s="36"/>
    </row>
    <row r="1424" ht="15.75" customHeight="1">
      <c r="A1424" s="423">
        <v>43434.0</v>
      </c>
      <c r="B1424" s="424">
        <v>14.1828</v>
      </c>
      <c r="C1424" s="425">
        <v>17.315</v>
      </c>
      <c r="D1424" s="426">
        <v>18.7275</v>
      </c>
      <c r="E1424" s="425">
        <v>13.931</v>
      </c>
      <c r="F1424" s="425">
        <v>16.6972</v>
      </c>
      <c r="G1424" s="425">
        <v>13.5476</v>
      </c>
      <c r="H1424" s="426">
        <v>29.1157</v>
      </c>
      <c r="I1424" s="426">
        <v>21.1052</v>
      </c>
      <c r="J1424" s="425">
        <v>20.9524</v>
      </c>
      <c r="K1424" s="182">
        <v>10876.75</v>
      </c>
      <c r="L1424" s="36"/>
      <c r="M1424" s="36"/>
      <c r="N1424" s="36"/>
      <c r="O1424" s="36"/>
      <c r="P1424" s="36"/>
      <c r="Q1424" s="36"/>
      <c r="R1424" s="36"/>
      <c r="S1424" s="36"/>
      <c r="T1424" s="36"/>
      <c r="U1424" s="36"/>
      <c r="V1424" s="36"/>
      <c r="W1424" s="36"/>
      <c r="X1424" s="36"/>
      <c r="Y1424" s="36"/>
      <c r="Z1424" s="36"/>
      <c r="AA1424" s="36"/>
      <c r="AB1424" s="36"/>
      <c r="AC1424" s="36"/>
    </row>
    <row r="1425" ht="15.75" customHeight="1">
      <c r="A1425" s="423">
        <v>43437.0</v>
      </c>
      <c r="B1425" s="424">
        <v>14.1964</v>
      </c>
      <c r="C1425" s="425">
        <v>17.2936</v>
      </c>
      <c r="D1425" s="426">
        <v>18.8112</v>
      </c>
      <c r="E1425" s="425">
        <v>13.9275</v>
      </c>
      <c r="F1425" s="425">
        <v>16.7059</v>
      </c>
      <c r="G1425" s="425">
        <v>13.551</v>
      </c>
      <c r="H1425" s="426">
        <v>28.4768</v>
      </c>
      <c r="I1425" s="426">
        <v>20.7166</v>
      </c>
      <c r="J1425" s="425">
        <v>20.6122</v>
      </c>
      <c r="K1425" s="182">
        <v>10883.75</v>
      </c>
      <c r="L1425" s="36"/>
      <c r="M1425" s="36"/>
      <c r="N1425" s="36"/>
      <c r="O1425" s="36"/>
      <c r="P1425" s="36"/>
      <c r="Q1425" s="36"/>
      <c r="R1425" s="36"/>
      <c r="S1425" s="36"/>
      <c r="T1425" s="36"/>
      <c r="U1425" s="36"/>
      <c r="V1425" s="36"/>
      <c r="W1425" s="36"/>
      <c r="X1425" s="36"/>
      <c r="Y1425" s="36"/>
      <c r="Z1425" s="36"/>
      <c r="AA1425" s="36"/>
      <c r="AB1425" s="36"/>
      <c r="AC1425" s="36"/>
    </row>
    <row r="1426" ht="15.75" customHeight="1">
      <c r="A1426" s="423">
        <v>43437.0</v>
      </c>
      <c r="B1426" s="424">
        <v>14.1964</v>
      </c>
      <c r="C1426" s="425">
        <v>17.2936</v>
      </c>
      <c r="D1426" s="426">
        <v>18.8347</v>
      </c>
      <c r="E1426" s="425">
        <v>13.9275</v>
      </c>
      <c r="F1426" s="425">
        <v>16.7059</v>
      </c>
      <c r="G1426" s="425">
        <v>13.551</v>
      </c>
      <c r="H1426" s="426">
        <v>28.189</v>
      </c>
      <c r="I1426" s="426">
        <v>20.449</v>
      </c>
      <c r="J1426" s="425">
        <v>20.6122</v>
      </c>
      <c r="K1426" s="182">
        <v>10883.75</v>
      </c>
      <c r="L1426" s="36"/>
      <c r="M1426" s="36"/>
      <c r="N1426" s="36"/>
      <c r="O1426" s="36"/>
      <c r="P1426" s="36"/>
      <c r="Q1426" s="36"/>
      <c r="R1426" s="36"/>
      <c r="S1426" s="36"/>
      <c r="T1426" s="36"/>
      <c r="U1426" s="36"/>
      <c r="V1426" s="36"/>
      <c r="W1426" s="36"/>
      <c r="X1426" s="36"/>
      <c r="Y1426" s="36"/>
      <c r="Z1426" s="36"/>
      <c r="AA1426" s="36"/>
      <c r="AB1426" s="36"/>
      <c r="AC1426" s="36"/>
    </row>
    <row r="1427" ht="15.75" customHeight="1">
      <c r="A1427" s="423">
        <v>43437.0</v>
      </c>
      <c r="B1427" s="424">
        <v>14.1964</v>
      </c>
      <c r="C1427" s="425">
        <v>17.3041</v>
      </c>
      <c r="D1427" s="426">
        <v>18.8113</v>
      </c>
      <c r="E1427" s="425">
        <v>13.9275</v>
      </c>
      <c r="F1427" s="425">
        <v>16.7059</v>
      </c>
      <c r="G1427" s="425">
        <v>13.551</v>
      </c>
      <c r="H1427" s="426">
        <v>28.4119</v>
      </c>
      <c r="I1427" s="426">
        <v>20.6672</v>
      </c>
      <c r="J1427" s="425">
        <v>20.6683</v>
      </c>
      <c r="K1427" s="182">
        <v>10883.75</v>
      </c>
      <c r="L1427" s="36"/>
      <c r="M1427" s="36"/>
      <c r="N1427" s="36"/>
      <c r="O1427" s="36"/>
      <c r="P1427" s="36"/>
      <c r="Q1427" s="36"/>
      <c r="R1427" s="36"/>
      <c r="S1427" s="36"/>
      <c r="T1427" s="36"/>
      <c r="U1427" s="36"/>
      <c r="V1427" s="36"/>
      <c r="W1427" s="36"/>
      <c r="X1427" s="36"/>
      <c r="Y1427" s="36"/>
      <c r="Z1427" s="36"/>
      <c r="AA1427" s="36"/>
      <c r="AB1427" s="36"/>
      <c r="AC1427" s="36"/>
    </row>
    <row r="1428" ht="15.75" customHeight="1">
      <c r="A1428" s="423">
        <v>43437.0</v>
      </c>
      <c r="B1428" s="424">
        <v>14.1964</v>
      </c>
      <c r="C1428" s="425">
        <v>17.3041</v>
      </c>
      <c r="D1428" s="426">
        <v>18.7842</v>
      </c>
      <c r="E1428" s="425">
        <v>13.9275</v>
      </c>
      <c r="F1428" s="425">
        <v>16.7059</v>
      </c>
      <c r="G1428" s="425">
        <v>13.551</v>
      </c>
      <c r="H1428" s="426">
        <v>28.5321</v>
      </c>
      <c r="I1428" s="426">
        <v>20.7423</v>
      </c>
      <c r="J1428" s="425">
        <v>20.6683</v>
      </c>
      <c r="K1428" s="182">
        <v>10883.75</v>
      </c>
      <c r="L1428" s="36"/>
      <c r="M1428" s="36"/>
      <c r="N1428" s="36"/>
      <c r="O1428" s="36"/>
      <c r="P1428" s="36"/>
      <c r="Q1428" s="36"/>
      <c r="R1428" s="36"/>
      <c r="S1428" s="36"/>
      <c r="T1428" s="36"/>
      <c r="U1428" s="36"/>
      <c r="V1428" s="36"/>
      <c r="W1428" s="36"/>
      <c r="X1428" s="36"/>
      <c r="Y1428" s="36"/>
      <c r="Z1428" s="36"/>
      <c r="AA1428" s="36"/>
      <c r="AB1428" s="36"/>
      <c r="AC1428" s="36"/>
    </row>
    <row r="1429" ht="15.75" customHeight="1">
      <c r="A1429" s="423">
        <v>43438.0</v>
      </c>
      <c r="B1429" s="424">
        <v>14.1864</v>
      </c>
      <c r="C1429" s="425">
        <v>17.3029</v>
      </c>
      <c r="D1429" s="426">
        <v>19.043</v>
      </c>
      <c r="E1429" s="425">
        <v>13.9525</v>
      </c>
      <c r="F1429" s="425">
        <v>16.6846</v>
      </c>
      <c r="G1429" s="425">
        <v>13.5565</v>
      </c>
      <c r="H1429" s="426">
        <v>29.0256</v>
      </c>
      <c r="I1429" s="426">
        <v>20.9092</v>
      </c>
      <c r="J1429" s="425">
        <v>20.7566</v>
      </c>
      <c r="K1429" s="182">
        <v>10869.5</v>
      </c>
      <c r="L1429" s="36"/>
      <c r="M1429" s="36"/>
      <c r="N1429" s="36"/>
      <c r="O1429" s="36"/>
      <c r="P1429" s="36"/>
      <c r="Q1429" s="36"/>
      <c r="R1429" s="36"/>
      <c r="S1429" s="36"/>
      <c r="T1429" s="36"/>
      <c r="U1429" s="36"/>
      <c r="V1429" s="36"/>
      <c r="W1429" s="36"/>
      <c r="X1429" s="36"/>
      <c r="Y1429" s="36"/>
      <c r="Z1429" s="36"/>
      <c r="AA1429" s="36"/>
      <c r="AB1429" s="36"/>
      <c r="AC1429" s="36"/>
    </row>
    <row r="1430" ht="15.75" customHeight="1">
      <c r="A1430" s="423">
        <v>43438.0</v>
      </c>
      <c r="B1430" s="424">
        <v>14.1864</v>
      </c>
      <c r="C1430" s="425">
        <v>17.3029</v>
      </c>
      <c r="D1430" s="426">
        <v>19.0371</v>
      </c>
      <c r="E1430" s="425">
        <v>13.9525</v>
      </c>
      <c r="F1430" s="425">
        <v>16.6846</v>
      </c>
      <c r="G1430" s="425">
        <v>13.5565</v>
      </c>
      <c r="H1430" s="426">
        <v>28.7398</v>
      </c>
      <c r="I1430" s="426">
        <v>20.7172</v>
      </c>
      <c r="J1430" s="425">
        <v>20.7566</v>
      </c>
      <c r="K1430" s="182">
        <v>10869.5</v>
      </c>
      <c r="L1430" s="36"/>
      <c r="M1430" s="36"/>
      <c r="N1430" s="36"/>
      <c r="O1430" s="36"/>
      <c r="P1430" s="36"/>
      <c r="Q1430" s="36"/>
      <c r="R1430" s="36"/>
      <c r="S1430" s="36"/>
      <c r="T1430" s="36"/>
      <c r="U1430" s="36"/>
      <c r="V1430" s="36"/>
      <c r="W1430" s="36"/>
      <c r="X1430" s="36"/>
      <c r="Y1430" s="36"/>
      <c r="Z1430" s="36"/>
      <c r="AA1430" s="36"/>
      <c r="AB1430" s="36"/>
      <c r="AC1430" s="36"/>
    </row>
    <row r="1431" ht="15.75" customHeight="1">
      <c r="A1431" s="423">
        <v>43438.0</v>
      </c>
      <c r="B1431" s="424">
        <v>14.1864</v>
      </c>
      <c r="C1431" s="425">
        <v>17.2968</v>
      </c>
      <c r="D1431" s="426">
        <v>19.0288</v>
      </c>
      <c r="E1431" s="425">
        <v>13.9525</v>
      </c>
      <c r="F1431" s="425">
        <v>16.6846</v>
      </c>
      <c r="G1431" s="425">
        <v>13.5565</v>
      </c>
      <c r="H1431" s="426">
        <v>28.7419</v>
      </c>
      <c r="I1431" s="426">
        <v>20.719</v>
      </c>
      <c r="J1431" s="425">
        <v>20.6654</v>
      </c>
      <c r="K1431" s="182">
        <v>10869.5</v>
      </c>
      <c r="L1431" s="36"/>
      <c r="M1431" s="36"/>
      <c r="N1431" s="36"/>
      <c r="O1431" s="36"/>
      <c r="P1431" s="36"/>
      <c r="Q1431" s="36"/>
      <c r="R1431" s="36"/>
      <c r="S1431" s="36"/>
      <c r="T1431" s="36"/>
      <c r="U1431" s="36"/>
      <c r="V1431" s="36"/>
      <c r="W1431" s="36"/>
      <c r="X1431" s="36"/>
      <c r="Y1431" s="36"/>
      <c r="Z1431" s="36"/>
      <c r="AA1431" s="36"/>
      <c r="AB1431" s="36"/>
      <c r="AC1431" s="36"/>
    </row>
    <row r="1432" ht="15.75" customHeight="1">
      <c r="A1432" s="423">
        <v>43438.0</v>
      </c>
      <c r="B1432" s="424">
        <v>14.1864</v>
      </c>
      <c r="C1432" s="425">
        <v>17.2968</v>
      </c>
      <c r="D1432" s="426">
        <v>19.0385</v>
      </c>
      <c r="E1432" s="425">
        <v>13.9525</v>
      </c>
      <c r="F1432" s="425">
        <v>16.6846</v>
      </c>
      <c r="G1432" s="425">
        <v>13.5565</v>
      </c>
      <c r="H1432" s="426">
        <v>28.8009</v>
      </c>
      <c r="I1432" s="426">
        <v>20.8361</v>
      </c>
      <c r="J1432" s="425">
        <v>20.6654</v>
      </c>
      <c r="K1432" s="182">
        <v>10869.5</v>
      </c>
      <c r="L1432" s="36"/>
      <c r="M1432" s="36"/>
      <c r="N1432" s="36"/>
      <c r="O1432" s="36"/>
      <c r="P1432" s="36"/>
      <c r="Q1432" s="36"/>
      <c r="R1432" s="36"/>
      <c r="S1432" s="36"/>
      <c r="T1432" s="36"/>
      <c r="U1432" s="36"/>
      <c r="V1432" s="36"/>
      <c r="W1432" s="36"/>
      <c r="X1432" s="36"/>
      <c r="Y1432" s="36"/>
      <c r="Z1432" s="36"/>
      <c r="AA1432" s="36"/>
      <c r="AB1432" s="36"/>
      <c r="AC1432" s="36"/>
    </row>
    <row r="1433" ht="15.75" customHeight="1">
      <c r="A1433" s="423">
        <v>43439.0</v>
      </c>
      <c r="B1433" s="424">
        <v>14.0596</v>
      </c>
      <c r="C1433" s="425">
        <v>17.1389</v>
      </c>
      <c r="D1433" s="426">
        <v>19.2235</v>
      </c>
      <c r="E1433" s="425">
        <v>14.0345</v>
      </c>
      <c r="F1433" s="425">
        <v>16.5382</v>
      </c>
      <c r="G1433" s="425">
        <v>13.5751</v>
      </c>
      <c r="H1433" s="426">
        <v>29.6916</v>
      </c>
      <c r="I1433" s="426">
        <v>21.1859</v>
      </c>
      <c r="J1433" s="425">
        <v>20.3575</v>
      </c>
      <c r="K1433" s="182">
        <v>10782.9</v>
      </c>
      <c r="L1433" s="36"/>
      <c r="M1433" s="36"/>
      <c r="N1433" s="36"/>
      <c r="O1433" s="36"/>
      <c r="P1433" s="36"/>
      <c r="Q1433" s="36"/>
      <c r="R1433" s="36"/>
      <c r="S1433" s="36"/>
      <c r="T1433" s="36"/>
      <c r="U1433" s="36"/>
      <c r="V1433" s="36"/>
      <c r="W1433" s="36"/>
      <c r="X1433" s="36"/>
      <c r="Y1433" s="36"/>
      <c r="Z1433" s="36"/>
      <c r="AA1433" s="36"/>
      <c r="AB1433" s="36"/>
      <c r="AC1433" s="36"/>
    </row>
    <row r="1434" ht="15.75" customHeight="1">
      <c r="A1434" s="423">
        <v>43439.0</v>
      </c>
      <c r="B1434" s="424">
        <v>14.0596</v>
      </c>
      <c r="C1434" s="425">
        <v>17.1389</v>
      </c>
      <c r="D1434" s="426">
        <v>19.2523</v>
      </c>
      <c r="E1434" s="425">
        <v>14.0345</v>
      </c>
      <c r="F1434" s="425">
        <v>16.5382</v>
      </c>
      <c r="G1434" s="425">
        <v>13.5751</v>
      </c>
      <c r="H1434" s="426">
        <v>29.5041</v>
      </c>
      <c r="I1434" s="426">
        <v>21.1527</v>
      </c>
      <c r="J1434" s="425">
        <v>20.3575</v>
      </c>
      <c r="K1434" s="182">
        <v>10782.9</v>
      </c>
      <c r="L1434" s="36"/>
      <c r="M1434" s="36"/>
      <c r="N1434" s="36"/>
      <c r="O1434" s="36"/>
      <c r="P1434" s="36"/>
      <c r="Q1434" s="36"/>
      <c r="R1434" s="36"/>
      <c r="S1434" s="36"/>
      <c r="T1434" s="36"/>
      <c r="U1434" s="36"/>
      <c r="V1434" s="36"/>
      <c r="W1434" s="36"/>
      <c r="X1434" s="36"/>
      <c r="Y1434" s="36"/>
      <c r="Z1434" s="36"/>
      <c r="AA1434" s="36"/>
      <c r="AB1434" s="36"/>
      <c r="AC1434" s="36"/>
    </row>
    <row r="1435" ht="15.75" customHeight="1">
      <c r="A1435" s="423">
        <v>43439.0</v>
      </c>
      <c r="B1435" s="424">
        <v>14.0596</v>
      </c>
      <c r="C1435" s="425">
        <v>17.1376</v>
      </c>
      <c r="D1435" s="426">
        <v>19.1324</v>
      </c>
      <c r="E1435" s="425">
        <v>14.0345</v>
      </c>
      <c r="F1435" s="425">
        <v>16.5382</v>
      </c>
      <c r="G1435" s="425">
        <v>13.5751</v>
      </c>
      <c r="H1435" s="426">
        <v>29.0934</v>
      </c>
      <c r="I1435" s="426">
        <v>20.7942</v>
      </c>
      <c r="J1435" s="425">
        <v>20.5581</v>
      </c>
      <c r="K1435" s="182">
        <v>10782.9</v>
      </c>
      <c r="L1435" s="36"/>
      <c r="M1435" s="36"/>
      <c r="N1435" s="36"/>
      <c r="O1435" s="36"/>
      <c r="P1435" s="36"/>
      <c r="Q1435" s="36"/>
      <c r="R1435" s="36"/>
      <c r="S1435" s="36"/>
      <c r="T1435" s="36"/>
      <c r="U1435" s="36"/>
      <c r="V1435" s="36"/>
      <c r="W1435" s="36"/>
      <c r="X1435" s="36"/>
      <c r="Y1435" s="36"/>
      <c r="Z1435" s="36"/>
      <c r="AA1435" s="36"/>
      <c r="AB1435" s="36"/>
      <c r="AC1435" s="36"/>
    </row>
    <row r="1436" ht="15.75" customHeight="1">
      <c r="A1436" s="423">
        <v>43439.0</v>
      </c>
      <c r="B1436" s="424">
        <v>14.0596</v>
      </c>
      <c r="C1436" s="425">
        <v>17.1376</v>
      </c>
      <c r="D1436" s="426">
        <v>19.0991</v>
      </c>
      <c r="E1436" s="425">
        <v>14.0345</v>
      </c>
      <c r="F1436" s="425">
        <v>16.5382</v>
      </c>
      <c r="G1436" s="425">
        <v>13.5751</v>
      </c>
      <c r="H1436" s="426">
        <v>29.2631</v>
      </c>
      <c r="I1436" s="426">
        <v>21.0026</v>
      </c>
      <c r="J1436" s="425">
        <v>20.5581</v>
      </c>
      <c r="K1436" s="182">
        <v>10782.9</v>
      </c>
      <c r="L1436" s="36"/>
      <c r="M1436" s="36"/>
      <c r="N1436" s="36"/>
      <c r="O1436" s="36"/>
      <c r="P1436" s="36"/>
      <c r="Q1436" s="36"/>
      <c r="R1436" s="36"/>
      <c r="S1436" s="36"/>
      <c r="T1436" s="36"/>
      <c r="U1436" s="36"/>
      <c r="V1436" s="36"/>
      <c r="W1436" s="36"/>
      <c r="X1436" s="36"/>
      <c r="Y1436" s="36"/>
      <c r="Z1436" s="36"/>
      <c r="AA1436" s="36"/>
      <c r="AB1436" s="36"/>
      <c r="AC1436" s="36"/>
    </row>
    <row r="1437" ht="15.75" customHeight="1">
      <c r="A1437" s="423">
        <v>43440.0</v>
      </c>
      <c r="B1437" s="424">
        <v>13.8408</v>
      </c>
      <c r="C1437" s="425">
        <v>17.1423</v>
      </c>
      <c r="D1437" s="426">
        <v>18.983</v>
      </c>
      <c r="E1437" s="425">
        <v>14.0507</v>
      </c>
      <c r="F1437" s="425">
        <v>16.3161</v>
      </c>
      <c r="G1437" s="425">
        <v>13.5853</v>
      </c>
      <c r="H1437" s="426">
        <v>29.6982</v>
      </c>
      <c r="I1437" s="426">
        <v>21.3556</v>
      </c>
      <c r="J1437" s="425">
        <v>20.6016</v>
      </c>
      <c r="K1437" s="182">
        <v>10601.15</v>
      </c>
      <c r="L1437" s="36"/>
      <c r="M1437" s="36"/>
      <c r="N1437" s="36"/>
      <c r="O1437" s="36"/>
      <c r="P1437" s="36"/>
      <c r="Q1437" s="36"/>
      <c r="R1437" s="36"/>
      <c r="S1437" s="36"/>
      <c r="T1437" s="36"/>
      <c r="U1437" s="36"/>
      <c r="V1437" s="36"/>
      <c r="W1437" s="36"/>
      <c r="X1437" s="36"/>
      <c r="Y1437" s="36"/>
      <c r="Z1437" s="36"/>
      <c r="AA1437" s="36"/>
      <c r="AB1437" s="36"/>
      <c r="AC1437" s="36"/>
    </row>
    <row r="1438" ht="15.75" customHeight="1">
      <c r="A1438" s="423">
        <v>43440.0</v>
      </c>
      <c r="B1438" s="424">
        <v>13.8408</v>
      </c>
      <c r="C1438" s="425">
        <v>17.1423</v>
      </c>
      <c r="D1438" s="426">
        <v>18.9587</v>
      </c>
      <c r="E1438" s="425">
        <v>14.0507</v>
      </c>
      <c r="F1438" s="425">
        <v>16.3161</v>
      </c>
      <c r="G1438" s="425">
        <v>13.5853</v>
      </c>
      <c r="H1438" s="426">
        <v>29.6929</v>
      </c>
      <c r="I1438" s="426">
        <v>21.3074</v>
      </c>
      <c r="J1438" s="425">
        <v>20.6016</v>
      </c>
      <c r="K1438" s="182">
        <v>10601.15</v>
      </c>
      <c r="L1438" s="36"/>
      <c r="M1438" s="36"/>
      <c r="N1438" s="36"/>
      <c r="O1438" s="36"/>
      <c r="P1438" s="36"/>
      <c r="Q1438" s="36"/>
      <c r="R1438" s="36"/>
      <c r="S1438" s="36"/>
      <c r="T1438" s="36"/>
      <c r="U1438" s="36"/>
      <c r="V1438" s="36"/>
      <c r="W1438" s="36"/>
      <c r="X1438" s="36"/>
      <c r="Y1438" s="36"/>
      <c r="Z1438" s="36"/>
      <c r="AA1438" s="36"/>
      <c r="AB1438" s="36"/>
      <c r="AC1438" s="36"/>
    </row>
    <row r="1439" ht="15.75" customHeight="1">
      <c r="A1439" s="423">
        <v>43440.0</v>
      </c>
      <c r="B1439" s="424">
        <v>13.8408</v>
      </c>
      <c r="C1439" s="425">
        <v>17.1355</v>
      </c>
      <c r="D1439" s="426">
        <v>19.0672</v>
      </c>
      <c r="E1439" s="425">
        <v>14.0507</v>
      </c>
      <c r="F1439" s="425">
        <v>16.3161</v>
      </c>
      <c r="G1439" s="425">
        <v>13.5853</v>
      </c>
      <c r="H1439" s="426">
        <v>29.681</v>
      </c>
      <c r="I1439" s="426">
        <v>21.2892</v>
      </c>
      <c r="J1439" s="425">
        <v>20.4418</v>
      </c>
      <c r="K1439" s="182">
        <v>10601.15</v>
      </c>
      <c r="L1439" s="36"/>
      <c r="M1439" s="36"/>
      <c r="N1439" s="36"/>
      <c r="O1439" s="36"/>
      <c r="P1439" s="36"/>
      <c r="Q1439" s="36"/>
      <c r="R1439" s="36"/>
      <c r="S1439" s="36"/>
      <c r="T1439" s="36"/>
      <c r="U1439" s="36"/>
      <c r="V1439" s="36"/>
      <c r="W1439" s="36"/>
      <c r="X1439" s="36"/>
      <c r="Y1439" s="36"/>
      <c r="Z1439" s="36"/>
      <c r="AA1439" s="36"/>
      <c r="AB1439" s="36"/>
      <c r="AC1439" s="36"/>
    </row>
    <row r="1440" ht="15.75" customHeight="1">
      <c r="A1440" s="423">
        <v>43440.0</v>
      </c>
      <c r="B1440" s="424">
        <v>13.8408</v>
      </c>
      <c r="C1440" s="425">
        <v>17.1355</v>
      </c>
      <c r="D1440" s="426">
        <v>19.1827</v>
      </c>
      <c r="E1440" s="425">
        <v>14.0507</v>
      </c>
      <c r="F1440" s="425">
        <v>16.3161</v>
      </c>
      <c r="G1440" s="425">
        <v>13.5853</v>
      </c>
      <c r="H1440" s="426">
        <v>29.7164</v>
      </c>
      <c r="I1440" s="426">
        <v>21.2655</v>
      </c>
      <c r="J1440" s="425">
        <v>20.4418</v>
      </c>
      <c r="K1440" s="182">
        <v>10601.15</v>
      </c>
      <c r="L1440" s="36"/>
      <c r="M1440" s="36"/>
      <c r="N1440" s="36"/>
      <c r="O1440" s="36"/>
      <c r="P1440" s="36"/>
      <c r="Q1440" s="36"/>
      <c r="R1440" s="36"/>
      <c r="S1440" s="36"/>
      <c r="T1440" s="36"/>
      <c r="U1440" s="36"/>
      <c r="V1440" s="36"/>
      <c r="W1440" s="36"/>
      <c r="X1440" s="36"/>
      <c r="Y1440" s="36"/>
      <c r="Z1440" s="36"/>
      <c r="AA1440" s="36"/>
      <c r="AB1440" s="36"/>
      <c r="AC1440" s="36"/>
    </row>
    <row r="1441" ht="15.75" customHeight="1">
      <c r="A1441" s="423">
        <v>43441.0</v>
      </c>
      <c r="B1441" s="424">
        <v>13.96</v>
      </c>
      <c r="C1441" s="425">
        <v>17.1492</v>
      </c>
      <c r="D1441" s="426">
        <v>18.9494</v>
      </c>
      <c r="E1441" s="425">
        <v>14.023</v>
      </c>
      <c r="F1441" s="425">
        <v>16.4588</v>
      </c>
      <c r="G1441" s="425">
        <v>13.5788</v>
      </c>
      <c r="H1441" s="426">
        <v>29.9543</v>
      </c>
      <c r="I1441" s="426">
        <v>21.4085</v>
      </c>
      <c r="J1441" s="425">
        <v>20.3537</v>
      </c>
      <c r="K1441" s="182">
        <v>10693.7</v>
      </c>
      <c r="L1441" s="36"/>
      <c r="M1441" s="36"/>
      <c r="N1441" s="36"/>
      <c r="O1441" s="36"/>
      <c r="P1441" s="36"/>
      <c r="Q1441" s="36"/>
      <c r="R1441" s="36"/>
      <c r="S1441" s="36"/>
      <c r="T1441" s="36"/>
      <c r="U1441" s="36"/>
      <c r="V1441" s="36"/>
      <c r="W1441" s="36"/>
      <c r="X1441" s="36"/>
      <c r="Y1441" s="36"/>
      <c r="Z1441" s="36"/>
      <c r="AA1441" s="36"/>
      <c r="AB1441" s="36"/>
      <c r="AC1441" s="36"/>
    </row>
    <row r="1442" ht="15.75" customHeight="1">
      <c r="A1442" s="423">
        <v>43441.0</v>
      </c>
      <c r="B1442" s="424">
        <v>13.96</v>
      </c>
      <c r="C1442" s="425">
        <v>17.1492</v>
      </c>
      <c r="D1442" s="426">
        <v>18.9918</v>
      </c>
      <c r="E1442" s="425">
        <v>14.023</v>
      </c>
      <c r="F1442" s="425">
        <v>16.4588</v>
      </c>
      <c r="G1442" s="425">
        <v>13.5788</v>
      </c>
      <c r="H1442" s="426">
        <v>29.9936</v>
      </c>
      <c r="I1442" s="426">
        <v>21.4463</v>
      </c>
      <c r="J1442" s="425">
        <v>20.3537</v>
      </c>
      <c r="K1442" s="182">
        <v>10693.7</v>
      </c>
      <c r="L1442" s="36"/>
      <c r="M1442" s="36"/>
      <c r="N1442" s="36"/>
      <c r="O1442" s="36"/>
      <c r="P1442" s="36"/>
      <c r="Q1442" s="36"/>
      <c r="R1442" s="36"/>
      <c r="S1442" s="36"/>
      <c r="T1442" s="36"/>
      <c r="U1442" s="36"/>
      <c r="V1442" s="36"/>
      <c r="W1442" s="36"/>
      <c r="X1442" s="36"/>
      <c r="Y1442" s="36"/>
      <c r="Z1442" s="36"/>
      <c r="AA1442" s="36"/>
      <c r="AB1442" s="36"/>
      <c r="AC1442" s="36"/>
    </row>
    <row r="1443" ht="15.75" customHeight="1">
      <c r="A1443" s="423">
        <v>43441.0</v>
      </c>
      <c r="B1443" s="424">
        <v>13.96</v>
      </c>
      <c r="C1443" s="425">
        <v>17.1426</v>
      </c>
      <c r="D1443" s="426">
        <v>18.9917</v>
      </c>
      <c r="E1443" s="425">
        <v>14.023</v>
      </c>
      <c r="F1443" s="425">
        <v>16.4588</v>
      </c>
      <c r="G1443" s="425">
        <v>13.5788</v>
      </c>
      <c r="H1443" s="426">
        <v>29.9343</v>
      </c>
      <c r="I1443" s="426">
        <v>21.423</v>
      </c>
      <c r="J1443" s="425">
        <v>20.4765</v>
      </c>
      <c r="K1443" s="182">
        <v>10693.7</v>
      </c>
      <c r="L1443" s="36"/>
      <c r="M1443" s="36"/>
      <c r="N1443" s="36"/>
      <c r="O1443" s="36"/>
      <c r="P1443" s="36"/>
      <c r="Q1443" s="36"/>
      <c r="R1443" s="36"/>
      <c r="S1443" s="36"/>
      <c r="T1443" s="36"/>
      <c r="U1443" s="36"/>
      <c r="V1443" s="36"/>
      <c r="W1443" s="36"/>
      <c r="X1443" s="36"/>
      <c r="Y1443" s="36"/>
      <c r="Z1443" s="36"/>
      <c r="AA1443" s="36"/>
      <c r="AB1443" s="36"/>
      <c r="AC1443" s="36"/>
    </row>
    <row r="1444" ht="15.75" customHeight="1">
      <c r="A1444" s="423">
        <v>43441.0</v>
      </c>
      <c r="B1444" s="424">
        <v>13.96</v>
      </c>
      <c r="C1444" s="425">
        <v>17.1426</v>
      </c>
      <c r="D1444" s="426">
        <v>19.0049</v>
      </c>
      <c r="E1444" s="425">
        <v>14.023</v>
      </c>
      <c r="F1444" s="425">
        <v>16.4588</v>
      </c>
      <c r="G1444" s="425">
        <v>13.5788</v>
      </c>
      <c r="H1444" s="426">
        <v>29.8025</v>
      </c>
      <c r="I1444" s="426">
        <v>21.3606</v>
      </c>
      <c r="J1444" s="425">
        <v>20.4765</v>
      </c>
      <c r="K1444" s="182">
        <v>10693.7</v>
      </c>
      <c r="L1444" s="36"/>
      <c r="M1444" s="36"/>
      <c r="N1444" s="36"/>
      <c r="O1444" s="36"/>
      <c r="P1444" s="36"/>
      <c r="Q1444" s="36"/>
      <c r="R1444" s="36"/>
      <c r="S1444" s="36"/>
      <c r="T1444" s="36"/>
      <c r="U1444" s="36"/>
      <c r="V1444" s="36"/>
      <c r="W1444" s="36"/>
      <c r="X1444" s="36"/>
      <c r="Y1444" s="36"/>
      <c r="Z1444" s="36"/>
      <c r="AA1444" s="36"/>
      <c r="AB1444" s="36"/>
      <c r="AC1444" s="36"/>
    </row>
    <row r="1445" ht="15.75" customHeight="1">
      <c r="A1445" s="423">
        <v>43444.0</v>
      </c>
      <c r="B1445" s="424">
        <v>13.7234</v>
      </c>
      <c r="C1445" s="425">
        <v>17.1563</v>
      </c>
      <c r="D1445" s="426">
        <v>18.8045</v>
      </c>
      <c r="E1445" s="425">
        <v>13.9602</v>
      </c>
      <c r="F1445" s="425">
        <v>16.1937</v>
      </c>
      <c r="G1445" s="425">
        <v>13.5708</v>
      </c>
      <c r="H1445" s="426">
        <v>30.0818</v>
      </c>
      <c r="I1445" s="426">
        <v>21.5846</v>
      </c>
      <c r="J1445" s="425">
        <v>20.1537</v>
      </c>
      <c r="K1445" s="182">
        <v>10488.45</v>
      </c>
      <c r="L1445" s="36"/>
      <c r="M1445" s="36"/>
      <c r="N1445" s="36"/>
      <c r="O1445" s="36"/>
      <c r="P1445" s="36"/>
      <c r="Q1445" s="36"/>
      <c r="R1445" s="36"/>
      <c r="S1445" s="36"/>
      <c r="T1445" s="36"/>
      <c r="U1445" s="36"/>
      <c r="V1445" s="36"/>
      <c r="W1445" s="36"/>
      <c r="X1445" s="36"/>
      <c r="Y1445" s="36"/>
      <c r="Z1445" s="36"/>
      <c r="AA1445" s="36"/>
      <c r="AB1445" s="36"/>
      <c r="AC1445" s="36"/>
    </row>
    <row r="1446" ht="15.75" customHeight="1">
      <c r="A1446" s="423">
        <v>43444.0</v>
      </c>
      <c r="B1446" s="424">
        <v>13.7234</v>
      </c>
      <c r="C1446" s="425">
        <v>17.1563</v>
      </c>
      <c r="D1446" s="426">
        <v>18.7703</v>
      </c>
      <c r="E1446" s="425">
        <v>13.9602</v>
      </c>
      <c r="F1446" s="425">
        <v>16.1937</v>
      </c>
      <c r="G1446" s="425">
        <v>13.5708</v>
      </c>
      <c r="H1446" s="426">
        <v>30.1005</v>
      </c>
      <c r="I1446" s="426">
        <v>21.5318</v>
      </c>
      <c r="J1446" s="425">
        <v>20.1537</v>
      </c>
      <c r="K1446" s="182">
        <v>10488.45</v>
      </c>
      <c r="L1446" s="36"/>
      <c r="M1446" s="36"/>
      <c r="N1446" s="36"/>
      <c r="O1446" s="36"/>
      <c r="P1446" s="36"/>
      <c r="Q1446" s="36"/>
      <c r="R1446" s="36"/>
      <c r="S1446" s="36"/>
      <c r="T1446" s="36"/>
      <c r="U1446" s="36"/>
      <c r="V1446" s="36"/>
      <c r="W1446" s="36"/>
      <c r="X1446" s="36"/>
      <c r="Y1446" s="36"/>
      <c r="Z1446" s="36"/>
      <c r="AA1446" s="36"/>
      <c r="AB1446" s="36"/>
      <c r="AC1446" s="36"/>
    </row>
    <row r="1447" ht="15.75" customHeight="1">
      <c r="A1447" s="423">
        <v>43444.0</v>
      </c>
      <c r="B1447" s="424">
        <v>13.7234</v>
      </c>
      <c r="C1447" s="425">
        <v>17.1529</v>
      </c>
      <c r="D1447" s="426">
        <v>18.8004</v>
      </c>
      <c r="E1447" s="425">
        <v>13.9602</v>
      </c>
      <c r="F1447" s="425">
        <v>16.1937</v>
      </c>
      <c r="G1447" s="425">
        <v>13.5708</v>
      </c>
      <c r="H1447" s="426">
        <v>29.9958</v>
      </c>
      <c r="I1447" s="426">
        <v>21.4716</v>
      </c>
      <c r="J1447" s="425">
        <v>20.3127</v>
      </c>
      <c r="K1447" s="182">
        <v>10488.45</v>
      </c>
      <c r="L1447" s="36"/>
      <c r="M1447" s="36"/>
      <c r="N1447" s="36"/>
      <c r="O1447" s="36"/>
      <c r="P1447" s="36"/>
      <c r="Q1447" s="36"/>
      <c r="R1447" s="36"/>
      <c r="S1447" s="36"/>
      <c r="T1447" s="36"/>
      <c r="U1447" s="36"/>
      <c r="V1447" s="36"/>
      <c r="W1447" s="36"/>
      <c r="X1447" s="36"/>
      <c r="Y1447" s="36"/>
      <c r="Z1447" s="36"/>
      <c r="AA1447" s="36"/>
      <c r="AB1447" s="36"/>
      <c r="AC1447" s="36"/>
    </row>
    <row r="1448" ht="15.75" customHeight="1">
      <c r="A1448" s="423">
        <v>43444.0</v>
      </c>
      <c r="B1448" s="424">
        <v>13.7234</v>
      </c>
      <c r="C1448" s="425">
        <v>17.1529</v>
      </c>
      <c r="D1448" s="426">
        <v>18.8559</v>
      </c>
      <c r="E1448" s="425">
        <v>13.9602</v>
      </c>
      <c r="F1448" s="425">
        <v>16.1937</v>
      </c>
      <c r="G1448" s="425">
        <v>13.5708</v>
      </c>
      <c r="H1448" s="426">
        <v>30.1173</v>
      </c>
      <c r="I1448" s="426">
        <v>21.5037</v>
      </c>
      <c r="J1448" s="425">
        <v>20.3127</v>
      </c>
      <c r="K1448" s="182">
        <v>10488.45</v>
      </c>
      <c r="L1448" s="36"/>
      <c r="M1448" s="36"/>
      <c r="N1448" s="36"/>
      <c r="O1448" s="36"/>
      <c r="P1448" s="36"/>
      <c r="Q1448" s="36"/>
      <c r="R1448" s="36"/>
      <c r="S1448" s="36"/>
      <c r="T1448" s="36"/>
      <c r="U1448" s="36"/>
      <c r="V1448" s="36"/>
      <c r="W1448" s="36"/>
      <c r="X1448" s="36"/>
      <c r="Y1448" s="36"/>
      <c r="Z1448" s="36"/>
      <c r="AA1448" s="36"/>
      <c r="AB1448" s="36"/>
      <c r="AC1448" s="36"/>
    </row>
    <row r="1449" ht="15.75" customHeight="1">
      <c r="A1449" s="423">
        <v>43445.0</v>
      </c>
      <c r="B1449" s="424">
        <v>13.8055</v>
      </c>
      <c r="C1449" s="425">
        <v>17.1127</v>
      </c>
      <c r="D1449" s="426">
        <v>18.7358</v>
      </c>
      <c r="E1449" s="425">
        <v>13.9838</v>
      </c>
      <c r="F1449" s="425">
        <v>16.2826</v>
      </c>
      <c r="G1449" s="425">
        <v>13.5696</v>
      </c>
      <c r="H1449" s="426">
        <v>30.347</v>
      </c>
      <c r="I1449" s="426">
        <v>21.8603</v>
      </c>
      <c r="J1449" s="425">
        <v>20.0403</v>
      </c>
      <c r="K1449" s="182">
        <v>10549.15</v>
      </c>
      <c r="L1449" s="36"/>
      <c r="M1449" s="36"/>
      <c r="N1449" s="36"/>
      <c r="O1449" s="36"/>
      <c r="P1449" s="36"/>
      <c r="Q1449" s="36"/>
      <c r="R1449" s="36"/>
      <c r="S1449" s="36"/>
      <c r="T1449" s="36"/>
      <c r="U1449" s="36"/>
      <c r="V1449" s="36"/>
      <c r="W1449" s="36"/>
      <c r="X1449" s="36"/>
      <c r="Y1449" s="36"/>
      <c r="Z1449" s="36"/>
      <c r="AA1449" s="36"/>
      <c r="AB1449" s="36"/>
      <c r="AC1449" s="36"/>
    </row>
    <row r="1450" ht="15.75" customHeight="1">
      <c r="A1450" s="423">
        <v>43445.0</v>
      </c>
      <c r="B1450" s="424">
        <v>13.8055</v>
      </c>
      <c r="C1450" s="425">
        <v>17.1127</v>
      </c>
      <c r="D1450" s="426">
        <v>18.7261</v>
      </c>
      <c r="E1450" s="425">
        <v>13.9838</v>
      </c>
      <c r="F1450" s="425">
        <v>16.2826</v>
      </c>
      <c r="G1450" s="425">
        <v>13.5696</v>
      </c>
      <c r="H1450" s="426">
        <v>30.1514</v>
      </c>
      <c r="I1450" s="426">
        <v>21.7386</v>
      </c>
      <c r="J1450" s="425">
        <v>20.0403</v>
      </c>
      <c r="K1450" s="182">
        <v>10549.15</v>
      </c>
      <c r="L1450" s="36"/>
      <c r="M1450" s="36"/>
      <c r="N1450" s="36"/>
      <c r="O1450" s="36"/>
      <c r="P1450" s="36"/>
      <c r="Q1450" s="36"/>
      <c r="R1450" s="36"/>
      <c r="S1450" s="36"/>
      <c r="T1450" s="36"/>
      <c r="U1450" s="36"/>
      <c r="V1450" s="36"/>
      <c r="W1450" s="36"/>
      <c r="X1450" s="36"/>
      <c r="Y1450" s="36"/>
      <c r="Z1450" s="36"/>
      <c r="AA1450" s="36"/>
      <c r="AB1450" s="36"/>
      <c r="AC1450" s="36"/>
    </row>
    <row r="1451" ht="15.75" customHeight="1">
      <c r="A1451" s="423">
        <v>43445.0</v>
      </c>
      <c r="B1451" s="424">
        <v>13.8055</v>
      </c>
      <c r="C1451" s="425">
        <v>17.127</v>
      </c>
      <c r="D1451" s="426">
        <v>18.7288</v>
      </c>
      <c r="E1451" s="425">
        <v>13.9838</v>
      </c>
      <c r="F1451" s="425">
        <v>16.2826</v>
      </c>
      <c r="G1451" s="425">
        <v>13.5696</v>
      </c>
      <c r="H1451" s="426">
        <v>29.9787</v>
      </c>
      <c r="I1451" s="426">
        <v>21.6077</v>
      </c>
      <c r="J1451" s="425">
        <v>19.9371</v>
      </c>
      <c r="K1451" s="182">
        <v>10549.15</v>
      </c>
      <c r="L1451" s="36"/>
      <c r="M1451" s="36"/>
      <c r="N1451" s="36"/>
      <c r="O1451" s="36"/>
      <c r="P1451" s="36"/>
      <c r="Q1451" s="36"/>
      <c r="R1451" s="36"/>
      <c r="S1451" s="36"/>
      <c r="T1451" s="36"/>
      <c r="U1451" s="36"/>
      <c r="V1451" s="36"/>
      <c r="W1451" s="36"/>
      <c r="X1451" s="36"/>
      <c r="Y1451" s="36"/>
      <c r="Z1451" s="36"/>
      <c r="AA1451" s="36"/>
      <c r="AB1451" s="36"/>
      <c r="AC1451" s="36"/>
    </row>
    <row r="1452" ht="15.75" customHeight="1">
      <c r="A1452" s="423">
        <v>43445.0</v>
      </c>
      <c r="B1452" s="424">
        <v>13.8055</v>
      </c>
      <c r="C1452" s="425">
        <v>17.127</v>
      </c>
      <c r="D1452" s="426">
        <v>18.7572</v>
      </c>
      <c r="E1452" s="425">
        <v>13.9838</v>
      </c>
      <c r="F1452" s="425">
        <v>16.2826</v>
      </c>
      <c r="G1452" s="425">
        <v>13.5696</v>
      </c>
      <c r="H1452" s="426">
        <v>29.9673</v>
      </c>
      <c r="I1452" s="426">
        <v>21.4921</v>
      </c>
      <c r="J1452" s="425">
        <v>19.9371</v>
      </c>
      <c r="K1452" s="182">
        <v>10549.15</v>
      </c>
      <c r="L1452" s="36"/>
      <c r="M1452" s="36"/>
      <c r="N1452" s="36"/>
      <c r="O1452" s="36"/>
      <c r="P1452" s="36"/>
      <c r="Q1452" s="36"/>
      <c r="R1452" s="36"/>
      <c r="S1452" s="36"/>
      <c r="T1452" s="36"/>
      <c r="U1452" s="36"/>
      <c r="V1452" s="36"/>
      <c r="W1452" s="36"/>
      <c r="X1452" s="36"/>
      <c r="Y1452" s="36"/>
      <c r="Z1452" s="36"/>
      <c r="AA1452" s="36"/>
      <c r="AB1452" s="36"/>
      <c r="AC1452" s="36"/>
    </row>
    <row r="1453" ht="15.75" customHeight="1">
      <c r="A1453" s="423">
        <v>43446.0</v>
      </c>
      <c r="B1453" s="424">
        <v>14.0239</v>
      </c>
      <c r="C1453" s="425">
        <v>17.1615</v>
      </c>
      <c r="D1453" s="426">
        <v>18.8325</v>
      </c>
      <c r="E1453" s="425">
        <v>14.0604</v>
      </c>
      <c r="F1453" s="425">
        <v>16.5293</v>
      </c>
      <c r="G1453" s="425">
        <v>13.5896</v>
      </c>
      <c r="H1453" s="426">
        <v>29.9088</v>
      </c>
      <c r="I1453" s="426">
        <v>21.7766</v>
      </c>
      <c r="J1453" s="425">
        <v>19.9605</v>
      </c>
      <c r="K1453" s="182">
        <v>10737.6</v>
      </c>
      <c r="L1453" s="36"/>
      <c r="M1453" s="36"/>
      <c r="N1453" s="36"/>
      <c r="O1453" s="36"/>
      <c r="P1453" s="36"/>
      <c r="Q1453" s="36"/>
      <c r="R1453" s="36"/>
      <c r="S1453" s="36"/>
      <c r="T1453" s="36"/>
      <c r="U1453" s="36"/>
      <c r="V1453" s="36"/>
      <c r="W1453" s="36"/>
      <c r="X1453" s="36"/>
      <c r="Y1453" s="36"/>
      <c r="Z1453" s="36"/>
      <c r="AA1453" s="36"/>
      <c r="AB1453" s="36"/>
      <c r="AC1453" s="36"/>
    </row>
    <row r="1454" ht="15.75" customHeight="1">
      <c r="A1454" s="423">
        <v>43446.0</v>
      </c>
      <c r="B1454" s="424">
        <v>14.0239</v>
      </c>
      <c r="C1454" s="425">
        <v>17.1615</v>
      </c>
      <c r="D1454" s="426">
        <v>18.7702</v>
      </c>
      <c r="E1454" s="425">
        <v>14.0604</v>
      </c>
      <c r="F1454" s="425">
        <v>16.5293</v>
      </c>
      <c r="G1454" s="425">
        <v>13.5896</v>
      </c>
      <c r="H1454" s="426">
        <v>29.7255</v>
      </c>
      <c r="I1454" s="426">
        <v>21.5906</v>
      </c>
      <c r="J1454" s="425">
        <v>19.9605</v>
      </c>
      <c r="K1454" s="182">
        <v>10737.6</v>
      </c>
      <c r="L1454" s="36"/>
      <c r="M1454" s="36"/>
      <c r="N1454" s="36"/>
      <c r="O1454" s="36"/>
      <c r="P1454" s="36"/>
      <c r="Q1454" s="36"/>
      <c r="R1454" s="36"/>
      <c r="S1454" s="36"/>
      <c r="T1454" s="36"/>
      <c r="U1454" s="36"/>
      <c r="V1454" s="36"/>
      <c r="W1454" s="36"/>
      <c r="X1454" s="36"/>
      <c r="Y1454" s="36"/>
      <c r="Z1454" s="36"/>
      <c r="AA1454" s="36"/>
      <c r="AB1454" s="36"/>
      <c r="AC1454" s="36"/>
    </row>
    <row r="1455" ht="15.75" customHeight="1">
      <c r="A1455" s="423">
        <v>43446.0</v>
      </c>
      <c r="B1455" s="424">
        <v>14.0239</v>
      </c>
      <c r="C1455" s="425">
        <v>17.1282</v>
      </c>
      <c r="D1455" s="426">
        <v>18.7657</v>
      </c>
      <c r="E1455" s="425">
        <v>14.0604</v>
      </c>
      <c r="F1455" s="425">
        <v>16.5293</v>
      </c>
      <c r="G1455" s="425">
        <v>13.5896</v>
      </c>
      <c r="H1455" s="426">
        <v>29.852</v>
      </c>
      <c r="I1455" s="426">
        <v>21.6931</v>
      </c>
      <c r="J1455" s="425">
        <v>20.0396</v>
      </c>
      <c r="K1455" s="182">
        <v>10737.6</v>
      </c>
      <c r="L1455" s="36"/>
      <c r="M1455" s="36"/>
      <c r="N1455" s="36"/>
      <c r="O1455" s="36"/>
      <c r="P1455" s="36"/>
      <c r="Q1455" s="36"/>
      <c r="R1455" s="36"/>
      <c r="S1455" s="36"/>
      <c r="T1455" s="36"/>
      <c r="U1455" s="36"/>
      <c r="V1455" s="36"/>
      <c r="W1455" s="36"/>
      <c r="X1455" s="36"/>
      <c r="Y1455" s="36"/>
      <c r="Z1455" s="36"/>
      <c r="AA1455" s="36"/>
      <c r="AB1455" s="36"/>
      <c r="AC1455" s="36"/>
    </row>
    <row r="1456" ht="15.75" customHeight="1">
      <c r="A1456" s="423">
        <v>43446.0</v>
      </c>
      <c r="B1456" s="424">
        <v>14.0239</v>
      </c>
      <c r="C1456" s="425">
        <v>17.1282</v>
      </c>
      <c r="D1456" s="426">
        <v>18.7612</v>
      </c>
      <c r="E1456" s="425">
        <v>14.0604</v>
      </c>
      <c r="F1456" s="425">
        <v>16.5293</v>
      </c>
      <c r="G1456" s="425">
        <v>13.5896</v>
      </c>
      <c r="H1456" s="426">
        <v>30.0966</v>
      </c>
      <c r="I1456" s="426">
        <v>21.7895</v>
      </c>
      <c r="J1456" s="425">
        <v>20.0396</v>
      </c>
      <c r="K1456" s="182">
        <v>10737.6</v>
      </c>
      <c r="L1456" s="36"/>
      <c r="M1456" s="36"/>
      <c r="N1456" s="36"/>
      <c r="O1456" s="36"/>
      <c r="P1456" s="36"/>
      <c r="Q1456" s="36"/>
      <c r="R1456" s="36"/>
      <c r="S1456" s="36"/>
      <c r="T1456" s="36"/>
      <c r="U1456" s="36"/>
      <c r="V1456" s="36"/>
      <c r="W1456" s="36"/>
      <c r="X1456" s="36"/>
      <c r="Y1456" s="36"/>
      <c r="Z1456" s="36"/>
      <c r="AA1456" s="36"/>
      <c r="AB1456" s="36"/>
      <c r="AC1456" s="36"/>
    </row>
    <row r="1457" ht="15.75" customHeight="1">
      <c r="A1457" s="423">
        <v>43447.0</v>
      </c>
      <c r="B1457" s="424">
        <v>14.0917</v>
      </c>
      <c r="C1457" s="425">
        <v>17.187</v>
      </c>
      <c r="D1457" s="426">
        <v>18.7562</v>
      </c>
      <c r="E1457" s="425">
        <v>14.0682</v>
      </c>
      <c r="F1457" s="425">
        <v>16.6285</v>
      </c>
      <c r="G1457" s="425">
        <v>13.595</v>
      </c>
      <c r="H1457" s="426">
        <v>29.5759</v>
      </c>
      <c r="I1457" s="426">
        <v>21.912</v>
      </c>
      <c r="J1457" s="425">
        <v>19.8773</v>
      </c>
      <c r="K1457" s="182">
        <v>10791.55</v>
      </c>
      <c r="L1457" s="36"/>
      <c r="M1457" s="36"/>
      <c r="N1457" s="36"/>
      <c r="O1457" s="36"/>
      <c r="P1457" s="36"/>
      <c r="Q1457" s="36"/>
      <c r="R1457" s="36"/>
      <c r="S1457" s="36"/>
      <c r="T1457" s="36"/>
      <c r="U1457" s="36"/>
      <c r="V1457" s="36"/>
      <c r="W1457" s="36"/>
      <c r="X1457" s="36"/>
      <c r="Y1457" s="36"/>
      <c r="Z1457" s="36"/>
      <c r="AA1457" s="36"/>
      <c r="AB1457" s="36"/>
      <c r="AC1457" s="36"/>
    </row>
    <row r="1458" ht="15.75" customHeight="1">
      <c r="A1458" s="423">
        <v>43447.0</v>
      </c>
      <c r="B1458" s="424">
        <v>14.0917</v>
      </c>
      <c r="C1458" s="425">
        <v>17.187</v>
      </c>
      <c r="D1458" s="426">
        <v>18.7688</v>
      </c>
      <c r="E1458" s="425">
        <v>14.0682</v>
      </c>
      <c r="F1458" s="425">
        <v>16.6285</v>
      </c>
      <c r="G1458" s="425">
        <v>13.595</v>
      </c>
      <c r="H1458" s="426">
        <v>29.4514</v>
      </c>
      <c r="I1458" s="426">
        <v>21.7404</v>
      </c>
      <c r="J1458" s="425">
        <v>19.8773</v>
      </c>
      <c r="K1458" s="182">
        <v>10791.55</v>
      </c>
      <c r="L1458" s="36"/>
      <c r="M1458" s="36"/>
      <c r="N1458" s="36"/>
      <c r="O1458" s="36"/>
      <c r="P1458" s="36"/>
      <c r="Q1458" s="36"/>
      <c r="R1458" s="36"/>
      <c r="S1458" s="36"/>
      <c r="T1458" s="36"/>
      <c r="U1458" s="36"/>
      <c r="V1458" s="36"/>
      <c r="W1458" s="36"/>
      <c r="X1458" s="36"/>
      <c r="Y1458" s="36"/>
      <c r="Z1458" s="36"/>
      <c r="AA1458" s="36"/>
      <c r="AB1458" s="36"/>
      <c r="AC1458" s="36"/>
    </row>
    <row r="1459" ht="15.75" customHeight="1">
      <c r="A1459" s="423">
        <v>43447.0</v>
      </c>
      <c r="B1459" s="424">
        <v>14.0917</v>
      </c>
      <c r="C1459" s="425">
        <v>17.1811</v>
      </c>
      <c r="D1459" s="426">
        <v>18.7773</v>
      </c>
      <c r="E1459" s="425">
        <v>14.0682</v>
      </c>
      <c r="F1459" s="425">
        <v>16.6285</v>
      </c>
      <c r="G1459" s="425">
        <v>13.595</v>
      </c>
      <c r="H1459" s="426">
        <v>29.7877</v>
      </c>
      <c r="I1459" s="426">
        <v>21.8089</v>
      </c>
      <c r="J1459" s="425">
        <v>19.8763</v>
      </c>
      <c r="K1459" s="182">
        <v>10791.55</v>
      </c>
      <c r="L1459" s="36"/>
      <c r="M1459" s="36"/>
      <c r="N1459" s="36"/>
      <c r="O1459" s="36"/>
      <c r="P1459" s="36"/>
      <c r="Q1459" s="36"/>
      <c r="R1459" s="36"/>
      <c r="S1459" s="36"/>
      <c r="T1459" s="36"/>
      <c r="U1459" s="36"/>
      <c r="V1459" s="36"/>
      <c r="W1459" s="36"/>
      <c r="X1459" s="36"/>
      <c r="Y1459" s="36"/>
      <c r="Z1459" s="36"/>
      <c r="AA1459" s="36"/>
      <c r="AB1459" s="36"/>
      <c r="AC1459" s="36"/>
    </row>
    <row r="1460" ht="15.75" customHeight="1">
      <c r="A1460" s="423">
        <v>43447.0</v>
      </c>
      <c r="B1460" s="424">
        <v>14.0917</v>
      </c>
      <c r="C1460" s="425">
        <v>17.1811</v>
      </c>
      <c r="D1460" s="426">
        <v>18.8665</v>
      </c>
      <c r="E1460" s="425">
        <v>14.0682</v>
      </c>
      <c r="F1460" s="425">
        <v>16.6285</v>
      </c>
      <c r="G1460" s="425">
        <v>13.595</v>
      </c>
      <c r="H1460" s="426">
        <v>29.9335</v>
      </c>
      <c r="I1460" s="426">
        <v>21.7788</v>
      </c>
      <c r="J1460" s="425">
        <v>19.8763</v>
      </c>
      <c r="K1460" s="182">
        <v>10791.55</v>
      </c>
      <c r="L1460" s="36"/>
      <c r="M1460" s="36"/>
      <c r="N1460" s="36"/>
      <c r="O1460" s="36"/>
      <c r="P1460" s="36"/>
      <c r="Q1460" s="36"/>
      <c r="R1460" s="36"/>
      <c r="S1460" s="36"/>
      <c r="T1460" s="36"/>
      <c r="U1460" s="36"/>
      <c r="V1460" s="36"/>
      <c r="W1460" s="36"/>
      <c r="X1460" s="36"/>
      <c r="Y1460" s="36"/>
      <c r="Z1460" s="36"/>
      <c r="AA1460" s="36"/>
      <c r="AB1460" s="36"/>
      <c r="AC1460" s="36"/>
    </row>
    <row r="1461" ht="15.75" customHeight="1">
      <c r="A1461" s="423">
        <v>43448.0</v>
      </c>
      <c r="B1461" s="424">
        <v>14.1266</v>
      </c>
      <c r="C1461" s="425">
        <v>17.1883</v>
      </c>
      <c r="D1461" s="426">
        <v>18.6155</v>
      </c>
      <c r="E1461" s="425">
        <v>14.054</v>
      </c>
      <c r="F1461" s="425">
        <v>16.6659</v>
      </c>
      <c r="G1461" s="425">
        <v>13.5982</v>
      </c>
      <c r="H1461" s="426">
        <v>29.323</v>
      </c>
      <c r="I1461" s="426">
        <v>21.7066</v>
      </c>
      <c r="J1461" s="425">
        <v>19.767</v>
      </c>
      <c r="K1461" s="182">
        <v>10805.45</v>
      </c>
      <c r="L1461" s="36"/>
      <c r="M1461" s="36"/>
      <c r="N1461" s="36"/>
      <c r="O1461" s="36"/>
      <c r="P1461" s="36"/>
      <c r="Q1461" s="36"/>
      <c r="R1461" s="36"/>
      <c r="S1461" s="36"/>
      <c r="T1461" s="36"/>
      <c r="U1461" s="36"/>
      <c r="V1461" s="36"/>
      <c r="W1461" s="36"/>
      <c r="X1461" s="36"/>
      <c r="Y1461" s="36"/>
      <c r="Z1461" s="36"/>
      <c r="AA1461" s="36"/>
      <c r="AB1461" s="36"/>
      <c r="AC1461" s="36"/>
    </row>
    <row r="1462" ht="15.75" customHeight="1">
      <c r="A1462" s="423">
        <v>43448.0</v>
      </c>
      <c r="B1462" s="424">
        <v>14.1266</v>
      </c>
      <c r="C1462" s="425">
        <v>17.1883</v>
      </c>
      <c r="D1462" s="426">
        <v>18.6116</v>
      </c>
      <c r="E1462" s="425">
        <v>14.054</v>
      </c>
      <c r="F1462" s="425">
        <v>16.6659</v>
      </c>
      <c r="G1462" s="425">
        <v>13.5982</v>
      </c>
      <c r="H1462" s="426">
        <v>29.2418</v>
      </c>
      <c r="I1462" s="426">
        <v>21.7813</v>
      </c>
      <c r="J1462" s="425">
        <v>19.767</v>
      </c>
      <c r="K1462" s="182">
        <v>10805.45</v>
      </c>
      <c r="L1462" s="36"/>
      <c r="M1462" s="36"/>
      <c r="N1462" s="36"/>
      <c r="O1462" s="36"/>
      <c r="P1462" s="36"/>
      <c r="Q1462" s="36"/>
      <c r="R1462" s="36"/>
      <c r="S1462" s="36"/>
      <c r="T1462" s="36"/>
      <c r="U1462" s="36"/>
      <c r="V1462" s="36"/>
      <c r="W1462" s="36"/>
      <c r="X1462" s="36"/>
      <c r="Y1462" s="36"/>
      <c r="Z1462" s="36"/>
      <c r="AA1462" s="36"/>
      <c r="AB1462" s="36"/>
      <c r="AC1462" s="36"/>
    </row>
    <row r="1463" ht="15.75" customHeight="1">
      <c r="A1463" s="423">
        <v>43448.0</v>
      </c>
      <c r="B1463" s="424">
        <v>14.1266</v>
      </c>
      <c r="C1463" s="425">
        <v>17.1944</v>
      </c>
      <c r="D1463" s="426">
        <v>18.6342</v>
      </c>
      <c r="E1463" s="425">
        <v>14.054</v>
      </c>
      <c r="F1463" s="425">
        <v>16.6659</v>
      </c>
      <c r="G1463" s="425">
        <v>13.5982</v>
      </c>
      <c r="H1463" s="426">
        <v>29.2869</v>
      </c>
      <c r="I1463" s="426">
        <v>21.8786</v>
      </c>
      <c r="J1463" s="425">
        <v>19.9514</v>
      </c>
      <c r="K1463" s="182">
        <v>10805.45</v>
      </c>
      <c r="L1463" s="36"/>
      <c r="M1463" s="36"/>
      <c r="N1463" s="36"/>
      <c r="O1463" s="36"/>
      <c r="P1463" s="36"/>
      <c r="Q1463" s="36"/>
      <c r="R1463" s="36"/>
      <c r="S1463" s="36"/>
      <c r="T1463" s="36"/>
      <c r="U1463" s="36"/>
      <c r="V1463" s="36"/>
      <c r="W1463" s="36"/>
      <c r="X1463" s="36"/>
      <c r="Y1463" s="36"/>
      <c r="Z1463" s="36"/>
      <c r="AA1463" s="36"/>
      <c r="AB1463" s="36"/>
      <c r="AC1463" s="36"/>
    </row>
    <row r="1464" ht="15.75" customHeight="1">
      <c r="A1464" s="423">
        <v>43448.0</v>
      </c>
      <c r="B1464" s="424">
        <v>14.1266</v>
      </c>
      <c r="C1464" s="425">
        <v>17.1944</v>
      </c>
      <c r="D1464" s="426">
        <v>18.7106</v>
      </c>
      <c r="E1464" s="425">
        <v>14.054</v>
      </c>
      <c r="F1464" s="425">
        <v>16.6659</v>
      </c>
      <c r="G1464" s="425">
        <v>13.5982</v>
      </c>
      <c r="H1464" s="426">
        <v>29.4324</v>
      </c>
      <c r="I1464" s="426">
        <v>21.8894</v>
      </c>
      <c r="J1464" s="425">
        <v>19.9514</v>
      </c>
      <c r="K1464" s="182">
        <v>10805.45</v>
      </c>
      <c r="L1464" s="36"/>
      <c r="M1464" s="36"/>
      <c r="N1464" s="36"/>
      <c r="O1464" s="36"/>
      <c r="P1464" s="36"/>
      <c r="Q1464" s="36"/>
      <c r="R1464" s="36"/>
      <c r="S1464" s="36"/>
      <c r="T1464" s="36"/>
      <c r="U1464" s="36"/>
      <c r="V1464" s="36"/>
      <c r="W1464" s="36"/>
      <c r="X1464" s="36"/>
      <c r="Y1464" s="36"/>
      <c r="Z1464" s="36"/>
      <c r="AA1464" s="36"/>
      <c r="AB1464" s="36"/>
      <c r="AC1464" s="36"/>
    </row>
    <row r="1465" ht="15.75" customHeight="1">
      <c r="A1465" s="423">
        <v>43451.0</v>
      </c>
      <c r="B1465" s="424">
        <v>14.2031</v>
      </c>
      <c r="C1465" s="425">
        <v>17.2051</v>
      </c>
      <c r="D1465" s="426">
        <v>18.6689</v>
      </c>
      <c r="E1465" s="425">
        <v>14.0499</v>
      </c>
      <c r="F1465" s="425">
        <v>16.7642</v>
      </c>
      <c r="G1465" s="425">
        <v>13.605</v>
      </c>
      <c r="H1465" s="426">
        <v>28.6262</v>
      </c>
      <c r="I1465" s="426">
        <v>21.236</v>
      </c>
      <c r="J1465" s="425">
        <v>19.1792</v>
      </c>
      <c r="K1465" s="182">
        <v>10888.35</v>
      </c>
      <c r="L1465" s="36"/>
      <c r="M1465" s="36"/>
      <c r="N1465" s="36"/>
      <c r="O1465" s="36"/>
      <c r="P1465" s="36"/>
      <c r="Q1465" s="36"/>
      <c r="R1465" s="36"/>
      <c r="S1465" s="36"/>
      <c r="T1465" s="36"/>
      <c r="U1465" s="36"/>
      <c r="V1465" s="36"/>
      <c r="W1465" s="36"/>
      <c r="X1465" s="36"/>
      <c r="Y1465" s="36"/>
      <c r="Z1465" s="36"/>
      <c r="AA1465" s="36"/>
      <c r="AB1465" s="36"/>
      <c r="AC1465" s="36"/>
    </row>
    <row r="1466" ht="15.75" customHeight="1">
      <c r="A1466" s="423">
        <v>43451.0</v>
      </c>
      <c r="B1466" s="424">
        <v>14.2031</v>
      </c>
      <c r="C1466" s="425">
        <v>17.2051</v>
      </c>
      <c r="D1466" s="426">
        <v>18.693</v>
      </c>
      <c r="E1466" s="425">
        <v>14.0499</v>
      </c>
      <c r="F1466" s="425">
        <v>16.7642</v>
      </c>
      <c r="G1466" s="425">
        <v>13.605</v>
      </c>
      <c r="H1466" s="426">
        <v>28.7197</v>
      </c>
      <c r="I1466" s="426">
        <v>21.4287</v>
      </c>
      <c r="J1466" s="425">
        <v>19.1792</v>
      </c>
      <c r="K1466" s="182">
        <v>10888.35</v>
      </c>
      <c r="L1466" s="36"/>
      <c r="M1466" s="36"/>
      <c r="N1466" s="36"/>
      <c r="O1466" s="36"/>
      <c r="P1466" s="36"/>
      <c r="Q1466" s="36"/>
      <c r="R1466" s="36"/>
      <c r="S1466" s="36"/>
      <c r="T1466" s="36"/>
      <c r="U1466" s="36"/>
      <c r="V1466" s="36"/>
      <c r="W1466" s="36"/>
      <c r="X1466" s="36"/>
      <c r="Y1466" s="36"/>
      <c r="Z1466" s="36"/>
      <c r="AA1466" s="36"/>
      <c r="AB1466" s="36"/>
      <c r="AC1466" s="36"/>
    </row>
    <row r="1467" ht="15.75" customHeight="1">
      <c r="A1467" s="423">
        <v>43451.0</v>
      </c>
      <c r="B1467" s="424">
        <v>14.2031</v>
      </c>
      <c r="C1467" s="425">
        <v>17.1736</v>
      </c>
      <c r="D1467" s="426">
        <v>18.6788</v>
      </c>
      <c r="E1467" s="425">
        <v>14.0499</v>
      </c>
      <c r="F1467" s="425">
        <v>16.7642</v>
      </c>
      <c r="G1467" s="425">
        <v>13.605</v>
      </c>
      <c r="H1467" s="426">
        <v>28.6202</v>
      </c>
      <c r="I1467" s="426">
        <v>21.3691</v>
      </c>
      <c r="J1467" s="425">
        <v>19.456</v>
      </c>
      <c r="K1467" s="182">
        <v>10888.35</v>
      </c>
      <c r="L1467" s="36"/>
      <c r="M1467" s="36"/>
      <c r="N1467" s="36"/>
      <c r="O1467" s="36"/>
      <c r="P1467" s="36"/>
      <c r="Q1467" s="36"/>
      <c r="R1467" s="36"/>
      <c r="S1467" s="36"/>
      <c r="T1467" s="36"/>
      <c r="U1467" s="36"/>
      <c r="V1467" s="36"/>
      <c r="W1467" s="36"/>
      <c r="X1467" s="36"/>
      <c r="Y1467" s="36"/>
      <c r="Z1467" s="36"/>
      <c r="AA1467" s="36"/>
      <c r="AB1467" s="36"/>
      <c r="AC1467" s="36"/>
    </row>
    <row r="1468" ht="15.75" customHeight="1">
      <c r="A1468" s="423">
        <v>43451.0</v>
      </c>
      <c r="B1468" s="424">
        <v>14.2031</v>
      </c>
      <c r="C1468" s="425">
        <v>17.1736</v>
      </c>
      <c r="D1468" s="426">
        <v>18.6568</v>
      </c>
      <c r="E1468" s="425">
        <v>14.0499</v>
      </c>
      <c r="F1468" s="425">
        <v>16.7642</v>
      </c>
      <c r="G1468" s="425">
        <v>13.605</v>
      </c>
      <c r="H1468" s="426">
        <v>28.9757</v>
      </c>
      <c r="I1468" s="426">
        <v>21.5322</v>
      </c>
      <c r="J1468" s="425">
        <v>19.456</v>
      </c>
      <c r="K1468" s="182">
        <v>10888.35</v>
      </c>
      <c r="L1468" s="36"/>
      <c r="M1468" s="36"/>
      <c r="N1468" s="36"/>
      <c r="O1468" s="36"/>
      <c r="P1468" s="36"/>
      <c r="Q1468" s="36"/>
      <c r="R1468" s="36"/>
      <c r="S1468" s="36"/>
      <c r="T1468" s="36"/>
      <c r="U1468" s="36"/>
      <c r="V1468" s="36"/>
      <c r="W1468" s="36"/>
      <c r="X1468" s="36"/>
      <c r="Y1468" s="36"/>
      <c r="Z1468" s="36"/>
      <c r="AA1468" s="36"/>
      <c r="AB1468" s="36"/>
      <c r="AC1468" s="36"/>
    </row>
    <row r="1469" ht="15.75" customHeight="1">
      <c r="A1469" s="423">
        <v>43452.0</v>
      </c>
      <c r="B1469" s="424">
        <v>14.2303</v>
      </c>
      <c r="C1469" s="425">
        <v>17.2044</v>
      </c>
      <c r="D1469" s="426">
        <v>18.7562</v>
      </c>
      <c r="E1469" s="425">
        <v>14.1142</v>
      </c>
      <c r="F1469" s="425">
        <v>16.796</v>
      </c>
      <c r="G1469" s="425">
        <v>13.6163</v>
      </c>
      <c r="H1469" s="426">
        <v>29.0554</v>
      </c>
      <c r="I1469" s="426">
        <v>21.6486</v>
      </c>
      <c r="J1469" s="425">
        <v>19.1169</v>
      </c>
      <c r="K1469" s="182">
        <v>10908.7</v>
      </c>
      <c r="L1469" s="36"/>
      <c r="M1469" s="36"/>
      <c r="N1469" s="36"/>
      <c r="O1469" s="36"/>
      <c r="P1469" s="36"/>
      <c r="Q1469" s="36"/>
      <c r="R1469" s="36"/>
      <c r="S1469" s="36"/>
      <c r="T1469" s="36"/>
      <c r="U1469" s="36"/>
      <c r="V1469" s="36"/>
      <c r="W1469" s="36"/>
      <c r="X1469" s="36"/>
      <c r="Y1469" s="36"/>
      <c r="Z1469" s="36"/>
      <c r="AA1469" s="36"/>
      <c r="AB1469" s="36"/>
      <c r="AC1469" s="36"/>
    </row>
    <row r="1470" ht="15.75" customHeight="1">
      <c r="A1470" s="423">
        <v>43452.0</v>
      </c>
      <c r="B1470" s="424">
        <v>14.2303</v>
      </c>
      <c r="C1470" s="425">
        <v>17.2044</v>
      </c>
      <c r="D1470" s="426">
        <v>18.7616</v>
      </c>
      <c r="E1470" s="425">
        <v>14.1142</v>
      </c>
      <c r="F1470" s="425">
        <v>16.796</v>
      </c>
      <c r="G1470" s="425">
        <v>13.6163</v>
      </c>
      <c r="H1470" s="426">
        <v>29.1953</v>
      </c>
      <c r="I1470" s="426">
        <v>21.7577</v>
      </c>
      <c r="J1470" s="425">
        <v>19.1169</v>
      </c>
      <c r="K1470" s="182">
        <v>10908.7</v>
      </c>
      <c r="L1470" s="36"/>
      <c r="M1470" s="36"/>
      <c r="N1470" s="36"/>
      <c r="O1470" s="36"/>
      <c r="P1470" s="36"/>
      <c r="Q1470" s="36"/>
      <c r="R1470" s="36"/>
      <c r="S1470" s="36"/>
      <c r="T1470" s="36"/>
      <c r="U1470" s="36"/>
      <c r="V1470" s="36"/>
      <c r="W1470" s="36"/>
      <c r="X1470" s="36"/>
      <c r="Y1470" s="36"/>
      <c r="Z1470" s="36"/>
      <c r="AA1470" s="36"/>
      <c r="AB1470" s="36"/>
      <c r="AC1470" s="36"/>
    </row>
    <row r="1471" ht="15.75" customHeight="1">
      <c r="A1471" s="423">
        <v>43452.0</v>
      </c>
      <c r="B1471" s="424">
        <v>14.2303</v>
      </c>
      <c r="C1471" s="425">
        <v>17.2158</v>
      </c>
      <c r="D1471" s="426">
        <v>18.7182</v>
      </c>
      <c r="E1471" s="425">
        <v>14.1142</v>
      </c>
      <c r="F1471" s="425">
        <v>16.796</v>
      </c>
      <c r="G1471" s="425">
        <v>13.6163</v>
      </c>
      <c r="H1471" s="426">
        <v>28.8425</v>
      </c>
      <c r="I1471" s="426">
        <v>21.5594</v>
      </c>
      <c r="J1471" s="425">
        <v>19.2065</v>
      </c>
      <c r="K1471" s="182">
        <v>10908.7</v>
      </c>
      <c r="L1471" s="36"/>
      <c r="M1471" s="36"/>
      <c r="N1471" s="36"/>
      <c r="O1471" s="36"/>
      <c r="P1471" s="36"/>
      <c r="Q1471" s="36"/>
      <c r="R1471" s="36"/>
      <c r="S1471" s="36"/>
      <c r="T1471" s="36"/>
      <c r="U1471" s="36"/>
      <c r="V1471" s="36"/>
      <c r="W1471" s="36"/>
      <c r="X1471" s="36"/>
      <c r="Y1471" s="36"/>
      <c r="Z1471" s="36"/>
      <c r="AA1471" s="36"/>
      <c r="AB1471" s="36"/>
      <c r="AC1471" s="36"/>
    </row>
    <row r="1472" ht="15.75" customHeight="1">
      <c r="A1472" s="423">
        <v>43452.0</v>
      </c>
      <c r="B1472" s="424">
        <v>14.2303</v>
      </c>
      <c r="C1472" s="425">
        <v>17.2158</v>
      </c>
      <c r="D1472" s="426">
        <v>18.6585</v>
      </c>
      <c r="E1472" s="425">
        <v>14.1142</v>
      </c>
      <c r="F1472" s="425">
        <v>16.796</v>
      </c>
      <c r="G1472" s="425">
        <v>13.6163</v>
      </c>
      <c r="H1472" s="426">
        <v>28.5104</v>
      </c>
      <c r="I1472" s="426">
        <v>21.3511</v>
      </c>
      <c r="J1472" s="425">
        <v>19.2065</v>
      </c>
      <c r="K1472" s="182">
        <v>10908.7</v>
      </c>
      <c r="L1472" s="36"/>
      <c r="M1472" s="36"/>
      <c r="N1472" s="36"/>
      <c r="O1472" s="36"/>
      <c r="P1472" s="36"/>
      <c r="Q1472" s="36"/>
      <c r="R1472" s="36"/>
      <c r="S1472" s="36"/>
      <c r="T1472" s="36"/>
      <c r="U1472" s="36"/>
      <c r="V1472" s="36"/>
      <c r="W1472" s="36"/>
      <c r="X1472" s="36"/>
      <c r="Y1472" s="36"/>
      <c r="Z1472" s="36"/>
      <c r="AA1472" s="36"/>
      <c r="AB1472" s="36"/>
      <c r="AC1472" s="36"/>
    </row>
    <row r="1473" ht="15.75" customHeight="1">
      <c r="A1473" s="423">
        <v>43453.0</v>
      </c>
      <c r="B1473" s="424">
        <v>14.2686</v>
      </c>
      <c r="C1473" s="425">
        <v>17.2148</v>
      </c>
      <c r="D1473" s="426">
        <v>18.6924</v>
      </c>
      <c r="E1473" s="425">
        <v>14.2013</v>
      </c>
      <c r="F1473" s="425">
        <v>16.861</v>
      </c>
      <c r="G1473" s="425">
        <v>13.6353</v>
      </c>
      <c r="H1473" s="426">
        <v>28.6268</v>
      </c>
      <c r="I1473" s="426">
        <v>21.6694</v>
      </c>
      <c r="J1473" s="425">
        <v>19.112</v>
      </c>
      <c r="K1473" s="182">
        <v>10967.3</v>
      </c>
      <c r="L1473" s="36"/>
      <c r="M1473" s="36"/>
      <c r="N1473" s="36"/>
      <c r="O1473" s="36"/>
      <c r="P1473" s="36"/>
      <c r="Q1473" s="36"/>
      <c r="R1473" s="36"/>
      <c r="S1473" s="36"/>
      <c r="T1473" s="36"/>
      <c r="U1473" s="36"/>
      <c r="V1473" s="36"/>
      <c r="W1473" s="36"/>
      <c r="X1473" s="36"/>
      <c r="Y1473" s="36"/>
      <c r="Z1473" s="36"/>
      <c r="AA1473" s="36"/>
      <c r="AB1473" s="36"/>
      <c r="AC1473" s="36"/>
    </row>
    <row r="1474" ht="15.75" customHeight="1">
      <c r="A1474" s="423">
        <v>43453.0</v>
      </c>
      <c r="B1474" s="424">
        <v>14.2686</v>
      </c>
      <c r="C1474" s="425">
        <v>17.2148</v>
      </c>
      <c r="D1474" s="426">
        <v>18.6981</v>
      </c>
      <c r="E1474" s="425">
        <v>14.2013</v>
      </c>
      <c r="F1474" s="425">
        <v>16.861</v>
      </c>
      <c r="G1474" s="425">
        <v>13.6353</v>
      </c>
      <c r="H1474" s="426">
        <v>28.8452</v>
      </c>
      <c r="I1474" s="426">
        <v>21.8014</v>
      </c>
      <c r="J1474" s="425">
        <v>19.112</v>
      </c>
      <c r="K1474" s="182">
        <v>10967.3</v>
      </c>
      <c r="L1474" s="36"/>
      <c r="M1474" s="36"/>
      <c r="N1474" s="36"/>
      <c r="O1474" s="36"/>
      <c r="P1474" s="36"/>
      <c r="Q1474" s="36"/>
      <c r="R1474" s="36"/>
      <c r="S1474" s="36"/>
      <c r="T1474" s="36"/>
      <c r="U1474" s="36"/>
      <c r="V1474" s="36"/>
      <c r="W1474" s="36"/>
      <c r="X1474" s="36"/>
      <c r="Y1474" s="36"/>
      <c r="Z1474" s="36"/>
      <c r="AA1474" s="36"/>
      <c r="AB1474" s="36"/>
      <c r="AC1474" s="36"/>
    </row>
    <row r="1475" ht="15.75" customHeight="1">
      <c r="A1475" s="423">
        <v>43453.0</v>
      </c>
      <c r="B1475" s="424">
        <v>14.2686</v>
      </c>
      <c r="C1475" s="425">
        <v>17.2096</v>
      </c>
      <c r="D1475" s="426">
        <v>18.7067</v>
      </c>
      <c r="E1475" s="425">
        <v>14.2013</v>
      </c>
      <c r="F1475" s="425">
        <v>16.861</v>
      </c>
      <c r="G1475" s="425">
        <v>13.6353</v>
      </c>
      <c r="H1475" s="426">
        <v>29.0921</v>
      </c>
      <c r="I1475" s="426">
        <v>21.881</v>
      </c>
      <c r="J1475" s="425">
        <v>19.3543</v>
      </c>
      <c r="K1475" s="182">
        <v>10967.3</v>
      </c>
      <c r="L1475" s="36"/>
      <c r="M1475" s="36"/>
      <c r="N1475" s="36"/>
      <c r="O1475" s="36"/>
      <c r="P1475" s="36"/>
      <c r="Q1475" s="36"/>
      <c r="R1475" s="36"/>
      <c r="S1475" s="36"/>
      <c r="T1475" s="36"/>
      <c r="U1475" s="36"/>
      <c r="V1475" s="36"/>
      <c r="W1475" s="36"/>
      <c r="X1475" s="36"/>
      <c r="Y1475" s="36"/>
      <c r="Z1475" s="36"/>
      <c r="AA1475" s="36"/>
      <c r="AB1475" s="36"/>
      <c r="AC1475" s="36"/>
    </row>
    <row r="1476" ht="15.75" customHeight="1">
      <c r="A1476" s="423">
        <v>43453.0</v>
      </c>
      <c r="B1476" s="424">
        <v>14.2686</v>
      </c>
      <c r="C1476" s="425">
        <v>17.2096</v>
      </c>
      <c r="D1476" s="426">
        <v>18.7566</v>
      </c>
      <c r="E1476" s="425">
        <v>14.2013</v>
      </c>
      <c r="F1476" s="425">
        <v>16.861</v>
      </c>
      <c r="G1476" s="425">
        <v>13.6353</v>
      </c>
      <c r="H1476" s="426">
        <v>29.0841</v>
      </c>
      <c r="I1476" s="426">
        <v>21.6409</v>
      </c>
      <c r="J1476" s="425">
        <v>19.3543</v>
      </c>
      <c r="K1476" s="182">
        <v>10967.3</v>
      </c>
      <c r="L1476" s="36"/>
      <c r="M1476" s="36"/>
      <c r="N1476" s="36"/>
      <c r="O1476" s="36"/>
      <c r="P1476" s="36"/>
      <c r="Q1476" s="36"/>
      <c r="R1476" s="36"/>
      <c r="S1476" s="36"/>
      <c r="T1476" s="36"/>
      <c r="U1476" s="36"/>
      <c r="V1476" s="36"/>
      <c r="W1476" s="36"/>
      <c r="X1476" s="36"/>
      <c r="Y1476" s="36"/>
      <c r="Z1476" s="36"/>
      <c r="AA1476" s="36"/>
      <c r="AB1476" s="36"/>
      <c r="AC1476" s="36"/>
    </row>
    <row r="1477" ht="15.75" customHeight="1">
      <c r="A1477" s="423">
        <v>43454.0</v>
      </c>
      <c r="B1477" s="424">
        <v>14.263</v>
      </c>
      <c r="C1477" s="425">
        <v>17.2449</v>
      </c>
      <c r="D1477" s="426">
        <v>18.619</v>
      </c>
      <c r="E1477" s="425">
        <v>14.1834</v>
      </c>
      <c r="F1477" s="425">
        <v>16.8489</v>
      </c>
      <c r="G1477" s="425">
        <v>13.6401</v>
      </c>
      <c r="H1477" s="426">
        <v>28.9976</v>
      </c>
      <c r="I1477" s="426">
        <v>21.9023</v>
      </c>
      <c r="J1477" s="425">
        <v>19.4767</v>
      </c>
      <c r="K1477" s="182">
        <v>10951.7</v>
      </c>
      <c r="L1477" s="36"/>
      <c r="M1477" s="36"/>
      <c r="N1477" s="36"/>
      <c r="O1477" s="36"/>
      <c r="P1477" s="36"/>
      <c r="Q1477" s="36"/>
      <c r="R1477" s="36"/>
      <c r="S1477" s="36"/>
      <c r="T1477" s="36"/>
      <c r="U1477" s="36"/>
      <c r="V1477" s="36"/>
      <c r="W1477" s="36"/>
      <c r="X1477" s="36"/>
      <c r="Y1477" s="36"/>
      <c r="Z1477" s="36"/>
      <c r="AA1477" s="36"/>
      <c r="AB1477" s="36"/>
      <c r="AC1477" s="36"/>
    </row>
    <row r="1478" ht="15.75" customHeight="1">
      <c r="A1478" s="423">
        <v>43454.0</v>
      </c>
      <c r="B1478" s="424">
        <v>14.263</v>
      </c>
      <c r="C1478" s="425">
        <v>17.2449</v>
      </c>
      <c r="D1478" s="426">
        <v>18.5839</v>
      </c>
      <c r="E1478" s="425">
        <v>14.1834</v>
      </c>
      <c r="F1478" s="425">
        <v>16.8489</v>
      </c>
      <c r="G1478" s="425">
        <v>13.6401</v>
      </c>
      <c r="H1478" s="426">
        <v>28.8477</v>
      </c>
      <c r="I1478" s="426">
        <v>21.8916</v>
      </c>
      <c r="J1478" s="425">
        <v>19.4767</v>
      </c>
      <c r="K1478" s="182">
        <v>10951.7</v>
      </c>
      <c r="L1478" s="36"/>
      <c r="M1478" s="36"/>
      <c r="N1478" s="36"/>
      <c r="O1478" s="36"/>
      <c r="P1478" s="36"/>
      <c r="Q1478" s="36"/>
      <c r="R1478" s="36"/>
      <c r="S1478" s="36"/>
      <c r="T1478" s="36"/>
      <c r="U1478" s="36"/>
      <c r="V1478" s="36"/>
      <c r="W1478" s="36"/>
      <c r="X1478" s="36"/>
      <c r="Y1478" s="36"/>
      <c r="Z1478" s="36"/>
      <c r="AA1478" s="36"/>
      <c r="AB1478" s="36"/>
      <c r="AC1478" s="36"/>
    </row>
    <row r="1479" ht="15.75" customHeight="1">
      <c r="A1479" s="423">
        <v>43454.0</v>
      </c>
      <c r="B1479" s="424">
        <v>14.263</v>
      </c>
      <c r="C1479" s="425">
        <v>17.2232</v>
      </c>
      <c r="D1479" s="426">
        <v>18.6493</v>
      </c>
      <c r="E1479" s="425">
        <v>14.1834</v>
      </c>
      <c r="F1479" s="425">
        <v>16.8489</v>
      </c>
      <c r="G1479" s="425">
        <v>13.6401</v>
      </c>
      <c r="H1479" s="426">
        <v>28.5827</v>
      </c>
      <c r="I1479" s="426">
        <v>21.7355</v>
      </c>
      <c r="J1479" s="425">
        <v>19.4047</v>
      </c>
      <c r="K1479" s="182">
        <v>10951.7</v>
      </c>
      <c r="L1479" s="36"/>
      <c r="M1479" s="36"/>
      <c r="N1479" s="36"/>
      <c r="O1479" s="36"/>
      <c r="P1479" s="36"/>
      <c r="Q1479" s="36"/>
      <c r="R1479" s="36"/>
      <c r="S1479" s="36"/>
      <c r="T1479" s="36"/>
      <c r="U1479" s="36"/>
      <c r="V1479" s="36"/>
      <c r="W1479" s="36"/>
      <c r="X1479" s="36"/>
      <c r="Y1479" s="36"/>
      <c r="Z1479" s="36"/>
      <c r="AA1479" s="36"/>
      <c r="AB1479" s="36"/>
      <c r="AC1479" s="36"/>
    </row>
    <row r="1480" ht="15.75" customHeight="1">
      <c r="A1480" s="423">
        <v>43454.0</v>
      </c>
      <c r="B1480" s="424">
        <v>14.263</v>
      </c>
      <c r="C1480" s="425">
        <v>17.2232</v>
      </c>
      <c r="D1480" s="426">
        <v>18.7186</v>
      </c>
      <c r="E1480" s="425">
        <v>14.1834</v>
      </c>
      <c r="F1480" s="425">
        <v>16.8489</v>
      </c>
      <c r="G1480" s="425">
        <v>13.6401</v>
      </c>
      <c r="H1480" s="426">
        <v>28.3264</v>
      </c>
      <c r="I1480" s="426">
        <v>21.5776</v>
      </c>
      <c r="J1480" s="425">
        <v>19.4047</v>
      </c>
      <c r="K1480" s="182">
        <v>10951.7</v>
      </c>
      <c r="L1480" s="36"/>
      <c r="M1480" s="36"/>
      <c r="N1480" s="36"/>
      <c r="O1480" s="36"/>
      <c r="P1480" s="36"/>
      <c r="Q1480" s="36"/>
      <c r="R1480" s="36"/>
      <c r="S1480" s="36"/>
      <c r="T1480" s="36"/>
      <c r="U1480" s="36"/>
      <c r="V1480" s="36"/>
      <c r="W1480" s="36"/>
      <c r="X1480" s="36"/>
      <c r="Y1480" s="36"/>
      <c r="Z1480" s="36"/>
      <c r="AA1480" s="36"/>
      <c r="AB1480" s="36"/>
      <c r="AC1480" s="36"/>
    </row>
    <row r="1481" ht="15.75" customHeight="1">
      <c r="A1481" s="423">
        <v>43455.0</v>
      </c>
      <c r="B1481" s="424">
        <v>14.0434</v>
      </c>
      <c r="C1481" s="425">
        <v>17.2609</v>
      </c>
      <c r="D1481" s="426">
        <v>18.6589</v>
      </c>
      <c r="E1481" s="425">
        <v>14.1827</v>
      </c>
      <c r="F1481" s="425">
        <v>16.5918</v>
      </c>
      <c r="G1481" s="425">
        <v>13.6434</v>
      </c>
      <c r="H1481" s="426">
        <v>28.9876</v>
      </c>
      <c r="I1481" s="426">
        <v>21.981</v>
      </c>
      <c r="J1481" s="425">
        <v>19.388</v>
      </c>
      <c r="K1481" s="182">
        <v>10754.0</v>
      </c>
      <c r="L1481" s="36"/>
      <c r="M1481" s="36"/>
      <c r="N1481" s="36"/>
      <c r="O1481" s="36"/>
      <c r="P1481" s="36"/>
      <c r="Q1481" s="36"/>
      <c r="R1481" s="36"/>
      <c r="S1481" s="36"/>
      <c r="T1481" s="36"/>
      <c r="U1481" s="36"/>
      <c r="V1481" s="36"/>
      <c r="W1481" s="36"/>
      <c r="X1481" s="36"/>
      <c r="Y1481" s="36"/>
      <c r="Z1481" s="36"/>
      <c r="AA1481" s="36"/>
      <c r="AB1481" s="36"/>
      <c r="AC1481" s="36"/>
    </row>
    <row r="1482" ht="15.75" customHeight="1">
      <c r="A1482" s="423">
        <v>43455.0</v>
      </c>
      <c r="B1482" s="424">
        <v>14.0434</v>
      </c>
      <c r="C1482" s="425">
        <v>17.2609</v>
      </c>
      <c r="D1482" s="426">
        <v>18.6461</v>
      </c>
      <c r="E1482" s="425">
        <v>14.1827</v>
      </c>
      <c r="F1482" s="425">
        <v>16.5918</v>
      </c>
      <c r="G1482" s="425">
        <v>13.6434</v>
      </c>
      <c r="H1482" s="426">
        <v>29.024</v>
      </c>
      <c r="I1482" s="426">
        <v>22.0229</v>
      </c>
      <c r="J1482" s="425">
        <v>19.388</v>
      </c>
      <c r="K1482" s="182">
        <v>10754.0</v>
      </c>
      <c r="L1482" s="36"/>
      <c r="M1482" s="36"/>
      <c r="N1482" s="36"/>
      <c r="O1482" s="36"/>
      <c r="P1482" s="36"/>
      <c r="Q1482" s="36"/>
      <c r="R1482" s="36"/>
      <c r="S1482" s="36"/>
      <c r="T1482" s="36"/>
      <c r="U1482" s="36"/>
      <c r="V1482" s="36"/>
      <c r="W1482" s="36"/>
      <c r="X1482" s="36"/>
      <c r="Y1482" s="36"/>
      <c r="Z1482" s="36"/>
      <c r="AA1482" s="36"/>
      <c r="AB1482" s="36"/>
      <c r="AC1482" s="36"/>
    </row>
    <row r="1483" ht="15.75" customHeight="1">
      <c r="A1483" s="423">
        <v>43455.0</v>
      </c>
      <c r="B1483" s="424">
        <v>14.0434</v>
      </c>
      <c r="C1483" s="425">
        <v>17.2586</v>
      </c>
      <c r="D1483" s="426">
        <v>18.6159</v>
      </c>
      <c r="E1483" s="425">
        <v>14.1827</v>
      </c>
      <c r="F1483" s="425">
        <v>16.5918</v>
      </c>
      <c r="G1483" s="425">
        <v>13.6434</v>
      </c>
      <c r="H1483" s="426">
        <v>29.1261</v>
      </c>
      <c r="I1483" s="426">
        <v>22.0157</v>
      </c>
      <c r="J1483" s="425">
        <v>19.5648</v>
      </c>
      <c r="K1483" s="182">
        <v>10754.0</v>
      </c>
      <c r="L1483" s="36"/>
      <c r="M1483" s="36"/>
      <c r="N1483" s="36"/>
      <c r="O1483" s="36"/>
      <c r="P1483" s="36"/>
      <c r="Q1483" s="36"/>
      <c r="R1483" s="36"/>
      <c r="S1483" s="36"/>
      <c r="T1483" s="36"/>
      <c r="U1483" s="36"/>
      <c r="V1483" s="36"/>
      <c r="W1483" s="36"/>
      <c r="X1483" s="36"/>
      <c r="Y1483" s="36"/>
      <c r="Z1483" s="36"/>
      <c r="AA1483" s="36"/>
      <c r="AB1483" s="36"/>
      <c r="AC1483" s="36"/>
    </row>
    <row r="1484" ht="15.75" customHeight="1">
      <c r="A1484" s="423">
        <v>43455.0</v>
      </c>
      <c r="B1484" s="424">
        <v>14.0434</v>
      </c>
      <c r="C1484" s="425">
        <v>17.2586</v>
      </c>
      <c r="D1484" s="426">
        <v>18.6112</v>
      </c>
      <c r="E1484" s="425">
        <v>14.1827</v>
      </c>
      <c r="F1484" s="425">
        <v>16.5918</v>
      </c>
      <c r="G1484" s="425">
        <v>13.6434</v>
      </c>
      <c r="H1484" s="426">
        <v>29.0058</v>
      </c>
      <c r="I1484" s="426">
        <v>21.9406</v>
      </c>
      <c r="J1484" s="425">
        <v>19.5648</v>
      </c>
      <c r="K1484" s="182">
        <v>10754.0</v>
      </c>
      <c r="L1484" s="36"/>
      <c r="M1484" s="36"/>
      <c r="N1484" s="36"/>
      <c r="O1484" s="36"/>
      <c r="P1484" s="36"/>
      <c r="Q1484" s="36"/>
      <c r="R1484" s="36"/>
      <c r="S1484" s="36"/>
      <c r="T1484" s="36"/>
      <c r="U1484" s="36"/>
      <c r="V1484" s="36"/>
      <c r="W1484" s="36"/>
      <c r="X1484" s="36"/>
      <c r="Y1484" s="36"/>
      <c r="Z1484" s="36"/>
      <c r="AA1484" s="36"/>
      <c r="AB1484" s="36"/>
      <c r="AC1484" s="36"/>
    </row>
    <row r="1485" ht="15.75" customHeight="1">
      <c r="A1485" s="423">
        <v>43458.0</v>
      </c>
      <c r="B1485" s="424">
        <v>13.9489</v>
      </c>
      <c r="C1485" s="425">
        <v>17.271</v>
      </c>
      <c r="D1485" s="426">
        <v>18.7548</v>
      </c>
      <c r="E1485" s="425">
        <v>14.1788</v>
      </c>
      <c r="F1485" s="425">
        <v>16.4761</v>
      </c>
      <c r="G1485" s="425">
        <v>13.6483</v>
      </c>
      <c r="H1485" s="426">
        <v>28.5457</v>
      </c>
      <c r="I1485" s="426">
        <v>21.8924</v>
      </c>
      <c r="J1485" s="425">
        <v>19.179</v>
      </c>
      <c r="K1485" s="182">
        <v>10663.5</v>
      </c>
      <c r="L1485" s="36"/>
      <c r="M1485" s="36"/>
      <c r="N1485" s="36"/>
      <c r="O1485" s="36"/>
      <c r="P1485" s="36"/>
      <c r="Q1485" s="36"/>
      <c r="R1485" s="36"/>
      <c r="S1485" s="36"/>
      <c r="T1485" s="36"/>
      <c r="U1485" s="36"/>
      <c r="V1485" s="36"/>
      <c r="W1485" s="36"/>
      <c r="X1485" s="36"/>
      <c r="Y1485" s="36"/>
      <c r="Z1485" s="36"/>
      <c r="AA1485" s="36"/>
      <c r="AB1485" s="36"/>
      <c r="AC1485" s="36"/>
    </row>
    <row r="1486" ht="15.75" customHeight="1">
      <c r="A1486" s="423">
        <v>43458.0</v>
      </c>
      <c r="B1486" s="424">
        <v>13.9489</v>
      </c>
      <c r="C1486" s="425">
        <v>17.271</v>
      </c>
      <c r="D1486" s="426">
        <v>18.7395</v>
      </c>
      <c r="E1486" s="425">
        <v>14.1788</v>
      </c>
      <c r="F1486" s="425">
        <v>16.4761</v>
      </c>
      <c r="G1486" s="425">
        <v>13.6483</v>
      </c>
      <c r="H1486" s="426">
        <v>28.5084</v>
      </c>
      <c r="I1486" s="426">
        <v>21.7734</v>
      </c>
      <c r="J1486" s="425">
        <v>19.179</v>
      </c>
      <c r="K1486" s="182">
        <v>10663.5</v>
      </c>
      <c r="L1486" s="36"/>
      <c r="M1486" s="36"/>
      <c r="N1486" s="36"/>
      <c r="O1486" s="36"/>
      <c r="P1486" s="36"/>
      <c r="Q1486" s="36"/>
      <c r="R1486" s="36"/>
      <c r="S1486" s="36"/>
      <c r="T1486" s="36"/>
      <c r="U1486" s="36"/>
      <c r="V1486" s="36"/>
      <c r="W1486" s="36"/>
      <c r="X1486" s="36"/>
      <c r="Y1486" s="36"/>
      <c r="Z1486" s="36"/>
      <c r="AA1486" s="36"/>
      <c r="AB1486" s="36"/>
      <c r="AC1486" s="36"/>
    </row>
    <row r="1487" ht="15.75" customHeight="1">
      <c r="A1487" s="423">
        <v>43458.0</v>
      </c>
      <c r="B1487" s="424">
        <v>13.9489</v>
      </c>
      <c r="C1487" s="425">
        <v>17.2667</v>
      </c>
      <c r="D1487" s="426">
        <v>18.7206</v>
      </c>
      <c r="E1487" s="425">
        <v>14.1788</v>
      </c>
      <c r="F1487" s="425">
        <v>16.4761</v>
      </c>
      <c r="G1487" s="425">
        <v>13.6483</v>
      </c>
      <c r="H1487" s="426">
        <v>28.7412</v>
      </c>
      <c r="I1487" s="426">
        <v>21.9528</v>
      </c>
      <c r="J1487" s="425">
        <v>19.2473</v>
      </c>
      <c r="K1487" s="182">
        <v>10663.5</v>
      </c>
      <c r="L1487" s="36"/>
      <c r="M1487" s="36"/>
      <c r="N1487" s="36"/>
      <c r="O1487" s="36"/>
      <c r="P1487" s="36"/>
      <c r="Q1487" s="36"/>
      <c r="R1487" s="36"/>
      <c r="S1487" s="36"/>
      <c r="T1487" s="36"/>
      <c r="U1487" s="36"/>
      <c r="V1487" s="36"/>
      <c r="W1487" s="36"/>
      <c r="X1487" s="36"/>
      <c r="Y1487" s="36"/>
      <c r="Z1487" s="36"/>
      <c r="AA1487" s="36"/>
      <c r="AB1487" s="36"/>
      <c r="AC1487" s="36"/>
    </row>
    <row r="1488" ht="15.75" customHeight="1">
      <c r="A1488" s="423">
        <v>43458.0</v>
      </c>
      <c r="B1488" s="424">
        <v>13.9489</v>
      </c>
      <c r="C1488" s="425">
        <v>17.2667</v>
      </c>
      <c r="D1488" s="426">
        <v>18.6972</v>
      </c>
      <c r="E1488" s="425">
        <v>14.1788</v>
      </c>
      <c r="F1488" s="425">
        <v>16.4761</v>
      </c>
      <c r="G1488" s="425">
        <v>13.6483</v>
      </c>
      <c r="H1488" s="426">
        <v>28.8803</v>
      </c>
      <c r="I1488" s="426">
        <v>21.9813</v>
      </c>
      <c r="J1488" s="425">
        <v>19.2473</v>
      </c>
      <c r="K1488" s="182">
        <v>10663.5</v>
      </c>
      <c r="L1488" s="36"/>
      <c r="M1488" s="36"/>
      <c r="N1488" s="36"/>
      <c r="O1488" s="36"/>
      <c r="P1488" s="36"/>
      <c r="Q1488" s="36"/>
      <c r="R1488" s="36"/>
      <c r="S1488" s="36"/>
      <c r="T1488" s="36"/>
      <c r="U1488" s="36"/>
      <c r="V1488" s="36"/>
      <c r="W1488" s="36"/>
      <c r="X1488" s="36"/>
      <c r="Y1488" s="36"/>
      <c r="Z1488" s="36"/>
      <c r="AA1488" s="36"/>
      <c r="AB1488" s="36"/>
      <c r="AC1488" s="36"/>
    </row>
    <row r="1489" ht="15.75" customHeight="1">
      <c r="A1489" s="423">
        <v>43460.0</v>
      </c>
      <c r="B1489" s="424">
        <v>14.0144</v>
      </c>
      <c r="C1489" s="425">
        <v>17.2783</v>
      </c>
      <c r="D1489" s="426">
        <v>18.7931</v>
      </c>
      <c r="E1489" s="425">
        <v>14.2058</v>
      </c>
      <c r="F1489" s="425">
        <v>16.5568</v>
      </c>
      <c r="G1489" s="425">
        <v>13.6605</v>
      </c>
      <c r="H1489" s="426">
        <v>28.2733</v>
      </c>
      <c r="I1489" s="426">
        <v>21.8353</v>
      </c>
      <c r="J1489" s="425">
        <v>19.1084</v>
      </c>
      <c r="K1489" s="182">
        <v>10729.85</v>
      </c>
      <c r="L1489" s="36"/>
      <c r="M1489" s="36"/>
      <c r="N1489" s="36"/>
      <c r="O1489" s="36"/>
      <c r="P1489" s="36"/>
      <c r="Q1489" s="36"/>
      <c r="R1489" s="36"/>
      <c r="S1489" s="36"/>
      <c r="T1489" s="36"/>
      <c r="U1489" s="36"/>
      <c r="V1489" s="36"/>
      <c r="W1489" s="36"/>
      <c r="X1489" s="36"/>
      <c r="Y1489" s="36"/>
      <c r="Z1489" s="36"/>
      <c r="AA1489" s="36"/>
      <c r="AB1489" s="36"/>
      <c r="AC1489" s="36"/>
    </row>
    <row r="1490" ht="15.75" customHeight="1">
      <c r="A1490" s="423">
        <v>43460.0</v>
      </c>
      <c r="B1490" s="424">
        <v>14.0144</v>
      </c>
      <c r="C1490" s="425">
        <v>17.2783</v>
      </c>
      <c r="D1490" s="426">
        <v>18.7914</v>
      </c>
      <c r="E1490" s="425">
        <v>14.2058</v>
      </c>
      <c r="F1490" s="425">
        <v>16.5568</v>
      </c>
      <c r="G1490" s="425">
        <v>13.6605</v>
      </c>
      <c r="H1490" s="426">
        <v>28.3233</v>
      </c>
      <c r="I1490" s="426">
        <v>21.8463</v>
      </c>
      <c r="J1490" s="425">
        <v>19.1084</v>
      </c>
      <c r="K1490" s="182">
        <v>10729.85</v>
      </c>
      <c r="L1490" s="36"/>
      <c r="M1490" s="36"/>
      <c r="N1490" s="36"/>
      <c r="O1490" s="36"/>
      <c r="P1490" s="36"/>
      <c r="Q1490" s="36"/>
      <c r="R1490" s="36"/>
      <c r="S1490" s="36"/>
      <c r="T1490" s="36"/>
      <c r="U1490" s="36"/>
      <c r="V1490" s="36"/>
      <c r="W1490" s="36"/>
      <c r="X1490" s="36"/>
      <c r="Y1490" s="36"/>
      <c r="Z1490" s="36"/>
      <c r="AA1490" s="36"/>
      <c r="AB1490" s="36"/>
      <c r="AC1490" s="36"/>
    </row>
    <row r="1491" ht="15.75" customHeight="1">
      <c r="A1491" s="423">
        <v>43460.0</v>
      </c>
      <c r="B1491" s="424">
        <v>14.0144</v>
      </c>
      <c r="C1491" s="425">
        <v>17.2775</v>
      </c>
      <c r="D1491" s="426">
        <v>18.7913</v>
      </c>
      <c r="E1491" s="425">
        <v>14.2058</v>
      </c>
      <c r="F1491" s="425">
        <v>16.5568</v>
      </c>
      <c r="G1491" s="425">
        <v>13.6605</v>
      </c>
      <c r="H1491" s="426">
        <v>28.5352</v>
      </c>
      <c r="I1491" s="426">
        <v>21.9624</v>
      </c>
      <c r="J1491" s="425">
        <v>19.0413</v>
      </c>
      <c r="K1491" s="182">
        <v>10729.85</v>
      </c>
      <c r="L1491" s="36"/>
      <c r="M1491" s="36"/>
      <c r="N1491" s="36"/>
      <c r="O1491" s="36"/>
      <c r="P1491" s="36"/>
      <c r="Q1491" s="36"/>
      <c r="R1491" s="36"/>
      <c r="S1491" s="36"/>
      <c r="T1491" s="36"/>
      <c r="U1491" s="36"/>
      <c r="V1491" s="36"/>
      <c r="W1491" s="36"/>
      <c r="X1491" s="36"/>
      <c r="Y1491" s="36"/>
      <c r="Z1491" s="36"/>
      <c r="AA1491" s="36"/>
      <c r="AB1491" s="36"/>
      <c r="AC1491" s="36"/>
    </row>
    <row r="1492" ht="15.75" customHeight="1">
      <c r="A1492" s="423">
        <v>43460.0</v>
      </c>
      <c r="B1492" s="424">
        <v>14.0144</v>
      </c>
      <c r="C1492" s="425">
        <v>17.2775</v>
      </c>
      <c r="D1492" s="426">
        <v>18.8011</v>
      </c>
      <c r="E1492" s="425">
        <v>14.2058</v>
      </c>
      <c r="F1492" s="425">
        <v>16.5568</v>
      </c>
      <c r="G1492" s="425">
        <v>13.6605</v>
      </c>
      <c r="H1492" s="426">
        <v>28.474</v>
      </c>
      <c r="I1492" s="426">
        <v>21.8422</v>
      </c>
      <c r="J1492" s="425">
        <v>19.0413</v>
      </c>
      <c r="K1492" s="182">
        <v>10729.85</v>
      </c>
      <c r="L1492" s="36"/>
      <c r="M1492" s="36"/>
      <c r="N1492" s="36"/>
      <c r="O1492" s="36"/>
      <c r="P1492" s="36"/>
      <c r="Q1492" s="36"/>
      <c r="R1492" s="36"/>
      <c r="S1492" s="36"/>
      <c r="T1492" s="36"/>
      <c r="U1492" s="36"/>
      <c r="V1492" s="36"/>
      <c r="W1492" s="36"/>
      <c r="X1492" s="36"/>
      <c r="Y1492" s="36"/>
      <c r="Z1492" s="36"/>
      <c r="AA1492" s="36"/>
      <c r="AB1492" s="36"/>
      <c r="AC1492" s="36"/>
    </row>
    <row r="1493" ht="15.75" customHeight="1">
      <c r="A1493" s="423">
        <v>43461.0</v>
      </c>
      <c r="B1493" s="424">
        <v>14.0672</v>
      </c>
      <c r="C1493" s="425">
        <v>17.2828</v>
      </c>
      <c r="D1493" s="426">
        <v>18.756</v>
      </c>
      <c r="E1493" s="425">
        <v>14.2004</v>
      </c>
      <c r="F1493" s="425">
        <v>16.6133</v>
      </c>
      <c r="G1493" s="425">
        <v>13.666</v>
      </c>
      <c r="H1493" s="426">
        <v>28.0176</v>
      </c>
      <c r="I1493" s="426">
        <v>21.7452</v>
      </c>
      <c r="J1493" s="425">
        <v>18.9031</v>
      </c>
      <c r="K1493" s="182">
        <v>10779.8</v>
      </c>
      <c r="L1493" s="36"/>
      <c r="M1493" s="36"/>
      <c r="N1493" s="36"/>
      <c r="O1493" s="36"/>
      <c r="P1493" s="36"/>
      <c r="Q1493" s="36"/>
      <c r="R1493" s="36"/>
      <c r="S1493" s="36"/>
      <c r="T1493" s="36"/>
      <c r="U1493" s="36"/>
      <c r="V1493" s="36"/>
      <c r="W1493" s="36"/>
      <c r="X1493" s="36"/>
      <c r="Y1493" s="36"/>
      <c r="Z1493" s="36"/>
      <c r="AA1493" s="36"/>
      <c r="AB1493" s="36"/>
      <c r="AC1493" s="36"/>
    </row>
    <row r="1494" ht="15.75" customHeight="1">
      <c r="A1494" s="423">
        <v>43461.0</v>
      </c>
      <c r="B1494" s="424">
        <v>14.0672</v>
      </c>
      <c r="C1494" s="425">
        <v>17.2828</v>
      </c>
      <c r="D1494" s="426">
        <v>18.7527</v>
      </c>
      <c r="E1494" s="425">
        <v>14.2004</v>
      </c>
      <c r="F1494" s="425">
        <v>16.6133</v>
      </c>
      <c r="G1494" s="425">
        <v>13.666</v>
      </c>
      <c r="H1494" s="426">
        <v>28.0183</v>
      </c>
      <c r="I1494" s="426">
        <v>21.7459</v>
      </c>
      <c r="J1494" s="425">
        <v>18.9031</v>
      </c>
      <c r="K1494" s="182">
        <v>10779.8</v>
      </c>
      <c r="L1494" s="36"/>
      <c r="M1494" s="36"/>
      <c r="N1494" s="36"/>
      <c r="O1494" s="36"/>
      <c r="P1494" s="36"/>
      <c r="Q1494" s="36"/>
      <c r="R1494" s="36"/>
      <c r="S1494" s="36"/>
      <c r="T1494" s="36"/>
      <c r="U1494" s="36"/>
      <c r="V1494" s="36"/>
      <c r="W1494" s="36"/>
      <c r="X1494" s="36"/>
      <c r="Y1494" s="36"/>
      <c r="Z1494" s="36"/>
      <c r="AA1494" s="36"/>
      <c r="AB1494" s="36"/>
      <c r="AC1494" s="36"/>
    </row>
    <row r="1495" ht="15.75" customHeight="1">
      <c r="A1495" s="423">
        <v>43461.0</v>
      </c>
      <c r="B1495" s="424">
        <v>14.0672</v>
      </c>
      <c r="C1495" s="425">
        <v>17.2797</v>
      </c>
      <c r="D1495" s="426">
        <v>18.7366</v>
      </c>
      <c r="E1495" s="425">
        <v>14.2004</v>
      </c>
      <c r="F1495" s="425">
        <v>16.6133</v>
      </c>
      <c r="G1495" s="425">
        <v>13.666</v>
      </c>
      <c r="H1495" s="426">
        <v>27.5948</v>
      </c>
      <c r="I1495" s="426">
        <v>21.5371</v>
      </c>
      <c r="J1495" s="425">
        <v>19.0051</v>
      </c>
      <c r="K1495" s="182">
        <v>10779.8</v>
      </c>
      <c r="L1495" s="36"/>
      <c r="M1495" s="36"/>
      <c r="N1495" s="36"/>
      <c r="O1495" s="36"/>
      <c r="P1495" s="36"/>
      <c r="Q1495" s="36"/>
      <c r="R1495" s="36"/>
      <c r="S1495" s="36"/>
      <c r="T1495" s="36"/>
      <c r="U1495" s="36"/>
      <c r="V1495" s="36"/>
      <c r="W1495" s="36"/>
      <c r="X1495" s="36"/>
      <c r="Y1495" s="36"/>
      <c r="Z1495" s="36"/>
      <c r="AA1495" s="36"/>
      <c r="AB1495" s="36"/>
      <c r="AC1495" s="36"/>
    </row>
    <row r="1496" ht="15.75" customHeight="1">
      <c r="A1496" s="423">
        <v>43461.0</v>
      </c>
      <c r="B1496" s="424">
        <v>14.0672</v>
      </c>
      <c r="C1496" s="425">
        <v>17.2797</v>
      </c>
      <c r="D1496" s="426">
        <v>18.7739</v>
      </c>
      <c r="E1496" s="425">
        <v>14.2004</v>
      </c>
      <c r="F1496" s="425">
        <v>16.6133</v>
      </c>
      <c r="G1496" s="425">
        <v>13.666</v>
      </c>
      <c r="H1496" s="426">
        <v>28.0169</v>
      </c>
      <c r="I1496" s="426">
        <v>21.6502</v>
      </c>
      <c r="J1496" s="425">
        <v>19.0051</v>
      </c>
      <c r="K1496" s="182">
        <v>10779.8</v>
      </c>
      <c r="L1496" s="36"/>
      <c r="M1496" s="36"/>
      <c r="N1496" s="36"/>
      <c r="O1496" s="36"/>
      <c r="P1496" s="36"/>
      <c r="Q1496" s="36"/>
      <c r="R1496" s="36"/>
      <c r="S1496" s="36"/>
      <c r="T1496" s="36"/>
      <c r="U1496" s="36"/>
      <c r="V1496" s="36"/>
      <c r="W1496" s="36"/>
      <c r="X1496" s="36"/>
      <c r="Y1496" s="36"/>
      <c r="Z1496" s="36"/>
      <c r="AA1496" s="36"/>
      <c r="AB1496" s="36"/>
      <c r="AC1496" s="36"/>
    </row>
    <row r="1497" ht="15.75" customHeight="1">
      <c r="A1497" s="423">
        <v>43462.0</v>
      </c>
      <c r="B1497" s="424">
        <v>14.1614</v>
      </c>
      <c r="C1497" s="425">
        <v>17.2862</v>
      </c>
      <c r="D1497" s="426">
        <v>18.7987</v>
      </c>
      <c r="E1497" s="425">
        <v>14.1422</v>
      </c>
      <c r="F1497" s="425">
        <v>16.7218</v>
      </c>
      <c r="G1497" s="425">
        <v>13.6669</v>
      </c>
      <c r="H1497" s="426">
        <v>27.9841</v>
      </c>
      <c r="I1497" s="426">
        <v>21.8207</v>
      </c>
      <c r="J1497" s="425">
        <v>19.1606</v>
      </c>
      <c r="K1497" s="182">
        <v>10859.9</v>
      </c>
      <c r="L1497" s="36"/>
      <c r="M1497" s="36"/>
      <c r="N1497" s="36"/>
      <c r="O1497" s="36"/>
      <c r="P1497" s="36"/>
      <c r="Q1497" s="36"/>
      <c r="R1497" s="36"/>
      <c r="S1497" s="36"/>
      <c r="T1497" s="36"/>
      <c r="U1497" s="36"/>
      <c r="V1497" s="36"/>
      <c r="W1497" s="36"/>
      <c r="X1497" s="36"/>
      <c r="Y1497" s="36"/>
      <c r="Z1497" s="36"/>
      <c r="AA1497" s="36"/>
      <c r="AB1497" s="36"/>
      <c r="AC1497" s="36"/>
    </row>
    <row r="1498" ht="15.75" customHeight="1">
      <c r="A1498" s="423">
        <v>43462.0</v>
      </c>
      <c r="B1498" s="424">
        <v>14.1614</v>
      </c>
      <c r="C1498" s="425">
        <v>17.2862</v>
      </c>
      <c r="D1498" s="426">
        <v>18.8063</v>
      </c>
      <c r="E1498" s="425">
        <v>14.1422</v>
      </c>
      <c r="F1498" s="425">
        <v>16.7218</v>
      </c>
      <c r="G1498" s="425">
        <v>13.6669</v>
      </c>
      <c r="H1498" s="426">
        <v>28.1396</v>
      </c>
      <c r="I1498" s="426">
        <v>21.8278</v>
      </c>
      <c r="J1498" s="425">
        <v>19.1606</v>
      </c>
      <c r="K1498" s="182">
        <v>10859.9</v>
      </c>
      <c r="L1498" s="36"/>
      <c r="M1498" s="36"/>
      <c r="N1498" s="36"/>
      <c r="O1498" s="36"/>
      <c r="P1498" s="36"/>
      <c r="Q1498" s="36"/>
      <c r="R1498" s="36"/>
      <c r="S1498" s="36"/>
      <c r="T1498" s="36"/>
      <c r="U1498" s="36"/>
      <c r="V1498" s="36"/>
      <c r="W1498" s="36"/>
      <c r="X1498" s="36"/>
      <c r="Y1498" s="36"/>
      <c r="Z1498" s="36"/>
      <c r="AA1498" s="36"/>
      <c r="AB1498" s="36"/>
      <c r="AC1498" s="36"/>
    </row>
    <row r="1499" ht="15.75" customHeight="1">
      <c r="A1499" s="423">
        <v>43462.0</v>
      </c>
      <c r="B1499" s="424">
        <v>14.1614</v>
      </c>
      <c r="C1499" s="425">
        <v>17.2881</v>
      </c>
      <c r="D1499" s="426">
        <v>18.7738</v>
      </c>
      <c r="E1499" s="425">
        <v>14.1422</v>
      </c>
      <c r="F1499" s="425">
        <v>16.7218</v>
      </c>
      <c r="G1499" s="425">
        <v>13.6669</v>
      </c>
      <c r="H1499" s="426">
        <v>28.1197</v>
      </c>
      <c r="I1499" s="426">
        <v>21.7362</v>
      </c>
      <c r="J1499" s="425">
        <v>19.1858</v>
      </c>
      <c r="K1499" s="182">
        <v>10859.9</v>
      </c>
      <c r="L1499" s="36"/>
      <c r="M1499" s="36"/>
      <c r="N1499" s="36"/>
      <c r="O1499" s="36"/>
      <c r="P1499" s="36"/>
      <c r="Q1499" s="36"/>
      <c r="R1499" s="36"/>
      <c r="S1499" s="36"/>
      <c r="T1499" s="36"/>
      <c r="U1499" s="36"/>
      <c r="V1499" s="36"/>
      <c r="W1499" s="36"/>
      <c r="X1499" s="36"/>
      <c r="Y1499" s="36"/>
      <c r="Z1499" s="36"/>
      <c r="AA1499" s="36"/>
      <c r="AB1499" s="36"/>
      <c r="AC1499" s="36"/>
    </row>
    <row r="1500" ht="15.75" customHeight="1">
      <c r="A1500" s="423">
        <v>43462.0</v>
      </c>
      <c r="B1500" s="424">
        <v>14.1614</v>
      </c>
      <c r="C1500" s="425">
        <v>17.2881</v>
      </c>
      <c r="D1500" s="426">
        <v>18.7663</v>
      </c>
      <c r="E1500" s="425">
        <v>14.1422</v>
      </c>
      <c r="F1500" s="425">
        <v>16.7218</v>
      </c>
      <c r="G1500" s="425">
        <v>13.6669</v>
      </c>
      <c r="H1500" s="426">
        <v>27.9354</v>
      </c>
      <c r="I1500" s="426">
        <v>21.6336</v>
      </c>
      <c r="J1500" s="425">
        <v>19.1858</v>
      </c>
      <c r="K1500" s="182">
        <v>10859.9</v>
      </c>
      <c r="L1500" s="36"/>
      <c r="M1500" s="36"/>
      <c r="N1500" s="36"/>
      <c r="O1500" s="36"/>
      <c r="P1500" s="36"/>
      <c r="Q1500" s="36"/>
      <c r="R1500" s="36"/>
      <c r="S1500" s="36"/>
      <c r="T1500" s="36"/>
      <c r="U1500" s="36"/>
      <c r="V1500" s="36"/>
      <c r="W1500" s="36"/>
      <c r="X1500" s="36"/>
      <c r="Y1500" s="36"/>
      <c r="Z1500" s="36"/>
      <c r="AA1500" s="36"/>
      <c r="AB1500" s="36"/>
      <c r="AC1500" s="36"/>
    </row>
    <row r="1501" ht="15.75" customHeight="1">
      <c r="A1501" s="423">
        <v>43465.0</v>
      </c>
      <c r="B1501" s="424">
        <v>14.1673</v>
      </c>
      <c r="C1501" s="425">
        <v>17.2978</v>
      </c>
      <c r="D1501" s="426">
        <v>18.8241</v>
      </c>
      <c r="E1501" s="425">
        <v>14.1552</v>
      </c>
      <c r="F1501" s="425">
        <v>16.7261</v>
      </c>
      <c r="G1501" s="425">
        <v>13.6733</v>
      </c>
      <c r="H1501" s="426">
        <v>28.6247</v>
      </c>
      <c r="I1501" s="426">
        <v>22.2065</v>
      </c>
      <c r="J1501" s="425">
        <v>19.3637</v>
      </c>
      <c r="K1501" s="182">
        <v>10862.55</v>
      </c>
      <c r="L1501" s="36"/>
      <c r="M1501" s="36"/>
      <c r="N1501" s="36"/>
      <c r="O1501" s="36"/>
      <c r="P1501" s="36"/>
      <c r="Q1501" s="36"/>
      <c r="R1501" s="36"/>
      <c r="S1501" s="36"/>
      <c r="T1501" s="36"/>
      <c r="U1501" s="36"/>
      <c r="V1501" s="36"/>
      <c r="W1501" s="36"/>
      <c r="X1501" s="36"/>
      <c r="Y1501" s="36"/>
      <c r="Z1501" s="36"/>
      <c r="AA1501" s="36"/>
      <c r="AB1501" s="36"/>
      <c r="AC1501" s="36"/>
    </row>
    <row r="1502" ht="15.75" customHeight="1">
      <c r="A1502" s="423">
        <v>43465.0</v>
      </c>
      <c r="B1502" s="424">
        <v>14.1673</v>
      </c>
      <c r="C1502" s="425">
        <v>17.2978</v>
      </c>
      <c r="D1502" s="426">
        <v>18.8107</v>
      </c>
      <c r="E1502" s="425">
        <v>14.1552</v>
      </c>
      <c r="F1502" s="425">
        <v>16.7261</v>
      </c>
      <c r="G1502" s="425">
        <v>13.6733</v>
      </c>
      <c r="H1502" s="426">
        <v>28.7682</v>
      </c>
      <c r="I1502" s="426">
        <v>22.2141</v>
      </c>
      <c r="J1502" s="425">
        <v>19.3637</v>
      </c>
      <c r="K1502" s="182">
        <v>10862.55</v>
      </c>
      <c r="L1502" s="36"/>
      <c r="M1502" s="36"/>
      <c r="N1502" s="36"/>
      <c r="O1502" s="36"/>
      <c r="P1502" s="36"/>
      <c r="Q1502" s="36"/>
      <c r="R1502" s="36"/>
      <c r="S1502" s="36"/>
      <c r="T1502" s="36"/>
      <c r="U1502" s="36"/>
      <c r="V1502" s="36"/>
      <c r="W1502" s="36"/>
      <c r="X1502" s="36"/>
      <c r="Y1502" s="36"/>
      <c r="Z1502" s="36"/>
      <c r="AA1502" s="36"/>
      <c r="AB1502" s="36"/>
      <c r="AC1502" s="36"/>
    </row>
    <row r="1503" ht="15.75" customHeight="1">
      <c r="A1503" s="423">
        <v>43465.0</v>
      </c>
      <c r="B1503" s="424">
        <v>14.1673</v>
      </c>
      <c r="C1503" s="425">
        <v>17.2903</v>
      </c>
      <c r="D1503" s="426">
        <v>18.8068</v>
      </c>
      <c r="E1503" s="425">
        <v>14.1552</v>
      </c>
      <c r="F1503" s="425">
        <v>16.7261</v>
      </c>
      <c r="G1503" s="425">
        <v>13.6733</v>
      </c>
      <c r="H1503" s="426">
        <v>28.5043</v>
      </c>
      <c r="I1503" s="426">
        <v>22.0671</v>
      </c>
      <c r="J1503" s="425">
        <v>19.3423</v>
      </c>
      <c r="K1503" s="182">
        <v>10862.55</v>
      </c>
      <c r="L1503" s="36"/>
      <c r="M1503" s="36"/>
      <c r="N1503" s="36"/>
      <c r="O1503" s="36"/>
      <c r="P1503" s="36"/>
      <c r="Q1503" s="36"/>
      <c r="R1503" s="36"/>
      <c r="S1503" s="36"/>
      <c r="T1503" s="36"/>
      <c r="U1503" s="36"/>
      <c r="V1503" s="36"/>
      <c r="W1503" s="36"/>
      <c r="X1503" s="36"/>
      <c r="Y1503" s="36"/>
      <c r="Z1503" s="36"/>
      <c r="AA1503" s="36"/>
      <c r="AB1503" s="36"/>
      <c r="AC1503" s="36"/>
    </row>
    <row r="1504" ht="15.75" customHeight="1">
      <c r="A1504" s="423">
        <v>43465.0</v>
      </c>
      <c r="B1504" s="424">
        <v>14.1673</v>
      </c>
      <c r="C1504" s="425">
        <v>17.2903</v>
      </c>
      <c r="D1504" s="426">
        <v>18.7986</v>
      </c>
      <c r="E1504" s="425">
        <v>14.1552</v>
      </c>
      <c r="F1504" s="425">
        <v>16.7261</v>
      </c>
      <c r="G1504" s="425">
        <v>13.6733</v>
      </c>
      <c r="H1504" s="426">
        <v>28.1579</v>
      </c>
      <c r="I1504" s="426">
        <v>21.8834</v>
      </c>
      <c r="J1504" s="425">
        <v>19.3423</v>
      </c>
      <c r="K1504" s="182">
        <v>10862.55</v>
      </c>
      <c r="L1504" s="36"/>
      <c r="M1504" s="36"/>
      <c r="N1504" s="36"/>
      <c r="O1504" s="36"/>
      <c r="P1504" s="36"/>
      <c r="Q1504" s="36"/>
      <c r="R1504" s="36"/>
      <c r="S1504" s="36"/>
      <c r="T1504" s="36"/>
      <c r="U1504" s="36"/>
      <c r="V1504" s="36"/>
      <c r="W1504" s="36"/>
      <c r="X1504" s="36"/>
      <c r="Y1504" s="36"/>
      <c r="Z1504" s="36"/>
      <c r="AA1504" s="36"/>
      <c r="AB1504" s="36"/>
      <c r="AC1504" s="36"/>
    </row>
    <row r="1505" ht="15.75" customHeight="1">
      <c r="A1505" s="423">
        <v>43466.0</v>
      </c>
      <c r="B1505" s="424">
        <v>14.2018</v>
      </c>
      <c r="C1505" s="425">
        <v>17.3205</v>
      </c>
      <c r="D1505" s="426">
        <v>18.9141</v>
      </c>
      <c r="E1505" s="425">
        <v>14.1233</v>
      </c>
      <c r="F1505" s="425">
        <v>16.7778</v>
      </c>
      <c r="G1505" s="425">
        <v>13.6688</v>
      </c>
      <c r="H1505" s="426">
        <v>28.346</v>
      </c>
      <c r="I1505" s="426">
        <v>22.2486</v>
      </c>
      <c r="J1505" s="425">
        <v>19.5471</v>
      </c>
      <c r="K1505" s="182">
        <v>10910.1</v>
      </c>
      <c r="L1505" s="36"/>
      <c r="M1505" s="36"/>
      <c r="N1505" s="36"/>
      <c r="O1505" s="36"/>
      <c r="P1505" s="36"/>
      <c r="Q1505" s="36"/>
      <c r="R1505" s="36"/>
      <c r="S1505" s="36"/>
      <c r="T1505" s="36"/>
      <c r="U1505" s="36"/>
      <c r="V1505" s="36"/>
      <c r="W1505" s="36"/>
      <c r="X1505" s="36"/>
      <c r="Y1505" s="36"/>
      <c r="Z1505" s="36"/>
      <c r="AA1505" s="36"/>
      <c r="AB1505" s="36"/>
      <c r="AC1505" s="36"/>
    </row>
    <row r="1506" ht="15.75" customHeight="1">
      <c r="A1506" s="423">
        <v>43466.0</v>
      </c>
      <c r="B1506" s="424">
        <v>14.2018</v>
      </c>
      <c r="C1506" s="425">
        <v>17.3205</v>
      </c>
      <c r="D1506" s="426">
        <v>18.8691</v>
      </c>
      <c r="E1506" s="425">
        <v>14.1233</v>
      </c>
      <c r="F1506" s="425">
        <v>16.7778</v>
      </c>
      <c r="G1506" s="425">
        <v>13.6688</v>
      </c>
      <c r="H1506" s="426">
        <v>27.9306</v>
      </c>
      <c r="I1506" s="426">
        <v>22.0971</v>
      </c>
      <c r="J1506" s="425">
        <v>19.5471</v>
      </c>
      <c r="K1506" s="182">
        <v>10910.1</v>
      </c>
      <c r="L1506" s="36"/>
      <c r="M1506" s="36"/>
      <c r="N1506" s="36"/>
      <c r="O1506" s="36"/>
      <c r="P1506" s="36"/>
      <c r="Q1506" s="36"/>
      <c r="R1506" s="36"/>
      <c r="S1506" s="36"/>
      <c r="T1506" s="36"/>
      <c r="U1506" s="36"/>
      <c r="V1506" s="36"/>
      <c r="W1506" s="36"/>
      <c r="X1506" s="36"/>
      <c r="Y1506" s="36"/>
      <c r="Z1506" s="36"/>
      <c r="AA1506" s="36"/>
      <c r="AB1506" s="36"/>
      <c r="AC1506" s="36"/>
    </row>
    <row r="1507" ht="15.75" customHeight="1">
      <c r="A1507" s="423">
        <v>43466.0</v>
      </c>
      <c r="B1507" s="424">
        <v>14.2018</v>
      </c>
      <c r="C1507" s="425">
        <v>17.3114</v>
      </c>
      <c r="D1507" s="426">
        <v>18.8721</v>
      </c>
      <c r="E1507" s="425">
        <v>14.1233</v>
      </c>
      <c r="F1507" s="425">
        <v>16.7778</v>
      </c>
      <c r="G1507" s="425">
        <v>13.6688</v>
      </c>
      <c r="H1507" s="426">
        <v>28.3489</v>
      </c>
      <c r="I1507" s="426">
        <v>22.2954</v>
      </c>
      <c r="J1507" s="425">
        <v>19.5767</v>
      </c>
      <c r="K1507" s="182">
        <v>10910.1</v>
      </c>
      <c r="L1507" s="36"/>
      <c r="M1507" s="36"/>
      <c r="N1507" s="36"/>
      <c r="O1507" s="36"/>
      <c r="P1507" s="36"/>
      <c r="Q1507" s="36"/>
      <c r="R1507" s="36"/>
      <c r="S1507" s="36"/>
      <c r="T1507" s="36"/>
      <c r="U1507" s="36"/>
      <c r="V1507" s="36"/>
      <c r="W1507" s="36"/>
      <c r="X1507" s="36"/>
      <c r="Y1507" s="36"/>
      <c r="Z1507" s="36"/>
      <c r="AA1507" s="36"/>
      <c r="AB1507" s="36"/>
      <c r="AC1507" s="36"/>
    </row>
    <row r="1508" ht="15.75" customHeight="1">
      <c r="A1508" s="423">
        <v>43466.0</v>
      </c>
      <c r="B1508" s="424">
        <v>14.2018</v>
      </c>
      <c r="C1508" s="425">
        <v>17.3114</v>
      </c>
      <c r="D1508" s="426">
        <v>18.8728</v>
      </c>
      <c r="E1508" s="425">
        <v>14.1233</v>
      </c>
      <c r="F1508" s="425">
        <v>16.7778</v>
      </c>
      <c r="G1508" s="425">
        <v>13.6688</v>
      </c>
      <c r="H1508" s="426">
        <v>28.5551</v>
      </c>
      <c r="I1508" s="426">
        <v>22.3174</v>
      </c>
      <c r="J1508" s="425">
        <v>19.5767</v>
      </c>
      <c r="K1508" s="182">
        <v>10910.1</v>
      </c>
      <c r="L1508" s="36"/>
      <c r="M1508" s="36"/>
      <c r="N1508" s="36"/>
      <c r="O1508" s="36"/>
      <c r="P1508" s="36"/>
      <c r="Q1508" s="36"/>
      <c r="R1508" s="36"/>
      <c r="S1508" s="36"/>
      <c r="T1508" s="36"/>
      <c r="U1508" s="36"/>
      <c r="V1508" s="36"/>
      <c r="W1508" s="36"/>
      <c r="X1508" s="36"/>
      <c r="Y1508" s="36"/>
      <c r="Z1508" s="36"/>
      <c r="AA1508" s="36"/>
      <c r="AB1508" s="36"/>
      <c r="AC1508" s="36"/>
    </row>
    <row r="1509" ht="15.75" customHeight="1">
      <c r="A1509" s="423">
        <v>43467.0</v>
      </c>
      <c r="B1509" s="424">
        <v>14.0743</v>
      </c>
      <c r="C1509" s="425">
        <v>17.3347</v>
      </c>
      <c r="D1509" s="426">
        <v>18.9006</v>
      </c>
      <c r="E1509" s="425">
        <v>14.1583</v>
      </c>
      <c r="F1509" s="425">
        <v>16.6429</v>
      </c>
      <c r="G1509" s="425">
        <v>13.6763</v>
      </c>
      <c r="H1509" s="426">
        <v>28.4403</v>
      </c>
      <c r="I1509" s="426">
        <v>22.3983</v>
      </c>
      <c r="J1509" s="425">
        <v>19.6511</v>
      </c>
      <c r="K1509" s="182">
        <v>10792.5</v>
      </c>
      <c r="L1509" s="36"/>
      <c r="M1509" s="36"/>
      <c r="N1509" s="36"/>
      <c r="O1509" s="36"/>
      <c r="P1509" s="36"/>
      <c r="Q1509" s="36"/>
      <c r="R1509" s="36"/>
      <c r="S1509" s="36"/>
      <c r="T1509" s="36"/>
      <c r="U1509" s="36"/>
      <c r="V1509" s="36"/>
      <c r="W1509" s="36"/>
      <c r="X1509" s="36"/>
      <c r="Y1509" s="36"/>
      <c r="Z1509" s="36"/>
      <c r="AA1509" s="36"/>
      <c r="AB1509" s="36"/>
      <c r="AC1509" s="36"/>
    </row>
    <row r="1510" ht="15.75" customHeight="1">
      <c r="A1510" s="423">
        <v>43467.0</v>
      </c>
      <c r="B1510" s="424">
        <v>14.0743</v>
      </c>
      <c r="C1510" s="425">
        <v>17.3347</v>
      </c>
      <c r="D1510" s="426">
        <v>18.8985</v>
      </c>
      <c r="E1510" s="425">
        <v>14.1583</v>
      </c>
      <c r="F1510" s="425">
        <v>16.6429</v>
      </c>
      <c r="G1510" s="425">
        <v>13.6763</v>
      </c>
      <c r="H1510" s="426">
        <v>28.1457</v>
      </c>
      <c r="I1510" s="426">
        <v>22.2427</v>
      </c>
      <c r="J1510" s="425">
        <v>19.6511</v>
      </c>
      <c r="K1510" s="182">
        <v>10792.5</v>
      </c>
      <c r="L1510" s="36"/>
      <c r="M1510" s="36"/>
      <c r="N1510" s="36"/>
      <c r="O1510" s="36"/>
      <c r="P1510" s="36"/>
      <c r="Q1510" s="36"/>
      <c r="R1510" s="36"/>
      <c r="S1510" s="36"/>
      <c r="T1510" s="36"/>
      <c r="U1510" s="36"/>
      <c r="V1510" s="36"/>
      <c r="W1510" s="36"/>
      <c r="X1510" s="36"/>
      <c r="Y1510" s="36"/>
      <c r="Z1510" s="36"/>
      <c r="AA1510" s="36"/>
      <c r="AB1510" s="36"/>
      <c r="AC1510" s="36"/>
    </row>
    <row r="1511" ht="15.75" customHeight="1">
      <c r="A1511" s="423">
        <v>43467.0</v>
      </c>
      <c r="B1511" s="424">
        <v>14.0743</v>
      </c>
      <c r="C1511" s="425">
        <v>17.3252</v>
      </c>
      <c r="D1511" s="426">
        <v>18.9048</v>
      </c>
      <c r="E1511" s="425">
        <v>14.1583</v>
      </c>
      <c r="F1511" s="425">
        <v>16.6429</v>
      </c>
      <c r="G1511" s="425">
        <v>13.6763</v>
      </c>
      <c r="H1511" s="426">
        <v>28.01</v>
      </c>
      <c r="I1511" s="426">
        <v>22.142</v>
      </c>
      <c r="J1511" s="425">
        <v>19.5498</v>
      </c>
      <c r="K1511" s="182">
        <v>10792.5</v>
      </c>
      <c r="L1511" s="36"/>
      <c r="M1511" s="36"/>
      <c r="N1511" s="36"/>
      <c r="O1511" s="36"/>
      <c r="P1511" s="36"/>
      <c r="Q1511" s="36"/>
      <c r="R1511" s="36"/>
      <c r="S1511" s="36"/>
      <c r="T1511" s="36"/>
      <c r="U1511" s="36"/>
      <c r="V1511" s="36"/>
      <c r="W1511" s="36"/>
      <c r="X1511" s="36"/>
      <c r="Y1511" s="36"/>
      <c r="Z1511" s="36"/>
      <c r="AA1511" s="36"/>
      <c r="AB1511" s="36"/>
      <c r="AC1511" s="36"/>
    </row>
    <row r="1512" ht="15.75" customHeight="1">
      <c r="A1512" s="423">
        <v>43467.0</v>
      </c>
      <c r="B1512" s="424">
        <v>14.0743</v>
      </c>
      <c r="C1512" s="425">
        <v>17.3252</v>
      </c>
      <c r="D1512" s="426">
        <v>18.9075</v>
      </c>
      <c r="E1512" s="425">
        <v>14.1583</v>
      </c>
      <c r="F1512" s="425">
        <v>16.6429</v>
      </c>
      <c r="G1512" s="425">
        <v>13.6763</v>
      </c>
      <c r="H1512" s="426">
        <v>28.1408</v>
      </c>
      <c r="I1512" s="426">
        <v>22.1701</v>
      </c>
      <c r="J1512" s="425">
        <v>19.5498</v>
      </c>
      <c r="K1512" s="182">
        <v>10792.5</v>
      </c>
      <c r="L1512" s="36"/>
      <c r="M1512" s="36"/>
      <c r="N1512" s="36"/>
      <c r="O1512" s="36"/>
      <c r="P1512" s="36"/>
      <c r="Q1512" s="36"/>
      <c r="R1512" s="36"/>
      <c r="S1512" s="36"/>
      <c r="T1512" s="36"/>
      <c r="U1512" s="36"/>
      <c r="V1512" s="36"/>
      <c r="W1512" s="36"/>
      <c r="X1512" s="36"/>
      <c r="Y1512" s="36"/>
      <c r="Z1512" s="36"/>
      <c r="AA1512" s="36"/>
      <c r="AB1512" s="36"/>
      <c r="AC1512" s="36"/>
    </row>
    <row r="1513" ht="15.75" customHeight="1">
      <c r="A1513" s="423">
        <v>43468.0</v>
      </c>
      <c r="B1513" s="424">
        <v>13.9528</v>
      </c>
      <c r="C1513" s="425">
        <v>17.3576</v>
      </c>
      <c r="D1513" s="426">
        <v>18.9242</v>
      </c>
      <c r="E1513" s="425">
        <v>14.126</v>
      </c>
      <c r="F1513" s="425">
        <v>16.5111</v>
      </c>
      <c r="G1513" s="425">
        <v>13.6747</v>
      </c>
      <c r="H1513" s="426">
        <v>29.1008</v>
      </c>
      <c r="I1513" s="426">
        <v>22.7163</v>
      </c>
      <c r="J1513" s="425">
        <v>19.619</v>
      </c>
      <c r="K1513" s="182">
        <v>10672.25</v>
      </c>
      <c r="L1513" s="36"/>
      <c r="M1513" s="36"/>
      <c r="N1513" s="36"/>
      <c r="O1513" s="36"/>
      <c r="P1513" s="36"/>
      <c r="Q1513" s="36"/>
      <c r="R1513" s="36"/>
      <c r="S1513" s="36"/>
      <c r="T1513" s="36"/>
      <c r="U1513" s="36"/>
      <c r="V1513" s="36"/>
      <c r="W1513" s="36"/>
      <c r="X1513" s="36"/>
      <c r="Y1513" s="36"/>
      <c r="Z1513" s="36"/>
      <c r="AA1513" s="36"/>
      <c r="AB1513" s="36"/>
      <c r="AC1513" s="36"/>
    </row>
    <row r="1514" ht="15.75" customHeight="1">
      <c r="A1514" s="423">
        <v>43468.0</v>
      </c>
      <c r="B1514" s="424">
        <v>13.9528</v>
      </c>
      <c r="C1514" s="425">
        <v>17.3576</v>
      </c>
      <c r="D1514" s="426">
        <v>18.9215</v>
      </c>
      <c r="E1514" s="425">
        <v>14.126</v>
      </c>
      <c r="F1514" s="425">
        <v>16.5111</v>
      </c>
      <c r="G1514" s="425">
        <v>13.6747</v>
      </c>
      <c r="H1514" s="426">
        <v>28.9475</v>
      </c>
      <c r="I1514" s="426">
        <v>22.5425</v>
      </c>
      <c r="J1514" s="425">
        <v>19.619</v>
      </c>
      <c r="K1514" s="182">
        <v>10672.25</v>
      </c>
      <c r="L1514" s="36"/>
      <c r="M1514" s="36"/>
      <c r="N1514" s="36"/>
      <c r="O1514" s="36"/>
      <c r="P1514" s="36"/>
      <c r="Q1514" s="36"/>
      <c r="R1514" s="36"/>
      <c r="S1514" s="36"/>
      <c r="T1514" s="36"/>
      <c r="U1514" s="36"/>
      <c r="V1514" s="36"/>
      <c r="W1514" s="36"/>
      <c r="X1514" s="36"/>
      <c r="Y1514" s="36"/>
      <c r="Z1514" s="36"/>
      <c r="AA1514" s="36"/>
      <c r="AB1514" s="36"/>
      <c r="AC1514" s="36"/>
    </row>
    <row r="1515" ht="15.75" customHeight="1">
      <c r="A1515" s="423">
        <v>43468.0</v>
      </c>
      <c r="B1515" s="424">
        <v>13.9528</v>
      </c>
      <c r="C1515" s="425">
        <v>17.3434</v>
      </c>
      <c r="D1515" s="426">
        <v>18.906</v>
      </c>
      <c r="E1515" s="425">
        <v>14.126</v>
      </c>
      <c r="F1515" s="425">
        <v>16.5111</v>
      </c>
      <c r="G1515" s="425">
        <v>13.6747</v>
      </c>
      <c r="H1515" s="426">
        <v>28.8227</v>
      </c>
      <c r="I1515" s="426">
        <v>22.4928</v>
      </c>
      <c r="J1515" s="425">
        <v>19.5124</v>
      </c>
      <c r="K1515" s="182">
        <v>10672.25</v>
      </c>
      <c r="L1515" s="36"/>
      <c r="M1515" s="36"/>
      <c r="N1515" s="36"/>
      <c r="O1515" s="36"/>
      <c r="P1515" s="36"/>
      <c r="Q1515" s="36"/>
      <c r="R1515" s="36"/>
      <c r="S1515" s="36"/>
      <c r="T1515" s="36"/>
      <c r="U1515" s="36"/>
      <c r="V1515" s="36"/>
      <c r="W1515" s="36"/>
      <c r="X1515" s="36"/>
      <c r="Y1515" s="36"/>
      <c r="Z1515" s="36"/>
      <c r="AA1515" s="36"/>
      <c r="AB1515" s="36"/>
      <c r="AC1515" s="36"/>
    </row>
    <row r="1516" ht="15.75" customHeight="1">
      <c r="A1516" s="423">
        <v>43468.0</v>
      </c>
      <c r="B1516" s="424">
        <v>13.9528</v>
      </c>
      <c r="C1516" s="425">
        <v>17.3434</v>
      </c>
      <c r="D1516" s="426">
        <v>18.9028</v>
      </c>
      <c r="E1516" s="425">
        <v>14.126</v>
      </c>
      <c r="F1516" s="425">
        <v>16.5111</v>
      </c>
      <c r="G1516" s="425">
        <v>13.6747</v>
      </c>
      <c r="H1516" s="426">
        <v>28.7932</v>
      </c>
      <c r="I1516" s="426">
        <v>22.5199</v>
      </c>
      <c r="J1516" s="425">
        <v>19.5124</v>
      </c>
      <c r="K1516" s="182">
        <v>10672.25</v>
      </c>
      <c r="L1516" s="36"/>
      <c r="M1516" s="36"/>
      <c r="N1516" s="36"/>
      <c r="O1516" s="36"/>
      <c r="P1516" s="36"/>
      <c r="Q1516" s="36"/>
      <c r="R1516" s="36"/>
      <c r="S1516" s="36"/>
      <c r="T1516" s="36"/>
      <c r="U1516" s="36"/>
      <c r="V1516" s="36"/>
      <c r="W1516" s="36"/>
      <c r="X1516" s="36"/>
      <c r="Y1516" s="36"/>
      <c r="Z1516" s="36"/>
      <c r="AA1516" s="36"/>
      <c r="AB1516" s="36"/>
      <c r="AC1516" s="36"/>
    </row>
    <row r="1517" ht="15.75" customHeight="1">
      <c r="A1517" s="423">
        <v>43469.0</v>
      </c>
      <c r="B1517" s="424">
        <v>13.9916</v>
      </c>
      <c r="C1517" s="425">
        <v>17.3784</v>
      </c>
      <c r="D1517" s="426">
        <v>18.9928</v>
      </c>
      <c r="E1517" s="425">
        <v>14.1147</v>
      </c>
      <c r="F1517" s="425">
        <v>16.5545</v>
      </c>
      <c r="G1517" s="425">
        <v>13.6851</v>
      </c>
      <c r="H1517" s="426">
        <v>29.2602</v>
      </c>
      <c r="I1517" s="426">
        <v>22.7016</v>
      </c>
      <c r="J1517" s="425">
        <v>19.681</v>
      </c>
      <c r="K1517" s="182">
        <v>10727.35</v>
      </c>
      <c r="L1517" s="36"/>
      <c r="M1517" s="36"/>
      <c r="N1517" s="36"/>
      <c r="O1517" s="36"/>
      <c r="P1517" s="36"/>
      <c r="Q1517" s="36"/>
      <c r="R1517" s="36"/>
      <c r="S1517" s="36"/>
      <c r="T1517" s="36"/>
      <c r="U1517" s="36"/>
      <c r="V1517" s="36"/>
      <c r="W1517" s="36"/>
      <c r="X1517" s="36"/>
      <c r="Y1517" s="36"/>
      <c r="Z1517" s="36"/>
      <c r="AA1517" s="36"/>
      <c r="AB1517" s="36"/>
      <c r="AC1517" s="36"/>
    </row>
    <row r="1518" ht="15.75" customHeight="1">
      <c r="A1518" s="423">
        <v>43469.0</v>
      </c>
      <c r="B1518" s="424">
        <v>13.9916</v>
      </c>
      <c r="C1518" s="425">
        <v>17.3784</v>
      </c>
      <c r="D1518" s="426">
        <v>18.9897</v>
      </c>
      <c r="E1518" s="425">
        <v>14.1147</v>
      </c>
      <c r="F1518" s="425">
        <v>16.5545</v>
      </c>
      <c r="G1518" s="425">
        <v>13.6851</v>
      </c>
      <c r="H1518" s="426">
        <v>29.2975</v>
      </c>
      <c r="I1518" s="426">
        <v>22.8703</v>
      </c>
      <c r="J1518" s="425">
        <v>19.681</v>
      </c>
      <c r="K1518" s="182">
        <v>10727.35</v>
      </c>
      <c r="L1518" s="36"/>
      <c r="M1518" s="36"/>
      <c r="N1518" s="36"/>
      <c r="O1518" s="36"/>
      <c r="P1518" s="36"/>
      <c r="Q1518" s="36"/>
      <c r="R1518" s="36"/>
      <c r="S1518" s="36"/>
      <c r="T1518" s="36"/>
      <c r="U1518" s="36"/>
      <c r="V1518" s="36"/>
      <c r="W1518" s="36"/>
      <c r="X1518" s="36"/>
      <c r="Y1518" s="36"/>
      <c r="Z1518" s="36"/>
      <c r="AA1518" s="36"/>
      <c r="AB1518" s="36"/>
      <c r="AC1518" s="36"/>
    </row>
    <row r="1519" ht="15.75" customHeight="1">
      <c r="A1519" s="423">
        <v>43469.0</v>
      </c>
      <c r="B1519" s="424">
        <v>13.9916</v>
      </c>
      <c r="C1519" s="425">
        <v>17.3712</v>
      </c>
      <c r="D1519" s="426">
        <v>18.9407</v>
      </c>
      <c r="E1519" s="425">
        <v>14.1147</v>
      </c>
      <c r="F1519" s="425">
        <v>16.5545</v>
      </c>
      <c r="G1519" s="425">
        <v>13.6851</v>
      </c>
      <c r="H1519" s="426">
        <v>29.2286</v>
      </c>
      <c r="I1519" s="426">
        <v>22.8896</v>
      </c>
      <c r="J1519" s="425">
        <v>19.6309</v>
      </c>
      <c r="K1519" s="182">
        <v>10727.35</v>
      </c>
      <c r="L1519" s="36"/>
      <c r="M1519" s="36"/>
      <c r="N1519" s="36"/>
      <c r="O1519" s="36"/>
      <c r="P1519" s="36"/>
      <c r="Q1519" s="36"/>
      <c r="R1519" s="36"/>
      <c r="S1519" s="36"/>
      <c r="T1519" s="36"/>
      <c r="U1519" s="36"/>
      <c r="V1519" s="36"/>
      <c r="W1519" s="36"/>
      <c r="X1519" s="36"/>
      <c r="Y1519" s="36"/>
      <c r="Z1519" s="36"/>
      <c r="AA1519" s="36"/>
      <c r="AB1519" s="36"/>
      <c r="AC1519" s="36"/>
    </row>
    <row r="1520" ht="15.75" customHeight="1">
      <c r="A1520" s="423">
        <v>43469.0</v>
      </c>
      <c r="B1520" s="424">
        <v>13.9916</v>
      </c>
      <c r="C1520" s="425">
        <v>17.3712</v>
      </c>
      <c r="D1520" s="426">
        <v>18.9277</v>
      </c>
      <c r="E1520" s="425">
        <v>14.1147</v>
      </c>
      <c r="F1520" s="425">
        <v>16.5545</v>
      </c>
      <c r="G1520" s="425">
        <v>13.6851</v>
      </c>
      <c r="H1520" s="426">
        <v>29.1112</v>
      </c>
      <c r="I1520" s="426">
        <v>22.7767</v>
      </c>
      <c r="J1520" s="425">
        <v>19.6309</v>
      </c>
      <c r="K1520" s="182">
        <v>10727.35</v>
      </c>
      <c r="L1520" s="36"/>
      <c r="M1520" s="36"/>
      <c r="N1520" s="36"/>
      <c r="O1520" s="36"/>
      <c r="P1520" s="36"/>
      <c r="Q1520" s="36"/>
      <c r="R1520" s="36"/>
      <c r="S1520" s="36"/>
      <c r="T1520" s="36"/>
      <c r="U1520" s="36"/>
      <c r="V1520" s="36"/>
      <c r="W1520" s="36"/>
      <c r="X1520" s="36"/>
      <c r="Y1520" s="36"/>
      <c r="Z1520" s="36"/>
      <c r="AA1520" s="36"/>
      <c r="AB1520" s="36"/>
      <c r="AC1520" s="36"/>
    </row>
    <row r="1521" ht="15.75" customHeight="1">
      <c r="A1521" s="423">
        <v>43472.0</v>
      </c>
      <c r="B1521" s="424">
        <v>14.0401</v>
      </c>
      <c r="C1521" s="425">
        <v>17.3893</v>
      </c>
      <c r="D1521" s="426">
        <v>18.9719</v>
      </c>
      <c r="E1521" s="425">
        <v>14.0836</v>
      </c>
      <c r="F1521" s="425">
        <v>16.6219</v>
      </c>
      <c r="G1521" s="425">
        <v>13.6909</v>
      </c>
      <c r="H1521" s="426">
        <v>29.4773</v>
      </c>
      <c r="I1521" s="426">
        <v>23.0414</v>
      </c>
      <c r="J1521" s="425">
        <v>19.8257</v>
      </c>
      <c r="K1521" s="182">
        <v>10771.8</v>
      </c>
      <c r="L1521" s="36"/>
      <c r="M1521" s="36"/>
      <c r="N1521" s="36"/>
      <c r="O1521" s="36"/>
      <c r="P1521" s="36"/>
      <c r="Q1521" s="36"/>
      <c r="R1521" s="36"/>
      <c r="S1521" s="36"/>
      <c r="T1521" s="36"/>
      <c r="U1521" s="36"/>
      <c r="V1521" s="36"/>
      <c r="W1521" s="36"/>
      <c r="X1521" s="36"/>
      <c r="Y1521" s="36"/>
      <c r="Z1521" s="36"/>
      <c r="AA1521" s="36"/>
      <c r="AB1521" s="36"/>
      <c r="AC1521" s="36"/>
    </row>
    <row r="1522" ht="15.75" customHeight="1">
      <c r="A1522" s="423">
        <v>43472.0</v>
      </c>
      <c r="B1522" s="424">
        <v>14.0401</v>
      </c>
      <c r="C1522" s="425">
        <v>17.3893</v>
      </c>
      <c r="D1522" s="426">
        <v>18.9668</v>
      </c>
      <c r="E1522" s="425">
        <v>14.0836</v>
      </c>
      <c r="F1522" s="425">
        <v>16.6219</v>
      </c>
      <c r="G1522" s="425">
        <v>13.6909</v>
      </c>
      <c r="H1522" s="426">
        <v>29.4345</v>
      </c>
      <c r="I1522" s="426">
        <v>22.9425</v>
      </c>
      <c r="J1522" s="425">
        <v>19.8257</v>
      </c>
      <c r="K1522" s="182">
        <v>10771.8</v>
      </c>
      <c r="L1522" s="36"/>
      <c r="M1522" s="36"/>
      <c r="N1522" s="36"/>
      <c r="O1522" s="36"/>
      <c r="P1522" s="36"/>
      <c r="Q1522" s="36"/>
      <c r="R1522" s="36"/>
      <c r="S1522" s="36"/>
      <c r="T1522" s="36"/>
      <c r="U1522" s="36"/>
      <c r="V1522" s="36"/>
      <c r="W1522" s="36"/>
      <c r="X1522" s="36"/>
      <c r="Y1522" s="36"/>
      <c r="Z1522" s="36"/>
      <c r="AA1522" s="36"/>
      <c r="AB1522" s="36"/>
      <c r="AC1522" s="36"/>
    </row>
    <row r="1523" ht="15.75" customHeight="1">
      <c r="A1523" s="423">
        <v>43472.0</v>
      </c>
      <c r="B1523" s="424">
        <v>14.0401</v>
      </c>
      <c r="C1523" s="425">
        <v>17.378</v>
      </c>
      <c r="D1523" s="426">
        <v>18.9742</v>
      </c>
      <c r="E1523" s="425">
        <v>14.0836</v>
      </c>
      <c r="F1523" s="425">
        <v>16.6219</v>
      </c>
      <c r="G1523" s="425">
        <v>13.6909</v>
      </c>
      <c r="H1523" s="426">
        <v>29.4979</v>
      </c>
      <c r="I1523" s="426">
        <v>22.9335</v>
      </c>
      <c r="J1523" s="425">
        <v>19.7235</v>
      </c>
      <c r="K1523" s="182">
        <v>10771.8</v>
      </c>
      <c r="L1523" s="36"/>
      <c r="M1523" s="36"/>
      <c r="N1523" s="36"/>
      <c r="O1523" s="36"/>
      <c r="P1523" s="36"/>
      <c r="Q1523" s="36"/>
      <c r="R1523" s="36"/>
      <c r="S1523" s="36"/>
      <c r="T1523" s="36"/>
      <c r="U1523" s="36"/>
      <c r="V1523" s="36"/>
      <c r="W1523" s="36"/>
      <c r="X1523" s="36"/>
      <c r="Y1523" s="36"/>
      <c r="Z1523" s="36"/>
      <c r="AA1523" s="36"/>
      <c r="AB1523" s="36"/>
      <c r="AC1523" s="36"/>
    </row>
    <row r="1524" ht="15.75" customHeight="1">
      <c r="A1524" s="423">
        <v>43472.0</v>
      </c>
      <c r="B1524" s="424">
        <v>14.0401</v>
      </c>
      <c r="C1524" s="425">
        <v>17.378</v>
      </c>
      <c r="D1524" s="426">
        <v>18.9726</v>
      </c>
      <c r="E1524" s="425">
        <v>14.0836</v>
      </c>
      <c r="F1524" s="425">
        <v>16.6219</v>
      </c>
      <c r="G1524" s="425">
        <v>13.6909</v>
      </c>
      <c r="H1524" s="426">
        <v>29.4789</v>
      </c>
      <c r="I1524" s="426">
        <v>22.8697</v>
      </c>
      <c r="J1524" s="425">
        <v>19.7235</v>
      </c>
      <c r="K1524" s="182">
        <v>10771.8</v>
      </c>
      <c r="L1524" s="36"/>
      <c r="M1524" s="36"/>
      <c r="N1524" s="36"/>
      <c r="O1524" s="36"/>
      <c r="P1524" s="36"/>
      <c r="Q1524" s="36"/>
      <c r="R1524" s="36"/>
      <c r="S1524" s="36"/>
      <c r="T1524" s="36"/>
      <c r="U1524" s="36"/>
      <c r="V1524" s="36"/>
      <c r="W1524" s="36"/>
      <c r="X1524" s="36"/>
      <c r="Y1524" s="36"/>
      <c r="Z1524" s="36"/>
      <c r="AA1524" s="36"/>
      <c r="AB1524" s="36"/>
      <c r="AC1524" s="36"/>
    </row>
    <row r="1525" ht="15.75" customHeight="1">
      <c r="A1525" s="423">
        <v>43473.0</v>
      </c>
      <c r="B1525" s="424">
        <v>14.0721</v>
      </c>
      <c r="C1525" s="425">
        <v>17.3995</v>
      </c>
      <c r="D1525" s="426">
        <v>18.9715</v>
      </c>
      <c r="E1525" s="425">
        <v>14.1248</v>
      </c>
      <c r="F1525" s="425">
        <v>16.663</v>
      </c>
      <c r="G1525" s="425">
        <v>13.7091</v>
      </c>
      <c r="H1525" s="426">
        <v>29.5387</v>
      </c>
      <c r="I1525" s="426">
        <v>23.0249</v>
      </c>
      <c r="J1525" s="425">
        <v>19.6554</v>
      </c>
      <c r="K1525" s="182">
        <v>10802.15</v>
      </c>
      <c r="L1525" s="36"/>
      <c r="M1525" s="36"/>
      <c r="N1525" s="36"/>
      <c r="O1525" s="36"/>
      <c r="P1525" s="36"/>
      <c r="Q1525" s="36"/>
      <c r="R1525" s="36"/>
      <c r="S1525" s="36"/>
      <c r="T1525" s="36"/>
      <c r="U1525" s="36"/>
      <c r="V1525" s="36"/>
      <c r="W1525" s="36"/>
      <c r="X1525" s="36"/>
      <c r="Y1525" s="36"/>
      <c r="Z1525" s="36"/>
      <c r="AA1525" s="36"/>
      <c r="AB1525" s="36"/>
      <c r="AC1525" s="36"/>
    </row>
    <row r="1526" ht="15.75" customHeight="1">
      <c r="A1526" s="423">
        <v>43473.0</v>
      </c>
      <c r="B1526" s="424">
        <v>14.0721</v>
      </c>
      <c r="C1526" s="425">
        <v>17.3995</v>
      </c>
      <c r="D1526" s="426">
        <v>18.9686</v>
      </c>
      <c r="E1526" s="425">
        <v>14.1248</v>
      </c>
      <c r="F1526" s="425">
        <v>16.663</v>
      </c>
      <c r="G1526" s="425">
        <v>13.7091</v>
      </c>
      <c r="H1526" s="426">
        <v>29.2934</v>
      </c>
      <c r="I1526" s="426">
        <v>22.8825</v>
      </c>
      <c r="J1526" s="425">
        <v>19.6554</v>
      </c>
      <c r="K1526" s="182">
        <v>10802.15</v>
      </c>
      <c r="L1526" s="36"/>
      <c r="M1526" s="36"/>
      <c r="N1526" s="36"/>
      <c r="O1526" s="36"/>
      <c r="P1526" s="36"/>
      <c r="Q1526" s="36"/>
      <c r="R1526" s="36"/>
      <c r="S1526" s="36"/>
      <c r="T1526" s="36"/>
      <c r="U1526" s="36"/>
      <c r="V1526" s="36"/>
      <c r="W1526" s="36"/>
      <c r="X1526" s="36"/>
      <c r="Y1526" s="36"/>
      <c r="Z1526" s="36"/>
      <c r="AA1526" s="36"/>
      <c r="AB1526" s="36"/>
      <c r="AC1526" s="36"/>
    </row>
    <row r="1527" ht="15.75" customHeight="1">
      <c r="A1527" s="423">
        <v>43473.0</v>
      </c>
      <c r="B1527" s="424">
        <v>14.0721</v>
      </c>
      <c r="C1527" s="425">
        <v>17.3965</v>
      </c>
      <c r="D1527" s="426">
        <v>19.0052</v>
      </c>
      <c r="E1527" s="425">
        <v>14.1248</v>
      </c>
      <c r="F1527" s="425">
        <v>16.663</v>
      </c>
      <c r="G1527" s="425">
        <v>13.7091</v>
      </c>
      <c r="H1527" s="426">
        <v>29.4986</v>
      </c>
      <c r="I1527" s="426">
        <v>23.0173</v>
      </c>
      <c r="J1527" s="425">
        <v>19.708</v>
      </c>
      <c r="K1527" s="182">
        <v>10802.15</v>
      </c>
      <c r="L1527" s="36"/>
      <c r="M1527" s="36"/>
      <c r="N1527" s="36"/>
      <c r="O1527" s="36"/>
      <c r="P1527" s="36"/>
      <c r="Q1527" s="36"/>
      <c r="R1527" s="36"/>
      <c r="S1527" s="36"/>
      <c r="T1527" s="36"/>
      <c r="U1527" s="36"/>
      <c r="V1527" s="36"/>
      <c r="W1527" s="36"/>
      <c r="X1527" s="36"/>
      <c r="Y1527" s="36"/>
      <c r="Z1527" s="36"/>
      <c r="AA1527" s="36"/>
      <c r="AB1527" s="36"/>
      <c r="AC1527" s="36"/>
    </row>
    <row r="1528" ht="15.75" customHeight="1">
      <c r="A1528" s="423">
        <v>43473.0</v>
      </c>
      <c r="B1528" s="424">
        <v>14.0721</v>
      </c>
      <c r="C1528" s="425">
        <v>17.3965</v>
      </c>
      <c r="D1528" s="426">
        <v>19.002</v>
      </c>
      <c r="E1528" s="425">
        <v>14.1248</v>
      </c>
      <c r="F1528" s="425">
        <v>16.663</v>
      </c>
      <c r="G1528" s="425">
        <v>13.7091</v>
      </c>
      <c r="H1528" s="426">
        <v>29.5667</v>
      </c>
      <c r="I1528" s="426">
        <v>23.078</v>
      </c>
      <c r="J1528" s="425">
        <v>19.708</v>
      </c>
      <c r="K1528" s="182">
        <v>10802.15</v>
      </c>
      <c r="L1528" s="36"/>
      <c r="M1528" s="36"/>
      <c r="N1528" s="36"/>
      <c r="O1528" s="36"/>
      <c r="P1528" s="36"/>
      <c r="Q1528" s="36"/>
      <c r="R1528" s="36"/>
      <c r="S1528" s="36"/>
      <c r="T1528" s="36"/>
      <c r="U1528" s="36"/>
      <c r="V1528" s="36"/>
      <c r="W1528" s="36"/>
      <c r="X1528" s="36"/>
      <c r="Y1528" s="36"/>
      <c r="Z1528" s="36"/>
      <c r="AA1528" s="36"/>
      <c r="AB1528" s="36"/>
      <c r="AC1528" s="36"/>
    </row>
    <row r="1529" ht="15.75" customHeight="1">
      <c r="A1529" s="423">
        <v>43474.0</v>
      </c>
      <c r="B1529" s="424">
        <v>14.1133</v>
      </c>
      <c r="C1529" s="425">
        <v>17.418</v>
      </c>
      <c r="D1529" s="426">
        <v>18.9821</v>
      </c>
      <c r="E1529" s="425">
        <v>14.1222</v>
      </c>
      <c r="F1529" s="425">
        <v>16.72</v>
      </c>
      <c r="G1529" s="425">
        <v>13.7146</v>
      </c>
      <c r="H1529" s="426">
        <v>29.9444</v>
      </c>
      <c r="I1529" s="426">
        <v>23.2844</v>
      </c>
      <c r="J1529" s="425">
        <v>19.7026</v>
      </c>
      <c r="K1529" s="182">
        <v>10855.15</v>
      </c>
      <c r="L1529" s="36"/>
      <c r="M1529" s="36"/>
      <c r="N1529" s="36"/>
      <c r="O1529" s="36"/>
      <c r="P1529" s="36"/>
      <c r="Q1529" s="36"/>
      <c r="R1529" s="36"/>
      <c r="S1529" s="36"/>
      <c r="T1529" s="36"/>
      <c r="U1529" s="36"/>
      <c r="V1529" s="36"/>
      <c r="W1529" s="36"/>
      <c r="X1529" s="36"/>
      <c r="Y1529" s="36"/>
      <c r="Z1529" s="36"/>
      <c r="AA1529" s="36"/>
      <c r="AB1529" s="36"/>
      <c r="AC1529" s="36"/>
    </row>
    <row r="1530" ht="15.75" customHeight="1">
      <c r="A1530" s="423">
        <v>43474.0</v>
      </c>
      <c r="B1530" s="424">
        <v>14.1133</v>
      </c>
      <c r="C1530" s="425">
        <v>17.418</v>
      </c>
      <c r="D1530" s="426">
        <v>18.9716</v>
      </c>
      <c r="E1530" s="425">
        <v>14.1222</v>
      </c>
      <c r="F1530" s="425">
        <v>16.72</v>
      </c>
      <c r="G1530" s="425">
        <v>13.7146</v>
      </c>
      <c r="H1530" s="426">
        <v>29.8015</v>
      </c>
      <c r="I1530" s="426">
        <v>23.2673</v>
      </c>
      <c r="J1530" s="425">
        <v>19.7026</v>
      </c>
      <c r="K1530" s="182">
        <v>10855.15</v>
      </c>
      <c r="L1530" s="36"/>
      <c r="M1530" s="36"/>
      <c r="N1530" s="36"/>
      <c r="O1530" s="36"/>
      <c r="P1530" s="36"/>
      <c r="Q1530" s="36"/>
      <c r="R1530" s="36"/>
      <c r="S1530" s="36"/>
      <c r="T1530" s="36"/>
      <c r="U1530" s="36"/>
      <c r="V1530" s="36"/>
      <c r="W1530" s="36"/>
      <c r="X1530" s="36"/>
      <c r="Y1530" s="36"/>
      <c r="Z1530" s="36"/>
      <c r="AA1530" s="36"/>
      <c r="AB1530" s="36"/>
      <c r="AC1530" s="36"/>
    </row>
    <row r="1531" ht="15.75" customHeight="1">
      <c r="A1531" s="423">
        <v>43474.0</v>
      </c>
      <c r="B1531" s="424">
        <v>14.1133</v>
      </c>
      <c r="C1531" s="425">
        <v>17.4056</v>
      </c>
      <c r="D1531" s="426">
        <v>18.9432</v>
      </c>
      <c r="E1531" s="425">
        <v>14.1222</v>
      </c>
      <c r="F1531" s="425">
        <v>16.72</v>
      </c>
      <c r="G1531" s="425">
        <v>13.7146</v>
      </c>
      <c r="H1531" s="426">
        <v>29.6647</v>
      </c>
      <c r="I1531" s="426">
        <v>23.1035</v>
      </c>
      <c r="J1531" s="425">
        <v>19.5739</v>
      </c>
      <c r="K1531" s="182">
        <v>10855.15</v>
      </c>
      <c r="L1531" s="36"/>
      <c r="M1531" s="36"/>
      <c r="N1531" s="36"/>
      <c r="O1531" s="36"/>
      <c r="P1531" s="36"/>
      <c r="Q1531" s="36"/>
      <c r="R1531" s="36"/>
      <c r="S1531" s="36"/>
      <c r="T1531" s="36"/>
      <c r="U1531" s="36"/>
      <c r="V1531" s="36"/>
      <c r="W1531" s="36"/>
      <c r="X1531" s="36"/>
      <c r="Y1531" s="36"/>
      <c r="Z1531" s="36"/>
      <c r="AA1531" s="36"/>
      <c r="AB1531" s="36"/>
      <c r="AC1531" s="36"/>
    </row>
    <row r="1532" ht="15.75" customHeight="1">
      <c r="A1532" s="423">
        <v>43474.0</v>
      </c>
      <c r="B1532" s="424">
        <v>14.1133</v>
      </c>
      <c r="C1532" s="425">
        <v>17.4056</v>
      </c>
      <c r="D1532" s="426">
        <v>18.9406</v>
      </c>
      <c r="E1532" s="425">
        <v>14.1222</v>
      </c>
      <c r="F1532" s="425">
        <v>16.72</v>
      </c>
      <c r="G1532" s="425">
        <v>13.7146</v>
      </c>
      <c r="H1532" s="426">
        <v>29.4732</v>
      </c>
      <c r="I1532" s="426">
        <v>22.9369</v>
      </c>
      <c r="J1532" s="425">
        <v>19.5739</v>
      </c>
      <c r="K1532" s="182">
        <v>10855.15</v>
      </c>
      <c r="L1532" s="36"/>
      <c r="M1532" s="36"/>
      <c r="N1532" s="36"/>
      <c r="O1532" s="36"/>
      <c r="P1532" s="36"/>
      <c r="Q1532" s="36"/>
      <c r="R1532" s="36"/>
      <c r="S1532" s="36"/>
      <c r="T1532" s="36"/>
      <c r="U1532" s="36"/>
      <c r="V1532" s="36"/>
      <c r="W1532" s="36"/>
      <c r="X1532" s="36"/>
      <c r="Y1532" s="36"/>
      <c r="Z1532" s="36"/>
      <c r="AA1532" s="36"/>
      <c r="AB1532" s="36"/>
      <c r="AC1532" s="36"/>
    </row>
    <row r="1533" ht="15.75" customHeight="1">
      <c r="A1533" s="423">
        <v>43475.0</v>
      </c>
      <c r="B1533" s="424">
        <v>14.0865</v>
      </c>
      <c r="C1533" s="425">
        <v>17.4384</v>
      </c>
      <c r="D1533" s="426">
        <v>18.9501</v>
      </c>
      <c r="E1533" s="425">
        <v>14.119</v>
      </c>
      <c r="F1533" s="425">
        <v>16.6897</v>
      </c>
      <c r="G1533" s="425">
        <v>13.7145</v>
      </c>
      <c r="H1533" s="426">
        <v>30.1256</v>
      </c>
      <c r="I1533" s="426">
        <v>23.5462</v>
      </c>
      <c r="J1533" s="425">
        <v>19.8255</v>
      </c>
      <c r="K1533" s="182">
        <v>10821.6</v>
      </c>
      <c r="L1533" s="36"/>
      <c r="M1533" s="36"/>
      <c r="N1533" s="36"/>
      <c r="O1533" s="36"/>
      <c r="P1533" s="36"/>
      <c r="Q1533" s="36"/>
      <c r="R1533" s="36"/>
      <c r="S1533" s="36"/>
      <c r="T1533" s="36"/>
      <c r="U1533" s="36"/>
      <c r="V1533" s="36"/>
      <c r="W1533" s="36"/>
      <c r="X1533" s="36"/>
      <c r="Y1533" s="36"/>
      <c r="Z1533" s="36"/>
      <c r="AA1533" s="36"/>
      <c r="AB1533" s="36"/>
      <c r="AC1533" s="36"/>
    </row>
    <row r="1534" ht="15.75" customHeight="1">
      <c r="A1534" s="423">
        <v>43475.0</v>
      </c>
      <c r="B1534" s="424">
        <v>14.0865</v>
      </c>
      <c r="C1534" s="425">
        <v>17.4384</v>
      </c>
      <c r="D1534" s="426">
        <v>18.9533</v>
      </c>
      <c r="E1534" s="425">
        <v>14.119</v>
      </c>
      <c r="F1534" s="425">
        <v>16.6897</v>
      </c>
      <c r="G1534" s="425">
        <v>13.7145</v>
      </c>
      <c r="H1534" s="426">
        <v>30.101</v>
      </c>
      <c r="I1534" s="426">
        <v>23.4897</v>
      </c>
      <c r="J1534" s="425">
        <v>19.8255</v>
      </c>
      <c r="K1534" s="182">
        <v>10821.6</v>
      </c>
      <c r="L1534" s="36"/>
      <c r="M1534" s="36"/>
      <c r="N1534" s="36"/>
      <c r="O1534" s="36"/>
      <c r="P1534" s="36"/>
      <c r="Q1534" s="36"/>
      <c r="R1534" s="36"/>
      <c r="S1534" s="36"/>
      <c r="T1534" s="36"/>
      <c r="U1534" s="36"/>
      <c r="V1534" s="36"/>
      <c r="W1534" s="36"/>
      <c r="X1534" s="36"/>
      <c r="Y1534" s="36"/>
      <c r="Z1534" s="36"/>
      <c r="AA1534" s="36"/>
      <c r="AB1534" s="36"/>
      <c r="AC1534" s="36"/>
    </row>
    <row r="1535" ht="15.75" customHeight="1">
      <c r="A1535" s="423">
        <v>43475.0</v>
      </c>
      <c r="B1535" s="424">
        <v>14.0865</v>
      </c>
      <c r="C1535" s="425">
        <v>17.4264</v>
      </c>
      <c r="D1535" s="426">
        <v>18.9494</v>
      </c>
      <c r="E1535" s="425">
        <v>14.119</v>
      </c>
      <c r="F1535" s="425">
        <v>16.6897</v>
      </c>
      <c r="G1535" s="425">
        <v>13.7145</v>
      </c>
      <c r="H1535" s="426">
        <v>29.8544</v>
      </c>
      <c r="I1535" s="426">
        <v>23.2468</v>
      </c>
      <c r="J1535" s="425">
        <v>19.771</v>
      </c>
      <c r="K1535" s="182">
        <v>10821.6</v>
      </c>
      <c r="L1535" s="36"/>
      <c r="M1535" s="36"/>
      <c r="N1535" s="36"/>
      <c r="O1535" s="36"/>
      <c r="P1535" s="36"/>
      <c r="Q1535" s="36"/>
      <c r="R1535" s="36"/>
      <c r="S1535" s="36"/>
      <c r="T1535" s="36"/>
      <c r="U1535" s="36"/>
      <c r="V1535" s="36"/>
      <c r="W1535" s="36"/>
      <c r="X1535" s="36"/>
      <c r="Y1535" s="36"/>
      <c r="Z1535" s="36"/>
      <c r="AA1535" s="36"/>
      <c r="AB1535" s="36"/>
      <c r="AC1535" s="36"/>
    </row>
    <row r="1536" ht="15.75" customHeight="1">
      <c r="A1536" s="423">
        <v>43475.0</v>
      </c>
      <c r="B1536" s="424">
        <v>14.0865</v>
      </c>
      <c r="C1536" s="425">
        <v>17.4264</v>
      </c>
      <c r="D1536" s="426">
        <v>18.9621</v>
      </c>
      <c r="E1536" s="425">
        <v>14.119</v>
      </c>
      <c r="F1536" s="425">
        <v>16.6897</v>
      </c>
      <c r="G1536" s="425">
        <v>13.7145</v>
      </c>
      <c r="H1536" s="426">
        <v>29.9236</v>
      </c>
      <c r="I1536" s="426">
        <v>23.324</v>
      </c>
      <c r="J1536" s="425">
        <v>19.771</v>
      </c>
      <c r="K1536" s="182">
        <v>10821.6</v>
      </c>
      <c r="L1536" s="36"/>
      <c r="M1536" s="36"/>
      <c r="N1536" s="36"/>
      <c r="O1536" s="36"/>
      <c r="P1536" s="36"/>
      <c r="Q1536" s="36"/>
      <c r="R1536" s="36"/>
      <c r="S1536" s="36"/>
      <c r="T1536" s="36"/>
      <c r="U1536" s="36"/>
      <c r="V1536" s="36"/>
      <c r="W1536" s="36"/>
      <c r="X1536" s="36"/>
      <c r="Y1536" s="36"/>
      <c r="Z1536" s="36"/>
      <c r="AA1536" s="36"/>
      <c r="AB1536" s="36"/>
      <c r="AC1536" s="36"/>
    </row>
    <row r="1537" ht="15.75" customHeight="1">
      <c r="A1537" s="423">
        <v>43476.0</v>
      </c>
      <c r="B1537" s="424">
        <v>14.0387</v>
      </c>
      <c r="C1537" s="425">
        <v>17.4619</v>
      </c>
      <c r="D1537" s="426">
        <v>18.8965</v>
      </c>
      <c r="E1537" s="425">
        <v>14.1122</v>
      </c>
      <c r="F1537" s="425">
        <v>16.6437</v>
      </c>
      <c r="G1537" s="425">
        <v>13.7179</v>
      </c>
      <c r="H1537" s="426">
        <v>30.1942</v>
      </c>
      <c r="I1537" s="426">
        <v>23.2696</v>
      </c>
      <c r="J1537" s="425">
        <v>20.0256</v>
      </c>
      <c r="K1537" s="182">
        <v>10794.95</v>
      </c>
      <c r="L1537" s="36"/>
      <c r="M1537" s="36"/>
      <c r="N1537" s="36"/>
      <c r="O1537" s="36"/>
      <c r="P1537" s="36"/>
      <c r="Q1537" s="36"/>
      <c r="R1537" s="36"/>
      <c r="S1537" s="36"/>
      <c r="T1537" s="36"/>
      <c r="U1537" s="36"/>
      <c r="V1537" s="36"/>
      <c r="W1537" s="36"/>
      <c r="X1537" s="36"/>
      <c r="Y1537" s="36"/>
      <c r="Z1537" s="36"/>
      <c r="AA1537" s="36"/>
      <c r="AB1537" s="36"/>
      <c r="AC1537" s="36"/>
    </row>
    <row r="1538" ht="15.75" customHeight="1">
      <c r="A1538" s="423">
        <v>43476.0</v>
      </c>
      <c r="B1538" s="424">
        <v>14.0387</v>
      </c>
      <c r="C1538" s="425">
        <v>17.4619</v>
      </c>
      <c r="D1538" s="426">
        <v>18.9217</v>
      </c>
      <c r="E1538" s="425">
        <v>14.1122</v>
      </c>
      <c r="F1538" s="425">
        <v>16.6437</v>
      </c>
      <c r="G1538" s="425">
        <v>13.7179</v>
      </c>
      <c r="H1538" s="426">
        <v>30.3577</v>
      </c>
      <c r="I1538" s="426">
        <v>23.4512</v>
      </c>
      <c r="J1538" s="425">
        <v>20.0256</v>
      </c>
      <c r="K1538" s="182">
        <v>10794.95</v>
      </c>
      <c r="L1538" s="36"/>
      <c r="M1538" s="36"/>
      <c r="N1538" s="36"/>
      <c r="O1538" s="36"/>
      <c r="P1538" s="36"/>
      <c r="Q1538" s="36"/>
      <c r="R1538" s="36"/>
      <c r="S1538" s="36"/>
      <c r="T1538" s="36"/>
      <c r="U1538" s="36"/>
      <c r="V1538" s="36"/>
      <c r="W1538" s="36"/>
      <c r="X1538" s="36"/>
      <c r="Y1538" s="36"/>
      <c r="Z1538" s="36"/>
      <c r="AA1538" s="36"/>
      <c r="AB1538" s="36"/>
      <c r="AC1538" s="36"/>
    </row>
    <row r="1539" ht="15.75" customHeight="1">
      <c r="A1539" s="423">
        <v>43476.0</v>
      </c>
      <c r="B1539" s="424">
        <v>14.0387</v>
      </c>
      <c r="C1539" s="425">
        <v>17.4527</v>
      </c>
      <c r="D1539" s="426">
        <v>18.9387</v>
      </c>
      <c r="E1539" s="425">
        <v>14.1122</v>
      </c>
      <c r="F1539" s="425">
        <v>16.6437</v>
      </c>
      <c r="G1539" s="425">
        <v>13.7179</v>
      </c>
      <c r="H1539" s="426">
        <v>30.3235</v>
      </c>
      <c r="I1539" s="426">
        <v>23.4472</v>
      </c>
      <c r="J1539" s="425">
        <v>19.992</v>
      </c>
      <c r="K1539" s="182">
        <v>10794.95</v>
      </c>
      <c r="L1539" s="36"/>
      <c r="M1539" s="36"/>
      <c r="N1539" s="36"/>
      <c r="O1539" s="36"/>
      <c r="P1539" s="36"/>
      <c r="Q1539" s="36"/>
      <c r="R1539" s="36"/>
      <c r="S1539" s="36"/>
      <c r="T1539" s="36"/>
      <c r="U1539" s="36"/>
      <c r="V1539" s="36"/>
      <c r="W1539" s="36"/>
      <c r="X1539" s="36"/>
      <c r="Y1539" s="36"/>
      <c r="Z1539" s="36"/>
      <c r="AA1539" s="36"/>
      <c r="AB1539" s="36"/>
      <c r="AC1539" s="36"/>
    </row>
    <row r="1540" ht="15.75" customHeight="1">
      <c r="A1540" s="423">
        <v>43476.0</v>
      </c>
      <c r="B1540" s="424">
        <v>14.0387</v>
      </c>
      <c r="C1540" s="425">
        <v>17.4527</v>
      </c>
      <c r="D1540" s="426">
        <v>18.9527</v>
      </c>
      <c r="E1540" s="425">
        <v>14.1122</v>
      </c>
      <c r="F1540" s="425">
        <v>16.6437</v>
      </c>
      <c r="G1540" s="425">
        <v>13.7179</v>
      </c>
      <c r="H1540" s="426">
        <v>30.2443</v>
      </c>
      <c r="I1540" s="426">
        <v>23.4642</v>
      </c>
      <c r="J1540" s="425">
        <v>19.992</v>
      </c>
      <c r="K1540" s="182">
        <v>10794.95</v>
      </c>
      <c r="L1540" s="36"/>
      <c r="M1540" s="36"/>
      <c r="N1540" s="36"/>
      <c r="O1540" s="36"/>
      <c r="P1540" s="36"/>
      <c r="Q1540" s="36"/>
      <c r="R1540" s="36"/>
      <c r="S1540" s="36"/>
      <c r="T1540" s="36"/>
      <c r="U1540" s="36"/>
      <c r="V1540" s="36"/>
      <c r="W1540" s="36"/>
      <c r="X1540" s="36"/>
      <c r="Y1540" s="36"/>
      <c r="Z1540" s="36"/>
      <c r="AA1540" s="36"/>
      <c r="AB1540" s="36"/>
      <c r="AC1540" s="36"/>
    </row>
    <row r="1541" ht="15.75" customHeight="1">
      <c r="A1541" s="423">
        <v>43479.0</v>
      </c>
      <c r="B1541" s="424">
        <v>13.9821</v>
      </c>
      <c r="C1541" s="425">
        <v>17.4664</v>
      </c>
      <c r="D1541" s="426">
        <v>18.853</v>
      </c>
      <c r="E1541" s="425">
        <v>14.1603</v>
      </c>
      <c r="F1541" s="425">
        <v>16.5794</v>
      </c>
      <c r="G1541" s="425">
        <v>13.7429</v>
      </c>
      <c r="H1541" s="426">
        <v>29.6488</v>
      </c>
      <c r="I1541" s="426">
        <v>23.1763</v>
      </c>
      <c r="J1541" s="425">
        <v>20.0423</v>
      </c>
      <c r="K1541" s="182">
        <v>10737.6</v>
      </c>
      <c r="L1541" s="36"/>
      <c r="M1541" s="36"/>
      <c r="N1541" s="36"/>
      <c r="O1541" s="36"/>
      <c r="P1541" s="36"/>
      <c r="Q1541" s="36"/>
      <c r="R1541" s="36"/>
      <c r="S1541" s="36"/>
      <c r="T1541" s="36"/>
      <c r="U1541" s="36"/>
      <c r="V1541" s="36"/>
      <c r="W1541" s="36"/>
      <c r="X1541" s="36"/>
      <c r="Y1541" s="36"/>
      <c r="Z1541" s="36"/>
      <c r="AA1541" s="36"/>
      <c r="AB1541" s="36"/>
      <c r="AC1541" s="36"/>
    </row>
    <row r="1542" ht="15.75" customHeight="1">
      <c r="A1542" s="423">
        <v>43479.0</v>
      </c>
      <c r="B1542" s="424">
        <v>13.9821</v>
      </c>
      <c r="C1542" s="425">
        <v>17.4664</v>
      </c>
      <c r="D1542" s="426">
        <v>18.823</v>
      </c>
      <c r="E1542" s="425">
        <v>14.1603</v>
      </c>
      <c r="F1542" s="425">
        <v>16.5794</v>
      </c>
      <c r="G1542" s="425">
        <v>13.7429</v>
      </c>
      <c r="H1542" s="426">
        <v>29.3976</v>
      </c>
      <c r="I1542" s="426">
        <v>23.062</v>
      </c>
      <c r="J1542" s="425">
        <v>20.0423</v>
      </c>
      <c r="K1542" s="182">
        <v>10737.6</v>
      </c>
      <c r="L1542" s="36"/>
      <c r="M1542" s="36"/>
      <c r="N1542" s="36"/>
      <c r="O1542" s="36"/>
      <c r="P1542" s="36"/>
      <c r="Q1542" s="36"/>
      <c r="R1542" s="36"/>
      <c r="S1542" s="36"/>
      <c r="T1542" s="36"/>
      <c r="U1542" s="36"/>
      <c r="V1542" s="36"/>
      <c r="W1542" s="36"/>
      <c r="X1542" s="36"/>
      <c r="Y1542" s="36"/>
      <c r="Z1542" s="36"/>
      <c r="AA1542" s="36"/>
      <c r="AB1542" s="36"/>
      <c r="AC1542" s="36"/>
    </row>
    <row r="1543" ht="15.75" customHeight="1">
      <c r="A1543" s="423">
        <v>43479.0</v>
      </c>
      <c r="B1543" s="424">
        <v>13.9821</v>
      </c>
      <c r="C1543" s="425">
        <v>17.4647</v>
      </c>
      <c r="D1543" s="426">
        <v>18.8242</v>
      </c>
      <c r="E1543" s="425">
        <v>14.1603</v>
      </c>
      <c r="F1543" s="425">
        <v>16.5794</v>
      </c>
      <c r="G1543" s="425">
        <v>13.7429</v>
      </c>
      <c r="H1543" s="426">
        <v>29.3539</v>
      </c>
      <c r="I1543" s="426">
        <v>22.97</v>
      </c>
      <c r="J1543" s="425">
        <v>20.0393</v>
      </c>
      <c r="K1543" s="182">
        <v>10737.6</v>
      </c>
      <c r="L1543" s="36"/>
      <c r="M1543" s="36"/>
      <c r="N1543" s="36"/>
      <c r="O1543" s="36"/>
      <c r="P1543" s="36"/>
      <c r="Q1543" s="36"/>
      <c r="R1543" s="36"/>
      <c r="S1543" s="36"/>
      <c r="T1543" s="36"/>
      <c r="U1543" s="36"/>
      <c r="V1543" s="36"/>
      <c r="W1543" s="36"/>
      <c r="X1543" s="36"/>
      <c r="Y1543" s="36"/>
      <c r="Z1543" s="36"/>
      <c r="AA1543" s="36"/>
      <c r="AB1543" s="36"/>
      <c r="AC1543" s="36"/>
    </row>
    <row r="1544" ht="15.75" customHeight="1">
      <c r="A1544" s="423">
        <v>43479.0</v>
      </c>
      <c r="B1544" s="424">
        <v>13.9821</v>
      </c>
      <c r="C1544" s="425">
        <v>17.4647</v>
      </c>
      <c r="D1544" s="426">
        <v>18.8423</v>
      </c>
      <c r="E1544" s="425">
        <v>14.1603</v>
      </c>
      <c r="F1544" s="425">
        <v>16.5794</v>
      </c>
      <c r="G1544" s="425">
        <v>13.7429</v>
      </c>
      <c r="H1544" s="426">
        <v>29.5962</v>
      </c>
      <c r="I1544" s="426">
        <v>23.0759</v>
      </c>
      <c r="J1544" s="425">
        <v>20.0393</v>
      </c>
      <c r="K1544" s="182">
        <v>10737.6</v>
      </c>
      <c r="L1544" s="36"/>
      <c r="M1544" s="36"/>
      <c r="N1544" s="36"/>
      <c r="O1544" s="36"/>
      <c r="P1544" s="36"/>
      <c r="Q1544" s="36"/>
      <c r="R1544" s="36"/>
      <c r="S1544" s="36"/>
      <c r="T1544" s="36"/>
      <c r="U1544" s="36"/>
      <c r="V1544" s="36"/>
      <c r="W1544" s="36"/>
      <c r="X1544" s="36"/>
      <c r="Y1544" s="36"/>
      <c r="Z1544" s="36"/>
      <c r="AA1544" s="36"/>
      <c r="AB1544" s="36"/>
      <c r="AC1544" s="36"/>
    </row>
    <row r="1545" ht="15.75" customHeight="1">
      <c r="A1545" s="423">
        <v>43480.0</v>
      </c>
      <c r="B1545" s="424">
        <v>14.1519</v>
      </c>
      <c r="C1545" s="425">
        <v>17.4996</v>
      </c>
      <c r="D1545" s="426">
        <v>18.7938</v>
      </c>
      <c r="E1545" s="425">
        <v>14.1421</v>
      </c>
      <c r="F1545" s="425">
        <v>16.7456</v>
      </c>
      <c r="G1545" s="425">
        <v>13.7458</v>
      </c>
      <c r="H1545" s="426">
        <v>29.367</v>
      </c>
      <c r="I1545" s="426">
        <v>22.9854</v>
      </c>
      <c r="J1545" s="425">
        <v>19.7172</v>
      </c>
      <c r="K1545" s="182">
        <v>10886.8</v>
      </c>
      <c r="L1545" s="36"/>
      <c r="M1545" s="36"/>
      <c r="N1545" s="36"/>
      <c r="O1545" s="36"/>
      <c r="P1545" s="36"/>
      <c r="Q1545" s="36"/>
      <c r="R1545" s="36"/>
      <c r="S1545" s="36"/>
      <c r="T1545" s="36"/>
      <c r="U1545" s="36"/>
      <c r="V1545" s="36"/>
      <c r="W1545" s="36"/>
      <c r="X1545" s="36"/>
      <c r="Y1545" s="36"/>
      <c r="Z1545" s="36"/>
      <c r="AA1545" s="36"/>
      <c r="AB1545" s="36"/>
      <c r="AC1545" s="36"/>
    </row>
    <row r="1546" ht="15.75" customHeight="1">
      <c r="A1546" s="423">
        <v>43480.0</v>
      </c>
      <c r="B1546" s="424">
        <v>14.1519</v>
      </c>
      <c r="C1546" s="425">
        <v>17.4996</v>
      </c>
      <c r="D1546" s="426">
        <v>18.7758</v>
      </c>
      <c r="E1546" s="425">
        <v>14.1421</v>
      </c>
      <c r="F1546" s="425">
        <v>16.7456</v>
      </c>
      <c r="G1546" s="425">
        <v>13.7458</v>
      </c>
      <c r="H1546" s="426">
        <v>29.0813</v>
      </c>
      <c r="I1546" s="426">
        <v>22.7516</v>
      </c>
      <c r="J1546" s="425">
        <v>19.7172</v>
      </c>
      <c r="K1546" s="182">
        <v>10886.8</v>
      </c>
      <c r="L1546" s="36"/>
      <c r="M1546" s="36"/>
      <c r="N1546" s="36"/>
      <c r="O1546" s="36"/>
      <c r="P1546" s="36"/>
      <c r="Q1546" s="36"/>
      <c r="R1546" s="36"/>
      <c r="S1546" s="36"/>
      <c r="T1546" s="36"/>
      <c r="U1546" s="36"/>
      <c r="V1546" s="36"/>
      <c r="W1546" s="36"/>
      <c r="X1546" s="36"/>
      <c r="Y1546" s="36"/>
      <c r="Z1546" s="36"/>
      <c r="AA1546" s="36"/>
      <c r="AB1546" s="36"/>
      <c r="AC1546" s="36"/>
    </row>
    <row r="1547" ht="15.75" customHeight="1">
      <c r="A1547" s="423">
        <v>43480.0</v>
      </c>
      <c r="B1547" s="424">
        <v>14.1519</v>
      </c>
      <c r="C1547" s="425">
        <v>17.4886</v>
      </c>
      <c r="D1547" s="426">
        <v>18.7477</v>
      </c>
      <c r="E1547" s="425">
        <v>14.1421</v>
      </c>
      <c r="F1547" s="425">
        <v>16.7456</v>
      </c>
      <c r="G1547" s="425">
        <v>13.7458</v>
      </c>
      <c r="H1547" s="426">
        <v>29.0111</v>
      </c>
      <c r="I1547" s="426">
        <v>22.623</v>
      </c>
      <c r="J1547" s="425">
        <v>19.9171</v>
      </c>
      <c r="K1547" s="182">
        <v>10886.8</v>
      </c>
      <c r="L1547" s="36"/>
      <c r="M1547" s="36"/>
      <c r="N1547" s="36"/>
      <c r="O1547" s="36"/>
      <c r="P1547" s="36"/>
      <c r="Q1547" s="36"/>
      <c r="R1547" s="36"/>
      <c r="S1547" s="36"/>
      <c r="T1547" s="36"/>
      <c r="U1547" s="36"/>
      <c r="V1547" s="36"/>
      <c r="W1547" s="36"/>
      <c r="X1547" s="36"/>
      <c r="Y1547" s="36"/>
      <c r="Z1547" s="36"/>
      <c r="AA1547" s="36"/>
      <c r="AB1547" s="36"/>
      <c r="AC1547" s="36"/>
    </row>
    <row r="1548" ht="15.75" customHeight="1">
      <c r="A1548" s="423">
        <v>43480.0</v>
      </c>
      <c r="B1548" s="424">
        <v>14.1519</v>
      </c>
      <c r="C1548" s="425">
        <v>17.4886</v>
      </c>
      <c r="D1548" s="426">
        <v>18.7577</v>
      </c>
      <c r="E1548" s="425">
        <v>14.1421</v>
      </c>
      <c r="F1548" s="425">
        <v>16.7456</v>
      </c>
      <c r="G1548" s="425">
        <v>13.7458</v>
      </c>
      <c r="H1548" s="426">
        <v>29.2962</v>
      </c>
      <c r="I1548" s="426">
        <v>22.9098</v>
      </c>
      <c r="J1548" s="425">
        <v>19.9171</v>
      </c>
      <c r="K1548" s="182">
        <v>10886.8</v>
      </c>
      <c r="L1548" s="36"/>
      <c r="M1548" s="36"/>
      <c r="N1548" s="36"/>
      <c r="O1548" s="36"/>
      <c r="P1548" s="36"/>
      <c r="Q1548" s="36"/>
      <c r="R1548" s="36"/>
      <c r="S1548" s="36"/>
      <c r="T1548" s="36"/>
      <c r="U1548" s="36"/>
      <c r="V1548" s="36"/>
      <c r="W1548" s="36"/>
      <c r="X1548" s="36"/>
      <c r="Y1548" s="36"/>
      <c r="Z1548" s="36"/>
      <c r="AA1548" s="36"/>
      <c r="AB1548" s="36"/>
      <c r="AC1548" s="36"/>
    </row>
    <row r="1549" ht="15.75" customHeight="1">
      <c r="A1549" s="423">
        <v>43481.0</v>
      </c>
      <c r="B1549" s="424">
        <v>14.1561</v>
      </c>
      <c r="C1549" s="425">
        <v>17.4759</v>
      </c>
      <c r="D1549" s="426">
        <v>18.8374</v>
      </c>
      <c r="E1549" s="425">
        <v>14.0925</v>
      </c>
      <c r="F1549" s="425">
        <v>16.7591</v>
      </c>
      <c r="G1549" s="425">
        <v>13.7324</v>
      </c>
      <c r="H1549" s="426">
        <v>28.2809</v>
      </c>
      <c r="I1549" s="426">
        <v>22.2372</v>
      </c>
      <c r="J1549" s="425">
        <v>19.5515</v>
      </c>
      <c r="K1549" s="182">
        <v>10890.3</v>
      </c>
      <c r="L1549" s="36"/>
      <c r="M1549" s="36"/>
      <c r="N1549" s="36"/>
      <c r="O1549" s="36"/>
      <c r="P1549" s="36"/>
      <c r="Q1549" s="36"/>
      <c r="R1549" s="36"/>
      <c r="S1549" s="36"/>
      <c r="T1549" s="36"/>
      <c r="U1549" s="36"/>
      <c r="V1549" s="36"/>
      <c r="W1549" s="36"/>
      <c r="X1549" s="36"/>
      <c r="Y1549" s="36"/>
      <c r="Z1549" s="36"/>
      <c r="AA1549" s="36"/>
      <c r="AB1549" s="36"/>
      <c r="AC1549" s="36"/>
    </row>
    <row r="1550" ht="15.75" customHeight="1">
      <c r="A1550" s="423">
        <v>43481.0</v>
      </c>
      <c r="B1550" s="424">
        <v>14.1561</v>
      </c>
      <c r="C1550" s="425">
        <v>17.4759</v>
      </c>
      <c r="D1550" s="426">
        <v>18.832</v>
      </c>
      <c r="E1550" s="425">
        <v>14.0925</v>
      </c>
      <c r="F1550" s="425">
        <v>16.7591</v>
      </c>
      <c r="G1550" s="425">
        <v>13.7324</v>
      </c>
      <c r="H1550" s="426">
        <v>28.7001</v>
      </c>
      <c r="I1550" s="426">
        <v>22.4935</v>
      </c>
      <c r="J1550" s="425">
        <v>19.5515</v>
      </c>
      <c r="K1550" s="182">
        <v>10890.3</v>
      </c>
      <c r="L1550" s="36"/>
      <c r="M1550" s="36"/>
      <c r="N1550" s="36"/>
      <c r="O1550" s="36"/>
      <c r="P1550" s="36"/>
      <c r="Q1550" s="36"/>
      <c r="R1550" s="36"/>
      <c r="S1550" s="36"/>
      <c r="T1550" s="36"/>
      <c r="U1550" s="36"/>
      <c r="V1550" s="36"/>
      <c r="W1550" s="36"/>
      <c r="X1550" s="36"/>
      <c r="Y1550" s="36"/>
      <c r="Z1550" s="36"/>
      <c r="AA1550" s="36"/>
      <c r="AB1550" s="36"/>
      <c r="AC1550" s="36"/>
    </row>
    <row r="1551" ht="15.75" customHeight="1">
      <c r="A1551" s="423">
        <v>43481.0</v>
      </c>
      <c r="B1551" s="424">
        <v>14.1561</v>
      </c>
      <c r="C1551" s="425">
        <v>17.4913</v>
      </c>
      <c r="D1551" s="426">
        <v>18.8014</v>
      </c>
      <c r="E1551" s="425">
        <v>14.0925</v>
      </c>
      <c r="F1551" s="425">
        <v>16.7591</v>
      </c>
      <c r="G1551" s="425">
        <v>13.7324</v>
      </c>
      <c r="H1551" s="426">
        <v>28.8544</v>
      </c>
      <c r="I1551" s="426">
        <v>22.5875</v>
      </c>
      <c r="J1551" s="425">
        <v>19.8179</v>
      </c>
      <c r="K1551" s="182">
        <v>10890.3</v>
      </c>
      <c r="L1551" s="36"/>
      <c r="M1551" s="36"/>
      <c r="N1551" s="36"/>
      <c r="O1551" s="36"/>
      <c r="P1551" s="36"/>
      <c r="Q1551" s="36"/>
      <c r="R1551" s="36"/>
      <c r="S1551" s="36"/>
      <c r="T1551" s="36"/>
      <c r="U1551" s="36"/>
      <c r="V1551" s="36"/>
      <c r="W1551" s="36"/>
      <c r="X1551" s="36"/>
      <c r="Y1551" s="36"/>
      <c r="Z1551" s="36"/>
      <c r="AA1551" s="36"/>
      <c r="AB1551" s="36"/>
      <c r="AC1551" s="36"/>
    </row>
    <row r="1552" ht="15.75" customHeight="1">
      <c r="A1552" s="423">
        <v>43481.0</v>
      </c>
      <c r="B1552" s="424">
        <v>14.1561</v>
      </c>
      <c r="C1552" s="425">
        <v>17.4913</v>
      </c>
      <c r="D1552" s="426">
        <v>18.8073</v>
      </c>
      <c r="E1552" s="425">
        <v>14.0925</v>
      </c>
      <c r="F1552" s="425">
        <v>16.7591</v>
      </c>
      <c r="G1552" s="425">
        <v>13.7324</v>
      </c>
      <c r="H1552" s="426">
        <v>29.1748</v>
      </c>
      <c r="I1552" s="426">
        <v>22.7701</v>
      </c>
      <c r="J1552" s="425">
        <v>19.8179</v>
      </c>
      <c r="K1552" s="182">
        <v>10890.3</v>
      </c>
      <c r="L1552" s="36"/>
      <c r="M1552" s="36"/>
      <c r="N1552" s="36"/>
      <c r="O1552" s="36"/>
      <c r="P1552" s="36"/>
      <c r="Q1552" s="36"/>
      <c r="R1552" s="36"/>
      <c r="S1552" s="36"/>
      <c r="T1552" s="36"/>
      <c r="U1552" s="36"/>
      <c r="V1552" s="36"/>
      <c r="W1552" s="36"/>
      <c r="X1552" s="36"/>
      <c r="Y1552" s="36"/>
      <c r="Z1552" s="36"/>
      <c r="AA1552" s="36"/>
      <c r="AB1552" s="36"/>
      <c r="AC1552" s="36"/>
    </row>
    <row r="1553" ht="15.75" customHeight="1">
      <c r="A1553" s="423">
        <v>43482.0</v>
      </c>
      <c r="B1553" s="424">
        <v>14.1695</v>
      </c>
      <c r="C1553" s="425">
        <v>17.4946</v>
      </c>
      <c r="D1553" s="426">
        <v>18.8669</v>
      </c>
      <c r="E1553" s="425">
        <v>14.0993</v>
      </c>
      <c r="F1553" s="425">
        <v>16.7682</v>
      </c>
      <c r="G1553" s="425">
        <v>13.7295</v>
      </c>
      <c r="H1553" s="426">
        <v>27.5623</v>
      </c>
      <c r="I1553" s="426">
        <v>21.9403</v>
      </c>
      <c r="J1553" s="425">
        <v>19.9153</v>
      </c>
      <c r="K1553" s="182">
        <v>10905.2</v>
      </c>
      <c r="L1553" s="36"/>
      <c r="M1553" s="36"/>
      <c r="N1553" s="36"/>
      <c r="O1553" s="36"/>
      <c r="P1553" s="36"/>
      <c r="Q1553" s="36"/>
      <c r="R1553" s="36"/>
      <c r="S1553" s="36"/>
      <c r="T1553" s="36"/>
      <c r="U1553" s="36"/>
      <c r="V1553" s="36"/>
      <c r="W1553" s="36"/>
      <c r="X1553" s="36"/>
      <c r="Y1553" s="36"/>
      <c r="Z1553" s="36"/>
      <c r="AA1553" s="36"/>
      <c r="AB1553" s="36"/>
      <c r="AC1553" s="36"/>
    </row>
    <row r="1554" ht="15.75" customHeight="1">
      <c r="A1554" s="423">
        <v>43482.0</v>
      </c>
      <c r="B1554" s="424">
        <v>14.1695</v>
      </c>
      <c r="C1554" s="425">
        <v>17.4946</v>
      </c>
      <c r="D1554" s="426">
        <v>18.8268</v>
      </c>
      <c r="E1554" s="425">
        <v>14.0993</v>
      </c>
      <c r="F1554" s="425">
        <v>16.7682</v>
      </c>
      <c r="G1554" s="425">
        <v>13.7295</v>
      </c>
      <c r="H1554" s="426">
        <v>28.0486</v>
      </c>
      <c r="I1554" s="426">
        <v>22.0933</v>
      </c>
      <c r="J1554" s="425">
        <v>19.9153</v>
      </c>
      <c r="K1554" s="182">
        <v>10905.2</v>
      </c>
      <c r="L1554" s="36"/>
      <c r="M1554" s="36"/>
      <c r="N1554" s="36"/>
      <c r="O1554" s="36"/>
      <c r="P1554" s="36"/>
      <c r="Q1554" s="36"/>
      <c r="R1554" s="36"/>
      <c r="S1554" s="36"/>
      <c r="T1554" s="36"/>
      <c r="U1554" s="36"/>
      <c r="V1554" s="36"/>
      <c r="W1554" s="36"/>
      <c r="X1554" s="36"/>
      <c r="Y1554" s="36"/>
      <c r="Z1554" s="36"/>
      <c r="AA1554" s="36"/>
      <c r="AB1554" s="36"/>
      <c r="AC1554" s="36"/>
    </row>
    <row r="1555" ht="15.75" customHeight="1">
      <c r="A1555" s="423">
        <v>43482.0</v>
      </c>
      <c r="B1555" s="424">
        <v>14.1695</v>
      </c>
      <c r="C1555" s="425">
        <v>17.474</v>
      </c>
      <c r="D1555" s="426">
        <v>18.7944</v>
      </c>
      <c r="E1555" s="425">
        <v>14.0993</v>
      </c>
      <c r="F1555" s="425">
        <v>16.7682</v>
      </c>
      <c r="G1555" s="425">
        <v>13.7295</v>
      </c>
      <c r="H1555" s="426">
        <v>27.9465</v>
      </c>
      <c r="I1555" s="426">
        <v>22.092</v>
      </c>
      <c r="J1555" s="425">
        <v>19.6375</v>
      </c>
      <c r="K1555" s="182">
        <v>10905.2</v>
      </c>
      <c r="L1555" s="36"/>
      <c r="M1555" s="36"/>
      <c r="N1555" s="36"/>
      <c r="O1555" s="36"/>
      <c r="P1555" s="36"/>
      <c r="Q1555" s="36"/>
      <c r="R1555" s="36"/>
      <c r="S1555" s="36"/>
      <c r="T1555" s="36"/>
      <c r="U1555" s="36"/>
      <c r="V1555" s="36"/>
      <c r="W1555" s="36"/>
      <c r="X1555" s="36"/>
      <c r="Y1555" s="36"/>
      <c r="Z1555" s="36"/>
      <c r="AA1555" s="36"/>
      <c r="AB1555" s="36"/>
      <c r="AC1555" s="36"/>
    </row>
    <row r="1556" ht="15.75" customHeight="1">
      <c r="A1556" s="423">
        <v>43482.0</v>
      </c>
      <c r="B1556" s="424">
        <v>14.1695</v>
      </c>
      <c r="C1556" s="425">
        <v>17.474</v>
      </c>
      <c r="D1556" s="426">
        <v>18.8012</v>
      </c>
      <c r="E1556" s="425">
        <v>14.0993</v>
      </c>
      <c r="F1556" s="425">
        <v>16.7682</v>
      </c>
      <c r="G1556" s="425">
        <v>13.7295</v>
      </c>
      <c r="H1556" s="426">
        <v>27.8374</v>
      </c>
      <c r="I1556" s="426">
        <v>21.9309</v>
      </c>
      <c r="J1556" s="425">
        <v>19.6375</v>
      </c>
      <c r="K1556" s="182">
        <v>10905.2</v>
      </c>
      <c r="L1556" s="36"/>
      <c r="M1556" s="36"/>
      <c r="N1556" s="36"/>
      <c r="O1556" s="36"/>
      <c r="P1556" s="36"/>
      <c r="Q1556" s="36"/>
      <c r="R1556" s="36"/>
      <c r="S1556" s="36"/>
      <c r="T1556" s="36"/>
      <c r="U1556" s="36"/>
      <c r="V1556" s="36"/>
      <c r="W1556" s="36"/>
      <c r="X1556" s="36"/>
      <c r="Y1556" s="36"/>
      <c r="Z1556" s="36"/>
      <c r="AA1556" s="36"/>
      <c r="AB1556" s="36"/>
      <c r="AC1556" s="36"/>
    </row>
    <row r="1557" ht="15.75" customHeight="1">
      <c r="A1557" s="423">
        <v>43483.0</v>
      </c>
      <c r="B1557" s="424">
        <v>14.1804</v>
      </c>
      <c r="C1557" s="425">
        <v>17.5012</v>
      </c>
      <c r="D1557" s="426">
        <v>18.8788</v>
      </c>
      <c r="E1557" s="425">
        <v>14.0767</v>
      </c>
      <c r="F1557" s="425">
        <v>16.7718</v>
      </c>
      <c r="G1557" s="425">
        <v>13.7327</v>
      </c>
      <c r="H1557" s="426">
        <v>27.1226</v>
      </c>
      <c r="I1557" s="426">
        <v>21.6349</v>
      </c>
      <c r="J1557" s="425">
        <v>20.0308</v>
      </c>
      <c r="K1557" s="182">
        <v>10906.95</v>
      </c>
      <c r="L1557" s="36"/>
      <c r="M1557" s="36"/>
      <c r="N1557" s="36"/>
      <c r="O1557" s="36"/>
      <c r="P1557" s="36"/>
      <c r="Q1557" s="36"/>
      <c r="R1557" s="36"/>
      <c r="S1557" s="36"/>
      <c r="T1557" s="36"/>
      <c r="U1557" s="36"/>
      <c r="V1557" s="36"/>
      <c r="W1557" s="36"/>
      <c r="X1557" s="36"/>
      <c r="Y1557" s="36"/>
      <c r="Z1557" s="36"/>
      <c r="AA1557" s="36"/>
      <c r="AB1557" s="36"/>
      <c r="AC1557" s="36"/>
    </row>
    <row r="1558" ht="15.75" customHeight="1">
      <c r="A1558" s="423">
        <v>43483.0</v>
      </c>
      <c r="B1558" s="424">
        <v>14.1804</v>
      </c>
      <c r="C1558" s="425">
        <v>17.5012</v>
      </c>
      <c r="D1558" s="426">
        <v>18.9154</v>
      </c>
      <c r="E1558" s="425">
        <v>14.0767</v>
      </c>
      <c r="F1558" s="425">
        <v>16.7718</v>
      </c>
      <c r="G1558" s="425">
        <v>13.7327</v>
      </c>
      <c r="H1558" s="426">
        <v>27.3925</v>
      </c>
      <c r="I1558" s="426">
        <v>21.8943</v>
      </c>
      <c r="J1558" s="425">
        <v>20.0308</v>
      </c>
      <c r="K1558" s="182">
        <v>10906.95</v>
      </c>
      <c r="L1558" s="36"/>
      <c r="M1558" s="36"/>
      <c r="N1558" s="36"/>
      <c r="O1558" s="36"/>
      <c r="P1558" s="36"/>
      <c r="Q1558" s="36"/>
      <c r="R1558" s="36"/>
      <c r="S1558" s="36"/>
      <c r="T1558" s="36"/>
      <c r="U1558" s="36"/>
      <c r="V1558" s="36"/>
      <c r="W1558" s="36"/>
      <c r="X1558" s="36"/>
      <c r="Y1558" s="36"/>
      <c r="Z1558" s="36"/>
      <c r="AA1558" s="36"/>
      <c r="AB1558" s="36"/>
      <c r="AC1558" s="36"/>
    </row>
    <row r="1559" ht="15.75" customHeight="1">
      <c r="A1559" s="423">
        <v>43483.0</v>
      </c>
      <c r="B1559" s="424">
        <v>14.1804</v>
      </c>
      <c r="C1559" s="425">
        <v>17.4998</v>
      </c>
      <c r="D1559" s="426">
        <v>18.8905</v>
      </c>
      <c r="E1559" s="425">
        <v>14.0767</v>
      </c>
      <c r="F1559" s="425">
        <v>16.7718</v>
      </c>
      <c r="G1559" s="425">
        <v>13.7327</v>
      </c>
      <c r="H1559" s="426">
        <v>27.2649</v>
      </c>
      <c r="I1559" s="426">
        <v>21.8191</v>
      </c>
      <c r="J1559" s="425">
        <v>20.0005</v>
      </c>
      <c r="K1559" s="182">
        <v>10906.95</v>
      </c>
      <c r="L1559" s="36"/>
      <c r="M1559" s="36"/>
      <c r="N1559" s="36"/>
      <c r="O1559" s="36"/>
      <c r="P1559" s="36"/>
      <c r="Q1559" s="36"/>
      <c r="R1559" s="36"/>
      <c r="S1559" s="36"/>
      <c r="T1559" s="36"/>
      <c r="U1559" s="36"/>
      <c r="V1559" s="36"/>
      <c r="W1559" s="36"/>
      <c r="X1559" s="36"/>
      <c r="Y1559" s="36"/>
      <c r="Z1559" s="36"/>
      <c r="AA1559" s="36"/>
      <c r="AB1559" s="36"/>
      <c r="AC1559" s="36"/>
    </row>
    <row r="1560" ht="15.75" customHeight="1">
      <c r="A1560" s="423">
        <v>43483.0</v>
      </c>
      <c r="B1560" s="424">
        <v>14.1804</v>
      </c>
      <c r="C1560" s="425">
        <v>17.4998</v>
      </c>
      <c r="D1560" s="426">
        <v>18.884</v>
      </c>
      <c r="E1560" s="425">
        <v>14.0767</v>
      </c>
      <c r="F1560" s="425">
        <v>16.7718</v>
      </c>
      <c r="G1560" s="425">
        <v>13.7327</v>
      </c>
      <c r="H1560" s="426">
        <v>27.2663</v>
      </c>
      <c r="I1560" s="426">
        <v>21.8205</v>
      </c>
      <c r="J1560" s="425">
        <v>20.0005</v>
      </c>
      <c r="K1560" s="182">
        <v>10906.95</v>
      </c>
      <c r="L1560" s="36"/>
      <c r="M1560" s="36"/>
      <c r="N1560" s="36"/>
      <c r="O1560" s="36"/>
      <c r="P1560" s="36"/>
      <c r="Q1560" s="36"/>
      <c r="R1560" s="36"/>
      <c r="S1560" s="36"/>
      <c r="T1560" s="36"/>
      <c r="U1560" s="36"/>
      <c r="V1560" s="36"/>
      <c r="W1560" s="36"/>
      <c r="X1560" s="36"/>
      <c r="Y1560" s="36"/>
      <c r="Z1560" s="36"/>
      <c r="AA1560" s="36"/>
      <c r="AB1560" s="36"/>
      <c r="AC1560" s="36"/>
    </row>
    <row r="1561" ht="15.75" customHeight="1">
      <c r="A1561" s="423">
        <v>43486.0</v>
      </c>
      <c r="B1561" s="424">
        <v>14.2503</v>
      </c>
      <c r="C1561" s="425">
        <v>17.5209</v>
      </c>
      <c r="D1561" s="426">
        <v>18.8939</v>
      </c>
      <c r="E1561" s="425">
        <v>14.0887</v>
      </c>
      <c r="F1561" s="425">
        <v>16.8463</v>
      </c>
      <c r="G1561" s="425">
        <v>13.7275</v>
      </c>
      <c r="H1561" s="426">
        <v>25.681</v>
      </c>
      <c r="I1561" s="426">
        <v>20.6628</v>
      </c>
      <c r="J1561" s="425">
        <v>20.1842</v>
      </c>
      <c r="K1561" s="182">
        <v>10961.85</v>
      </c>
      <c r="L1561" s="36"/>
      <c r="M1561" s="36"/>
      <c r="N1561" s="36"/>
      <c r="O1561" s="36"/>
      <c r="P1561" s="36"/>
      <c r="Q1561" s="36"/>
      <c r="R1561" s="36"/>
      <c r="S1561" s="36"/>
      <c r="T1561" s="36"/>
      <c r="U1561" s="36"/>
      <c r="V1561" s="36"/>
      <c r="W1561" s="36"/>
      <c r="X1561" s="36"/>
      <c r="Y1561" s="36"/>
      <c r="Z1561" s="36"/>
      <c r="AA1561" s="36"/>
      <c r="AB1561" s="36"/>
      <c r="AC1561" s="36"/>
    </row>
    <row r="1562" ht="15.75" customHeight="1">
      <c r="A1562" s="423">
        <v>43486.0</v>
      </c>
      <c r="B1562" s="424">
        <v>14.2503</v>
      </c>
      <c r="C1562" s="425">
        <v>17.5209</v>
      </c>
      <c r="D1562" s="426">
        <v>18.9338</v>
      </c>
      <c r="E1562" s="425">
        <v>14.0887</v>
      </c>
      <c r="F1562" s="425">
        <v>16.8463</v>
      </c>
      <c r="G1562" s="425">
        <v>13.7275</v>
      </c>
      <c r="H1562" s="426">
        <v>25.7888</v>
      </c>
      <c r="I1562" s="426">
        <v>20.7585</v>
      </c>
      <c r="J1562" s="425">
        <v>20.1842</v>
      </c>
      <c r="K1562" s="182">
        <v>10961.85</v>
      </c>
      <c r="L1562" s="36"/>
      <c r="M1562" s="36"/>
      <c r="N1562" s="36"/>
      <c r="O1562" s="36"/>
      <c r="P1562" s="36"/>
      <c r="Q1562" s="36"/>
      <c r="R1562" s="36"/>
      <c r="S1562" s="36"/>
      <c r="T1562" s="36"/>
      <c r="U1562" s="36"/>
      <c r="V1562" s="36"/>
      <c r="W1562" s="36"/>
      <c r="X1562" s="36"/>
      <c r="Y1562" s="36"/>
      <c r="Z1562" s="36"/>
      <c r="AA1562" s="36"/>
      <c r="AB1562" s="36"/>
      <c r="AC1562" s="36"/>
    </row>
    <row r="1563" ht="15.75" customHeight="1">
      <c r="A1563" s="423">
        <v>43486.0</v>
      </c>
      <c r="B1563" s="424">
        <v>14.2503</v>
      </c>
      <c r="C1563" s="425">
        <v>17.5105</v>
      </c>
      <c r="D1563" s="426">
        <v>18.9072</v>
      </c>
      <c r="E1563" s="425">
        <v>14.0887</v>
      </c>
      <c r="F1563" s="425">
        <v>16.8463</v>
      </c>
      <c r="G1563" s="425">
        <v>13.7275</v>
      </c>
      <c r="H1563" s="426">
        <v>26.0912</v>
      </c>
      <c r="I1563" s="426">
        <v>20.7023</v>
      </c>
      <c r="J1563" s="425">
        <v>20.1284</v>
      </c>
      <c r="K1563" s="182">
        <v>10961.85</v>
      </c>
      <c r="L1563" s="36"/>
      <c r="M1563" s="36"/>
      <c r="N1563" s="36"/>
      <c r="O1563" s="36"/>
      <c r="P1563" s="36"/>
      <c r="Q1563" s="36"/>
      <c r="R1563" s="36"/>
      <c r="S1563" s="36"/>
      <c r="T1563" s="36"/>
      <c r="U1563" s="36"/>
      <c r="V1563" s="36"/>
      <c r="W1563" s="36"/>
      <c r="X1563" s="36"/>
      <c r="Y1563" s="36"/>
      <c r="Z1563" s="36"/>
      <c r="AA1563" s="36"/>
      <c r="AB1563" s="36"/>
      <c r="AC1563" s="36"/>
    </row>
    <row r="1564" ht="15.75" customHeight="1">
      <c r="A1564" s="423">
        <v>43486.0</v>
      </c>
      <c r="B1564" s="424">
        <v>14.2503</v>
      </c>
      <c r="C1564" s="425">
        <v>17.5105</v>
      </c>
      <c r="D1564" s="426">
        <v>18.8317</v>
      </c>
      <c r="E1564" s="425">
        <v>14.0887</v>
      </c>
      <c r="F1564" s="425">
        <v>16.8463</v>
      </c>
      <c r="G1564" s="425">
        <v>13.7275</v>
      </c>
      <c r="H1564" s="426">
        <v>26.7065</v>
      </c>
      <c r="I1564" s="426">
        <v>21.1765</v>
      </c>
      <c r="J1564" s="425">
        <v>20.1284</v>
      </c>
      <c r="K1564" s="182">
        <v>10961.85</v>
      </c>
      <c r="L1564" s="36"/>
      <c r="M1564" s="36"/>
      <c r="N1564" s="36"/>
      <c r="O1564" s="36"/>
      <c r="P1564" s="36"/>
      <c r="Q1564" s="36"/>
      <c r="R1564" s="36"/>
      <c r="S1564" s="36"/>
      <c r="T1564" s="36"/>
      <c r="U1564" s="36"/>
      <c r="V1564" s="36"/>
      <c r="W1564" s="36"/>
      <c r="X1564" s="36"/>
      <c r="Y1564" s="36"/>
      <c r="Z1564" s="36"/>
      <c r="AA1564" s="36"/>
      <c r="AB1564" s="36"/>
      <c r="AC1564" s="36"/>
    </row>
    <row r="1565" ht="15.75" customHeight="1">
      <c r="A1565" s="423">
        <v>43487.0</v>
      </c>
      <c r="B1565" s="424">
        <v>14.2189</v>
      </c>
      <c r="C1565" s="425">
        <v>17.5542</v>
      </c>
      <c r="D1565" s="426">
        <v>18.9839</v>
      </c>
      <c r="E1565" s="425">
        <v>14.1135</v>
      </c>
      <c r="F1565" s="425">
        <v>16.7984</v>
      </c>
      <c r="G1565" s="425">
        <v>13.7425</v>
      </c>
      <c r="H1565" s="426">
        <v>26.6208</v>
      </c>
      <c r="I1565" s="426">
        <v>21.1303</v>
      </c>
      <c r="J1565" s="425">
        <v>20.2739</v>
      </c>
      <c r="K1565" s="182">
        <v>10922.75</v>
      </c>
      <c r="L1565" s="36"/>
      <c r="M1565" s="36"/>
      <c r="N1565" s="36"/>
      <c r="O1565" s="36"/>
      <c r="P1565" s="36"/>
      <c r="Q1565" s="36"/>
      <c r="R1565" s="36"/>
      <c r="S1565" s="36"/>
      <c r="T1565" s="36"/>
      <c r="U1565" s="36"/>
      <c r="V1565" s="36"/>
      <c r="W1565" s="36"/>
      <c r="X1565" s="36"/>
      <c r="Y1565" s="36"/>
      <c r="Z1565" s="36"/>
      <c r="AA1565" s="36"/>
      <c r="AB1565" s="36"/>
      <c r="AC1565" s="36"/>
    </row>
    <row r="1566" ht="15.75" customHeight="1">
      <c r="A1566" s="423">
        <v>43487.0</v>
      </c>
      <c r="B1566" s="424">
        <v>14.2189</v>
      </c>
      <c r="C1566" s="425">
        <v>17.5542</v>
      </c>
      <c r="D1566" s="426">
        <v>18.9385</v>
      </c>
      <c r="E1566" s="425">
        <v>14.1135</v>
      </c>
      <c r="F1566" s="425">
        <v>16.7984</v>
      </c>
      <c r="G1566" s="425">
        <v>13.7425</v>
      </c>
      <c r="H1566" s="426">
        <v>26.5017</v>
      </c>
      <c r="I1566" s="426">
        <v>21.0641</v>
      </c>
      <c r="J1566" s="425">
        <v>20.2739</v>
      </c>
      <c r="K1566" s="182">
        <v>10922.75</v>
      </c>
      <c r="L1566" s="36"/>
      <c r="M1566" s="36"/>
      <c r="N1566" s="36"/>
      <c r="O1566" s="36"/>
      <c r="P1566" s="36"/>
      <c r="Q1566" s="36"/>
      <c r="R1566" s="36"/>
      <c r="S1566" s="36"/>
      <c r="T1566" s="36"/>
      <c r="U1566" s="36"/>
      <c r="V1566" s="36"/>
      <c r="W1566" s="36"/>
      <c r="X1566" s="36"/>
      <c r="Y1566" s="36"/>
      <c r="Z1566" s="36"/>
      <c r="AA1566" s="36"/>
      <c r="AB1566" s="36"/>
      <c r="AC1566" s="36"/>
    </row>
    <row r="1567" ht="15.75" customHeight="1">
      <c r="A1567" s="423">
        <v>43487.0</v>
      </c>
      <c r="B1567" s="424">
        <v>14.2189</v>
      </c>
      <c r="C1567" s="425">
        <v>17.5459</v>
      </c>
      <c r="D1567" s="426">
        <v>18.9241</v>
      </c>
      <c r="E1567" s="425">
        <v>14.1135</v>
      </c>
      <c r="F1567" s="425">
        <v>16.7984</v>
      </c>
      <c r="G1567" s="425">
        <v>13.7425</v>
      </c>
      <c r="H1567" s="426">
        <v>25.9929</v>
      </c>
      <c r="I1567" s="426">
        <v>20.6345</v>
      </c>
      <c r="J1567" s="425">
        <v>20.2859</v>
      </c>
      <c r="K1567" s="182">
        <v>10922.75</v>
      </c>
      <c r="L1567" s="36"/>
      <c r="M1567" s="36"/>
      <c r="N1567" s="36"/>
      <c r="O1567" s="36"/>
      <c r="P1567" s="36"/>
      <c r="Q1567" s="36"/>
      <c r="R1567" s="36"/>
      <c r="S1567" s="36"/>
      <c r="T1567" s="36"/>
      <c r="U1567" s="36"/>
      <c r="V1567" s="36"/>
      <c r="W1567" s="36"/>
      <c r="X1567" s="36"/>
      <c r="Y1567" s="36"/>
      <c r="Z1567" s="36"/>
      <c r="AA1567" s="36"/>
      <c r="AB1567" s="36"/>
      <c r="AC1567" s="36"/>
    </row>
    <row r="1568" ht="15.75" customHeight="1">
      <c r="A1568" s="423">
        <v>43487.0</v>
      </c>
      <c r="B1568" s="424">
        <v>14.2189</v>
      </c>
      <c r="C1568" s="425">
        <v>17.5459</v>
      </c>
      <c r="D1568" s="426">
        <v>18.9127</v>
      </c>
      <c r="E1568" s="425">
        <v>14.1135</v>
      </c>
      <c r="F1568" s="425">
        <v>16.7984</v>
      </c>
      <c r="G1568" s="425">
        <v>13.7425</v>
      </c>
      <c r="H1568" s="426">
        <v>26.5232</v>
      </c>
      <c r="I1568" s="426">
        <v>21.0071</v>
      </c>
      <c r="J1568" s="425">
        <v>20.2859</v>
      </c>
      <c r="K1568" s="182">
        <v>10922.75</v>
      </c>
      <c r="L1568" s="36"/>
      <c r="M1568" s="36"/>
      <c r="N1568" s="36"/>
      <c r="O1568" s="36"/>
      <c r="P1568" s="36"/>
      <c r="Q1568" s="36"/>
      <c r="R1568" s="36"/>
      <c r="S1568" s="36"/>
      <c r="T1568" s="36"/>
      <c r="U1568" s="36"/>
      <c r="V1568" s="36"/>
      <c r="W1568" s="36"/>
      <c r="X1568" s="36"/>
      <c r="Y1568" s="36"/>
      <c r="Z1568" s="36"/>
      <c r="AA1568" s="36"/>
      <c r="AB1568" s="36"/>
      <c r="AC1568" s="36"/>
    </row>
    <row r="1569" ht="15.75" customHeight="1">
      <c r="A1569" s="423">
        <v>43488.0</v>
      </c>
      <c r="B1569" s="424">
        <v>14.1151</v>
      </c>
      <c r="C1569" s="425">
        <v>17.5613</v>
      </c>
      <c r="D1569" s="426">
        <v>19.0214</v>
      </c>
      <c r="E1569" s="425">
        <v>14.0949</v>
      </c>
      <c r="F1569" s="425">
        <v>16.6766</v>
      </c>
      <c r="G1569" s="425">
        <v>13.7425</v>
      </c>
      <c r="H1569" s="426">
        <v>25.8457</v>
      </c>
      <c r="I1569" s="426">
        <v>20.7097</v>
      </c>
      <c r="J1569" s="425">
        <v>19.9258</v>
      </c>
      <c r="K1569" s="182">
        <v>10831.5</v>
      </c>
      <c r="L1569" s="36"/>
      <c r="M1569" s="36"/>
      <c r="N1569" s="36"/>
      <c r="O1569" s="36"/>
      <c r="P1569" s="36"/>
      <c r="Q1569" s="36"/>
      <c r="R1569" s="36"/>
      <c r="S1569" s="36"/>
      <c r="T1569" s="36"/>
      <c r="U1569" s="36"/>
      <c r="V1569" s="36"/>
      <c r="W1569" s="36"/>
      <c r="X1569" s="36"/>
      <c r="Y1569" s="36"/>
      <c r="Z1569" s="36"/>
      <c r="AA1569" s="36"/>
      <c r="AB1569" s="36"/>
      <c r="AC1569" s="36"/>
    </row>
    <row r="1570" ht="15.75" customHeight="1">
      <c r="A1570" s="423">
        <v>43488.0</v>
      </c>
      <c r="B1570" s="424">
        <v>14.1151</v>
      </c>
      <c r="C1570" s="425">
        <v>17.5613</v>
      </c>
      <c r="D1570" s="426">
        <v>19.0079</v>
      </c>
      <c r="E1570" s="425">
        <v>14.0949</v>
      </c>
      <c r="F1570" s="425">
        <v>16.6766</v>
      </c>
      <c r="G1570" s="425">
        <v>13.7425</v>
      </c>
      <c r="H1570" s="426">
        <v>26.1129</v>
      </c>
      <c r="I1570" s="426">
        <v>20.807</v>
      </c>
      <c r="J1570" s="425">
        <v>19.9258</v>
      </c>
      <c r="K1570" s="182">
        <v>10831.5</v>
      </c>
      <c r="L1570" s="36"/>
      <c r="M1570" s="36"/>
      <c r="N1570" s="36"/>
      <c r="O1570" s="36"/>
      <c r="P1570" s="36"/>
      <c r="Q1570" s="36"/>
      <c r="R1570" s="36"/>
      <c r="S1570" s="36"/>
      <c r="T1570" s="36"/>
      <c r="U1570" s="36"/>
      <c r="V1570" s="36"/>
      <c r="W1570" s="36"/>
      <c r="X1570" s="36"/>
      <c r="Y1570" s="36"/>
      <c r="Z1570" s="36"/>
      <c r="AA1570" s="36"/>
      <c r="AB1570" s="36"/>
      <c r="AC1570" s="36"/>
    </row>
    <row r="1571" ht="15.75" customHeight="1">
      <c r="A1571" s="423">
        <v>43488.0</v>
      </c>
      <c r="B1571" s="424">
        <v>14.1151</v>
      </c>
      <c r="C1571" s="425">
        <v>17.5558</v>
      </c>
      <c r="D1571" s="426">
        <v>18.9892</v>
      </c>
      <c r="E1571" s="425">
        <v>14.0949</v>
      </c>
      <c r="F1571" s="425">
        <v>16.6766</v>
      </c>
      <c r="G1571" s="425">
        <v>13.7425</v>
      </c>
      <c r="H1571" s="426">
        <v>26.37</v>
      </c>
      <c r="I1571" s="426">
        <v>21.0118</v>
      </c>
      <c r="J1571" s="425">
        <v>20.0365</v>
      </c>
      <c r="K1571" s="182">
        <v>10831.5</v>
      </c>
      <c r="L1571" s="36"/>
      <c r="M1571" s="36"/>
      <c r="N1571" s="36"/>
      <c r="O1571" s="36"/>
      <c r="P1571" s="36"/>
      <c r="Q1571" s="36"/>
      <c r="R1571" s="36"/>
      <c r="S1571" s="36"/>
      <c r="T1571" s="36"/>
      <c r="U1571" s="36"/>
      <c r="V1571" s="36"/>
      <c r="W1571" s="36"/>
      <c r="X1571" s="36"/>
      <c r="Y1571" s="36"/>
      <c r="Z1571" s="36"/>
      <c r="AA1571" s="36"/>
      <c r="AB1571" s="36"/>
      <c r="AC1571" s="36"/>
    </row>
    <row r="1572" ht="15.75" customHeight="1">
      <c r="A1572" s="423">
        <v>43488.0</v>
      </c>
      <c r="B1572" s="424">
        <v>14.1151</v>
      </c>
      <c r="C1572" s="425">
        <v>17.5558</v>
      </c>
      <c r="D1572" s="426">
        <v>19.0083</v>
      </c>
      <c r="E1572" s="425">
        <v>14.0949</v>
      </c>
      <c r="F1572" s="425">
        <v>16.6766</v>
      </c>
      <c r="G1572" s="425">
        <v>13.7425</v>
      </c>
      <c r="H1572" s="426">
        <v>26.8965</v>
      </c>
      <c r="I1572" s="426">
        <v>21.2606</v>
      </c>
      <c r="J1572" s="425">
        <v>20.0365</v>
      </c>
      <c r="K1572" s="182">
        <v>10831.5</v>
      </c>
      <c r="L1572" s="36"/>
      <c r="M1572" s="36"/>
      <c r="N1572" s="36"/>
      <c r="O1572" s="36"/>
      <c r="P1572" s="36"/>
      <c r="Q1572" s="36"/>
      <c r="R1572" s="36"/>
      <c r="S1572" s="36"/>
      <c r="T1572" s="36"/>
      <c r="U1572" s="36"/>
      <c r="V1572" s="36"/>
      <c r="W1572" s="36"/>
      <c r="X1572" s="36"/>
      <c r="Y1572" s="36"/>
      <c r="Z1572" s="36"/>
      <c r="AA1572" s="36"/>
      <c r="AB1572" s="36"/>
      <c r="AC1572" s="36"/>
    </row>
    <row r="1573" ht="15.75" customHeight="1">
      <c r="A1573" s="423">
        <v>43489.0</v>
      </c>
      <c r="B1573" s="424">
        <v>14.1435</v>
      </c>
      <c r="C1573" s="425">
        <v>17.5828</v>
      </c>
      <c r="D1573" s="426">
        <v>19.0526</v>
      </c>
      <c r="E1573" s="425">
        <v>14.1012</v>
      </c>
      <c r="F1573" s="425">
        <v>16.6923</v>
      </c>
      <c r="G1573" s="425">
        <v>13.7476</v>
      </c>
      <c r="H1573" s="426">
        <v>25.772</v>
      </c>
      <c r="I1573" s="426">
        <v>20.2893</v>
      </c>
      <c r="J1573" s="425">
        <v>20.0627</v>
      </c>
      <c r="K1573" s="182">
        <v>10849.8</v>
      </c>
      <c r="L1573" s="36"/>
      <c r="M1573" s="36"/>
      <c r="N1573" s="36"/>
      <c r="O1573" s="36"/>
      <c r="P1573" s="36"/>
      <c r="Q1573" s="36"/>
      <c r="R1573" s="36"/>
      <c r="S1573" s="36"/>
      <c r="T1573" s="36"/>
      <c r="U1573" s="36"/>
      <c r="V1573" s="36"/>
      <c r="W1573" s="36"/>
      <c r="X1573" s="36"/>
      <c r="Y1573" s="36"/>
      <c r="Z1573" s="36"/>
      <c r="AA1573" s="36"/>
      <c r="AB1573" s="36"/>
      <c r="AC1573" s="36"/>
    </row>
    <row r="1574" ht="15.75" customHeight="1">
      <c r="A1574" s="423">
        <v>43489.0</v>
      </c>
      <c r="B1574" s="424">
        <v>14.1435</v>
      </c>
      <c r="C1574" s="425">
        <v>17.5828</v>
      </c>
      <c r="D1574" s="426">
        <v>19.0536</v>
      </c>
      <c r="E1574" s="425">
        <v>14.1012</v>
      </c>
      <c r="F1574" s="425">
        <v>16.6923</v>
      </c>
      <c r="G1574" s="425">
        <v>13.7476</v>
      </c>
      <c r="H1574" s="426">
        <v>25.8019</v>
      </c>
      <c r="I1574" s="426">
        <v>20.4746</v>
      </c>
      <c r="J1574" s="425">
        <v>20.0627</v>
      </c>
      <c r="K1574" s="182">
        <v>10849.8</v>
      </c>
      <c r="L1574" s="36"/>
      <c r="M1574" s="36"/>
      <c r="N1574" s="36"/>
      <c r="O1574" s="36"/>
      <c r="P1574" s="36"/>
      <c r="Q1574" s="36"/>
      <c r="R1574" s="36"/>
      <c r="S1574" s="36"/>
      <c r="T1574" s="36"/>
      <c r="U1574" s="36"/>
      <c r="V1574" s="36"/>
      <c r="W1574" s="36"/>
      <c r="X1574" s="36"/>
      <c r="Y1574" s="36"/>
      <c r="Z1574" s="36"/>
      <c r="AA1574" s="36"/>
      <c r="AB1574" s="36"/>
      <c r="AC1574" s="36"/>
    </row>
    <row r="1575" ht="15.75" customHeight="1">
      <c r="A1575" s="423">
        <v>43489.0</v>
      </c>
      <c r="B1575" s="424">
        <v>14.1435</v>
      </c>
      <c r="C1575" s="425">
        <v>17.5742</v>
      </c>
      <c r="D1575" s="426">
        <v>19.0484</v>
      </c>
      <c r="E1575" s="425">
        <v>14.1012</v>
      </c>
      <c r="F1575" s="425">
        <v>16.6923</v>
      </c>
      <c r="G1575" s="425">
        <v>13.7476</v>
      </c>
      <c r="H1575" s="426">
        <v>25.8859</v>
      </c>
      <c r="I1575" s="426">
        <v>20.6113</v>
      </c>
      <c r="J1575" s="425">
        <v>20.015</v>
      </c>
      <c r="K1575" s="182">
        <v>10849.8</v>
      </c>
      <c r="L1575" s="36"/>
      <c r="M1575" s="36"/>
      <c r="N1575" s="36"/>
      <c r="O1575" s="36"/>
      <c r="P1575" s="36"/>
      <c r="Q1575" s="36"/>
      <c r="R1575" s="36"/>
      <c r="S1575" s="36"/>
      <c r="T1575" s="36"/>
      <c r="U1575" s="36"/>
      <c r="V1575" s="36"/>
      <c r="W1575" s="36"/>
      <c r="X1575" s="36"/>
      <c r="Y1575" s="36"/>
      <c r="Z1575" s="36"/>
      <c r="AA1575" s="36"/>
      <c r="AB1575" s="36"/>
      <c r="AC1575" s="36"/>
    </row>
    <row r="1576" ht="15.75" customHeight="1">
      <c r="A1576" s="423">
        <v>43489.0</v>
      </c>
      <c r="B1576" s="424">
        <v>14.1435</v>
      </c>
      <c r="C1576" s="425">
        <v>17.5742</v>
      </c>
      <c r="D1576" s="426">
        <v>19.0323</v>
      </c>
      <c r="E1576" s="425">
        <v>14.1012</v>
      </c>
      <c r="F1576" s="425">
        <v>16.6923</v>
      </c>
      <c r="G1576" s="425">
        <v>13.7476</v>
      </c>
      <c r="H1576" s="426">
        <v>25.6784</v>
      </c>
      <c r="I1576" s="426">
        <v>20.506</v>
      </c>
      <c r="J1576" s="425">
        <v>20.015</v>
      </c>
      <c r="K1576" s="182">
        <v>10849.8</v>
      </c>
      <c r="L1576" s="36"/>
      <c r="M1576" s="36"/>
      <c r="N1576" s="36"/>
      <c r="O1576" s="36"/>
      <c r="P1576" s="36"/>
      <c r="Q1576" s="36"/>
      <c r="R1576" s="36"/>
      <c r="S1576" s="36"/>
      <c r="T1576" s="36"/>
      <c r="U1576" s="36"/>
      <c r="V1576" s="36"/>
      <c r="W1576" s="36"/>
      <c r="X1576" s="36"/>
      <c r="Y1576" s="36"/>
      <c r="Z1576" s="36"/>
      <c r="AA1576" s="36"/>
      <c r="AB1576" s="36"/>
      <c r="AC1576" s="36"/>
    </row>
    <row r="1577" ht="15.75" customHeight="1">
      <c r="A1577" s="423">
        <v>43490.0</v>
      </c>
      <c r="B1577" s="424">
        <v>14.0396</v>
      </c>
      <c r="C1577" s="425">
        <v>17.594</v>
      </c>
      <c r="D1577" s="426">
        <v>19.101</v>
      </c>
      <c r="E1577" s="425">
        <v>14.1127</v>
      </c>
      <c r="F1577" s="425">
        <v>16.548</v>
      </c>
      <c r="G1577" s="425">
        <v>13.7461</v>
      </c>
      <c r="H1577" s="426">
        <v>26.9703</v>
      </c>
      <c r="I1577" s="426">
        <v>20.8695</v>
      </c>
      <c r="J1577" s="425">
        <v>20.1688</v>
      </c>
      <c r="K1577" s="182">
        <v>10780.55</v>
      </c>
      <c r="L1577" s="36"/>
      <c r="M1577" s="36"/>
      <c r="N1577" s="36"/>
      <c r="O1577" s="36"/>
      <c r="P1577" s="36"/>
      <c r="Q1577" s="36"/>
      <c r="R1577" s="36"/>
      <c r="S1577" s="36"/>
      <c r="T1577" s="36"/>
      <c r="U1577" s="36"/>
      <c r="V1577" s="36"/>
      <c r="W1577" s="36"/>
      <c r="X1577" s="36"/>
      <c r="Y1577" s="36"/>
      <c r="Z1577" s="36"/>
      <c r="AA1577" s="36"/>
      <c r="AB1577" s="36"/>
      <c r="AC1577" s="36"/>
    </row>
    <row r="1578" ht="15.75" customHeight="1">
      <c r="A1578" s="423">
        <v>43490.0</v>
      </c>
      <c r="B1578" s="424">
        <v>14.0396</v>
      </c>
      <c r="C1578" s="425">
        <v>17.594</v>
      </c>
      <c r="D1578" s="426">
        <v>19.0805</v>
      </c>
      <c r="E1578" s="425">
        <v>14.1127</v>
      </c>
      <c r="F1578" s="425">
        <v>16.548</v>
      </c>
      <c r="G1578" s="425">
        <v>13.7461</v>
      </c>
      <c r="H1578" s="426">
        <v>26.7878</v>
      </c>
      <c r="I1578" s="426">
        <v>20.8749</v>
      </c>
      <c r="J1578" s="425">
        <v>20.1688</v>
      </c>
      <c r="K1578" s="182">
        <v>10780.55</v>
      </c>
      <c r="L1578" s="36"/>
      <c r="M1578" s="36"/>
      <c r="N1578" s="36"/>
      <c r="O1578" s="36"/>
      <c r="P1578" s="36"/>
      <c r="Q1578" s="36"/>
      <c r="R1578" s="36"/>
      <c r="S1578" s="36"/>
      <c r="T1578" s="36"/>
      <c r="U1578" s="36"/>
      <c r="V1578" s="36"/>
      <c r="W1578" s="36"/>
      <c r="X1578" s="36"/>
      <c r="Y1578" s="36"/>
      <c r="Z1578" s="36"/>
      <c r="AA1578" s="36"/>
      <c r="AB1578" s="36"/>
      <c r="AC1578" s="36"/>
    </row>
    <row r="1579" ht="15.75" customHeight="1">
      <c r="A1579" s="423">
        <v>43490.0</v>
      </c>
      <c r="B1579" s="424">
        <v>14.0396</v>
      </c>
      <c r="C1579" s="425">
        <v>17.5871</v>
      </c>
      <c r="D1579" s="426">
        <v>19.0816</v>
      </c>
      <c r="E1579" s="425">
        <v>14.1127</v>
      </c>
      <c r="F1579" s="425">
        <v>16.548</v>
      </c>
      <c r="G1579" s="425">
        <v>13.7461</v>
      </c>
      <c r="H1579" s="426">
        <v>26.3611</v>
      </c>
      <c r="I1579" s="426">
        <v>20.6085</v>
      </c>
      <c r="J1579" s="425">
        <v>20.1493</v>
      </c>
      <c r="K1579" s="182">
        <v>10780.55</v>
      </c>
      <c r="L1579" s="36"/>
      <c r="M1579" s="36"/>
      <c r="N1579" s="36"/>
      <c r="O1579" s="36"/>
      <c r="P1579" s="36"/>
      <c r="Q1579" s="36"/>
      <c r="R1579" s="36"/>
      <c r="S1579" s="36"/>
      <c r="T1579" s="36"/>
      <c r="U1579" s="36"/>
      <c r="V1579" s="36"/>
      <c r="W1579" s="36"/>
      <c r="X1579" s="36"/>
      <c r="Y1579" s="36"/>
      <c r="Z1579" s="36"/>
      <c r="AA1579" s="36"/>
      <c r="AB1579" s="36"/>
      <c r="AC1579" s="36"/>
    </row>
    <row r="1580" ht="15.75" customHeight="1">
      <c r="A1580" s="423">
        <v>43490.0</v>
      </c>
      <c r="B1580" s="424">
        <v>14.0396</v>
      </c>
      <c r="C1580" s="425">
        <v>17.5871</v>
      </c>
      <c r="D1580" s="426">
        <v>19.0862</v>
      </c>
      <c r="E1580" s="425">
        <v>14.1127</v>
      </c>
      <c r="F1580" s="425">
        <v>16.548</v>
      </c>
      <c r="G1580" s="425">
        <v>13.7461</v>
      </c>
      <c r="H1580" s="426">
        <v>26.1977</v>
      </c>
      <c r="I1580" s="426">
        <v>20.6799</v>
      </c>
      <c r="J1580" s="425">
        <v>20.1493</v>
      </c>
      <c r="K1580" s="182">
        <v>10780.55</v>
      </c>
      <c r="L1580" s="36"/>
      <c r="M1580" s="36"/>
      <c r="N1580" s="36"/>
      <c r="O1580" s="36"/>
      <c r="P1580" s="36"/>
      <c r="Q1580" s="36"/>
      <c r="R1580" s="36"/>
      <c r="S1580" s="36"/>
      <c r="T1580" s="36"/>
      <c r="U1580" s="36"/>
      <c r="V1580" s="36"/>
      <c r="W1580" s="36"/>
      <c r="X1580" s="36"/>
      <c r="Y1580" s="36"/>
      <c r="Z1580" s="36"/>
      <c r="AA1580" s="36"/>
      <c r="AB1580" s="36"/>
      <c r="AC1580" s="36"/>
    </row>
    <row r="1581" ht="15.75" customHeight="1">
      <c r="A1581" s="423">
        <v>43493.0</v>
      </c>
      <c r="B1581" s="424">
        <v>13.9041</v>
      </c>
      <c r="C1581" s="425">
        <v>17.5933</v>
      </c>
      <c r="D1581" s="426">
        <v>19.1805</v>
      </c>
      <c r="E1581" s="425">
        <v>14.1226</v>
      </c>
      <c r="F1581" s="425">
        <v>16.3975</v>
      </c>
      <c r="G1581" s="425">
        <v>13.7541</v>
      </c>
      <c r="H1581" s="426">
        <v>27.2274</v>
      </c>
      <c r="I1581" s="426">
        <v>21.2653</v>
      </c>
      <c r="J1581" s="425">
        <v>20.0758</v>
      </c>
      <c r="K1581" s="182">
        <v>10661.55</v>
      </c>
      <c r="L1581" s="36"/>
      <c r="M1581" s="36"/>
      <c r="N1581" s="36"/>
      <c r="O1581" s="36"/>
      <c r="P1581" s="36"/>
      <c r="Q1581" s="36"/>
      <c r="R1581" s="36"/>
      <c r="S1581" s="36"/>
      <c r="T1581" s="36"/>
      <c r="U1581" s="36"/>
      <c r="V1581" s="36"/>
      <c r="W1581" s="36"/>
      <c r="X1581" s="36"/>
      <c r="Y1581" s="36"/>
      <c r="Z1581" s="36"/>
      <c r="AA1581" s="36"/>
      <c r="AB1581" s="36"/>
      <c r="AC1581" s="36"/>
    </row>
    <row r="1582" ht="15.75" customHeight="1">
      <c r="A1582" s="423">
        <v>43493.0</v>
      </c>
      <c r="B1582" s="424">
        <v>13.9041</v>
      </c>
      <c r="C1582" s="425">
        <v>17.5933</v>
      </c>
      <c r="D1582" s="426">
        <v>19.1612</v>
      </c>
      <c r="E1582" s="425">
        <v>14.1226</v>
      </c>
      <c r="F1582" s="425">
        <v>16.3975</v>
      </c>
      <c r="G1582" s="425">
        <v>13.7541</v>
      </c>
      <c r="H1582" s="426">
        <v>26.847</v>
      </c>
      <c r="I1582" s="426">
        <v>21.1343</v>
      </c>
      <c r="J1582" s="425">
        <v>20.0758</v>
      </c>
      <c r="K1582" s="182">
        <v>10661.55</v>
      </c>
      <c r="L1582" s="36"/>
      <c r="M1582" s="36"/>
      <c r="N1582" s="36"/>
      <c r="O1582" s="36"/>
      <c r="P1582" s="36"/>
      <c r="Q1582" s="36"/>
      <c r="R1582" s="36"/>
      <c r="S1582" s="36"/>
      <c r="T1582" s="36"/>
      <c r="U1582" s="36"/>
      <c r="V1582" s="36"/>
      <c r="W1582" s="36"/>
      <c r="X1582" s="36"/>
      <c r="Y1582" s="36"/>
      <c r="Z1582" s="36"/>
      <c r="AA1582" s="36"/>
      <c r="AB1582" s="36"/>
      <c r="AC1582" s="36"/>
    </row>
    <row r="1583" ht="15.75" customHeight="1">
      <c r="A1583" s="423">
        <v>43493.0</v>
      </c>
      <c r="B1583" s="424">
        <v>13.9041</v>
      </c>
      <c r="C1583" s="425">
        <v>17.5936</v>
      </c>
      <c r="D1583" s="426">
        <v>19.1485</v>
      </c>
      <c r="E1583" s="425">
        <v>14.1226</v>
      </c>
      <c r="F1583" s="425">
        <v>16.3975</v>
      </c>
      <c r="G1583" s="425">
        <v>13.7541</v>
      </c>
      <c r="H1583" s="426">
        <v>26.9981</v>
      </c>
      <c r="I1583" s="426">
        <v>21.1351</v>
      </c>
      <c r="J1583" s="425">
        <v>20.1933</v>
      </c>
      <c r="K1583" s="182">
        <v>10661.55</v>
      </c>
      <c r="L1583" s="36"/>
      <c r="M1583" s="36"/>
      <c r="N1583" s="36"/>
      <c r="O1583" s="36"/>
      <c r="P1583" s="36"/>
      <c r="Q1583" s="36"/>
      <c r="R1583" s="36"/>
      <c r="S1583" s="36"/>
      <c r="T1583" s="36"/>
      <c r="U1583" s="36"/>
      <c r="V1583" s="36"/>
      <c r="W1583" s="36"/>
      <c r="X1583" s="36"/>
      <c r="Y1583" s="36"/>
      <c r="Z1583" s="36"/>
      <c r="AA1583" s="36"/>
      <c r="AB1583" s="36"/>
      <c r="AC1583" s="36"/>
    </row>
    <row r="1584" ht="15.75" customHeight="1">
      <c r="A1584" s="423">
        <v>43493.0</v>
      </c>
      <c r="B1584" s="424">
        <v>13.9041</v>
      </c>
      <c r="C1584" s="425">
        <v>17.5936</v>
      </c>
      <c r="D1584" s="426">
        <v>19.1449</v>
      </c>
      <c r="E1584" s="425">
        <v>14.1226</v>
      </c>
      <c r="F1584" s="425">
        <v>16.3975</v>
      </c>
      <c r="G1584" s="425">
        <v>13.7541</v>
      </c>
      <c r="H1584" s="426">
        <v>27.1089</v>
      </c>
      <c r="I1584" s="426">
        <v>21.1859</v>
      </c>
      <c r="J1584" s="425">
        <v>20.1933</v>
      </c>
      <c r="K1584" s="182">
        <v>10661.55</v>
      </c>
      <c r="L1584" s="36"/>
      <c r="M1584" s="36"/>
      <c r="N1584" s="36"/>
      <c r="O1584" s="36"/>
      <c r="P1584" s="36"/>
      <c r="Q1584" s="36"/>
      <c r="R1584" s="36"/>
      <c r="S1584" s="36"/>
      <c r="T1584" s="36"/>
      <c r="U1584" s="36"/>
      <c r="V1584" s="36"/>
      <c r="W1584" s="36"/>
      <c r="X1584" s="36"/>
      <c r="Y1584" s="36"/>
      <c r="Z1584" s="36"/>
      <c r="AA1584" s="36"/>
      <c r="AB1584" s="36"/>
      <c r="AC1584" s="36"/>
    </row>
    <row r="1585" ht="15.75" customHeight="1">
      <c r="A1585" s="423">
        <v>43494.0</v>
      </c>
      <c r="B1585" s="424">
        <v>13.8954</v>
      </c>
      <c r="C1585" s="425">
        <v>17.621</v>
      </c>
      <c r="D1585" s="426">
        <v>19.2388</v>
      </c>
      <c r="E1585" s="425">
        <v>14.1292</v>
      </c>
      <c r="F1585" s="425">
        <v>16.3945</v>
      </c>
      <c r="G1585" s="425">
        <v>13.7577</v>
      </c>
      <c r="H1585" s="426">
        <v>27.2609</v>
      </c>
      <c r="I1585" s="426">
        <v>21.3484</v>
      </c>
      <c r="J1585" s="425">
        <v>19.972</v>
      </c>
      <c r="K1585" s="182">
        <v>10652.2</v>
      </c>
      <c r="L1585" s="36"/>
      <c r="M1585" s="36"/>
      <c r="N1585" s="36"/>
      <c r="O1585" s="36"/>
      <c r="P1585" s="36"/>
      <c r="Q1585" s="36"/>
      <c r="R1585" s="36"/>
      <c r="S1585" s="36"/>
      <c r="T1585" s="36"/>
      <c r="U1585" s="36"/>
      <c r="V1585" s="36"/>
      <c r="W1585" s="36"/>
      <c r="X1585" s="36"/>
      <c r="Y1585" s="36"/>
      <c r="Z1585" s="36"/>
      <c r="AA1585" s="36"/>
      <c r="AB1585" s="36"/>
      <c r="AC1585" s="36"/>
    </row>
    <row r="1586" ht="15.75" customHeight="1">
      <c r="A1586" s="423">
        <v>43494.0</v>
      </c>
      <c r="B1586" s="424">
        <v>13.8954</v>
      </c>
      <c r="C1586" s="425">
        <v>17.621</v>
      </c>
      <c r="D1586" s="426">
        <v>19.2317</v>
      </c>
      <c r="E1586" s="425">
        <v>14.1292</v>
      </c>
      <c r="F1586" s="425">
        <v>16.3945</v>
      </c>
      <c r="G1586" s="425">
        <v>13.7577</v>
      </c>
      <c r="H1586" s="426">
        <v>27.1554</v>
      </c>
      <c r="I1586" s="426">
        <v>21.2432</v>
      </c>
      <c r="J1586" s="425">
        <v>19.972</v>
      </c>
      <c r="K1586" s="182">
        <v>10652.2</v>
      </c>
      <c r="L1586" s="36"/>
      <c r="M1586" s="36"/>
      <c r="N1586" s="36"/>
      <c r="O1586" s="36"/>
      <c r="P1586" s="36"/>
      <c r="Q1586" s="36"/>
      <c r="R1586" s="36"/>
      <c r="S1586" s="36"/>
      <c r="T1586" s="36"/>
      <c r="U1586" s="36"/>
      <c r="V1586" s="36"/>
      <c r="W1586" s="36"/>
      <c r="X1586" s="36"/>
      <c r="Y1586" s="36"/>
      <c r="Z1586" s="36"/>
      <c r="AA1586" s="36"/>
      <c r="AB1586" s="36"/>
      <c r="AC1586" s="36"/>
    </row>
    <row r="1587" ht="15.75" customHeight="1">
      <c r="A1587" s="423">
        <v>43494.0</v>
      </c>
      <c r="B1587" s="424">
        <v>13.8954</v>
      </c>
      <c r="C1587" s="425">
        <v>17.6064</v>
      </c>
      <c r="D1587" s="426">
        <v>19.2001</v>
      </c>
      <c r="E1587" s="425">
        <v>14.1292</v>
      </c>
      <c r="F1587" s="425">
        <v>16.3945</v>
      </c>
      <c r="G1587" s="425">
        <v>13.7577</v>
      </c>
      <c r="H1587" s="426">
        <v>27.1268</v>
      </c>
      <c r="I1587" s="426">
        <v>21.2363</v>
      </c>
      <c r="J1587" s="425">
        <v>19.9322</v>
      </c>
      <c r="K1587" s="182">
        <v>10652.2</v>
      </c>
      <c r="L1587" s="36"/>
      <c r="M1587" s="36"/>
      <c r="N1587" s="36"/>
      <c r="O1587" s="36"/>
      <c r="P1587" s="36"/>
      <c r="Q1587" s="36"/>
      <c r="R1587" s="36"/>
      <c r="S1587" s="36"/>
      <c r="T1587" s="36"/>
      <c r="U1587" s="36"/>
      <c r="V1587" s="36"/>
      <c r="W1587" s="36"/>
      <c r="X1587" s="36"/>
      <c r="Y1587" s="36"/>
      <c r="Z1587" s="36"/>
      <c r="AA1587" s="36"/>
      <c r="AB1587" s="36"/>
      <c r="AC1587" s="36"/>
    </row>
    <row r="1588" ht="15.75" customHeight="1">
      <c r="A1588" s="423">
        <v>43494.0</v>
      </c>
      <c r="B1588" s="424">
        <v>13.8954</v>
      </c>
      <c r="C1588" s="425">
        <v>17.6064</v>
      </c>
      <c r="D1588" s="426">
        <v>19.1771</v>
      </c>
      <c r="E1588" s="425">
        <v>14.1292</v>
      </c>
      <c r="F1588" s="425">
        <v>16.3945</v>
      </c>
      <c r="G1588" s="425">
        <v>13.7577</v>
      </c>
      <c r="H1588" s="426">
        <v>27.045</v>
      </c>
      <c r="I1588" s="426">
        <v>21.0761</v>
      </c>
      <c r="J1588" s="425">
        <v>19.9322</v>
      </c>
      <c r="K1588" s="182">
        <v>10652.2</v>
      </c>
      <c r="L1588" s="36"/>
      <c r="M1588" s="36"/>
      <c r="N1588" s="36"/>
      <c r="O1588" s="36"/>
      <c r="P1588" s="36"/>
      <c r="Q1588" s="36"/>
      <c r="R1588" s="36"/>
      <c r="S1588" s="36"/>
      <c r="T1588" s="36"/>
      <c r="U1588" s="36"/>
      <c r="V1588" s="36"/>
      <c r="W1588" s="36"/>
      <c r="X1588" s="36"/>
      <c r="Y1588" s="36"/>
      <c r="Z1588" s="36"/>
      <c r="AA1588" s="36"/>
      <c r="AB1588" s="36"/>
      <c r="AC1588" s="36"/>
    </row>
    <row r="1589" ht="15.75" customHeight="1">
      <c r="A1589" s="423">
        <v>43495.0</v>
      </c>
      <c r="B1589" s="424">
        <v>13.9247</v>
      </c>
      <c r="C1589" s="425">
        <v>17.6345</v>
      </c>
      <c r="D1589" s="426">
        <v>19.242</v>
      </c>
      <c r="E1589" s="425">
        <v>14.1181</v>
      </c>
      <c r="F1589" s="425">
        <v>16.4227</v>
      </c>
      <c r="G1589" s="425">
        <v>13.7491</v>
      </c>
      <c r="H1589" s="426">
        <v>27.2169</v>
      </c>
      <c r="I1589" s="426">
        <v>21.3287</v>
      </c>
      <c r="J1589" s="425">
        <v>20.075</v>
      </c>
      <c r="K1589" s="182">
        <v>10651.8</v>
      </c>
      <c r="L1589" s="36"/>
      <c r="M1589" s="36"/>
      <c r="N1589" s="36"/>
      <c r="O1589" s="36"/>
      <c r="P1589" s="36"/>
      <c r="Q1589" s="36"/>
      <c r="R1589" s="36"/>
      <c r="S1589" s="36"/>
      <c r="T1589" s="36"/>
      <c r="U1589" s="36"/>
      <c r="V1589" s="36"/>
      <c r="W1589" s="36"/>
      <c r="X1589" s="36"/>
      <c r="Y1589" s="36"/>
      <c r="Z1589" s="36"/>
      <c r="AA1589" s="36"/>
      <c r="AB1589" s="36"/>
      <c r="AC1589" s="36"/>
    </row>
    <row r="1590" ht="15.75" customHeight="1">
      <c r="A1590" s="423">
        <v>43495.0</v>
      </c>
      <c r="B1590" s="424">
        <v>13.9247</v>
      </c>
      <c r="C1590" s="425">
        <v>17.6345</v>
      </c>
      <c r="D1590" s="426">
        <v>19.2387</v>
      </c>
      <c r="E1590" s="425">
        <v>14.1181</v>
      </c>
      <c r="F1590" s="425">
        <v>16.4227</v>
      </c>
      <c r="G1590" s="425">
        <v>13.7491</v>
      </c>
      <c r="H1590" s="426">
        <v>27.0964</v>
      </c>
      <c r="I1590" s="426">
        <v>21.4065</v>
      </c>
      <c r="J1590" s="425">
        <v>20.075</v>
      </c>
      <c r="K1590" s="182">
        <v>10651.8</v>
      </c>
      <c r="L1590" s="36"/>
      <c r="M1590" s="36"/>
      <c r="N1590" s="36"/>
      <c r="O1590" s="36"/>
      <c r="P1590" s="36"/>
      <c r="Q1590" s="36"/>
      <c r="R1590" s="36"/>
      <c r="S1590" s="36"/>
      <c r="T1590" s="36"/>
      <c r="U1590" s="36"/>
      <c r="V1590" s="36"/>
      <c r="W1590" s="36"/>
      <c r="X1590" s="36"/>
      <c r="Y1590" s="36"/>
      <c r="Z1590" s="36"/>
      <c r="AA1590" s="36"/>
      <c r="AB1590" s="36"/>
      <c r="AC1590" s="36"/>
    </row>
    <row r="1591" ht="15.75" customHeight="1">
      <c r="A1591" s="423">
        <v>43495.0</v>
      </c>
      <c r="B1591" s="424">
        <v>13.9247</v>
      </c>
      <c r="C1591" s="425">
        <v>17.6265</v>
      </c>
      <c r="D1591" s="426">
        <v>19.2294</v>
      </c>
      <c r="E1591" s="425">
        <v>14.1181</v>
      </c>
      <c r="F1591" s="425">
        <v>16.4227</v>
      </c>
      <c r="G1591" s="425">
        <v>13.7491</v>
      </c>
      <c r="H1591" s="426">
        <v>27.2912</v>
      </c>
      <c r="I1591" s="426">
        <v>21.5775</v>
      </c>
      <c r="J1591" s="425">
        <v>20.018</v>
      </c>
      <c r="K1591" s="182">
        <v>10651.8</v>
      </c>
      <c r="L1591" s="36"/>
      <c r="M1591" s="36"/>
      <c r="N1591" s="36"/>
      <c r="O1591" s="36"/>
      <c r="P1591" s="36"/>
      <c r="Q1591" s="36"/>
      <c r="R1591" s="36"/>
      <c r="S1591" s="36"/>
      <c r="T1591" s="36"/>
      <c r="U1591" s="36"/>
      <c r="V1591" s="36"/>
      <c r="W1591" s="36"/>
      <c r="X1591" s="36"/>
      <c r="Y1591" s="36"/>
      <c r="Z1591" s="36"/>
      <c r="AA1591" s="36"/>
      <c r="AB1591" s="36"/>
      <c r="AC1591" s="36"/>
    </row>
    <row r="1592" ht="15.75" customHeight="1">
      <c r="A1592" s="423">
        <v>43495.0</v>
      </c>
      <c r="B1592" s="424">
        <v>13.9247</v>
      </c>
      <c r="C1592" s="425">
        <v>17.6265</v>
      </c>
      <c r="D1592" s="426">
        <v>19.2116</v>
      </c>
      <c r="E1592" s="425">
        <v>14.1181</v>
      </c>
      <c r="F1592" s="425">
        <v>16.4227</v>
      </c>
      <c r="G1592" s="425">
        <v>13.7491</v>
      </c>
      <c r="H1592" s="426">
        <v>27.2493</v>
      </c>
      <c r="I1592" s="426">
        <v>21.4315</v>
      </c>
      <c r="J1592" s="425">
        <v>20.018</v>
      </c>
      <c r="K1592" s="182">
        <v>10651.8</v>
      </c>
      <c r="L1592" s="36"/>
      <c r="M1592" s="36"/>
      <c r="N1592" s="36"/>
      <c r="O1592" s="36"/>
      <c r="P1592" s="36"/>
      <c r="Q1592" s="36"/>
      <c r="R1592" s="36"/>
      <c r="S1592" s="36"/>
      <c r="T1592" s="36"/>
      <c r="U1592" s="36"/>
      <c r="V1592" s="36"/>
      <c r="W1592" s="36"/>
      <c r="X1592" s="36"/>
      <c r="Y1592" s="36"/>
      <c r="Z1592" s="36"/>
      <c r="AA1592" s="36"/>
      <c r="AB1592" s="36"/>
      <c r="AC1592" s="36"/>
    </row>
    <row r="1593" ht="15.75" customHeight="1">
      <c r="A1593" s="423">
        <v>43496.0</v>
      </c>
      <c r="B1593" s="424">
        <v>14.1183</v>
      </c>
      <c r="C1593" s="425">
        <v>17.6423</v>
      </c>
      <c r="D1593" s="426">
        <v>19.3441</v>
      </c>
      <c r="E1593" s="425">
        <v>14.1573</v>
      </c>
      <c r="F1593" s="425">
        <v>16.6355</v>
      </c>
      <c r="G1593" s="425">
        <v>13.7596</v>
      </c>
      <c r="H1593" s="426">
        <v>27.1536</v>
      </c>
      <c r="I1593" s="426">
        <v>21.5638</v>
      </c>
      <c r="J1593" s="425">
        <v>20.1036</v>
      </c>
      <c r="K1593" s="182">
        <v>10830.95</v>
      </c>
      <c r="L1593" s="36"/>
      <c r="M1593" s="36"/>
      <c r="N1593" s="36"/>
      <c r="O1593" s="36"/>
      <c r="P1593" s="36"/>
      <c r="Q1593" s="36"/>
      <c r="R1593" s="36"/>
      <c r="S1593" s="36"/>
      <c r="T1593" s="36"/>
      <c r="U1593" s="36"/>
      <c r="V1593" s="36"/>
      <c r="W1593" s="36"/>
      <c r="X1593" s="36"/>
      <c r="Y1593" s="36"/>
      <c r="Z1593" s="36"/>
      <c r="AA1593" s="36"/>
      <c r="AB1593" s="36"/>
      <c r="AC1593" s="36"/>
    </row>
    <row r="1594" ht="15.75" customHeight="1">
      <c r="A1594" s="423">
        <v>43496.0</v>
      </c>
      <c r="B1594" s="424">
        <v>14.1183</v>
      </c>
      <c r="C1594" s="425">
        <v>17.6423</v>
      </c>
      <c r="D1594" s="426">
        <v>19.3016</v>
      </c>
      <c r="E1594" s="425">
        <v>14.1573</v>
      </c>
      <c r="F1594" s="425">
        <v>16.6355</v>
      </c>
      <c r="G1594" s="425">
        <v>13.7596</v>
      </c>
      <c r="H1594" s="426">
        <v>27.2154</v>
      </c>
      <c r="I1594" s="426">
        <v>21.4935</v>
      </c>
      <c r="J1594" s="425">
        <v>20.1036</v>
      </c>
      <c r="K1594" s="182">
        <v>10830.95</v>
      </c>
      <c r="L1594" s="36"/>
      <c r="M1594" s="36"/>
      <c r="N1594" s="36"/>
      <c r="O1594" s="36"/>
      <c r="P1594" s="36"/>
      <c r="Q1594" s="36"/>
      <c r="R1594" s="36"/>
      <c r="S1594" s="36"/>
      <c r="T1594" s="36"/>
      <c r="U1594" s="36"/>
      <c r="V1594" s="36"/>
      <c r="W1594" s="36"/>
      <c r="X1594" s="36"/>
      <c r="Y1594" s="36"/>
      <c r="Z1594" s="36"/>
      <c r="AA1594" s="36"/>
      <c r="AB1594" s="36"/>
      <c r="AC1594" s="36"/>
    </row>
    <row r="1595" ht="15.75" customHeight="1">
      <c r="A1595" s="423">
        <v>43496.0</v>
      </c>
      <c r="B1595" s="424">
        <v>14.1183</v>
      </c>
      <c r="C1595" s="425">
        <v>17.6402</v>
      </c>
      <c r="D1595" s="426">
        <v>19.2997</v>
      </c>
      <c r="E1595" s="425">
        <v>14.1573</v>
      </c>
      <c r="F1595" s="425">
        <v>16.6355</v>
      </c>
      <c r="G1595" s="425">
        <v>13.7596</v>
      </c>
      <c r="H1595" s="426">
        <v>27.1261</v>
      </c>
      <c r="I1595" s="426">
        <v>21.4026</v>
      </c>
      <c r="J1595" s="425">
        <v>20.1237</v>
      </c>
      <c r="K1595" s="182">
        <v>10830.95</v>
      </c>
      <c r="L1595" s="36"/>
      <c r="M1595" s="36"/>
      <c r="N1595" s="36"/>
      <c r="O1595" s="36"/>
      <c r="P1595" s="36"/>
      <c r="Q1595" s="36"/>
      <c r="R1595" s="36"/>
      <c r="S1595" s="36"/>
      <c r="T1595" s="36"/>
      <c r="U1595" s="36"/>
      <c r="V1595" s="36"/>
      <c r="W1595" s="36"/>
      <c r="X1595" s="36"/>
      <c r="Y1595" s="36"/>
      <c r="Z1595" s="36"/>
      <c r="AA1595" s="36"/>
      <c r="AB1595" s="36"/>
      <c r="AC1595" s="36"/>
    </row>
    <row r="1596" ht="15.75" customHeight="1">
      <c r="A1596" s="423">
        <v>43496.0</v>
      </c>
      <c r="B1596" s="424">
        <v>14.1183</v>
      </c>
      <c r="C1596" s="425">
        <v>17.6402</v>
      </c>
      <c r="D1596" s="426">
        <v>19.2829</v>
      </c>
      <c r="E1596" s="425">
        <v>14.1573</v>
      </c>
      <c r="F1596" s="425">
        <v>16.6355</v>
      </c>
      <c r="G1596" s="425">
        <v>13.7596</v>
      </c>
      <c r="H1596" s="426">
        <v>27.075</v>
      </c>
      <c r="I1596" s="426">
        <v>21.2036</v>
      </c>
      <c r="J1596" s="425">
        <v>20.1237</v>
      </c>
      <c r="K1596" s="182">
        <v>10830.95</v>
      </c>
      <c r="L1596" s="36"/>
      <c r="M1596" s="36"/>
      <c r="N1596" s="36"/>
      <c r="O1596" s="36"/>
      <c r="P1596" s="36"/>
      <c r="Q1596" s="36"/>
      <c r="R1596" s="36"/>
      <c r="S1596" s="36"/>
      <c r="T1596" s="36"/>
      <c r="U1596" s="36"/>
      <c r="V1596" s="36"/>
      <c r="W1596" s="36"/>
      <c r="X1596" s="36"/>
      <c r="Y1596" s="36"/>
      <c r="Z1596" s="36"/>
      <c r="AA1596" s="36"/>
      <c r="AB1596" s="36"/>
      <c r="AC1596" s="36"/>
    </row>
    <row r="1597" ht="15.75" customHeight="1">
      <c r="A1597" s="423">
        <v>43497.0</v>
      </c>
      <c r="B1597" s="424">
        <v>14.1723</v>
      </c>
      <c r="C1597" s="425">
        <v>17.6771</v>
      </c>
      <c r="D1597" s="426">
        <v>19.4344</v>
      </c>
      <c r="E1597" s="425">
        <v>14.0903</v>
      </c>
      <c r="F1597" s="425">
        <v>16.7035</v>
      </c>
      <c r="G1597" s="425">
        <v>13.7341</v>
      </c>
      <c r="H1597" s="426">
        <v>27.5126</v>
      </c>
      <c r="I1597" s="426">
        <v>21.8097</v>
      </c>
      <c r="J1597" s="425">
        <v>20.008</v>
      </c>
      <c r="K1597" s="182">
        <v>10893.65</v>
      </c>
      <c r="L1597" s="36"/>
      <c r="M1597" s="36"/>
      <c r="N1597" s="36"/>
      <c r="O1597" s="36"/>
      <c r="P1597" s="36"/>
      <c r="Q1597" s="36"/>
      <c r="R1597" s="36"/>
      <c r="S1597" s="36"/>
      <c r="T1597" s="36"/>
      <c r="U1597" s="36"/>
      <c r="V1597" s="36"/>
      <c r="W1597" s="36"/>
      <c r="X1597" s="36"/>
      <c r="Y1597" s="36"/>
      <c r="Z1597" s="36"/>
      <c r="AA1597" s="36"/>
      <c r="AB1597" s="36"/>
      <c r="AC1597" s="36"/>
    </row>
    <row r="1598" ht="15.75" customHeight="1">
      <c r="A1598" s="423">
        <v>43497.0</v>
      </c>
      <c r="B1598" s="424">
        <v>14.1723</v>
      </c>
      <c r="C1598" s="425">
        <v>17.6771</v>
      </c>
      <c r="D1598" s="426">
        <v>19.4056</v>
      </c>
      <c r="E1598" s="425">
        <v>14.0903</v>
      </c>
      <c r="F1598" s="425">
        <v>16.7035</v>
      </c>
      <c r="G1598" s="425">
        <v>13.7341</v>
      </c>
      <c r="H1598" s="426">
        <v>27.5062</v>
      </c>
      <c r="I1598" s="426">
        <v>21.8328</v>
      </c>
      <c r="J1598" s="425">
        <v>20.008</v>
      </c>
      <c r="K1598" s="182">
        <v>10893.65</v>
      </c>
      <c r="L1598" s="36"/>
      <c r="M1598" s="36"/>
      <c r="N1598" s="36"/>
      <c r="O1598" s="36"/>
      <c r="P1598" s="36"/>
      <c r="Q1598" s="36"/>
      <c r="R1598" s="36"/>
      <c r="S1598" s="36"/>
      <c r="T1598" s="36"/>
      <c r="U1598" s="36"/>
      <c r="V1598" s="36"/>
      <c r="W1598" s="36"/>
      <c r="X1598" s="36"/>
      <c r="Y1598" s="36"/>
      <c r="Z1598" s="36"/>
      <c r="AA1598" s="36"/>
      <c r="AB1598" s="36"/>
      <c r="AC1598" s="36"/>
    </row>
    <row r="1599" ht="15.75" customHeight="1">
      <c r="A1599" s="423">
        <v>43497.0</v>
      </c>
      <c r="B1599" s="424">
        <v>14.1723</v>
      </c>
      <c r="C1599" s="425">
        <v>17.6506</v>
      </c>
      <c r="D1599" s="426">
        <v>19.4123</v>
      </c>
      <c r="E1599" s="425">
        <v>14.0903</v>
      </c>
      <c r="F1599" s="425">
        <v>16.7035</v>
      </c>
      <c r="G1599" s="425">
        <v>13.7341</v>
      </c>
      <c r="H1599" s="426">
        <v>27.5028</v>
      </c>
      <c r="I1599" s="426">
        <v>21.8408</v>
      </c>
      <c r="J1599" s="425">
        <v>20.0487</v>
      </c>
      <c r="K1599" s="182">
        <v>10893.65</v>
      </c>
      <c r="L1599" s="36"/>
      <c r="M1599" s="36"/>
      <c r="N1599" s="36"/>
      <c r="O1599" s="36"/>
      <c r="P1599" s="36"/>
      <c r="Q1599" s="36"/>
      <c r="R1599" s="36"/>
      <c r="S1599" s="36"/>
      <c r="T1599" s="36"/>
      <c r="U1599" s="36"/>
      <c r="V1599" s="36"/>
      <c r="W1599" s="36"/>
      <c r="X1599" s="36"/>
      <c r="Y1599" s="36"/>
      <c r="Z1599" s="36"/>
      <c r="AA1599" s="36"/>
      <c r="AB1599" s="36"/>
      <c r="AC1599" s="36"/>
    </row>
    <row r="1600" ht="15.75" customHeight="1">
      <c r="A1600" s="423">
        <v>43497.0</v>
      </c>
      <c r="B1600" s="424">
        <v>14.1723</v>
      </c>
      <c r="C1600" s="425">
        <v>17.6506</v>
      </c>
      <c r="D1600" s="426">
        <v>19.385</v>
      </c>
      <c r="E1600" s="425">
        <v>14.0903</v>
      </c>
      <c r="F1600" s="425">
        <v>16.7035</v>
      </c>
      <c r="G1600" s="425">
        <v>13.7341</v>
      </c>
      <c r="H1600" s="426">
        <v>27.3406</v>
      </c>
      <c r="I1600" s="426">
        <v>21.8038</v>
      </c>
      <c r="J1600" s="425">
        <v>20.0487</v>
      </c>
      <c r="K1600" s="182">
        <v>10893.65</v>
      </c>
      <c r="L1600" s="36"/>
      <c r="M1600" s="36"/>
      <c r="N1600" s="36"/>
      <c r="O1600" s="36"/>
      <c r="P1600" s="36"/>
      <c r="Q1600" s="36"/>
      <c r="R1600" s="36"/>
      <c r="S1600" s="36"/>
      <c r="T1600" s="36"/>
      <c r="U1600" s="36"/>
      <c r="V1600" s="36"/>
      <c r="W1600" s="36"/>
      <c r="X1600" s="36"/>
      <c r="Y1600" s="36"/>
      <c r="Z1600" s="36"/>
      <c r="AA1600" s="36"/>
      <c r="AB1600" s="36"/>
      <c r="AC1600" s="36"/>
    </row>
    <row r="1601" ht="15.75" customHeight="1">
      <c r="A1601" s="423">
        <v>43500.0</v>
      </c>
      <c r="B1601" s="424">
        <v>14.1845</v>
      </c>
      <c r="C1601" s="425">
        <v>17.6786</v>
      </c>
      <c r="D1601" s="426">
        <v>19.4482</v>
      </c>
      <c r="E1601" s="425">
        <v>14.0613</v>
      </c>
      <c r="F1601" s="425">
        <v>16.6976</v>
      </c>
      <c r="G1601" s="425">
        <v>13.7278</v>
      </c>
      <c r="H1601" s="426">
        <v>26.5133</v>
      </c>
      <c r="I1601" s="426">
        <v>21.1418</v>
      </c>
      <c r="J1601" s="425">
        <v>20.1606</v>
      </c>
      <c r="K1601" s="182">
        <v>10912.25</v>
      </c>
      <c r="L1601" s="36"/>
      <c r="M1601" s="36"/>
      <c r="N1601" s="36"/>
      <c r="O1601" s="36"/>
      <c r="P1601" s="36"/>
      <c r="Q1601" s="36"/>
      <c r="R1601" s="36"/>
      <c r="S1601" s="36"/>
      <c r="T1601" s="36"/>
      <c r="U1601" s="36"/>
      <c r="V1601" s="36"/>
      <c r="W1601" s="36"/>
      <c r="X1601" s="36"/>
      <c r="Y1601" s="36"/>
      <c r="Z1601" s="36"/>
      <c r="AA1601" s="36"/>
      <c r="AB1601" s="36"/>
      <c r="AC1601" s="36"/>
    </row>
    <row r="1602" ht="15.75" customHeight="1">
      <c r="A1602" s="423">
        <v>43500.0</v>
      </c>
      <c r="B1602" s="424">
        <v>14.1845</v>
      </c>
      <c r="C1602" s="425">
        <v>17.6786</v>
      </c>
      <c r="D1602" s="426">
        <v>19.5235</v>
      </c>
      <c r="E1602" s="425">
        <v>14.0613</v>
      </c>
      <c r="F1602" s="425">
        <v>16.6976</v>
      </c>
      <c r="G1602" s="425">
        <v>13.7278</v>
      </c>
      <c r="H1602" s="426">
        <v>26.8927</v>
      </c>
      <c r="I1602" s="426">
        <v>21.4986</v>
      </c>
      <c r="J1602" s="425">
        <v>20.1606</v>
      </c>
      <c r="K1602" s="182">
        <v>10912.25</v>
      </c>
      <c r="L1602" s="36"/>
      <c r="M1602" s="36"/>
      <c r="N1602" s="36"/>
      <c r="O1602" s="36"/>
      <c r="P1602" s="36"/>
      <c r="Q1602" s="36"/>
      <c r="R1602" s="36"/>
      <c r="S1602" s="36"/>
      <c r="T1602" s="36"/>
      <c r="U1602" s="36"/>
      <c r="V1602" s="36"/>
      <c r="W1602" s="36"/>
      <c r="X1602" s="36"/>
      <c r="Y1602" s="36"/>
      <c r="Z1602" s="36"/>
      <c r="AA1602" s="36"/>
      <c r="AB1602" s="36"/>
      <c r="AC1602" s="36"/>
    </row>
    <row r="1603" ht="15.75" customHeight="1">
      <c r="A1603" s="423">
        <v>43500.0</v>
      </c>
      <c r="B1603" s="424">
        <v>14.1845</v>
      </c>
      <c r="C1603" s="425">
        <v>17.6814</v>
      </c>
      <c r="D1603" s="426">
        <v>19.5596</v>
      </c>
      <c r="E1603" s="425">
        <v>14.0613</v>
      </c>
      <c r="F1603" s="425">
        <v>16.6976</v>
      </c>
      <c r="G1603" s="425">
        <v>13.7278</v>
      </c>
      <c r="H1603" s="426">
        <v>26.9173</v>
      </c>
      <c r="I1603" s="426">
        <v>21.2942</v>
      </c>
      <c r="J1603" s="425">
        <v>20.1661</v>
      </c>
      <c r="K1603" s="182">
        <v>10912.25</v>
      </c>
      <c r="L1603" s="36"/>
      <c r="M1603" s="36"/>
      <c r="N1603" s="36"/>
      <c r="O1603" s="36"/>
      <c r="P1603" s="36"/>
      <c r="Q1603" s="36"/>
      <c r="R1603" s="36"/>
      <c r="S1603" s="36"/>
      <c r="T1603" s="36"/>
      <c r="U1603" s="36"/>
      <c r="V1603" s="36"/>
      <c r="W1603" s="36"/>
      <c r="X1603" s="36"/>
      <c r="Y1603" s="36"/>
      <c r="Z1603" s="36"/>
      <c r="AA1603" s="36"/>
      <c r="AB1603" s="36"/>
      <c r="AC1603" s="36"/>
    </row>
    <row r="1604" ht="15.75" customHeight="1">
      <c r="A1604" s="423">
        <v>43500.0</v>
      </c>
      <c r="B1604" s="424">
        <v>14.1845</v>
      </c>
      <c r="C1604" s="425">
        <v>17.6814</v>
      </c>
      <c r="D1604" s="426">
        <v>19.5371</v>
      </c>
      <c r="E1604" s="425">
        <v>14.0613</v>
      </c>
      <c r="F1604" s="425">
        <v>16.6976</v>
      </c>
      <c r="G1604" s="425">
        <v>13.7278</v>
      </c>
      <c r="H1604" s="426">
        <v>27.2226</v>
      </c>
      <c r="I1604" s="426">
        <v>21.6063</v>
      </c>
      <c r="J1604" s="425">
        <v>20.1661</v>
      </c>
      <c r="K1604" s="182">
        <v>10912.25</v>
      </c>
      <c r="L1604" s="36"/>
      <c r="M1604" s="36"/>
      <c r="N1604" s="36"/>
      <c r="O1604" s="36"/>
      <c r="P1604" s="36"/>
      <c r="Q1604" s="36"/>
      <c r="R1604" s="36"/>
      <c r="S1604" s="36"/>
      <c r="T1604" s="36"/>
      <c r="U1604" s="36"/>
      <c r="V1604" s="36"/>
      <c r="W1604" s="36"/>
      <c r="X1604" s="36"/>
      <c r="Y1604" s="36"/>
      <c r="Z1604" s="36"/>
      <c r="AA1604" s="36"/>
      <c r="AB1604" s="36"/>
      <c r="AC1604" s="36"/>
    </row>
    <row r="1605" ht="15.75" customHeight="1">
      <c r="A1605" s="423">
        <v>43501.0</v>
      </c>
      <c r="B1605" s="424">
        <v>14.2064</v>
      </c>
      <c r="C1605" s="425">
        <v>17.6803</v>
      </c>
      <c r="D1605" s="426">
        <v>19.5655</v>
      </c>
      <c r="E1605" s="425">
        <v>14.0844</v>
      </c>
      <c r="F1605" s="425">
        <v>16.7135</v>
      </c>
      <c r="G1605" s="425">
        <v>13.7329</v>
      </c>
      <c r="H1605" s="426">
        <v>27.6819</v>
      </c>
      <c r="I1605" s="426">
        <v>21.7891</v>
      </c>
      <c r="J1605" s="425">
        <v>20.152</v>
      </c>
      <c r="K1605" s="182">
        <v>10934.35</v>
      </c>
      <c r="L1605" s="36"/>
      <c r="M1605" s="36"/>
      <c r="N1605" s="36"/>
      <c r="O1605" s="36"/>
      <c r="P1605" s="36"/>
      <c r="Q1605" s="36"/>
      <c r="R1605" s="36"/>
      <c r="S1605" s="36"/>
      <c r="T1605" s="36"/>
      <c r="U1605" s="36"/>
      <c r="V1605" s="36"/>
      <c r="W1605" s="36"/>
      <c r="X1605" s="36"/>
      <c r="Y1605" s="36"/>
      <c r="Z1605" s="36"/>
      <c r="AA1605" s="36"/>
      <c r="AB1605" s="36"/>
      <c r="AC1605" s="36"/>
    </row>
    <row r="1606" ht="15.75" customHeight="1">
      <c r="A1606" s="423">
        <v>43501.0</v>
      </c>
      <c r="B1606" s="424">
        <v>14.2064</v>
      </c>
      <c r="C1606" s="425">
        <v>17.6803</v>
      </c>
      <c r="D1606" s="426">
        <v>19.5776</v>
      </c>
      <c r="E1606" s="425">
        <v>14.0844</v>
      </c>
      <c r="F1606" s="425">
        <v>16.7135</v>
      </c>
      <c r="G1606" s="425">
        <v>13.7329</v>
      </c>
      <c r="H1606" s="426">
        <v>27.633</v>
      </c>
      <c r="I1606" s="426">
        <v>21.7495</v>
      </c>
      <c r="J1606" s="425">
        <v>20.152</v>
      </c>
      <c r="K1606" s="182">
        <v>10934.35</v>
      </c>
      <c r="L1606" s="36"/>
      <c r="M1606" s="36"/>
      <c r="N1606" s="36"/>
      <c r="O1606" s="36"/>
      <c r="P1606" s="36"/>
      <c r="Q1606" s="36"/>
      <c r="R1606" s="36"/>
      <c r="S1606" s="36"/>
      <c r="T1606" s="36"/>
      <c r="U1606" s="36"/>
      <c r="V1606" s="36"/>
      <c r="W1606" s="36"/>
      <c r="X1606" s="36"/>
      <c r="Y1606" s="36"/>
      <c r="Z1606" s="36"/>
      <c r="AA1606" s="36"/>
      <c r="AB1606" s="36"/>
      <c r="AC1606" s="36"/>
    </row>
    <row r="1607" ht="15.75" customHeight="1">
      <c r="A1607" s="423">
        <v>43501.0</v>
      </c>
      <c r="B1607" s="424">
        <v>14.2064</v>
      </c>
      <c r="C1607" s="425">
        <v>17.675</v>
      </c>
      <c r="D1607" s="426">
        <v>19.5618</v>
      </c>
      <c r="E1607" s="425">
        <v>14.0844</v>
      </c>
      <c r="F1607" s="425">
        <v>16.7135</v>
      </c>
      <c r="G1607" s="425">
        <v>13.7329</v>
      </c>
      <c r="H1607" s="426">
        <v>27.4598</v>
      </c>
      <c r="I1607" s="426">
        <v>21.6153</v>
      </c>
      <c r="J1607" s="425">
        <v>20.1616</v>
      </c>
      <c r="K1607" s="182">
        <v>10934.35</v>
      </c>
      <c r="L1607" s="36"/>
      <c r="M1607" s="36"/>
      <c r="N1607" s="36"/>
      <c r="O1607" s="36"/>
      <c r="P1607" s="36"/>
      <c r="Q1607" s="36"/>
      <c r="R1607" s="36"/>
      <c r="S1607" s="36"/>
      <c r="T1607" s="36"/>
      <c r="U1607" s="36"/>
      <c r="V1607" s="36"/>
      <c r="W1607" s="36"/>
      <c r="X1607" s="36"/>
      <c r="Y1607" s="36"/>
      <c r="Z1607" s="36"/>
      <c r="AA1607" s="36"/>
      <c r="AB1607" s="36"/>
      <c r="AC1607" s="36"/>
    </row>
    <row r="1608" ht="15.75" customHeight="1">
      <c r="A1608" s="423">
        <v>43501.0</v>
      </c>
      <c r="B1608" s="424">
        <v>14.2064</v>
      </c>
      <c r="C1608" s="425">
        <v>17.675</v>
      </c>
      <c r="D1608" s="426">
        <v>19.4684</v>
      </c>
      <c r="E1608" s="425">
        <v>14.0844</v>
      </c>
      <c r="F1608" s="425">
        <v>16.7135</v>
      </c>
      <c r="G1608" s="425">
        <v>13.7329</v>
      </c>
      <c r="H1608" s="426">
        <v>26.8908</v>
      </c>
      <c r="I1608" s="426">
        <v>21.2561</v>
      </c>
      <c r="J1608" s="425">
        <v>20.1616</v>
      </c>
      <c r="K1608" s="182">
        <v>10934.35</v>
      </c>
      <c r="L1608" s="36"/>
      <c r="M1608" s="36"/>
      <c r="N1608" s="36"/>
      <c r="O1608" s="36"/>
      <c r="P1608" s="36"/>
      <c r="Q1608" s="36"/>
      <c r="R1608" s="36"/>
      <c r="S1608" s="36"/>
      <c r="T1608" s="36"/>
      <c r="U1608" s="36"/>
      <c r="V1608" s="36"/>
      <c r="W1608" s="36"/>
      <c r="X1608" s="36"/>
      <c r="Y1608" s="36"/>
      <c r="Z1608" s="36"/>
      <c r="AA1608" s="36"/>
      <c r="AB1608" s="36"/>
      <c r="AC1608" s="36"/>
    </row>
    <row r="1609" ht="15.75" customHeight="1">
      <c r="A1609" s="423">
        <v>43502.0</v>
      </c>
      <c r="B1609" s="424">
        <v>14.3495</v>
      </c>
      <c r="C1609" s="425">
        <v>17.6885</v>
      </c>
      <c r="D1609" s="426">
        <v>19.7396</v>
      </c>
      <c r="E1609" s="425">
        <v>14.1133</v>
      </c>
      <c r="F1609" s="425">
        <v>16.8673</v>
      </c>
      <c r="G1609" s="425">
        <v>13.746</v>
      </c>
      <c r="H1609" s="426">
        <v>28.1424</v>
      </c>
      <c r="I1609" s="426">
        <v>22.0369</v>
      </c>
      <c r="J1609" s="425">
        <v>20.1662</v>
      </c>
      <c r="K1609" s="182">
        <v>11062.45</v>
      </c>
      <c r="L1609" s="36"/>
      <c r="M1609" s="36"/>
      <c r="N1609" s="36"/>
      <c r="O1609" s="36"/>
      <c r="P1609" s="36"/>
      <c r="Q1609" s="36"/>
      <c r="R1609" s="36"/>
      <c r="S1609" s="36"/>
      <c r="T1609" s="36"/>
      <c r="U1609" s="36"/>
      <c r="V1609" s="36"/>
      <c r="W1609" s="36"/>
      <c r="X1609" s="36"/>
      <c r="Y1609" s="36"/>
      <c r="Z1609" s="36"/>
      <c r="AA1609" s="36"/>
      <c r="AB1609" s="36"/>
      <c r="AC1609" s="36"/>
    </row>
    <row r="1610" ht="15.75" customHeight="1">
      <c r="A1610" s="423">
        <v>43502.0</v>
      </c>
      <c r="B1610" s="424">
        <v>14.3495</v>
      </c>
      <c r="C1610" s="425">
        <v>17.6885</v>
      </c>
      <c r="D1610" s="426">
        <v>19.7485</v>
      </c>
      <c r="E1610" s="425">
        <v>14.1133</v>
      </c>
      <c r="F1610" s="425">
        <v>16.8673</v>
      </c>
      <c r="G1610" s="425">
        <v>13.746</v>
      </c>
      <c r="H1610" s="426">
        <v>28.1398</v>
      </c>
      <c r="I1610" s="426">
        <v>22.0371</v>
      </c>
      <c r="J1610" s="425">
        <v>20.1662</v>
      </c>
      <c r="K1610" s="182">
        <v>11062.45</v>
      </c>
      <c r="L1610" s="36"/>
      <c r="M1610" s="36"/>
      <c r="N1610" s="36"/>
      <c r="O1610" s="36"/>
      <c r="P1610" s="36"/>
      <c r="Q1610" s="36"/>
      <c r="R1610" s="36"/>
      <c r="S1610" s="36"/>
      <c r="T1610" s="36"/>
      <c r="U1610" s="36"/>
      <c r="V1610" s="36"/>
      <c r="W1610" s="36"/>
      <c r="X1610" s="36"/>
      <c r="Y1610" s="36"/>
      <c r="Z1610" s="36"/>
      <c r="AA1610" s="36"/>
      <c r="AB1610" s="36"/>
      <c r="AC1610" s="36"/>
    </row>
    <row r="1611" ht="15.75" customHeight="1">
      <c r="A1611" s="423">
        <v>43502.0</v>
      </c>
      <c r="B1611" s="424">
        <v>14.3495</v>
      </c>
      <c r="C1611" s="425">
        <v>17.6782</v>
      </c>
      <c r="D1611" s="426">
        <v>19.6393</v>
      </c>
      <c r="E1611" s="425">
        <v>14.1133</v>
      </c>
      <c r="F1611" s="425">
        <v>16.8673</v>
      </c>
      <c r="G1611" s="425">
        <v>13.746</v>
      </c>
      <c r="H1611" s="426">
        <v>27.7879</v>
      </c>
      <c r="I1611" s="426">
        <v>21.9551</v>
      </c>
      <c r="J1611" s="425">
        <v>20.2037</v>
      </c>
      <c r="K1611" s="182">
        <v>11062.45</v>
      </c>
      <c r="L1611" s="36"/>
      <c r="M1611" s="36"/>
      <c r="N1611" s="36"/>
      <c r="O1611" s="36"/>
      <c r="P1611" s="36"/>
      <c r="Q1611" s="36"/>
      <c r="R1611" s="36"/>
      <c r="S1611" s="36"/>
      <c r="T1611" s="36"/>
      <c r="U1611" s="36"/>
      <c r="V1611" s="36"/>
      <c r="W1611" s="36"/>
      <c r="X1611" s="36"/>
      <c r="Y1611" s="36"/>
      <c r="Z1611" s="36"/>
      <c r="AA1611" s="36"/>
      <c r="AB1611" s="36"/>
      <c r="AC1611" s="36"/>
    </row>
    <row r="1612" ht="15.75" customHeight="1">
      <c r="A1612" s="423">
        <v>43502.0</v>
      </c>
      <c r="B1612" s="424">
        <v>14.3495</v>
      </c>
      <c r="C1612" s="425">
        <v>17.6782</v>
      </c>
      <c r="D1612" s="426">
        <v>19.5673</v>
      </c>
      <c r="E1612" s="425">
        <v>14.1133</v>
      </c>
      <c r="F1612" s="425">
        <v>16.8673</v>
      </c>
      <c r="G1612" s="425">
        <v>13.746</v>
      </c>
      <c r="H1612" s="426">
        <v>27.7656</v>
      </c>
      <c r="I1612" s="426">
        <v>21.9095</v>
      </c>
      <c r="J1612" s="425">
        <v>20.2037</v>
      </c>
      <c r="K1612" s="182">
        <v>11062.45</v>
      </c>
      <c r="L1612" s="36"/>
      <c r="M1612" s="36"/>
      <c r="N1612" s="36"/>
      <c r="O1612" s="36"/>
      <c r="P1612" s="36"/>
      <c r="Q1612" s="36"/>
      <c r="R1612" s="36"/>
      <c r="S1612" s="36"/>
      <c r="T1612" s="36"/>
      <c r="U1612" s="36"/>
      <c r="V1612" s="36"/>
      <c r="W1612" s="36"/>
      <c r="X1612" s="36"/>
      <c r="Y1612" s="36"/>
      <c r="Z1612" s="36"/>
      <c r="AA1612" s="36"/>
      <c r="AB1612" s="36"/>
      <c r="AC1612" s="36"/>
    </row>
    <row r="1613" ht="15.75" customHeight="1">
      <c r="A1613" s="423">
        <v>43503.0</v>
      </c>
      <c r="B1613" s="424">
        <v>14.3692</v>
      </c>
      <c r="C1613" s="425">
        <v>17.6945</v>
      </c>
      <c r="D1613" s="426">
        <v>19.7801</v>
      </c>
      <c r="E1613" s="425">
        <v>14.1603</v>
      </c>
      <c r="F1613" s="425">
        <v>16.8934</v>
      </c>
      <c r="G1613" s="425">
        <v>13.7901</v>
      </c>
      <c r="H1613" s="426">
        <v>27.7646</v>
      </c>
      <c r="I1613" s="426">
        <v>21.7146</v>
      </c>
      <c r="J1613" s="425">
        <v>20.0752</v>
      </c>
      <c r="K1613" s="182">
        <v>11069.4</v>
      </c>
      <c r="L1613" s="36"/>
      <c r="M1613" s="36"/>
      <c r="N1613" s="36"/>
      <c r="O1613" s="36"/>
      <c r="P1613" s="36"/>
      <c r="Q1613" s="36"/>
      <c r="R1613" s="36"/>
      <c r="S1613" s="36"/>
      <c r="T1613" s="36"/>
      <c r="U1613" s="36"/>
      <c r="V1613" s="36"/>
      <c r="W1613" s="36"/>
      <c r="X1613" s="36"/>
      <c r="Y1613" s="36"/>
      <c r="Z1613" s="36"/>
      <c r="AA1613" s="36"/>
      <c r="AB1613" s="36"/>
      <c r="AC1613" s="36"/>
    </row>
    <row r="1614" ht="15.75" customHeight="1">
      <c r="A1614" s="423">
        <v>43503.0</v>
      </c>
      <c r="B1614" s="424">
        <v>14.3692</v>
      </c>
      <c r="C1614" s="425">
        <v>17.6945</v>
      </c>
      <c r="D1614" s="426">
        <v>19.7778</v>
      </c>
      <c r="E1614" s="425">
        <v>14.1603</v>
      </c>
      <c r="F1614" s="425">
        <v>16.8934</v>
      </c>
      <c r="G1614" s="425">
        <v>13.7901</v>
      </c>
      <c r="H1614" s="426">
        <v>27.6664</v>
      </c>
      <c r="I1614" s="426">
        <v>21.6516</v>
      </c>
      <c r="J1614" s="425">
        <v>20.0752</v>
      </c>
      <c r="K1614" s="182">
        <v>11069.4</v>
      </c>
      <c r="L1614" s="36"/>
      <c r="M1614" s="36"/>
      <c r="N1614" s="36"/>
      <c r="O1614" s="36"/>
      <c r="P1614" s="36"/>
      <c r="Q1614" s="36"/>
      <c r="R1614" s="36"/>
      <c r="S1614" s="36"/>
      <c r="T1614" s="36"/>
      <c r="U1614" s="36"/>
      <c r="V1614" s="36"/>
      <c r="W1614" s="36"/>
      <c r="X1614" s="36"/>
      <c r="Y1614" s="36"/>
      <c r="Z1614" s="36"/>
      <c r="AA1614" s="36"/>
      <c r="AB1614" s="36"/>
      <c r="AC1614" s="36"/>
    </row>
    <row r="1615" ht="15.75" customHeight="1">
      <c r="A1615" s="423">
        <v>43503.0</v>
      </c>
      <c r="B1615" s="424">
        <v>14.3692</v>
      </c>
      <c r="C1615" s="425">
        <v>17.6924</v>
      </c>
      <c r="D1615" s="426">
        <v>19.7354</v>
      </c>
      <c r="E1615" s="425">
        <v>14.1603</v>
      </c>
      <c r="F1615" s="425">
        <v>16.8934</v>
      </c>
      <c r="G1615" s="425">
        <v>13.7901</v>
      </c>
      <c r="H1615" s="426">
        <v>27.6598</v>
      </c>
      <c r="I1615" s="426">
        <v>21.5503</v>
      </c>
      <c r="J1615" s="425">
        <v>20.0531</v>
      </c>
      <c r="K1615" s="182">
        <v>11069.4</v>
      </c>
      <c r="L1615" s="36"/>
      <c r="M1615" s="36"/>
      <c r="N1615" s="36"/>
      <c r="O1615" s="36"/>
      <c r="P1615" s="36"/>
      <c r="Q1615" s="36"/>
      <c r="R1615" s="36"/>
      <c r="S1615" s="36"/>
      <c r="T1615" s="36"/>
      <c r="U1615" s="36"/>
      <c r="V1615" s="36"/>
      <c r="W1615" s="36"/>
      <c r="X1615" s="36"/>
      <c r="Y1615" s="36"/>
      <c r="Z1615" s="36"/>
      <c r="AA1615" s="36"/>
      <c r="AB1615" s="36"/>
      <c r="AC1615" s="36"/>
    </row>
    <row r="1616" ht="15.75" customHeight="1">
      <c r="A1616" s="423">
        <v>43503.0</v>
      </c>
      <c r="B1616" s="424">
        <v>14.3692</v>
      </c>
      <c r="C1616" s="425">
        <v>17.6924</v>
      </c>
      <c r="D1616" s="426">
        <v>19.7436</v>
      </c>
      <c r="E1616" s="425">
        <v>14.1603</v>
      </c>
      <c r="F1616" s="425">
        <v>16.8934</v>
      </c>
      <c r="G1616" s="425">
        <v>13.7901</v>
      </c>
      <c r="H1616" s="426">
        <v>27.7896</v>
      </c>
      <c r="I1616" s="426">
        <v>21.6938</v>
      </c>
      <c r="J1616" s="425">
        <v>20.0531</v>
      </c>
      <c r="K1616" s="182">
        <v>11069.4</v>
      </c>
      <c r="L1616" s="36"/>
      <c r="M1616" s="36"/>
      <c r="N1616" s="36"/>
      <c r="O1616" s="36"/>
      <c r="P1616" s="36"/>
      <c r="Q1616" s="36"/>
      <c r="R1616" s="36"/>
      <c r="S1616" s="36"/>
      <c r="T1616" s="36"/>
      <c r="U1616" s="36"/>
      <c r="V1616" s="36"/>
      <c r="W1616" s="36"/>
      <c r="X1616" s="36"/>
      <c r="Y1616" s="36"/>
      <c r="Z1616" s="36"/>
      <c r="AA1616" s="36"/>
      <c r="AB1616" s="36"/>
      <c r="AC1616" s="36"/>
    </row>
    <row r="1617" ht="15.75" customHeight="1">
      <c r="A1617" s="423">
        <v>43504.0</v>
      </c>
      <c r="B1617" s="424">
        <v>14.2266</v>
      </c>
      <c r="C1617" s="425">
        <v>17.6998</v>
      </c>
      <c r="D1617" s="426">
        <v>19.7217</v>
      </c>
      <c r="E1617" s="425">
        <v>14.155</v>
      </c>
      <c r="F1617" s="425">
        <v>16.7287</v>
      </c>
      <c r="G1617" s="425">
        <v>13.8028</v>
      </c>
      <c r="H1617" s="426">
        <v>28.0005</v>
      </c>
      <c r="I1617" s="426">
        <v>21.7356</v>
      </c>
      <c r="J1617" s="425">
        <v>19.7847</v>
      </c>
      <c r="K1617" s="182">
        <v>10943.6</v>
      </c>
      <c r="L1617" s="36"/>
      <c r="M1617" s="36"/>
      <c r="N1617" s="36"/>
      <c r="O1617" s="36"/>
      <c r="P1617" s="36"/>
      <c r="Q1617" s="36"/>
      <c r="R1617" s="36"/>
      <c r="S1617" s="36"/>
      <c r="T1617" s="36"/>
      <c r="U1617" s="36"/>
      <c r="V1617" s="36"/>
      <c r="W1617" s="36"/>
      <c r="X1617" s="36"/>
      <c r="Y1617" s="36"/>
      <c r="Z1617" s="36"/>
      <c r="AA1617" s="36"/>
      <c r="AB1617" s="36"/>
      <c r="AC1617" s="36"/>
    </row>
    <row r="1618" ht="15.75" customHeight="1">
      <c r="A1618" s="423">
        <v>43504.0</v>
      </c>
      <c r="B1618" s="424">
        <v>14.2266</v>
      </c>
      <c r="C1618" s="425">
        <v>17.6998</v>
      </c>
      <c r="D1618" s="426">
        <v>19.6848</v>
      </c>
      <c r="E1618" s="425">
        <v>14.155</v>
      </c>
      <c r="F1618" s="425">
        <v>16.7287</v>
      </c>
      <c r="G1618" s="425">
        <v>13.8028</v>
      </c>
      <c r="H1618" s="426">
        <v>28.2181</v>
      </c>
      <c r="I1618" s="426">
        <v>21.9244</v>
      </c>
      <c r="J1618" s="425">
        <v>19.7847</v>
      </c>
      <c r="K1618" s="182">
        <v>10943.6</v>
      </c>
      <c r="L1618" s="36"/>
      <c r="M1618" s="36"/>
      <c r="N1618" s="36"/>
      <c r="O1618" s="36"/>
      <c r="P1618" s="36"/>
      <c r="Q1618" s="36"/>
      <c r="R1618" s="36"/>
      <c r="S1618" s="36"/>
      <c r="T1618" s="36"/>
      <c r="U1618" s="36"/>
      <c r="V1618" s="36"/>
      <c r="W1618" s="36"/>
      <c r="X1618" s="36"/>
      <c r="Y1618" s="36"/>
      <c r="Z1618" s="36"/>
      <c r="AA1618" s="36"/>
      <c r="AB1618" s="36"/>
      <c r="AC1618" s="36"/>
    </row>
    <row r="1619" ht="15.75" customHeight="1">
      <c r="A1619" s="423">
        <v>43504.0</v>
      </c>
      <c r="B1619" s="424">
        <v>14.2266</v>
      </c>
      <c r="C1619" s="425">
        <v>17.6911</v>
      </c>
      <c r="D1619" s="426">
        <v>19.73</v>
      </c>
      <c r="E1619" s="425">
        <v>14.155</v>
      </c>
      <c r="F1619" s="425">
        <v>16.7287</v>
      </c>
      <c r="G1619" s="425">
        <v>13.8028</v>
      </c>
      <c r="H1619" s="426">
        <v>28.2372</v>
      </c>
      <c r="I1619" s="426">
        <v>21.8653</v>
      </c>
      <c r="J1619" s="425">
        <v>19.9399</v>
      </c>
      <c r="K1619" s="182">
        <v>10943.6</v>
      </c>
      <c r="L1619" s="36"/>
      <c r="M1619" s="36"/>
      <c r="N1619" s="36"/>
      <c r="O1619" s="36"/>
      <c r="P1619" s="36"/>
      <c r="Q1619" s="36"/>
      <c r="R1619" s="36"/>
      <c r="S1619" s="36"/>
      <c r="T1619" s="36"/>
      <c r="U1619" s="36"/>
      <c r="V1619" s="36"/>
      <c r="W1619" s="36"/>
      <c r="X1619" s="36"/>
      <c r="Y1619" s="36"/>
      <c r="Z1619" s="36"/>
      <c r="AA1619" s="36"/>
      <c r="AB1619" s="36"/>
      <c r="AC1619" s="36"/>
    </row>
    <row r="1620" ht="15.75" customHeight="1">
      <c r="A1620" s="423">
        <v>43504.0</v>
      </c>
      <c r="B1620" s="424">
        <v>14.2266</v>
      </c>
      <c r="C1620" s="425">
        <v>17.6911</v>
      </c>
      <c r="D1620" s="426">
        <v>19.7112</v>
      </c>
      <c r="E1620" s="425">
        <v>14.155</v>
      </c>
      <c r="F1620" s="425">
        <v>16.7287</v>
      </c>
      <c r="G1620" s="425">
        <v>13.8028</v>
      </c>
      <c r="H1620" s="426">
        <v>28.0359</v>
      </c>
      <c r="I1620" s="426">
        <v>21.8657</v>
      </c>
      <c r="J1620" s="425">
        <v>19.9399</v>
      </c>
      <c r="K1620" s="182">
        <v>10943.6</v>
      </c>
      <c r="L1620" s="36"/>
      <c r="M1620" s="36"/>
      <c r="N1620" s="36"/>
      <c r="O1620" s="36"/>
      <c r="P1620" s="36"/>
      <c r="Q1620" s="36"/>
      <c r="R1620" s="36"/>
      <c r="S1620" s="36"/>
      <c r="T1620" s="36"/>
      <c r="U1620" s="36"/>
      <c r="V1620" s="36"/>
      <c r="W1620" s="36"/>
      <c r="X1620" s="36"/>
      <c r="Y1620" s="36"/>
      <c r="Z1620" s="36"/>
      <c r="AA1620" s="36"/>
      <c r="AB1620" s="36"/>
      <c r="AC1620" s="36"/>
    </row>
    <row r="1621" ht="15.75" customHeight="1">
      <c r="A1621" s="423">
        <v>43507.0</v>
      </c>
      <c r="B1621" s="424">
        <v>14.1514</v>
      </c>
      <c r="C1621" s="425">
        <v>17.5045</v>
      </c>
      <c r="D1621" s="426">
        <v>19.6965</v>
      </c>
      <c r="E1621" s="425">
        <v>14.1609</v>
      </c>
      <c r="F1621" s="425">
        <v>16.6527</v>
      </c>
      <c r="G1621" s="425">
        <v>13.812</v>
      </c>
      <c r="H1621" s="426">
        <v>27.8444</v>
      </c>
      <c r="I1621" s="426">
        <v>21.7396</v>
      </c>
      <c r="J1621" s="425">
        <v>19.7938</v>
      </c>
      <c r="K1621" s="182">
        <v>10888.8</v>
      </c>
      <c r="L1621" s="36"/>
      <c r="M1621" s="36"/>
      <c r="N1621" s="36"/>
      <c r="O1621" s="36"/>
      <c r="P1621" s="36"/>
      <c r="Q1621" s="36"/>
      <c r="R1621" s="36"/>
      <c r="S1621" s="36"/>
      <c r="T1621" s="36"/>
      <c r="U1621" s="36"/>
      <c r="V1621" s="36"/>
      <c r="W1621" s="36"/>
      <c r="X1621" s="36"/>
      <c r="Y1621" s="36"/>
      <c r="Z1621" s="36"/>
      <c r="AA1621" s="36"/>
      <c r="AB1621" s="36"/>
      <c r="AC1621" s="36"/>
    </row>
    <row r="1622" ht="15.75" customHeight="1">
      <c r="A1622" s="423">
        <v>43507.0</v>
      </c>
      <c r="B1622" s="424">
        <v>14.1514</v>
      </c>
      <c r="C1622" s="425">
        <v>17.5045</v>
      </c>
      <c r="D1622" s="426">
        <v>19.6456</v>
      </c>
      <c r="E1622" s="425">
        <v>14.1609</v>
      </c>
      <c r="F1622" s="425">
        <v>16.6527</v>
      </c>
      <c r="G1622" s="425">
        <v>13.812</v>
      </c>
      <c r="H1622" s="426">
        <v>27.8518</v>
      </c>
      <c r="I1622" s="426">
        <v>21.6936</v>
      </c>
      <c r="J1622" s="425">
        <v>19.7938</v>
      </c>
      <c r="K1622" s="182">
        <v>10888.8</v>
      </c>
      <c r="L1622" s="36"/>
      <c r="M1622" s="36"/>
      <c r="N1622" s="36"/>
      <c r="O1622" s="36"/>
      <c r="P1622" s="36"/>
      <c r="Q1622" s="36"/>
      <c r="R1622" s="36"/>
      <c r="S1622" s="36"/>
      <c r="T1622" s="36"/>
      <c r="U1622" s="36"/>
      <c r="V1622" s="36"/>
      <c r="W1622" s="36"/>
      <c r="X1622" s="36"/>
      <c r="Y1622" s="36"/>
      <c r="Z1622" s="36"/>
      <c r="AA1622" s="36"/>
      <c r="AB1622" s="36"/>
      <c r="AC1622" s="36"/>
    </row>
    <row r="1623" ht="15.75" customHeight="1">
      <c r="A1623" s="423">
        <v>43507.0</v>
      </c>
      <c r="B1623" s="424">
        <v>14.1514</v>
      </c>
      <c r="C1623" s="425">
        <v>17.7032</v>
      </c>
      <c r="D1623" s="426">
        <v>19.6869</v>
      </c>
      <c r="E1623" s="425">
        <v>14.1609</v>
      </c>
      <c r="F1623" s="425">
        <v>16.6527</v>
      </c>
      <c r="G1623" s="425">
        <v>13.812</v>
      </c>
      <c r="H1623" s="426">
        <v>27.8695</v>
      </c>
      <c r="I1623" s="426">
        <v>21.6149</v>
      </c>
      <c r="J1623" s="425">
        <v>19.7774</v>
      </c>
      <c r="K1623" s="182">
        <v>10888.8</v>
      </c>
      <c r="L1623" s="36"/>
      <c r="M1623" s="36"/>
      <c r="N1623" s="36"/>
      <c r="O1623" s="36"/>
      <c r="P1623" s="36"/>
      <c r="Q1623" s="36"/>
      <c r="R1623" s="36"/>
      <c r="S1623" s="36"/>
      <c r="T1623" s="36"/>
      <c r="U1623" s="36"/>
      <c r="V1623" s="36"/>
      <c r="W1623" s="36"/>
      <c r="X1623" s="36"/>
      <c r="Y1623" s="36"/>
      <c r="Z1623" s="36"/>
      <c r="AA1623" s="36"/>
      <c r="AB1623" s="36"/>
      <c r="AC1623" s="36"/>
    </row>
    <row r="1624" ht="15.75" customHeight="1">
      <c r="A1624" s="423">
        <v>43507.0</v>
      </c>
      <c r="B1624" s="424">
        <v>14.1514</v>
      </c>
      <c r="C1624" s="425">
        <v>17.7032</v>
      </c>
      <c r="D1624" s="426">
        <v>19.6941</v>
      </c>
      <c r="E1624" s="425">
        <v>14.1609</v>
      </c>
      <c r="F1624" s="425">
        <v>16.6527</v>
      </c>
      <c r="G1624" s="425">
        <v>13.812</v>
      </c>
      <c r="H1624" s="426">
        <v>27.8245</v>
      </c>
      <c r="I1624" s="426">
        <v>21.5553</v>
      </c>
      <c r="J1624" s="425">
        <v>19.7774</v>
      </c>
      <c r="K1624" s="182">
        <v>10888.8</v>
      </c>
      <c r="L1624" s="36"/>
      <c r="M1624" s="36"/>
      <c r="N1624" s="36"/>
      <c r="O1624" s="36"/>
      <c r="P1624" s="36"/>
      <c r="Q1624" s="36"/>
      <c r="R1624" s="36"/>
      <c r="S1624" s="36"/>
      <c r="T1624" s="36"/>
      <c r="U1624" s="36"/>
      <c r="V1624" s="36"/>
      <c r="W1624" s="36"/>
      <c r="X1624" s="36"/>
      <c r="Y1624" s="36"/>
      <c r="Z1624" s="36"/>
      <c r="AA1624" s="36"/>
      <c r="AB1624" s="36"/>
      <c r="AC1624" s="36"/>
    </row>
    <row r="1625" ht="15.75" customHeight="1">
      <c r="A1625" s="423">
        <v>43508.0</v>
      </c>
      <c r="B1625" s="424">
        <v>14.0923</v>
      </c>
      <c r="C1625" s="425">
        <v>17.4932</v>
      </c>
      <c r="D1625" s="426">
        <v>19.7617</v>
      </c>
      <c r="E1625" s="425">
        <v>14.1488</v>
      </c>
      <c r="F1625" s="425">
        <v>16.5857</v>
      </c>
      <c r="G1625" s="425">
        <v>13.8022</v>
      </c>
      <c r="H1625" s="426">
        <v>27.7172</v>
      </c>
      <c r="I1625" s="426">
        <v>21.6169</v>
      </c>
      <c r="J1625" s="425">
        <v>20.0455</v>
      </c>
      <c r="K1625" s="182">
        <v>10831.4</v>
      </c>
      <c r="L1625" s="36"/>
      <c r="M1625" s="36"/>
      <c r="N1625" s="36"/>
      <c r="O1625" s="36"/>
      <c r="P1625" s="36"/>
      <c r="Q1625" s="36"/>
      <c r="R1625" s="36"/>
      <c r="S1625" s="36"/>
      <c r="T1625" s="36"/>
      <c r="U1625" s="36"/>
      <c r="V1625" s="36"/>
      <c r="W1625" s="36"/>
      <c r="X1625" s="36"/>
      <c r="Y1625" s="36"/>
      <c r="Z1625" s="36"/>
      <c r="AA1625" s="36"/>
      <c r="AB1625" s="36"/>
      <c r="AC1625" s="36"/>
    </row>
    <row r="1626" ht="15.75" customHeight="1">
      <c r="A1626" s="423">
        <v>43508.0</v>
      </c>
      <c r="B1626" s="424">
        <v>14.0923</v>
      </c>
      <c r="C1626" s="425">
        <v>17.4932</v>
      </c>
      <c r="D1626" s="426">
        <v>19.7032</v>
      </c>
      <c r="E1626" s="425">
        <v>14.1488</v>
      </c>
      <c r="F1626" s="425">
        <v>16.5857</v>
      </c>
      <c r="G1626" s="425">
        <v>13.8022</v>
      </c>
      <c r="H1626" s="426">
        <v>27.8694</v>
      </c>
      <c r="I1626" s="426">
        <v>21.6937</v>
      </c>
      <c r="J1626" s="425">
        <v>20.0455</v>
      </c>
      <c r="K1626" s="182">
        <v>10831.4</v>
      </c>
      <c r="L1626" s="36"/>
      <c r="M1626" s="36"/>
      <c r="N1626" s="36"/>
      <c r="O1626" s="36"/>
      <c r="P1626" s="36"/>
      <c r="Q1626" s="36"/>
      <c r="R1626" s="36"/>
      <c r="S1626" s="36"/>
      <c r="T1626" s="36"/>
      <c r="U1626" s="36"/>
      <c r="V1626" s="36"/>
      <c r="W1626" s="36"/>
      <c r="X1626" s="36"/>
      <c r="Y1626" s="36"/>
      <c r="Z1626" s="36"/>
      <c r="AA1626" s="36"/>
      <c r="AB1626" s="36"/>
      <c r="AC1626" s="36"/>
    </row>
    <row r="1627" ht="15.75" customHeight="1">
      <c r="A1627" s="423">
        <v>43508.0</v>
      </c>
      <c r="B1627" s="424">
        <v>14.0923</v>
      </c>
      <c r="C1627" s="425">
        <v>17.5103</v>
      </c>
      <c r="D1627" s="426">
        <v>19.7011</v>
      </c>
      <c r="E1627" s="425">
        <v>14.1488</v>
      </c>
      <c r="F1627" s="425">
        <v>16.5857</v>
      </c>
      <c r="G1627" s="425">
        <v>13.8022</v>
      </c>
      <c r="H1627" s="426">
        <v>27.926</v>
      </c>
      <c r="I1627" s="426">
        <v>21.7701</v>
      </c>
      <c r="J1627" s="425">
        <v>20.0055</v>
      </c>
      <c r="K1627" s="182">
        <v>10831.4</v>
      </c>
      <c r="L1627" s="36"/>
      <c r="M1627" s="36"/>
      <c r="N1627" s="36"/>
      <c r="O1627" s="36"/>
      <c r="P1627" s="36"/>
      <c r="Q1627" s="36"/>
      <c r="R1627" s="36"/>
      <c r="S1627" s="36"/>
      <c r="T1627" s="36"/>
      <c r="U1627" s="36"/>
      <c r="V1627" s="36"/>
      <c r="W1627" s="36"/>
      <c r="X1627" s="36"/>
      <c r="Y1627" s="36"/>
      <c r="Z1627" s="36"/>
      <c r="AA1627" s="36"/>
      <c r="AB1627" s="36"/>
      <c r="AC1627" s="36"/>
    </row>
    <row r="1628" ht="15.75" customHeight="1">
      <c r="A1628" s="423">
        <v>43508.0</v>
      </c>
      <c r="B1628" s="424">
        <v>14.0923</v>
      </c>
      <c r="C1628" s="425">
        <v>17.5103</v>
      </c>
      <c r="D1628" s="426">
        <v>19.7014</v>
      </c>
      <c r="E1628" s="425">
        <v>14.1488</v>
      </c>
      <c r="F1628" s="425">
        <v>16.5857</v>
      </c>
      <c r="G1628" s="425">
        <v>13.8022</v>
      </c>
      <c r="H1628" s="426">
        <v>27.827</v>
      </c>
      <c r="I1628" s="426">
        <v>21.8082</v>
      </c>
      <c r="J1628" s="425">
        <v>20.0055</v>
      </c>
      <c r="K1628" s="182">
        <v>10831.4</v>
      </c>
      <c r="L1628" s="36"/>
      <c r="M1628" s="36"/>
      <c r="N1628" s="36"/>
      <c r="O1628" s="36"/>
      <c r="P1628" s="36"/>
      <c r="Q1628" s="36"/>
      <c r="R1628" s="36"/>
      <c r="S1628" s="36"/>
      <c r="T1628" s="36"/>
      <c r="U1628" s="36"/>
      <c r="V1628" s="36"/>
      <c r="W1628" s="36"/>
      <c r="X1628" s="36"/>
      <c r="Y1628" s="36"/>
      <c r="Z1628" s="36"/>
      <c r="AA1628" s="36"/>
      <c r="AB1628" s="36"/>
      <c r="AC1628" s="36"/>
    </row>
    <row r="1629" ht="15.75" customHeight="1">
      <c r="A1629" s="423">
        <v>43509.0</v>
      </c>
      <c r="B1629" s="424">
        <v>14.026</v>
      </c>
      <c r="C1629" s="425">
        <v>17.4992</v>
      </c>
      <c r="D1629" s="426">
        <v>19.6616</v>
      </c>
      <c r="E1629" s="425">
        <v>14.1979</v>
      </c>
      <c r="F1629" s="425">
        <v>16.5179</v>
      </c>
      <c r="G1629" s="425">
        <v>13.8495</v>
      </c>
      <c r="H1629" s="426">
        <v>27.6486</v>
      </c>
      <c r="I1629" s="426">
        <v>21.8696</v>
      </c>
      <c r="J1629" s="425">
        <v>20.0565</v>
      </c>
      <c r="K1629" s="182">
        <v>10793.65</v>
      </c>
      <c r="L1629" s="36"/>
      <c r="M1629" s="36"/>
      <c r="N1629" s="36"/>
      <c r="O1629" s="36"/>
      <c r="P1629" s="36"/>
      <c r="Q1629" s="36"/>
      <c r="R1629" s="36"/>
      <c r="S1629" s="36"/>
      <c r="T1629" s="36"/>
      <c r="U1629" s="36"/>
      <c r="V1629" s="36"/>
      <c r="W1629" s="36"/>
      <c r="X1629" s="36"/>
      <c r="Y1629" s="36"/>
      <c r="Z1629" s="36"/>
      <c r="AA1629" s="36"/>
      <c r="AB1629" s="36"/>
      <c r="AC1629" s="36"/>
    </row>
    <row r="1630" ht="15.75" customHeight="1">
      <c r="A1630" s="423">
        <v>43509.0</v>
      </c>
      <c r="B1630" s="424">
        <v>14.026</v>
      </c>
      <c r="C1630" s="425">
        <v>17.4992</v>
      </c>
      <c r="D1630" s="426">
        <v>19.69</v>
      </c>
      <c r="E1630" s="425">
        <v>14.1979</v>
      </c>
      <c r="F1630" s="425">
        <v>16.5179</v>
      </c>
      <c r="G1630" s="425">
        <v>13.8495</v>
      </c>
      <c r="H1630" s="426">
        <v>27.7748</v>
      </c>
      <c r="I1630" s="426">
        <v>21.8777</v>
      </c>
      <c r="J1630" s="425">
        <v>20.0565</v>
      </c>
      <c r="K1630" s="182">
        <v>10793.65</v>
      </c>
      <c r="L1630" s="36"/>
      <c r="M1630" s="36"/>
      <c r="N1630" s="36"/>
      <c r="O1630" s="36"/>
      <c r="P1630" s="36"/>
      <c r="Q1630" s="36"/>
      <c r="R1630" s="36"/>
      <c r="S1630" s="36"/>
      <c r="T1630" s="36"/>
      <c r="U1630" s="36"/>
      <c r="V1630" s="36"/>
      <c r="W1630" s="36"/>
      <c r="X1630" s="36"/>
      <c r="Y1630" s="36"/>
      <c r="Z1630" s="36"/>
      <c r="AA1630" s="36"/>
      <c r="AB1630" s="36"/>
      <c r="AC1630" s="36"/>
    </row>
    <row r="1631" ht="15.75" customHeight="1">
      <c r="A1631" s="423">
        <v>43509.0</v>
      </c>
      <c r="B1631" s="424">
        <v>14.026</v>
      </c>
      <c r="C1631" s="425">
        <v>17.4964</v>
      </c>
      <c r="D1631" s="426">
        <v>19.6822</v>
      </c>
      <c r="E1631" s="425">
        <v>14.1979</v>
      </c>
      <c r="F1631" s="425">
        <v>16.5179</v>
      </c>
      <c r="G1631" s="425">
        <v>13.8495</v>
      </c>
      <c r="H1631" s="426">
        <v>27.7886</v>
      </c>
      <c r="I1631" s="426">
        <v>21.8647</v>
      </c>
      <c r="J1631" s="425">
        <v>20.0299</v>
      </c>
      <c r="K1631" s="182">
        <v>10793.65</v>
      </c>
      <c r="L1631" s="36"/>
      <c r="M1631" s="36"/>
      <c r="N1631" s="36"/>
      <c r="O1631" s="36"/>
      <c r="P1631" s="36"/>
      <c r="Q1631" s="36"/>
      <c r="R1631" s="36"/>
      <c r="S1631" s="36"/>
      <c r="T1631" s="36"/>
      <c r="U1631" s="36"/>
      <c r="V1631" s="36"/>
      <c r="W1631" s="36"/>
      <c r="X1631" s="36"/>
      <c r="Y1631" s="36"/>
      <c r="Z1631" s="36"/>
      <c r="AA1631" s="36"/>
      <c r="AB1631" s="36"/>
      <c r="AC1631" s="36"/>
    </row>
    <row r="1632" ht="15.75" customHeight="1">
      <c r="A1632" s="423">
        <v>43509.0</v>
      </c>
      <c r="B1632" s="424">
        <v>14.026</v>
      </c>
      <c r="C1632" s="425">
        <v>17.4964</v>
      </c>
      <c r="D1632" s="426">
        <v>19.7414</v>
      </c>
      <c r="E1632" s="425">
        <v>14.1979</v>
      </c>
      <c r="F1632" s="425">
        <v>16.5179</v>
      </c>
      <c r="G1632" s="425">
        <v>13.8495</v>
      </c>
      <c r="H1632" s="426">
        <v>27.8147</v>
      </c>
      <c r="I1632" s="426">
        <v>21.8461</v>
      </c>
      <c r="J1632" s="425">
        <v>20.0299</v>
      </c>
      <c r="K1632" s="182">
        <v>10793.65</v>
      </c>
      <c r="L1632" s="36"/>
      <c r="M1632" s="36"/>
      <c r="N1632" s="36"/>
      <c r="O1632" s="36"/>
      <c r="P1632" s="36"/>
      <c r="Q1632" s="36"/>
      <c r="R1632" s="36"/>
      <c r="S1632" s="36"/>
      <c r="T1632" s="36"/>
      <c r="U1632" s="36"/>
      <c r="V1632" s="36"/>
      <c r="W1632" s="36"/>
      <c r="X1632" s="36"/>
      <c r="Y1632" s="36"/>
      <c r="Z1632" s="36"/>
      <c r="AA1632" s="36"/>
      <c r="AB1632" s="36"/>
      <c r="AC1632" s="36"/>
    </row>
    <row r="1633" ht="15.75" customHeight="1">
      <c r="A1633" s="423">
        <v>43510.0</v>
      </c>
      <c r="B1633" s="424">
        <v>13.9914</v>
      </c>
      <c r="C1633" s="425">
        <v>17.5587</v>
      </c>
      <c r="D1633" s="426">
        <v>19.6884</v>
      </c>
      <c r="E1633" s="425">
        <v>14.1728</v>
      </c>
      <c r="F1633" s="425">
        <v>16.4771</v>
      </c>
      <c r="G1633" s="425">
        <v>13.842</v>
      </c>
      <c r="H1633" s="426">
        <v>27.2641</v>
      </c>
      <c r="I1633" s="426">
        <v>21.7342</v>
      </c>
      <c r="J1633" s="425">
        <v>20.2693</v>
      </c>
      <c r="K1633" s="182">
        <v>10746.05</v>
      </c>
      <c r="L1633" s="36"/>
      <c r="M1633" s="36"/>
      <c r="N1633" s="36"/>
      <c r="O1633" s="36"/>
      <c r="P1633" s="36"/>
      <c r="Q1633" s="36"/>
      <c r="R1633" s="36"/>
      <c r="S1633" s="36"/>
      <c r="T1633" s="36"/>
      <c r="U1633" s="36"/>
      <c r="V1633" s="36"/>
      <c r="W1633" s="36"/>
      <c r="X1633" s="36"/>
      <c r="Y1633" s="36"/>
      <c r="Z1633" s="36"/>
      <c r="AA1633" s="36"/>
      <c r="AB1633" s="36"/>
      <c r="AC1633" s="36"/>
    </row>
    <row r="1634" ht="15.75" customHeight="1">
      <c r="A1634" s="423">
        <v>43510.0</v>
      </c>
      <c r="B1634" s="424">
        <v>13.9914</v>
      </c>
      <c r="C1634" s="425">
        <v>17.5587</v>
      </c>
      <c r="D1634" s="426">
        <v>19.6816</v>
      </c>
      <c r="E1634" s="425">
        <v>14.1728</v>
      </c>
      <c r="F1634" s="425">
        <v>16.4771</v>
      </c>
      <c r="G1634" s="425">
        <v>13.842</v>
      </c>
      <c r="H1634" s="426">
        <v>27.3356</v>
      </c>
      <c r="I1634" s="426">
        <v>21.7076</v>
      </c>
      <c r="J1634" s="425">
        <v>20.2693</v>
      </c>
      <c r="K1634" s="182">
        <v>10746.05</v>
      </c>
      <c r="L1634" s="36"/>
      <c r="M1634" s="36"/>
      <c r="N1634" s="36"/>
      <c r="O1634" s="36"/>
      <c r="P1634" s="36"/>
      <c r="Q1634" s="36"/>
      <c r="R1634" s="36"/>
      <c r="S1634" s="36"/>
      <c r="T1634" s="36"/>
      <c r="U1634" s="36"/>
      <c r="V1634" s="36"/>
      <c r="W1634" s="36"/>
      <c r="X1634" s="36"/>
      <c r="Y1634" s="36"/>
      <c r="Z1634" s="36"/>
      <c r="AA1634" s="36"/>
      <c r="AB1634" s="36"/>
      <c r="AC1634" s="36"/>
    </row>
    <row r="1635" ht="15.75" customHeight="1">
      <c r="A1635" s="423">
        <v>43510.0</v>
      </c>
      <c r="B1635" s="424">
        <v>13.9914</v>
      </c>
      <c r="C1635" s="425">
        <v>17.5109</v>
      </c>
      <c r="D1635" s="426">
        <v>19.698</v>
      </c>
      <c r="E1635" s="425">
        <v>14.1728</v>
      </c>
      <c r="F1635" s="425">
        <v>16.4771</v>
      </c>
      <c r="G1635" s="425">
        <v>13.842</v>
      </c>
      <c r="H1635" s="426">
        <v>27.3703</v>
      </c>
      <c r="I1635" s="426">
        <v>21.8665</v>
      </c>
      <c r="J1635" s="425">
        <v>20.2128</v>
      </c>
      <c r="K1635" s="182">
        <v>10746.05</v>
      </c>
      <c r="L1635" s="36"/>
      <c r="M1635" s="36"/>
      <c r="N1635" s="36"/>
      <c r="O1635" s="36"/>
      <c r="P1635" s="36"/>
      <c r="Q1635" s="36"/>
      <c r="R1635" s="36"/>
      <c r="S1635" s="36"/>
      <c r="T1635" s="36"/>
      <c r="U1635" s="36"/>
      <c r="V1635" s="36"/>
      <c r="W1635" s="36"/>
      <c r="X1635" s="36"/>
      <c r="Y1635" s="36"/>
      <c r="Z1635" s="36"/>
      <c r="AA1635" s="36"/>
      <c r="AB1635" s="36"/>
      <c r="AC1635" s="36"/>
    </row>
    <row r="1636" ht="15.75" customHeight="1">
      <c r="A1636" s="423">
        <v>43510.0</v>
      </c>
      <c r="B1636" s="424">
        <v>13.9914</v>
      </c>
      <c r="C1636" s="425">
        <v>17.5109</v>
      </c>
      <c r="D1636" s="426">
        <v>19.6602</v>
      </c>
      <c r="E1636" s="425">
        <v>14.1728</v>
      </c>
      <c r="F1636" s="425">
        <v>16.4771</v>
      </c>
      <c r="G1636" s="425">
        <v>13.842</v>
      </c>
      <c r="H1636" s="426">
        <v>27.5203</v>
      </c>
      <c r="I1636" s="426">
        <v>21.9518</v>
      </c>
      <c r="J1636" s="425">
        <v>20.2128</v>
      </c>
      <c r="K1636" s="182">
        <v>10746.05</v>
      </c>
      <c r="L1636" s="36"/>
      <c r="M1636" s="36"/>
      <c r="N1636" s="36"/>
      <c r="O1636" s="36"/>
      <c r="P1636" s="36"/>
      <c r="Q1636" s="36"/>
      <c r="R1636" s="36"/>
      <c r="S1636" s="36"/>
      <c r="T1636" s="36"/>
      <c r="U1636" s="36"/>
      <c r="V1636" s="36"/>
      <c r="W1636" s="36"/>
      <c r="X1636" s="36"/>
      <c r="Y1636" s="36"/>
      <c r="Z1636" s="36"/>
      <c r="AA1636" s="36"/>
      <c r="AB1636" s="36"/>
      <c r="AC1636" s="36"/>
    </row>
    <row r="1637" ht="15.75" customHeight="1">
      <c r="A1637" s="423">
        <v>43511.0</v>
      </c>
      <c r="B1637" s="424">
        <v>13.9717</v>
      </c>
      <c r="C1637" s="425">
        <v>17.5763</v>
      </c>
      <c r="D1637" s="426">
        <v>19.6707</v>
      </c>
      <c r="E1637" s="425">
        <v>14.1454</v>
      </c>
      <c r="F1637" s="425">
        <v>16.449</v>
      </c>
      <c r="G1637" s="425">
        <v>13.8359</v>
      </c>
      <c r="H1637" s="426">
        <v>26.9187</v>
      </c>
      <c r="I1637" s="426">
        <v>21.3619</v>
      </c>
      <c r="J1637" s="425">
        <v>20.0269</v>
      </c>
      <c r="K1637" s="182">
        <v>10724.4</v>
      </c>
      <c r="L1637" s="36"/>
      <c r="M1637" s="36"/>
      <c r="N1637" s="36"/>
      <c r="O1637" s="36"/>
      <c r="P1637" s="36"/>
      <c r="Q1637" s="36"/>
      <c r="R1637" s="36"/>
      <c r="S1637" s="36"/>
      <c r="T1637" s="36"/>
      <c r="U1637" s="36"/>
      <c r="V1637" s="36"/>
      <c r="W1637" s="36"/>
      <c r="X1637" s="36"/>
      <c r="Y1637" s="36"/>
      <c r="Z1637" s="36"/>
      <c r="AA1637" s="36"/>
      <c r="AB1637" s="36"/>
      <c r="AC1637" s="36"/>
    </row>
    <row r="1638" ht="15.75" customHeight="1">
      <c r="A1638" s="423">
        <v>43511.0</v>
      </c>
      <c r="B1638" s="424">
        <v>13.9717</v>
      </c>
      <c r="C1638" s="425">
        <v>17.5763</v>
      </c>
      <c r="D1638" s="426">
        <v>19.7187</v>
      </c>
      <c r="E1638" s="425">
        <v>14.1454</v>
      </c>
      <c r="F1638" s="425">
        <v>16.449</v>
      </c>
      <c r="G1638" s="425">
        <v>13.8359</v>
      </c>
      <c r="H1638" s="426">
        <v>26.7977</v>
      </c>
      <c r="I1638" s="426">
        <v>21.3136</v>
      </c>
      <c r="J1638" s="425">
        <v>20.0269</v>
      </c>
      <c r="K1638" s="182">
        <v>10724.4</v>
      </c>
      <c r="L1638" s="36"/>
      <c r="M1638" s="36"/>
      <c r="N1638" s="36"/>
      <c r="O1638" s="36"/>
      <c r="P1638" s="36"/>
      <c r="Q1638" s="36"/>
      <c r="R1638" s="36"/>
      <c r="S1638" s="36"/>
      <c r="T1638" s="36"/>
      <c r="U1638" s="36"/>
      <c r="V1638" s="36"/>
      <c r="W1638" s="36"/>
      <c r="X1638" s="36"/>
      <c r="Y1638" s="36"/>
      <c r="Z1638" s="36"/>
      <c r="AA1638" s="36"/>
      <c r="AB1638" s="36"/>
      <c r="AC1638" s="36"/>
    </row>
    <row r="1639" ht="15.75" customHeight="1">
      <c r="A1639" s="423">
        <v>43511.0</v>
      </c>
      <c r="B1639" s="424">
        <v>13.9717</v>
      </c>
      <c r="C1639" s="425">
        <v>17.5659</v>
      </c>
      <c r="D1639" s="426">
        <v>19.7132</v>
      </c>
      <c r="E1639" s="425">
        <v>14.1454</v>
      </c>
      <c r="F1639" s="425">
        <v>16.449</v>
      </c>
      <c r="G1639" s="425">
        <v>13.8359</v>
      </c>
      <c r="H1639" s="426">
        <v>26.7283</v>
      </c>
      <c r="I1639" s="426">
        <v>21.3213</v>
      </c>
      <c r="J1639" s="425">
        <v>20.1091</v>
      </c>
      <c r="K1639" s="182">
        <v>10724.4</v>
      </c>
      <c r="L1639" s="36"/>
      <c r="M1639" s="36"/>
      <c r="N1639" s="36"/>
      <c r="O1639" s="36"/>
      <c r="P1639" s="36"/>
      <c r="Q1639" s="36"/>
      <c r="R1639" s="36"/>
      <c r="S1639" s="36"/>
      <c r="T1639" s="36"/>
      <c r="U1639" s="36"/>
      <c r="V1639" s="36"/>
      <c r="W1639" s="36"/>
      <c r="X1639" s="36"/>
      <c r="Y1639" s="36"/>
      <c r="Z1639" s="36"/>
      <c r="AA1639" s="36"/>
      <c r="AB1639" s="36"/>
      <c r="AC1639" s="36"/>
    </row>
    <row r="1640" ht="15.75" customHeight="1">
      <c r="A1640" s="423">
        <v>43511.0</v>
      </c>
      <c r="B1640" s="424">
        <v>13.9717</v>
      </c>
      <c r="C1640" s="425">
        <v>17.5659</v>
      </c>
      <c r="D1640" s="426">
        <v>19.6986</v>
      </c>
      <c r="E1640" s="425">
        <v>14.1454</v>
      </c>
      <c r="F1640" s="425">
        <v>16.449</v>
      </c>
      <c r="G1640" s="425">
        <v>13.8359</v>
      </c>
      <c r="H1640" s="426">
        <v>26.9562</v>
      </c>
      <c r="I1640" s="426">
        <v>21.5352</v>
      </c>
      <c r="J1640" s="425">
        <v>20.1091</v>
      </c>
      <c r="K1640" s="182">
        <v>10724.4</v>
      </c>
      <c r="L1640" s="36"/>
      <c r="M1640" s="36"/>
      <c r="N1640" s="36"/>
      <c r="O1640" s="36"/>
      <c r="P1640" s="36"/>
      <c r="Q1640" s="36"/>
      <c r="R1640" s="36"/>
      <c r="S1640" s="36"/>
      <c r="T1640" s="36"/>
      <c r="U1640" s="36"/>
      <c r="V1640" s="36"/>
      <c r="W1640" s="36"/>
      <c r="X1640" s="36"/>
      <c r="Y1640" s="36"/>
      <c r="Z1640" s="36"/>
      <c r="AA1640" s="36"/>
      <c r="AB1640" s="36"/>
      <c r="AC1640" s="36"/>
    </row>
    <row r="1641" ht="15.75" customHeight="1">
      <c r="A1641" s="423">
        <v>43514.0</v>
      </c>
      <c r="B1641" s="424">
        <v>13.8659</v>
      </c>
      <c r="C1641" s="425">
        <v>17.6102</v>
      </c>
      <c r="D1641" s="426">
        <v>19.6043</v>
      </c>
      <c r="E1641" s="425">
        <v>14.1453</v>
      </c>
      <c r="F1641" s="425">
        <v>16.3304</v>
      </c>
      <c r="G1641" s="425">
        <v>13.8198</v>
      </c>
      <c r="H1641" s="426">
        <v>27.0385</v>
      </c>
      <c r="I1641" s="426">
        <v>21.778</v>
      </c>
      <c r="J1641" s="425">
        <v>19.9125</v>
      </c>
      <c r="K1641" s="182">
        <v>10640.95</v>
      </c>
      <c r="L1641" s="36"/>
      <c r="M1641" s="36"/>
      <c r="N1641" s="36"/>
      <c r="O1641" s="36"/>
      <c r="P1641" s="36"/>
      <c r="Q1641" s="36"/>
      <c r="R1641" s="36"/>
      <c r="S1641" s="36"/>
      <c r="T1641" s="36"/>
      <c r="U1641" s="36"/>
      <c r="V1641" s="36"/>
      <c r="W1641" s="36"/>
      <c r="X1641" s="36"/>
      <c r="Y1641" s="36"/>
      <c r="Z1641" s="36"/>
      <c r="AA1641" s="36"/>
      <c r="AB1641" s="36"/>
      <c r="AC1641" s="36"/>
    </row>
    <row r="1642" ht="15.75" customHeight="1">
      <c r="A1642" s="423">
        <v>43514.0</v>
      </c>
      <c r="B1642" s="424">
        <v>13.8659</v>
      </c>
      <c r="C1642" s="425">
        <v>17.6102</v>
      </c>
      <c r="D1642" s="426">
        <v>19.5849</v>
      </c>
      <c r="E1642" s="425">
        <v>14.1453</v>
      </c>
      <c r="F1642" s="425">
        <v>16.3304</v>
      </c>
      <c r="G1642" s="425">
        <v>13.8198</v>
      </c>
      <c r="H1642" s="426">
        <v>27.1007</v>
      </c>
      <c r="I1642" s="426">
        <v>21.7519</v>
      </c>
      <c r="J1642" s="425">
        <v>19.9125</v>
      </c>
      <c r="K1642" s="182">
        <v>10640.95</v>
      </c>
      <c r="L1642" s="36"/>
      <c r="M1642" s="36"/>
      <c r="N1642" s="36"/>
      <c r="O1642" s="36"/>
      <c r="P1642" s="36"/>
      <c r="Q1642" s="36"/>
      <c r="R1642" s="36"/>
      <c r="S1642" s="36"/>
      <c r="T1642" s="36"/>
      <c r="U1642" s="36"/>
      <c r="V1642" s="36"/>
      <c r="W1642" s="36"/>
      <c r="X1642" s="36"/>
      <c r="Y1642" s="36"/>
      <c r="Z1642" s="36"/>
      <c r="AA1642" s="36"/>
      <c r="AB1642" s="36"/>
      <c r="AC1642" s="36"/>
    </row>
    <row r="1643" ht="15.75" customHeight="1">
      <c r="A1643" s="423">
        <v>43514.0</v>
      </c>
      <c r="B1643" s="424">
        <v>13.8659</v>
      </c>
      <c r="C1643" s="425">
        <v>17.5743</v>
      </c>
      <c r="D1643" s="426">
        <v>19.6272</v>
      </c>
      <c r="E1643" s="425">
        <v>14.1453</v>
      </c>
      <c r="F1643" s="425">
        <v>16.3304</v>
      </c>
      <c r="G1643" s="425">
        <v>13.8198</v>
      </c>
      <c r="H1643" s="426">
        <v>27.2156</v>
      </c>
      <c r="I1643" s="426">
        <v>21.7422</v>
      </c>
      <c r="J1643" s="425">
        <v>19.9458</v>
      </c>
      <c r="K1643" s="182">
        <v>10640.95</v>
      </c>
      <c r="L1643" s="36"/>
      <c r="M1643" s="36"/>
      <c r="N1643" s="36"/>
      <c r="O1643" s="36"/>
      <c r="P1643" s="36"/>
      <c r="Q1643" s="36"/>
      <c r="R1643" s="36"/>
      <c r="S1643" s="36"/>
      <c r="T1643" s="36"/>
      <c r="U1643" s="36"/>
      <c r="V1643" s="36"/>
      <c r="W1643" s="36"/>
      <c r="X1643" s="36"/>
      <c r="Y1643" s="36"/>
      <c r="Z1643" s="36"/>
      <c r="AA1643" s="36"/>
      <c r="AB1643" s="36"/>
      <c r="AC1643" s="36"/>
    </row>
    <row r="1644" ht="15.75" customHeight="1">
      <c r="A1644" s="423">
        <v>43514.0</v>
      </c>
      <c r="B1644" s="424">
        <v>13.8659</v>
      </c>
      <c r="C1644" s="425">
        <v>17.5743</v>
      </c>
      <c r="D1644" s="426">
        <v>19.7193</v>
      </c>
      <c r="E1644" s="425">
        <v>14.1453</v>
      </c>
      <c r="F1644" s="425">
        <v>16.3304</v>
      </c>
      <c r="G1644" s="425">
        <v>13.8198</v>
      </c>
      <c r="H1644" s="426">
        <v>27.0253</v>
      </c>
      <c r="I1644" s="426">
        <v>21.6586</v>
      </c>
      <c r="J1644" s="425">
        <v>19.9458</v>
      </c>
      <c r="K1644" s="182">
        <v>10640.95</v>
      </c>
      <c r="L1644" s="36"/>
      <c r="M1644" s="36"/>
      <c r="N1644" s="36"/>
      <c r="O1644" s="36"/>
      <c r="P1644" s="36"/>
      <c r="Q1644" s="36"/>
      <c r="R1644" s="36"/>
      <c r="S1644" s="36"/>
      <c r="T1644" s="36"/>
      <c r="U1644" s="36"/>
      <c r="V1644" s="36"/>
      <c r="W1644" s="36"/>
      <c r="X1644" s="36"/>
      <c r="Y1644" s="36"/>
      <c r="Z1644" s="36"/>
      <c r="AA1644" s="36"/>
      <c r="AB1644" s="36"/>
      <c r="AC1644" s="36"/>
    </row>
    <row r="1645" ht="15.75" customHeight="1">
      <c r="A1645" s="423">
        <v>43515.0</v>
      </c>
      <c r="B1645" s="424">
        <v>13.8368</v>
      </c>
      <c r="C1645" s="425">
        <v>17.6014</v>
      </c>
      <c r="D1645" s="426">
        <v>19.7269</v>
      </c>
      <c r="E1645" s="425">
        <v>14.1475</v>
      </c>
      <c r="F1645" s="425">
        <v>16.2982</v>
      </c>
      <c r="G1645" s="425">
        <v>13.8221</v>
      </c>
      <c r="H1645" s="426">
        <v>26.6506</v>
      </c>
      <c r="I1645" s="426">
        <v>21.689</v>
      </c>
      <c r="J1645" s="425">
        <v>19.8294</v>
      </c>
      <c r="K1645" s="182">
        <v>10604.35</v>
      </c>
      <c r="L1645" s="36"/>
      <c r="M1645" s="36"/>
      <c r="N1645" s="36"/>
      <c r="O1645" s="36"/>
      <c r="P1645" s="36"/>
      <c r="Q1645" s="36"/>
      <c r="R1645" s="36"/>
      <c r="S1645" s="36"/>
      <c r="T1645" s="36"/>
      <c r="U1645" s="36"/>
      <c r="V1645" s="36"/>
      <c r="W1645" s="36"/>
      <c r="X1645" s="36"/>
      <c r="Y1645" s="36"/>
      <c r="Z1645" s="36"/>
      <c r="AA1645" s="36"/>
      <c r="AB1645" s="36"/>
      <c r="AC1645" s="36"/>
    </row>
    <row r="1646" ht="15.75" customHeight="1">
      <c r="A1646" s="423">
        <v>43515.0</v>
      </c>
      <c r="B1646" s="424">
        <v>13.8368</v>
      </c>
      <c r="C1646" s="425">
        <v>17.6014</v>
      </c>
      <c r="D1646" s="426">
        <v>19.7202</v>
      </c>
      <c r="E1646" s="425">
        <v>14.1475</v>
      </c>
      <c r="F1646" s="425">
        <v>16.2982</v>
      </c>
      <c r="G1646" s="425">
        <v>13.8221</v>
      </c>
      <c r="H1646" s="426">
        <v>26.8967</v>
      </c>
      <c r="I1646" s="426">
        <v>21.8022</v>
      </c>
      <c r="J1646" s="425">
        <v>19.8294</v>
      </c>
      <c r="K1646" s="182">
        <v>10604.35</v>
      </c>
      <c r="L1646" s="36"/>
      <c r="M1646" s="36"/>
      <c r="N1646" s="36"/>
      <c r="O1646" s="36"/>
      <c r="P1646" s="36"/>
      <c r="Q1646" s="36"/>
      <c r="R1646" s="36"/>
      <c r="S1646" s="36"/>
      <c r="T1646" s="36"/>
      <c r="U1646" s="36"/>
      <c r="V1646" s="36"/>
      <c r="W1646" s="36"/>
      <c r="X1646" s="36"/>
      <c r="Y1646" s="36"/>
      <c r="Z1646" s="36"/>
      <c r="AA1646" s="36"/>
      <c r="AB1646" s="36"/>
      <c r="AC1646" s="36"/>
    </row>
    <row r="1647" ht="15.75" customHeight="1">
      <c r="A1647" s="423">
        <v>43515.0</v>
      </c>
      <c r="B1647" s="424">
        <v>13.8368</v>
      </c>
      <c r="C1647" s="425">
        <v>17.6033</v>
      </c>
      <c r="D1647" s="426">
        <v>19.721</v>
      </c>
      <c r="E1647" s="425">
        <v>14.1475</v>
      </c>
      <c r="F1647" s="425">
        <v>16.2982</v>
      </c>
      <c r="G1647" s="425">
        <v>13.8221</v>
      </c>
      <c r="H1647" s="426">
        <v>27.244</v>
      </c>
      <c r="I1647" s="426">
        <v>22.0345</v>
      </c>
      <c r="J1647" s="425">
        <v>19.8789</v>
      </c>
      <c r="K1647" s="182">
        <v>10604.35</v>
      </c>
      <c r="L1647" s="36"/>
      <c r="M1647" s="36"/>
      <c r="N1647" s="36"/>
      <c r="O1647" s="36"/>
      <c r="P1647" s="36"/>
      <c r="Q1647" s="36"/>
      <c r="R1647" s="36"/>
      <c r="S1647" s="36"/>
      <c r="T1647" s="36"/>
      <c r="U1647" s="36"/>
      <c r="V1647" s="36"/>
      <c r="W1647" s="36"/>
      <c r="X1647" s="36"/>
      <c r="Y1647" s="36"/>
      <c r="Z1647" s="36"/>
      <c r="AA1647" s="36"/>
      <c r="AB1647" s="36"/>
      <c r="AC1647" s="36"/>
    </row>
    <row r="1648" ht="15.75" customHeight="1">
      <c r="A1648" s="423">
        <v>43515.0</v>
      </c>
      <c r="B1648" s="424">
        <v>13.8368</v>
      </c>
      <c r="C1648" s="425">
        <v>17.6033</v>
      </c>
      <c r="D1648" s="426">
        <v>19.6427</v>
      </c>
      <c r="E1648" s="425">
        <v>14.1475</v>
      </c>
      <c r="F1648" s="425">
        <v>16.2982</v>
      </c>
      <c r="G1648" s="425">
        <v>13.8221</v>
      </c>
      <c r="H1648" s="426">
        <v>27.0398</v>
      </c>
      <c r="I1648" s="426">
        <v>21.9786</v>
      </c>
      <c r="J1648" s="425">
        <v>19.8789</v>
      </c>
      <c r="K1648" s="182">
        <v>10604.35</v>
      </c>
      <c r="L1648" s="36"/>
      <c r="M1648" s="36"/>
      <c r="N1648" s="36"/>
      <c r="O1648" s="36"/>
      <c r="P1648" s="36"/>
      <c r="Q1648" s="36"/>
      <c r="R1648" s="36"/>
      <c r="S1648" s="36"/>
      <c r="T1648" s="36"/>
      <c r="U1648" s="36"/>
      <c r="V1648" s="36"/>
      <c r="W1648" s="36"/>
      <c r="X1648" s="36"/>
      <c r="Y1648" s="36"/>
      <c r="Z1648" s="36"/>
      <c r="AA1648" s="36"/>
      <c r="AB1648" s="36"/>
      <c r="AC1648" s="36"/>
    </row>
    <row r="1649" ht="15.75" customHeight="1">
      <c r="A1649" s="423">
        <v>43516.0</v>
      </c>
      <c r="B1649" s="424">
        <v>13.9874</v>
      </c>
      <c r="C1649" s="425">
        <v>17.5797</v>
      </c>
      <c r="D1649" s="426">
        <v>19.7027</v>
      </c>
      <c r="E1649" s="425">
        <v>14.1678</v>
      </c>
      <c r="F1649" s="425">
        <v>16.4566</v>
      </c>
      <c r="G1649" s="425">
        <v>13.8358</v>
      </c>
      <c r="H1649" s="426">
        <v>26.2962</v>
      </c>
      <c r="I1649" s="426">
        <v>21.3975</v>
      </c>
      <c r="J1649" s="425">
        <v>19.6869</v>
      </c>
      <c r="K1649" s="182">
        <v>10735.45</v>
      </c>
      <c r="L1649" s="36"/>
      <c r="M1649" s="36"/>
      <c r="N1649" s="36"/>
      <c r="O1649" s="36"/>
      <c r="P1649" s="36"/>
      <c r="Q1649" s="36"/>
      <c r="R1649" s="36"/>
      <c r="S1649" s="36"/>
      <c r="T1649" s="36"/>
      <c r="U1649" s="36"/>
      <c r="V1649" s="36"/>
      <c r="W1649" s="36"/>
      <c r="X1649" s="36"/>
      <c r="Y1649" s="36"/>
      <c r="Z1649" s="36"/>
      <c r="AA1649" s="36"/>
      <c r="AB1649" s="36"/>
      <c r="AC1649" s="36"/>
    </row>
    <row r="1650" ht="15.75" customHeight="1">
      <c r="A1650" s="423">
        <v>43516.0</v>
      </c>
      <c r="B1650" s="424">
        <v>13.9874</v>
      </c>
      <c r="C1650" s="425">
        <v>17.5797</v>
      </c>
      <c r="D1650" s="426">
        <v>19.7393</v>
      </c>
      <c r="E1650" s="425">
        <v>14.1678</v>
      </c>
      <c r="F1650" s="425">
        <v>16.4566</v>
      </c>
      <c r="G1650" s="425">
        <v>13.8358</v>
      </c>
      <c r="H1650" s="426">
        <v>26.5001</v>
      </c>
      <c r="I1650" s="426">
        <v>21.4468</v>
      </c>
      <c r="J1650" s="425">
        <v>19.6869</v>
      </c>
      <c r="K1650" s="182">
        <v>10735.45</v>
      </c>
      <c r="L1650" s="36"/>
      <c r="M1650" s="36"/>
      <c r="N1650" s="36"/>
      <c r="O1650" s="36"/>
      <c r="P1650" s="36"/>
      <c r="Q1650" s="36"/>
      <c r="R1650" s="36"/>
      <c r="S1650" s="36"/>
      <c r="T1650" s="36"/>
      <c r="U1650" s="36"/>
      <c r="V1650" s="36"/>
      <c r="W1650" s="36"/>
      <c r="X1650" s="36"/>
      <c r="Y1650" s="36"/>
      <c r="Z1650" s="36"/>
      <c r="AA1650" s="36"/>
      <c r="AB1650" s="36"/>
      <c r="AC1650" s="36"/>
    </row>
    <row r="1651" ht="15.75" customHeight="1">
      <c r="A1651" s="423">
        <v>43516.0</v>
      </c>
      <c r="B1651" s="424">
        <v>13.9874</v>
      </c>
      <c r="C1651" s="425">
        <v>17.5768</v>
      </c>
      <c r="D1651" s="426">
        <v>19.7795</v>
      </c>
      <c r="E1651" s="425">
        <v>14.1678</v>
      </c>
      <c r="F1651" s="425">
        <v>16.4566</v>
      </c>
      <c r="G1651" s="425">
        <v>13.8358</v>
      </c>
      <c r="H1651" s="426">
        <v>26.4748</v>
      </c>
      <c r="I1651" s="426">
        <v>21.4839</v>
      </c>
      <c r="J1651" s="425">
        <v>19.7142</v>
      </c>
      <c r="K1651" s="182">
        <v>10735.45</v>
      </c>
      <c r="L1651" s="36"/>
      <c r="M1651" s="36"/>
      <c r="N1651" s="36"/>
      <c r="O1651" s="36"/>
      <c r="P1651" s="36"/>
      <c r="Q1651" s="36"/>
      <c r="R1651" s="36"/>
      <c r="S1651" s="36"/>
      <c r="T1651" s="36"/>
      <c r="U1651" s="36"/>
      <c r="V1651" s="36"/>
      <c r="W1651" s="36"/>
      <c r="X1651" s="36"/>
      <c r="Y1651" s="36"/>
      <c r="Z1651" s="36"/>
      <c r="AA1651" s="36"/>
      <c r="AB1651" s="36"/>
      <c r="AC1651" s="36"/>
    </row>
    <row r="1652" ht="15.75" customHeight="1">
      <c r="A1652" s="423">
        <v>43516.0</v>
      </c>
      <c r="B1652" s="424">
        <v>13.9874</v>
      </c>
      <c r="C1652" s="425">
        <v>17.5768</v>
      </c>
      <c r="D1652" s="426">
        <v>19.6958</v>
      </c>
      <c r="E1652" s="425">
        <v>14.1678</v>
      </c>
      <c r="F1652" s="425">
        <v>16.4566</v>
      </c>
      <c r="G1652" s="425">
        <v>13.8358</v>
      </c>
      <c r="H1652" s="426">
        <v>26.5788</v>
      </c>
      <c r="I1652" s="426">
        <v>21.5913</v>
      </c>
      <c r="J1652" s="425">
        <v>19.7142</v>
      </c>
      <c r="K1652" s="182">
        <v>10735.45</v>
      </c>
      <c r="L1652" s="36"/>
      <c r="M1652" s="36"/>
      <c r="N1652" s="36"/>
      <c r="O1652" s="36"/>
      <c r="P1652" s="36"/>
      <c r="Q1652" s="36"/>
      <c r="R1652" s="36"/>
      <c r="S1652" s="36"/>
      <c r="T1652" s="36"/>
      <c r="U1652" s="36"/>
      <c r="V1652" s="36"/>
      <c r="W1652" s="36"/>
      <c r="X1652" s="36"/>
      <c r="Y1652" s="36"/>
      <c r="Z1652" s="36"/>
      <c r="AA1652" s="36"/>
      <c r="AB1652" s="36"/>
      <c r="AC1652" s="36"/>
    </row>
    <row r="1653" ht="15.75" customHeight="1">
      <c r="A1653" s="423">
        <v>43517.0</v>
      </c>
      <c r="B1653" s="424">
        <v>14.0513</v>
      </c>
      <c r="C1653" s="425">
        <v>17.5945</v>
      </c>
      <c r="D1653" s="426">
        <v>19.7281</v>
      </c>
      <c r="E1653" s="425">
        <v>14.1702</v>
      </c>
      <c r="F1653" s="425">
        <v>16.5229</v>
      </c>
      <c r="G1653" s="425">
        <v>13.8345</v>
      </c>
      <c r="H1653" s="426">
        <v>26.5101</v>
      </c>
      <c r="I1653" s="426">
        <v>21.4893</v>
      </c>
      <c r="J1653" s="425">
        <v>19.9118</v>
      </c>
      <c r="K1653" s="182">
        <v>10789.85</v>
      </c>
      <c r="L1653" s="36"/>
      <c r="M1653" s="36"/>
      <c r="N1653" s="36"/>
      <c r="O1653" s="36"/>
      <c r="P1653" s="36"/>
      <c r="Q1653" s="36"/>
      <c r="R1653" s="36"/>
      <c r="S1653" s="36"/>
      <c r="T1653" s="36"/>
      <c r="U1653" s="36"/>
      <c r="V1653" s="36"/>
      <c r="W1653" s="36"/>
      <c r="X1653" s="36"/>
      <c r="Y1653" s="36"/>
      <c r="Z1653" s="36"/>
      <c r="AA1653" s="36"/>
      <c r="AB1653" s="36"/>
      <c r="AC1653" s="36"/>
    </row>
    <row r="1654" ht="15.75" customHeight="1">
      <c r="A1654" s="423">
        <v>43517.0</v>
      </c>
      <c r="B1654" s="424">
        <v>14.0513</v>
      </c>
      <c r="C1654" s="425">
        <v>17.5945</v>
      </c>
      <c r="D1654" s="426">
        <v>19.7268</v>
      </c>
      <c r="E1654" s="425">
        <v>14.1702</v>
      </c>
      <c r="F1654" s="425">
        <v>16.5229</v>
      </c>
      <c r="G1654" s="425">
        <v>13.8345</v>
      </c>
      <c r="H1654" s="426">
        <v>26.3703</v>
      </c>
      <c r="I1654" s="426">
        <v>21.3953</v>
      </c>
      <c r="J1654" s="425">
        <v>19.9118</v>
      </c>
      <c r="K1654" s="182">
        <v>10789.85</v>
      </c>
      <c r="L1654" s="36"/>
      <c r="M1654" s="36"/>
      <c r="N1654" s="36"/>
      <c r="O1654" s="36"/>
      <c r="P1654" s="36"/>
      <c r="Q1654" s="36"/>
      <c r="R1654" s="36"/>
      <c r="S1654" s="36"/>
      <c r="T1654" s="36"/>
      <c r="U1654" s="36"/>
      <c r="V1654" s="36"/>
      <c r="W1654" s="36"/>
      <c r="X1654" s="36"/>
      <c r="Y1654" s="36"/>
      <c r="Z1654" s="36"/>
      <c r="AA1654" s="36"/>
      <c r="AB1654" s="36"/>
      <c r="AC1654" s="36"/>
    </row>
    <row r="1655" ht="15.75" customHeight="1">
      <c r="A1655" s="423">
        <v>43517.0</v>
      </c>
      <c r="B1655" s="424">
        <v>14.0513</v>
      </c>
      <c r="C1655" s="425">
        <v>17.5916</v>
      </c>
      <c r="D1655" s="426">
        <v>19.6972</v>
      </c>
      <c r="E1655" s="425">
        <v>14.1702</v>
      </c>
      <c r="F1655" s="425">
        <v>16.5229</v>
      </c>
      <c r="G1655" s="425">
        <v>13.8345</v>
      </c>
      <c r="H1655" s="426">
        <v>26.1993</v>
      </c>
      <c r="I1655" s="426">
        <v>21.1861</v>
      </c>
      <c r="J1655" s="425">
        <v>19.8482</v>
      </c>
      <c r="K1655" s="182">
        <v>10789.85</v>
      </c>
      <c r="L1655" s="36"/>
      <c r="M1655" s="36"/>
      <c r="N1655" s="36"/>
      <c r="O1655" s="36"/>
      <c r="P1655" s="36"/>
      <c r="Q1655" s="36"/>
      <c r="R1655" s="36"/>
      <c r="S1655" s="36"/>
      <c r="T1655" s="36"/>
      <c r="U1655" s="36"/>
      <c r="V1655" s="36"/>
      <c r="W1655" s="36"/>
      <c r="X1655" s="36"/>
      <c r="Y1655" s="36"/>
      <c r="Z1655" s="36"/>
      <c r="AA1655" s="36"/>
      <c r="AB1655" s="36"/>
      <c r="AC1655" s="36"/>
    </row>
    <row r="1656" ht="15.75" customHeight="1">
      <c r="A1656" s="423">
        <v>43517.0</v>
      </c>
      <c r="B1656" s="424">
        <v>14.0513</v>
      </c>
      <c r="C1656" s="425">
        <v>17.5916</v>
      </c>
      <c r="D1656" s="426">
        <v>19.6939</v>
      </c>
      <c r="E1656" s="425">
        <v>14.1702</v>
      </c>
      <c r="F1656" s="425">
        <v>16.5229</v>
      </c>
      <c r="G1656" s="425">
        <v>13.8345</v>
      </c>
      <c r="H1656" s="426">
        <v>26.0713</v>
      </c>
      <c r="I1656" s="426">
        <v>21.2285</v>
      </c>
      <c r="J1656" s="425">
        <v>19.8482</v>
      </c>
      <c r="K1656" s="182">
        <v>10789.85</v>
      </c>
      <c r="L1656" s="36"/>
      <c r="M1656" s="36"/>
      <c r="N1656" s="36"/>
      <c r="O1656" s="36"/>
      <c r="P1656" s="36"/>
      <c r="Q1656" s="36"/>
      <c r="R1656" s="36"/>
      <c r="S1656" s="36"/>
      <c r="T1656" s="36"/>
      <c r="U1656" s="36"/>
      <c r="V1656" s="36"/>
      <c r="W1656" s="36"/>
      <c r="X1656" s="36"/>
      <c r="Y1656" s="36"/>
      <c r="Z1656" s="36"/>
      <c r="AA1656" s="36"/>
      <c r="AB1656" s="36"/>
      <c r="AC1656" s="36"/>
    </row>
    <row r="1657" ht="15.75" customHeight="1">
      <c r="A1657" s="423">
        <v>43518.0</v>
      </c>
      <c r="B1657" s="424">
        <v>14.0504</v>
      </c>
      <c r="C1657" s="425">
        <v>17.6063</v>
      </c>
      <c r="D1657" s="426">
        <v>19.7057</v>
      </c>
      <c r="E1657" s="425">
        <v>14.1479</v>
      </c>
      <c r="F1657" s="425">
        <v>16.5158</v>
      </c>
      <c r="G1657" s="425">
        <v>13.8353</v>
      </c>
      <c r="H1657" s="426">
        <v>26.6223</v>
      </c>
      <c r="I1657" s="426">
        <v>21.4822</v>
      </c>
      <c r="J1657" s="425">
        <v>19.9077</v>
      </c>
      <c r="K1657" s="182">
        <v>10791.65</v>
      </c>
      <c r="L1657" s="36"/>
      <c r="M1657" s="36"/>
      <c r="N1657" s="36"/>
      <c r="O1657" s="36"/>
      <c r="P1657" s="36"/>
      <c r="Q1657" s="36"/>
      <c r="R1657" s="36"/>
      <c r="S1657" s="36"/>
      <c r="T1657" s="36"/>
      <c r="U1657" s="36"/>
      <c r="V1657" s="36"/>
      <c r="W1657" s="36"/>
      <c r="X1657" s="36"/>
      <c r="Y1657" s="36"/>
      <c r="Z1657" s="36"/>
      <c r="AA1657" s="36"/>
      <c r="AB1657" s="36"/>
      <c r="AC1657" s="36"/>
    </row>
    <row r="1658" ht="15.75" customHeight="1">
      <c r="A1658" s="423">
        <v>43521.0</v>
      </c>
      <c r="B1658" s="424">
        <v>14.1583</v>
      </c>
      <c r="C1658" s="425">
        <v>17.6154</v>
      </c>
      <c r="D1658" s="426">
        <v>19.716</v>
      </c>
      <c r="E1658" s="425">
        <v>14.1558</v>
      </c>
      <c r="F1658" s="425">
        <v>16.6461</v>
      </c>
      <c r="G1658" s="425">
        <v>13.8419</v>
      </c>
      <c r="H1658" s="426">
        <v>26.7859</v>
      </c>
      <c r="I1658" s="426">
        <v>21.6565</v>
      </c>
      <c r="J1658" s="425">
        <v>20.04</v>
      </c>
      <c r="K1658" s="182">
        <v>10880.1</v>
      </c>
      <c r="L1658" s="36"/>
      <c r="M1658" s="36"/>
      <c r="N1658" s="36"/>
      <c r="O1658" s="36"/>
      <c r="P1658" s="36"/>
      <c r="Q1658" s="36"/>
      <c r="R1658" s="36"/>
      <c r="S1658" s="36"/>
      <c r="T1658" s="36"/>
      <c r="U1658" s="36"/>
      <c r="V1658" s="36"/>
      <c r="W1658" s="36"/>
      <c r="X1658" s="36"/>
      <c r="Y1658" s="36"/>
      <c r="Z1658" s="36"/>
      <c r="AA1658" s="36"/>
      <c r="AB1658" s="36"/>
      <c r="AC1658" s="36"/>
    </row>
    <row r="1659" ht="15.75" customHeight="1">
      <c r="A1659" s="423">
        <v>43522.0</v>
      </c>
      <c r="B1659" s="424">
        <v>14.1202</v>
      </c>
      <c r="C1659" s="425">
        <v>17.6141</v>
      </c>
      <c r="D1659" s="426">
        <v>19.7048</v>
      </c>
      <c r="E1659" s="425">
        <v>14.1496</v>
      </c>
      <c r="F1659" s="425">
        <v>16.6014</v>
      </c>
      <c r="G1659" s="425">
        <v>13.8391</v>
      </c>
      <c r="H1659" s="426">
        <v>26.8224</v>
      </c>
      <c r="I1659" s="426">
        <v>21.5874</v>
      </c>
      <c r="J1659" s="425">
        <v>19.9922</v>
      </c>
      <c r="K1659" s="182">
        <v>10835.3</v>
      </c>
      <c r="L1659" s="36"/>
      <c r="M1659" s="36"/>
      <c r="N1659" s="36"/>
      <c r="O1659" s="36"/>
      <c r="P1659" s="36"/>
      <c r="Q1659" s="36"/>
      <c r="R1659" s="36"/>
      <c r="S1659" s="36"/>
      <c r="T1659" s="36"/>
      <c r="U1659" s="36"/>
      <c r="V1659" s="36"/>
      <c r="W1659" s="36"/>
      <c r="X1659" s="36"/>
      <c r="Y1659" s="36"/>
      <c r="Z1659" s="36"/>
      <c r="AA1659" s="36"/>
      <c r="AB1659" s="36"/>
      <c r="AC1659" s="36"/>
    </row>
    <row r="1660" ht="15.75" customHeight="1">
      <c r="A1660" s="423">
        <v>43523.0</v>
      </c>
      <c r="B1660" s="424">
        <v>14.0908</v>
      </c>
      <c r="C1660" s="425">
        <v>17.6067</v>
      </c>
      <c r="D1660" s="426">
        <v>19.6647</v>
      </c>
      <c r="E1660" s="425">
        <v>14.1175</v>
      </c>
      <c r="F1660" s="425">
        <v>16.5675</v>
      </c>
      <c r="G1660" s="425">
        <v>13.83</v>
      </c>
      <c r="H1660" s="426">
        <v>27.0161</v>
      </c>
      <c r="I1660" s="426">
        <v>21.555</v>
      </c>
      <c r="J1660" s="425">
        <v>19.9533</v>
      </c>
      <c r="K1660" s="182">
        <v>10806.65</v>
      </c>
      <c r="L1660" s="36"/>
      <c r="M1660" s="36"/>
      <c r="N1660" s="36"/>
      <c r="O1660" s="36"/>
      <c r="P1660" s="36"/>
      <c r="Q1660" s="36"/>
      <c r="R1660" s="36"/>
      <c r="S1660" s="36"/>
      <c r="T1660" s="36"/>
      <c r="U1660" s="36"/>
      <c r="V1660" s="36"/>
      <c r="W1660" s="36"/>
      <c r="X1660" s="36"/>
      <c r="Y1660" s="36"/>
      <c r="Z1660" s="36"/>
      <c r="AA1660" s="36"/>
      <c r="AB1660" s="36"/>
      <c r="AC1660" s="36"/>
    </row>
    <row r="1661" ht="15.75" customHeight="1">
      <c r="A1661" s="423">
        <v>43524.0</v>
      </c>
      <c r="B1661" s="424">
        <v>14.0801</v>
      </c>
      <c r="C1661" s="425">
        <v>17.6055</v>
      </c>
      <c r="D1661" s="426">
        <v>19.7039</v>
      </c>
      <c r="E1661" s="425">
        <v>14.1544</v>
      </c>
      <c r="F1661" s="425">
        <v>16.5591</v>
      </c>
      <c r="G1661" s="425">
        <v>13.8402</v>
      </c>
      <c r="H1661" s="426">
        <v>27.1322</v>
      </c>
      <c r="I1661" s="426">
        <v>21.5355</v>
      </c>
      <c r="J1661" s="425">
        <v>19.96</v>
      </c>
      <c r="K1661" s="182">
        <v>10792.5</v>
      </c>
      <c r="L1661" s="36"/>
      <c r="M1661" s="36"/>
      <c r="N1661" s="36"/>
      <c r="O1661" s="36"/>
      <c r="P1661" s="36"/>
      <c r="Q1661" s="36"/>
      <c r="R1661" s="36"/>
      <c r="S1661" s="36"/>
      <c r="T1661" s="36"/>
      <c r="U1661" s="36"/>
      <c r="V1661" s="36"/>
      <c r="W1661" s="36"/>
      <c r="X1661" s="36"/>
      <c r="Y1661" s="36"/>
      <c r="Z1661" s="36"/>
      <c r="AA1661" s="36"/>
      <c r="AB1661" s="36"/>
      <c r="AC1661" s="36"/>
    </row>
    <row r="1662" ht="15.75" customHeight="1">
      <c r="A1662" s="423">
        <v>43525.0</v>
      </c>
      <c r="B1662" s="424">
        <v>14.1568</v>
      </c>
      <c r="C1662" s="425">
        <v>17.6146</v>
      </c>
      <c r="D1662" s="426">
        <v>19.7364</v>
      </c>
      <c r="E1662" s="425">
        <v>14.1757</v>
      </c>
      <c r="F1662" s="425">
        <v>16.648</v>
      </c>
      <c r="G1662" s="425">
        <v>13.8525</v>
      </c>
      <c r="H1662" s="426">
        <v>27.4039</v>
      </c>
      <c r="I1662" s="426">
        <v>21.6646</v>
      </c>
      <c r="J1662" s="425">
        <v>20.0598</v>
      </c>
      <c r="K1662" s="182">
        <v>10863.5</v>
      </c>
      <c r="L1662" s="36"/>
      <c r="M1662" s="36"/>
      <c r="N1662" s="36"/>
      <c r="O1662" s="36"/>
      <c r="P1662" s="36"/>
      <c r="Q1662" s="36"/>
      <c r="R1662" s="36"/>
      <c r="S1662" s="36"/>
      <c r="T1662" s="36"/>
      <c r="U1662" s="36"/>
      <c r="V1662" s="36"/>
      <c r="W1662" s="36"/>
      <c r="X1662" s="36"/>
      <c r="Y1662" s="36"/>
      <c r="Z1662" s="36"/>
      <c r="AA1662" s="36"/>
      <c r="AB1662" s="36"/>
      <c r="AC1662" s="36"/>
    </row>
    <row r="1663" ht="15.75" customHeight="1">
      <c r="A1663" s="423">
        <v>43529.0</v>
      </c>
      <c r="B1663" s="424">
        <v>14.2994</v>
      </c>
      <c r="C1663" s="425">
        <v>17.6444</v>
      </c>
      <c r="D1663" s="426">
        <v>19.7595</v>
      </c>
      <c r="E1663" s="425">
        <v>14.1853</v>
      </c>
      <c r="F1663" s="425">
        <v>16.8271</v>
      </c>
      <c r="G1663" s="425">
        <v>13.8725</v>
      </c>
      <c r="H1663" s="426">
        <v>27.8197</v>
      </c>
      <c r="I1663" s="426">
        <v>21.9252</v>
      </c>
      <c r="J1663" s="425">
        <v>20.2372</v>
      </c>
      <c r="K1663" s="182">
        <v>10987.45</v>
      </c>
      <c r="L1663" s="36"/>
      <c r="M1663" s="36"/>
      <c r="N1663" s="36"/>
      <c r="O1663" s="36"/>
      <c r="P1663" s="36"/>
      <c r="Q1663" s="36"/>
      <c r="R1663" s="36"/>
      <c r="S1663" s="36"/>
      <c r="T1663" s="36"/>
      <c r="U1663" s="36"/>
      <c r="V1663" s="36"/>
      <c r="W1663" s="36"/>
      <c r="X1663" s="36"/>
      <c r="Y1663" s="36"/>
      <c r="Z1663" s="36"/>
      <c r="AA1663" s="36"/>
      <c r="AB1663" s="36"/>
      <c r="AC1663" s="36"/>
    </row>
    <row r="1664" ht="15.75" customHeight="1">
      <c r="A1664" s="423">
        <v>43530.0</v>
      </c>
      <c r="B1664" s="424">
        <v>14.3637</v>
      </c>
      <c r="C1664" s="425">
        <v>17.6524</v>
      </c>
      <c r="D1664" s="426">
        <v>19.7667</v>
      </c>
      <c r="E1664" s="425">
        <v>14.1849</v>
      </c>
      <c r="F1664" s="425">
        <v>16.9002</v>
      </c>
      <c r="G1664" s="425">
        <v>13.8768</v>
      </c>
      <c r="H1664" s="426">
        <v>27.8604</v>
      </c>
      <c r="I1664" s="426">
        <v>22.0145</v>
      </c>
      <c r="J1664" s="425">
        <v>20.3103</v>
      </c>
      <c r="K1664" s="182">
        <v>11053.0</v>
      </c>
      <c r="L1664" s="36"/>
      <c r="M1664" s="36"/>
      <c r="N1664" s="36"/>
      <c r="O1664" s="36"/>
      <c r="P1664" s="36"/>
      <c r="Q1664" s="36"/>
      <c r="R1664" s="36"/>
      <c r="S1664" s="36"/>
      <c r="T1664" s="36"/>
      <c r="U1664" s="36"/>
      <c r="V1664" s="36"/>
      <c r="W1664" s="36"/>
      <c r="X1664" s="36"/>
      <c r="Y1664" s="36"/>
      <c r="Z1664" s="36"/>
      <c r="AA1664" s="36"/>
      <c r="AB1664" s="36"/>
      <c r="AC1664" s="36"/>
    </row>
    <row r="1665" ht="15.75" customHeight="1">
      <c r="A1665" s="423">
        <v>43531.0</v>
      </c>
      <c r="B1665" s="424">
        <v>14.3823</v>
      </c>
      <c r="C1665" s="425">
        <v>17.6594</v>
      </c>
      <c r="D1665" s="426">
        <v>19.7854</v>
      </c>
      <c r="E1665" s="425">
        <v>14.1925</v>
      </c>
      <c r="F1665" s="425">
        <v>16.9277</v>
      </c>
      <c r="G1665" s="425">
        <v>13.8862</v>
      </c>
      <c r="H1665" s="426">
        <v>27.8031</v>
      </c>
      <c r="I1665" s="426">
        <v>22.0509</v>
      </c>
      <c r="J1665" s="425">
        <v>20.3299</v>
      </c>
      <c r="K1665" s="182">
        <v>11058.2</v>
      </c>
      <c r="L1665" s="36"/>
      <c r="M1665" s="36"/>
      <c r="N1665" s="36"/>
      <c r="O1665" s="36"/>
      <c r="P1665" s="36"/>
      <c r="Q1665" s="36"/>
      <c r="R1665" s="36"/>
      <c r="S1665" s="36"/>
      <c r="T1665" s="36"/>
      <c r="U1665" s="36"/>
      <c r="V1665" s="36"/>
      <c r="W1665" s="36"/>
      <c r="X1665" s="36"/>
      <c r="Y1665" s="36"/>
      <c r="Z1665" s="36"/>
      <c r="AA1665" s="36"/>
      <c r="AB1665" s="36"/>
      <c r="AC1665" s="36"/>
    </row>
    <row r="1666" ht="15.75" customHeight="1">
      <c r="A1666" s="423">
        <v>43532.0</v>
      </c>
      <c r="B1666" s="424">
        <v>14.3549</v>
      </c>
      <c r="C1666" s="425">
        <v>17.6677</v>
      </c>
      <c r="D1666" s="426">
        <v>19.8278</v>
      </c>
      <c r="E1666" s="425">
        <v>14.2204</v>
      </c>
      <c r="F1666" s="425">
        <v>16.8951</v>
      </c>
      <c r="G1666" s="425">
        <v>13.8994</v>
      </c>
      <c r="H1666" s="426">
        <v>27.7255</v>
      </c>
      <c r="I1666" s="426">
        <v>22.0071</v>
      </c>
      <c r="J1666" s="425">
        <v>20.3057</v>
      </c>
      <c r="K1666" s="182">
        <v>11035.4</v>
      </c>
      <c r="L1666" s="36"/>
      <c r="M1666" s="36"/>
      <c r="N1666" s="36"/>
      <c r="O1666" s="36"/>
      <c r="P1666" s="36"/>
      <c r="Q1666" s="36"/>
      <c r="R1666" s="36"/>
      <c r="S1666" s="36"/>
      <c r="T1666" s="36"/>
      <c r="U1666" s="36"/>
      <c r="V1666" s="36"/>
      <c r="W1666" s="36"/>
      <c r="X1666" s="36"/>
      <c r="Y1666" s="36"/>
      <c r="Z1666" s="36"/>
      <c r="AA1666" s="36"/>
      <c r="AB1666" s="36"/>
      <c r="AC1666" s="36"/>
    </row>
    <row r="1667" ht="15.75" customHeight="1">
      <c r="A1667" s="423">
        <v>43535.0</v>
      </c>
      <c r="B1667" s="424">
        <v>14.5062</v>
      </c>
      <c r="C1667" s="425">
        <v>17.6895</v>
      </c>
      <c r="D1667" s="426">
        <v>19.8631</v>
      </c>
      <c r="E1667" s="425">
        <v>14.2437</v>
      </c>
      <c r="F1667" s="425">
        <v>17.0825</v>
      </c>
      <c r="G1667" s="425">
        <v>13.9213</v>
      </c>
      <c r="H1667" s="426">
        <v>28.2187</v>
      </c>
      <c r="I1667" s="426">
        <v>22.2412</v>
      </c>
      <c r="J1667" s="425">
        <v>20.4862</v>
      </c>
      <c r="K1667" s="182">
        <v>11168.05</v>
      </c>
      <c r="L1667" s="36"/>
      <c r="M1667" s="36"/>
      <c r="N1667" s="36"/>
      <c r="O1667" s="36"/>
      <c r="P1667" s="36"/>
      <c r="Q1667" s="36"/>
      <c r="R1667" s="36"/>
      <c r="S1667" s="36"/>
      <c r="T1667" s="36"/>
      <c r="U1667" s="36"/>
      <c r="V1667" s="36"/>
      <c r="W1667" s="36"/>
      <c r="X1667" s="36"/>
      <c r="Y1667" s="36"/>
      <c r="Z1667" s="36"/>
      <c r="AA1667" s="36"/>
      <c r="AB1667" s="36"/>
      <c r="AC1667" s="36"/>
    </row>
    <row r="1668" ht="15.75" customHeight="1">
      <c r="A1668" s="423">
        <v>43536.0</v>
      </c>
      <c r="B1668" s="424">
        <v>14.6668</v>
      </c>
      <c r="C1668" s="425">
        <v>17.7074</v>
      </c>
      <c r="D1668" s="426">
        <v>19.8822</v>
      </c>
      <c r="E1668" s="425">
        <v>14.2523</v>
      </c>
      <c r="F1668" s="425">
        <v>17.2713</v>
      </c>
      <c r="G1668" s="425">
        <v>13.9369</v>
      </c>
      <c r="H1668" s="426">
        <v>28.3942</v>
      </c>
      <c r="I1668" s="426">
        <v>22.4892</v>
      </c>
      <c r="J1668" s="425">
        <v>20.6642</v>
      </c>
      <c r="K1668" s="182">
        <v>11301.2</v>
      </c>
      <c r="L1668" s="36"/>
      <c r="M1668" s="36"/>
      <c r="N1668" s="36"/>
      <c r="O1668" s="36"/>
      <c r="P1668" s="36"/>
      <c r="Q1668" s="36"/>
      <c r="R1668" s="36"/>
      <c r="S1668" s="36"/>
      <c r="T1668" s="36"/>
      <c r="U1668" s="36"/>
      <c r="V1668" s="36"/>
      <c r="W1668" s="36"/>
      <c r="X1668" s="36"/>
      <c r="Y1668" s="36"/>
      <c r="Z1668" s="36"/>
      <c r="AA1668" s="36"/>
      <c r="AB1668" s="36"/>
      <c r="AC1668" s="36"/>
    </row>
    <row r="1669" ht="15.75" customHeight="1">
      <c r="A1669" s="423">
        <v>43537.0</v>
      </c>
      <c r="B1669" s="424">
        <v>14.706</v>
      </c>
      <c r="C1669" s="425">
        <v>17.711</v>
      </c>
      <c r="D1669" s="426">
        <v>19.8756</v>
      </c>
      <c r="E1669" s="425">
        <v>14.2446</v>
      </c>
      <c r="F1669" s="425">
        <v>17.3182</v>
      </c>
      <c r="G1669" s="425">
        <v>13.94</v>
      </c>
      <c r="H1669" s="426">
        <v>28.3218</v>
      </c>
      <c r="I1669" s="426">
        <v>22.5764</v>
      </c>
      <c r="J1669" s="425">
        <v>20.7263</v>
      </c>
      <c r="K1669" s="182">
        <v>11341.7</v>
      </c>
      <c r="L1669" s="36"/>
      <c r="M1669" s="36"/>
      <c r="N1669" s="36"/>
      <c r="O1669" s="36"/>
      <c r="P1669" s="36"/>
      <c r="Q1669" s="36"/>
      <c r="R1669" s="36"/>
      <c r="S1669" s="36"/>
      <c r="T1669" s="36"/>
      <c r="U1669" s="36"/>
      <c r="V1669" s="36"/>
      <c r="W1669" s="36"/>
      <c r="X1669" s="36"/>
      <c r="Y1669" s="36"/>
      <c r="Z1669" s="36"/>
      <c r="AA1669" s="36"/>
      <c r="AB1669" s="36"/>
      <c r="AC1669" s="36"/>
    </row>
    <row r="1670" ht="15.75" customHeight="1">
      <c r="A1670" s="423">
        <v>43538.0</v>
      </c>
      <c r="B1670" s="424">
        <v>14.7028</v>
      </c>
      <c r="C1670" s="425">
        <v>17.7317</v>
      </c>
      <c r="D1670" s="426">
        <v>19.8915</v>
      </c>
      <c r="E1670" s="425">
        <v>14.2566</v>
      </c>
      <c r="F1670" s="425">
        <v>17.3107</v>
      </c>
      <c r="G1670" s="425">
        <v>13.957</v>
      </c>
      <c r="H1670" s="426">
        <v>28.2329</v>
      </c>
      <c r="I1670" s="426">
        <v>22.5664</v>
      </c>
      <c r="J1670" s="425">
        <v>20.7287</v>
      </c>
      <c r="K1670" s="182">
        <v>11343.25</v>
      </c>
      <c r="L1670" s="36"/>
      <c r="M1670" s="36"/>
      <c r="N1670" s="36"/>
      <c r="O1670" s="36"/>
      <c r="P1670" s="36"/>
      <c r="Q1670" s="36"/>
      <c r="R1670" s="36"/>
      <c r="S1670" s="36"/>
      <c r="T1670" s="36"/>
      <c r="U1670" s="36"/>
      <c r="V1670" s="36"/>
      <c r="W1670" s="36"/>
      <c r="X1670" s="36"/>
      <c r="Y1670" s="36"/>
      <c r="Z1670" s="36"/>
      <c r="AA1670" s="36"/>
      <c r="AB1670" s="36"/>
      <c r="AC1670" s="36"/>
    </row>
    <row r="1671" ht="15.75" customHeight="1">
      <c r="A1671" s="423">
        <v>43539.0</v>
      </c>
      <c r="B1671" s="424">
        <v>14.7901</v>
      </c>
      <c r="C1671" s="425">
        <v>17.7345</v>
      </c>
      <c r="D1671" s="426">
        <v>19.9087</v>
      </c>
      <c r="E1671" s="425">
        <v>14.2766</v>
      </c>
      <c r="F1671" s="425">
        <v>17.4121</v>
      </c>
      <c r="G1671" s="425">
        <v>13.9623</v>
      </c>
      <c r="H1671" s="426">
        <v>28.3563</v>
      </c>
      <c r="I1671" s="426">
        <v>22.7124</v>
      </c>
      <c r="J1671" s="425">
        <v>20.8222</v>
      </c>
      <c r="K1671" s="182">
        <v>11426.85</v>
      </c>
      <c r="L1671" s="36"/>
      <c r="M1671" s="36"/>
      <c r="N1671" s="36"/>
      <c r="O1671" s="36"/>
      <c r="P1671" s="36"/>
      <c r="Q1671" s="36"/>
      <c r="R1671" s="36"/>
      <c r="S1671" s="36"/>
      <c r="T1671" s="36"/>
      <c r="U1671" s="36"/>
      <c r="V1671" s="36"/>
      <c r="W1671" s="36"/>
      <c r="X1671" s="36"/>
      <c r="Y1671" s="36"/>
      <c r="Z1671" s="36"/>
      <c r="AA1671" s="36"/>
      <c r="AB1671" s="36"/>
      <c r="AC1671" s="36"/>
    </row>
    <row r="1672" ht="15.75" customHeight="1">
      <c r="A1672" s="423">
        <v>43542.0</v>
      </c>
      <c r="B1672" s="424">
        <v>14.8285</v>
      </c>
      <c r="C1672" s="425">
        <v>17.7512</v>
      </c>
      <c r="D1672" s="426">
        <v>19.9429</v>
      </c>
      <c r="E1672" s="425">
        <v>14.3002</v>
      </c>
      <c r="F1672" s="425">
        <v>17.4569</v>
      </c>
      <c r="G1672" s="425">
        <v>13.9755</v>
      </c>
      <c r="H1672" s="426">
        <v>28.2473</v>
      </c>
      <c r="I1672" s="426">
        <v>22.7709</v>
      </c>
      <c r="J1672" s="425">
        <v>20.8646</v>
      </c>
      <c r="K1672" s="182">
        <v>11462.2</v>
      </c>
      <c r="L1672" s="36"/>
      <c r="M1672" s="36"/>
      <c r="N1672" s="36"/>
      <c r="O1672" s="36"/>
      <c r="P1672" s="36"/>
      <c r="Q1672" s="36"/>
      <c r="R1672" s="36"/>
      <c r="S1672" s="36"/>
      <c r="T1672" s="36"/>
      <c r="U1672" s="36"/>
      <c r="V1672" s="36"/>
      <c r="W1672" s="36"/>
      <c r="X1672" s="36"/>
      <c r="Y1672" s="36"/>
      <c r="Z1672" s="36"/>
      <c r="AA1672" s="36"/>
      <c r="AB1672" s="36"/>
      <c r="AC1672" s="36"/>
    </row>
    <row r="1673" ht="15.75" customHeight="1">
      <c r="A1673" s="423">
        <v>43543.0</v>
      </c>
      <c r="B1673" s="424">
        <v>14.9217</v>
      </c>
      <c r="C1673" s="425">
        <v>17.7534</v>
      </c>
      <c r="D1673" s="426">
        <v>19.9076</v>
      </c>
      <c r="E1673" s="425">
        <v>14.2754</v>
      </c>
      <c r="F1673" s="425">
        <v>17.5703</v>
      </c>
      <c r="G1673" s="425">
        <v>13.9743</v>
      </c>
      <c r="H1673" s="426">
        <v>28.349</v>
      </c>
      <c r="I1673" s="426">
        <v>22.9021</v>
      </c>
      <c r="J1673" s="425">
        <v>20.9485</v>
      </c>
      <c r="K1673" s="182">
        <v>11532.4</v>
      </c>
      <c r="L1673" s="36"/>
      <c r="M1673" s="36"/>
      <c r="N1673" s="36"/>
      <c r="O1673" s="36"/>
      <c r="P1673" s="36"/>
      <c r="Q1673" s="36"/>
      <c r="R1673" s="36"/>
      <c r="S1673" s="36"/>
      <c r="T1673" s="36"/>
      <c r="U1673" s="36"/>
      <c r="V1673" s="36"/>
      <c r="W1673" s="36"/>
      <c r="X1673" s="36"/>
      <c r="Y1673" s="36"/>
      <c r="Z1673" s="36"/>
      <c r="AA1673" s="36"/>
      <c r="AB1673" s="36"/>
      <c r="AC1673" s="36"/>
    </row>
    <row r="1674" ht="15.75" customHeight="1">
      <c r="A1674" s="423">
        <v>43544.0</v>
      </c>
      <c r="B1674" s="424">
        <v>14.9003</v>
      </c>
      <c r="C1674" s="425">
        <v>17.7563</v>
      </c>
      <c r="D1674" s="426">
        <v>19.9415</v>
      </c>
      <c r="E1674" s="425">
        <v>14.2965</v>
      </c>
      <c r="F1674" s="425">
        <v>17.5448</v>
      </c>
      <c r="G1674" s="425">
        <v>13.9821</v>
      </c>
      <c r="H1674" s="426">
        <v>28.2903</v>
      </c>
      <c r="I1674" s="426">
        <v>22.8671</v>
      </c>
      <c r="J1674" s="425">
        <v>20.9324</v>
      </c>
      <c r="K1674" s="182">
        <v>11521.05</v>
      </c>
      <c r="L1674" s="36"/>
      <c r="M1674" s="36"/>
      <c r="N1674" s="36"/>
      <c r="O1674" s="36"/>
      <c r="P1674" s="36"/>
      <c r="Q1674" s="36"/>
      <c r="R1674" s="36"/>
      <c r="S1674" s="36"/>
      <c r="T1674" s="36"/>
      <c r="U1674" s="36"/>
      <c r="V1674" s="36"/>
      <c r="W1674" s="36"/>
      <c r="X1674" s="36"/>
      <c r="Y1674" s="36"/>
      <c r="Z1674" s="36"/>
      <c r="AA1674" s="36"/>
      <c r="AB1674" s="36"/>
      <c r="AC1674" s="36"/>
    </row>
    <row r="1675" ht="15.75" customHeight="1">
      <c r="A1675" s="423">
        <v>43546.0</v>
      </c>
      <c r="B1675" s="424">
        <v>14.8309</v>
      </c>
      <c r="C1675" s="425">
        <v>17.7618</v>
      </c>
      <c r="D1675" s="426">
        <v>19.9773</v>
      </c>
      <c r="E1675" s="425">
        <v>14.3245</v>
      </c>
      <c r="F1675" s="425">
        <v>17.4651</v>
      </c>
      <c r="G1675" s="425">
        <v>13.9918</v>
      </c>
      <c r="H1675" s="426">
        <v>28.163</v>
      </c>
      <c r="I1675" s="426">
        <v>22.7539</v>
      </c>
      <c r="J1675" s="425">
        <v>20.8633</v>
      </c>
      <c r="K1675" s="182">
        <v>11456.9</v>
      </c>
      <c r="L1675" s="36"/>
      <c r="M1675" s="36"/>
      <c r="N1675" s="36"/>
      <c r="O1675" s="36"/>
      <c r="P1675" s="36"/>
      <c r="Q1675" s="36"/>
      <c r="R1675" s="36"/>
      <c r="S1675" s="36"/>
      <c r="T1675" s="36"/>
      <c r="U1675" s="36"/>
      <c r="V1675" s="36"/>
      <c r="W1675" s="36"/>
      <c r="X1675" s="36"/>
      <c r="Y1675" s="36"/>
      <c r="Z1675" s="36"/>
      <c r="AA1675" s="36"/>
      <c r="AB1675" s="36"/>
      <c r="AC1675" s="36"/>
    </row>
    <row r="1676" ht="15.75" customHeight="1">
      <c r="A1676" s="423">
        <v>43549.0</v>
      </c>
      <c r="B1676" s="424">
        <v>14.7179</v>
      </c>
      <c r="C1676" s="425">
        <v>17.7704</v>
      </c>
      <c r="D1676" s="426">
        <v>20.0255</v>
      </c>
      <c r="E1676" s="425">
        <v>14.3592</v>
      </c>
      <c r="F1676" s="425">
        <v>17.3273</v>
      </c>
      <c r="G1676" s="425">
        <v>14.0041</v>
      </c>
      <c r="H1676" s="426">
        <v>27.9859</v>
      </c>
      <c r="I1676" s="426">
        <v>22.5717</v>
      </c>
      <c r="J1676" s="425">
        <v>20.757</v>
      </c>
      <c r="K1676" s="182">
        <v>11354.25</v>
      </c>
      <c r="L1676" s="36"/>
      <c r="M1676" s="36"/>
      <c r="N1676" s="36"/>
      <c r="O1676" s="36"/>
      <c r="P1676" s="36"/>
      <c r="Q1676" s="36"/>
      <c r="R1676" s="36"/>
      <c r="S1676" s="36"/>
      <c r="T1676" s="36"/>
      <c r="U1676" s="36"/>
      <c r="V1676" s="36"/>
      <c r="W1676" s="36"/>
      <c r="X1676" s="36"/>
      <c r="Y1676" s="36"/>
      <c r="Z1676" s="36"/>
      <c r="AA1676" s="36"/>
      <c r="AB1676" s="36"/>
      <c r="AC1676" s="36"/>
    </row>
    <row r="1677" ht="15.75" customHeight="1">
      <c r="A1677" s="423">
        <v>43550.0</v>
      </c>
      <c r="B1677" s="424">
        <v>14.8792</v>
      </c>
      <c r="C1677" s="425">
        <v>17.7647</v>
      </c>
      <c r="D1677" s="426">
        <v>20.0126</v>
      </c>
      <c r="E1677" s="425">
        <v>14.3517</v>
      </c>
      <c r="F1677" s="425">
        <v>17.5195</v>
      </c>
      <c r="G1677" s="425">
        <v>13.9975</v>
      </c>
      <c r="H1677" s="426">
        <v>28.2364</v>
      </c>
      <c r="I1677" s="426">
        <v>22.8342</v>
      </c>
      <c r="J1677" s="425">
        <v>20.9273</v>
      </c>
      <c r="K1677" s="182">
        <v>11483.25</v>
      </c>
      <c r="L1677" s="36"/>
      <c r="M1677" s="36"/>
      <c r="N1677" s="36"/>
      <c r="O1677" s="36"/>
      <c r="P1677" s="36"/>
      <c r="Q1677" s="36"/>
      <c r="R1677" s="36"/>
      <c r="S1677" s="36"/>
      <c r="T1677" s="36"/>
      <c r="U1677" s="36"/>
      <c r="V1677" s="36"/>
      <c r="W1677" s="36"/>
      <c r="X1677" s="36"/>
      <c r="Y1677" s="36"/>
      <c r="Z1677" s="36"/>
      <c r="AA1677" s="36"/>
      <c r="AB1677" s="36"/>
      <c r="AC1677" s="36"/>
    </row>
    <row r="1678" ht="15.75" customHeight="1">
      <c r="A1678" s="423">
        <v>43551.0</v>
      </c>
      <c r="B1678" s="424">
        <v>14.834</v>
      </c>
      <c r="C1678" s="425">
        <v>17.7675</v>
      </c>
      <c r="D1678" s="426">
        <v>20.0172</v>
      </c>
      <c r="E1678" s="425">
        <v>14.3529</v>
      </c>
      <c r="F1678" s="425">
        <v>17.4835</v>
      </c>
      <c r="G1678" s="425">
        <v>13.9996</v>
      </c>
      <c r="H1678" s="426">
        <v>28.39</v>
      </c>
      <c r="I1678" s="426">
        <v>22.7775</v>
      </c>
      <c r="J1678" s="425">
        <v>20.9029</v>
      </c>
      <c r="K1678" s="182">
        <v>11445.05</v>
      </c>
      <c r="L1678" s="36"/>
      <c r="M1678" s="36"/>
      <c r="N1678" s="36"/>
      <c r="O1678" s="36"/>
      <c r="P1678" s="36"/>
      <c r="Q1678" s="36"/>
      <c r="R1678" s="36"/>
      <c r="S1678" s="36"/>
      <c r="T1678" s="36"/>
      <c r="U1678" s="36"/>
      <c r="V1678" s="36"/>
      <c r="W1678" s="36"/>
      <c r="X1678" s="36"/>
      <c r="Y1678" s="36"/>
      <c r="Z1678" s="36"/>
      <c r="AA1678" s="36"/>
      <c r="AB1678" s="36"/>
      <c r="AC1678" s="36"/>
    </row>
    <row r="1679" ht="15.75" customHeight="1">
      <c r="A1679" s="423">
        <v>43552.0</v>
      </c>
      <c r="B1679" s="424">
        <v>14.9715</v>
      </c>
      <c r="C1679" s="425">
        <v>17.7703</v>
      </c>
      <c r="D1679" s="426">
        <v>20.0491</v>
      </c>
      <c r="E1679" s="425">
        <v>14.3785</v>
      </c>
      <c r="F1679" s="425">
        <v>17.6557</v>
      </c>
      <c r="G1679" s="425">
        <v>14.0069</v>
      </c>
      <c r="H1679" s="426">
        <v>28.596</v>
      </c>
      <c r="I1679" s="426">
        <v>23.0</v>
      </c>
      <c r="J1679" s="425">
        <v>21.0748</v>
      </c>
      <c r="K1679" s="182">
        <v>11570.0</v>
      </c>
      <c r="L1679" s="36"/>
      <c r="M1679" s="36"/>
      <c r="N1679" s="36"/>
      <c r="O1679" s="36"/>
      <c r="P1679" s="36"/>
      <c r="Q1679" s="36"/>
      <c r="R1679" s="36"/>
      <c r="S1679" s="36"/>
      <c r="T1679" s="36"/>
      <c r="U1679" s="36"/>
      <c r="V1679" s="36"/>
      <c r="W1679" s="36"/>
      <c r="X1679" s="36"/>
      <c r="Y1679" s="36"/>
      <c r="Z1679" s="36"/>
      <c r="AA1679" s="36"/>
      <c r="AB1679" s="36"/>
      <c r="AC1679" s="36"/>
    </row>
    <row r="1680" ht="15.75" customHeight="1">
      <c r="A1680" s="423">
        <v>43553.0</v>
      </c>
      <c r="B1680" s="424">
        <v>15.0582</v>
      </c>
      <c r="C1680" s="425">
        <v>17.7855</v>
      </c>
      <c r="D1680" s="426">
        <v>20.06</v>
      </c>
      <c r="E1680" s="425">
        <v>14.3853</v>
      </c>
      <c r="F1680" s="425">
        <v>17.762</v>
      </c>
      <c r="G1680" s="425">
        <v>14.0196</v>
      </c>
      <c r="H1680" s="426">
        <v>28.8646</v>
      </c>
      <c r="I1680" s="426">
        <v>23.1389</v>
      </c>
      <c r="J1680" s="425">
        <v>21.1949</v>
      </c>
      <c r="K1680" s="182">
        <v>11623.9</v>
      </c>
      <c r="L1680" s="36"/>
      <c r="M1680" s="36"/>
      <c r="N1680" s="36"/>
      <c r="O1680" s="36"/>
      <c r="P1680" s="36"/>
      <c r="Q1680" s="36"/>
      <c r="R1680" s="36"/>
      <c r="S1680" s="36"/>
      <c r="T1680" s="36"/>
      <c r="U1680" s="36"/>
      <c r="V1680" s="36"/>
      <c r="W1680" s="36"/>
      <c r="X1680" s="36"/>
      <c r="Y1680" s="36"/>
      <c r="Z1680" s="36"/>
      <c r="AA1680" s="36"/>
      <c r="AB1680" s="36"/>
      <c r="AC1680" s="36"/>
    </row>
    <row r="1681" ht="15.75" customHeight="1">
      <c r="A1681" s="423">
        <v>43555.0</v>
      </c>
      <c r="B1681" s="424">
        <v>15.0575</v>
      </c>
      <c r="C1681" s="425">
        <v>17.7909</v>
      </c>
      <c r="D1681" s="426">
        <v>20.0652</v>
      </c>
      <c r="E1681" s="425">
        <v>14.3888</v>
      </c>
      <c r="F1681" s="425">
        <v>17.7612</v>
      </c>
      <c r="G1681" s="425">
        <v>14.0238</v>
      </c>
      <c r="H1681" s="426">
        <v>28.8633</v>
      </c>
      <c r="I1681" s="426">
        <v>23.1377</v>
      </c>
      <c r="J1681" s="425">
        <v>21.1952</v>
      </c>
      <c r="K1681" s="182">
        <v>11623.9</v>
      </c>
      <c r="L1681" s="36"/>
      <c r="M1681" s="36"/>
      <c r="N1681" s="36"/>
      <c r="O1681" s="36"/>
      <c r="P1681" s="36"/>
      <c r="Q1681" s="36"/>
      <c r="R1681" s="36"/>
      <c r="S1681" s="36"/>
      <c r="T1681" s="36"/>
      <c r="U1681" s="36"/>
      <c r="V1681" s="36"/>
      <c r="W1681" s="36"/>
      <c r="X1681" s="36"/>
      <c r="Y1681" s="36"/>
      <c r="Z1681" s="36"/>
      <c r="AA1681" s="36"/>
      <c r="AB1681" s="36"/>
      <c r="AC1681" s="36"/>
    </row>
    <row r="1682" ht="15.75" customHeight="1">
      <c r="A1682" s="423">
        <v>43556.0</v>
      </c>
      <c r="B1682" s="424">
        <v>15.1046</v>
      </c>
      <c r="C1682" s="425">
        <v>17.7938</v>
      </c>
      <c r="D1682" s="426">
        <v>20.0685</v>
      </c>
      <c r="E1682" s="425">
        <v>14.3914</v>
      </c>
      <c r="F1682" s="425">
        <v>17.8172</v>
      </c>
      <c r="G1682" s="425">
        <v>14.0259</v>
      </c>
      <c r="H1682" s="426">
        <v>28.906</v>
      </c>
      <c r="I1682" s="426">
        <v>23.1873</v>
      </c>
      <c r="J1682" s="425">
        <v>21.2216</v>
      </c>
      <c r="K1682" s="182">
        <v>11669.15</v>
      </c>
      <c r="L1682" s="36"/>
      <c r="M1682" s="36"/>
      <c r="N1682" s="36"/>
      <c r="O1682" s="36"/>
      <c r="P1682" s="36"/>
      <c r="Q1682" s="36"/>
      <c r="R1682" s="36"/>
      <c r="S1682" s="36"/>
      <c r="T1682" s="36"/>
      <c r="U1682" s="36"/>
      <c r="V1682" s="36"/>
      <c r="W1682" s="36"/>
      <c r="X1682" s="36"/>
      <c r="Y1682" s="36"/>
      <c r="Z1682" s="36"/>
      <c r="AA1682" s="36"/>
      <c r="AB1682" s="36"/>
      <c r="AC1682" s="36"/>
    </row>
    <row r="1683" ht="15.75" customHeight="1">
      <c r="A1683" s="423">
        <v>43557.0</v>
      </c>
      <c r="B1683" s="424">
        <v>15.1181</v>
      </c>
      <c r="C1683" s="425">
        <v>17.8339</v>
      </c>
      <c r="D1683" s="426">
        <v>20.1283</v>
      </c>
      <c r="E1683" s="425">
        <v>14.4329</v>
      </c>
      <c r="F1683" s="425">
        <v>17.8223</v>
      </c>
      <c r="G1683" s="425">
        <v>14.0618</v>
      </c>
      <c r="H1683" s="426">
        <v>28.9094</v>
      </c>
      <c r="I1683" s="426">
        <v>23.1943</v>
      </c>
      <c r="J1683" s="425">
        <v>21.2425</v>
      </c>
      <c r="K1683" s="182">
        <v>11713.2</v>
      </c>
      <c r="L1683" s="36"/>
      <c r="M1683" s="36"/>
      <c r="N1683" s="36"/>
      <c r="O1683" s="36"/>
      <c r="P1683" s="36"/>
      <c r="Q1683" s="36"/>
      <c r="R1683" s="36"/>
      <c r="S1683" s="36"/>
      <c r="T1683" s="36"/>
      <c r="U1683" s="36"/>
      <c r="V1683" s="36"/>
      <c r="W1683" s="36"/>
      <c r="X1683" s="36"/>
      <c r="Y1683" s="36"/>
      <c r="Z1683" s="36"/>
      <c r="AA1683" s="36"/>
      <c r="AB1683" s="36"/>
      <c r="AC1683" s="36"/>
    </row>
    <row r="1684" ht="15.75" customHeight="1">
      <c r="A1684" s="423">
        <v>43558.0</v>
      </c>
      <c r="B1684" s="424">
        <v>15.0232</v>
      </c>
      <c r="C1684" s="425">
        <v>17.8239</v>
      </c>
      <c r="D1684" s="426">
        <v>20.1064</v>
      </c>
      <c r="E1684" s="425">
        <v>14.4194</v>
      </c>
      <c r="F1684" s="425">
        <v>17.7081</v>
      </c>
      <c r="G1684" s="425">
        <v>14.0496</v>
      </c>
      <c r="H1684" s="426">
        <v>28.7335</v>
      </c>
      <c r="I1684" s="426">
        <v>23.0551</v>
      </c>
      <c r="J1684" s="425">
        <v>21.1305</v>
      </c>
      <c r="K1684" s="182">
        <v>11643.95</v>
      </c>
      <c r="L1684" s="36"/>
      <c r="M1684" s="36"/>
      <c r="N1684" s="36"/>
      <c r="O1684" s="36"/>
      <c r="P1684" s="36"/>
      <c r="Q1684" s="36"/>
      <c r="R1684" s="36"/>
      <c r="S1684" s="36"/>
      <c r="T1684" s="36"/>
      <c r="U1684" s="36"/>
      <c r="V1684" s="36"/>
      <c r="W1684" s="36"/>
      <c r="X1684" s="36"/>
      <c r="Y1684" s="36"/>
      <c r="Z1684" s="36"/>
      <c r="AA1684" s="36"/>
      <c r="AB1684" s="36"/>
      <c r="AC1684" s="36"/>
    </row>
    <row r="1685" ht="15.75" customHeight="1">
      <c r="A1685" s="423">
        <v>43559.0</v>
      </c>
      <c r="B1685" s="424">
        <v>14.9532</v>
      </c>
      <c r="C1685" s="425">
        <v>17.8064</v>
      </c>
      <c r="D1685" s="426">
        <v>20.0374</v>
      </c>
      <c r="E1685" s="425">
        <v>14.3713</v>
      </c>
      <c r="F1685" s="425">
        <v>17.6317</v>
      </c>
      <c r="G1685" s="425">
        <v>14.0254</v>
      </c>
      <c r="H1685" s="426">
        <v>28.7009</v>
      </c>
      <c r="I1685" s="426">
        <v>22.958</v>
      </c>
      <c r="J1685" s="425">
        <v>21.0356</v>
      </c>
      <c r="K1685" s="182">
        <v>11598.0</v>
      </c>
      <c r="L1685" s="36"/>
      <c r="M1685" s="36"/>
      <c r="N1685" s="36"/>
      <c r="O1685" s="36"/>
      <c r="P1685" s="36"/>
      <c r="Q1685" s="36"/>
      <c r="R1685" s="36"/>
      <c r="S1685" s="36"/>
      <c r="T1685" s="36"/>
      <c r="U1685" s="36"/>
      <c r="V1685" s="36"/>
      <c r="W1685" s="36"/>
      <c r="X1685" s="36"/>
      <c r="Y1685" s="36"/>
      <c r="Z1685" s="36"/>
      <c r="AA1685" s="36"/>
      <c r="AB1685" s="36"/>
      <c r="AC1685" s="36"/>
    </row>
    <row r="1686" ht="15.75" customHeight="1">
      <c r="A1686" s="423">
        <v>43560.0</v>
      </c>
      <c r="B1686" s="424">
        <v>15.0205</v>
      </c>
      <c r="C1686" s="425">
        <v>17.8008</v>
      </c>
      <c r="D1686" s="426">
        <v>20.03</v>
      </c>
      <c r="E1686" s="425">
        <v>14.3681</v>
      </c>
      <c r="F1686" s="425">
        <v>17.7096</v>
      </c>
      <c r="G1686" s="425">
        <v>14.0197</v>
      </c>
      <c r="H1686" s="426">
        <v>28.8223</v>
      </c>
      <c r="I1686" s="426">
        <v>23.0615</v>
      </c>
      <c r="J1686" s="425">
        <v>21.1081</v>
      </c>
      <c r="K1686" s="182">
        <v>11665.95</v>
      </c>
      <c r="L1686" s="36"/>
      <c r="M1686" s="36"/>
      <c r="N1686" s="36"/>
      <c r="O1686" s="36"/>
      <c r="P1686" s="36"/>
      <c r="Q1686" s="36"/>
      <c r="R1686" s="36"/>
      <c r="S1686" s="36"/>
      <c r="T1686" s="36"/>
      <c r="U1686" s="36"/>
      <c r="V1686" s="36"/>
      <c r="W1686" s="36"/>
      <c r="X1686" s="36"/>
      <c r="Y1686" s="36"/>
      <c r="Z1686" s="36"/>
      <c r="AA1686" s="36"/>
      <c r="AB1686" s="36"/>
      <c r="AC1686" s="36"/>
    </row>
    <row r="1687" ht="15.75" customHeight="1">
      <c r="A1687" s="423">
        <v>43563.0</v>
      </c>
      <c r="B1687" s="424">
        <v>14.9581</v>
      </c>
      <c r="C1687" s="425">
        <v>17.7901</v>
      </c>
      <c r="D1687" s="426">
        <v>19.9725</v>
      </c>
      <c r="E1687" s="425">
        <v>14.3308</v>
      </c>
      <c r="F1687" s="425">
        <v>17.6345</v>
      </c>
      <c r="G1687" s="425">
        <v>13.9983</v>
      </c>
      <c r="H1687" s="426">
        <v>28.6589</v>
      </c>
      <c r="I1687" s="426">
        <v>22.9591</v>
      </c>
      <c r="J1687" s="425">
        <v>21.0096</v>
      </c>
      <c r="K1687" s="182">
        <v>11604.5</v>
      </c>
      <c r="L1687" s="36"/>
      <c r="M1687" s="36"/>
      <c r="N1687" s="36"/>
      <c r="O1687" s="36"/>
      <c r="P1687" s="36"/>
      <c r="Q1687" s="36"/>
      <c r="R1687" s="36"/>
      <c r="S1687" s="36"/>
      <c r="T1687" s="36"/>
      <c r="U1687" s="36"/>
      <c r="V1687" s="36"/>
      <c r="W1687" s="36"/>
      <c r="X1687" s="36"/>
      <c r="Y1687" s="36"/>
      <c r="Z1687" s="36"/>
      <c r="AA1687" s="36"/>
      <c r="AB1687" s="36"/>
      <c r="AC1687" s="36"/>
    </row>
    <row r="1688" ht="15.75" customHeight="1">
      <c r="A1688" s="423">
        <v>43564.0</v>
      </c>
      <c r="B1688" s="424">
        <v>15.0356</v>
      </c>
      <c r="C1688" s="425">
        <v>17.7908</v>
      </c>
      <c r="D1688" s="426">
        <v>19.9853</v>
      </c>
      <c r="E1688" s="425">
        <v>14.3416</v>
      </c>
      <c r="F1688" s="425">
        <v>17.7195</v>
      </c>
      <c r="G1688" s="425">
        <v>13.9994</v>
      </c>
      <c r="H1688" s="426">
        <v>28.6558</v>
      </c>
      <c r="I1688" s="426">
        <v>23.0737</v>
      </c>
      <c r="J1688" s="425">
        <v>21.0949</v>
      </c>
      <c r="K1688" s="182">
        <v>11671.95</v>
      </c>
      <c r="L1688" s="36"/>
      <c r="M1688" s="36"/>
      <c r="N1688" s="36"/>
      <c r="O1688" s="36"/>
      <c r="P1688" s="36"/>
      <c r="Q1688" s="36"/>
      <c r="R1688" s="36"/>
      <c r="S1688" s="36"/>
      <c r="T1688" s="36"/>
      <c r="U1688" s="36"/>
      <c r="V1688" s="36"/>
      <c r="W1688" s="36"/>
      <c r="X1688" s="36"/>
      <c r="Y1688" s="36"/>
      <c r="Z1688" s="36"/>
      <c r="AA1688" s="36"/>
      <c r="AB1688" s="36"/>
      <c r="AC1688" s="36"/>
    </row>
    <row r="1689" ht="15.75" customHeight="1">
      <c r="A1689" s="423">
        <v>43565.0</v>
      </c>
      <c r="B1689" s="424">
        <v>14.9497</v>
      </c>
      <c r="C1689" s="425">
        <v>17.8022</v>
      </c>
      <c r="D1689" s="426">
        <v>19.9966</v>
      </c>
      <c r="E1689" s="425">
        <v>14.352</v>
      </c>
      <c r="F1689" s="425">
        <v>17.6173</v>
      </c>
      <c r="G1689" s="425">
        <v>14.0102</v>
      </c>
      <c r="H1689" s="426">
        <v>28.6184</v>
      </c>
      <c r="I1689" s="426">
        <v>22.9471</v>
      </c>
      <c r="J1689" s="425">
        <v>21.0032</v>
      </c>
      <c r="K1689" s="182">
        <v>11584.3</v>
      </c>
      <c r="L1689" s="36"/>
      <c r="M1689" s="36"/>
      <c r="N1689" s="36"/>
      <c r="O1689" s="36"/>
      <c r="P1689" s="36"/>
      <c r="Q1689" s="36"/>
      <c r="R1689" s="36"/>
      <c r="S1689" s="36"/>
      <c r="T1689" s="36"/>
      <c r="U1689" s="36"/>
      <c r="V1689" s="36"/>
      <c r="W1689" s="36"/>
      <c r="X1689" s="36"/>
      <c r="Y1689" s="36"/>
      <c r="Z1689" s="36"/>
      <c r="AA1689" s="36"/>
      <c r="AB1689" s="36"/>
      <c r="AC1689" s="36"/>
    </row>
    <row r="1690" ht="15.75" customHeight="1">
      <c r="A1690" s="423">
        <v>43566.0</v>
      </c>
      <c r="B1690" s="424">
        <v>14.9633</v>
      </c>
      <c r="C1690" s="425">
        <v>17.7982</v>
      </c>
      <c r="D1690" s="426">
        <v>19.9871</v>
      </c>
      <c r="E1690" s="425">
        <v>14.3444</v>
      </c>
      <c r="F1690" s="425">
        <v>17.6325</v>
      </c>
      <c r="G1690" s="425">
        <v>14.0063</v>
      </c>
      <c r="H1690" s="426">
        <v>28.6253</v>
      </c>
      <c r="I1690" s="426">
        <v>22.969</v>
      </c>
      <c r="J1690" s="425">
        <v>21.0147</v>
      </c>
      <c r="K1690" s="182">
        <v>11596.7</v>
      </c>
      <c r="L1690" s="36"/>
      <c r="M1690" s="36"/>
      <c r="N1690" s="36"/>
      <c r="O1690" s="36"/>
      <c r="P1690" s="36"/>
      <c r="Q1690" s="36"/>
      <c r="R1690" s="36"/>
      <c r="S1690" s="36"/>
      <c r="T1690" s="36"/>
      <c r="U1690" s="36"/>
      <c r="V1690" s="36"/>
      <c r="W1690" s="36"/>
      <c r="X1690" s="36"/>
      <c r="Y1690" s="36"/>
      <c r="Z1690" s="36"/>
      <c r="AA1690" s="36"/>
      <c r="AB1690" s="36"/>
      <c r="AC1690" s="36"/>
    </row>
    <row r="1691" ht="15.75" customHeight="1">
      <c r="A1691" s="423">
        <v>43567.0</v>
      </c>
      <c r="B1691" s="424">
        <v>15.0287</v>
      </c>
      <c r="C1691" s="425">
        <v>17.7973</v>
      </c>
      <c r="D1691" s="426">
        <v>19.9701</v>
      </c>
      <c r="E1691" s="425">
        <v>14.3296</v>
      </c>
      <c r="F1691" s="425">
        <v>17.7178</v>
      </c>
      <c r="G1691" s="425">
        <v>14.0008</v>
      </c>
      <c r="H1691" s="426">
        <v>28.7121</v>
      </c>
      <c r="I1691" s="426">
        <v>23.0651</v>
      </c>
      <c r="J1691" s="425">
        <v>21.0793</v>
      </c>
      <c r="K1691" s="182">
        <v>11643.45</v>
      </c>
      <c r="L1691" s="36"/>
      <c r="M1691" s="36"/>
      <c r="N1691" s="36"/>
      <c r="O1691" s="36"/>
      <c r="P1691" s="36"/>
      <c r="Q1691" s="36"/>
      <c r="R1691" s="36"/>
      <c r="S1691" s="36"/>
      <c r="T1691" s="36"/>
      <c r="U1691" s="36"/>
      <c r="V1691" s="36"/>
      <c r="W1691" s="36"/>
      <c r="X1691" s="36"/>
      <c r="Y1691" s="36"/>
      <c r="Z1691" s="36"/>
      <c r="AA1691" s="36"/>
      <c r="AB1691" s="36"/>
      <c r="AC1691" s="36"/>
    </row>
    <row r="1692" ht="15.75" customHeight="1">
      <c r="A1692" s="423">
        <v>43570.0</v>
      </c>
      <c r="B1692" s="424">
        <v>15.094</v>
      </c>
      <c r="C1692" s="425">
        <v>17.8047</v>
      </c>
      <c r="D1692" s="426">
        <v>19.966</v>
      </c>
      <c r="E1692" s="425">
        <v>14.334</v>
      </c>
      <c r="F1692" s="425">
        <v>17.7787</v>
      </c>
      <c r="G1692" s="425">
        <v>14.0052</v>
      </c>
      <c r="H1692" s="426">
        <v>28.8431</v>
      </c>
      <c r="I1692" s="426">
        <v>23.174</v>
      </c>
      <c r="J1692" s="425">
        <v>21.1552</v>
      </c>
      <c r="K1692" s="182">
        <v>11690.35</v>
      </c>
      <c r="L1692" s="36"/>
      <c r="M1692" s="36"/>
      <c r="N1692" s="36"/>
      <c r="O1692" s="36"/>
      <c r="P1692" s="36"/>
      <c r="Q1692" s="36"/>
      <c r="R1692" s="36"/>
      <c r="S1692" s="36"/>
      <c r="T1692" s="36"/>
      <c r="U1692" s="36"/>
      <c r="V1692" s="36"/>
      <c r="W1692" s="36"/>
      <c r="X1692" s="36"/>
      <c r="Y1692" s="36"/>
      <c r="Z1692" s="36"/>
      <c r="AA1692" s="36"/>
      <c r="AB1692" s="36"/>
      <c r="AC1692" s="36"/>
    </row>
    <row r="1693" ht="15.75" customHeight="1">
      <c r="A1693" s="423">
        <v>43571.0</v>
      </c>
      <c r="B1693" s="424">
        <v>15.2066</v>
      </c>
      <c r="C1693" s="425">
        <v>17.807</v>
      </c>
      <c r="D1693" s="426">
        <v>19.9619</v>
      </c>
      <c r="E1693" s="425">
        <v>14.3307</v>
      </c>
      <c r="F1693" s="425">
        <v>17.9121</v>
      </c>
      <c r="G1693" s="425">
        <v>14.0033</v>
      </c>
      <c r="H1693" s="426">
        <v>28.8868</v>
      </c>
      <c r="I1693" s="426">
        <v>23.3668</v>
      </c>
      <c r="J1693" s="425">
        <v>21.2726</v>
      </c>
      <c r="K1693" s="182">
        <v>11787.15</v>
      </c>
      <c r="L1693" s="36"/>
      <c r="M1693" s="36"/>
      <c r="N1693" s="36"/>
      <c r="O1693" s="36"/>
      <c r="P1693" s="36"/>
      <c r="Q1693" s="36"/>
      <c r="R1693" s="36"/>
      <c r="S1693" s="36"/>
      <c r="T1693" s="36"/>
      <c r="U1693" s="36"/>
      <c r="V1693" s="36"/>
      <c r="W1693" s="36"/>
      <c r="X1693" s="36"/>
      <c r="Y1693" s="36"/>
      <c r="Z1693" s="36"/>
      <c r="AA1693" s="36"/>
      <c r="AB1693" s="36"/>
      <c r="AC1693" s="36"/>
    </row>
    <row r="1694" ht="15.75" customHeight="1">
      <c r="A1694" s="423">
        <v>43573.0</v>
      </c>
      <c r="B1694" s="424">
        <v>15.1748</v>
      </c>
      <c r="C1694" s="425">
        <v>17.8109</v>
      </c>
      <c r="D1694" s="426">
        <v>19.9645</v>
      </c>
      <c r="E1694" s="425">
        <v>14.3299</v>
      </c>
      <c r="F1694" s="425">
        <v>17.8735</v>
      </c>
      <c r="G1694" s="425">
        <v>14.0031</v>
      </c>
      <c r="H1694" s="426">
        <v>28.7414</v>
      </c>
      <c r="I1694" s="426">
        <v>23.3119</v>
      </c>
      <c r="J1694" s="425">
        <v>21.2272</v>
      </c>
      <c r="K1694" s="182">
        <v>11752.8</v>
      </c>
      <c r="L1694" s="36"/>
      <c r="M1694" s="36"/>
      <c r="N1694" s="36"/>
      <c r="O1694" s="36"/>
      <c r="P1694" s="36"/>
      <c r="Q1694" s="36"/>
      <c r="R1694" s="36"/>
      <c r="S1694" s="36"/>
      <c r="T1694" s="36"/>
      <c r="U1694" s="36"/>
      <c r="V1694" s="36"/>
      <c r="W1694" s="36"/>
      <c r="X1694" s="36"/>
      <c r="Y1694" s="36"/>
      <c r="Z1694" s="36"/>
      <c r="AA1694" s="36"/>
      <c r="AB1694" s="36"/>
      <c r="AC1694" s="36"/>
    </row>
    <row r="1695" ht="15.75" customHeight="1">
      <c r="A1695" s="423">
        <v>43577.0</v>
      </c>
      <c r="B1695" s="424">
        <v>15.0055</v>
      </c>
      <c r="C1695" s="425">
        <v>17.8137</v>
      </c>
      <c r="D1695" s="426">
        <v>19.9237</v>
      </c>
      <c r="E1695" s="425">
        <v>14.3026</v>
      </c>
      <c r="F1695" s="425">
        <v>17.6696</v>
      </c>
      <c r="G1695" s="425">
        <v>13.9981</v>
      </c>
      <c r="H1695" s="426">
        <v>28.4189</v>
      </c>
      <c r="I1695" s="426">
        <v>23.0331</v>
      </c>
      <c r="J1695" s="425">
        <v>21.0071</v>
      </c>
      <c r="K1695" s="182">
        <v>11594.45</v>
      </c>
      <c r="L1695" s="36"/>
      <c r="M1695" s="36"/>
      <c r="N1695" s="36"/>
      <c r="O1695" s="36"/>
      <c r="P1695" s="36"/>
      <c r="Q1695" s="36"/>
      <c r="R1695" s="36"/>
      <c r="S1695" s="36"/>
      <c r="T1695" s="36"/>
      <c r="U1695" s="36"/>
      <c r="V1695" s="36"/>
      <c r="W1695" s="36"/>
      <c r="X1695" s="36"/>
      <c r="Y1695" s="36"/>
      <c r="Z1695" s="36"/>
      <c r="AA1695" s="36"/>
      <c r="AB1695" s="36"/>
      <c r="AC1695" s="36"/>
    </row>
    <row r="1696" ht="15.75" customHeight="1">
      <c r="A1696" s="423">
        <v>43578.0</v>
      </c>
      <c r="B1696" s="424">
        <v>14.9897</v>
      </c>
      <c r="C1696" s="425">
        <v>17.8092</v>
      </c>
      <c r="D1696" s="426">
        <v>19.9323</v>
      </c>
      <c r="E1696" s="425">
        <v>14.3092</v>
      </c>
      <c r="F1696" s="425">
        <v>17.6568</v>
      </c>
      <c r="G1696" s="425">
        <v>13.9939</v>
      </c>
      <c r="H1696" s="426">
        <v>28.4279</v>
      </c>
      <c r="I1696" s="426">
        <v>23.0052</v>
      </c>
      <c r="J1696" s="425">
        <v>20.9826</v>
      </c>
      <c r="K1696" s="182">
        <v>11575.95</v>
      </c>
      <c r="L1696" s="36"/>
      <c r="M1696" s="36"/>
      <c r="N1696" s="36"/>
      <c r="O1696" s="36"/>
      <c r="P1696" s="36"/>
      <c r="Q1696" s="36"/>
      <c r="R1696" s="36"/>
      <c r="S1696" s="36"/>
      <c r="T1696" s="36"/>
      <c r="U1696" s="36"/>
      <c r="V1696" s="36"/>
      <c r="W1696" s="36"/>
      <c r="X1696" s="36"/>
      <c r="Y1696" s="36"/>
      <c r="Z1696" s="36"/>
      <c r="AA1696" s="36"/>
      <c r="AB1696" s="36"/>
      <c r="AC1696" s="36"/>
    </row>
    <row r="1697" ht="15.75" customHeight="1">
      <c r="A1697" s="423">
        <v>43579.0</v>
      </c>
      <c r="B1697" s="424">
        <v>15.1503</v>
      </c>
      <c r="C1697" s="425">
        <v>17.8169</v>
      </c>
      <c r="D1697" s="426">
        <v>19.9638</v>
      </c>
      <c r="E1697" s="425">
        <v>14.3286</v>
      </c>
      <c r="F1697" s="425">
        <v>17.8248</v>
      </c>
      <c r="G1697" s="425">
        <v>14.0023</v>
      </c>
      <c r="H1697" s="426">
        <v>28.4713</v>
      </c>
      <c r="I1697" s="426">
        <v>23.2253</v>
      </c>
      <c r="J1697" s="425">
        <v>21.156</v>
      </c>
      <c r="K1697" s="182">
        <v>11726.15</v>
      </c>
      <c r="L1697" s="36"/>
      <c r="M1697" s="36"/>
      <c r="N1697" s="36"/>
      <c r="O1697" s="36"/>
      <c r="P1697" s="36"/>
      <c r="Q1697" s="36"/>
      <c r="R1697" s="36"/>
      <c r="S1697" s="36"/>
      <c r="T1697" s="36"/>
      <c r="U1697" s="36"/>
      <c r="V1697" s="36"/>
      <c r="W1697" s="36"/>
      <c r="X1697" s="36"/>
      <c r="Y1697" s="36"/>
      <c r="Z1697" s="36"/>
      <c r="AA1697" s="36"/>
      <c r="AB1697" s="36"/>
      <c r="AC1697" s="36"/>
    </row>
    <row r="1698" ht="15.75" customHeight="1">
      <c r="A1698" s="423">
        <v>43580.0</v>
      </c>
      <c r="B1698" s="424">
        <v>15.0639</v>
      </c>
      <c r="C1698" s="425">
        <v>17.8198</v>
      </c>
      <c r="D1698" s="426">
        <v>19.9623</v>
      </c>
      <c r="E1698" s="425">
        <v>14.3284</v>
      </c>
      <c r="F1698" s="425">
        <v>17.7319</v>
      </c>
      <c r="G1698" s="425">
        <v>14.001</v>
      </c>
      <c r="H1698" s="426">
        <v>28.3996</v>
      </c>
      <c r="I1698" s="426">
        <v>23.1063</v>
      </c>
      <c r="J1698" s="425">
        <v>21.0787</v>
      </c>
      <c r="K1698" s="182">
        <v>11641.8</v>
      </c>
      <c r="L1698" s="36"/>
      <c r="M1698" s="36"/>
      <c r="N1698" s="36"/>
      <c r="O1698" s="36"/>
      <c r="P1698" s="36"/>
      <c r="Q1698" s="36"/>
      <c r="R1698" s="36"/>
      <c r="S1698" s="36"/>
      <c r="T1698" s="36"/>
      <c r="U1698" s="36"/>
      <c r="V1698" s="36"/>
      <c r="W1698" s="36"/>
      <c r="X1698" s="36"/>
      <c r="Y1698" s="36"/>
      <c r="Z1698" s="36"/>
      <c r="AA1698" s="36"/>
      <c r="AB1698" s="36"/>
      <c r="AC1698" s="36"/>
    </row>
    <row r="1699" ht="15.75" customHeight="1">
      <c r="A1699" s="423">
        <v>43581.0</v>
      </c>
      <c r="B1699" s="424">
        <v>15.2025</v>
      </c>
      <c r="C1699" s="425">
        <v>17.7905</v>
      </c>
      <c r="D1699" s="426">
        <v>19.9647</v>
      </c>
      <c r="E1699" s="425">
        <v>14.3348</v>
      </c>
      <c r="F1699" s="425">
        <v>17.8685</v>
      </c>
      <c r="G1699" s="425">
        <v>13.9856</v>
      </c>
      <c r="H1699" s="426">
        <v>28.3645</v>
      </c>
      <c r="I1699" s="426">
        <v>23.2988</v>
      </c>
      <c r="J1699" s="425">
        <v>21.201</v>
      </c>
      <c r="K1699" s="182">
        <v>11754.65</v>
      </c>
      <c r="L1699" s="36"/>
      <c r="M1699" s="36"/>
      <c r="N1699" s="36"/>
      <c r="O1699" s="36"/>
      <c r="P1699" s="36"/>
      <c r="Q1699" s="36"/>
      <c r="R1699" s="36"/>
      <c r="S1699" s="36"/>
      <c r="T1699" s="36"/>
      <c r="U1699" s="36"/>
      <c r="V1699" s="36"/>
      <c r="W1699" s="36"/>
      <c r="X1699" s="36"/>
      <c r="Y1699" s="36"/>
      <c r="Z1699" s="36"/>
      <c r="AA1699" s="36"/>
      <c r="AB1699" s="36"/>
      <c r="AC1699" s="36"/>
    </row>
    <row r="1700" ht="15.75" customHeight="1">
      <c r="A1700" s="423">
        <v>43585.0</v>
      </c>
      <c r="B1700" s="424">
        <v>15.185</v>
      </c>
      <c r="C1700" s="425">
        <v>17.6338</v>
      </c>
      <c r="D1700" s="426">
        <v>19.9591</v>
      </c>
      <c r="E1700" s="425">
        <v>14.3496</v>
      </c>
      <c r="F1700" s="425">
        <v>17.8563</v>
      </c>
      <c r="G1700" s="425">
        <v>13.9993</v>
      </c>
      <c r="H1700" s="426">
        <v>28.2491</v>
      </c>
      <c r="I1700" s="426">
        <v>23.2813</v>
      </c>
      <c r="J1700" s="425">
        <v>21.1657</v>
      </c>
      <c r="K1700" s="182">
        <v>11748.15</v>
      </c>
      <c r="L1700" s="36"/>
      <c r="M1700" s="36"/>
      <c r="N1700" s="36"/>
      <c r="O1700" s="36"/>
      <c r="P1700" s="36"/>
      <c r="Q1700" s="36"/>
      <c r="R1700" s="36"/>
      <c r="S1700" s="36"/>
      <c r="T1700" s="36"/>
      <c r="U1700" s="36"/>
      <c r="V1700" s="36"/>
      <c r="W1700" s="36"/>
      <c r="X1700" s="36"/>
      <c r="Y1700" s="36"/>
      <c r="Z1700" s="36"/>
      <c r="AA1700" s="36"/>
      <c r="AB1700" s="36"/>
      <c r="AC1700" s="36"/>
    </row>
    <row r="1701" ht="15.75" customHeight="1">
      <c r="A1701" s="423">
        <v>43587.0</v>
      </c>
      <c r="B1701" s="424">
        <v>15.1414</v>
      </c>
      <c r="C1701" s="425">
        <v>17.6385</v>
      </c>
      <c r="D1701" s="426">
        <v>19.9726</v>
      </c>
      <c r="E1701" s="425">
        <v>14.361</v>
      </c>
      <c r="F1701" s="425">
        <v>17.8035</v>
      </c>
      <c r="G1701" s="425">
        <v>14.0058</v>
      </c>
      <c r="H1701" s="426">
        <v>28.058</v>
      </c>
      <c r="I1701" s="426">
        <v>23.2071</v>
      </c>
      <c r="J1701" s="425">
        <v>21.1188</v>
      </c>
      <c r="K1701" s="182">
        <v>11724.75</v>
      </c>
      <c r="L1701" s="36"/>
      <c r="M1701" s="36"/>
      <c r="N1701" s="36"/>
      <c r="O1701" s="36"/>
      <c r="P1701" s="36"/>
      <c r="Q1701" s="36"/>
      <c r="R1701" s="36"/>
      <c r="S1701" s="36"/>
      <c r="T1701" s="36"/>
      <c r="U1701" s="36"/>
      <c r="V1701" s="36"/>
      <c r="W1701" s="36"/>
      <c r="X1701" s="36"/>
      <c r="Y1701" s="36"/>
      <c r="Z1701" s="36"/>
      <c r="AA1701" s="36"/>
      <c r="AB1701" s="36"/>
      <c r="AC1701" s="36"/>
    </row>
    <row r="1702" ht="15.75" customHeight="1">
      <c r="A1702" s="423">
        <v>43588.0</v>
      </c>
      <c r="B1702" s="424">
        <v>15.1362</v>
      </c>
      <c r="C1702" s="425">
        <v>17.6383</v>
      </c>
      <c r="D1702" s="426">
        <v>19.974</v>
      </c>
      <c r="E1702" s="425">
        <v>14.362</v>
      </c>
      <c r="F1702" s="425">
        <v>17.8037</v>
      </c>
      <c r="G1702" s="425">
        <v>14.0059</v>
      </c>
      <c r="H1702" s="426">
        <v>28.0848</v>
      </c>
      <c r="I1702" s="426">
        <v>23.2103</v>
      </c>
      <c r="J1702" s="425">
        <v>21.1186</v>
      </c>
      <c r="K1702" s="182">
        <v>11712.25</v>
      </c>
      <c r="L1702" s="36"/>
      <c r="M1702" s="36"/>
      <c r="N1702" s="36"/>
      <c r="O1702" s="36"/>
      <c r="P1702" s="36"/>
      <c r="Q1702" s="36"/>
      <c r="R1702" s="36"/>
      <c r="S1702" s="36"/>
      <c r="T1702" s="36"/>
      <c r="U1702" s="36"/>
      <c r="V1702" s="36"/>
      <c r="W1702" s="36"/>
      <c r="X1702" s="36"/>
      <c r="Y1702" s="36"/>
      <c r="Z1702" s="36"/>
      <c r="AA1702" s="36"/>
      <c r="AB1702" s="36"/>
      <c r="AC1702" s="36"/>
    </row>
    <row r="1703" ht="15.75" customHeight="1">
      <c r="A1703" s="423">
        <v>43591.0</v>
      </c>
      <c r="B1703" s="424">
        <v>15.014</v>
      </c>
      <c r="C1703" s="425">
        <v>17.6532</v>
      </c>
      <c r="D1703" s="426">
        <v>19.9852</v>
      </c>
      <c r="E1703" s="425">
        <v>14.3696</v>
      </c>
      <c r="F1703" s="425">
        <v>17.6716</v>
      </c>
      <c r="G1703" s="425">
        <v>14.0161</v>
      </c>
      <c r="H1703" s="426">
        <v>27.9029</v>
      </c>
      <c r="I1703" s="426">
        <v>23.0193</v>
      </c>
      <c r="J1703" s="425">
        <v>20.9792</v>
      </c>
      <c r="K1703" s="182">
        <v>11598.25</v>
      </c>
      <c r="L1703" s="36"/>
      <c r="M1703" s="36"/>
      <c r="N1703" s="36"/>
      <c r="O1703" s="36"/>
      <c r="P1703" s="36"/>
      <c r="Q1703" s="36"/>
      <c r="R1703" s="36"/>
      <c r="S1703" s="36"/>
      <c r="T1703" s="36"/>
      <c r="U1703" s="36"/>
      <c r="V1703" s="36"/>
      <c r="W1703" s="36"/>
      <c r="X1703" s="36"/>
      <c r="Y1703" s="36"/>
      <c r="Z1703" s="36"/>
      <c r="AA1703" s="36"/>
      <c r="AB1703" s="36"/>
      <c r="AC1703" s="36"/>
    </row>
    <row r="1704" ht="15.75" customHeight="1">
      <c r="A1704" s="423">
        <v>43592.0</v>
      </c>
      <c r="B1704" s="424">
        <v>14.8847</v>
      </c>
      <c r="C1704" s="425">
        <v>17.6565</v>
      </c>
      <c r="D1704" s="426">
        <v>19.9928</v>
      </c>
      <c r="E1704" s="425">
        <v>14.3744</v>
      </c>
      <c r="F1704" s="425">
        <v>17.5327</v>
      </c>
      <c r="G1704" s="425">
        <v>14.0158</v>
      </c>
      <c r="H1704" s="426">
        <v>27.7116</v>
      </c>
      <c r="I1704" s="426">
        <v>22.8235</v>
      </c>
      <c r="J1704" s="425">
        <v>20.8499</v>
      </c>
      <c r="K1704" s="182">
        <v>11497.9</v>
      </c>
      <c r="L1704" s="36"/>
      <c r="M1704" s="36"/>
      <c r="N1704" s="36"/>
      <c r="O1704" s="36"/>
      <c r="P1704" s="36"/>
      <c r="Q1704" s="36"/>
      <c r="R1704" s="36"/>
      <c r="S1704" s="36"/>
      <c r="T1704" s="36"/>
      <c r="U1704" s="36"/>
      <c r="V1704" s="36"/>
      <c r="W1704" s="36"/>
      <c r="X1704" s="36"/>
      <c r="Y1704" s="36"/>
      <c r="Z1704" s="36"/>
      <c r="AA1704" s="36"/>
      <c r="AB1704" s="36"/>
      <c r="AC1704" s="36"/>
    </row>
    <row r="1705" ht="15.75" customHeight="1">
      <c r="A1705" s="423">
        <v>43593.0</v>
      </c>
      <c r="B1705" s="424">
        <v>14.7281</v>
      </c>
      <c r="C1705" s="425">
        <v>17.6689</v>
      </c>
      <c r="D1705" s="426">
        <v>20.0066</v>
      </c>
      <c r="E1705" s="425">
        <v>14.3846</v>
      </c>
      <c r="F1705" s="425">
        <v>17.3677</v>
      </c>
      <c r="G1705" s="425">
        <v>14.0274</v>
      </c>
      <c r="H1705" s="426">
        <v>27.5021</v>
      </c>
      <c r="I1705" s="426">
        <v>22.5927</v>
      </c>
      <c r="J1705" s="425">
        <v>20.6897</v>
      </c>
      <c r="K1705" s="182">
        <v>11359.45</v>
      </c>
      <c r="L1705" s="36"/>
      <c r="M1705" s="36"/>
      <c r="N1705" s="36"/>
      <c r="O1705" s="36"/>
      <c r="P1705" s="36"/>
      <c r="Q1705" s="36"/>
      <c r="R1705" s="36"/>
      <c r="S1705" s="36"/>
      <c r="T1705" s="36"/>
      <c r="U1705" s="36"/>
      <c r="V1705" s="36"/>
      <c r="W1705" s="36"/>
      <c r="X1705" s="36"/>
      <c r="Y1705" s="36"/>
      <c r="Z1705" s="36"/>
      <c r="AA1705" s="36"/>
      <c r="AB1705" s="36"/>
      <c r="AC1705" s="36"/>
    </row>
    <row r="1706" ht="15.75" customHeight="1">
      <c r="A1706" s="423">
        <v>43594.0</v>
      </c>
      <c r="B1706" s="424">
        <v>14.664</v>
      </c>
      <c r="C1706" s="425">
        <v>17.6745</v>
      </c>
      <c r="D1706" s="426">
        <v>20.0088</v>
      </c>
      <c r="E1706" s="425">
        <v>14.3869</v>
      </c>
      <c r="F1706" s="425">
        <v>17.3047</v>
      </c>
      <c r="G1706" s="425">
        <v>14.0361</v>
      </c>
      <c r="H1706" s="426">
        <v>27.4622</v>
      </c>
      <c r="I1706" s="426">
        <v>22.4921</v>
      </c>
      <c r="J1706" s="425">
        <v>20.6261</v>
      </c>
      <c r="K1706" s="182">
        <v>11301.8</v>
      </c>
      <c r="L1706" s="36"/>
      <c r="M1706" s="36"/>
      <c r="N1706" s="36"/>
      <c r="O1706" s="36"/>
      <c r="P1706" s="36"/>
      <c r="Q1706" s="36"/>
      <c r="R1706" s="36"/>
      <c r="S1706" s="36"/>
      <c r="T1706" s="36"/>
      <c r="U1706" s="36"/>
      <c r="V1706" s="36"/>
      <c r="W1706" s="36"/>
      <c r="X1706" s="36"/>
      <c r="Y1706" s="36"/>
      <c r="Z1706" s="36"/>
      <c r="AA1706" s="36"/>
      <c r="AB1706" s="36"/>
      <c r="AC1706" s="36"/>
    </row>
    <row r="1707" ht="15.75" customHeight="1">
      <c r="A1707" s="423">
        <v>43595.0</v>
      </c>
      <c r="B1707" s="424">
        <v>14.6257</v>
      </c>
      <c r="C1707" s="425">
        <v>17.6793</v>
      </c>
      <c r="D1707" s="426">
        <v>20.0109</v>
      </c>
      <c r="E1707" s="425">
        <v>14.3879</v>
      </c>
      <c r="F1707" s="425">
        <v>17.2578</v>
      </c>
      <c r="G1707" s="425">
        <v>14.0382</v>
      </c>
      <c r="H1707" s="426">
        <v>27.4759</v>
      </c>
      <c r="I1707" s="426">
        <v>22.4422</v>
      </c>
      <c r="J1707" s="425">
        <v>20.5879</v>
      </c>
      <c r="K1707" s="182">
        <v>11278.9</v>
      </c>
      <c r="L1707" s="36"/>
      <c r="M1707" s="36"/>
      <c r="N1707" s="36"/>
      <c r="O1707" s="36"/>
      <c r="P1707" s="36"/>
      <c r="Q1707" s="36"/>
      <c r="R1707" s="36"/>
      <c r="S1707" s="36"/>
      <c r="T1707" s="36"/>
      <c r="U1707" s="36"/>
      <c r="V1707" s="36"/>
      <c r="W1707" s="36"/>
      <c r="X1707" s="36"/>
      <c r="Y1707" s="36"/>
      <c r="Z1707" s="36"/>
      <c r="AA1707" s="36"/>
      <c r="AB1707" s="36"/>
      <c r="AC1707" s="36"/>
    </row>
    <row r="1708" ht="15.75" customHeight="1">
      <c r="A1708" s="423">
        <v>43598.0</v>
      </c>
      <c r="B1708" s="424">
        <v>14.455</v>
      </c>
      <c r="C1708" s="425">
        <v>17.6827</v>
      </c>
      <c r="D1708" s="426">
        <v>20.0329</v>
      </c>
      <c r="E1708" s="425">
        <v>14.4055</v>
      </c>
      <c r="F1708" s="425">
        <v>17.0597</v>
      </c>
      <c r="G1708" s="425">
        <v>14.05</v>
      </c>
      <c r="H1708" s="426">
        <v>27.072</v>
      </c>
      <c r="I1708" s="426">
        <v>22.1767</v>
      </c>
      <c r="J1708" s="425">
        <v>20.4174</v>
      </c>
      <c r="K1708" s="182">
        <v>11148.2</v>
      </c>
      <c r="L1708" s="36"/>
      <c r="M1708" s="36"/>
      <c r="N1708" s="36"/>
      <c r="O1708" s="36"/>
      <c r="P1708" s="36"/>
      <c r="Q1708" s="36"/>
      <c r="R1708" s="36"/>
      <c r="S1708" s="36"/>
      <c r="T1708" s="36"/>
      <c r="U1708" s="36"/>
      <c r="V1708" s="36"/>
      <c r="W1708" s="36"/>
      <c r="X1708" s="36"/>
      <c r="Y1708" s="36"/>
      <c r="Z1708" s="36"/>
      <c r="AA1708" s="36"/>
      <c r="AB1708" s="36"/>
      <c r="AC1708" s="36"/>
    </row>
    <row r="1709" ht="15.75" customHeight="1">
      <c r="A1709" s="423">
        <v>43599.0</v>
      </c>
      <c r="B1709" s="424">
        <v>14.5231</v>
      </c>
      <c r="C1709" s="425">
        <v>17.6947</v>
      </c>
      <c r="D1709" s="426">
        <v>20.0675</v>
      </c>
      <c r="E1709" s="425">
        <v>14.4302</v>
      </c>
      <c r="F1709" s="425">
        <v>17.1384</v>
      </c>
      <c r="G1709" s="425">
        <v>14.065</v>
      </c>
      <c r="H1709" s="426">
        <v>27.1697</v>
      </c>
      <c r="I1709" s="426">
        <v>22.2854</v>
      </c>
      <c r="J1709" s="425">
        <v>20.4962</v>
      </c>
      <c r="K1709" s="182">
        <v>11222.05</v>
      </c>
      <c r="L1709" s="36"/>
      <c r="M1709" s="36"/>
      <c r="N1709" s="36"/>
      <c r="O1709" s="36"/>
      <c r="P1709" s="36"/>
      <c r="Q1709" s="36"/>
      <c r="R1709" s="36"/>
      <c r="S1709" s="36"/>
      <c r="T1709" s="36"/>
      <c r="U1709" s="36"/>
      <c r="V1709" s="36"/>
      <c r="W1709" s="36"/>
      <c r="X1709" s="36"/>
      <c r="Y1709" s="36"/>
      <c r="Z1709" s="36"/>
      <c r="AA1709" s="36"/>
      <c r="AB1709" s="36"/>
      <c r="AC1709" s="36"/>
    </row>
    <row r="1710" ht="15.75" customHeight="1">
      <c r="A1710" s="423">
        <v>43600.0</v>
      </c>
      <c r="B1710" s="424">
        <v>14.4538</v>
      </c>
      <c r="C1710" s="425">
        <v>17.7017</v>
      </c>
      <c r="D1710" s="426">
        <v>20.0699</v>
      </c>
      <c r="E1710" s="425">
        <v>14.4313</v>
      </c>
      <c r="F1710" s="425">
        <v>17.0624</v>
      </c>
      <c r="G1710" s="425">
        <v>14.0698</v>
      </c>
      <c r="H1710" s="426">
        <v>27.0491</v>
      </c>
      <c r="I1710" s="426">
        <v>22.1881</v>
      </c>
      <c r="J1710" s="425">
        <v>20.4161</v>
      </c>
      <c r="K1710" s="182">
        <v>11157.0</v>
      </c>
      <c r="L1710" s="36"/>
      <c r="M1710" s="36"/>
      <c r="N1710" s="36"/>
      <c r="O1710" s="36"/>
      <c r="P1710" s="36"/>
      <c r="Q1710" s="36"/>
      <c r="R1710" s="36"/>
      <c r="S1710" s="36"/>
      <c r="T1710" s="36"/>
      <c r="U1710" s="36"/>
      <c r="V1710" s="36"/>
      <c r="W1710" s="36"/>
      <c r="X1710" s="36"/>
      <c r="Y1710" s="36"/>
      <c r="Z1710" s="36"/>
      <c r="AA1710" s="36"/>
      <c r="AB1710" s="36"/>
      <c r="AC1710" s="36"/>
    </row>
    <row r="1711" ht="15.75" customHeight="1">
      <c r="A1711" s="423">
        <v>43601.0</v>
      </c>
      <c r="B1711" s="424">
        <v>14.5845</v>
      </c>
      <c r="C1711" s="425">
        <v>17.7068</v>
      </c>
      <c r="D1711" s="426">
        <v>20.0787</v>
      </c>
      <c r="E1711" s="425">
        <v>14.437</v>
      </c>
      <c r="F1711" s="425">
        <v>17.1931</v>
      </c>
      <c r="G1711" s="425">
        <v>14.0751</v>
      </c>
      <c r="H1711" s="426">
        <v>27.031</v>
      </c>
      <c r="I1711" s="426">
        <v>22.3736</v>
      </c>
      <c r="J1711" s="425">
        <v>20.5389</v>
      </c>
      <c r="K1711" s="182">
        <v>11257.1</v>
      </c>
      <c r="L1711" s="36"/>
      <c r="M1711" s="36"/>
      <c r="N1711" s="36"/>
      <c r="O1711" s="36"/>
      <c r="P1711" s="36"/>
      <c r="Q1711" s="36"/>
      <c r="R1711" s="36"/>
      <c r="S1711" s="36"/>
      <c r="T1711" s="36"/>
      <c r="U1711" s="36"/>
      <c r="V1711" s="36"/>
      <c r="W1711" s="36"/>
      <c r="X1711" s="36"/>
      <c r="Y1711" s="36"/>
      <c r="Z1711" s="36"/>
      <c r="AA1711" s="36"/>
      <c r="AB1711" s="36"/>
      <c r="AC1711" s="36"/>
    </row>
    <row r="1712" ht="15.75" customHeight="1">
      <c r="A1712" s="423">
        <v>43602.0</v>
      </c>
      <c r="B1712" s="424">
        <v>14.7477</v>
      </c>
      <c r="C1712" s="425">
        <v>17.7193</v>
      </c>
      <c r="D1712" s="426">
        <v>20.1052</v>
      </c>
      <c r="E1712" s="425">
        <v>14.4538</v>
      </c>
      <c r="F1712" s="425">
        <v>17.3792</v>
      </c>
      <c r="G1712" s="425">
        <v>14.0857</v>
      </c>
      <c r="H1712" s="426">
        <v>27.2818</v>
      </c>
      <c r="I1712" s="426">
        <v>22.6418</v>
      </c>
      <c r="J1712" s="425">
        <v>20.7159</v>
      </c>
      <c r="K1712" s="182">
        <v>11407.15</v>
      </c>
      <c r="L1712" s="36"/>
      <c r="M1712" s="36"/>
      <c r="N1712" s="36"/>
      <c r="O1712" s="36"/>
      <c r="P1712" s="36"/>
      <c r="Q1712" s="36"/>
      <c r="R1712" s="36"/>
      <c r="S1712" s="36"/>
      <c r="T1712" s="36"/>
      <c r="U1712" s="36"/>
      <c r="V1712" s="36"/>
      <c r="W1712" s="36"/>
      <c r="X1712" s="36"/>
      <c r="Y1712" s="36"/>
      <c r="Z1712" s="36"/>
      <c r="AA1712" s="36"/>
      <c r="AB1712" s="36"/>
      <c r="AC1712" s="36"/>
    </row>
    <row r="1713" ht="15.75" customHeight="1">
      <c r="A1713" s="423">
        <v>43605.0</v>
      </c>
      <c r="B1713" s="424">
        <v>15.2073</v>
      </c>
      <c r="C1713" s="425">
        <v>17.742</v>
      </c>
      <c r="D1713" s="426">
        <v>20.1875</v>
      </c>
      <c r="E1713" s="425">
        <v>14.5064</v>
      </c>
      <c r="F1713" s="425">
        <v>17.9166</v>
      </c>
      <c r="G1713" s="425">
        <v>14.1135</v>
      </c>
      <c r="H1713" s="426">
        <v>28.1503</v>
      </c>
      <c r="I1713" s="426">
        <v>23.3968</v>
      </c>
      <c r="J1713" s="425">
        <v>21.2472</v>
      </c>
      <c r="K1713" s="182">
        <v>11828.25</v>
      </c>
      <c r="L1713" s="36"/>
      <c r="M1713" s="36"/>
      <c r="N1713" s="36"/>
      <c r="O1713" s="36"/>
      <c r="P1713" s="36"/>
      <c r="Q1713" s="36"/>
      <c r="R1713" s="36"/>
      <c r="S1713" s="36"/>
      <c r="T1713" s="36"/>
      <c r="U1713" s="36"/>
      <c r="V1713" s="36"/>
      <c r="W1713" s="36"/>
      <c r="X1713" s="36"/>
      <c r="Y1713" s="36"/>
      <c r="Z1713" s="36"/>
      <c r="AA1713" s="36"/>
      <c r="AB1713" s="36"/>
      <c r="AC1713" s="36"/>
    </row>
    <row r="1714" ht="15.75" customHeight="1">
      <c r="A1714" s="423">
        <v>43606.0</v>
      </c>
      <c r="B1714" s="424">
        <v>15.0577</v>
      </c>
      <c r="C1714" s="425">
        <v>17.7456</v>
      </c>
      <c r="D1714" s="426">
        <v>20.1784</v>
      </c>
      <c r="E1714" s="425">
        <v>14.5036</v>
      </c>
      <c r="F1714" s="425">
        <v>17.7635</v>
      </c>
      <c r="G1714" s="425">
        <v>14.1027</v>
      </c>
      <c r="H1714" s="426">
        <v>27.8826</v>
      </c>
      <c r="I1714" s="426">
        <v>23.1761</v>
      </c>
      <c r="J1714" s="425">
        <v>21.0868</v>
      </c>
      <c r="K1714" s="182">
        <v>11709.1</v>
      </c>
      <c r="L1714" s="36"/>
      <c r="M1714" s="36"/>
      <c r="N1714" s="36"/>
      <c r="O1714" s="36"/>
      <c r="P1714" s="36"/>
      <c r="Q1714" s="36"/>
      <c r="R1714" s="36"/>
      <c r="S1714" s="36"/>
      <c r="T1714" s="36"/>
      <c r="U1714" s="36"/>
      <c r="V1714" s="36"/>
      <c r="W1714" s="36"/>
      <c r="X1714" s="36"/>
      <c r="Y1714" s="36"/>
      <c r="Z1714" s="36"/>
      <c r="AA1714" s="36"/>
      <c r="AB1714" s="36"/>
      <c r="AC1714" s="36"/>
    </row>
    <row r="1715" ht="15.75" customHeight="1">
      <c r="A1715" s="423">
        <v>43607.0</v>
      </c>
      <c r="B1715" s="424">
        <v>15.09</v>
      </c>
      <c r="C1715" s="425">
        <v>17.7487</v>
      </c>
      <c r="D1715" s="426">
        <v>20.1944</v>
      </c>
      <c r="E1715" s="425">
        <v>14.513</v>
      </c>
      <c r="F1715" s="425">
        <v>17.8063</v>
      </c>
      <c r="G1715" s="425">
        <v>14.1033</v>
      </c>
      <c r="H1715" s="426">
        <v>27.9101</v>
      </c>
      <c r="I1715" s="426">
        <v>23.2479</v>
      </c>
      <c r="J1715" s="425">
        <v>21.1386</v>
      </c>
      <c r="K1715" s="182">
        <v>11737.9</v>
      </c>
      <c r="L1715" s="36"/>
      <c r="M1715" s="36"/>
      <c r="N1715" s="36"/>
      <c r="O1715" s="36"/>
      <c r="P1715" s="36"/>
      <c r="Q1715" s="36"/>
      <c r="R1715" s="36"/>
      <c r="S1715" s="36"/>
      <c r="T1715" s="36"/>
      <c r="U1715" s="36"/>
      <c r="V1715" s="36"/>
      <c r="W1715" s="36"/>
      <c r="X1715" s="36"/>
      <c r="Y1715" s="36"/>
      <c r="Z1715" s="36"/>
      <c r="AA1715" s="36"/>
      <c r="AB1715" s="36"/>
      <c r="AC1715" s="36"/>
    </row>
    <row r="1716" ht="15.75" customHeight="1">
      <c r="A1716" s="423">
        <v>43608.0</v>
      </c>
      <c r="B1716" s="424">
        <v>14.9988</v>
      </c>
      <c r="C1716" s="425">
        <v>17.7659</v>
      </c>
      <c r="D1716" s="426">
        <v>20.2477</v>
      </c>
      <c r="E1716" s="425">
        <v>14.5474</v>
      </c>
      <c r="F1716" s="425">
        <v>17.7019</v>
      </c>
      <c r="G1716" s="425">
        <v>14.1223</v>
      </c>
      <c r="H1716" s="426">
        <v>27.9436</v>
      </c>
      <c r="I1716" s="426">
        <v>23.1418</v>
      </c>
      <c r="J1716" s="425">
        <v>21.0757</v>
      </c>
      <c r="K1716" s="182">
        <v>11657.05</v>
      </c>
      <c r="L1716" s="36"/>
      <c r="M1716" s="36"/>
      <c r="N1716" s="36"/>
      <c r="O1716" s="36"/>
      <c r="P1716" s="36"/>
      <c r="Q1716" s="36"/>
      <c r="R1716" s="36"/>
      <c r="S1716" s="36"/>
      <c r="T1716" s="36"/>
      <c r="U1716" s="36"/>
      <c r="V1716" s="36"/>
      <c r="W1716" s="36"/>
      <c r="X1716" s="36"/>
      <c r="Y1716" s="36"/>
      <c r="Z1716" s="36"/>
      <c r="AA1716" s="36"/>
      <c r="AB1716" s="36"/>
      <c r="AC1716" s="36"/>
    </row>
    <row r="1717" ht="15.75" customHeight="1">
      <c r="A1717" s="423">
        <v>43609.0</v>
      </c>
      <c r="B1717" s="424">
        <v>15.2484</v>
      </c>
      <c r="C1717" s="425">
        <v>17.7696</v>
      </c>
      <c r="D1717" s="426">
        <v>20.2843</v>
      </c>
      <c r="E1717" s="425">
        <v>14.5724</v>
      </c>
      <c r="F1717" s="425">
        <v>17.9963</v>
      </c>
      <c r="G1717" s="425">
        <v>14.1333</v>
      </c>
      <c r="H1717" s="426">
        <v>28.3247</v>
      </c>
      <c r="I1717" s="426">
        <v>23.5362</v>
      </c>
      <c r="J1717" s="425">
        <v>21.356</v>
      </c>
      <c r="K1717" s="182">
        <v>11844.1</v>
      </c>
      <c r="L1717" s="36"/>
      <c r="M1717" s="36"/>
      <c r="N1717" s="36"/>
      <c r="O1717" s="36"/>
      <c r="P1717" s="36"/>
      <c r="Q1717" s="36"/>
      <c r="R1717" s="36"/>
      <c r="S1717" s="36"/>
      <c r="T1717" s="36"/>
      <c r="U1717" s="36"/>
      <c r="V1717" s="36"/>
      <c r="W1717" s="36"/>
      <c r="X1717" s="36"/>
      <c r="Y1717" s="36"/>
      <c r="Z1717" s="36"/>
      <c r="AA1717" s="36"/>
      <c r="AB1717" s="36"/>
      <c r="AC1717" s="36"/>
    </row>
    <row r="1718" ht="15.75" customHeight="1">
      <c r="A1718" s="423">
        <v>43612.0</v>
      </c>
      <c r="B1718" s="424">
        <v>15.3594</v>
      </c>
      <c r="C1718" s="425">
        <v>17.8027</v>
      </c>
      <c r="D1718" s="426">
        <v>20.3709</v>
      </c>
      <c r="E1718" s="425">
        <v>14.6321</v>
      </c>
      <c r="F1718" s="425">
        <v>18.1261</v>
      </c>
      <c r="G1718" s="425">
        <v>14.1668</v>
      </c>
      <c r="H1718" s="426">
        <v>28.6721</v>
      </c>
      <c r="I1718" s="426">
        <v>23.7161</v>
      </c>
      <c r="J1718" s="425">
        <v>21.4968</v>
      </c>
      <c r="K1718" s="182">
        <v>11924.75</v>
      </c>
      <c r="L1718" s="36"/>
      <c r="M1718" s="36"/>
      <c r="N1718" s="36"/>
      <c r="O1718" s="36"/>
      <c r="P1718" s="36"/>
      <c r="Q1718" s="36"/>
      <c r="R1718" s="36"/>
      <c r="S1718" s="36"/>
      <c r="T1718" s="36"/>
      <c r="U1718" s="36"/>
      <c r="V1718" s="36"/>
      <c r="W1718" s="36"/>
      <c r="X1718" s="36"/>
      <c r="Y1718" s="36"/>
      <c r="Z1718" s="36"/>
      <c r="AA1718" s="36"/>
      <c r="AB1718" s="36"/>
      <c r="AC1718" s="36"/>
    </row>
    <row r="1719" ht="15.75" customHeight="1">
      <c r="A1719" s="423">
        <v>43613.0</v>
      </c>
      <c r="B1719" s="424">
        <v>15.3816</v>
      </c>
      <c r="C1719" s="425">
        <v>17.8061</v>
      </c>
      <c r="D1719" s="426">
        <v>20.3956</v>
      </c>
      <c r="E1719" s="425">
        <v>14.6488</v>
      </c>
      <c r="F1719" s="425">
        <v>18.1464</v>
      </c>
      <c r="G1719" s="425">
        <v>14.1677</v>
      </c>
      <c r="H1719" s="426">
        <v>28.7246</v>
      </c>
      <c r="I1719" s="426">
        <v>23.7464</v>
      </c>
      <c r="J1719" s="425">
        <v>21.5341</v>
      </c>
      <c r="K1719" s="182">
        <v>11928.75</v>
      </c>
      <c r="L1719" s="36"/>
      <c r="M1719" s="36"/>
      <c r="N1719" s="36"/>
      <c r="O1719" s="36"/>
      <c r="P1719" s="36"/>
      <c r="Q1719" s="36"/>
      <c r="R1719" s="36"/>
      <c r="S1719" s="36"/>
      <c r="T1719" s="36"/>
      <c r="U1719" s="36"/>
      <c r="V1719" s="36"/>
      <c r="W1719" s="36"/>
      <c r="X1719" s="36"/>
      <c r="Y1719" s="36"/>
      <c r="Z1719" s="36"/>
      <c r="AA1719" s="36"/>
      <c r="AB1719" s="36"/>
      <c r="AC1719" s="36"/>
    </row>
    <row r="1720" ht="15.75" customHeight="1">
      <c r="A1720" s="423">
        <v>43614.0</v>
      </c>
      <c r="B1720" s="424">
        <v>15.2901</v>
      </c>
      <c r="C1720" s="425">
        <v>17.7946</v>
      </c>
      <c r="D1720" s="426">
        <v>20.4065</v>
      </c>
      <c r="E1720" s="425">
        <v>14.6573</v>
      </c>
      <c r="F1720" s="425">
        <v>18.0324</v>
      </c>
      <c r="G1720" s="425">
        <v>14.1638</v>
      </c>
      <c r="H1720" s="426">
        <v>28.5846</v>
      </c>
      <c r="I1720" s="426">
        <v>23.6065</v>
      </c>
      <c r="J1720" s="425">
        <v>21.438</v>
      </c>
      <c r="K1720" s="182">
        <v>11861.1</v>
      </c>
      <c r="L1720" s="36"/>
      <c r="M1720" s="36"/>
      <c r="N1720" s="36"/>
      <c r="O1720" s="36"/>
      <c r="P1720" s="36"/>
      <c r="Q1720" s="36"/>
      <c r="R1720" s="36"/>
      <c r="S1720" s="36"/>
      <c r="T1720" s="36"/>
      <c r="U1720" s="36"/>
      <c r="V1720" s="36"/>
      <c r="W1720" s="36"/>
      <c r="X1720" s="36"/>
      <c r="Y1720" s="36"/>
      <c r="Z1720" s="36"/>
      <c r="AA1720" s="36"/>
      <c r="AB1720" s="36"/>
      <c r="AC1720" s="36"/>
    </row>
    <row r="1721" ht="15.75" customHeight="1">
      <c r="A1721" s="423">
        <v>43615.0</v>
      </c>
      <c r="B1721" s="424">
        <v>15.3926</v>
      </c>
      <c r="C1721" s="425">
        <v>17.7893</v>
      </c>
      <c r="D1721" s="426">
        <v>20.3862</v>
      </c>
      <c r="E1721" s="425">
        <v>14.6435</v>
      </c>
      <c r="F1721" s="425">
        <v>18.1374</v>
      </c>
      <c r="G1721" s="425">
        <v>14.1584</v>
      </c>
      <c r="H1721" s="426">
        <v>28.7381</v>
      </c>
      <c r="I1721" s="426">
        <v>23.7336</v>
      </c>
      <c r="J1721" s="425">
        <v>21.5246</v>
      </c>
      <c r="K1721" s="182">
        <v>11945.9</v>
      </c>
      <c r="L1721" s="36"/>
      <c r="M1721" s="36"/>
      <c r="N1721" s="36"/>
      <c r="O1721" s="36"/>
      <c r="P1721" s="36"/>
      <c r="Q1721" s="36"/>
      <c r="R1721" s="36"/>
      <c r="S1721" s="36"/>
      <c r="T1721" s="36"/>
      <c r="U1721" s="36"/>
      <c r="V1721" s="36"/>
      <c r="W1721" s="36"/>
      <c r="X1721" s="36"/>
      <c r="Y1721" s="36"/>
      <c r="Z1721" s="36"/>
      <c r="AA1721" s="36"/>
      <c r="AB1721" s="36"/>
      <c r="AC1721" s="36"/>
    </row>
    <row r="1722" ht="15.75" customHeight="1">
      <c r="A1722" s="423">
        <v>43616.0</v>
      </c>
      <c r="B1722" s="424">
        <v>15.3544</v>
      </c>
      <c r="C1722" s="425">
        <v>17.8085</v>
      </c>
      <c r="D1722" s="426">
        <v>20.4863</v>
      </c>
      <c r="E1722" s="425">
        <v>14.7122</v>
      </c>
      <c r="F1722" s="425">
        <v>18.1088</v>
      </c>
      <c r="G1722" s="425">
        <v>14.1814</v>
      </c>
      <c r="H1722" s="426">
        <v>28.7721</v>
      </c>
      <c r="I1722" s="426">
        <v>23.6946</v>
      </c>
      <c r="J1722" s="425">
        <v>21.5197</v>
      </c>
      <c r="K1722" s="182">
        <v>11922.8</v>
      </c>
      <c r="L1722" s="36"/>
      <c r="M1722" s="36"/>
      <c r="N1722" s="36"/>
      <c r="O1722" s="36"/>
      <c r="P1722" s="36"/>
      <c r="Q1722" s="36"/>
      <c r="R1722" s="36"/>
      <c r="S1722" s="36"/>
      <c r="T1722" s="36"/>
      <c r="U1722" s="36"/>
      <c r="V1722" s="36"/>
      <c r="W1722" s="36"/>
      <c r="X1722" s="36"/>
      <c r="Y1722" s="36"/>
      <c r="Z1722" s="36"/>
      <c r="AA1722" s="36"/>
      <c r="AB1722" s="36"/>
      <c r="AC1722" s="36"/>
    </row>
    <row r="1723" ht="15.75" customHeight="1">
      <c r="A1723" s="423">
        <v>43619.0</v>
      </c>
      <c r="B1723" s="424">
        <v>15.5366</v>
      </c>
      <c r="C1723" s="425">
        <v>17.8265</v>
      </c>
      <c r="D1723" s="426">
        <v>20.5232</v>
      </c>
      <c r="E1723" s="425">
        <v>14.7375</v>
      </c>
      <c r="F1723" s="425">
        <v>18.3033</v>
      </c>
      <c r="G1723" s="425">
        <v>14.1991</v>
      </c>
      <c r="H1723" s="426">
        <v>28.957</v>
      </c>
      <c r="I1723" s="426">
        <v>23.969</v>
      </c>
      <c r="J1723" s="425">
        <v>21.7167</v>
      </c>
      <c r="K1723" s="182">
        <v>12088.55</v>
      </c>
      <c r="L1723" s="36"/>
      <c r="M1723" s="36"/>
      <c r="N1723" s="36"/>
      <c r="O1723" s="36"/>
      <c r="P1723" s="36"/>
      <c r="Q1723" s="36"/>
      <c r="R1723" s="36"/>
      <c r="S1723" s="36"/>
      <c r="T1723" s="36"/>
      <c r="U1723" s="36"/>
      <c r="V1723" s="36"/>
      <c r="W1723" s="36"/>
      <c r="X1723" s="36"/>
      <c r="Y1723" s="36"/>
      <c r="Z1723" s="36"/>
      <c r="AA1723" s="36"/>
      <c r="AB1723" s="36"/>
      <c r="AC1723" s="36"/>
    </row>
    <row r="1724" ht="15.75" customHeight="1">
      <c r="A1724" s="423">
        <v>43620.0</v>
      </c>
      <c r="B1724" s="424">
        <v>15.4626</v>
      </c>
      <c r="C1724" s="425">
        <v>17.8224</v>
      </c>
      <c r="D1724" s="426">
        <v>20.4982</v>
      </c>
      <c r="E1724" s="425">
        <v>14.7179</v>
      </c>
      <c r="F1724" s="425">
        <v>18.2155</v>
      </c>
      <c r="G1724" s="425">
        <v>14.192</v>
      </c>
      <c r="H1724" s="426">
        <v>28.9125</v>
      </c>
      <c r="I1724" s="426">
        <v>23.8494</v>
      </c>
      <c r="J1724" s="425">
        <v>21.6321</v>
      </c>
      <c r="K1724" s="182">
        <v>12021.65</v>
      </c>
      <c r="L1724" s="36"/>
      <c r="M1724" s="36"/>
      <c r="N1724" s="36"/>
      <c r="O1724" s="36"/>
      <c r="P1724" s="36"/>
      <c r="Q1724" s="36"/>
      <c r="R1724" s="36"/>
      <c r="S1724" s="36"/>
      <c r="T1724" s="36"/>
      <c r="U1724" s="36"/>
      <c r="V1724" s="36"/>
      <c r="W1724" s="36"/>
      <c r="X1724" s="36"/>
      <c r="Y1724" s="36"/>
      <c r="Z1724" s="36"/>
      <c r="AA1724" s="36"/>
      <c r="AB1724" s="36"/>
      <c r="AC1724" s="36"/>
    </row>
    <row r="1725" ht="15.75" customHeight="1">
      <c r="A1725" s="423">
        <v>43622.0</v>
      </c>
      <c r="B1725" s="424">
        <v>15.2611</v>
      </c>
      <c r="C1725" s="425">
        <v>17.8372</v>
      </c>
      <c r="D1725" s="426">
        <v>20.5716</v>
      </c>
      <c r="E1725" s="425">
        <v>14.7735</v>
      </c>
      <c r="F1725" s="425">
        <v>17.9805</v>
      </c>
      <c r="G1725" s="425">
        <v>14.219</v>
      </c>
      <c r="H1725" s="426">
        <v>28.5703</v>
      </c>
      <c r="I1725" s="426">
        <v>23.543</v>
      </c>
      <c r="J1725" s="425">
        <v>21.4291</v>
      </c>
      <c r="K1725" s="182">
        <v>11843.75</v>
      </c>
      <c r="L1725" s="36"/>
      <c r="M1725" s="36"/>
      <c r="N1725" s="36"/>
      <c r="O1725" s="36"/>
      <c r="P1725" s="36"/>
      <c r="Q1725" s="36"/>
      <c r="R1725" s="36"/>
      <c r="S1725" s="36"/>
      <c r="T1725" s="36"/>
      <c r="U1725" s="36"/>
      <c r="V1725" s="36"/>
      <c r="W1725" s="36"/>
      <c r="X1725" s="36"/>
      <c r="Y1725" s="36"/>
      <c r="Z1725" s="36"/>
      <c r="AA1725" s="36"/>
      <c r="AB1725" s="36"/>
      <c r="AC1725" s="36"/>
    </row>
    <row r="1726" ht="15.75" customHeight="1">
      <c r="A1726" s="423">
        <v>43623.0</v>
      </c>
      <c r="B1726" s="424">
        <v>15.276</v>
      </c>
      <c r="C1726" s="425">
        <v>17.8296</v>
      </c>
      <c r="D1726" s="426">
        <v>20.5401</v>
      </c>
      <c r="E1726" s="425">
        <v>14.7516</v>
      </c>
      <c r="F1726" s="425">
        <v>17.9941</v>
      </c>
      <c r="G1726" s="425">
        <v>14.2073</v>
      </c>
      <c r="H1726" s="426">
        <v>28.5524</v>
      </c>
      <c r="I1726" s="426">
        <v>23.5705</v>
      </c>
      <c r="J1726" s="425">
        <v>21.4412</v>
      </c>
      <c r="K1726" s="182">
        <v>11870.65</v>
      </c>
      <c r="L1726" s="36"/>
      <c r="M1726" s="36"/>
      <c r="N1726" s="36"/>
      <c r="O1726" s="36"/>
      <c r="P1726" s="36"/>
      <c r="Q1726" s="36"/>
      <c r="R1726" s="36"/>
      <c r="S1726" s="36"/>
      <c r="T1726" s="36"/>
      <c r="U1726" s="36"/>
      <c r="V1726" s="36"/>
      <c r="W1726" s="36"/>
      <c r="X1726" s="36"/>
      <c r="Y1726" s="36"/>
      <c r="Z1726" s="36"/>
      <c r="AA1726" s="36"/>
      <c r="AB1726" s="36"/>
      <c r="AC1726" s="36"/>
    </row>
    <row r="1727" ht="15.75" customHeight="1">
      <c r="A1727" s="423">
        <v>43626.0</v>
      </c>
      <c r="B1727" s="424">
        <v>15.3431</v>
      </c>
      <c r="C1727" s="425">
        <v>17.8291</v>
      </c>
      <c r="D1727" s="426">
        <v>20.4607</v>
      </c>
      <c r="E1727" s="425">
        <v>14.6949</v>
      </c>
      <c r="F1727" s="425">
        <v>18.0551</v>
      </c>
      <c r="G1727" s="425">
        <v>14.1914</v>
      </c>
      <c r="H1727" s="426">
        <v>28.6085</v>
      </c>
      <c r="I1727" s="426">
        <v>23.6589</v>
      </c>
      <c r="J1727" s="425">
        <v>21.482</v>
      </c>
      <c r="K1727" s="182">
        <v>11922.7</v>
      </c>
      <c r="L1727" s="36"/>
      <c r="M1727" s="36"/>
      <c r="N1727" s="36"/>
      <c r="O1727" s="36"/>
      <c r="P1727" s="36"/>
      <c r="Q1727" s="36"/>
      <c r="R1727" s="36"/>
      <c r="S1727" s="36"/>
      <c r="T1727" s="36"/>
      <c r="U1727" s="36"/>
      <c r="V1727" s="36"/>
      <c r="W1727" s="36"/>
      <c r="X1727" s="36"/>
      <c r="Y1727" s="36"/>
      <c r="Z1727" s="36"/>
      <c r="AA1727" s="36"/>
      <c r="AB1727" s="36"/>
      <c r="AC1727" s="36"/>
    </row>
    <row r="1728" ht="15.75" customHeight="1">
      <c r="A1728" s="423">
        <v>43627.0</v>
      </c>
      <c r="B1728" s="424">
        <v>15.4095</v>
      </c>
      <c r="C1728" s="425">
        <v>17.8321</v>
      </c>
      <c r="D1728" s="426">
        <v>20.4782</v>
      </c>
      <c r="E1728" s="425">
        <v>14.7097</v>
      </c>
      <c r="F1728" s="425">
        <v>18.1332</v>
      </c>
      <c r="G1728" s="425">
        <v>14.19</v>
      </c>
      <c r="H1728" s="426">
        <v>28.7318</v>
      </c>
      <c r="I1728" s="426">
        <v>23.7629</v>
      </c>
      <c r="J1728" s="425">
        <v>21.558</v>
      </c>
      <c r="K1728" s="182">
        <v>11965.6</v>
      </c>
      <c r="L1728" s="36"/>
      <c r="M1728" s="36"/>
      <c r="N1728" s="36"/>
      <c r="O1728" s="36"/>
      <c r="P1728" s="36"/>
      <c r="Q1728" s="36"/>
      <c r="R1728" s="36"/>
      <c r="S1728" s="36"/>
      <c r="T1728" s="36"/>
      <c r="U1728" s="36"/>
      <c r="V1728" s="36"/>
      <c r="W1728" s="36"/>
      <c r="X1728" s="36"/>
      <c r="Y1728" s="36"/>
      <c r="Z1728" s="36"/>
      <c r="AA1728" s="36"/>
      <c r="AB1728" s="36"/>
      <c r="AC1728" s="36"/>
    </row>
    <row r="1729" ht="15.75" customHeight="1">
      <c r="A1729" s="423">
        <v>43628.0</v>
      </c>
      <c r="B1729" s="424">
        <v>15.3365</v>
      </c>
      <c r="C1729" s="425">
        <v>17.8384</v>
      </c>
      <c r="D1729" s="426">
        <v>20.5179</v>
      </c>
      <c r="E1729" s="425">
        <v>14.7369</v>
      </c>
      <c r="F1729" s="425">
        <v>18.052</v>
      </c>
      <c r="G1729" s="425">
        <v>14.2024</v>
      </c>
      <c r="H1729" s="426">
        <v>28.5556</v>
      </c>
      <c r="I1729" s="426">
        <v>23.6448</v>
      </c>
      <c r="J1729" s="425">
        <v>21.4759</v>
      </c>
      <c r="K1729" s="182">
        <v>11906.2</v>
      </c>
      <c r="L1729" s="36"/>
      <c r="M1729" s="36"/>
      <c r="N1729" s="36"/>
      <c r="O1729" s="36"/>
      <c r="P1729" s="36"/>
      <c r="Q1729" s="36"/>
      <c r="R1729" s="36"/>
      <c r="S1729" s="36"/>
      <c r="T1729" s="36"/>
      <c r="U1729" s="36"/>
      <c r="V1729" s="36"/>
      <c r="W1729" s="36"/>
      <c r="X1729" s="36"/>
      <c r="Y1729" s="36"/>
      <c r="Z1729" s="36"/>
      <c r="AA1729" s="36"/>
      <c r="AB1729" s="36"/>
      <c r="AC1729" s="36"/>
    </row>
    <row r="1730" ht="15.75" customHeight="1">
      <c r="A1730" s="423">
        <v>43629.0</v>
      </c>
      <c r="B1730" s="424">
        <v>15.346</v>
      </c>
      <c r="C1730" s="425">
        <v>17.8411</v>
      </c>
      <c r="D1730" s="426">
        <v>20.5366</v>
      </c>
      <c r="E1730" s="425">
        <v>14.7694</v>
      </c>
      <c r="F1730" s="425">
        <v>18.0571</v>
      </c>
      <c r="G1730" s="425">
        <v>14.2078</v>
      </c>
      <c r="H1730" s="426">
        <v>28.5009</v>
      </c>
      <c r="I1730" s="426">
        <v>23.6635</v>
      </c>
      <c r="J1730" s="425">
        <v>21.4765</v>
      </c>
      <c r="K1730" s="182">
        <v>11914.05</v>
      </c>
      <c r="L1730" s="36"/>
      <c r="M1730" s="36"/>
      <c r="N1730" s="36"/>
      <c r="O1730" s="36"/>
      <c r="P1730" s="36"/>
      <c r="Q1730" s="36"/>
      <c r="R1730" s="36"/>
      <c r="S1730" s="36"/>
      <c r="T1730" s="36"/>
      <c r="U1730" s="36"/>
      <c r="V1730" s="36"/>
      <c r="W1730" s="36"/>
      <c r="X1730" s="36"/>
      <c r="Y1730" s="36"/>
      <c r="Z1730" s="36"/>
      <c r="AA1730" s="36"/>
      <c r="AB1730" s="36"/>
      <c r="AC1730" s="36"/>
    </row>
    <row r="1731" ht="15.75" customHeight="1">
      <c r="A1731" s="423">
        <v>43630.0</v>
      </c>
      <c r="B1731" s="424">
        <v>15.2356</v>
      </c>
      <c r="C1731" s="425">
        <v>17.853</v>
      </c>
      <c r="D1731" s="426">
        <v>20.6192</v>
      </c>
      <c r="E1731" s="425">
        <v>14.8292</v>
      </c>
      <c r="F1731" s="425">
        <v>17.9338</v>
      </c>
      <c r="G1731" s="425">
        <v>14.2279</v>
      </c>
      <c r="H1731" s="426">
        <v>28.2877</v>
      </c>
      <c r="I1731" s="426">
        <v>23.4874</v>
      </c>
      <c r="J1731" s="425">
        <v>21.3808</v>
      </c>
      <c r="K1731" s="182">
        <v>11823.3</v>
      </c>
      <c r="L1731" s="36"/>
      <c r="M1731" s="36"/>
      <c r="N1731" s="36"/>
      <c r="O1731" s="36"/>
      <c r="P1731" s="36"/>
      <c r="Q1731" s="36"/>
      <c r="R1731" s="36"/>
      <c r="S1731" s="36"/>
      <c r="T1731" s="36"/>
      <c r="U1731" s="36"/>
      <c r="V1731" s="36"/>
      <c r="W1731" s="36"/>
      <c r="X1731" s="36"/>
      <c r="Y1731" s="36"/>
      <c r="Z1731" s="36"/>
      <c r="AA1731" s="36"/>
      <c r="AB1731" s="36"/>
      <c r="AC1731" s="36"/>
    </row>
    <row r="1732" ht="15.75" customHeight="1">
      <c r="A1732" s="423">
        <v>43633.0</v>
      </c>
      <c r="B1732" s="424">
        <v>15.0505</v>
      </c>
      <c r="C1732" s="425">
        <v>17.8536</v>
      </c>
      <c r="D1732" s="426">
        <v>20.6203</v>
      </c>
      <c r="E1732" s="425">
        <v>14.832</v>
      </c>
      <c r="F1732" s="425">
        <v>17.724</v>
      </c>
      <c r="G1732" s="425">
        <v>14.2252</v>
      </c>
      <c r="H1732" s="426">
        <v>27.996</v>
      </c>
      <c r="I1732" s="426">
        <v>23.1957</v>
      </c>
      <c r="J1732" s="425">
        <v>21.1964</v>
      </c>
      <c r="K1732" s="182">
        <v>11672.15</v>
      </c>
      <c r="L1732" s="36"/>
      <c r="M1732" s="36"/>
      <c r="N1732" s="36"/>
      <c r="O1732" s="36"/>
      <c r="P1732" s="36"/>
      <c r="Q1732" s="36"/>
      <c r="R1732" s="36"/>
      <c r="S1732" s="36"/>
      <c r="T1732" s="36"/>
      <c r="U1732" s="36"/>
      <c r="V1732" s="36"/>
      <c r="W1732" s="36"/>
      <c r="X1732" s="36"/>
      <c r="Y1732" s="36"/>
      <c r="Z1732" s="36"/>
      <c r="AA1732" s="36"/>
      <c r="AB1732" s="36"/>
      <c r="AC1732" s="36"/>
    </row>
    <row r="1733" ht="15.75" customHeight="1">
      <c r="A1733" s="423">
        <v>43634.0</v>
      </c>
      <c r="B1733" s="424">
        <v>15.0837</v>
      </c>
      <c r="C1733" s="425">
        <v>17.8707</v>
      </c>
      <c r="D1733" s="426">
        <v>20.7159</v>
      </c>
      <c r="E1733" s="425">
        <v>14.8996</v>
      </c>
      <c r="F1733" s="425">
        <v>17.7624</v>
      </c>
      <c r="G1733" s="425">
        <v>14.2458</v>
      </c>
      <c r="H1733" s="426">
        <v>27.9926</v>
      </c>
      <c r="I1733" s="426">
        <v>23.2541</v>
      </c>
      <c r="J1733" s="425">
        <v>21.251</v>
      </c>
      <c r="K1733" s="182">
        <v>11691.5</v>
      </c>
      <c r="L1733" s="36"/>
      <c r="M1733" s="36"/>
      <c r="N1733" s="36"/>
      <c r="O1733" s="36"/>
      <c r="P1733" s="36"/>
      <c r="Q1733" s="36"/>
      <c r="R1733" s="36"/>
      <c r="S1733" s="36"/>
      <c r="T1733" s="36"/>
      <c r="U1733" s="36"/>
      <c r="V1733" s="36"/>
      <c r="W1733" s="36"/>
      <c r="X1733" s="36"/>
      <c r="Y1733" s="36"/>
      <c r="Z1733" s="36"/>
      <c r="AA1733" s="36"/>
      <c r="AB1733" s="36"/>
      <c r="AC1733" s="36"/>
    </row>
    <row r="1734" ht="15.75" customHeight="1">
      <c r="A1734" s="423">
        <v>43635.0</v>
      </c>
      <c r="B1734" s="424">
        <v>15.0809</v>
      </c>
      <c r="C1734" s="425">
        <v>17.8729</v>
      </c>
      <c r="D1734" s="426">
        <v>20.7071</v>
      </c>
      <c r="E1734" s="425">
        <v>14.8974</v>
      </c>
      <c r="F1734" s="425">
        <v>17.7514</v>
      </c>
      <c r="G1734" s="425">
        <v>14.2432</v>
      </c>
      <c r="H1734" s="426">
        <v>27.8387</v>
      </c>
      <c r="I1734" s="426">
        <v>23.2535</v>
      </c>
      <c r="J1734" s="425">
        <v>21.2339</v>
      </c>
      <c r="K1734" s="182">
        <v>11691.45</v>
      </c>
      <c r="L1734" s="36"/>
      <c r="M1734" s="36"/>
      <c r="N1734" s="36"/>
      <c r="O1734" s="36"/>
      <c r="P1734" s="36"/>
      <c r="Q1734" s="36"/>
      <c r="R1734" s="36"/>
      <c r="S1734" s="36"/>
      <c r="T1734" s="36"/>
      <c r="U1734" s="36"/>
      <c r="V1734" s="36"/>
      <c r="W1734" s="36"/>
      <c r="X1734" s="36"/>
      <c r="Y1734" s="36"/>
      <c r="Z1734" s="36"/>
      <c r="AA1734" s="36"/>
      <c r="AB1734" s="36"/>
      <c r="AC1734" s="36"/>
    </row>
    <row r="1735" ht="15.75" customHeight="1">
      <c r="A1735" s="423">
        <v>43636.0</v>
      </c>
      <c r="B1735" s="424">
        <v>15.2555</v>
      </c>
      <c r="C1735" s="425">
        <v>17.8793</v>
      </c>
      <c r="D1735" s="426">
        <v>20.7727</v>
      </c>
      <c r="E1735" s="425">
        <v>14.944</v>
      </c>
      <c r="F1735" s="425">
        <v>17.9541</v>
      </c>
      <c r="G1735" s="425">
        <v>14.255</v>
      </c>
      <c r="H1735" s="426">
        <v>28.0936</v>
      </c>
      <c r="I1735" s="426">
        <v>23.5525</v>
      </c>
      <c r="J1735" s="425">
        <v>21.4507</v>
      </c>
      <c r="K1735" s="182">
        <v>11831.75</v>
      </c>
      <c r="L1735" s="36"/>
      <c r="M1735" s="36"/>
      <c r="N1735" s="36"/>
      <c r="O1735" s="36"/>
      <c r="P1735" s="36"/>
      <c r="Q1735" s="36"/>
      <c r="R1735" s="36"/>
      <c r="S1735" s="36"/>
      <c r="T1735" s="36"/>
      <c r="U1735" s="36"/>
      <c r="V1735" s="36"/>
      <c r="W1735" s="36"/>
      <c r="X1735" s="36"/>
      <c r="Y1735" s="36"/>
      <c r="Z1735" s="36"/>
      <c r="AA1735" s="36"/>
      <c r="AB1735" s="36"/>
      <c r="AC1735" s="36"/>
    </row>
    <row r="1736" ht="15.75" customHeight="1">
      <c r="A1736" s="423">
        <v>43637.0</v>
      </c>
      <c r="B1736" s="424">
        <v>15.1416</v>
      </c>
      <c r="C1736" s="425">
        <v>17.875</v>
      </c>
      <c r="D1736" s="426">
        <v>20.7056</v>
      </c>
      <c r="E1736" s="425">
        <v>14.8972</v>
      </c>
      <c r="F1736" s="425">
        <v>17.8462</v>
      </c>
      <c r="G1736" s="425">
        <v>14.2465</v>
      </c>
      <c r="H1736" s="426">
        <v>28.0025</v>
      </c>
      <c r="I1736" s="426">
        <v>23.3844</v>
      </c>
      <c r="J1736" s="425">
        <v>21.321</v>
      </c>
      <c r="K1736" s="182">
        <v>11724.1</v>
      </c>
      <c r="L1736" s="36"/>
      <c r="M1736" s="36"/>
      <c r="N1736" s="36"/>
      <c r="O1736" s="36"/>
      <c r="P1736" s="36"/>
      <c r="Q1736" s="36"/>
      <c r="R1736" s="36"/>
      <c r="S1736" s="36"/>
      <c r="T1736" s="36"/>
      <c r="U1736" s="36"/>
      <c r="V1736" s="36"/>
      <c r="W1736" s="36"/>
      <c r="X1736" s="36"/>
      <c r="Y1736" s="36"/>
      <c r="Z1736" s="36"/>
      <c r="AA1736" s="36"/>
      <c r="AB1736" s="36"/>
      <c r="AC1736" s="36"/>
    </row>
    <row r="1737" ht="15.75" customHeight="1">
      <c r="A1737" s="423">
        <v>43640.0</v>
      </c>
      <c r="B1737" s="424">
        <v>15.1106</v>
      </c>
      <c r="C1737" s="425">
        <v>17.887</v>
      </c>
      <c r="D1737" s="426">
        <v>20.7127</v>
      </c>
      <c r="E1737" s="425">
        <v>14.9015</v>
      </c>
      <c r="F1737" s="425">
        <v>17.8105</v>
      </c>
      <c r="G1737" s="425">
        <v>14.249</v>
      </c>
      <c r="H1737" s="426">
        <v>27.9301</v>
      </c>
      <c r="I1737" s="426">
        <v>23.3336</v>
      </c>
      <c r="J1737" s="425">
        <v>21.2962</v>
      </c>
      <c r="K1737" s="182">
        <v>11699.65</v>
      </c>
      <c r="L1737" s="36"/>
      <c r="M1737" s="36"/>
      <c r="N1737" s="36"/>
      <c r="O1737" s="36"/>
      <c r="P1737" s="36"/>
      <c r="Q1737" s="36"/>
      <c r="R1737" s="36"/>
      <c r="S1737" s="36"/>
      <c r="T1737" s="36"/>
      <c r="U1737" s="36"/>
      <c r="V1737" s="36"/>
      <c r="W1737" s="36"/>
      <c r="X1737" s="36"/>
      <c r="Y1737" s="36"/>
      <c r="Z1737" s="36"/>
      <c r="AA1737" s="36"/>
      <c r="AB1737" s="36"/>
      <c r="AC1737" s="36"/>
    </row>
    <row r="1738" ht="15.75" customHeight="1">
      <c r="A1738" s="423">
        <v>43641.0</v>
      </c>
      <c r="B1738" s="424">
        <v>15.2272</v>
      </c>
      <c r="C1738" s="425">
        <v>17.8884</v>
      </c>
      <c r="D1738" s="426">
        <v>20.6774</v>
      </c>
      <c r="E1738" s="425">
        <v>14.8774</v>
      </c>
      <c r="F1738" s="425">
        <v>17.9346</v>
      </c>
      <c r="G1738" s="425">
        <v>14.2401</v>
      </c>
      <c r="H1738" s="426">
        <v>28.1551</v>
      </c>
      <c r="I1738" s="426">
        <v>23.5075</v>
      </c>
      <c r="J1738" s="425">
        <v>21.399</v>
      </c>
      <c r="K1738" s="182">
        <v>11796.45</v>
      </c>
      <c r="L1738" s="36"/>
      <c r="M1738" s="36"/>
      <c r="N1738" s="36"/>
      <c r="O1738" s="36"/>
      <c r="P1738" s="36"/>
      <c r="Q1738" s="36"/>
      <c r="R1738" s="36"/>
      <c r="S1738" s="36"/>
      <c r="T1738" s="36"/>
      <c r="U1738" s="36"/>
      <c r="V1738" s="36"/>
      <c r="W1738" s="36"/>
      <c r="X1738" s="36"/>
      <c r="Y1738" s="36"/>
      <c r="Z1738" s="36"/>
      <c r="AA1738" s="36"/>
      <c r="AB1738" s="36"/>
      <c r="AC1738" s="36"/>
    </row>
    <row r="1739" ht="15.75" customHeight="1">
      <c r="A1739" s="423">
        <v>43642.0</v>
      </c>
      <c r="B1739" s="424">
        <v>15.3014</v>
      </c>
      <c r="C1739" s="425">
        <v>17.8673</v>
      </c>
      <c r="D1739" s="426">
        <v>20.6443</v>
      </c>
      <c r="E1739" s="425">
        <v>14.8506</v>
      </c>
      <c r="F1739" s="425">
        <v>18.0199</v>
      </c>
      <c r="G1739" s="425">
        <v>14.2239</v>
      </c>
      <c r="H1739" s="426">
        <v>28.2795</v>
      </c>
      <c r="I1739" s="426">
        <v>23.6117</v>
      </c>
      <c r="J1739" s="425">
        <v>21.4762</v>
      </c>
      <c r="K1739" s="182">
        <v>11847.55</v>
      </c>
      <c r="L1739" s="36"/>
      <c r="M1739" s="36"/>
      <c r="N1739" s="36"/>
      <c r="O1739" s="36"/>
      <c r="P1739" s="36"/>
      <c r="Q1739" s="36"/>
      <c r="R1739" s="36"/>
      <c r="S1739" s="36"/>
      <c r="T1739" s="36"/>
      <c r="U1739" s="36"/>
      <c r="V1739" s="36"/>
      <c r="W1739" s="36"/>
      <c r="X1739" s="36"/>
      <c r="Y1739" s="36"/>
      <c r="Z1739" s="36"/>
      <c r="AA1739" s="36"/>
      <c r="AB1739" s="36"/>
      <c r="AC1739" s="36"/>
    </row>
    <row r="1740" ht="15.75" customHeight="1">
      <c r="A1740" s="423">
        <v>43643.0</v>
      </c>
      <c r="B1740" s="424">
        <v>15.2717</v>
      </c>
      <c r="C1740" s="425">
        <v>17.8709</v>
      </c>
      <c r="D1740" s="426">
        <v>20.6592</v>
      </c>
      <c r="E1740" s="425">
        <v>14.8664</v>
      </c>
      <c r="F1740" s="425">
        <v>18.0051</v>
      </c>
      <c r="G1740" s="425">
        <v>14.2284</v>
      </c>
      <c r="H1740" s="426">
        <v>28.4032</v>
      </c>
      <c r="I1740" s="426">
        <v>23.6029</v>
      </c>
      <c r="J1740" s="425">
        <v>21.4711</v>
      </c>
      <c r="K1740" s="182">
        <v>11841.55</v>
      </c>
      <c r="L1740" s="36"/>
      <c r="M1740" s="36"/>
      <c r="N1740" s="36"/>
      <c r="O1740" s="36"/>
      <c r="P1740" s="36"/>
      <c r="Q1740" s="36"/>
      <c r="R1740" s="36"/>
      <c r="S1740" s="36"/>
      <c r="T1740" s="36"/>
      <c r="U1740" s="36"/>
      <c r="V1740" s="36"/>
      <c r="W1740" s="36"/>
      <c r="X1740" s="36"/>
      <c r="Y1740" s="36"/>
      <c r="Z1740" s="36"/>
      <c r="AA1740" s="36"/>
      <c r="AB1740" s="36"/>
      <c r="AC1740" s="36"/>
    </row>
    <row r="1741" ht="15.75" customHeight="1">
      <c r="A1741" s="423">
        <v>43644.0</v>
      </c>
      <c r="B1741" s="424">
        <v>15.2115</v>
      </c>
      <c r="C1741" s="425">
        <v>17.8734</v>
      </c>
      <c r="D1741" s="426">
        <v>20.6757</v>
      </c>
      <c r="E1741" s="425">
        <v>14.8793</v>
      </c>
      <c r="F1741" s="425">
        <v>17.9416</v>
      </c>
      <c r="G1741" s="425">
        <v>14.2352</v>
      </c>
      <c r="H1741" s="426">
        <v>28.3384</v>
      </c>
      <c r="I1741" s="426">
        <v>23.511</v>
      </c>
      <c r="J1741" s="425">
        <v>21.4124</v>
      </c>
      <c r="K1741" s="182">
        <v>11788.85</v>
      </c>
      <c r="L1741" s="36"/>
      <c r="M1741" s="36"/>
      <c r="N1741" s="36"/>
      <c r="O1741" s="36"/>
      <c r="P1741" s="36"/>
      <c r="Q1741" s="36"/>
      <c r="R1741" s="36"/>
      <c r="S1741" s="36"/>
      <c r="T1741" s="36"/>
      <c r="U1741" s="36"/>
      <c r="V1741" s="36"/>
      <c r="W1741" s="36"/>
      <c r="X1741" s="36"/>
      <c r="Y1741" s="36"/>
      <c r="Z1741" s="36"/>
      <c r="AA1741" s="36"/>
      <c r="AB1741" s="36"/>
      <c r="AC1741" s="36"/>
    </row>
    <row r="1742" ht="15.75" customHeight="1">
      <c r="A1742" s="423">
        <v>43646.0</v>
      </c>
      <c r="B1742" s="424">
        <v>15.2105</v>
      </c>
      <c r="C1742" s="425">
        <v>17.8794</v>
      </c>
      <c r="D1742" s="426">
        <v>20.6825</v>
      </c>
      <c r="E1742" s="425">
        <v>14.884</v>
      </c>
      <c r="F1742" s="425">
        <v>17.9409</v>
      </c>
      <c r="G1742" s="425">
        <v>14.2399</v>
      </c>
      <c r="H1742" s="426">
        <v>28.3402</v>
      </c>
      <c r="I1742" s="426">
        <v>23.5096</v>
      </c>
      <c r="J1742" s="425">
        <v>21.4131</v>
      </c>
      <c r="K1742" s="182">
        <v>11788.85</v>
      </c>
      <c r="L1742" s="36"/>
      <c r="M1742" s="36"/>
      <c r="N1742" s="36"/>
      <c r="O1742" s="36"/>
      <c r="P1742" s="36"/>
      <c r="Q1742" s="36"/>
      <c r="R1742" s="36"/>
      <c r="S1742" s="36"/>
      <c r="T1742" s="36"/>
      <c r="U1742" s="36"/>
      <c r="V1742" s="36"/>
      <c r="W1742" s="36"/>
      <c r="X1742" s="36"/>
      <c r="Y1742" s="36"/>
      <c r="Z1742" s="36"/>
      <c r="AA1742" s="36"/>
      <c r="AB1742" s="36"/>
      <c r="AC1742" s="36"/>
    </row>
    <row r="1743" ht="15.75" customHeight="1">
      <c r="A1743" s="423">
        <v>43647.0</v>
      </c>
      <c r="B1743" s="424">
        <v>15.2799</v>
      </c>
      <c r="C1743" s="425">
        <v>17.8841</v>
      </c>
      <c r="D1743" s="426">
        <v>20.6686</v>
      </c>
      <c r="E1743" s="425">
        <v>14.8751</v>
      </c>
      <c r="F1743" s="425">
        <v>18.0162</v>
      </c>
      <c r="G1743" s="425">
        <v>14.2398</v>
      </c>
      <c r="H1743" s="426">
        <v>28.4204</v>
      </c>
      <c r="I1743" s="426">
        <v>23.6105</v>
      </c>
      <c r="J1743" s="425">
        <v>21.4907</v>
      </c>
      <c r="K1743" s="182">
        <v>11865.6</v>
      </c>
      <c r="L1743" s="36"/>
      <c r="M1743" s="36"/>
      <c r="N1743" s="36"/>
      <c r="O1743" s="36"/>
      <c r="P1743" s="36"/>
      <c r="Q1743" s="36"/>
      <c r="R1743" s="36"/>
      <c r="S1743" s="36"/>
      <c r="T1743" s="36"/>
      <c r="U1743" s="36"/>
      <c r="V1743" s="36"/>
      <c r="W1743" s="36"/>
      <c r="X1743" s="36"/>
      <c r="Y1743" s="36"/>
      <c r="Z1743" s="36"/>
      <c r="AA1743" s="36"/>
      <c r="AB1743" s="36"/>
      <c r="AC1743" s="36"/>
    </row>
    <row r="1744" ht="15.75" customHeight="1">
      <c r="A1744" s="423">
        <v>43648.0</v>
      </c>
      <c r="B1744" s="424">
        <v>15.3103</v>
      </c>
      <c r="C1744" s="425">
        <v>17.8805</v>
      </c>
      <c r="D1744" s="426">
        <v>20.692</v>
      </c>
      <c r="E1744" s="425">
        <v>14.8939</v>
      </c>
      <c r="F1744" s="425">
        <v>18.0483</v>
      </c>
      <c r="G1744" s="425">
        <v>14.2433</v>
      </c>
      <c r="H1744" s="426">
        <v>28.4518</v>
      </c>
      <c r="I1744" s="426">
        <v>23.6612</v>
      </c>
      <c r="J1744" s="425">
        <v>21.5247</v>
      </c>
      <c r="K1744" s="182">
        <v>11910.3</v>
      </c>
      <c r="L1744" s="36"/>
      <c r="M1744" s="36"/>
      <c r="N1744" s="36"/>
      <c r="O1744" s="36"/>
      <c r="P1744" s="36"/>
      <c r="Q1744" s="36"/>
      <c r="R1744" s="36"/>
      <c r="S1744" s="36"/>
      <c r="T1744" s="36"/>
      <c r="U1744" s="36"/>
      <c r="V1744" s="36"/>
      <c r="W1744" s="36"/>
      <c r="X1744" s="36"/>
      <c r="Y1744" s="36"/>
      <c r="Z1744" s="36"/>
      <c r="AA1744" s="36"/>
      <c r="AB1744" s="36"/>
      <c r="AC1744" s="36"/>
    </row>
    <row r="1745" ht="15.75" customHeight="1">
      <c r="A1745" s="423">
        <v>43649.0</v>
      </c>
      <c r="B1745" s="424">
        <v>15.3069</v>
      </c>
      <c r="C1745" s="425">
        <v>17.8912</v>
      </c>
      <c r="D1745" s="426">
        <v>20.7435</v>
      </c>
      <c r="E1745" s="425">
        <v>14.9288</v>
      </c>
      <c r="F1745" s="425">
        <v>18.055</v>
      </c>
      <c r="G1745" s="425">
        <v>14.2606</v>
      </c>
      <c r="H1745" s="426">
        <v>28.4307</v>
      </c>
      <c r="I1745" s="426">
        <v>23.6693</v>
      </c>
      <c r="J1745" s="425">
        <v>21.5403</v>
      </c>
      <c r="K1745" s="182">
        <v>11916.75</v>
      </c>
      <c r="L1745" s="36"/>
      <c r="M1745" s="36"/>
      <c r="N1745" s="36"/>
      <c r="O1745" s="36"/>
      <c r="P1745" s="36"/>
      <c r="Q1745" s="36"/>
      <c r="R1745" s="36"/>
      <c r="S1745" s="36"/>
      <c r="T1745" s="36"/>
      <c r="U1745" s="36"/>
      <c r="V1745" s="36"/>
      <c r="W1745" s="36"/>
      <c r="X1745" s="36"/>
      <c r="Y1745" s="36"/>
      <c r="Z1745" s="36"/>
      <c r="AA1745" s="36"/>
      <c r="AB1745" s="36"/>
      <c r="AC1745" s="36"/>
    </row>
    <row r="1746" ht="15.75" customHeight="1">
      <c r="A1746" s="423">
        <v>43650.0</v>
      </c>
      <c r="B1746" s="424">
        <v>15.3418</v>
      </c>
      <c r="C1746" s="425">
        <v>17.9012</v>
      </c>
      <c r="D1746" s="426">
        <v>20.808</v>
      </c>
      <c r="E1746" s="425">
        <v>14.975</v>
      </c>
      <c r="F1746" s="425">
        <v>18.0927</v>
      </c>
      <c r="G1746" s="425">
        <v>14.2869</v>
      </c>
      <c r="H1746" s="426">
        <v>28.3954</v>
      </c>
      <c r="I1746" s="426">
        <v>23.7167</v>
      </c>
      <c r="J1746" s="425">
        <v>21.6</v>
      </c>
      <c r="K1746" s="182">
        <v>11946.75</v>
      </c>
      <c r="L1746" s="36"/>
      <c r="M1746" s="36"/>
      <c r="N1746" s="36"/>
      <c r="O1746" s="36"/>
      <c r="P1746" s="36"/>
      <c r="Q1746" s="36"/>
      <c r="R1746" s="36"/>
      <c r="S1746" s="36"/>
      <c r="T1746" s="36"/>
      <c r="U1746" s="36"/>
      <c r="V1746" s="36"/>
      <c r="W1746" s="36"/>
      <c r="X1746" s="36"/>
      <c r="Y1746" s="36"/>
      <c r="Z1746" s="36"/>
      <c r="AA1746" s="36"/>
      <c r="AB1746" s="36"/>
      <c r="AC1746" s="36"/>
    </row>
    <row r="1747" ht="15.75" customHeight="1">
      <c r="A1747" s="423">
        <v>43651.0</v>
      </c>
      <c r="B1747" s="424">
        <v>15.1729</v>
      </c>
      <c r="C1747" s="425">
        <v>17.9228</v>
      </c>
      <c r="D1747" s="426">
        <v>20.9053</v>
      </c>
      <c r="E1747" s="425">
        <v>15.0435</v>
      </c>
      <c r="F1747" s="425">
        <v>17.9263</v>
      </c>
      <c r="G1747" s="425">
        <v>14.3114</v>
      </c>
      <c r="H1747" s="426">
        <v>28.0444</v>
      </c>
      <c r="I1747" s="426">
        <v>23.4882</v>
      </c>
      <c r="J1747" s="425">
        <v>21.4698</v>
      </c>
      <c r="K1747" s="182">
        <v>11811.15</v>
      </c>
      <c r="L1747" s="36"/>
      <c r="M1747" s="36"/>
      <c r="N1747" s="36"/>
      <c r="O1747" s="36"/>
      <c r="P1747" s="36"/>
      <c r="Q1747" s="36"/>
      <c r="R1747" s="36"/>
      <c r="S1747" s="36"/>
      <c r="T1747" s="36"/>
      <c r="U1747" s="36"/>
      <c r="V1747" s="36"/>
      <c r="W1747" s="36"/>
      <c r="X1747" s="36"/>
      <c r="Y1747" s="36"/>
      <c r="Z1747" s="36"/>
      <c r="AA1747" s="36"/>
      <c r="AB1747" s="36"/>
      <c r="AC1747" s="36"/>
    </row>
    <row r="1748" ht="15.75" customHeight="1">
      <c r="A1748" s="423">
        <v>43654.0</v>
      </c>
      <c r="B1748" s="424">
        <v>14.8835</v>
      </c>
      <c r="C1748" s="425">
        <v>17.9333</v>
      </c>
      <c r="D1748" s="426">
        <v>21.0208</v>
      </c>
      <c r="E1748" s="425">
        <v>15.127</v>
      </c>
      <c r="F1748" s="425">
        <v>17.5821</v>
      </c>
      <c r="G1748" s="425">
        <v>14.3434</v>
      </c>
      <c r="H1748" s="426">
        <v>27.5714</v>
      </c>
      <c r="I1748" s="426">
        <v>23.0131</v>
      </c>
      <c r="J1748" s="425">
        <v>21.2049</v>
      </c>
      <c r="K1748" s="182">
        <v>11558.6</v>
      </c>
      <c r="L1748" s="36"/>
      <c r="M1748" s="36"/>
      <c r="N1748" s="36"/>
      <c r="O1748" s="36"/>
      <c r="P1748" s="36"/>
      <c r="Q1748" s="36"/>
      <c r="R1748" s="36"/>
      <c r="S1748" s="36"/>
      <c r="T1748" s="36"/>
      <c r="U1748" s="36"/>
      <c r="V1748" s="36"/>
      <c r="W1748" s="36"/>
      <c r="X1748" s="36"/>
      <c r="Y1748" s="36"/>
      <c r="Z1748" s="36"/>
      <c r="AA1748" s="36"/>
      <c r="AB1748" s="36"/>
      <c r="AC1748" s="36"/>
    </row>
    <row r="1749" ht="15.75" customHeight="1">
      <c r="A1749" s="423">
        <v>43655.0</v>
      </c>
      <c r="B1749" s="424">
        <v>14.8805</v>
      </c>
      <c r="C1749" s="425">
        <v>17.9397</v>
      </c>
      <c r="D1749" s="426">
        <v>21.0125</v>
      </c>
      <c r="E1749" s="425">
        <v>15.1197</v>
      </c>
      <c r="F1749" s="425">
        <v>17.5913</v>
      </c>
      <c r="G1749" s="425">
        <v>14.3444</v>
      </c>
      <c r="H1749" s="426">
        <v>27.6431</v>
      </c>
      <c r="I1749" s="426">
        <v>23.0178</v>
      </c>
      <c r="J1749" s="425">
        <v>21.185</v>
      </c>
      <c r="K1749" s="182">
        <v>11555.9</v>
      </c>
      <c r="L1749" s="36"/>
      <c r="M1749" s="36"/>
      <c r="N1749" s="36"/>
      <c r="O1749" s="36"/>
      <c r="P1749" s="36"/>
      <c r="Q1749" s="36"/>
      <c r="R1749" s="36"/>
      <c r="S1749" s="36"/>
      <c r="T1749" s="36"/>
      <c r="U1749" s="36"/>
      <c r="V1749" s="36"/>
      <c r="W1749" s="36"/>
      <c r="X1749" s="36"/>
      <c r="Y1749" s="36"/>
      <c r="Z1749" s="36"/>
      <c r="AA1749" s="36"/>
      <c r="AB1749" s="36"/>
      <c r="AC1749" s="36"/>
    </row>
    <row r="1750" ht="15.75" customHeight="1">
      <c r="A1750" s="423">
        <v>43656.0</v>
      </c>
      <c r="B1750" s="424">
        <v>14.8233</v>
      </c>
      <c r="C1750" s="425">
        <v>17.9394</v>
      </c>
      <c r="D1750" s="426">
        <v>21.0618</v>
      </c>
      <c r="E1750" s="425">
        <v>15.1537</v>
      </c>
      <c r="F1750" s="425">
        <v>17.529</v>
      </c>
      <c r="G1750" s="425">
        <v>14.3555</v>
      </c>
      <c r="H1750" s="426">
        <v>27.4575</v>
      </c>
      <c r="I1750" s="426">
        <v>22.9276</v>
      </c>
      <c r="J1750" s="425">
        <v>21.1459</v>
      </c>
      <c r="K1750" s="182">
        <v>11498.9</v>
      </c>
      <c r="L1750" s="36"/>
      <c r="M1750" s="36"/>
      <c r="N1750" s="36"/>
      <c r="O1750" s="36"/>
      <c r="P1750" s="36"/>
      <c r="Q1750" s="36"/>
      <c r="R1750" s="36"/>
      <c r="S1750" s="36"/>
      <c r="T1750" s="36"/>
      <c r="U1750" s="36"/>
      <c r="V1750" s="36"/>
      <c r="W1750" s="36"/>
      <c r="X1750" s="36"/>
      <c r="Y1750" s="36"/>
      <c r="Z1750" s="36"/>
      <c r="AA1750" s="36"/>
      <c r="AB1750" s="36"/>
      <c r="AC1750" s="36"/>
    </row>
    <row r="1751" ht="15.75" customHeight="1">
      <c r="A1751" s="423">
        <v>43657.0</v>
      </c>
      <c r="B1751" s="424">
        <v>14.8982</v>
      </c>
      <c r="C1751" s="425">
        <v>17.9465</v>
      </c>
      <c r="D1751" s="426">
        <v>21.0918</v>
      </c>
      <c r="E1751" s="425">
        <v>15.1778</v>
      </c>
      <c r="F1751" s="425">
        <v>17.6152</v>
      </c>
      <c r="G1751" s="425">
        <v>14.363</v>
      </c>
      <c r="H1751" s="426">
        <v>27.6281</v>
      </c>
      <c r="I1751" s="426">
        <v>23.0567</v>
      </c>
      <c r="J1751" s="425">
        <v>21.247</v>
      </c>
      <c r="K1751" s="182">
        <v>11582.9</v>
      </c>
      <c r="L1751" s="36"/>
      <c r="M1751" s="36"/>
      <c r="N1751" s="36"/>
      <c r="O1751" s="36"/>
      <c r="P1751" s="36"/>
      <c r="Q1751" s="36"/>
      <c r="R1751" s="36"/>
      <c r="S1751" s="36"/>
      <c r="T1751" s="36"/>
      <c r="U1751" s="36"/>
      <c r="V1751" s="36"/>
      <c r="W1751" s="36"/>
      <c r="X1751" s="36"/>
      <c r="Y1751" s="36"/>
      <c r="Z1751" s="36"/>
      <c r="AA1751" s="36"/>
      <c r="AB1751" s="36"/>
      <c r="AC1751" s="36"/>
    </row>
    <row r="1752" ht="15.75" customHeight="1">
      <c r="A1752" s="423">
        <v>43658.0</v>
      </c>
      <c r="B1752" s="424">
        <v>14.8612</v>
      </c>
      <c r="C1752" s="425">
        <v>17.9446</v>
      </c>
      <c r="D1752" s="426">
        <v>21.1089</v>
      </c>
      <c r="E1752" s="425">
        <v>15.1946</v>
      </c>
      <c r="F1752" s="425">
        <v>17.5882</v>
      </c>
      <c r="G1752" s="425">
        <v>14.3635</v>
      </c>
      <c r="H1752" s="426">
        <v>27.7374</v>
      </c>
      <c r="I1752" s="426">
        <v>23.007</v>
      </c>
      <c r="J1752" s="425">
        <v>21.2247</v>
      </c>
      <c r="K1752" s="182">
        <v>11552.5</v>
      </c>
      <c r="L1752" s="36"/>
      <c r="M1752" s="36"/>
      <c r="N1752" s="36"/>
      <c r="O1752" s="36"/>
      <c r="P1752" s="36"/>
      <c r="Q1752" s="36"/>
      <c r="R1752" s="36"/>
      <c r="S1752" s="36"/>
      <c r="T1752" s="36"/>
      <c r="U1752" s="36"/>
      <c r="V1752" s="36"/>
      <c r="W1752" s="36"/>
      <c r="X1752" s="36"/>
      <c r="Y1752" s="36"/>
      <c r="Z1752" s="36"/>
      <c r="AA1752" s="36"/>
      <c r="AB1752" s="36"/>
      <c r="AC1752" s="36"/>
    </row>
    <row r="1753" ht="15.75" customHeight="1">
      <c r="A1753" s="423">
        <v>43661.0</v>
      </c>
      <c r="B1753" s="424">
        <v>14.9003</v>
      </c>
      <c r="C1753" s="425">
        <v>17.9607</v>
      </c>
      <c r="D1753" s="426">
        <v>21.1569</v>
      </c>
      <c r="E1753" s="425">
        <v>15.2324</v>
      </c>
      <c r="F1753" s="425">
        <v>17.6102</v>
      </c>
      <c r="G1753" s="425">
        <v>14.3801</v>
      </c>
      <c r="H1753" s="426">
        <v>27.6071</v>
      </c>
      <c r="I1753" s="426">
        <v>23.0507</v>
      </c>
      <c r="J1753" s="425">
        <v>21.2665</v>
      </c>
      <c r="K1753" s="182">
        <v>11588.35</v>
      </c>
      <c r="L1753" s="36"/>
      <c r="M1753" s="36"/>
      <c r="N1753" s="36"/>
      <c r="O1753" s="36"/>
      <c r="P1753" s="36"/>
      <c r="Q1753" s="36"/>
      <c r="R1753" s="36"/>
      <c r="S1753" s="36"/>
      <c r="T1753" s="36"/>
      <c r="U1753" s="36"/>
      <c r="V1753" s="36"/>
      <c r="W1753" s="36"/>
      <c r="X1753" s="36"/>
      <c r="Y1753" s="36"/>
      <c r="Z1753" s="36"/>
      <c r="AA1753" s="36"/>
      <c r="AB1753" s="36"/>
      <c r="AC1753" s="36"/>
    </row>
    <row r="1754" ht="15.75" customHeight="1">
      <c r="A1754" s="423">
        <v>43662.0</v>
      </c>
      <c r="B1754" s="424">
        <v>14.9857</v>
      </c>
      <c r="C1754" s="425">
        <v>17.9801</v>
      </c>
      <c r="D1754" s="426">
        <v>21.2343</v>
      </c>
      <c r="E1754" s="425">
        <v>15.2894</v>
      </c>
      <c r="F1754" s="425">
        <v>17.7137</v>
      </c>
      <c r="G1754" s="425">
        <v>14.407</v>
      </c>
      <c r="H1754" s="426">
        <v>27.7214</v>
      </c>
      <c r="I1754" s="426">
        <v>23.187</v>
      </c>
      <c r="J1754" s="425">
        <v>21.3867</v>
      </c>
      <c r="K1754" s="182">
        <v>11662.6</v>
      </c>
      <c r="L1754" s="36"/>
      <c r="M1754" s="36"/>
      <c r="N1754" s="36"/>
      <c r="O1754" s="36"/>
      <c r="P1754" s="36"/>
      <c r="Q1754" s="36"/>
      <c r="R1754" s="36"/>
      <c r="S1754" s="36"/>
      <c r="T1754" s="36"/>
      <c r="U1754" s="36"/>
      <c r="V1754" s="36"/>
      <c r="W1754" s="36"/>
      <c r="X1754" s="36"/>
      <c r="Y1754" s="36"/>
      <c r="Z1754" s="36"/>
      <c r="AA1754" s="36"/>
      <c r="AB1754" s="36"/>
      <c r="AC1754" s="36"/>
    </row>
    <row r="1755" ht="15.75" customHeight="1">
      <c r="A1755" s="423">
        <v>43663.0</v>
      </c>
      <c r="B1755" s="424">
        <v>15.0138</v>
      </c>
      <c r="C1755" s="425">
        <v>17.9741</v>
      </c>
      <c r="D1755" s="426">
        <v>21.1953</v>
      </c>
      <c r="E1755" s="425">
        <v>15.2574</v>
      </c>
      <c r="F1755" s="425">
        <v>17.7388</v>
      </c>
      <c r="G1755" s="425">
        <v>14.3969</v>
      </c>
      <c r="H1755" s="426">
        <v>27.6617</v>
      </c>
      <c r="I1755" s="426">
        <v>23.2272</v>
      </c>
      <c r="J1755" s="425">
        <v>21.4007</v>
      </c>
      <c r="K1755" s="182">
        <v>11687.5</v>
      </c>
      <c r="L1755" s="36"/>
      <c r="M1755" s="36"/>
      <c r="N1755" s="36"/>
      <c r="O1755" s="36"/>
      <c r="P1755" s="36"/>
      <c r="Q1755" s="36"/>
      <c r="R1755" s="36"/>
      <c r="S1755" s="36"/>
      <c r="T1755" s="36"/>
      <c r="U1755" s="36"/>
      <c r="V1755" s="36"/>
      <c r="W1755" s="36"/>
      <c r="X1755" s="36"/>
      <c r="Y1755" s="36"/>
      <c r="Z1755" s="36"/>
      <c r="AA1755" s="36"/>
      <c r="AB1755" s="36"/>
      <c r="AC1755" s="36"/>
    </row>
    <row r="1756" ht="15.75" customHeight="1">
      <c r="A1756" s="423">
        <v>43664.0</v>
      </c>
      <c r="B1756" s="424">
        <v>14.8751</v>
      </c>
      <c r="C1756" s="425">
        <v>17.9765</v>
      </c>
      <c r="D1756" s="426">
        <v>21.1803</v>
      </c>
      <c r="E1756" s="425">
        <v>15.2467</v>
      </c>
      <c r="F1756" s="425">
        <v>17.5816</v>
      </c>
      <c r="G1756" s="425">
        <v>14.3969</v>
      </c>
      <c r="H1756" s="426">
        <v>27.361</v>
      </c>
      <c r="I1756" s="426">
        <v>23.0005</v>
      </c>
      <c r="J1756" s="425">
        <v>21.2443</v>
      </c>
      <c r="K1756" s="182">
        <v>11596.9</v>
      </c>
      <c r="L1756" s="36"/>
      <c r="M1756" s="36"/>
      <c r="N1756" s="36"/>
      <c r="O1756" s="36"/>
      <c r="P1756" s="36"/>
      <c r="Q1756" s="36"/>
      <c r="R1756" s="36"/>
      <c r="S1756" s="36"/>
      <c r="T1756" s="36"/>
      <c r="U1756" s="36"/>
      <c r="V1756" s="36"/>
      <c r="W1756" s="36"/>
      <c r="X1756" s="36"/>
      <c r="Y1756" s="36"/>
      <c r="Z1756" s="36"/>
      <c r="AA1756" s="36"/>
      <c r="AB1756" s="36"/>
      <c r="AC1756" s="36"/>
    </row>
    <row r="1757" ht="15.75" customHeight="1">
      <c r="A1757" s="423">
        <v>43665.0</v>
      </c>
      <c r="B1757" s="424">
        <v>14.6695</v>
      </c>
      <c r="C1757" s="425">
        <v>17.9788</v>
      </c>
      <c r="D1757" s="426">
        <v>21.1918</v>
      </c>
      <c r="E1757" s="425">
        <v>15.2582</v>
      </c>
      <c r="F1757" s="425">
        <v>17.3362</v>
      </c>
      <c r="G1757" s="425">
        <v>14.3985</v>
      </c>
      <c r="H1757" s="426">
        <v>26.9451</v>
      </c>
      <c r="I1757" s="426">
        <v>22.6729</v>
      </c>
      <c r="J1757" s="425">
        <v>21.0298</v>
      </c>
      <c r="K1757" s="182">
        <v>11419.25</v>
      </c>
      <c r="L1757" s="36"/>
      <c r="M1757" s="36"/>
      <c r="N1757" s="36"/>
      <c r="O1757" s="36"/>
      <c r="P1757" s="36"/>
      <c r="Q1757" s="36"/>
      <c r="R1757" s="36"/>
      <c r="S1757" s="36"/>
      <c r="T1757" s="36"/>
      <c r="U1757" s="36"/>
      <c r="V1757" s="36"/>
      <c r="W1757" s="36"/>
      <c r="X1757" s="36"/>
      <c r="Y1757" s="36"/>
      <c r="Z1757" s="36"/>
      <c r="AA1757" s="36"/>
      <c r="AB1757" s="36"/>
      <c r="AC1757" s="36"/>
    </row>
    <row r="1758" ht="15.75" customHeight="1">
      <c r="A1758" s="423">
        <v>43668.0</v>
      </c>
      <c r="B1758" s="424">
        <v>14.6205</v>
      </c>
      <c r="C1758" s="425">
        <v>17.9761</v>
      </c>
      <c r="D1758" s="426">
        <v>21.1466</v>
      </c>
      <c r="E1758" s="425">
        <v>15.2219</v>
      </c>
      <c r="F1758" s="425">
        <v>17.2642</v>
      </c>
      <c r="G1758" s="425">
        <v>14.3948</v>
      </c>
      <c r="H1758" s="426">
        <v>26.7381</v>
      </c>
      <c r="I1758" s="426">
        <v>22.5763</v>
      </c>
      <c r="J1758" s="425">
        <v>20.9512</v>
      </c>
      <c r="K1758" s="182">
        <v>11346.2</v>
      </c>
      <c r="L1758" s="36"/>
      <c r="M1758" s="36"/>
      <c r="N1758" s="36"/>
      <c r="O1758" s="36"/>
      <c r="P1758" s="36"/>
      <c r="Q1758" s="36"/>
      <c r="R1758" s="36"/>
      <c r="S1758" s="36"/>
      <c r="T1758" s="36"/>
      <c r="U1758" s="36"/>
      <c r="V1758" s="36"/>
      <c r="W1758" s="36"/>
      <c r="X1758" s="36"/>
      <c r="Y1758" s="36"/>
      <c r="Z1758" s="36"/>
      <c r="AA1758" s="36"/>
      <c r="AB1758" s="36"/>
      <c r="AC1758" s="36"/>
    </row>
    <row r="1759" ht="15.75" customHeight="1">
      <c r="A1759" s="423">
        <v>43669.0</v>
      </c>
      <c r="B1759" s="424">
        <v>14.6282</v>
      </c>
      <c r="C1759" s="425">
        <v>17.98</v>
      </c>
      <c r="D1759" s="426">
        <v>21.1026</v>
      </c>
      <c r="E1759" s="425">
        <v>15.1902</v>
      </c>
      <c r="F1759" s="425">
        <v>17.2767</v>
      </c>
      <c r="G1759" s="425">
        <v>14.3895</v>
      </c>
      <c r="H1759" s="426">
        <v>26.6572</v>
      </c>
      <c r="I1759" s="426">
        <v>22.5859</v>
      </c>
      <c r="J1759" s="425">
        <v>20.9308</v>
      </c>
      <c r="K1759" s="182">
        <v>11331.05</v>
      </c>
      <c r="L1759" s="36"/>
      <c r="M1759" s="36"/>
      <c r="N1759" s="36"/>
      <c r="O1759" s="36"/>
      <c r="P1759" s="36"/>
      <c r="Q1759" s="36"/>
      <c r="R1759" s="36"/>
      <c r="S1759" s="36"/>
      <c r="T1759" s="36"/>
      <c r="U1759" s="36"/>
      <c r="V1759" s="36"/>
      <c r="W1759" s="36"/>
      <c r="X1759" s="36"/>
      <c r="Y1759" s="36"/>
      <c r="Z1759" s="36"/>
      <c r="AA1759" s="36"/>
      <c r="AB1759" s="36"/>
      <c r="AC1759" s="36"/>
    </row>
    <row r="1760" ht="15.75" customHeight="1">
      <c r="A1760" s="423">
        <v>43670.0</v>
      </c>
      <c r="B1760" s="424">
        <v>14.5436</v>
      </c>
      <c r="C1760" s="425">
        <v>17.9865</v>
      </c>
      <c r="D1760" s="426">
        <v>21.1235</v>
      </c>
      <c r="E1760" s="425">
        <v>15.2039</v>
      </c>
      <c r="F1760" s="425">
        <v>17.1797</v>
      </c>
      <c r="G1760" s="425">
        <v>14.3948</v>
      </c>
      <c r="H1760" s="426">
        <v>26.3204</v>
      </c>
      <c r="I1760" s="426">
        <v>22.4503</v>
      </c>
      <c r="J1760" s="425">
        <v>20.8478</v>
      </c>
      <c r="K1760" s="182">
        <v>11271.3</v>
      </c>
      <c r="L1760" s="36"/>
      <c r="M1760" s="36"/>
      <c r="N1760" s="36"/>
      <c r="O1760" s="36"/>
      <c r="P1760" s="36"/>
      <c r="Q1760" s="36"/>
      <c r="R1760" s="36"/>
      <c r="S1760" s="36"/>
      <c r="T1760" s="36"/>
      <c r="U1760" s="36"/>
      <c r="V1760" s="36"/>
      <c r="W1760" s="36"/>
      <c r="X1760" s="36"/>
      <c r="Y1760" s="36"/>
      <c r="Z1760" s="36"/>
      <c r="AA1760" s="36"/>
      <c r="AB1760" s="36"/>
      <c r="AC1760" s="36"/>
    </row>
    <row r="1761" ht="15.75" customHeight="1">
      <c r="A1761" s="423">
        <v>43671.0</v>
      </c>
      <c r="B1761" s="424">
        <v>14.5235</v>
      </c>
      <c r="C1761" s="425">
        <v>17.9833</v>
      </c>
      <c r="D1761" s="426">
        <v>21.0424</v>
      </c>
      <c r="E1761" s="425">
        <v>15.1434</v>
      </c>
      <c r="F1761" s="425">
        <v>17.1638</v>
      </c>
      <c r="G1761" s="425">
        <v>14.3801</v>
      </c>
      <c r="H1761" s="426">
        <v>26.3913</v>
      </c>
      <c r="I1761" s="426">
        <v>22.4276</v>
      </c>
      <c r="J1761" s="425">
        <v>20.8141</v>
      </c>
      <c r="K1761" s="182">
        <v>11252.15</v>
      </c>
      <c r="L1761" s="36"/>
      <c r="M1761" s="36"/>
      <c r="N1761" s="36"/>
      <c r="O1761" s="36"/>
      <c r="P1761" s="36"/>
      <c r="Q1761" s="36"/>
      <c r="R1761" s="36"/>
      <c r="S1761" s="36"/>
      <c r="T1761" s="36"/>
      <c r="U1761" s="36"/>
      <c r="V1761" s="36"/>
      <c r="W1761" s="36"/>
      <c r="X1761" s="36"/>
      <c r="Y1761" s="36"/>
      <c r="Z1761" s="36"/>
      <c r="AA1761" s="36"/>
      <c r="AB1761" s="36"/>
      <c r="AC1761" s="36"/>
    </row>
    <row r="1762" ht="15.75" customHeight="1">
      <c r="A1762" s="423">
        <v>43672.0</v>
      </c>
      <c r="B1762" s="424">
        <v>14.5748</v>
      </c>
      <c r="C1762" s="425">
        <v>17.9788</v>
      </c>
      <c r="D1762" s="426">
        <v>21.0237</v>
      </c>
      <c r="E1762" s="425">
        <v>15.1316</v>
      </c>
      <c r="F1762" s="425">
        <v>17.2218</v>
      </c>
      <c r="G1762" s="425">
        <v>14.3703</v>
      </c>
      <c r="H1762" s="426">
        <v>26.4385</v>
      </c>
      <c r="I1762" s="426">
        <v>22.5263</v>
      </c>
      <c r="J1762" s="425">
        <v>20.8721</v>
      </c>
      <c r="K1762" s="182">
        <v>11284.3</v>
      </c>
      <c r="L1762" s="36"/>
      <c r="M1762" s="36"/>
      <c r="N1762" s="36"/>
      <c r="O1762" s="36"/>
      <c r="P1762" s="36"/>
      <c r="Q1762" s="36"/>
      <c r="R1762" s="36"/>
      <c r="S1762" s="36"/>
      <c r="T1762" s="36"/>
      <c r="U1762" s="36"/>
      <c r="V1762" s="36"/>
      <c r="W1762" s="36"/>
      <c r="X1762" s="36"/>
      <c r="Y1762" s="36"/>
      <c r="Z1762" s="36"/>
      <c r="AA1762" s="36"/>
      <c r="AB1762" s="36"/>
      <c r="AC1762" s="36"/>
    </row>
    <row r="1763" ht="15.75" customHeight="1">
      <c r="A1763" s="423">
        <v>43675.0</v>
      </c>
      <c r="B1763" s="424">
        <v>14.4815</v>
      </c>
      <c r="C1763" s="425">
        <v>17.998</v>
      </c>
      <c r="D1763" s="426">
        <v>21.1052</v>
      </c>
      <c r="E1763" s="425">
        <v>15.1933</v>
      </c>
      <c r="F1763" s="425">
        <v>17.1149</v>
      </c>
      <c r="G1763" s="425">
        <v>14.3946</v>
      </c>
      <c r="H1763" s="426">
        <v>26.2764</v>
      </c>
      <c r="I1763" s="426">
        <v>22.389</v>
      </c>
      <c r="J1763" s="425">
        <v>20.7934</v>
      </c>
      <c r="K1763" s="182">
        <v>11189.2</v>
      </c>
      <c r="L1763" s="36"/>
      <c r="M1763" s="36"/>
      <c r="N1763" s="36"/>
      <c r="O1763" s="36"/>
      <c r="P1763" s="36"/>
      <c r="Q1763" s="36"/>
      <c r="R1763" s="36"/>
      <c r="S1763" s="36"/>
      <c r="T1763" s="36"/>
      <c r="U1763" s="36"/>
      <c r="V1763" s="36"/>
      <c r="W1763" s="36"/>
      <c r="X1763" s="36"/>
      <c r="Y1763" s="36"/>
      <c r="Z1763" s="36"/>
      <c r="AA1763" s="36"/>
      <c r="AB1763" s="36"/>
      <c r="AC1763" s="36"/>
    </row>
    <row r="1764" ht="15.75" customHeight="1">
      <c r="A1764" s="423">
        <v>43676.0</v>
      </c>
      <c r="B1764" s="424">
        <v>14.3809</v>
      </c>
      <c r="C1764" s="425">
        <v>17.8282</v>
      </c>
      <c r="D1764" s="426">
        <v>21.1109</v>
      </c>
      <c r="E1764" s="425">
        <v>15.2174</v>
      </c>
      <c r="F1764" s="425">
        <v>16.9874</v>
      </c>
      <c r="G1764" s="425">
        <v>14.4077</v>
      </c>
      <c r="H1764" s="426">
        <v>25.9846</v>
      </c>
      <c r="I1764" s="426">
        <v>22.2096</v>
      </c>
      <c r="J1764" s="425">
        <v>20.6801</v>
      </c>
      <c r="K1764" s="182">
        <v>11085.4</v>
      </c>
      <c r="L1764" s="36"/>
      <c r="M1764" s="36"/>
      <c r="N1764" s="36"/>
      <c r="O1764" s="36"/>
      <c r="P1764" s="36"/>
      <c r="Q1764" s="36"/>
      <c r="R1764" s="36"/>
      <c r="S1764" s="36"/>
      <c r="T1764" s="36"/>
      <c r="U1764" s="36"/>
      <c r="V1764" s="36"/>
      <c r="W1764" s="36"/>
      <c r="X1764" s="36"/>
      <c r="Y1764" s="36"/>
      <c r="Z1764" s="36"/>
      <c r="AA1764" s="36"/>
      <c r="AB1764" s="36"/>
      <c r="AC1764" s="36"/>
    </row>
    <row r="1765" ht="15.75" customHeight="1">
      <c r="A1765" s="423">
        <v>43677.0</v>
      </c>
      <c r="B1765" s="424">
        <v>14.4009</v>
      </c>
      <c r="C1765" s="425">
        <v>17.8453</v>
      </c>
      <c r="D1765" s="426">
        <v>21.1196</v>
      </c>
      <c r="E1765" s="425">
        <v>15.223</v>
      </c>
      <c r="F1765" s="425">
        <v>17.0133</v>
      </c>
      <c r="G1765" s="425">
        <v>14.4173</v>
      </c>
      <c r="H1765" s="426">
        <v>26.2621</v>
      </c>
      <c r="I1765" s="426">
        <v>22.2566</v>
      </c>
      <c r="J1765" s="425">
        <v>20.7343</v>
      </c>
      <c r="K1765" s="182">
        <v>11118.0</v>
      </c>
      <c r="L1765" s="36"/>
      <c r="M1765" s="36"/>
      <c r="N1765" s="36"/>
      <c r="O1765" s="36"/>
      <c r="P1765" s="36"/>
      <c r="Q1765" s="36"/>
      <c r="R1765" s="36"/>
      <c r="S1765" s="36"/>
      <c r="T1765" s="36"/>
      <c r="U1765" s="36"/>
      <c r="V1765" s="36"/>
      <c r="W1765" s="36"/>
      <c r="X1765" s="36"/>
      <c r="Y1765" s="36"/>
      <c r="Z1765" s="36"/>
      <c r="AA1765" s="36"/>
      <c r="AB1765" s="36"/>
      <c r="AC1765" s="36"/>
    </row>
    <row r="1766" ht="15.75" customHeight="1">
      <c r="A1766" s="423">
        <v>43678.0</v>
      </c>
      <c r="B1766" s="424">
        <v>14.246</v>
      </c>
      <c r="C1766" s="425">
        <v>17.8563</v>
      </c>
      <c r="D1766" s="426">
        <v>21.1145</v>
      </c>
      <c r="E1766" s="425">
        <v>15.218</v>
      </c>
      <c r="F1766" s="425">
        <v>16.8418</v>
      </c>
      <c r="G1766" s="425">
        <v>14.4233</v>
      </c>
      <c r="H1766" s="426">
        <v>26.008</v>
      </c>
      <c r="I1766" s="426">
        <v>22.0196</v>
      </c>
      <c r="J1766" s="425">
        <v>20.5581</v>
      </c>
      <c r="K1766" s="182">
        <v>10980.0</v>
      </c>
      <c r="L1766" s="36"/>
      <c r="M1766" s="36"/>
      <c r="N1766" s="36"/>
      <c r="O1766" s="36"/>
      <c r="P1766" s="36"/>
      <c r="Q1766" s="36"/>
      <c r="R1766" s="36"/>
      <c r="S1766" s="36"/>
      <c r="T1766" s="36"/>
      <c r="U1766" s="36"/>
      <c r="V1766" s="36"/>
      <c r="W1766" s="36"/>
      <c r="X1766" s="36"/>
      <c r="Y1766" s="36"/>
      <c r="Z1766" s="36"/>
      <c r="AA1766" s="36"/>
      <c r="AB1766" s="36"/>
      <c r="AC1766" s="36"/>
    </row>
    <row r="1767" ht="15.75" customHeight="1">
      <c r="A1767" s="423">
        <v>43679.0</v>
      </c>
      <c r="B1767" s="424">
        <v>14.2597</v>
      </c>
      <c r="C1767" s="425">
        <v>17.8818</v>
      </c>
      <c r="D1767" s="426">
        <v>21.1735</v>
      </c>
      <c r="E1767" s="425">
        <v>15.2636</v>
      </c>
      <c r="F1767" s="425">
        <v>16.8488</v>
      </c>
      <c r="G1767" s="425">
        <v>14.4479</v>
      </c>
      <c r="H1767" s="426">
        <v>26.0193</v>
      </c>
      <c r="I1767" s="426">
        <v>22.0379</v>
      </c>
      <c r="J1767" s="425">
        <v>20.5856</v>
      </c>
      <c r="K1767" s="182">
        <v>10997.35</v>
      </c>
      <c r="L1767" s="36"/>
      <c r="M1767" s="36"/>
      <c r="N1767" s="36"/>
      <c r="O1767" s="36"/>
      <c r="P1767" s="36"/>
      <c r="Q1767" s="36"/>
      <c r="R1767" s="36"/>
      <c r="S1767" s="36"/>
      <c r="T1767" s="36"/>
      <c r="U1767" s="36"/>
      <c r="V1767" s="36"/>
      <c r="W1767" s="36"/>
      <c r="X1767" s="36"/>
      <c r="Y1767" s="36"/>
      <c r="Z1767" s="36"/>
      <c r="AA1767" s="36"/>
      <c r="AB1767" s="36"/>
      <c r="AC1767" s="36"/>
    </row>
    <row r="1768" ht="15.75" customHeight="1">
      <c r="A1768" s="423">
        <v>43682.0</v>
      </c>
      <c r="B1768" s="424">
        <v>14.0698</v>
      </c>
      <c r="C1768" s="425">
        <v>17.8779</v>
      </c>
      <c r="D1768" s="426">
        <v>21.157</v>
      </c>
      <c r="E1768" s="425">
        <v>15.2505</v>
      </c>
      <c r="F1768" s="425">
        <v>16.636</v>
      </c>
      <c r="G1768" s="425">
        <v>14.4442</v>
      </c>
      <c r="H1768" s="426">
        <v>25.7032</v>
      </c>
      <c r="I1768" s="426">
        <v>21.7687</v>
      </c>
      <c r="J1768" s="425">
        <v>20.4018</v>
      </c>
      <c r="K1768" s="182">
        <v>10862.6</v>
      </c>
      <c r="L1768" s="36"/>
      <c r="M1768" s="36"/>
      <c r="N1768" s="36"/>
      <c r="O1768" s="36"/>
      <c r="P1768" s="36"/>
      <c r="Q1768" s="36"/>
      <c r="R1768" s="36"/>
      <c r="S1768" s="36"/>
      <c r="T1768" s="36"/>
      <c r="U1768" s="36"/>
      <c r="V1768" s="36"/>
      <c r="W1768" s="36"/>
      <c r="X1768" s="36"/>
      <c r="Y1768" s="36"/>
      <c r="Z1768" s="36"/>
      <c r="AA1768" s="36"/>
      <c r="AB1768" s="36"/>
      <c r="AC1768" s="36"/>
    </row>
    <row r="1769" ht="15.75" customHeight="1">
      <c r="A1769" s="423">
        <v>43683.0</v>
      </c>
      <c r="B1769" s="424">
        <v>14.162</v>
      </c>
      <c r="C1769" s="425">
        <v>17.8883</v>
      </c>
      <c r="D1769" s="426">
        <v>21.2022</v>
      </c>
      <c r="E1769" s="425">
        <v>15.2831</v>
      </c>
      <c r="F1769" s="425">
        <v>16.7573</v>
      </c>
      <c r="G1769" s="425">
        <v>14.457</v>
      </c>
      <c r="H1769" s="426">
        <v>26.072</v>
      </c>
      <c r="I1769" s="426">
        <v>21.9265</v>
      </c>
      <c r="J1769" s="425">
        <v>20.5147</v>
      </c>
      <c r="K1769" s="182">
        <v>10948.25</v>
      </c>
      <c r="L1769" s="36"/>
      <c r="M1769" s="36"/>
      <c r="N1769" s="36"/>
      <c r="O1769" s="36"/>
      <c r="P1769" s="36"/>
      <c r="Q1769" s="36"/>
      <c r="R1769" s="36"/>
      <c r="S1769" s="36"/>
      <c r="T1769" s="36"/>
      <c r="U1769" s="36"/>
      <c r="V1769" s="36"/>
      <c r="W1769" s="36"/>
      <c r="X1769" s="36"/>
      <c r="Y1769" s="36"/>
      <c r="Z1769" s="36"/>
      <c r="AA1769" s="36"/>
      <c r="AB1769" s="36"/>
      <c r="AC1769" s="36"/>
    </row>
    <row r="1770" ht="15.75" customHeight="1">
      <c r="A1770" s="423">
        <v>43684.0</v>
      </c>
      <c r="B1770" s="424">
        <v>14.0612</v>
      </c>
      <c r="C1770" s="425">
        <v>17.8976</v>
      </c>
      <c r="D1770" s="426">
        <v>21.218</v>
      </c>
      <c r="E1770" s="425">
        <v>15.2956</v>
      </c>
      <c r="F1770" s="425">
        <v>16.6538</v>
      </c>
      <c r="G1770" s="425">
        <v>14.4667</v>
      </c>
      <c r="H1770" s="426">
        <v>26.0197</v>
      </c>
      <c r="I1770" s="426">
        <v>21.7766</v>
      </c>
      <c r="J1770" s="425">
        <v>20.4196</v>
      </c>
      <c r="K1770" s="182">
        <v>10855.5</v>
      </c>
      <c r="L1770" s="36"/>
      <c r="M1770" s="36"/>
      <c r="N1770" s="36"/>
      <c r="O1770" s="36"/>
      <c r="P1770" s="36"/>
      <c r="Q1770" s="36"/>
      <c r="R1770" s="36"/>
      <c r="S1770" s="36"/>
      <c r="T1770" s="36"/>
      <c r="U1770" s="36"/>
      <c r="V1770" s="36"/>
      <c r="W1770" s="36"/>
      <c r="X1770" s="36"/>
      <c r="Y1770" s="36"/>
      <c r="Z1770" s="36"/>
      <c r="AA1770" s="36"/>
      <c r="AB1770" s="36"/>
      <c r="AC1770" s="36"/>
    </row>
    <row r="1771" ht="15.75" customHeight="1">
      <c r="A1771" s="423">
        <v>43685.0</v>
      </c>
      <c r="B1771" s="424">
        <v>14.2817</v>
      </c>
      <c r="C1771" s="425">
        <v>17.9202</v>
      </c>
      <c r="D1771" s="426">
        <v>21.256</v>
      </c>
      <c r="E1771" s="425">
        <v>15.3182</v>
      </c>
      <c r="F1771" s="425">
        <v>16.8859</v>
      </c>
      <c r="G1771" s="425">
        <v>14.4922</v>
      </c>
      <c r="H1771" s="426">
        <v>26.1222</v>
      </c>
      <c r="I1771" s="426">
        <v>22.0941</v>
      </c>
      <c r="J1771" s="425">
        <v>20.6399</v>
      </c>
      <c r="K1771" s="182">
        <v>11032.45</v>
      </c>
      <c r="L1771" s="36"/>
      <c r="M1771" s="36"/>
      <c r="N1771" s="36"/>
      <c r="O1771" s="36"/>
      <c r="P1771" s="36"/>
      <c r="Q1771" s="36"/>
      <c r="R1771" s="36"/>
      <c r="S1771" s="36"/>
      <c r="T1771" s="36"/>
      <c r="U1771" s="36"/>
      <c r="V1771" s="36"/>
      <c r="W1771" s="36"/>
      <c r="X1771" s="36"/>
      <c r="Y1771" s="36"/>
      <c r="Z1771" s="36"/>
      <c r="AA1771" s="36"/>
      <c r="AB1771" s="36"/>
      <c r="AC1771" s="36"/>
    </row>
    <row r="1772" ht="15.75" customHeight="1">
      <c r="A1772" s="423">
        <v>43686.0</v>
      </c>
      <c r="B1772" s="424">
        <v>14.3715</v>
      </c>
      <c r="C1772" s="425">
        <v>17.9187</v>
      </c>
      <c r="D1772" s="426">
        <v>21.1505</v>
      </c>
      <c r="E1772" s="425">
        <v>15.244</v>
      </c>
      <c r="F1772" s="425">
        <v>17.008</v>
      </c>
      <c r="G1772" s="425">
        <v>14.4763</v>
      </c>
      <c r="H1772" s="426">
        <v>26.4343</v>
      </c>
      <c r="I1772" s="426">
        <v>22.2551</v>
      </c>
      <c r="J1772" s="425">
        <v>20.7029</v>
      </c>
      <c r="K1772" s="182">
        <v>11109.65</v>
      </c>
      <c r="L1772" s="36"/>
      <c r="M1772" s="36"/>
      <c r="N1772" s="36"/>
      <c r="O1772" s="36"/>
      <c r="P1772" s="36"/>
      <c r="Q1772" s="36"/>
      <c r="R1772" s="36"/>
      <c r="S1772" s="36"/>
      <c r="T1772" s="36"/>
      <c r="U1772" s="36"/>
      <c r="V1772" s="36"/>
      <c r="W1772" s="36"/>
      <c r="X1772" s="36"/>
      <c r="Y1772" s="36"/>
      <c r="Z1772" s="36"/>
      <c r="AA1772" s="36"/>
      <c r="AB1772" s="36"/>
      <c r="AC1772" s="36"/>
    </row>
    <row r="1773" ht="15.75" customHeight="1">
      <c r="A1773" s="423">
        <v>43690.0</v>
      </c>
      <c r="B1773" s="424">
        <v>14.1923</v>
      </c>
      <c r="C1773" s="425">
        <v>17.9235</v>
      </c>
      <c r="D1773" s="426">
        <v>21.1457</v>
      </c>
      <c r="E1773" s="425">
        <v>15.2395</v>
      </c>
      <c r="F1773" s="425">
        <v>16.7748</v>
      </c>
      <c r="G1773" s="425">
        <v>14.477</v>
      </c>
      <c r="H1773" s="426">
        <v>25.9514</v>
      </c>
      <c r="I1773" s="426">
        <v>21.9444</v>
      </c>
      <c r="J1773" s="425">
        <v>20.4849</v>
      </c>
      <c r="K1773" s="182">
        <v>10925.85</v>
      </c>
      <c r="L1773" s="36"/>
      <c r="M1773" s="36"/>
      <c r="N1773" s="36"/>
      <c r="O1773" s="36"/>
      <c r="P1773" s="36"/>
      <c r="Q1773" s="36"/>
      <c r="R1773" s="36"/>
      <c r="S1773" s="36"/>
      <c r="T1773" s="36"/>
      <c r="U1773" s="36"/>
      <c r="V1773" s="36"/>
      <c r="W1773" s="36"/>
      <c r="X1773" s="36"/>
      <c r="Y1773" s="36"/>
      <c r="Z1773" s="36"/>
      <c r="AA1773" s="36"/>
      <c r="AB1773" s="36"/>
      <c r="AC1773" s="36"/>
    </row>
    <row r="1774" ht="15.75" customHeight="1">
      <c r="A1774" s="423">
        <v>43691.0</v>
      </c>
      <c r="B1774" s="424">
        <v>14.3045</v>
      </c>
      <c r="C1774" s="425">
        <v>17.9102</v>
      </c>
      <c r="D1774" s="426">
        <v>21.0417</v>
      </c>
      <c r="E1774" s="425">
        <v>15.1658</v>
      </c>
      <c r="F1774" s="425">
        <v>16.9084</v>
      </c>
      <c r="G1774" s="425">
        <v>14.4503</v>
      </c>
      <c r="H1774" s="426">
        <v>26.1231</v>
      </c>
      <c r="I1774" s="426">
        <v>22.1102</v>
      </c>
      <c r="J1774" s="425">
        <v>20.5655</v>
      </c>
      <c r="K1774" s="182">
        <v>11029.4</v>
      </c>
      <c r="L1774" s="36"/>
      <c r="M1774" s="36"/>
      <c r="N1774" s="36"/>
      <c r="O1774" s="36"/>
      <c r="P1774" s="36"/>
      <c r="Q1774" s="36"/>
      <c r="R1774" s="36"/>
      <c r="S1774" s="36"/>
      <c r="T1774" s="36"/>
      <c r="U1774" s="36"/>
      <c r="V1774" s="36"/>
      <c r="W1774" s="36"/>
      <c r="X1774" s="36"/>
      <c r="Y1774" s="36"/>
      <c r="Z1774" s="36"/>
      <c r="AA1774" s="36"/>
      <c r="AB1774" s="36"/>
      <c r="AC1774" s="36"/>
    </row>
    <row r="1775" ht="15.75" customHeight="1">
      <c r="A1775" s="423">
        <v>43693.0</v>
      </c>
      <c r="B1775" s="424">
        <v>14.3392</v>
      </c>
      <c r="C1775" s="425">
        <v>17.9184</v>
      </c>
      <c r="D1775" s="426">
        <v>21.1136</v>
      </c>
      <c r="E1775" s="425">
        <v>15.2131</v>
      </c>
      <c r="F1775" s="425">
        <v>16.9477</v>
      </c>
      <c r="G1775" s="425">
        <v>14.4704</v>
      </c>
      <c r="H1775" s="426">
        <v>26.2109</v>
      </c>
      <c r="I1775" s="426">
        <v>22.1675</v>
      </c>
      <c r="J1775" s="425">
        <v>20.618</v>
      </c>
      <c r="K1775" s="182">
        <v>11047.8</v>
      </c>
      <c r="L1775" s="36"/>
      <c r="M1775" s="36"/>
      <c r="N1775" s="36"/>
      <c r="O1775" s="36"/>
      <c r="P1775" s="36"/>
      <c r="Q1775" s="36"/>
      <c r="R1775" s="36"/>
      <c r="S1775" s="36"/>
      <c r="T1775" s="36"/>
      <c r="U1775" s="36"/>
      <c r="V1775" s="36"/>
      <c r="W1775" s="36"/>
      <c r="X1775" s="36"/>
      <c r="Y1775" s="36"/>
      <c r="Z1775" s="36"/>
      <c r="AA1775" s="36"/>
      <c r="AB1775" s="36"/>
      <c r="AC1775" s="36"/>
    </row>
    <row r="1776" ht="15.75" customHeight="1">
      <c r="A1776" s="423">
        <v>43696.0</v>
      </c>
      <c r="B1776" s="424">
        <v>14.3455</v>
      </c>
      <c r="C1776" s="425">
        <v>17.9269</v>
      </c>
      <c r="D1776" s="426">
        <v>21.0948</v>
      </c>
      <c r="E1776" s="425">
        <v>15.2006</v>
      </c>
      <c r="F1776" s="425">
        <v>16.9641</v>
      </c>
      <c r="G1776" s="425">
        <v>14.4725</v>
      </c>
      <c r="H1776" s="426">
        <v>26.2694</v>
      </c>
      <c r="I1776" s="426">
        <v>22.1747</v>
      </c>
      <c r="J1776" s="425">
        <v>20.6063</v>
      </c>
      <c r="K1776" s="182">
        <v>11053.9</v>
      </c>
      <c r="L1776" s="36"/>
      <c r="M1776" s="36"/>
      <c r="N1776" s="36"/>
      <c r="O1776" s="36"/>
      <c r="P1776" s="36"/>
      <c r="Q1776" s="36"/>
      <c r="R1776" s="36"/>
      <c r="S1776" s="36"/>
      <c r="T1776" s="36"/>
      <c r="U1776" s="36"/>
      <c r="V1776" s="36"/>
      <c r="W1776" s="36"/>
      <c r="X1776" s="36"/>
      <c r="Y1776" s="36"/>
      <c r="Z1776" s="36"/>
      <c r="AA1776" s="36"/>
      <c r="AB1776" s="36"/>
      <c r="AC1776" s="36"/>
    </row>
    <row r="1777" ht="15.75" customHeight="1">
      <c r="A1777" s="423">
        <v>43697.0</v>
      </c>
      <c r="B1777" s="424">
        <v>14.3162</v>
      </c>
      <c r="C1777" s="425">
        <v>17.9337</v>
      </c>
      <c r="D1777" s="426">
        <v>21.1115</v>
      </c>
      <c r="E1777" s="425">
        <v>15.2133</v>
      </c>
      <c r="F1777" s="425">
        <v>16.927</v>
      </c>
      <c r="G1777" s="425">
        <v>14.4782</v>
      </c>
      <c r="H1777" s="426">
        <v>26.1382</v>
      </c>
      <c r="I1777" s="426">
        <v>22.1306</v>
      </c>
      <c r="J1777" s="425">
        <v>20.5774</v>
      </c>
      <c r="K1777" s="182">
        <v>11017.0</v>
      </c>
      <c r="L1777" s="36"/>
      <c r="M1777" s="36"/>
      <c r="N1777" s="36"/>
      <c r="O1777" s="36"/>
      <c r="P1777" s="36"/>
      <c r="Q1777" s="36"/>
      <c r="R1777" s="36"/>
      <c r="S1777" s="36"/>
      <c r="T1777" s="36"/>
      <c r="U1777" s="36"/>
      <c r="V1777" s="36"/>
      <c r="W1777" s="36"/>
      <c r="X1777" s="36"/>
      <c r="Y1777" s="36"/>
      <c r="Z1777" s="36"/>
      <c r="AA1777" s="36"/>
      <c r="AB1777" s="36"/>
      <c r="AC1777" s="36"/>
    </row>
    <row r="1778" ht="15.75" customHeight="1">
      <c r="A1778" s="423">
        <v>43698.0</v>
      </c>
      <c r="B1778" s="424">
        <v>14.2225</v>
      </c>
      <c r="C1778" s="425">
        <v>17.9439</v>
      </c>
      <c r="D1778" s="426">
        <v>21.1412</v>
      </c>
      <c r="E1778" s="425">
        <v>15.2336</v>
      </c>
      <c r="F1778" s="425">
        <v>16.8059</v>
      </c>
      <c r="G1778" s="425">
        <v>14.4878</v>
      </c>
      <c r="H1778" s="426">
        <v>25.8611</v>
      </c>
      <c r="I1778" s="426">
        <v>21.9788</v>
      </c>
      <c r="J1778" s="425">
        <v>20.4933</v>
      </c>
      <c r="K1778" s="182">
        <v>10918.7</v>
      </c>
      <c r="L1778" s="36"/>
      <c r="M1778" s="36"/>
      <c r="N1778" s="36"/>
      <c r="O1778" s="36"/>
      <c r="P1778" s="36"/>
      <c r="Q1778" s="36"/>
      <c r="R1778" s="36"/>
      <c r="S1778" s="36"/>
      <c r="T1778" s="36"/>
      <c r="U1778" s="36"/>
      <c r="V1778" s="36"/>
      <c r="W1778" s="36"/>
      <c r="X1778" s="36"/>
      <c r="Y1778" s="36"/>
      <c r="Z1778" s="36"/>
      <c r="AA1778" s="36"/>
      <c r="AB1778" s="36"/>
      <c r="AC1778" s="36"/>
    </row>
    <row r="1779" ht="15.75" customHeight="1">
      <c r="A1779" s="423">
        <v>43699.0</v>
      </c>
      <c r="B1779" s="424">
        <v>14.0314</v>
      </c>
      <c r="C1779" s="425">
        <v>17.9529</v>
      </c>
      <c r="D1779" s="426">
        <v>21.1827</v>
      </c>
      <c r="E1779" s="425">
        <v>15.2612</v>
      </c>
      <c r="F1779" s="425">
        <v>16.5791</v>
      </c>
      <c r="G1779" s="425">
        <v>14.5054</v>
      </c>
      <c r="H1779" s="426">
        <v>25.538</v>
      </c>
      <c r="I1779" s="426">
        <v>21.6828</v>
      </c>
      <c r="J1779" s="425">
        <v>20.3043</v>
      </c>
      <c r="K1779" s="182">
        <v>10741.35</v>
      </c>
      <c r="L1779" s="36"/>
      <c r="M1779" s="36"/>
      <c r="N1779" s="36"/>
      <c r="O1779" s="36"/>
      <c r="P1779" s="36"/>
      <c r="Q1779" s="36"/>
      <c r="R1779" s="36"/>
      <c r="S1779" s="36"/>
      <c r="T1779" s="36"/>
      <c r="U1779" s="36"/>
      <c r="V1779" s="36"/>
      <c r="W1779" s="36"/>
      <c r="X1779" s="36"/>
      <c r="Y1779" s="36"/>
      <c r="Z1779" s="36"/>
      <c r="AA1779" s="36"/>
      <c r="AB1779" s="36"/>
      <c r="AC1779" s="36"/>
    </row>
    <row r="1780" ht="15.75" customHeight="1">
      <c r="A1780" s="423">
        <v>43700.0</v>
      </c>
      <c r="B1780" s="424">
        <v>14.11</v>
      </c>
      <c r="C1780" s="425">
        <v>17.9649</v>
      </c>
      <c r="D1780" s="426">
        <v>21.1828</v>
      </c>
      <c r="E1780" s="425">
        <v>15.262</v>
      </c>
      <c r="F1780" s="425">
        <v>16.6606</v>
      </c>
      <c r="G1780" s="425">
        <v>14.5127</v>
      </c>
      <c r="H1780" s="426">
        <v>25.7948</v>
      </c>
      <c r="I1780" s="426">
        <v>21.7938</v>
      </c>
      <c r="J1780" s="425">
        <v>20.383</v>
      </c>
      <c r="K1780" s="182">
        <v>10829.35</v>
      </c>
      <c r="L1780" s="36"/>
      <c r="M1780" s="36"/>
      <c r="N1780" s="36"/>
      <c r="O1780" s="36"/>
      <c r="P1780" s="36"/>
      <c r="Q1780" s="36"/>
      <c r="R1780" s="36"/>
      <c r="S1780" s="36"/>
      <c r="T1780" s="36"/>
      <c r="U1780" s="36"/>
      <c r="V1780" s="36"/>
      <c r="W1780" s="36"/>
      <c r="X1780" s="36"/>
      <c r="Y1780" s="36"/>
      <c r="Z1780" s="36"/>
      <c r="AA1780" s="36"/>
      <c r="AB1780" s="36"/>
      <c r="AC1780" s="36"/>
    </row>
    <row r="1781" ht="15.75" customHeight="1">
      <c r="A1781" s="423">
        <v>43703.0</v>
      </c>
      <c r="B1781" s="424">
        <v>14.3655</v>
      </c>
      <c r="C1781" s="425">
        <v>17.9771</v>
      </c>
      <c r="D1781" s="426">
        <v>21.254</v>
      </c>
      <c r="E1781" s="425">
        <v>15.3131</v>
      </c>
      <c r="F1781" s="425">
        <v>16.9637</v>
      </c>
      <c r="G1781" s="425">
        <v>14.5286</v>
      </c>
      <c r="H1781" s="426">
        <v>26.1343</v>
      </c>
      <c r="I1781" s="426">
        <v>22.1914</v>
      </c>
      <c r="J1781" s="425">
        <v>20.6732</v>
      </c>
      <c r="K1781" s="182">
        <v>11057.85</v>
      </c>
      <c r="L1781" s="36"/>
      <c r="M1781" s="36"/>
      <c r="N1781" s="36"/>
      <c r="O1781" s="36"/>
      <c r="P1781" s="36"/>
      <c r="Q1781" s="36"/>
      <c r="R1781" s="36"/>
      <c r="S1781" s="36"/>
      <c r="T1781" s="36"/>
      <c r="U1781" s="36"/>
      <c r="V1781" s="36"/>
      <c r="W1781" s="36"/>
      <c r="X1781" s="36"/>
      <c r="Y1781" s="36"/>
      <c r="Z1781" s="36"/>
      <c r="AA1781" s="36"/>
      <c r="AB1781" s="36"/>
      <c r="AC1781" s="36"/>
    </row>
    <row r="1782" ht="15.75" customHeight="1">
      <c r="A1782" s="423">
        <v>43704.0</v>
      </c>
      <c r="B1782" s="424">
        <v>14.4105</v>
      </c>
      <c r="C1782" s="425">
        <v>17.9821</v>
      </c>
      <c r="D1782" s="426">
        <v>21.2291</v>
      </c>
      <c r="E1782" s="425">
        <v>15.2953</v>
      </c>
      <c r="F1782" s="425">
        <v>17.0255</v>
      </c>
      <c r="G1782" s="425">
        <v>14.5319</v>
      </c>
      <c r="H1782" s="426">
        <v>26.2754</v>
      </c>
      <c r="I1782" s="426">
        <v>22.2866</v>
      </c>
      <c r="J1782" s="425">
        <v>20.7269</v>
      </c>
      <c r="K1782" s="182">
        <v>11105.35</v>
      </c>
      <c r="L1782" s="36"/>
      <c r="M1782" s="36"/>
      <c r="N1782" s="36"/>
      <c r="O1782" s="36"/>
      <c r="P1782" s="36"/>
      <c r="Q1782" s="36"/>
      <c r="R1782" s="36"/>
      <c r="S1782" s="36"/>
      <c r="T1782" s="36"/>
      <c r="U1782" s="36"/>
      <c r="V1782" s="36"/>
      <c r="W1782" s="36"/>
      <c r="X1782" s="36"/>
      <c r="Y1782" s="36"/>
      <c r="Z1782" s="36"/>
      <c r="AA1782" s="36"/>
      <c r="AB1782" s="36"/>
      <c r="AC1782" s="36"/>
    </row>
    <row r="1783" ht="15.75" customHeight="1">
      <c r="A1783" s="423">
        <v>43705.0</v>
      </c>
      <c r="B1783" s="424">
        <v>14.3292</v>
      </c>
      <c r="C1783" s="425">
        <v>17.9848</v>
      </c>
      <c r="D1783" s="426">
        <v>21.2102</v>
      </c>
      <c r="E1783" s="425">
        <v>15.2813</v>
      </c>
      <c r="F1783" s="425">
        <v>16.9213</v>
      </c>
      <c r="G1783" s="425">
        <v>14.5302</v>
      </c>
      <c r="H1783" s="426">
        <v>26.0153</v>
      </c>
      <c r="I1783" s="426">
        <v>22.1497</v>
      </c>
      <c r="J1783" s="425">
        <v>20.6353</v>
      </c>
      <c r="K1783" s="182">
        <v>11046.1</v>
      </c>
      <c r="L1783" s="36"/>
      <c r="M1783" s="36"/>
      <c r="N1783" s="36"/>
      <c r="O1783" s="36"/>
      <c r="P1783" s="36"/>
      <c r="Q1783" s="36"/>
      <c r="R1783" s="36"/>
      <c r="S1783" s="36"/>
      <c r="T1783" s="36"/>
      <c r="U1783" s="36"/>
      <c r="V1783" s="36"/>
      <c r="W1783" s="36"/>
      <c r="X1783" s="36"/>
      <c r="Y1783" s="36"/>
      <c r="Z1783" s="36"/>
      <c r="AA1783" s="36"/>
      <c r="AB1783" s="36"/>
      <c r="AC1783" s="36"/>
    </row>
    <row r="1784" ht="15.75" customHeight="1">
      <c r="A1784" s="423">
        <v>43706.0</v>
      </c>
      <c r="B1784" s="424">
        <v>14.2226</v>
      </c>
      <c r="C1784" s="425">
        <v>17.9883</v>
      </c>
      <c r="D1784" s="426">
        <v>21.1934</v>
      </c>
      <c r="E1784" s="425">
        <v>15.275</v>
      </c>
      <c r="F1784" s="425">
        <v>16.8087</v>
      </c>
      <c r="G1784" s="425">
        <v>14.5289</v>
      </c>
      <c r="H1784" s="426">
        <v>25.898</v>
      </c>
      <c r="I1784" s="426">
        <v>21.9779</v>
      </c>
      <c r="J1784" s="425">
        <v>20.5349</v>
      </c>
      <c r="K1784" s="182">
        <v>10948.3</v>
      </c>
      <c r="L1784" s="36"/>
      <c r="M1784" s="36"/>
      <c r="N1784" s="36"/>
      <c r="O1784" s="36"/>
      <c r="P1784" s="36"/>
      <c r="Q1784" s="36"/>
      <c r="R1784" s="36"/>
      <c r="S1784" s="36"/>
      <c r="T1784" s="36"/>
      <c r="U1784" s="36"/>
      <c r="V1784" s="36"/>
      <c r="W1784" s="36"/>
      <c r="X1784" s="36"/>
      <c r="Y1784" s="36"/>
      <c r="Z1784" s="36"/>
      <c r="AA1784" s="36"/>
      <c r="AB1784" s="36"/>
      <c r="AC1784" s="36"/>
    </row>
    <row r="1785" ht="15.75" customHeight="1">
      <c r="A1785" s="423">
        <v>43707.0</v>
      </c>
      <c r="B1785" s="424">
        <v>14.28</v>
      </c>
      <c r="C1785" s="425">
        <v>17.9883</v>
      </c>
      <c r="D1785" s="426">
        <v>21.1864</v>
      </c>
      <c r="E1785" s="425">
        <v>15.2702</v>
      </c>
      <c r="F1785" s="425">
        <v>16.8896</v>
      </c>
      <c r="G1785" s="425">
        <v>14.5376</v>
      </c>
      <c r="H1785" s="426">
        <v>26.1365</v>
      </c>
      <c r="I1785" s="426">
        <v>22.0824</v>
      </c>
      <c r="J1785" s="425">
        <v>20.5998</v>
      </c>
      <c r="K1785" s="182">
        <v>11023.25</v>
      </c>
      <c r="L1785" s="36"/>
      <c r="M1785" s="36"/>
      <c r="N1785" s="36"/>
      <c r="O1785" s="36"/>
      <c r="P1785" s="36"/>
      <c r="Q1785" s="36"/>
      <c r="R1785" s="36"/>
      <c r="S1785" s="36"/>
      <c r="T1785" s="36"/>
      <c r="U1785" s="36"/>
      <c r="V1785" s="36"/>
      <c r="W1785" s="36"/>
      <c r="X1785" s="36"/>
      <c r="Y1785" s="36"/>
      <c r="Z1785" s="36"/>
      <c r="AA1785" s="36"/>
      <c r="AB1785" s="36"/>
      <c r="AC1785" s="36"/>
    </row>
    <row r="1786" ht="15.75" customHeight="1">
      <c r="A1786" s="423">
        <v>43711.0</v>
      </c>
      <c r="B1786" s="424">
        <v>14.0387</v>
      </c>
      <c r="C1786" s="425">
        <v>18.0039</v>
      </c>
      <c r="D1786" s="426">
        <v>21.248</v>
      </c>
      <c r="E1786" s="425">
        <v>15.3139</v>
      </c>
      <c r="F1786" s="425">
        <v>16.6018</v>
      </c>
      <c r="G1786" s="425">
        <v>14.5566</v>
      </c>
      <c r="H1786" s="426">
        <v>25.7602</v>
      </c>
      <c r="I1786" s="426">
        <v>21.6937</v>
      </c>
      <c r="J1786" s="425">
        <v>20.3766</v>
      </c>
      <c r="K1786" s="182">
        <v>10797.9</v>
      </c>
      <c r="L1786" s="36"/>
      <c r="M1786" s="36"/>
      <c r="N1786" s="36"/>
      <c r="O1786" s="36"/>
      <c r="P1786" s="36"/>
      <c r="Q1786" s="36"/>
      <c r="R1786" s="36"/>
      <c r="S1786" s="36"/>
      <c r="T1786" s="36"/>
      <c r="U1786" s="36"/>
      <c r="V1786" s="36"/>
      <c r="W1786" s="36"/>
      <c r="X1786" s="36"/>
      <c r="Y1786" s="36"/>
      <c r="Z1786" s="36"/>
      <c r="AA1786" s="36"/>
      <c r="AB1786" s="36"/>
      <c r="AC1786" s="36"/>
    </row>
    <row r="1787" ht="15.75" customHeight="1">
      <c r="A1787" s="423">
        <v>43712.0</v>
      </c>
      <c r="B1787" s="424">
        <v>14.1028</v>
      </c>
      <c r="C1787" s="425">
        <v>18.0064</v>
      </c>
      <c r="D1787" s="426">
        <v>21.2461</v>
      </c>
      <c r="E1787" s="425">
        <v>15.3099</v>
      </c>
      <c r="F1787" s="425">
        <v>16.6762</v>
      </c>
      <c r="G1787" s="425">
        <v>14.5605</v>
      </c>
      <c r="H1787" s="426">
        <v>25.8491</v>
      </c>
      <c r="I1787" s="426">
        <v>21.7729</v>
      </c>
      <c r="J1787" s="425">
        <v>20.4452</v>
      </c>
      <c r="K1787" s="182">
        <v>10844.65</v>
      </c>
      <c r="L1787" s="36"/>
      <c r="M1787" s="36"/>
      <c r="N1787" s="36"/>
      <c r="O1787" s="36"/>
      <c r="P1787" s="36"/>
      <c r="Q1787" s="36"/>
      <c r="R1787" s="36"/>
      <c r="S1787" s="36"/>
      <c r="T1787" s="36"/>
      <c r="U1787" s="36"/>
      <c r="V1787" s="36"/>
      <c r="W1787" s="36"/>
      <c r="X1787" s="36"/>
      <c r="Y1787" s="36"/>
      <c r="Z1787" s="36"/>
      <c r="AA1787" s="36"/>
      <c r="AB1787" s="36"/>
      <c r="AC1787" s="36"/>
    </row>
    <row r="1788" ht="15.75" customHeight="1">
      <c r="A1788" s="423">
        <v>43713.0</v>
      </c>
      <c r="B1788" s="424">
        <v>14.1226</v>
      </c>
      <c r="C1788" s="425">
        <v>18.0065</v>
      </c>
      <c r="D1788" s="426">
        <v>21.2324</v>
      </c>
      <c r="E1788" s="425">
        <v>15.3005</v>
      </c>
      <c r="F1788" s="425">
        <v>16.7098</v>
      </c>
      <c r="G1788" s="425">
        <v>14.5595</v>
      </c>
      <c r="H1788" s="426">
        <v>25.9248</v>
      </c>
      <c r="I1788" s="426">
        <v>21.8152</v>
      </c>
      <c r="J1788" s="425">
        <v>20.4635</v>
      </c>
      <c r="K1788" s="182">
        <v>10847.9</v>
      </c>
      <c r="L1788" s="36"/>
      <c r="M1788" s="36"/>
      <c r="N1788" s="36"/>
      <c r="O1788" s="36"/>
      <c r="P1788" s="36"/>
      <c r="Q1788" s="36"/>
      <c r="R1788" s="36"/>
      <c r="S1788" s="36"/>
      <c r="T1788" s="36"/>
      <c r="U1788" s="36"/>
      <c r="V1788" s="36"/>
      <c r="W1788" s="36"/>
      <c r="X1788" s="36"/>
      <c r="Y1788" s="36"/>
      <c r="Z1788" s="36"/>
      <c r="AA1788" s="36"/>
      <c r="AB1788" s="36"/>
      <c r="AC1788" s="36"/>
    </row>
    <row r="1789" ht="15.75" customHeight="1">
      <c r="A1789" s="423">
        <v>43714.0</v>
      </c>
      <c r="B1789" s="424">
        <v>14.245</v>
      </c>
      <c r="C1789" s="425">
        <v>18.0065</v>
      </c>
      <c r="D1789" s="426">
        <v>21.2095</v>
      </c>
      <c r="E1789" s="425">
        <v>15.2836</v>
      </c>
      <c r="F1789" s="425">
        <v>16.8636</v>
      </c>
      <c r="G1789" s="425">
        <v>14.5572</v>
      </c>
      <c r="H1789" s="426">
        <v>26.0943</v>
      </c>
      <c r="I1789" s="426">
        <v>22.0139</v>
      </c>
      <c r="J1789" s="425">
        <v>20.5691</v>
      </c>
      <c r="K1789" s="182">
        <v>10946.2</v>
      </c>
      <c r="L1789" s="36"/>
      <c r="M1789" s="36"/>
      <c r="N1789" s="36"/>
      <c r="O1789" s="36"/>
      <c r="P1789" s="36"/>
      <c r="Q1789" s="36"/>
      <c r="R1789" s="36"/>
      <c r="S1789" s="36"/>
      <c r="T1789" s="36"/>
      <c r="U1789" s="36"/>
      <c r="V1789" s="36"/>
      <c r="W1789" s="36"/>
      <c r="X1789" s="36"/>
      <c r="Y1789" s="36"/>
      <c r="Z1789" s="36"/>
      <c r="AA1789" s="36"/>
      <c r="AB1789" s="36"/>
      <c r="AC1789" s="36"/>
    </row>
    <row r="1790" ht="15.75" customHeight="1">
      <c r="A1790" s="423">
        <v>43717.0</v>
      </c>
      <c r="B1790" s="424">
        <v>14.3073</v>
      </c>
      <c r="C1790" s="425">
        <v>18.0254</v>
      </c>
      <c r="D1790" s="426">
        <v>21.2556</v>
      </c>
      <c r="E1790" s="425">
        <v>15.3166</v>
      </c>
      <c r="F1790" s="425">
        <v>16.9365</v>
      </c>
      <c r="G1790" s="425">
        <v>14.5758</v>
      </c>
      <c r="H1790" s="426">
        <v>26.2861</v>
      </c>
      <c r="I1790" s="426">
        <v>22.1135</v>
      </c>
      <c r="J1790" s="425">
        <v>20.6422</v>
      </c>
      <c r="K1790" s="182">
        <v>11003.05</v>
      </c>
      <c r="L1790" s="36"/>
      <c r="M1790" s="36"/>
      <c r="N1790" s="36"/>
      <c r="O1790" s="36"/>
      <c r="P1790" s="36"/>
      <c r="Q1790" s="36"/>
      <c r="R1790" s="36"/>
      <c r="S1790" s="36"/>
      <c r="T1790" s="36"/>
      <c r="U1790" s="36"/>
      <c r="V1790" s="36"/>
      <c r="W1790" s="36"/>
      <c r="X1790" s="36"/>
      <c r="Y1790" s="36"/>
      <c r="Z1790" s="36"/>
      <c r="AA1790" s="36"/>
      <c r="AB1790" s="36"/>
      <c r="AC1790" s="36"/>
    </row>
    <row r="1791" ht="15.75" customHeight="1">
      <c r="A1791" s="423">
        <v>43719.0</v>
      </c>
      <c r="B1791" s="424">
        <v>14.339</v>
      </c>
      <c r="C1791" s="425">
        <v>18.0249</v>
      </c>
      <c r="D1791" s="426">
        <v>21.181</v>
      </c>
      <c r="E1791" s="425">
        <v>15.2618</v>
      </c>
      <c r="F1791" s="425">
        <v>16.9876</v>
      </c>
      <c r="G1791" s="425">
        <v>14.5718</v>
      </c>
      <c r="H1791" s="426">
        <v>26.4802</v>
      </c>
      <c r="I1791" s="426">
        <v>22.1891</v>
      </c>
      <c r="J1791" s="425">
        <v>20.6589</v>
      </c>
      <c r="K1791" s="182">
        <v>11035.7</v>
      </c>
      <c r="L1791" s="36"/>
      <c r="M1791" s="36"/>
      <c r="N1791" s="36"/>
      <c r="O1791" s="36"/>
      <c r="P1791" s="36"/>
      <c r="Q1791" s="36"/>
      <c r="R1791" s="36"/>
      <c r="S1791" s="36"/>
      <c r="T1791" s="36"/>
      <c r="U1791" s="36"/>
      <c r="V1791" s="36"/>
      <c r="W1791" s="36"/>
      <c r="X1791" s="36"/>
      <c r="Y1791" s="36"/>
      <c r="Z1791" s="36"/>
      <c r="AA1791" s="36"/>
      <c r="AB1791" s="36"/>
      <c r="AC1791" s="36"/>
    </row>
    <row r="1792" ht="15.75" customHeight="1">
      <c r="A1792" s="423">
        <v>43720.0</v>
      </c>
      <c r="B1792" s="424">
        <v>14.2713</v>
      </c>
      <c r="C1792" s="425">
        <v>18.0181</v>
      </c>
      <c r="D1792" s="426">
        <v>21.1526</v>
      </c>
      <c r="E1792" s="425">
        <v>15.2454</v>
      </c>
      <c r="F1792" s="425">
        <v>16.9236</v>
      </c>
      <c r="G1792" s="425">
        <v>14.5601</v>
      </c>
      <c r="H1792" s="426">
        <v>26.4221</v>
      </c>
      <c r="I1792" s="426">
        <v>22.1038</v>
      </c>
      <c r="J1792" s="425">
        <v>20.598</v>
      </c>
      <c r="K1792" s="182">
        <v>10982.8</v>
      </c>
      <c r="L1792" s="36"/>
      <c r="M1792" s="36"/>
      <c r="N1792" s="36"/>
      <c r="O1792" s="36"/>
      <c r="P1792" s="36"/>
      <c r="Q1792" s="36"/>
      <c r="R1792" s="36"/>
      <c r="S1792" s="36"/>
      <c r="T1792" s="36"/>
      <c r="U1792" s="36"/>
      <c r="V1792" s="36"/>
      <c r="W1792" s="36"/>
      <c r="X1792" s="36"/>
      <c r="Y1792" s="36"/>
      <c r="Z1792" s="36"/>
      <c r="AA1792" s="36"/>
      <c r="AB1792" s="36"/>
      <c r="AC1792" s="36"/>
    </row>
    <row r="1793" ht="15.75" customHeight="1">
      <c r="A1793" s="423">
        <v>43721.0</v>
      </c>
      <c r="B1793" s="424">
        <v>14.3831</v>
      </c>
      <c r="C1793" s="425">
        <v>18.0212</v>
      </c>
      <c r="D1793" s="426">
        <v>21.1609</v>
      </c>
      <c r="E1793" s="425">
        <v>15.2522</v>
      </c>
      <c r="F1793" s="425">
        <v>17.0611</v>
      </c>
      <c r="G1793" s="425">
        <v>14.5613</v>
      </c>
      <c r="H1793" s="426">
        <v>26.5669</v>
      </c>
      <c r="I1793" s="426">
        <v>22.2831</v>
      </c>
      <c r="J1793" s="425">
        <v>20.7168</v>
      </c>
      <c r="K1793" s="182">
        <v>11075.9</v>
      </c>
      <c r="L1793" s="36"/>
      <c r="M1793" s="36"/>
      <c r="N1793" s="36"/>
      <c r="O1793" s="36"/>
      <c r="P1793" s="36"/>
      <c r="Q1793" s="36"/>
      <c r="R1793" s="36"/>
      <c r="S1793" s="36"/>
      <c r="T1793" s="36"/>
      <c r="U1793" s="36"/>
      <c r="V1793" s="36"/>
      <c r="W1793" s="36"/>
      <c r="X1793" s="36"/>
      <c r="Y1793" s="36"/>
      <c r="Z1793" s="36"/>
      <c r="AA1793" s="36"/>
      <c r="AB1793" s="36"/>
      <c r="AC1793" s="36"/>
    </row>
    <row r="1794" ht="15.75" customHeight="1">
      <c r="A1794" s="423">
        <v>43724.0</v>
      </c>
      <c r="B1794" s="424">
        <v>14.3157</v>
      </c>
      <c r="C1794" s="425">
        <v>18.0281</v>
      </c>
      <c r="D1794" s="426">
        <v>21.139</v>
      </c>
      <c r="E1794" s="425">
        <v>15.2342</v>
      </c>
      <c r="F1794" s="425">
        <v>16.9889</v>
      </c>
      <c r="G1794" s="425">
        <v>14.5621</v>
      </c>
      <c r="H1794" s="426">
        <v>26.5223</v>
      </c>
      <c r="I1794" s="426">
        <v>22.1771</v>
      </c>
      <c r="J1794" s="425">
        <v>20.6397</v>
      </c>
      <c r="K1794" s="182">
        <v>11003.5</v>
      </c>
      <c r="L1794" s="36"/>
      <c r="M1794" s="36"/>
      <c r="N1794" s="36"/>
      <c r="O1794" s="36"/>
      <c r="P1794" s="36"/>
      <c r="Q1794" s="36"/>
      <c r="R1794" s="36"/>
      <c r="S1794" s="36"/>
      <c r="T1794" s="36"/>
      <c r="U1794" s="36"/>
      <c r="V1794" s="36"/>
      <c r="W1794" s="36"/>
      <c r="X1794" s="36"/>
      <c r="Y1794" s="36"/>
      <c r="Z1794" s="36"/>
      <c r="AA1794" s="36"/>
      <c r="AB1794" s="36"/>
      <c r="AC1794" s="36"/>
    </row>
    <row r="1795" ht="15.75" customHeight="1">
      <c r="A1795" s="423">
        <v>43725.0</v>
      </c>
      <c r="B1795" s="424">
        <v>14.1101</v>
      </c>
      <c r="C1795" s="425">
        <v>18.0238</v>
      </c>
      <c r="D1795" s="426">
        <v>21.1183</v>
      </c>
      <c r="E1795" s="425">
        <v>15.2195</v>
      </c>
      <c r="F1795" s="425">
        <v>16.7242</v>
      </c>
      <c r="G1795" s="425">
        <v>14.5583</v>
      </c>
      <c r="H1795" s="426">
        <v>26.1283</v>
      </c>
      <c r="I1795" s="426">
        <v>21.8346</v>
      </c>
      <c r="J1795" s="425">
        <v>20.4097</v>
      </c>
      <c r="K1795" s="182">
        <v>10817.6</v>
      </c>
      <c r="L1795" s="36"/>
      <c r="M1795" s="36"/>
      <c r="N1795" s="36"/>
      <c r="O1795" s="36"/>
      <c r="P1795" s="36"/>
      <c r="Q1795" s="36"/>
      <c r="R1795" s="36"/>
      <c r="S1795" s="36"/>
      <c r="T1795" s="36"/>
      <c r="U1795" s="36"/>
      <c r="V1795" s="36"/>
      <c r="W1795" s="36"/>
      <c r="X1795" s="36"/>
      <c r="Y1795" s="36"/>
      <c r="Z1795" s="36"/>
      <c r="AA1795" s="36"/>
      <c r="AB1795" s="36"/>
      <c r="AC1795" s="36"/>
    </row>
    <row r="1796" ht="15.75" customHeight="1">
      <c r="A1796" s="423">
        <v>43726.0</v>
      </c>
      <c r="B1796" s="424">
        <v>14.1398</v>
      </c>
      <c r="C1796" s="425">
        <v>18.0328</v>
      </c>
      <c r="D1796" s="426">
        <v>21.1939</v>
      </c>
      <c r="E1796" s="425">
        <v>15.2755</v>
      </c>
      <c r="F1796" s="425">
        <v>16.7602</v>
      </c>
      <c r="G1796" s="425">
        <v>14.5723</v>
      </c>
      <c r="H1796" s="426">
        <v>26.2062</v>
      </c>
      <c r="I1796" s="426">
        <v>21.8728</v>
      </c>
      <c r="J1796" s="425">
        <v>20.4643</v>
      </c>
      <c r="K1796" s="182">
        <v>10840.65</v>
      </c>
      <c r="L1796" s="36"/>
      <c r="M1796" s="36"/>
      <c r="N1796" s="36"/>
      <c r="O1796" s="36"/>
      <c r="P1796" s="36"/>
      <c r="Q1796" s="36"/>
      <c r="R1796" s="36"/>
      <c r="S1796" s="36"/>
      <c r="T1796" s="36"/>
      <c r="U1796" s="36"/>
      <c r="V1796" s="36"/>
      <c r="W1796" s="36"/>
      <c r="X1796" s="36"/>
      <c r="Y1796" s="36"/>
      <c r="Z1796" s="36"/>
      <c r="AA1796" s="36"/>
      <c r="AB1796" s="36"/>
      <c r="AC1796" s="36"/>
    </row>
    <row r="1797" ht="15.75" customHeight="1">
      <c r="A1797" s="423">
        <v>43727.0</v>
      </c>
      <c r="B1797" s="424">
        <v>13.9799</v>
      </c>
      <c r="C1797" s="425">
        <v>18.0327</v>
      </c>
      <c r="D1797" s="426">
        <v>21.1853</v>
      </c>
      <c r="E1797" s="425">
        <v>15.2669</v>
      </c>
      <c r="F1797" s="425">
        <v>16.5661</v>
      </c>
      <c r="G1797" s="425">
        <v>14.5763</v>
      </c>
      <c r="H1797" s="426">
        <v>25.9052</v>
      </c>
      <c r="I1797" s="426">
        <v>21.6085</v>
      </c>
      <c r="J1797" s="425">
        <v>20.3023</v>
      </c>
      <c r="K1797" s="182">
        <v>10704.8</v>
      </c>
      <c r="L1797" s="36"/>
      <c r="M1797" s="36"/>
      <c r="N1797" s="36"/>
      <c r="O1797" s="36"/>
      <c r="P1797" s="36"/>
      <c r="Q1797" s="36"/>
      <c r="R1797" s="36"/>
      <c r="S1797" s="36"/>
      <c r="T1797" s="36"/>
      <c r="U1797" s="36"/>
      <c r="V1797" s="36"/>
      <c r="W1797" s="36"/>
      <c r="X1797" s="36"/>
      <c r="Y1797" s="36"/>
      <c r="Z1797" s="36"/>
      <c r="AA1797" s="36"/>
      <c r="AB1797" s="36"/>
      <c r="AC1797" s="36"/>
    </row>
    <row r="1798" ht="15.75" customHeight="1">
      <c r="A1798" s="423">
        <v>43728.0</v>
      </c>
      <c r="B1798" s="424">
        <v>14.6711</v>
      </c>
      <c r="C1798" s="425">
        <v>18.0154</v>
      </c>
      <c r="D1798" s="426">
        <v>21.0434</v>
      </c>
      <c r="E1798" s="425">
        <v>15.1698</v>
      </c>
      <c r="F1798" s="425">
        <v>17.4349</v>
      </c>
      <c r="G1798" s="425">
        <v>14.535</v>
      </c>
      <c r="H1798" s="426">
        <v>27.2797</v>
      </c>
      <c r="I1798" s="426">
        <v>22.7846</v>
      </c>
      <c r="J1798" s="425">
        <v>21.004</v>
      </c>
      <c r="K1798" s="182">
        <v>11274.2</v>
      </c>
      <c r="L1798" s="36"/>
      <c r="M1798" s="36"/>
      <c r="N1798" s="36"/>
      <c r="O1798" s="36"/>
      <c r="P1798" s="36"/>
      <c r="Q1798" s="36"/>
      <c r="R1798" s="36"/>
      <c r="S1798" s="36"/>
      <c r="T1798" s="36"/>
      <c r="U1798" s="36"/>
      <c r="V1798" s="36"/>
      <c r="W1798" s="36"/>
      <c r="X1798" s="36"/>
      <c r="Y1798" s="36"/>
      <c r="Z1798" s="36"/>
      <c r="AA1798" s="36"/>
      <c r="AB1798" s="36"/>
      <c r="AC1798" s="36"/>
    </row>
    <row r="1799" ht="15.75" customHeight="1">
      <c r="A1799" s="423">
        <v>43731.0</v>
      </c>
      <c r="B1799" s="424">
        <v>15.0342</v>
      </c>
      <c r="C1799" s="425">
        <v>18.0234</v>
      </c>
      <c r="D1799" s="426">
        <v>21.0756</v>
      </c>
      <c r="E1799" s="425">
        <v>15.1931</v>
      </c>
      <c r="F1799" s="425">
        <v>17.8945</v>
      </c>
      <c r="G1799" s="425">
        <v>14.544</v>
      </c>
      <c r="H1799" s="426">
        <v>27.9611</v>
      </c>
      <c r="I1799" s="426">
        <v>23.4298</v>
      </c>
      <c r="J1799" s="425">
        <v>21.4123</v>
      </c>
      <c r="K1799" s="182">
        <v>11600.2</v>
      </c>
      <c r="L1799" s="36"/>
      <c r="M1799" s="36"/>
      <c r="N1799" s="36"/>
      <c r="O1799" s="36"/>
      <c r="P1799" s="36"/>
      <c r="Q1799" s="36"/>
      <c r="R1799" s="36"/>
      <c r="S1799" s="36"/>
      <c r="T1799" s="36"/>
      <c r="U1799" s="36"/>
      <c r="V1799" s="36"/>
      <c r="W1799" s="36"/>
      <c r="X1799" s="36"/>
      <c r="Y1799" s="36"/>
      <c r="Z1799" s="36"/>
      <c r="AA1799" s="36"/>
      <c r="AB1799" s="36"/>
      <c r="AC1799" s="36"/>
    </row>
    <row r="1800" ht="15.75" customHeight="1">
      <c r="A1800" s="423">
        <v>43732.0</v>
      </c>
      <c r="B1800" s="424">
        <v>15.0298</v>
      </c>
      <c r="C1800" s="425">
        <v>18.0264</v>
      </c>
      <c r="D1800" s="426">
        <v>21.0422</v>
      </c>
      <c r="E1800" s="425">
        <v>15.1732</v>
      </c>
      <c r="F1800" s="425">
        <v>17.8709</v>
      </c>
      <c r="G1800" s="425">
        <v>14.5449</v>
      </c>
      <c r="H1800" s="426">
        <v>27.8347</v>
      </c>
      <c r="I1800" s="426">
        <v>23.4078</v>
      </c>
      <c r="J1800" s="425">
        <v>21.4042</v>
      </c>
      <c r="K1800" s="182">
        <v>11588.2</v>
      </c>
      <c r="L1800" s="36"/>
      <c r="M1800" s="36"/>
      <c r="N1800" s="36"/>
      <c r="O1800" s="36"/>
      <c r="P1800" s="36"/>
      <c r="Q1800" s="36"/>
      <c r="R1800" s="36"/>
      <c r="S1800" s="36"/>
      <c r="T1800" s="36"/>
      <c r="U1800" s="36"/>
      <c r="V1800" s="36"/>
      <c r="W1800" s="36"/>
      <c r="X1800" s="36"/>
      <c r="Y1800" s="36"/>
      <c r="Z1800" s="36"/>
      <c r="AA1800" s="36"/>
      <c r="AB1800" s="36"/>
      <c r="AC1800" s="36"/>
    </row>
    <row r="1801" ht="15.75" customHeight="1">
      <c r="A1801" s="423">
        <v>43733.0</v>
      </c>
      <c r="B1801" s="424">
        <v>14.8672</v>
      </c>
      <c r="C1801" s="425">
        <v>18.0284</v>
      </c>
      <c r="D1801" s="426">
        <v>21.0479</v>
      </c>
      <c r="E1801" s="425">
        <v>15.1787</v>
      </c>
      <c r="F1801" s="425">
        <v>17.6703</v>
      </c>
      <c r="G1801" s="425">
        <v>14.5437</v>
      </c>
      <c r="H1801" s="426">
        <v>27.4176</v>
      </c>
      <c r="I1801" s="426">
        <v>23.129</v>
      </c>
      <c r="J1801" s="425">
        <v>21.2311</v>
      </c>
      <c r="K1801" s="182">
        <v>11440.2</v>
      </c>
      <c r="L1801" s="36"/>
      <c r="M1801" s="36"/>
      <c r="N1801" s="36"/>
      <c r="O1801" s="36"/>
      <c r="P1801" s="36"/>
      <c r="Q1801" s="36"/>
      <c r="R1801" s="36"/>
      <c r="S1801" s="36"/>
      <c r="T1801" s="36"/>
      <c r="U1801" s="36"/>
      <c r="V1801" s="36"/>
      <c r="W1801" s="36"/>
      <c r="X1801" s="36"/>
      <c r="Y1801" s="36"/>
      <c r="Z1801" s="36"/>
      <c r="AA1801" s="36"/>
      <c r="AB1801" s="36"/>
      <c r="AC1801" s="36"/>
    </row>
    <row r="1802" ht="15.75" customHeight="1">
      <c r="A1802" s="423">
        <v>43734.0</v>
      </c>
      <c r="B1802" s="424">
        <v>15.044</v>
      </c>
      <c r="C1802" s="425">
        <v>18.0231</v>
      </c>
      <c r="D1802" s="426">
        <v>21.0636</v>
      </c>
      <c r="E1802" s="425">
        <v>15.1907</v>
      </c>
      <c r="F1802" s="425">
        <v>17.8766</v>
      </c>
      <c r="G1802" s="425">
        <v>14.5358</v>
      </c>
      <c r="H1802" s="426">
        <v>27.6295</v>
      </c>
      <c r="I1802" s="426">
        <v>23.4019</v>
      </c>
      <c r="J1802" s="425">
        <v>21.4161</v>
      </c>
      <c r="K1802" s="182">
        <v>11571.2</v>
      </c>
      <c r="L1802" s="36"/>
      <c r="M1802" s="36"/>
      <c r="N1802" s="36"/>
      <c r="O1802" s="36"/>
      <c r="P1802" s="36"/>
      <c r="Q1802" s="36"/>
      <c r="R1802" s="36"/>
      <c r="S1802" s="36"/>
      <c r="T1802" s="36"/>
      <c r="U1802" s="36"/>
      <c r="V1802" s="36"/>
      <c r="W1802" s="36"/>
      <c r="X1802" s="36"/>
      <c r="Y1802" s="36"/>
      <c r="Z1802" s="36"/>
      <c r="AA1802" s="36"/>
      <c r="AB1802" s="36"/>
      <c r="AC1802" s="36"/>
    </row>
    <row r="1803" ht="15.75" customHeight="1">
      <c r="A1803" s="423">
        <v>43735.0</v>
      </c>
      <c r="B1803" s="424">
        <v>15.0005</v>
      </c>
      <c r="C1803" s="425">
        <v>18.0268</v>
      </c>
      <c r="D1803" s="426">
        <v>21.0739</v>
      </c>
      <c r="E1803" s="425">
        <v>15.1943</v>
      </c>
      <c r="F1803" s="425">
        <v>17.8243</v>
      </c>
      <c r="G1803" s="425">
        <v>14.5413</v>
      </c>
      <c r="H1803" s="426">
        <v>27.4817</v>
      </c>
      <c r="I1803" s="426">
        <v>23.3337</v>
      </c>
      <c r="J1803" s="425">
        <v>21.3706</v>
      </c>
      <c r="K1803" s="182">
        <v>11512.4</v>
      </c>
      <c r="L1803" s="36"/>
      <c r="M1803" s="36"/>
      <c r="N1803" s="36"/>
      <c r="O1803" s="36"/>
      <c r="P1803" s="36"/>
      <c r="Q1803" s="36"/>
      <c r="R1803" s="36"/>
      <c r="S1803" s="36"/>
      <c r="T1803" s="36"/>
      <c r="U1803" s="36"/>
      <c r="V1803" s="36"/>
      <c r="W1803" s="36"/>
      <c r="X1803" s="36"/>
      <c r="Y1803" s="36"/>
      <c r="Z1803" s="36"/>
      <c r="AA1803" s="36"/>
      <c r="AB1803" s="36"/>
      <c r="AC1803" s="36"/>
    </row>
    <row r="1804" ht="15.75" customHeight="1">
      <c r="A1804" s="423">
        <v>43738.0</v>
      </c>
      <c r="B1804" s="424">
        <v>14.9915</v>
      </c>
      <c r="C1804" s="425">
        <v>18.0409</v>
      </c>
      <c r="D1804" s="426">
        <v>21.1138</v>
      </c>
      <c r="E1804" s="425">
        <v>15.2238</v>
      </c>
      <c r="F1804" s="425">
        <v>17.7808</v>
      </c>
      <c r="G1804" s="425">
        <v>14.5602</v>
      </c>
      <c r="H1804" s="426">
        <v>27.2663</v>
      </c>
      <c r="I1804" s="426">
        <v>23.2697</v>
      </c>
      <c r="J1804" s="425">
        <v>21.3477</v>
      </c>
      <c r="K1804" s="182">
        <v>11474.45</v>
      </c>
      <c r="L1804" s="36"/>
      <c r="M1804" s="36"/>
      <c r="N1804" s="36"/>
      <c r="O1804" s="36"/>
      <c r="P1804" s="36"/>
      <c r="Q1804" s="36"/>
      <c r="R1804" s="36"/>
      <c r="S1804" s="36"/>
      <c r="T1804" s="36"/>
      <c r="U1804" s="36"/>
      <c r="V1804" s="36"/>
      <c r="W1804" s="36"/>
      <c r="X1804" s="36"/>
      <c r="Y1804" s="36"/>
      <c r="Z1804" s="36"/>
      <c r="AA1804" s="36"/>
      <c r="AB1804" s="36"/>
      <c r="AC1804" s="36"/>
    </row>
    <row r="1805" ht="15.75" customHeight="1">
      <c r="A1805" s="423">
        <v>43739.0</v>
      </c>
      <c r="B1805" s="424">
        <v>14.8303</v>
      </c>
      <c r="C1805" s="425">
        <v>18.0548</v>
      </c>
      <c r="D1805" s="426">
        <v>21.1598</v>
      </c>
      <c r="E1805" s="425">
        <v>15.2594</v>
      </c>
      <c r="F1805" s="425">
        <v>17.6</v>
      </c>
      <c r="G1805" s="425">
        <v>14.5769</v>
      </c>
      <c r="H1805" s="426">
        <v>26.8553</v>
      </c>
      <c r="I1805" s="426">
        <v>23.0354</v>
      </c>
      <c r="J1805" s="425">
        <v>21.2138</v>
      </c>
      <c r="K1805" s="182">
        <v>11359.9</v>
      </c>
      <c r="L1805" s="36"/>
      <c r="M1805" s="36"/>
      <c r="N1805" s="36"/>
      <c r="O1805" s="36"/>
      <c r="P1805" s="36"/>
      <c r="Q1805" s="36"/>
      <c r="R1805" s="36"/>
      <c r="S1805" s="36"/>
      <c r="T1805" s="36"/>
      <c r="U1805" s="36"/>
      <c r="V1805" s="36"/>
      <c r="W1805" s="36"/>
      <c r="X1805" s="36"/>
      <c r="Y1805" s="36"/>
      <c r="Z1805" s="36"/>
      <c r="AA1805" s="36"/>
      <c r="AB1805" s="36"/>
      <c r="AC1805" s="36"/>
    </row>
    <row r="1806" ht="15.75" customHeight="1">
      <c r="A1806" s="423">
        <v>43741.0</v>
      </c>
      <c r="B1806" s="424">
        <v>14.7787</v>
      </c>
      <c r="C1806" s="425">
        <v>18.072</v>
      </c>
      <c r="D1806" s="426">
        <v>21.2144</v>
      </c>
      <c r="E1806" s="425">
        <v>15.3002</v>
      </c>
      <c r="F1806" s="425">
        <v>17.5374</v>
      </c>
      <c r="G1806" s="425">
        <v>14.5987</v>
      </c>
      <c r="H1806" s="426">
        <v>26.8042</v>
      </c>
      <c r="I1806" s="426">
        <v>22.9417</v>
      </c>
      <c r="J1806" s="425">
        <v>21.1686</v>
      </c>
      <c r="K1806" s="182">
        <v>11314.0</v>
      </c>
      <c r="L1806" s="36"/>
      <c r="M1806" s="36"/>
      <c r="N1806" s="36"/>
      <c r="O1806" s="36"/>
      <c r="P1806" s="36"/>
      <c r="Q1806" s="36"/>
      <c r="R1806" s="36"/>
      <c r="S1806" s="36"/>
      <c r="T1806" s="36"/>
      <c r="U1806" s="36"/>
      <c r="V1806" s="36"/>
      <c r="W1806" s="36"/>
      <c r="X1806" s="36"/>
      <c r="Y1806" s="36"/>
      <c r="Z1806" s="36"/>
      <c r="AA1806" s="36"/>
      <c r="AB1806" s="36"/>
      <c r="AC1806" s="36"/>
    </row>
    <row r="1807" ht="15.75" customHeight="1">
      <c r="A1807" s="423">
        <v>43742.0</v>
      </c>
      <c r="B1807" s="424">
        <v>14.5899</v>
      </c>
      <c r="C1807" s="425">
        <v>18.0725</v>
      </c>
      <c r="D1807" s="426">
        <v>21.163</v>
      </c>
      <c r="E1807" s="425">
        <v>15.2626</v>
      </c>
      <c r="F1807" s="425">
        <v>17.3103</v>
      </c>
      <c r="G1807" s="425">
        <v>14.5911</v>
      </c>
      <c r="H1807" s="426">
        <v>26.6151</v>
      </c>
      <c r="I1807" s="426">
        <v>22.6337</v>
      </c>
      <c r="J1807" s="425">
        <v>20.9433</v>
      </c>
      <c r="K1807" s="182">
        <v>11174.75</v>
      </c>
      <c r="L1807" s="36"/>
      <c r="M1807" s="36"/>
      <c r="N1807" s="36"/>
      <c r="O1807" s="36"/>
      <c r="P1807" s="36"/>
      <c r="Q1807" s="36"/>
      <c r="R1807" s="36"/>
      <c r="S1807" s="36"/>
      <c r="T1807" s="36"/>
      <c r="U1807" s="36"/>
      <c r="V1807" s="36"/>
      <c r="W1807" s="36"/>
      <c r="X1807" s="36"/>
      <c r="Y1807" s="36"/>
      <c r="Z1807" s="36"/>
      <c r="AA1807" s="36"/>
      <c r="AB1807" s="36"/>
      <c r="AC1807" s="36"/>
    </row>
    <row r="1808" ht="15.75" customHeight="1">
      <c r="A1808" s="423">
        <v>43745.0</v>
      </c>
      <c r="B1808" s="424">
        <v>14.5371</v>
      </c>
      <c r="C1808" s="425">
        <v>18.0926</v>
      </c>
      <c r="D1808" s="426">
        <v>21.1614</v>
      </c>
      <c r="E1808" s="425">
        <v>15.2628</v>
      </c>
      <c r="F1808" s="425">
        <v>17.2468</v>
      </c>
      <c r="G1808" s="425">
        <v>14.603</v>
      </c>
      <c r="H1808" s="426">
        <v>26.5557</v>
      </c>
      <c r="I1808" s="426">
        <v>22.5361</v>
      </c>
      <c r="J1808" s="425">
        <v>20.889</v>
      </c>
      <c r="K1808" s="182">
        <v>11126.4</v>
      </c>
      <c r="L1808" s="36"/>
      <c r="M1808" s="36"/>
      <c r="N1808" s="36"/>
      <c r="O1808" s="36"/>
      <c r="P1808" s="36"/>
      <c r="Q1808" s="36"/>
      <c r="R1808" s="36"/>
      <c r="S1808" s="36"/>
      <c r="T1808" s="36"/>
      <c r="U1808" s="36"/>
      <c r="V1808" s="36"/>
      <c r="W1808" s="36"/>
      <c r="X1808" s="36"/>
      <c r="Y1808" s="36"/>
      <c r="Z1808" s="36"/>
      <c r="AA1808" s="36"/>
      <c r="AB1808" s="36"/>
      <c r="AC1808" s="36"/>
    </row>
    <row r="1809" ht="15.75" customHeight="1">
      <c r="A1809" s="423">
        <v>43747.0</v>
      </c>
      <c r="B1809" s="424">
        <v>14.7584</v>
      </c>
      <c r="C1809" s="425">
        <v>18.0975</v>
      </c>
      <c r="D1809" s="426">
        <v>21.185</v>
      </c>
      <c r="E1809" s="425">
        <v>15.277</v>
      </c>
      <c r="F1809" s="425">
        <v>17.5095</v>
      </c>
      <c r="G1809" s="425">
        <v>14.6088</v>
      </c>
      <c r="H1809" s="426">
        <v>26.8097</v>
      </c>
      <c r="I1809" s="426">
        <v>22.9015</v>
      </c>
      <c r="J1809" s="425">
        <v>21.1401</v>
      </c>
      <c r="K1809" s="182">
        <v>11313.3</v>
      </c>
      <c r="L1809" s="36"/>
      <c r="M1809" s="36"/>
      <c r="N1809" s="36"/>
      <c r="O1809" s="36"/>
      <c r="P1809" s="36"/>
      <c r="Q1809" s="36"/>
      <c r="R1809" s="36"/>
      <c r="S1809" s="36"/>
      <c r="T1809" s="36"/>
      <c r="U1809" s="36"/>
      <c r="V1809" s="36"/>
      <c r="W1809" s="36"/>
      <c r="X1809" s="36"/>
      <c r="Y1809" s="36"/>
      <c r="Z1809" s="36"/>
      <c r="AA1809" s="36"/>
      <c r="AB1809" s="36"/>
      <c r="AC1809" s="36"/>
    </row>
    <row r="1810" ht="15.75" customHeight="1">
      <c r="A1810" s="423">
        <v>43748.0</v>
      </c>
      <c r="B1810" s="424">
        <v>14.6645</v>
      </c>
      <c r="C1810" s="425">
        <v>18.1011</v>
      </c>
      <c r="D1810" s="426">
        <v>21.1756</v>
      </c>
      <c r="E1810" s="425">
        <v>15.2685</v>
      </c>
      <c r="F1810" s="425">
        <v>17.3752</v>
      </c>
      <c r="G1810" s="425">
        <v>14.6108</v>
      </c>
      <c r="H1810" s="426">
        <v>26.6032</v>
      </c>
      <c r="I1810" s="426">
        <v>22.727</v>
      </c>
      <c r="J1810" s="425">
        <v>21.0111</v>
      </c>
      <c r="K1810" s="182">
        <v>11234.55</v>
      </c>
      <c r="L1810" s="36"/>
      <c r="M1810" s="36"/>
      <c r="N1810" s="36"/>
      <c r="O1810" s="36"/>
      <c r="P1810" s="36"/>
      <c r="Q1810" s="36"/>
      <c r="R1810" s="36"/>
      <c r="S1810" s="36"/>
      <c r="T1810" s="36"/>
      <c r="U1810" s="36"/>
      <c r="V1810" s="36"/>
      <c r="W1810" s="36"/>
      <c r="X1810" s="36"/>
      <c r="Y1810" s="36"/>
      <c r="Z1810" s="36"/>
      <c r="AA1810" s="36"/>
      <c r="AB1810" s="36"/>
      <c r="AC1810" s="36"/>
    </row>
    <row r="1811" ht="15.75" customHeight="1">
      <c r="A1811" s="423">
        <v>43749.0</v>
      </c>
      <c r="B1811" s="424">
        <v>14.7442</v>
      </c>
      <c r="C1811" s="425">
        <v>18.1068</v>
      </c>
      <c r="D1811" s="426">
        <v>21.1425</v>
      </c>
      <c r="E1811" s="425">
        <v>15.2434</v>
      </c>
      <c r="F1811" s="425">
        <v>17.4548</v>
      </c>
      <c r="G1811" s="425">
        <v>14.6117</v>
      </c>
      <c r="H1811" s="426">
        <v>26.6196</v>
      </c>
      <c r="I1811" s="426">
        <v>22.8428</v>
      </c>
      <c r="J1811" s="425">
        <v>21.0827</v>
      </c>
      <c r="K1811" s="182">
        <v>11305.05</v>
      </c>
      <c r="L1811" s="36"/>
      <c r="M1811" s="36"/>
      <c r="N1811" s="36"/>
      <c r="O1811" s="36"/>
      <c r="P1811" s="36"/>
      <c r="Q1811" s="36"/>
      <c r="R1811" s="36"/>
      <c r="S1811" s="36"/>
      <c r="T1811" s="36"/>
      <c r="U1811" s="36"/>
      <c r="V1811" s="36"/>
      <c r="W1811" s="36"/>
      <c r="X1811" s="36"/>
      <c r="Y1811" s="36"/>
      <c r="Z1811" s="36"/>
      <c r="AA1811" s="36"/>
      <c r="AB1811" s="36"/>
      <c r="AC1811" s="36"/>
    </row>
    <row r="1812" ht="15.75" customHeight="1">
      <c r="A1812" s="423">
        <v>43752.0</v>
      </c>
      <c r="B1812" s="424">
        <v>14.7916</v>
      </c>
      <c r="C1812" s="425">
        <v>18.1153</v>
      </c>
      <c r="D1812" s="426">
        <v>21.1842</v>
      </c>
      <c r="E1812" s="425">
        <v>15.2747</v>
      </c>
      <c r="F1812" s="425">
        <v>17.5112</v>
      </c>
      <c r="G1812" s="425">
        <v>14.6135</v>
      </c>
      <c r="H1812" s="426">
        <v>26.6743</v>
      </c>
      <c r="I1812" s="426">
        <v>22.9012</v>
      </c>
      <c r="J1812" s="425">
        <v>21.1407</v>
      </c>
      <c r="K1812" s="182">
        <v>11341.15</v>
      </c>
      <c r="L1812" s="36"/>
      <c r="M1812" s="36"/>
      <c r="N1812" s="36"/>
      <c r="O1812" s="36"/>
      <c r="P1812" s="36"/>
      <c r="Q1812" s="36"/>
      <c r="R1812" s="36"/>
      <c r="S1812" s="36"/>
      <c r="T1812" s="36"/>
      <c r="U1812" s="36"/>
      <c r="V1812" s="36"/>
      <c r="W1812" s="36"/>
      <c r="X1812" s="36"/>
      <c r="Y1812" s="36"/>
      <c r="Z1812" s="36"/>
      <c r="AA1812" s="36"/>
      <c r="AB1812" s="36"/>
      <c r="AC1812" s="36"/>
    </row>
    <row r="1813" ht="15.75" customHeight="1">
      <c r="A1813" s="423">
        <v>43753.0</v>
      </c>
      <c r="B1813" s="424">
        <v>14.897</v>
      </c>
      <c r="C1813" s="425">
        <v>18.122</v>
      </c>
      <c r="D1813" s="426">
        <v>21.1831</v>
      </c>
      <c r="E1813" s="425">
        <v>15.2743</v>
      </c>
      <c r="F1813" s="425">
        <v>17.6224</v>
      </c>
      <c r="G1813" s="425">
        <v>14.6196</v>
      </c>
      <c r="H1813" s="426">
        <v>26.6847</v>
      </c>
      <c r="I1813" s="426">
        <v>23.0714</v>
      </c>
      <c r="J1813" s="425">
        <v>21.246</v>
      </c>
      <c r="K1813" s="182">
        <v>11428.3</v>
      </c>
      <c r="L1813" s="36"/>
      <c r="M1813" s="36"/>
      <c r="N1813" s="36"/>
      <c r="O1813" s="36"/>
      <c r="P1813" s="36"/>
      <c r="Q1813" s="36"/>
      <c r="R1813" s="36"/>
      <c r="S1813" s="36"/>
      <c r="T1813" s="36"/>
      <c r="U1813" s="36"/>
      <c r="V1813" s="36"/>
      <c r="W1813" s="36"/>
      <c r="X1813" s="36"/>
      <c r="Y1813" s="36"/>
      <c r="Z1813" s="36"/>
      <c r="AA1813" s="36"/>
      <c r="AB1813" s="36"/>
      <c r="AC1813" s="36"/>
    </row>
    <row r="1814" ht="15.75" customHeight="1">
      <c r="A1814" s="423">
        <v>43754.0</v>
      </c>
      <c r="B1814" s="424">
        <v>14.922</v>
      </c>
      <c r="C1814" s="425">
        <v>18.1322</v>
      </c>
      <c r="D1814" s="426">
        <v>21.1997</v>
      </c>
      <c r="E1814" s="425">
        <v>15.2867</v>
      </c>
      <c r="F1814" s="425">
        <v>17.6645</v>
      </c>
      <c r="G1814" s="425">
        <v>14.6294</v>
      </c>
      <c r="H1814" s="426">
        <v>26.6411</v>
      </c>
      <c r="I1814" s="426">
        <v>23.112</v>
      </c>
      <c r="J1814" s="425">
        <v>21.2862</v>
      </c>
      <c r="K1814" s="182">
        <v>11464.0</v>
      </c>
      <c r="L1814" s="36"/>
      <c r="M1814" s="36"/>
      <c r="N1814" s="36"/>
      <c r="O1814" s="36"/>
      <c r="P1814" s="36"/>
      <c r="Q1814" s="36"/>
      <c r="R1814" s="36"/>
      <c r="S1814" s="36"/>
      <c r="T1814" s="36"/>
      <c r="U1814" s="36"/>
      <c r="V1814" s="36"/>
      <c r="W1814" s="36"/>
      <c r="X1814" s="36"/>
      <c r="Y1814" s="36"/>
      <c r="Z1814" s="36"/>
      <c r="AA1814" s="36"/>
      <c r="AB1814" s="36"/>
      <c r="AC1814" s="36"/>
    </row>
    <row r="1815" ht="15.75" customHeight="1">
      <c r="A1815" s="423">
        <v>43755.0</v>
      </c>
      <c r="B1815" s="424">
        <v>15.052</v>
      </c>
      <c r="C1815" s="425">
        <v>18.1325</v>
      </c>
      <c r="D1815" s="426">
        <v>21.1715</v>
      </c>
      <c r="E1815" s="425">
        <v>15.2644</v>
      </c>
      <c r="F1815" s="425">
        <v>17.8264</v>
      </c>
      <c r="G1815" s="425">
        <v>14.6301</v>
      </c>
      <c r="H1815" s="426">
        <v>27.0091</v>
      </c>
      <c r="I1815" s="426">
        <v>23.317</v>
      </c>
      <c r="J1815" s="425">
        <v>21.4191</v>
      </c>
      <c r="K1815" s="182">
        <v>11586.35</v>
      </c>
      <c r="L1815" s="36"/>
      <c r="M1815" s="36"/>
      <c r="N1815" s="36"/>
      <c r="O1815" s="36"/>
      <c r="P1815" s="36"/>
      <c r="Q1815" s="36"/>
      <c r="R1815" s="36"/>
      <c r="S1815" s="36"/>
      <c r="T1815" s="36"/>
      <c r="U1815" s="36"/>
      <c r="V1815" s="36"/>
      <c r="W1815" s="36"/>
      <c r="X1815" s="36"/>
      <c r="Y1815" s="36"/>
      <c r="Z1815" s="36"/>
      <c r="AA1815" s="36"/>
      <c r="AB1815" s="36"/>
      <c r="AC1815" s="36"/>
    </row>
    <row r="1816" ht="15.75" customHeight="1">
      <c r="A1816" s="423">
        <v>43756.0</v>
      </c>
      <c r="B1816" s="424">
        <v>15.1396</v>
      </c>
      <c r="C1816" s="425">
        <v>18.1328</v>
      </c>
      <c r="D1816" s="426">
        <v>21.181</v>
      </c>
      <c r="E1816" s="425">
        <v>15.2727</v>
      </c>
      <c r="F1816" s="425">
        <v>17.9255</v>
      </c>
      <c r="G1816" s="425">
        <v>14.6345</v>
      </c>
      <c r="H1816" s="426">
        <v>27.3722</v>
      </c>
      <c r="I1816" s="426">
        <v>23.4667</v>
      </c>
      <c r="J1816" s="425">
        <v>21.5268</v>
      </c>
      <c r="K1816" s="182">
        <v>11661.85</v>
      </c>
      <c r="L1816" s="36"/>
      <c r="M1816" s="36"/>
      <c r="N1816" s="36"/>
      <c r="O1816" s="36"/>
      <c r="P1816" s="36"/>
      <c r="Q1816" s="36"/>
      <c r="R1816" s="36"/>
      <c r="S1816" s="36"/>
      <c r="T1816" s="36"/>
      <c r="U1816" s="36"/>
      <c r="V1816" s="36"/>
      <c r="W1816" s="36"/>
      <c r="X1816" s="36"/>
      <c r="Y1816" s="36"/>
      <c r="Z1816" s="36"/>
      <c r="AA1816" s="36"/>
      <c r="AB1816" s="36"/>
      <c r="AC1816" s="36"/>
    </row>
    <row r="1817" ht="15.75" customHeight="1">
      <c r="A1817" s="423">
        <v>43760.0</v>
      </c>
      <c r="B1817" s="424">
        <v>15.0647</v>
      </c>
      <c r="C1817" s="425">
        <v>18.1398</v>
      </c>
      <c r="D1817" s="426">
        <v>21.1935</v>
      </c>
      <c r="E1817" s="425">
        <v>15.281</v>
      </c>
      <c r="F1817" s="425">
        <v>17.8435</v>
      </c>
      <c r="G1817" s="425">
        <v>14.6402</v>
      </c>
      <c r="H1817" s="426">
        <v>27.3933</v>
      </c>
      <c r="I1817" s="426">
        <v>23.361</v>
      </c>
      <c r="J1817" s="425">
        <v>21.4686</v>
      </c>
      <c r="K1817" s="182">
        <v>11588.35</v>
      </c>
      <c r="L1817" s="36"/>
      <c r="M1817" s="36"/>
      <c r="N1817" s="36"/>
      <c r="O1817" s="36"/>
      <c r="P1817" s="36"/>
      <c r="Q1817" s="36"/>
      <c r="R1817" s="36"/>
      <c r="S1817" s="36"/>
      <c r="T1817" s="36"/>
      <c r="U1817" s="36"/>
      <c r="V1817" s="36"/>
      <c r="W1817" s="36"/>
      <c r="X1817" s="36"/>
      <c r="Y1817" s="36"/>
      <c r="Z1817" s="36"/>
      <c r="AA1817" s="36"/>
      <c r="AB1817" s="36"/>
      <c r="AC1817" s="36"/>
    </row>
    <row r="1818" ht="15.75" customHeight="1">
      <c r="A1818" s="423">
        <v>43761.0</v>
      </c>
      <c r="B1818" s="424">
        <v>15.0761</v>
      </c>
      <c r="C1818" s="425">
        <v>18.1479</v>
      </c>
      <c r="D1818" s="426">
        <v>21.2406</v>
      </c>
      <c r="E1818" s="425">
        <v>15.3101</v>
      </c>
      <c r="F1818" s="425">
        <v>17.8582</v>
      </c>
      <c r="G1818" s="425">
        <v>14.6539</v>
      </c>
      <c r="H1818" s="426">
        <v>27.3748</v>
      </c>
      <c r="I1818" s="426">
        <v>23.3768</v>
      </c>
      <c r="J1818" s="425">
        <v>21.4899</v>
      </c>
      <c r="K1818" s="182">
        <v>11604.1</v>
      </c>
      <c r="L1818" s="36"/>
      <c r="M1818" s="36"/>
      <c r="N1818" s="36"/>
      <c r="O1818" s="36"/>
      <c r="P1818" s="36"/>
      <c r="Q1818" s="36"/>
      <c r="R1818" s="36"/>
      <c r="S1818" s="36"/>
      <c r="T1818" s="36"/>
      <c r="U1818" s="36"/>
      <c r="V1818" s="36"/>
      <c r="W1818" s="36"/>
      <c r="X1818" s="36"/>
      <c r="Y1818" s="36"/>
      <c r="Z1818" s="36"/>
      <c r="AA1818" s="36"/>
      <c r="AB1818" s="36"/>
      <c r="AC1818" s="36"/>
    </row>
    <row r="1819" ht="15.75" customHeight="1">
      <c r="A1819" s="423">
        <v>43762.0</v>
      </c>
      <c r="B1819" s="424">
        <v>15.0575</v>
      </c>
      <c r="C1819" s="425">
        <v>18.1567</v>
      </c>
      <c r="D1819" s="426">
        <v>21.2503</v>
      </c>
      <c r="E1819" s="425">
        <v>15.3148</v>
      </c>
      <c r="F1819" s="425">
        <v>17.817</v>
      </c>
      <c r="G1819" s="425">
        <v>14.6608</v>
      </c>
      <c r="H1819" s="426">
        <v>27.3737</v>
      </c>
      <c r="I1819" s="426">
        <v>23.3368</v>
      </c>
      <c r="J1819" s="425">
        <v>21.4629</v>
      </c>
      <c r="K1819" s="182">
        <v>11582.6</v>
      </c>
      <c r="L1819" s="36"/>
      <c r="M1819" s="36"/>
      <c r="N1819" s="36"/>
      <c r="O1819" s="36"/>
      <c r="P1819" s="36"/>
      <c r="Q1819" s="36"/>
      <c r="R1819" s="36"/>
      <c r="S1819" s="36"/>
      <c r="T1819" s="36"/>
      <c r="U1819" s="36"/>
      <c r="V1819" s="36"/>
      <c r="W1819" s="36"/>
      <c r="X1819" s="36"/>
      <c r="Y1819" s="36"/>
      <c r="Z1819" s="36"/>
      <c r="AA1819" s="36"/>
      <c r="AB1819" s="36"/>
      <c r="AC1819" s="36"/>
    </row>
    <row r="1820" ht="15.75" customHeight="1">
      <c r="A1820" s="423">
        <v>43763.0</v>
      </c>
      <c r="B1820" s="424">
        <v>15.0848</v>
      </c>
      <c r="C1820" s="425">
        <v>18.1588</v>
      </c>
      <c r="D1820" s="426">
        <v>21.2565</v>
      </c>
      <c r="E1820" s="425">
        <v>15.3188</v>
      </c>
      <c r="F1820" s="425">
        <v>17.8401</v>
      </c>
      <c r="G1820" s="425">
        <v>14.6629</v>
      </c>
      <c r="H1820" s="426">
        <v>27.376</v>
      </c>
      <c r="I1820" s="426">
        <v>23.3778</v>
      </c>
      <c r="J1820" s="425">
        <v>21.49</v>
      </c>
      <c r="K1820" s="182">
        <v>11583.9</v>
      </c>
      <c r="L1820" s="36"/>
      <c r="M1820" s="36"/>
      <c r="N1820" s="36"/>
      <c r="O1820" s="36"/>
      <c r="P1820" s="36"/>
      <c r="Q1820" s="36"/>
      <c r="R1820" s="36"/>
      <c r="S1820" s="36"/>
      <c r="T1820" s="36"/>
      <c r="U1820" s="36"/>
      <c r="V1820" s="36"/>
      <c r="W1820" s="36"/>
      <c r="X1820" s="36"/>
      <c r="Y1820" s="36"/>
      <c r="Z1820" s="36"/>
      <c r="AA1820" s="36"/>
      <c r="AB1820" s="36"/>
      <c r="AC1820" s="36"/>
    </row>
    <row r="1821" ht="15.75" customHeight="1">
      <c r="A1821" s="423">
        <v>43767.0</v>
      </c>
      <c r="B1821" s="424">
        <v>15.3241</v>
      </c>
      <c r="C1821" s="425">
        <v>18.1684</v>
      </c>
      <c r="D1821" s="426">
        <v>21.2705</v>
      </c>
      <c r="E1821" s="425">
        <v>15.328</v>
      </c>
      <c r="F1821" s="425">
        <v>18.1386</v>
      </c>
      <c r="G1821" s="425">
        <v>14.6717</v>
      </c>
      <c r="H1821" s="426">
        <v>27.7812</v>
      </c>
      <c r="I1821" s="426">
        <v>23.7846</v>
      </c>
      <c r="J1821" s="425">
        <v>21.7478</v>
      </c>
      <c r="K1821" s="182">
        <v>11786.85</v>
      </c>
      <c r="L1821" s="36"/>
      <c r="M1821" s="36"/>
      <c r="N1821" s="36"/>
      <c r="O1821" s="36"/>
      <c r="P1821" s="36"/>
      <c r="Q1821" s="36"/>
      <c r="R1821" s="36"/>
      <c r="S1821" s="36"/>
      <c r="T1821" s="36"/>
      <c r="U1821" s="36"/>
      <c r="V1821" s="36"/>
      <c r="W1821" s="36"/>
      <c r="X1821" s="36"/>
      <c r="Y1821" s="36"/>
      <c r="Z1821" s="36"/>
      <c r="AA1821" s="36"/>
      <c r="AB1821" s="36"/>
      <c r="AC1821" s="36"/>
    </row>
    <row r="1822" ht="15.75" customHeight="1">
      <c r="A1822" s="423">
        <v>43768.0</v>
      </c>
      <c r="B1822" s="424">
        <v>15.4036</v>
      </c>
      <c r="C1822" s="425">
        <v>18.1734</v>
      </c>
      <c r="D1822" s="426">
        <v>21.2834</v>
      </c>
      <c r="E1822" s="425">
        <v>15.3377</v>
      </c>
      <c r="F1822" s="425">
        <v>18.2175</v>
      </c>
      <c r="G1822" s="425">
        <v>14.6786</v>
      </c>
      <c r="H1822" s="426">
        <v>27.8669</v>
      </c>
      <c r="I1822" s="426">
        <v>23.8872</v>
      </c>
      <c r="J1822" s="425">
        <v>21.8325</v>
      </c>
      <c r="K1822" s="182">
        <v>11844.1</v>
      </c>
      <c r="L1822" s="36"/>
      <c r="M1822" s="36"/>
      <c r="N1822" s="36"/>
      <c r="O1822" s="36"/>
      <c r="P1822" s="36"/>
      <c r="Q1822" s="36"/>
      <c r="R1822" s="36"/>
      <c r="S1822" s="36"/>
      <c r="T1822" s="36"/>
      <c r="U1822" s="36"/>
      <c r="V1822" s="36"/>
      <c r="W1822" s="36"/>
      <c r="X1822" s="36"/>
      <c r="Y1822" s="36"/>
      <c r="Z1822" s="36"/>
      <c r="AA1822" s="36"/>
      <c r="AB1822" s="36"/>
      <c r="AC1822" s="36"/>
    </row>
    <row r="1823" ht="15.75" customHeight="1">
      <c r="A1823" s="423">
        <v>43769.0</v>
      </c>
      <c r="B1823" s="424">
        <v>15.4242</v>
      </c>
      <c r="C1823" s="425">
        <v>18.1937</v>
      </c>
      <c r="D1823" s="426">
        <v>21.3252</v>
      </c>
      <c r="E1823" s="425">
        <v>15.3644</v>
      </c>
      <c r="F1823" s="425">
        <v>18.2421</v>
      </c>
      <c r="G1823" s="425">
        <v>14.6995</v>
      </c>
      <c r="H1823" s="426">
        <v>28.1504</v>
      </c>
      <c r="I1823" s="426">
        <v>23.9067</v>
      </c>
      <c r="J1823" s="425">
        <v>21.8666</v>
      </c>
      <c r="K1823" s="182">
        <v>11877.45</v>
      </c>
      <c r="L1823" s="36"/>
      <c r="M1823" s="36"/>
      <c r="N1823" s="36"/>
      <c r="O1823" s="36"/>
      <c r="P1823" s="36"/>
      <c r="Q1823" s="36"/>
      <c r="R1823" s="36"/>
      <c r="S1823" s="36"/>
      <c r="T1823" s="36"/>
      <c r="U1823" s="36"/>
      <c r="V1823" s="36"/>
      <c r="W1823" s="36"/>
      <c r="X1823" s="36"/>
      <c r="Y1823" s="36"/>
      <c r="Z1823" s="36"/>
      <c r="AA1823" s="36"/>
      <c r="AB1823" s="36"/>
      <c r="AC1823" s="36"/>
    </row>
    <row r="1824" ht="15.75" customHeight="1">
      <c r="A1824" s="423">
        <v>43770.0</v>
      </c>
      <c r="B1824" s="424">
        <v>15.4296</v>
      </c>
      <c r="C1824" s="425">
        <v>18.1986</v>
      </c>
      <c r="D1824" s="426">
        <v>21.3459</v>
      </c>
      <c r="E1824" s="425">
        <v>15.3749</v>
      </c>
      <c r="F1824" s="425">
        <v>18.2743</v>
      </c>
      <c r="G1824" s="425">
        <v>14.7079</v>
      </c>
      <c r="H1824" s="426">
        <v>28.2599</v>
      </c>
      <c r="I1824" s="426">
        <v>23.916</v>
      </c>
      <c r="J1824" s="425">
        <v>21.8905</v>
      </c>
      <c r="K1824" s="182">
        <v>11890.6</v>
      </c>
      <c r="L1824" s="36"/>
      <c r="M1824" s="36"/>
      <c r="N1824" s="36"/>
      <c r="O1824" s="36"/>
      <c r="P1824" s="36"/>
      <c r="Q1824" s="36"/>
      <c r="R1824" s="36"/>
      <c r="S1824" s="36"/>
      <c r="T1824" s="36"/>
      <c r="U1824" s="36"/>
      <c r="V1824" s="36"/>
      <c r="W1824" s="36"/>
      <c r="X1824" s="36"/>
      <c r="Y1824" s="36"/>
      <c r="Z1824" s="36"/>
      <c r="AA1824" s="36"/>
      <c r="AB1824" s="36"/>
      <c r="AC1824" s="36"/>
    </row>
    <row r="1825" ht="15.75" customHeight="1">
      <c r="A1825" s="423">
        <v>43773.0</v>
      </c>
      <c r="B1825" s="424">
        <v>15.4611</v>
      </c>
      <c r="C1825" s="425">
        <v>18.2033</v>
      </c>
      <c r="D1825" s="426">
        <v>21.3305</v>
      </c>
      <c r="E1825" s="425">
        <v>15.3642</v>
      </c>
      <c r="F1825" s="425">
        <v>18.3107</v>
      </c>
      <c r="G1825" s="425">
        <v>14.71</v>
      </c>
      <c r="H1825" s="426">
        <v>28.2073</v>
      </c>
      <c r="I1825" s="426">
        <v>23.9517</v>
      </c>
      <c r="J1825" s="425">
        <v>21.9111</v>
      </c>
      <c r="K1825" s="182">
        <v>11941.3</v>
      </c>
      <c r="L1825" s="36"/>
      <c r="M1825" s="36"/>
      <c r="N1825" s="36"/>
      <c r="O1825" s="36"/>
      <c r="P1825" s="36"/>
      <c r="Q1825" s="36"/>
      <c r="R1825" s="36"/>
      <c r="S1825" s="36"/>
      <c r="T1825" s="36"/>
      <c r="U1825" s="36"/>
      <c r="V1825" s="36"/>
      <c r="W1825" s="36"/>
      <c r="X1825" s="36"/>
      <c r="Y1825" s="36"/>
      <c r="Z1825" s="36"/>
      <c r="AA1825" s="36"/>
      <c r="AB1825" s="36"/>
      <c r="AC1825" s="36"/>
    </row>
    <row r="1826" ht="15.75" customHeight="1">
      <c r="A1826" s="423">
        <v>43774.0</v>
      </c>
      <c r="B1826" s="424">
        <v>15.4286</v>
      </c>
      <c r="C1826" s="425">
        <v>18.2016</v>
      </c>
      <c r="D1826" s="426">
        <v>21.3065</v>
      </c>
      <c r="E1826" s="425">
        <v>15.3458</v>
      </c>
      <c r="F1826" s="425">
        <v>18.255</v>
      </c>
      <c r="G1826" s="425">
        <v>14.7065</v>
      </c>
      <c r="H1826" s="426">
        <v>27.9641</v>
      </c>
      <c r="I1826" s="426">
        <v>23.8713</v>
      </c>
      <c r="J1826" s="425">
        <v>21.8514</v>
      </c>
      <c r="K1826" s="182">
        <v>11917.2</v>
      </c>
      <c r="L1826" s="36"/>
      <c r="M1826" s="36"/>
      <c r="N1826" s="36"/>
      <c r="O1826" s="36"/>
      <c r="P1826" s="36"/>
      <c r="Q1826" s="36"/>
      <c r="R1826" s="36"/>
      <c r="S1826" s="36"/>
      <c r="T1826" s="36"/>
      <c r="U1826" s="36"/>
      <c r="V1826" s="36"/>
      <c r="W1826" s="36"/>
      <c r="X1826" s="36"/>
      <c r="Y1826" s="36"/>
      <c r="Z1826" s="36"/>
      <c r="AA1826" s="36"/>
      <c r="AB1826" s="36"/>
      <c r="AC1826" s="36"/>
    </row>
    <row r="1827" ht="15.75" customHeight="1">
      <c r="A1827" s="423">
        <v>43775.0</v>
      </c>
      <c r="B1827" s="424">
        <v>15.4774</v>
      </c>
      <c r="C1827" s="425">
        <v>18.1982</v>
      </c>
      <c r="D1827" s="426">
        <v>21.3098</v>
      </c>
      <c r="E1827" s="425">
        <v>15.3527</v>
      </c>
      <c r="F1827" s="425">
        <v>18.3408</v>
      </c>
      <c r="G1827" s="425">
        <v>14.7035</v>
      </c>
      <c r="H1827" s="426">
        <v>27.9053</v>
      </c>
      <c r="I1827" s="426">
        <v>23.9704</v>
      </c>
      <c r="J1827" s="425">
        <v>21.9175</v>
      </c>
      <c r="K1827" s="182">
        <v>11966.05</v>
      </c>
      <c r="L1827" s="36"/>
      <c r="M1827" s="36"/>
      <c r="N1827" s="36"/>
      <c r="O1827" s="36"/>
      <c r="P1827" s="36"/>
      <c r="Q1827" s="36"/>
      <c r="R1827" s="36"/>
      <c r="S1827" s="36"/>
      <c r="T1827" s="36"/>
      <c r="U1827" s="36"/>
      <c r="V1827" s="36"/>
      <c r="W1827" s="36"/>
      <c r="X1827" s="36"/>
      <c r="Y1827" s="36"/>
      <c r="Z1827" s="36"/>
      <c r="AA1827" s="36"/>
      <c r="AB1827" s="36"/>
      <c r="AC1827" s="36"/>
    </row>
    <row r="1828" ht="15.75" customHeight="1">
      <c r="A1828" s="423">
        <v>43776.0</v>
      </c>
      <c r="B1828" s="424">
        <v>15.5087</v>
      </c>
      <c r="C1828" s="425">
        <v>18.219</v>
      </c>
      <c r="D1828" s="426">
        <v>21.3029</v>
      </c>
      <c r="E1828" s="425">
        <v>15.3451</v>
      </c>
      <c r="F1828" s="425">
        <v>18.3645</v>
      </c>
      <c r="G1828" s="425">
        <v>14.7106</v>
      </c>
      <c r="H1828" s="426">
        <v>27.9885</v>
      </c>
      <c r="I1828" s="426">
        <v>24.0318</v>
      </c>
      <c r="J1828" s="425">
        <v>21.9454</v>
      </c>
      <c r="K1828" s="182">
        <v>12012.05</v>
      </c>
      <c r="L1828" s="36"/>
      <c r="M1828" s="36"/>
      <c r="N1828" s="36"/>
      <c r="O1828" s="36"/>
      <c r="P1828" s="36"/>
      <c r="Q1828" s="36"/>
      <c r="R1828" s="36"/>
      <c r="S1828" s="36"/>
      <c r="T1828" s="36"/>
      <c r="U1828" s="36"/>
      <c r="V1828" s="36"/>
      <c r="W1828" s="36"/>
      <c r="X1828" s="36"/>
      <c r="Y1828" s="36"/>
      <c r="Z1828" s="36"/>
      <c r="AA1828" s="36"/>
      <c r="AB1828" s="36"/>
      <c r="AC1828" s="36"/>
    </row>
    <row r="1829" ht="15.75" customHeight="1">
      <c r="A1829" s="423">
        <v>43777.0</v>
      </c>
      <c r="B1829" s="424">
        <v>15.389</v>
      </c>
      <c r="C1829" s="425">
        <v>18.2056</v>
      </c>
      <c r="D1829" s="426">
        <v>21.2725</v>
      </c>
      <c r="E1829" s="425">
        <v>15.3226</v>
      </c>
      <c r="F1829" s="425">
        <v>18.2383</v>
      </c>
      <c r="G1829" s="425">
        <v>14.7009</v>
      </c>
      <c r="H1829" s="426">
        <v>27.8602</v>
      </c>
      <c r="I1829" s="426">
        <v>23.8625</v>
      </c>
      <c r="J1829" s="425">
        <v>21.8036</v>
      </c>
      <c r="K1829" s="182">
        <v>11908.15</v>
      </c>
      <c r="L1829" s="36"/>
      <c r="M1829" s="36"/>
      <c r="N1829" s="36"/>
      <c r="O1829" s="36"/>
      <c r="P1829" s="36"/>
      <c r="Q1829" s="36"/>
      <c r="R1829" s="36"/>
      <c r="S1829" s="36"/>
      <c r="T1829" s="36"/>
      <c r="U1829" s="36"/>
      <c r="V1829" s="36"/>
      <c r="W1829" s="36"/>
      <c r="X1829" s="36"/>
      <c r="Y1829" s="36"/>
      <c r="Z1829" s="36"/>
      <c r="AA1829" s="36"/>
      <c r="AB1829" s="36"/>
      <c r="AC1829" s="36"/>
    </row>
    <row r="1830" ht="15.75" customHeight="1">
      <c r="A1830" s="423">
        <v>43780.0</v>
      </c>
      <c r="B1830" s="424">
        <v>15.3955</v>
      </c>
      <c r="C1830" s="425">
        <v>18.2164</v>
      </c>
      <c r="D1830" s="426">
        <v>21.2582</v>
      </c>
      <c r="E1830" s="425">
        <v>15.3143</v>
      </c>
      <c r="F1830" s="425">
        <v>18.2712</v>
      </c>
      <c r="G1830" s="425">
        <v>14.7068</v>
      </c>
      <c r="H1830" s="426">
        <v>27.9815</v>
      </c>
      <c r="I1830" s="426">
        <v>23.8763</v>
      </c>
      <c r="J1830" s="425">
        <v>21.823</v>
      </c>
      <c r="K1830" s="182">
        <v>11913.45</v>
      </c>
      <c r="L1830" s="36"/>
      <c r="M1830" s="36"/>
      <c r="N1830" s="36"/>
      <c r="O1830" s="36"/>
      <c r="P1830" s="36"/>
      <c r="Q1830" s="36"/>
      <c r="R1830" s="36"/>
      <c r="S1830" s="36"/>
      <c r="T1830" s="36"/>
      <c r="U1830" s="36"/>
      <c r="V1830" s="36"/>
      <c r="W1830" s="36"/>
      <c r="X1830" s="36"/>
      <c r="Y1830" s="36"/>
      <c r="Z1830" s="36"/>
      <c r="AA1830" s="36"/>
      <c r="AB1830" s="36"/>
      <c r="AC1830" s="36"/>
    </row>
    <row r="1831" ht="15.75" customHeight="1">
      <c r="A1831" s="423">
        <v>43782.0</v>
      </c>
      <c r="B1831" s="424">
        <v>15.3191</v>
      </c>
      <c r="C1831" s="425">
        <v>18.2308</v>
      </c>
      <c r="D1831" s="426">
        <v>21.296</v>
      </c>
      <c r="E1831" s="425">
        <v>15.3409</v>
      </c>
      <c r="F1831" s="425">
        <v>18.143</v>
      </c>
      <c r="G1831" s="425">
        <v>14.7203</v>
      </c>
      <c r="H1831" s="426">
        <v>27.855</v>
      </c>
      <c r="I1831" s="426">
        <v>23.7488</v>
      </c>
      <c r="J1831" s="425">
        <v>21.7407</v>
      </c>
      <c r="K1831" s="182">
        <v>11840.45</v>
      </c>
      <c r="L1831" s="36"/>
      <c r="M1831" s="36"/>
      <c r="N1831" s="36"/>
      <c r="O1831" s="36"/>
      <c r="P1831" s="36"/>
      <c r="Q1831" s="36"/>
      <c r="R1831" s="36"/>
      <c r="S1831" s="36"/>
      <c r="T1831" s="36"/>
      <c r="U1831" s="36"/>
      <c r="V1831" s="36"/>
      <c r="W1831" s="36"/>
      <c r="X1831" s="36"/>
      <c r="Y1831" s="36"/>
      <c r="Z1831" s="36"/>
      <c r="AA1831" s="36"/>
      <c r="AB1831" s="36"/>
      <c r="AC1831" s="36"/>
    </row>
    <row r="1832" ht="15.75" customHeight="1">
      <c r="A1832" s="423">
        <v>43783.0</v>
      </c>
      <c r="B1832" s="424">
        <v>15.3498</v>
      </c>
      <c r="C1832" s="425">
        <v>18.2355</v>
      </c>
      <c r="D1832" s="426">
        <v>21.3271</v>
      </c>
      <c r="E1832" s="425">
        <v>15.3583</v>
      </c>
      <c r="F1832" s="425">
        <v>18.1935</v>
      </c>
      <c r="G1832" s="425">
        <v>14.7233</v>
      </c>
      <c r="H1832" s="426">
        <v>27.9345</v>
      </c>
      <c r="I1832" s="426">
        <v>23.8259</v>
      </c>
      <c r="J1832" s="425">
        <v>21.7911</v>
      </c>
      <c r="K1832" s="182">
        <v>11872.1</v>
      </c>
      <c r="L1832" s="36"/>
      <c r="M1832" s="36"/>
      <c r="N1832" s="36"/>
      <c r="O1832" s="36"/>
      <c r="P1832" s="36"/>
      <c r="Q1832" s="36"/>
      <c r="R1832" s="36"/>
      <c r="S1832" s="36"/>
      <c r="T1832" s="36"/>
      <c r="U1832" s="36"/>
      <c r="V1832" s="36"/>
      <c r="W1832" s="36"/>
      <c r="X1832" s="36"/>
      <c r="Y1832" s="36"/>
      <c r="Z1832" s="36"/>
      <c r="AA1832" s="36"/>
      <c r="AB1832" s="36"/>
      <c r="AC1832" s="36"/>
    </row>
    <row r="1833" ht="15.75" customHeight="1">
      <c r="A1833" s="423">
        <v>43784.0</v>
      </c>
      <c r="B1833" s="424">
        <v>15.3843</v>
      </c>
      <c r="C1833" s="425">
        <v>18.239</v>
      </c>
      <c r="D1833" s="426">
        <v>21.3439</v>
      </c>
      <c r="E1833" s="425">
        <v>15.3685</v>
      </c>
      <c r="F1833" s="425">
        <v>18.2364</v>
      </c>
      <c r="G1833" s="425">
        <v>14.7304</v>
      </c>
      <c r="H1833" s="426">
        <v>28.0427</v>
      </c>
      <c r="I1833" s="426">
        <v>23.8786</v>
      </c>
      <c r="J1833" s="425">
        <v>21.8404</v>
      </c>
      <c r="K1833" s="182">
        <v>11895.45</v>
      </c>
      <c r="L1833" s="36"/>
      <c r="M1833" s="36"/>
      <c r="N1833" s="36"/>
      <c r="O1833" s="36"/>
      <c r="P1833" s="36"/>
      <c r="Q1833" s="36"/>
      <c r="R1833" s="36"/>
      <c r="S1833" s="36"/>
      <c r="T1833" s="36"/>
      <c r="U1833" s="36"/>
      <c r="V1833" s="36"/>
      <c r="W1833" s="36"/>
      <c r="X1833" s="36"/>
      <c r="Y1833" s="36"/>
      <c r="Z1833" s="36"/>
      <c r="AA1833" s="36"/>
      <c r="AB1833" s="36"/>
      <c r="AC1833" s="36"/>
    </row>
    <row r="1834" ht="15.75" customHeight="1">
      <c r="A1834" s="423">
        <v>43787.0</v>
      </c>
      <c r="B1834" s="424">
        <v>15.3589</v>
      </c>
      <c r="C1834" s="425">
        <v>18.2644</v>
      </c>
      <c r="D1834" s="426">
        <v>21.3779</v>
      </c>
      <c r="E1834" s="425">
        <v>15.3977</v>
      </c>
      <c r="F1834" s="425">
        <v>18.2102</v>
      </c>
      <c r="G1834" s="425">
        <v>14.7506</v>
      </c>
      <c r="H1834" s="426">
        <v>28.1758</v>
      </c>
      <c r="I1834" s="426">
        <v>23.8253</v>
      </c>
      <c r="J1834" s="425">
        <v>21.8246</v>
      </c>
      <c r="K1834" s="182">
        <v>11884.5</v>
      </c>
      <c r="L1834" s="36"/>
      <c r="M1834" s="36"/>
      <c r="N1834" s="36"/>
      <c r="O1834" s="36"/>
      <c r="P1834" s="36"/>
      <c r="Q1834" s="36"/>
      <c r="R1834" s="36"/>
      <c r="S1834" s="36"/>
      <c r="T1834" s="36"/>
      <c r="U1834" s="36"/>
      <c r="V1834" s="36"/>
      <c r="W1834" s="36"/>
      <c r="X1834" s="36"/>
      <c r="Y1834" s="36"/>
      <c r="Z1834" s="36"/>
      <c r="AA1834" s="36"/>
      <c r="AB1834" s="36"/>
      <c r="AC1834" s="36"/>
    </row>
    <row r="1835" ht="15.75" customHeight="1">
      <c r="A1835" s="423">
        <v>43788.0</v>
      </c>
      <c r="B1835" s="424">
        <v>15.4414</v>
      </c>
      <c r="C1835" s="425">
        <v>18.2653</v>
      </c>
      <c r="D1835" s="426">
        <v>21.3943</v>
      </c>
      <c r="E1835" s="425">
        <v>15.41</v>
      </c>
      <c r="F1835" s="425">
        <v>18.2925</v>
      </c>
      <c r="G1835" s="425">
        <v>14.7541</v>
      </c>
      <c r="H1835" s="426">
        <v>28.2427</v>
      </c>
      <c r="I1835" s="426">
        <v>23.9288</v>
      </c>
      <c r="J1835" s="425">
        <v>21.9087</v>
      </c>
      <c r="K1835" s="182">
        <v>11940.1</v>
      </c>
      <c r="L1835" s="36"/>
      <c r="M1835" s="36"/>
      <c r="N1835" s="36"/>
      <c r="O1835" s="36"/>
      <c r="P1835" s="36"/>
      <c r="Q1835" s="36"/>
      <c r="R1835" s="36"/>
      <c r="S1835" s="36"/>
      <c r="T1835" s="36"/>
      <c r="U1835" s="36"/>
      <c r="V1835" s="36"/>
      <c r="W1835" s="36"/>
      <c r="X1835" s="36"/>
      <c r="Y1835" s="36"/>
      <c r="Z1835" s="36"/>
      <c r="AA1835" s="36"/>
      <c r="AB1835" s="36"/>
      <c r="AC1835" s="36"/>
    </row>
    <row r="1836" ht="15.75" customHeight="1">
      <c r="A1836" s="423">
        <v>43789.0</v>
      </c>
      <c r="B1836" s="424">
        <v>15.5169</v>
      </c>
      <c r="C1836" s="425">
        <v>18.269</v>
      </c>
      <c r="D1836" s="426">
        <v>21.4053</v>
      </c>
      <c r="E1836" s="425">
        <v>15.4208</v>
      </c>
      <c r="F1836" s="425">
        <v>18.3842</v>
      </c>
      <c r="G1836" s="425">
        <v>14.7567</v>
      </c>
      <c r="H1836" s="426">
        <v>28.2599</v>
      </c>
      <c r="I1836" s="426">
        <v>24.0348</v>
      </c>
      <c r="J1836" s="425">
        <v>21.9926</v>
      </c>
      <c r="K1836" s="182">
        <v>11999.1</v>
      </c>
      <c r="L1836" s="36"/>
      <c r="M1836" s="36"/>
      <c r="N1836" s="36"/>
      <c r="O1836" s="36"/>
      <c r="P1836" s="36"/>
      <c r="Q1836" s="36"/>
      <c r="R1836" s="36"/>
      <c r="S1836" s="36"/>
      <c r="T1836" s="36"/>
      <c r="U1836" s="36"/>
      <c r="V1836" s="36"/>
      <c r="W1836" s="36"/>
      <c r="X1836" s="36"/>
      <c r="Y1836" s="36"/>
      <c r="Z1836" s="36"/>
      <c r="AA1836" s="36"/>
      <c r="AB1836" s="36"/>
      <c r="AC1836" s="36"/>
    </row>
    <row r="1837" ht="15.75" customHeight="1">
      <c r="A1837" s="423">
        <v>43790.0</v>
      </c>
      <c r="B1837" s="424">
        <v>15.4801</v>
      </c>
      <c r="C1837" s="425">
        <v>18.2756</v>
      </c>
      <c r="D1837" s="426">
        <v>21.3961</v>
      </c>
      <c r="E1837" s="425">
        <v>15.4066</v>
      </c>
      <c r="F1837" s="425">
        <v>18.3364</v>
      </c>
      <c r="G1837" s="425">
        <v>14.7548</v>
      </c>
      <c r="H1837" s="426">
        <v>28.0581</v>
      </c>
      <c r="I1837" s="426">
        <v>23.9817</v>
      </c>
      <c r="J1837" s="425">
        <v>21.9462</v>
      </c>
      <c r="K1837" s="182">
        <v>11968.4</v>
      </c>
      <c r="L1837" s="36"/>
      <c r="M1837" s="36"/>
      <c r="N1837" s="36"/>
      <c r="O1837" s="36"/>
      <c r="P1837" s="36"/>
      <c r="Q1837" s="36"/>
      <c r="R1837" s="36"/>
      <c r="S1837" s="36"/>
      <c r="T1837" s="36"/>
      <c r="U1837" s="36"/>
      <c r="V1837" s="36"/>
      <c r="W1837" s="36"/>
      <c r="X1837" s="36"/>
      <c r="Y1837" s="36"/>
      <c r="Z1837" s="36"/>
      <c r="AA1837" s="36"/>
      <c r="AB1837" s="36"/>
      <c r="AC1837" s="36"/>
    </row>
    <row r="1838" ht="15.75" customHeight="1">
      <c r="A1838" s="423">
        <v>43791.0</v>
      </c>
      <c r="B1838" s="424">
        <v>15.3892</v>
      </c>
      <c r="C1838" s="425">
        <v>18.2781</v>
      </c>
      <c r="D1838" s="426">
        <v>21.4139</v>
      </c>
      <c r="E1838" s="425">
        <v>15.4186</v>
      </c>
      <c r="F1838" s="425">
        <v>18.2372</v>
      </c>
      <c r="G1838" s="425">
        <v>14.7589</v>
      </c>
      <c r="H1838" s="426">
        <v>28.009</v>
      </c>
      <c r="I1838" s="426">
        <v>23.8349</v>
      </c>
      <c r="J1838" s="425">
        <v>21.8502</v>
      </c>
      <c r="K1838" s="182">
        <v>11914.4</v>
      </c>
      <c r="L1838" s="36"/>
      <c r="M1838" s="36"/>
      <c r="N1838" s="36"/>
      <c r="O1838" s="36"/>
      <c r="P1838" s="36"/>
      <c r="Q1838" s="36"/>
      <c r="R1838" s="36"/>
      <c r="S1838" s="36"/>
      <c r="T1838" s="36"/>
      <c r="U1838" s="36"/>
      <c r="V1838" s="36"/>
      <c r="W1838" s="36"/>
      <c r="X1838" s="36"/>
      <c r="Y1838" s="36"/>
      <c r="Z1838" s="36"/>
      <c r="AA1838" s="36"/>
      <c r="AB1838" s="36"/>
      <c r="AC1838" s="36"/>
    </row>
    <row r="1839" ht="15.75" customHeight="1">
      <c r="A1839" s="423">
        <v>43794.0</v>
      </c>
      <c r="B1839" s="424">
        <v>15.5537</v>
      </c>
      <c r="C1839" s="425">
        <v>18.2856</v>
      </c>
      <c r="D1839" s="426">
        <v>21.4219</v>
      </c>
      <c r="E1839" s="425">
        <v>15.4286</v>
      </c>
      <c r="F1839" s="425">
        <v>18.4357</v>
      </c>
      <c r="G1839" s="425">
        <v>14.769</v>
      </c>
      <c r="H1839" s="426">
        <v>28.2251</v>
      </c>
      <c r="I1839" s="426">
        <v>24.0845</v>
      </c>
      <c r="J1839" s="425">
        <v>22.0191</v>
      </c>
      <c r="K1839" s="182">
        <v>12073.75</v>
      </c>
      <c r="L1839" s="36"/>
      <c r="M1839" s="36"/>
      <c r="N1839" s="36"/>
      <c r="O1839" s="36"/>
      <c r="P1839" s="36"/>
      <c r="Q1839" s="36"/>
      <c r="R1839" s="36"/>
      <c r="S1839" s="36"/>
      <c r="T1839" s="36"/>
      <c r="U1839" s="36"/>
      <c r="V1839" s="36"/>
      <c r="W1839" s="36"/>
      <c r="X1839" s="36"/>
      <c r="Y1839" s="36"/>
      <c r="Z1839" s="36"/>
      <c r="AA1839" s="36"/>
      <c r="AB1839" s="36"/>
      <c r="AC1839" s="36"/>
    </row>
    <row r="1840" ht="15.75" customHeight="1">
      <c r="A1840" s="423">
        <v>43795.0</v>
      </c>
      <c r="B1840" s="424">
        <v>15.5125</v>
      </c>
      <c r="C1840" s="425">
        <v>18.2873</v>
      </c>
      <c r="D1840" s="426">
        <v>21.4421</v>
      </c>
      <c r="E1840" s="425">
        <v>15.4357</v>
      </c>
      <c r="F1840" s="425">
        <v>18.3898</v>
      </c>
      <c r="G1840" s="425">
        <v>14.7721</v>
      </c>
      <c r="H1840" s="426">
        <v>28.0735</v>
      </c>
      <c r="I1840" s="426">
        <v>24.052</v>
      </c>
      <c r="J1840" s="425">
        <v>21.9967</v>
      </c>
      <c r="K1840" s="182">
        <v>12037.7</v>
      </c>
      <c r="L1840" s="36"/>
      <c r="M1840" s="36"/>
      <c r="N1840" s="36"/>
      <c r="O1840" s="36"/>
      <c r="P1840" s="36"/>
      <c r="Q1840" s="36"/>
      <c r="R1840" s="36"/>
      <c r="S1840" s="36"/>
      <c r="T1840" s="36"/>
      <c r="U1840" s="36"/>
      <c r="V1840" s="36"/>
      <c r="W1840" s="36"/>
      <c r="X1840" s="36"/>
      <c r="Y1840" s="36"/>
      <c r="Z1840" s="36"/>
      <c r="AA1840" s="36"/>
      <c r="AB1840" s="36"/>
      <c r="AC1840" s="36"/>
    </row>
    <row r="1841" ht="15.75" customHeight="1">
      <c r="A1841" s="423">
        <v>43796.0</v>
      </c>
      <c r="B1841" s="424">
        <v>15.5711</v>
      </c>
      <c r="C1841" s="425">
        <v>18.293</v>
      </c>
      <c r="D1841" s="426">
        <v>21.4364</v>
      </c>
      <c r="E1841" s="425">
        <v>15.4333</v>
      </c>
      <c r="F1841" s="425">
        <v>18.4599</v>
      </c>
      <c r="G1841" s="425">
        <v>14.7762</v>
      </c>
      <c r="H1841" s="426">
        <v>28.2927</v>
      </c>
      <c r="I1841" s="426">
        <v>24.141</v>
      </c>
      <c r="J1841" s="425">
        <v>22.0568</v>
      </c>
      <c r="K1841" s="182">
        <v>12100.7</v>
      </c>
      <c r="L1841" s="36"/>
      <c r="M1841" s="36"/>
      <c r="N1841" s="36"/>
      <c r="O1841" s="36"/>
      <c r="P1841" s="36"/>
      <c r="Q1841" s="36"/>
      <c r="R1841" s="36"/>
      <c r="S1841" s="36"/>
      <c r="T1841" s="36"/>
      <c r="U1841" s="36"/>
      <c r="V1841" s="36"/>
      <c r="W1841" s="36"/>
      <c r="X1841" s="36"/>
      <c r="Y1841" s="36"/>
      <c r="Z1841" s="36"/>
      <c r="AA1841" s="36"/>
      <c r="AB1841" s="36"/>
      <c r="AC1841" s="36"/>
    </row>
    <row r="1842" ht="15.75" customHeight="1">
      <c r="A1842" s="423">
        <v>43797.0</v>
      </c>
      <c r="B1842" s="424">
        <v>15.6457</v>
      </c>
      <c r="C1842" s="425">
        <v>18.3024</v>
      </c>
      <c r="D1842" s="426">
        <v>21.4643</v>
      </c>
      <c r="E1842" s="425">
        <v>15.4511</v>
      </c>
      <c r="F1842" s="425">
        <v>18.5498</v>
      </c>
      <c r="G1842" s="425">
        <v>14.7884</v>
      </c>
      <c r="H1842" s="426">
        <v>28.5178</v>
      </c>
      <c r="I1842" s="426">
        <v>24.2441</v>
      </c>
      <c r="J1842" s="425">
        <v>22.1273</v>
      </c>
      <c r="K1842" s="182">
        <v>12151.15</v>
      </c>
      <c r="L1842" s="36"/>
      <c r="M1842" s="36"/>
      <c r="N1842" s="36"/>
      <c r="O1842" s="36"/>
      <c r="P1842" s="36"/>
      <c r="Q1842" s="36"/>
      <c r="R1842" s="36"/>
      <c r="S1842" s="36"/>
      <c r="T1842" s="36"/>
      <c r="U1842" s="36"/>
      <c r="V1842" s="36"/>
      <c r="W1842" s="36"/>
      <c r="X1842" s="36"/>
      <c r="Y1842" s="36"/>
      <c r="Z1842" s="36"/>
      <c r="AA1842" s="36"/>
      <c r="AB1842" s="36"/>
      <c r="AC1842" s="36"/>
    </row>
    <row r="1843" ht="15.75" customHeight="1">
      <c r="A1843" s="423">
        <v>43798.0</v>
      </c>
      <c r="B1843" s="424">
        <v>15.53</v>
      </c>
      <c r="C1843" s="425">
        <v>18.305</v>
      </c>
      <c r="D1843" s="426">
        <v>21.4559</v>
      </c>
      <c r="E1843" s="425">
        <v>15.4457</v>
      </c>
      <c r="F1843" s="425">
        <v>18.4145</v>
      </c>
      <c r="G1843" s="425">
        <v>14.7857</v>
      </c>
      <c r="H1843" s="426">
        <v>28.541</v>
      </c>
      <c r="I1843" s="426">
        <v>24.082</v>
      </c>
      <c r="J1843" s="425">
        <v>22.0193</v>
      </c>
      <c r="K1843" s="182">
        <v>12056.05</v>
      </c>
      <c r="L1843" s="36"/>
      <c r="M1843" s="36"/>
      <c r="N1843" s="36"/>
      <c r="O1843" s="36"/>
      <c r="P1843" s="36"/>
      <c r="Q1843" s="36"/>
      <c r="R1843" s="36"/>
      <c r="S1843" s="36"/>
      <c r="T1843" s="36"/>
      <c r="U1843" s="36"/>
      <c r="V1843" s="36"/>
      <c r="W1843" s="36"/>
      <c r="X1843" s="36"/>
      <c r="Y1843" s="36"/>
      <c r="Z1843" s="36"/>
      <c r="AA1843" s="36"/>
      <c r="AB1843" s="36"/>
      <c r="AC1843" s="36"/>
    </row>
    <row r="1844" ht="15.75" customHeight="1">
      <c r="A1844" s="423">
        <v>43801.0</v>
      </c>
      <c r="B1844" s="424">
        <v>15.5177</v>
      </c>
      <c r="C1844" s="425">
        <v>18.3114</v>
      </c>
      <c r="D1844" s="426">
        <v>21.4538</v>
      </c>
      <c r="E1844" s="425">
        <v>15.4425</v>
      </c>
      <c r="F1844" s="425">
        <v>18.3965</v>
      </c>
      <c r="G1844" s="425">
        <v>14.79</v>
      </c>
      <c r="H1844" s="426">
        <v>28.4185</v>
      </c>
      <c r="I1844" s="426">
        <v>24.061</v>
      </c>
      <c r="J1844" s="425">
        <v>22.0081</v>
      </c>
      <c r="K1844" s="182">
        <v>12048.2</v>
      </c>
      <c r="L1844" s="36"/>
      <c r="M1844" s="36"/>
      <c r="N1844" s="36"/>
      <c r="O1844" s="36"/>
      <c r="P1844" s="36"/>
      <c r="Q1844" s="36"/>
      <c r="R1844" s="36"/>
      <c r="S1844" s="36"/>
      <c r="T1844" s="36"/>
      <c r="U1844" s="36"/>
      <c r="V1844" s="36"/>
      <c r="W1844" s="36"/>
      <c r="X1844" s="36"/>
      <c r="Y1844" s="36"/>
      <c r="Z1844" s="36"/>
      <c r="AA1844" s="36"/>
      <c r="AB1844" s="36"/>
      <c r="AC1844" s="36"/>
    </row>
    <row r="1845" ht="15.75" customHeight="1">
      <c r="A1845" s="423">
        <v>43802.0</v>
      </c>
      <c r="B1845" s="424">
        <v>15.4366</v>
      </c>
      <c r="C1845" s="425">
        <v>18.3147</v>
      </c>
      <c r="D1845" s="426">
        <v>21.4515</v>
      </c>
      <c r="E1845" s="425">
        <v>15.4463</v>
      </c>
      <c r="F1845" s="425">
        <v>18.2898</v>
      </c>
      <c r="G1845" s="425">
        <v>14.7935</v>
      </c>
      <c r="H1845" s="426">
        <v>28.1978</v>
      </c>
      <c r="I1845" s="426">
        <v>23.9283</v>
      </c>
      <c r="J1845" s="425">
        <v>21.922</v>
      </c>
      <c r="K1845" s="182">
        <v>11994.2</v>
      </c>
      <c r="L1845" s="36"/>
      <c r="M1845" s="36"/>
      <c r="N1845" s="36"/>
      <c r="O1845" s="36"/>
      <c r="P1845" s="36"/>
      <c r="Q1845" s="36"/>
      <c r="R1845" s="36"/>
      <c r="S1845" s="36"/>
      <c r="T1845" s="36"/>
      <c r="U1845" s="36"/>
      <c r="V1845" s="36"/>
      <c r="W1845" s="36"/>
      <c r="X1845" s="36"/>
      <c r="Y1845" s="36"/>
      <c r="Z1845" s="36"/>
      <c r="AA1845" s="36"/>
      <c r="AB1845" s="36"/>
      <c r="AC1845" s="36"/>
    </row>
    <row r="1846" ht="15.75" customHeight="1">
      <c r="A1846" s="423">
        <v>43803.0</v>
      </c>
      <c r="B1846" s="424">
        <v>15.5084</v>
      </c>
      <c r="C1846" s="425">
        <v>18.3239</v>
      </c>
      <c r="D1846" s="426">
        <v>21.4702</v>
      </c>
      <c r="E1846" s="425">
        <v>15.4578</v>
      </c>
      <c r="F1846" s="425">
        <v>18.3797</v>
      </c>
      <c r="G1846" s="425">
        <v>14.8051</v>
      </c>
      <c r="H1846" s="426">
        <v>28.3222</v>
      </c>
      <c r="I1846" s="426">
        <v>24.0326</v>
      </c>
      <c r="J1846" s="425">
        <v>22.0041</v>
      </c>
      <c r="K1846" s="182">
        <v>12043.2</v>
      </c>
      <c r="L1846" s="36"/>
      <c r="M1846" s="36"/>
      <c r="N1846" s="36"/>
      <c r="O1846" s="36"/>
      <c r="P1846" s="36"/>
      <c r="Q1846" s="36"/>
      <c r="R1846" s="36"/>
      <c r="S1846" s="36"/>
      <c r="T1846" s="36"/>
      <c r="U1846" s="36"/>
      <c r="V1846" s="36"/>
      <c r="W1846" s="36"/>
      <c r="X1846" s="36"/>
      <c r="Y1846" s="36"/>
      <c r="Z1846" s="36"/>
      <c r="AA1846" s="36"/>
      <c r="AB1846" s="36"/>
      <c r="AC1846" s="36"/>
    </row>
    <row r="1847" ht="15.75" customHeight="1">
      <c r="A1847" s="423">
        <v>43804.0</v>
      </c>
      <c r="B1847" s="424">
        <v>15.4726</v>
      </c>
      <c r="C1847" s="425">
        <v>18.2976</v>
      </c>
      <c r="D1847" s="426">
        <v>21.3255</v>
      </c>
      <c r="E1847" s="425">
        <v>15.3495</v>
      </c>
      <c r="F1847" s="425">
        <v>18.3207</v>
      </c>
      <c r="G1847" s="425">
        <v>14.755</v>
      </c>
      <c r="H1847" s="426">
        <v>28.2508</v>
      </c>
      <c r="I1847" s="426">
        <v>23.9728</v>
      </c>
      <c r="J1847" s="425">
        <v>21.9009</v>
      </c>
      <c r="K1847" s="182">
        <v>12018.4</v>
      </c>
      <c r="L1847" s="36"/>
      <c r="M1847" s="36"/>
      <c r="N1847" s="36"/>
      <c r="O1847" s="36"/>
      <c r="P1847" s="36"/>
      <c r="Q1847" s="36"/>
      <c r="R1847" s="36"/>
      <c r="S1847" s="36"/>
      <c r="T1847" s="36"/>
      <c r="U1847" s="36"/>
      <c r="V1847" s="36"/>
      <c r="W1847" s="36"/>
      <c r="X1847" s="36"/>
      <c r="Y1847" s="36"/>
      <c r="Z1847" s="36"/>
      <c r="AA1847" s="36"/>
      <c r="AB1847" s="36"/>
      <c r="AC1847" s="36"/>
    </row>
    <row r="1848" ht="15.75" customHeight="1">
      <c r="A1848" s="423">
        <v>43805.0</v>
      </c>
      <c r="B1848" s="424">
        <v>15.386</v>
      </c>
      <c r="C1848" s="425">
        <v>18.2778</v>
      </c>
      <c r="D1848" s="426">
        <v>21.2952</v>
      </c>
      <c r="E1848" s="425">
        <v>15.3226</v>
      </c>
      <c r="F1848" s="425">
        <v>18.2061</v>
      </c>
      <c r="G1848" s="425">
        <v>14.7311</v>
      </c>
      <c r="H1848" s="426">
        <v>27.944</v>
      </c>
      <c r="I1848" s="426">
        <v>23.8381</v>
      </c>
      <c r="J1848" s="425">
        <v>21.7986</v>
      </c>
      <c r="K1848" s="182">
        <v>11921.5</v>
      </c>
      <c r="L1848" s="36"/>
      <c r="M1848" s="36"/>
      <c r="N1848" s="36"/>
      <c r="O1848" s="36"/>
      <c r="P1848" s="36"/>
      <c r="Q1848" s="36"/>
      <c r="R1848" s="36"/>
      <c r="S1848" s="36"/>
      <c r="T1848" s="36"/>
      <c r="U1848" s="36"/>
      <c r="V1848" s="36"/>
      <c r="W1848" s="36"/>
      <c r="X1848" s="36"/>
      <c r="Y1848" s="36"/>
      <c r="Z1848" s="36"/>
      <c r="AA1848" s="36"/>
      <c r="AB1848" s="36"/>
      <c r="AC1848" s="36"/>
    </row>
    <row r="1849" ht="15.75" customHeight="1">
      <c r="A1849" s="423">
        <v>43808.0</v>
      </c>
      <c r="B1849" s="424">
        <v>15.3748</v>
      </c>
      <c r="C1849" s="425">
        <v>18.2752</v>
      </c>
      <c r="D1849" s="426">
        <v>21.302</v>
      </c>
      <c r="E1849" s="425">
        <v>15.3293</v>
      </c>
      <c r="F1849" s="425">
        <v>18.1858</v>
      </c>
      <c r="G1849" s="425">
        <v>14.7305</v>
      </c>
      <c r="H1849" s="426">
        <v>27.9817</v>
      </c>
      <c r="I1849" s="426">
        <v>23.8248</v>
      </c>
      <c r="J1849" s="425">
        <v>21.796</v>
      </c>
      <c r="K1849" s="182">
        <v>11937.5</v>
      </c>
      <c r="L1849" s="36"/>
      <c r="M1849" s="36"/>
      <c r="N1849" s="36"/>
      <c r="O1849" s="36"/>
      <c r="P1849" s="36"/>
      <c r="Q1849" s="36"/>
      <c r="R1849" s="36"/>
      <c r="S1849" s="36"/>
      <c r="T1849" s="36"/>
      <c r="U1849" s="36"/>
      <c r="V1849" s="36"/>
      <c r="W1849" s="36"/>
      <c r="X1849" s="36"/>
      <c r="Y1849" s="36"/>
      <c r="Z1849" s="36"/>
      <c r="AA1849" s="36"/>
      <c r="AB1849" s="36"/>
      <c r="AC1849" s="36"/>
    </row>
    <row r="1850" ht="15.75" customHeight="1">
      <c r="A1850" s="423">
        <v>43809.0</v>
      </c>
      <c r="B1850" s="424">
        <v>15.2876</v>
      </c>
      <c r="C1850" s="425">
        <v>18.2798</v>
      </c>
      <c r="D1850" s="426">
        <v>21.2778</v>
      </c>
      <c r="E1850" s="425">
        <v>15.3094</v>
      </c>
      <c r="F1850" s="425">
        <v>18.0926</v>
      </c>
      <c r="G1850" s="425">
        <v>14.7253</v>
      </c>
      <c r="H1850" s="426">
        <v>27.7086</v>
      </c>
      <c r="I1850" s="426">
        <v>23.693</v>
      </c>
      <c r="J1850" s="425">
        <v>21.7007</v>
      </c>
      <c r="K1850" s="182">
        <v>11856.8</v>
      </c>
      <c r="L1850" s="36"/>
      <c r="M1850" s="36"/>
      <c r="N1850" s="36"/>
      <c r="O1850" s="36"/>
      <c r="P1850" s="36"/>
      <c r="Q1850" s="36"/>
      <c r="R1850" s="36"/>
      <c r="S1850" s="36"/>
      <c r="T1850" s="36"/>
      <c r="U1850" s="36"/>
      <c r="V1850" s="36"/>
      <c r="W1850" s="36"/>
      <c r="X1850" s="36"/>
      <c r="Y1850" s="36"/>
      <c r="Z1850" s="36"/>
      <c r="AA1850" s="36"/>
      <c r="AB1850" s="36"/>
      <c r="AC1850" s="36"/>
    </row>
    <row r="1851" ht="15.75" customHeight="1">
      <c r="A1851" s="423">
        <v>43810.0</v>
      </c>
      <c r="B1851" s="424">
        <v>15.3372</v>
      </c>
      <c r="C1851" s="425">
        <v>18.281</v>
      </c>
      <c r="D1851" s="426">
        <v>21.2448</v>
      </c>
      <c r="E1851" s="425">
        <v>15.282</v>
      </c>
      <c r="F1851" s="425">
        <v>18.1375</v>
      </c>
      <c r="G1851" s="425">
        <v>14.7172</v>
      </c>
      <c r="H1851" s="426">
        <v>27.7817</v>
      </c>
      <c r="I1851" s="426">
        <v>23.7669</v>
      </c>
      <c r="J1851" s="425">
        <v>21.7315</v>
      </c>
      <c r="K1851" s="182">
        <v>11910.15</v>
      </c>
      <c r="L1851" s="36"/>
      <c r="M1851" s="36"/>
      <c r="N1851" s="36"/>
      <c r="O1851" s="36"/>
      <c r="P1851" s="36"/>
      <c r="Q1851" s="36"/>
      <c r="R1851" s="36"/>
      <c r="S1851" s="36"/>
      <c r="T1851" s="36"/>
      <c r="U1851" s="36"/>
      <c r="V1851" s="36"/>
      <c r="W1851" s="36"/>
      <c r="X1851" s="36"/>
      <c r="Y1851" s="36"/>
      <c r="Z1851" s="36"/>
      <c r="AA1851" s="36"/>
      <c r="AB1851" s="36"/>
      <c r="AC1851" s="36"/>
    </row>
    <row r="1852" ht="15.75" customHeight="1">
      <c r="A1852" s="423">
        <v>43811.0</v>
      </c>
      <c r="B1852" s="424">
        <v>15.4153</v>
      </c>
      <c r="C1852" s="425">
        <v>18.284</v>
      </c>
      <c r="D1852" s="426">
        <v>21.2372</v>
      </c>
      <c r="E1852" s="425">
        <v>15.2768</v>
      </c>
      <c r="F1852" s="425">
        <v>18.2257</v>
      </c>
      <c r="G1852" s="425">
        <v>14.7146</v>
      </c>
      <c r="H1852" s="426">
        <v>27.9372</v>
      </c>
      <c r="I1852" s="426">
        <v>23.8886</v>
      </c>
      <c r="J1852" s="425">
        <v>21.807</v>
      </c>
      <c r="K1852" s="182">
        <v>11971.8</v>
      </c>
      <c r="L1852" s="36"/>
      <c r="M1852" s="36"/>
      <c r="N1852" s="36"/>
      <c r="O1852" s="36"/>
      <c r="P1852" s="36"/>
      <c r="Q1852" s="36"/>
      <c r="R1852" s="36"/>
      <c r="S1852" s="36"/>
      <c r="T1852" s="36"/>
      <c r="U1852" s="36"/>
      <c r="V1852" s="36"/>
      <c r="W1852" s="36"/>
      <c r="X1852" s="36"/>
      <c r="Y1852" s="36"/>
      <c r="Z1852" s="36"/>
      <c r="AA1852" s="36"/>
      <c r="AB1852" s="36"/>
      <c r="AC1852" s="36"/>
    </row>
    <row r="1853" ht="15.75" customHeight="1">
      <c r="A1853" s="423">
        <v>43812.0</v>
      </c>
      <c r="B1853" s="424">
        <v>15.5428</v>
      </c>
      <c r="C1853" s="425">
        <v>18.2735</v>
      </c>
      <c r="D1853" s="426">
        <v>21.2298</v>
      </c>
      <c r="E1853" s="425">
        <v>15.2687</v>
      </c>
      <c r="F1853" s="425">
        <v>18.3842</v>
      </c>
      <c r="G1853" s="425">
        <v>14.7073</v>
      </c>
      <c r="H1853" s="426">
        <v>28.1383</v>
      </c>
      <c r="I1853" s="426">
        <v>24.0778</v>
      </c>
      <c r="J1853" s="425">
        <v>21.9282</v>
      </c>
      <c r="K1853" s="182">
        <v>12086.7</v>
      </c>
      <c r="L1853" s="36"/>
      <c r="M1853" s="36"/>
      <c r="N1853" s="36"/>
      <c r="O1853" s="36"/>
      <c r="P1853" s="36"/>
      <c r="Q1853" s="36"/>
      <c r="R1853" s="36"/>
      <c r="S1853" s="36"/>
      <c r="T1853" s="36"/>
      <c r="U1853" s="36"/>
      <c r="V1853" s="36"/>
      <c r="W1853" s="36"/>
      <c r="X1853" s="36"/>
      <c r="Y1853" s="36"/>
      <c r="Z1853" s="36"/>
      <c r="AA1853" s="36"/>
      <c r="AB1853" s="36"/>
      <c r="AC1853" s="36"/>
    </row>
    <row r="1854" ht="15.75" customHeight="1">
      <c r="A1854" s="423">
        <v>43815.0</v>
      </c>
      <c r="B1854" s="424">
        <v>15.4873</v>
      </c>
      <c r="C1854" s="425">
        <v>18.2807</v>
      </c>
      <c r="D1854" s="426">
        <v>21.2381</v>
      </c>
      <c r="E1854" s="425">
        <v>15.2719</v>
      </c>
      <c r="F1854" s="425">
        <v>18.3154</v>
      </c>
      <c r="G1854" s="425">
        <v>14.7117</v>
      </c>
      <c r="H1854" s="426">
        <v>27.9949</v>
      </c>
      <c r="I1854" s="426">
        <v>23.9781</v>
      </c>
      <c r="J1854" s="425">
        <v>21.8803</v>
      </c>
      <c r="K1854" s="182">
        <v>12053.95</v>
      </c>
      <c r="L1854" s="36"/>
      <c r="M1854" s="36"/>
      <c r="N1854" s="36"/>
      <c r="O1854" s="36"/>
      <c r="P1854" s="36"/>
      <c r="Q1854" s="36"/>
      <c r="R1854" s="36"/>
      <c r="S1854" s="36"/>
      <c r="T1854" s="36"/>
      <c r="U1854" s="36"/>
      <c r="V1854" s="36"/>
      <c r="W1854" s="36"/>
      <c r="X1854" s="36"/>
      <c r="Y1854" s="36"/>
      <c r="Z1854" s="36"/>
      <c r="AA1854" s="36"/>
      <c r="AB1854" s="36"/>
      <c r="AC1854" s="36"/>
    </row>
    <row r="1855" ht="15.75" customHeight="1">
      <c r="A1855" s="423">
        <v>43816.0</v>
      </c>
      <c r="B1855" s="424">
        <v>15.6028</v>
      </c>
      <c r="C1855" s="425">
        <v>18.283</v>
      </c>
      <c r="D1855" s="426">
        <v>21.2559</v>
      </c>
      <c r="E1855" s="425">
        <v>15.2845</v>
      </c>
      <c r="F1855" s="425">
        <v>18.4491</v>
      </c>
      <c r="G1855" s="425">
        <v>14.7217</v>
      </c>
      <c r="H1855" s="426">
        <v>28.1313</v>
      </c>
      <c r="I1855" s="426">
        <v>24.1454</v>
      </c>
      <c r="J1855" s="425">
        <v>22.0072</v>
      </c>
      <c r="K1855" s="182">
        <v>12165.0</v>
      </c>
      <c r="L1855" s="36"/>
      <c r="M1855" s="36"/>
      <c r="N1855" s="36"/>
      <c r="O1855" s="36"/>
      <c r="P1855" s="36"/>
      <c r="Q1855" s="36"/>
      <c r="R1855" s="36"/>
      <c r="S1855" s="36"/>
      <c r="T1855" s="36"/>
      <c r="U1855" s="36"/>
      <c r="V1855" s="36"/>
      <c r="W1855" s="36"/>
      <c r="X1855" s="36"/>
      <c r="Y1855" s="36"/>
      <c r="Z1855" s="36"/>
      <c r="AA1855" s="36"/>
      <c r="AB1855" s="36"/>
      <c r="AC1855" s="36"/>
    </row>
    <row r="1856" ht="15.75" customHeight="1">
      <c r="A1856" s="423">
        <v>43817.0</v>
      </c>
      <c r="B1856" s="424">
        <v>15.6628</v>
      </c>
      <c r="C1856" s="425">
        <v>18.2968</v>
      </c>
      <c r="D1856" s="426">
        <v>21.2862</v>
      </c>
      <c r="E1856" s="425">
        <v>15.3046</v>
      </c>
      <c r="F1856" s="425">
        <v>18.5183</v>
      </c>
      <c r="G1856" s="425">
        <v>14.7357</v>
      </c>
      <c r="H1856" s="426">
        <v>28.0463</v>
      </c>
      <c r="I1856" s="426">
        <v>24.2389</v>
      </c>
      <c r="J1856" s="425">
        <v>22.0826</v>
      </c>
      <c r="K1856" s="182">
        <v>12221.65</v>
      </c>
      <c r="L1856" s="36"/>
      <c r="M1856" s="36"/>
      <c r="N1856" s="36"/>
      <c r="O1856" s="36"/>
      <c r="P1856" s="36"/>
      <c r="Q1856" s="36"/>
      <c r="R1856" s="36"/>
      <c r="S1856" s="36"/>
      <c r="T1856" s="36"/>
      <c r="U1856" s="36"/>
      <c r="V1856" s="36"/>
      <c r="W1856" s="36"/>
      <c r="X1856" s="36"/>
      <c r="Y1856" s="36"/>
      <c r="Z1856" s="36"/>
      <c r="AA1856" s="36"/>
      <c r="AB1856" s="36"/>
      <c r="AC1856" s="36"/>
    </row>
    <row r="1857" ht="15.75" customHeight="1">
      <c r="A1857" s="423">
        <v>43818.0</v>
      </c>
      <c r="B1857" s="424">
        <v>15.7257</v>
      </c>
      <c r="C1857" s="425">
        <v>18.3024</v>
      </c>
      <c r="D1857" s="426">
        <v>21.2764</v>
      </c>
      <c r="E1857" s="425">
        <v>15.298</v>
      </c>
      <c r="F1857" s="425">
        <v>18.5831</v>
      </c>
      <c r="G1857" s="425">
        <v>14.7394</v>
      </c>
      <c r="H1857" s="426">
        <v>28.0137</v>
      </c>
      <c r="I1857" s="426">
        <v>24.3307</v>
      </c>
      <c r="J1857" s="425">
        <v>22.1346</v>
      </c>
      <c r="K1857" s="182">
        <v>12259.7</v>
      </c>
      <c r="L1857" s="36"/>
      <c r="M1857" s="36"/>
      <c r="N1857" s="36"/>
      <c r="O1857" s="36"/>
      <c r="P1857" s="36"/>
      <c r="Q1857" s="36"/>
      <c r="R1857" s="36"/>
      <c r="S1857" s="36"/>
      <c r="T1857" s="36"/>
      <c r="U1857" s="36"/>
      <c r="V1857" s="36"/>
      <c r="W1857" s="36"/>
      <c r="X1857" s="36"/>
      <c r="Y1857" s="36"/>
      <c r="Z1857" s="36"/>
      <c r="AA1857" s="36"/>
      <c r="AB1857" s="36"/>
      <c r="AC1857" s="36"/>
    </row>
    <row r="1858" ht="15.75" customHeight="1">
      <c r="A1858" s="423">
        <v>43819.0</v>
      </c>
      <c r="B1858" s="424">
        <v>15.7413</v>
      </c>
      <c r="C1858" s="425">
        <v>18.3037</v>
      </c>
      <c r="D1858" s="426">
        <v>21.3999</v>
      </c>
      <c r="E1858" s="425">
        <v>15.3763</v>
      </c>
      <c r="F1858" s="425">
        <v>18.6129</v>
      </c>
      <c r="G1858" s="425">
        <v>14.7798</v>
      </c>
      <c r="H1858" s="426">
        <v>28.0177</v>
      </c>
      <c r="I1858" s="426">
        <v>24.3622</v>
      </c>
      <c r="J1858" s="425">
        <v>22.2101</v>
      </c>
      <c r="K1858" s="182">
        <v>12271.8</v>
      </c>
      <c r="L1858" s="36"/>
      <c r="M1858" s="36"/>
      <c r="N1858" s="36"/>
      <c r="O1858" s="36"/>
      <c r="P1858" s="36"/>
      <c r="Q1858" s="36"/>
      <c r="R1858" s="36"/>
      <c r="S1858" s="36"/>
      <c r="T1858" s="36"/>
      <c r="U1858" s="36"/>
      <c r="V1858" s="36"/>
      <c r="W1858" s="36"/>
      <c r="X1858" s="36"/>
      <c r="Y1858" s="36"/>
      <c r="Z1858" s="36"/>
      <c r="AA1858" s="36"/>
      <c r="AB1858" s="36"/>
      <c r="AC1858" s="36"/>
    </row>
    <row r="1859" ht="15.75" customHeight="1">
      <c r="A1859" s="423">
        <v>43822.0</v>
      </c>
      <c r="B1859" s="424">
        <v>15.7264</v>
      </c>
      <c r="C1859" s="425">
        <v>18.3141</v>
      </c>
      <c r="D1859" s="426">
        <v>21.4289</v>
      </c>
      <c r="E1859" s="425">
        <v>15.3952</v>
      </c>
      <c r="F1859" s="425">
        <v>18.6005</v>
      </c>
      <c r="G1859" s="425">
        <v>14.7937</v>
      </c>
      <c r="H1859" s="426">
        <v>27.9816</v>
      </c>
      <c r="I1859" s="426">
        <v>24.339</v>
      </c>
      <c r="J1859" s="425">
        <v>22.2115</v>
      </c>
      <c r="K1859" s="182">
        <v>12262.75</v>
      </c>
      <c r="L1859" s="36"/>
      <c r="M1859" s="36"/>
      <c r="N1859" s="36"/>
      <c r="O1859" s="36"/>
      <c r="P1859" s="36"/>
      <c r="Q1859" s="36"/>
      <c r="R1859" s="36"/>
      <c r="S1859" s="36"/>
      <c r="T1859" s="36"/>
      <c r="U1859" s="36"/>
      <c r="V1859" s="36"/>
      <c r="W1859" s="36"/>
      <c r="X1859" s="36"/>
      <c r="Y1859" s="36"/>
      <c r="Z1859" s="36"/>
      <c r="AA1859" s="36"/>
      <c r="AB1859" s="36"/>
      <c r="AC1859" s="36"/>
    </row>
    <row r="1860" ht="15.75" customHeight="1">
      <c r="A1860" s="423">
        <v>43823.0</v>
      </c>
      <c r="B1860" s="424">
        <v>15.6688</v>
      </c>
      <c r="C1860" s="425">
        <v>18.323</v>
      </c>
      <c r="D1860" s="426">
        <v>21.4346</v>
      </c>
      <c r="E1860" s="425">
        <v>15.399</v>
      </c>
      <c r="F1860" s="425">
        <v>18.5334</v>
      </c>
      <c r="G1860" s="425">
        <v>14.7969</v>
      </c>
      <c r="H1860" s="426">
        <v>27.9444</v>
      </c>
      <c r="I1860" s="426">
        <v>24.2598</v>
      </c>
      <c r="J1860" s="425">
        <v>22.1535</v>
      </c>
      <c r="K1860" s="182">
        <v>12214.55</v>
      </c>
      <c r="L1860" s="36"/>
      <c r="M1860" s="36"/>
      <c r="N1860" s="36"/>
      <c r="O1860" s="36"/>
      <c r="P1860" s="36"/>
      <c r="Q1860" s="36"/>
      <c r="R1860" s="36"/>
      <c r="S1860" s="36"/>
      <c r="T1860" s="36"/>
      <c r="U1860" s="36"/>
      <c r="V1860" s="36"/>
      <c r="W1860" s="36"/>
      <c r="X1860" s="36"/>
      <c r="Y1860" s="36"/>
      <c r="Z1860" s="36"/>
      <c r="AA1860" s="36"/>
      <c r="AB1860" s="36"/>
      <c r="AC1860" s="36"/>
    </row>
    <row r="1861" ht="15.75" customHeight="1">
      <c r="A1861" s="423">
        <v>43825.0</v>
      </c>
      <c r="B1861" s="424">
        <v>15.5576</v>
      </c>
      <c r="C1861" s="425">
        <v>18.3142</v>
      </c>
      <c r="D1861" s="426">
        <v>21.4411</v>
      </c>
      <c r="E1861" s="425">
        <v>15.4038</v>
      </c>
      <c r="F1861" s="425">
        <v>18.3984</v>
      </c>
      <c r="G1861" s="425">
        <v>14.7952</v>
      </c>
      <c r="H1861" s="426">
        <v>28.0091</v>
      </c>
      <c r="I1861" s="426">
        <v>24.0849</v>
      </c>
      <c r="J1861" s="425">
        <v>22.0458</v>
      </c>
      <c r="K1861" s="182">
        <v>12126.55</v>
      </c>
      <c r="L1861" s="36"/>
      <c r="M1861" s="36"/>
      <c r="N1861" s="36"/>
      <c r="O1861" s="36"/>
      <c r="P1861" s="36"/>
      <c r="Q1861" s="36"/>
      <c r="R1861" s="36"/>
      <c r="S1861" s="36"/>
      <c r="T1861" s="36"/>
      <c r="U1861" s="36"/>
      <c r="V1861" s="36"/>
      <c r="W1861" s="36"/>
      <c r="X1861" s="36"/>
      <c r="Y1861" s="36"/>
      <c r="Z1861" s="36"/>
      <c r="AA1861" s="36"/>
      <c r="AB1861" s="36"/>
      <c r="AC1861" s="36"/>
    </row>
    <row r="1862" ht="15.75" customHeight="1">
      <c r="A1862" s="423">
        <v>43826.0</v>
      </c>
      <c r="B1862" s="424">
        <v>15.6931</v>
      </c>
      <c r="C1862" s="425">
        <v>18.3192</v>
      </c>
      <c r="D1862" s="426">
        <v>21.4457</v>
      </c>
      <c r="E1862" s="425">
        <v>15.4101</v>
      </c>
      <c r="F1862" s="425">
        <v>18.5718</v>
      </c>
      <c r="G1862" s="425">
        <v>14.8043</v>
      </c>
      <c r="H1862" s="426">
        <v>28.197</v>
      </c>
      <c r="I1862" s="426">
        <v>24.3008</v>
      </c>
      <c r="J1862" s="425">
        <v>22.1839</v>
      </c>
      <c r="K1862" s="182">
        <v>12245.8</v>
      </c>
      <c r="L1862" s="36"/>
      <c r="M1862" s="36"/>
      <c r="N1862" s="36"/>
      <c r="O1862" s="36"/>
      <c r="P1862" s="36"/>
      <c r="Q1862" s="36"/>
      <c r="R1862" s="36"/>
      <c r="S1862" s="36"/>
      <c r="T1862" s="36"/>
      <c r="U1862" s="36"/>
      <c r="V1862" s="36"/>
      <c r="W1862" s="36"/>
      <c r="X1862" s="36"/>
      <c r="Y1862" s="36"/>
      <c r="Z1862" s="36"/>
      <c r="AA1862" s="36"/>
      <c r="AB1862" s="36"/>
      <c r="AC1862" s="36"/>
    </row>
    <row r="1863" ht="15.75" customHeight="1">
      <c r="A1863" s="423">
        <v>43829.0</v>
      </c>
      <c r="B1863" s="424">
        <v>15.7059</v>
      </c>
      <c r="C1863" s="425">
        <v>18.3232</v>
      </c>
      <c r="D1863" s="426">
        <v>21.4531</v>
      </c>
      <c r="E1863" s="425">
        <v>15.4126</v>
      </c>
      <c r="F1863" s="425">
        <v>18.5809</v>
      </c>
      <c r="G1863" s="425">
        <v>14.8052</v>
      </c>
      <c r="H1863" s="426">
        <v>28.2723</v>
      </c>
      <c r="I1863" s="426">
        <v>24.3125</v>
      </c>
      <c r="J1863" s="425">
        <v>22.2046</v>
      </c>
      <c r="K1863" s="182">
        <v>12255.85</v>
      </c>
      <c r="L1863" s="36"/>
      <c r="M1863" s="36"/>
      <c r="N1863" s="36"/>
      <c r="O1863" s="36"/>
      <c r="P1863" s="36"/>
      <c r="Q1863" s="36"/>
      <c r="R1863" s="36"/>
      <c r="S1863" s="36"/>
      <c r="T1863" s="36"/>
      <c r="U1863" s="36"/>
      <c r="V1863" s="36"/>
      <c r="W1863" s="36"/>
      <c r="X1863" s="36"/>
      <c r="Y1863" s="36"/>
      <c r="Z1863" s="36"/>
      <c r="AA1863" s="36"/>
      <c r="AB1863" s="36"/>
      <c r="AC1863" s="36"/>
    </row>
    <row r="1864" ht="15.75" customHeight="1">
      <c r="A1864" s="423">
        <v>43830.0</v>
      </c>
      <c r="B1864" s="424">
        <v>15.6156</v>
      </c>
      <c r="C1864" s="425">
        <v>18.3228</v>
      </c>
      <c r="D1864" s="426">
        <v>21.4518</v>
      </c>
      <c r="E1864" s="425">
        <v>15.411</v>
      </c>
      <c r="F1864" s="425">
        <v>18.4829</v>
      </c>
      <c r="G1864" s="425">
        <v>14.8036</v>
      </c>
      <c r="H1864" s="426">
        <v>28.3083</v>
      </c>
      <c r="I1864" s="426">
        <v>24.1801</v>
      </c>
      <c r="J1864" s="425">
        <v>22.1095</v>
      </c>
      <c r="K1864" s="182">
        <v>12168.45</v>
      </c>
      <c r="L1864" s="36"/>
      <c r="M1864" s="36"/>
      <c r="N1864" s="36"/>
      <c r="O1864" s="36"/>
      <c r="P1864" s="36"/>
      <c r="Q1864" s="36"/>
      <c r="R1864" s="36"/>
      <c r="S1864" s="36"/>
      <c r="T1864" s="36"/>
      <c r="U1864" s="36"/>
      <c r="V1864" s="36"/>
      <c r="W1864" s="36"/>
      <c r="X1864" s="36"/>
      <c r="Y1864" s="36"/>
      <c r="Z1864" s="36"/>
      <c r="AA1864" s="36"/>
      <c r="AB1864" s="36"/>
      <c r="AC1864" s="36"/>
    </row>
    <row r="1865" ht="15.75" customHeight="1">
      <c r="A1865" s="423">
        <v>43831.0</v>
      </c>
      <c r="B1865" s="424">
        <v>15.6197</v>
      </c>
      <c r="C1865" s="425">
        <v>18.324</v>
      </c>
      <c r="D1865" s="426">
        <v>21.4896</v>
      </c>
      <c r="E1865" s="425">
        <v>15.4408</v>
      </c>
      <c r="F1865" s="425">
        <v>18.4894</v>
      </c>
      <c r="G1865" s="425">
        <v>14.8166</v>
      </c>
      <c r="H1865" s="426">
        <v>28.3968</v>
      </c>
      <c r="I1865" s="426">
        <v>24.1937</v>
      </c>
      <c r="J1865" s="425">
        <v>22.1275</v>
      </c>
      <c r="K1865" s="182">
        <v>12182.5</v>
      </c>
      <c r="L1865" s="36"/>
      <c r="M1865" s="36"/>
      <c r="N1865" s="36"/>
      <c r="O1865" s="36"/>
      <c r="P1865" s="36"/>
      <c r="Q1865" s="36"/>
      <c r="R1865" s="36"/>
      <c r="S1865" s="36"/>
      <c r="T1865" s="36"/>
      <c r="U1865" s="36"/>
      <c r="V1865" s="36"/>
      <c r="W1865" s="36"/>
      <c r="X1865" s="36"/>
      <c r="Y1865" s="36"/>
      <c r="Z1865" s="36"/>
      <c r="AA1865" s="36"/>
      <c r="AB1865" s="36"/>
      <c r="AC1865" s="36"/>
    </row>
    <row r="1866" ht="15.75" customHeight="1">
      <c r="A1866" s="423">
        <v>43832.0</v>
      </c>
      <c r="B1866" s="424">
        <v>15.7354</v>
      </c>
      <c r="C1866" s="425">
        <v>18.3265</v>
      </c>
      <c r="D1866" s="426">
        <v>21.503</v>
      </c>
      <c r="E1866" s="425">
        <v>15.4484</v>
      </c>
      <c r="F1866" s="425">
        <v>18.6479</v>
      </c>
      <c r="G1866" s="425">
        <v>14.8195</v>
      </c>
      <c r="H1866" s="426">
        <v>28.6616</v>
      </c>
      <c r="I1866" s="426">
        <v>24.3752</v>
      </c>
      <c r="J1866" s="425">
        <v>22.2509</v>
      </c>
      <c r="K1866" s="182">
        <v>12282.2</v>
      </c>
      <c r="L1866" s="36"/>
      <c r="M1866" s="36"/>
      <c r="N1866" s="36"/>
      <c r="O1866" s="36"/>
      <c r="P1866" s="36"/>
      <c r="Q1866" s="36"/>
      <c r="R1866" s="36"/>
      <c r="S1866" s="36"/>
      <c r="T1866" s="36"/>
      <c r="U1866" s="36"/>
      <c r="V1866" s="36"/>
      <c r="W1866" s="36"/>
      <c r="X1866" s="36"/>
      <c r="Y1866" s="36"/>
      <c r="Z1866" s="36"/>
      <c r="AA1866" s="36"/>
      <c r="AB1866" s="36"/>
      <c r="AC1866" s="36"/>
    </row>
    <row r="1867" ht="15.75" customHeight="1">
      <c r="A1867" s="423">
        <v>43833.0</v>
      </c>
      <c r="B1867" s="424">
        <v>15.6591</v>
      </c>
      <c r="C1867" s="425">
        <v>18.3447</v>
      </c>
      <c r="D1867" s="426">
        <v>21.5247</v>
      </c>
      <c r="E1867" s="425">
        <v>15.4615</v>
      </c>
      <c r="F1867" s="425">
        <v>18.5645</v>
      </c>
      <c r="G1867" s="425">
        <v>14.8272</v>
      </c>
      <c r="H1867" s="426">
        <v>28.5293</v>
      </c>
      <c r="I1867" s="426">
        <v>24.272</v>
      </c>
      <c r="J1867" s="425">
        <v>22.1816</v>
      </c>
      <c r="K1867" s="182">
        <v>12226.65</v>
      </c>
      <c r="L1867" s="36"/>
      <c r="M1867" s="36"/>
      <c r="N1867" s="36"/>
      <c r="O1867" s="36"/>
      <c r="P1867" s="36"/>
      <c r="Q1867" s="36"/>
      <c r="R1867" s="36"/>
      <c r="S1867" s="36"/>
      <c r="T1867" s="36"/>
      <c r="U1867" s="36"/>
      <c r="V1867" s="36"/>
      <c r="W1867" s="36"/>
      <c r="X1867" s="36"/>
      <c r="Y1867" s="36"/>
      <c r="Z1867" s="36"/>
      <c r="AA1867" s="36"/>
      <c r="AB1867" s="36"/>
      <c r="AC1867" s="36"/>
    </row>
    <row r="1868" ht="15.75" customHeight="1">
      <c r="A1868" s="423">
        <v>43836.0</v>
      </c>
      <c r="B1868" s="424">
        <v>15.4018</v>
      </c>
      <c r="C1868" s="425">
        <v>18.3533</v>
      </c>
      <c r="D1868" s="426">
        <v>21.4763</v>
      </c>
      <c r="E1868" s="425">
        <v>15.425</v>
      </c>
      <c r="F1868" s="425">
        <v>18.251</v>
      </c>
      <c r="G1868" s="425">
        <v>14.8163</v>
      </c>
      <c r="H1868" s="426">
        <v>28.0233</v>
      </c>
      <c r="I1868" s="426">
        <v>23.8705</v>
      </c>
      <c r="J1868" s="425">
        <v>21.8944</v>
      </c>
      <c r="K1868" s="182">
        <v>11993.05</v>
      </c>
      <c r="L1868" s="36"/>
      <c r="M1868" s="36"/>
      <c r="N1868" s="36"/>
      <c r="O1868" s="36"/>
      <c r="P1868" s="36"/>
      <c r="Q1868" s="36"/>
      <c r="R1868" s="36"/>
      <c r="S1868" s="36"/>
      <c r="T1868" s="36"/>
      <c r="U1868" s="36"/>
      <c r="V1868" s="36"/>
      <c r="W1868" s="36"/>
      <c r="X1868" s="36"/>
      <c r="Y1868" s="36"/>
      <c r="Z1868" s="36"/>
      <c r="AA1868" s="36"/>
      <c r="AB1868" s="36"/>
      <c r="AC1868" s="36"/>
    </row>
    <row r="1869" ht="15.75" customHeight="1">
      <c r="A1869" s="423">
        <v>43837.0</v>
      </c>
      <c r="B1869" s="424">
        <v>15.4666</v>
      </c>
      <c r="C1869" s="425">
        <v>18.3563</v>
      </c>
      <c r="D1869" s="426">
        <v>21.4792</v>
      </c>
      <c r="E1869" s="425">
        <v>15.427</v>
      </c>
      <c r="F1869" s="425">
        <v>18.324</v>
      </c>
      <c r="G1869" s="425">
        <v>14.8209</v>
      </c>
      <c r="H1869" s="426">
        <v>28.2059</v>
      </c>
      <c r="I1869" s="426">
        <v>23.974</v>
      </c>
      <c r="J1869" s="425">
        <v>21.9665</v>
      </c>
      <c r="K1869" s="182">
        <v>12052.95</v>
      </c>
      <c r="L1869" s="36"/>
      <c r="M1869" s="36"/>
      <c r="N1869" s="36"/>
      <c r="O1869" s="36"/>
      <c r="P1869" s="36"/>
      <c r="Q1869" s="36"/>
      <c r="R1869" s="36"/>
      <c r="S1869" s="36"/>
      <c r="T1869" s="36"/>
      <c r="U1869" s="36"/>
      <c r="V1869" s="36"/>
      <c r="W1869" s="36"/>
      <c r="X1869" s="36"/>
      <c r="Y1869" s="36"/>
      <c r="Z1869" s="36"/>
      <c r="AA1869" s="36"/>
      <c r="AB1869" s="36"/>
      <c r="AC1869" s="36"/>
    </row>
    <row r="1870" ht="15.75" customHeight="1">
      <c r="A1870" s="423">
        <v>43838.0</v>
      </c>
      <c r="B1870" s="424">
        <v>15.4366</v>
      </c>
      <c r="C1870" s="425">
        <v>18.3615</v>
      </c>
      <c r="D1870" s="426">
        <v>21.4799</v>
      </c>
      <c r="E1870" s="425">
        <v>15.4269</v>
      </c>
      <c r="F1870" s="425">
        <v>18.2897</v>
      </c>
      <c r="G1870" s="425">
        <v>14.8257</v>
      </c>
      <c r="H1870" s="426">
        <v>28.3014</v>
      </c>
      <c r="I1870" s="426">
        <v>23.917</v>
      </c>
      <c r="J1870" s="425">
        <v>21.9432</v>
      </c>
      <c r="K1870" s="182">
        <v>12025.35</v>
      </c>
      <c r="L1870" s="36"/>
      <c r="M1870" s="36"/>
      <c r="N1870" s="36"/>
      <c r="O1870" s="36"/>
      <c r="P1870" s="36"/>
      <c r="Q1870" s="36"/>
      <c r="R1870" s="36"/>
      <c r="S1870" s="36"/>
      <c r="T1870" s="36"/>
      <c r="U1870" s="36"/>
      <c r="V1870" s="36"/>
      <c r="W1870" s="36"/>
      <c r="X1870" s="36"/>
      <c r="Y1870" s="36"/>
      <c r="Z1870" s="36"/>
      <c r="AA1870" s="36"/>
      <c r="AB1870" s="36"/>
      <c r="AC1870" s="36"/>
    </row>
    <row r="1871" ht="15.75" customHeight="1">
      <c r="A1871" s="423">
        <v>43839.0</v>
      </c>
      <c r="B1871" s="424">
        <v>15.6525</v>
      </c>
      <c r="C1871" s="425">
        <v>18.3648</v>
      </c>
      <c r="D1871" s="426">
        <v>21.5187</v>
      </c>
      <c r="E1871" s="425">
        <v>15.4541</v>
      </c>
      <c r="F1871" s="425">
        <v>18.565</v>
      </c>
      <c r="G1871" s="425">
        <v>14.8361</v>
      </c>
      <c r="H1871" s="426">
        <v>28.6704</v>
      </c>
      <c r="I1871" s="426">
        <v>24.2709</v>
      </c>
      <c r="J1871" s="425">
        <v>22.1752</v>
      </c>
      <c r="K1871" s="182">
        <v>12215.9</v>
      </c>
      <c r="L1871" s="36"/>
      <c r="M1871" s="36"/>
      <c r="N1871" s="36"/>
      <c r="O1871" s="36"/>
      <c r="P1871" s="36"/>
      <c r="Q1871" s="36"/>
      <c r="R1871" s="36"/>
      <c r="S1871" s="36"/>
      <c r="T1871" s="36"/>
      <c r="U1871" s="36"/>
      <c r="V1871" s="36"/>
      <c r="W1871" s="36"/>
      <c r="X1871" s="36"/>
      <c r="Y1871" s="36"/>
      <c r="Z1871" s="36"/>
      <c r="AA1871" s="36"/>
      <c r="AB1871" s="36"/>
      <c r="AC1871" s="36"/>
    </row>
    <row r="1872" ht="15.75" customHeight="1">
      <c r="A1872" s="423">
        <v>43840.0</v>
      </c>
      <c r="B1872" s="424">
        <v>15.7082</v>
      </c>
      <c r="C1872" s="425">
        <v>18.3649</v>
      </c>
      <c r="D1872" s="426">
        <v>21.4833</v>
      </c>
      <c r="E1872" s="425">
        <v>15.4274</v>
      </c>
      <c r="F1872" s="425">
        <v>18.6397</v>
      </c>
      <c r="G1872" s="425">
        <v>14.8238</v>
      </c>
      <c r="H1872" s="426">
        <v>28.8021</v>
      </c>
      <c r="I1872" s="426">
        <v>24.3787</v>
      </c>
      <c r="J1872" s="425">
        <v>22.2149</v>
      </c>
      <c r="K1872" s="182">
        <v>12256.8</v>
      </c>
      <c r="L1872" s="36"/>
      <c r="M1872" s="36"/>
      <c r="N1872" s="36"/>
      <c r="O1872" s="36"/>
      <c r="P1872" s="36"/>
      <c r="Q1872" s="36"/>
      <c r="R1872" s="36"/>
      <c r="S1872" s="36"/>
      <c r="T1872" s="36"/>
      <c r="U1872" s="36"/>
      <c r="V1872" s="36"/>
      <c r="W1872" s="36"/>
      <c r="X1872" s="36"/>
      <c r="Y1872" s="36"/>
      <c r="Z1872" s="36"/>
      <c r="AA1872" s="36"/>
      <c r="AB1872" s="36"/>
      <c r="AC1872" s="36"/>
    </row>
    <row r="1873" ht="15.75" customHeight="1">
      <c r="A1873" s="423">
        <v>43843.0</v>
      </c>
      <c r="B1873" s="424">
        <v>15.7978</v>
      </c>
      <c r="C1873" s="425">
        <v>18.3725</v>
      </c>
      <c r="D1873" s="426">
        <v>21.4747</v>
      </c>
      <c r="E1873" s="425">
        <v>15.421</v>
      </c>
      <c r="F1873" s="425">
        <v>18.7532</v>
      </c>
      <c r="G1873" s="425">
        <v>14.8259</v>
      </c>
      <c r="H1873" s="426">
        <v>28.956</v>
      </c>
      <c r="I1873" s="426">
        <v>24.5225</v>
      </c>
      <c r="J1873" s="425">
        <v>22.3003</v>
      </c>
      <c r="K1873" s="182">
        <v>12329.55</v>
      </c>
      <c r="L1873" s="36"/>
      <c r="M1873" s="36"/>
      <c r="N1873" s="36"/>
      <c r="O1873" s="36"/>
      <c r="P1873" s="36"/>
      <c r="Q1873" s="36"/>
      <c r="R1873" s="36"/>
      <c r="S1873" s="36"/>
      <c r="T1873" s="36"/>
      <c r="U1873" s="36"/>
      <c r="V1873" s="36"/>
      <c r="W1873" s="36"/>
      <c r="X1873" s="36"/>
      <c r="Y1873" s="36"/>
      <c r="Z1873" s="36"/>
      <c r="AA1873" s="36"/>
      <c r="AB1873" s="36"/>
      <c r="AC1873" s="36"/>
    </row>
    <row r="1874" ht="15.75" customHeight="1">
      <c r="A1874" s="423">
        <v>43844.0</v>
      </c>
      <c r="B1874" s="424">
        <v>15.8276</v>
      </c>
      <c r="C1874" s="425">
        <v>18.3683</v>
      </c>
      <c r="D1874" s="426">
        <v>21.4254</v>
      </c>
      <c r="E1874" s="425">
        <v>15.3871</v>
      </c>
      <c r="F1874" s="425">
        <v>18.7931</v>
      </c>
      <c r="G1874" s="425">
        <v>14.8103</v>
      </c>
      <c r="H1874" s="426">
        <v>29.1665</v>
      </c>
      <c r="I1874" s="426">
        <v>24.5701</v>
      </c>
      <c r="J1874" s="425">
        <v>22.3105</v>
      </c>
      <c r="K1874" s="182">
        <v>12362.3</v>
      </c>
      <c r="L1874" s="36"/>
      <c r="M1874" s="36"/>
      <c r="N1874" s="36"/>
      <c r="O1874" s="36"/>
      <c r="P1874" s="36"/>
      <c r="Q1874" s="36"/>
      <c r="R1874" s="36"/>
      <c r="S1874" s="36"/>
      <c r="T1874" s="36"/>
      <c r="U1874" s="36"/>
      <c r="V1874" s="36"/>
      <c r="W1874" s="36"/>
      <c r="X1874" s="36"/>
      <c r="Y1874" s="36"/>
      <c r="Z1874" s="36"/>
      <c r="AA1874" s="36"/>
      <c r="AB1874" s="36"/>
      <c r="AC1874" s="36"/>
    </row>
    <row r="1875" ht="15.75" customHeight="1">
      <c r="A1875" s="423">
        <v>43845.0</v>
      </c>
      <c r="B1875" s="424">
        <v>15.8051</v>
      </c>
      <c r="C1875" s="425">
        <v>18.3711</v>
      </c>
      <c r="D1875" s="426">
        <v>21.4439</v>
      </c>
      <c r="E1875" s="425">
        <v>15.4018</v>
      </c>
      <c r="F1875" s="425">
        <v>18.8008</v>
      </c>
      <c r="G1875" s="425">
        <v>14.8151</v>
      </c>
      <c r="H1875" s="426">
        <v>29.4533</v>
      </c>
      <c r="I1875" s="426">
        <v>24.544</v>
      </c>
      <c r="J1875" s="425">
        <v>22.3044</v>
      </c>
      <c r="K1875" s="182">
        <v>12343.3</v>
      </c>
      <c r="L1875" s="36"/>
      <c r="M1875" s="36"/>
      <c r="N1875" s="36"/>
      <c r="O1875" s="36"/>
      <c r="P1875" s="36"/>
      <c r="Q1875" s="36"/>
      <c r="R1875" s="36"/>
      <c r="S1875" s="36"/>
      <c r="T1875" s="36"/>
      <c r="U1875" s="36"/>
      <c r="V1875" s="36"/>
      <c r="W1875" s="36"/>
      <c r="X1875" s="36"/>
      <c r="Y1875" s="36"/>
      <c r="Z1875" s="36"/>
      <c r="AA1875" s="36"/>
      <c r="AB1875" s="36"/>
      <c r="AC1875" s="36"/>
    </row>
    <row r="1876" ht="15.75" customHeight="1">
      <c r="A1876" s="423">
        <v>43846.0</v>
      </c>
      <c r="B1876" s="424">
        <v>15.8218</v>
      </c>
      <c r="C1876" s="425">
        <v>18.3709</v>
      </c>
      <c r="D1876" s="426">
        <v>21.4844</v>
      </c>
      <c r="E1876" s="425">
        <v>15.4257</v>
      </c>
      <c r="F1876" s="425">
        <v>18.815</v>
      </c>
      <c r="G1876" s="425">
        <v>14.821</v>
      </c>
      <c r="H1876" s="426">
        <v>29.6735</v>
      </c>
      <c r="I1876" s="426">
        <v>24.5743</v>
      </c>
      <c r="J1876" s="425">
        <v>22.3483</v>
      </c>
      <c r="K1876" s="182">
        <v>12355.5</v>
      </c>
      <c r="L1876" s="36"/>
      <c r="M1876" s="36"/>
      <c r="N1876" s="36"/>
      <c r="O1876" s="36"/>
      <c r="P1876" s="36"/>
      <c r="Q1876" s="36"/>
      <c r="R1876" s="36"/>
      <c r="S1876" s="36"/>
      <c r="T1876" s="36"/>
      <c r="U1876" s="36"/>
      <c r="V1876" s="36"/>
      <c r="W1876" s="36"/>
      <c r="X1876" s="36"/>
      <c r="Y1876" s="36"/>
      <c r="Z1876" s="36"/>
      <c r="AA1876" s="36"/>
      <c r="AB1876" s="36"/>
      <c r="AC1876" s="36"/>
    </row>
    <row r="1877" ht="15.75" customHeight="1">
      <c r="A1877" s="423">
        <v>43847.0</v>
      </c>
      <c r="B1877" s="424">
        <v>15.8341</v>
      </c>
      <c r="C1877" s="425">
        <v>18.3763</v>
      </c>
      <c r="D1877" s="426">
        <v>21.5003</v>
      </c>
      <c r="E1877" s="425">
        <v>15.4385</v>
      </c>
      <c r="F1877" s="425">
        <v>18.8699</v>
      </c>
      <c r="G1877" s="425">
        <v>14.8269</v>
      </c>
      <c r="H1877" s="426">
        <v>29.8647</v>
      </c>
      <c r="I1877" s="426">
        <v>24.6127</v>
      </c>
      <c r="J1877" s="425">
        <v>22.3716</v>
      </c>
      <c r="K1877" s="182">
        <v>12352.35</v>
      </c>
      <c r="L1877" s="36"/>
      <c r="M1877" s="36"/>
      <c r="N1877" s="36"/>
      <c r="O1877" s="36"/>
      <c r="P1877" s="36"/>
      <c r="Q1877" s="36"/>
      <c r="R1877" s="36"/>
      <c r="S1877" s="36"/>
      <c r="T1877" s="36"/>
      <c r="U1877" s="36"/>
      <c r="V1877" s="36"/>
      <c r="W1877" s="36"/>
      <c r="X1877" s="36"/>
      <c r="Y1877" s="36"/>
      <c r="Z1877" s="36"/>
      <c r="AA1877" s="36"/>
      <c r="AB1877" s="36"/>
      <c r="AC1877" s="36"/>
    </row>
    <row r="1878" ht="15.75" customHeight="1">
      <c r="A1878" s="423">
        <v>43850.0</v>
      </c>
      <c r="B1878" s="424">
        <v>15.6786</v>
      </c>
      <c r="C1878" s="425">
        <v>18.3838</v>
      </c>
      <c r="D1878" s="426">
        <v>21.5031</v>
      </c>
      <c r="E1878" s="425">
        <v>15.4401</v>
      </c>
      <c r="F1878" s="425">
        <v>18.6949</v>
      </c>
      <c r="G1878" s="425">
        <v>14.8339</v>
      </c>
      <c r="H1878" s="426">
        <v>29.7103</v>
      </c>
      <c r="I1878" s="426">
        <v>24.3621</v>
      </c>
      <c r="J1878" s="425">
        <v>22.2152</v>
      </c>
      <c r="K1878" s="182">
        <v>12224.55</v>
      </c>
      <c r="L1878" s="36"/>
      <c r="M1878" s="36"/>
      <c r="N1878" s="36"/>
      <c r="O1878" s="36"/>
      <c r="P1878" s="36"/>
      <c r="Q1878" s="36"/>
      <c r="R1878" s="36"/>
      <c r="S1878" s="36"/>
      <c r="T1878" s="36"/>
      <c r="U1878" s="36"/>
      <c r="V1878" s="36"/>
      <c r="W1878" s="36"/>
      <c r="X1878" s="36"/>
      <c r="Y1878" s="36"/>
      <c r="Z1878" s="36"/>
      <c r="AA1878" s="36"/>
      <c r="AB1878" s="36"/>
      <c r="AC1878" s="36"/>
    </row>
    <row r="1879" ht="15.75" customHeight="1">
      <c r="A1879" s="423">
        <v>43851.0</v>
      </c>
      <c r="B1879" s="424">
        <v>15.5955</v>
      </c>
      <c r="C1879" s="425">
        <v>18.386</v>
      </c>
      <c r="D1879" s="426">
        <v>21.5192</v>
      </c>
      <c r="E1879" s="425">
        <v>15.4497</v>
      </c>
      <c r="F1879" s="425">
        <v>18.5959</v>
      </c>
      <c r="G1879" s="425">
        <v>14.8381</v>
      </c>
      <c r="H1879" s="426">
        <v>29.7076</v>
      </c>
      <c r="I1879" s="426">
        <v>24.2317</v>
      </c>
      <c r="J1879" s="425">
        <v>22.1426</v>
      </c>
      <c r="K1879" s="182">
        <v>12169.85</v>
      </c>
      <c r="L1879" s="36"/>
      <c r="M1879" s="36"/>
      <c r="N1879" s="36"/>
      <c r="O1879" s="36"/>
      <c r="P1879" s="36"/>
      <c r="Q1879" s="36"/>
      <c r="R1879" s="36"/>
      <c r="S1879" s="36"/>
      <c r="T1879" s="36"/>
      <c r="U1879" s="36"/>
      <c r="V1879" s="36"/>
      <c r="W1879" s="36"/>
      <c r="X1879" s="36"/>
      <c r="Y1879" s="36"/>
      <c r="Z1879" s="36"/>
      <c r="AA1879" s="36"/>
      <c r="AB1879" s="36"/>
      <c r="AC1879" s="36"/>
    </row>
    <row r="1880" ht="15.75" customHeight="1">
      <c r="A1880" s="423">
        <v>43852.0</v>
      </c>
      <c r="B1880" s="424">
        <v>15.5312</v>
      </c>
      <c r="C1880" s="425">
        <v>18.392</v>
      </c>
      <c r="D1880" s="426">
        <v>21.5406</v>
      </c>
      <c r="E1880" s="425">
        <v>15.46</v>
      </c>
      <c r="F1880" s="425">
        <v>18.5248</v>
      </c>
      <c r="G1880" s="425">
        <v>14.8431</v>
      </c>
      <c r="H1880" s="426">
        <v>29.672</v>
      </c>
      <c r="I1880" s="426">
        <v>24.1263</v>
      </c>
      <c r="J1880" s="425">
        <v>22.0889</v>
      </c>
      <c r="K1880" s="182">
        <v>12106.9</v>
      </c>
      <c r="L1880" s="36"/>
      <c r="M1880" s="36"/>
      <c r="N1880" s="36"/>
      <c r="O1880" s="36"/>
      <c r="P1880" s="36"/>
      <c r="Q1880" s="36"/>
      <c r="R1880" s="36"/>
      <c r="S1880" s="36"/>
      <c r="T1880" s="36"/>
      <c r="U1880" s="36"/>
      <c r="V1880" s="36"/>
      <c r="W1880" s="36"/>
      <c r="X1880" s="36"/>
      <c r="Y1880" s="36"/>
      <c r="Z1880" s="36"/>
      <c r="AA1880" s="36"/>
      <c r="AB1880" s="36"/>
      <c r="AC1880" s="36"/>
    </row>
    <row r="1881" ht="15.75" customHeight="1">
      <c r="A1881" s="423">
        <v>43853.0</v>
      </c>
      <c r="B1881" s="424">
        <v>15.6239</v>
      </c>
      <c r="C1881" s="425">
        <v>18.3937</v>
      </c>
      <c r="D1881" s="426">
        <v>21.5703</v>
      </c>
      <c r="E1881" s="425">
        <v>15.4817</v>
      </c>
      <c r="F1881" s="425">
        <v>18.6539</v>
      </c>
      <c r="G1881" s="425">
        <v>14.8501</v>
      </c>
      <c r="H1881" s="426">
        <v>30.0256</v>
      </c>
      <c r="I1881" s="426">
        <v>24.2875</v>
      </c>
      <c r="J1881" s="425">
        <v>22.1945</v>
      </c>
      <c r="K1881" s="182">
        <v>12180.35</v>
      </c>
      <c r="L1881" s="36"/>
      <c r="M1881" s="36"/>
      <c r="N1881" s="36"/>
      <c r="O1881" s="36"/>
      <c r="P1881" s="36"/>
      <c r="Q1881" s="36"/>
      <c r="R1881" s="36"/>
      <c r="S1881" s="36"/>
      <c r="T1881" s="36"/>
      <c r="U1881" s="36"/>
      <c r="V1881" s="36"/>
      <c r="W1881" s="36"/>
      <c r="X1881" s="36"/>
      <c r="Y1881" s="36"/>
      <c r="Z1881" s="36"/>
      <c r="AA1881" s="36"/>
      <c r="AB1881" s="36"/>
      <c r="AC1881" s="36"/>
    </row>
    <row r="1882" ht="15.75" customHeight="1">
      <c r="A1882" s="423">
        <v>43854.0</v>
      </c>
      <c r="B1882" s="424">
        <v>15.6999</v>
      </c>
      <c r="C1882" s="425">
        <v>18.3996</v>
      </c>
      <c r="D1882" s="426">
        <v>21.596</v>
      </c>
      <c r="E1882" s="425">
        <v>15.4986</v>
      </c>
      <c r="F1882" s="425">
        <v>18.7637</v>
      </c>
      <c r="G1882" s="425">
        <v>14.8606</v>
      </c>
      <c r="H1882" s="426">
        <v>30.2978</v>
      </c>
      <c r="I1882" s="426">
        <v>24.4167</v>
      </c>
      <c r="J1882" s="425">
        <v>22.2855</v>
      </c>
      <c r="K1882" s="182">
        <v>12248.25</v>
      </c>
      <c r="L1882" s="36"/>
      <c r="M1882" s="36"/>
      <c r="N1882" s="36"/>
      <c r="O1882" s="36"/>
      <c r="P1882" s="36"/>
      <c r="Q1882" s="36"/>
      <c r="R1882" s="36"/>
      <c r="S1882" s="36"/>
      <c r="T1882" s="36"/>
      <c r="U1882" s="36"/>
      <c r="V1882" s="36"/>
      <c r="W1882" s="36"/>
      <c r="X1882" s="36"/>
      <c r="Y1882" s="36"/>
      <c r="Z1882" s="36"/>
      <c r="AA1882" s="36"/>
      <c r="AB1882" s="36"/>
      <c r="AC1882" s="36"/>
    </row>
    <row r="1883" ht="15.75" customHeight="1">
      <c r="A1883" s="423">
        <v>43857.0</v>
      </c>
      <c r="B1883" s="424">
        <v>15.5647</v>
      </c>
      <c r="C1883" s="425">
        <v>18.4079</v>
      </c>
      <c r="D1883" s="426">
        <v>21.6165</v>
      </c>
      <c r="E1883" s="425">
        <v>15.514</v>
      </c>
      <c r="F1883" s="425">
        <v>18.6163</v>
      </c>
      <c r="G1883" s="425">
        <v>14.8692</v>
      </c>
      <c r="H1883" s="426">
        <v>30.1617</v>
      </c>
      <c r="I1883" s="426">
        <v>24.2371</v>
      </c>
      <c r="J1883" s="425">
        <v>22.1553</v>
      </c>
      <c r="K1883" s="182">
        <v>12119.0</v>
      </c>
      <c r="L1883" s="36"/>
      <c r="M1883" s="36"/>
      <c r="N1883" s="36"/>
      <c r="O1883" s="36"/>
      <c r="P1883" s="36"/>
      <c r="Q1883" s="36"/>
      <c r="R1883" s="36"/>
      <c r="S1883" s="36"/>
      <c r="T1883" s="36"/>
      <c r="U1883" s="36"/>
      <c r="V1883" s="36"/>
      <c r="W1883" s="36"/>
      <c r="X1883" s="36"/>
      <c r="Y1883" s="36"/>
      <c r="Z1883" s="36"/>
      <c r="AA1883" s="36"/>
      <c r="AB1883" s="36"/>
      <c r="AC1883" s="36"/>
    </row>
    <row r="1884" ht="15.75" customHeight="1">
      <c r="A1884" s="423">
        <v>43858.0</v>
      </c>
      <c r="B1884" s="424">
        <v>15.4638</v>
      </c>
      <c r="C1884" s="425">
        <v>18.4242</v>
      </c>
      <c r="D1884" s="426">
        <v>21.6197</v>
      </c>
      <c r="E1884" s="425">
        <v>15.5122</v>
      </c>
      <c r="F1884" s="425">
        <v>18.4925</v>
      </c>
      <c r="G1884" s="425">
        <v>14.8759</v>
      </c>
      <c r="H1884" s="426">
        <v>30.0608</v>
      </c>
      <c r="I1884" s="426">
        <v>24.0958</v>
      </c>
      <c r="J1884" s="425">
        <v>22.061</v>
      </c>
      <c r="K1884" s="182">
        <v>12055.8</v>
      </c>
      <c r="L1884" s="36"/>
      <c r="M1884" s="36"/>
      <c r="N1884" s="36"/>
      <c r="O1884" s="36"/>
      <c r="P1884" s="36"/>
      <c r="Q1884" s="36"/>
      <c r="R1884" s="36"/>
      <c r="S1884" s="36"/>
      <c r="T1884" s="36"/>
      <c r="U1884" s="36"/>
      <c r="V1884" s="36"/>
      <c r="W1884" s="36"/>
      <c r="X1884" s="36"/>
      <c r="Y1884" s="36"/>
      <c r="Z1884" s="36"/>
      <c r="AA1884" s="36"/>
      <c r="AB1884" s="36"/>
      <c r="AC1884" s="36"/>
    </row>
    <row r="1885" ht="15.75" customHeight="1">
      <c r="A1885" s="423">
        <v>43859.0</v>
      </c>
      <c r="B1885" s="424">
        <v>15.5663</v>
      </c>
      <c r="C1885" s="425">
        <v>18.4274</v>
      </c>
      <c r="D1885" s="426">
        <v>21.6202</v>
      </c>
      <c r="E1885" s="425">
        <v>15.5115</v>
      </c>
      <c r="F1885" s="425">
        <v>18.6082</v>
      </c>
      <c r="G1885" s="425">
        <v>14.8751</v>
      </c>
      <c r="H1885" s="426">
        <v>30.0932</v>
      </c>
      <c r="I1885" s="426">
        <v>24.2513</v>
      </c>
      <c r="J1885" s="425">
        <v>22.1596</v>
      </c>
      <c r="K1885" s="182">
        <v>12129.5</v>
      </c>
      <c r="L1885" s="36"/>
      <c r="M1885" s="36"/>
      <c r="N1885" s="36"/>
      <c r="O1885" s="36"/>
      <c r="P1885" s="36"/>
      <c r="Q1885" s="36"/>
      <c r="R1885" s="36"/>
      <c r="S1885" s="36"/>
      <c r="T1885" s="36"/>
      <c r="U1885" s="36"/>
      <c r="V1885" s="36"/>
      <c r="W1885" s="36"/>
      <c r="X1885" s="36"/>
      <c r="Y1885" s="36"/>
      <c r="Z1885" s="36"/>
      <c r="AA1885" s="36"/>
      <c r="AB1885" s="36"/>
      <c r="AC1885" s="36"/>
    </row>
    <row r="1886" ht="15.75" customHeight="1">
      <c r="A1886" s="423">
        <v>43860.0</v>
      </c>
      <c r="B1886" s="424">
        <v>15.4436</v>
      </c>
      <c r="C1886" s="425">
        <v>18.4294</v>
      </c>
      <c r="D1886" s="426">
        <v>21.617</v>
      </c>
      <c r="E1886" s="425">
        <v>15.5116</v>
      </c>
      <c r="F1886" s="425">
        <v>18.45</v>
      </c>
      <c r="G1886" s="425">
        <v>14.8752</v>
      </c>
      <c r="H1886" s="426">
        <v>29.8932</v>
      </c>
      <c r="I1886" s="426">
        <v>24.0647</v>
      </c>
      <c r="J1886" s="425">
        <v>22.0267</v>
      </c>
      <c r="K1886" s="182">
        <v>12035.8</v>
      </c>
      <c r="L1886" s="36"/>
      <c r="M1886" s="36"/>
      <c r="N1886" s="36"/>
      <c r="O1886" s="36"/>
      <c r="P1886" s="36"/>
      <c r="Q1886" s="36"/>
      <c r="R1886" s="36"/>
      <c r="S1886" s="36"/>
      <c r="T1886" s="36"/>
      <c r="U1886" s="36"/>
      <c r="V1886" s="36"/>
      <c r="W1886" s="36"/>
      <c r="X1886" s="36"/>
      <c r="Y1886" s="36"/>
      <c r="Z1886" s="36"/>
      <c r="AA1886" s="36"/>
      <c r="AB1886" s="36"/>
      <c r="AC1886" s="36"/>
    </row>
    <row r="1887" ht="15.75" customHeight="1">
      <c r="A1887" s="423">
        <v>43861.0</v>
      </c>
      <c r="B1887" s="424">
        <v>15.3605</v>
      </c>
      <c r="C1887" s="425">
        <v>18.4315</v>
      </c>
      <c r="D1887" s="426">
        <v>21.607</v>
      </c>
      <c r="E1887" s="425">
        <v>15.5014</v>
      </c>
      <c r="F1887" s="425">
        <v>18.3496</v>
      </c>
      <c r="G1887" s="425">
        <v>14.8757</v>
      </c>
      <c r="H1887" s="426">
        <v>29.784</v>
      </c>
      <c r="I1887" s="426">
        <v>23.9466</v>
      </c>
      <c r="J1887" s="425">
        <v>21.9437</v>
      </c>
      <c r="K1887" s="182">
        <v>11962.1</v>
      </c>
      <c r="L1887" s="36"/>
      <c r="M1887" s="36"/>
      <c r="N1887" s="36"/>
      <c r="O1887" s="36"/>
      <c r="P1887" s="36"/>
      <c r="Q1887" s="36"/>
      <c r="R1887" s="36"/>
      <c r="S1887" s="36"/>
      <c r="T1887" s="36"/>
      <c r="U1887" s="36"/>
      <c r="V1887" s="36"/>
      <c r="W1887" s="36"/>
      <c r="X1887" s="36"/>
      <c r="Y1887" s="36"/>
      <c r="Z1887" s="36"/>
      <c r="AA1887" s="36"/>
      <c r="AB1887" s="36"/>
      <c r="AC1887" s="36"/>
    </row>
    <row r="1888" ht="15.75" customHeight="1">
      <c r="A1888" s="423">
        <v>43862.0</v>
      </c>
      <c r="B1888" s="424">
        <v>15.0442</v>
      </c>
      <c r="C1888" s="425">
        <v>18.434</v>
      </c>
      <c r="D1888" s="426">
        <v>21.6105</v>
      </c>
      <c r="E1888" s="425">
        <v>15.5034</v>
      </c>
      <c r="F1888" s="425">
        <v>17.9771</v>
      </c>
      <c r="G1888" s="425">
        <v>14.8781</v>
      </c>
      <c r="H1888" s="426">
        <v>29.2316</v>
      </c>
      <c r="I1888" s="426">
        <v>23.4513</v>
      </c>
      <c r="J1888" s="425">
        <v>21.6282</v>
      </c>
      <c r="K1888" s="182">
        <v>11661.85</v>
      </c>
      <c r="L1888" s="36"/>
      <c r="M1888" s="36"/>
      <c r="N1888" s="36"/>
      <c r="O1888" s="36"/>
      <c r="P1888" s="36"/>
      <c r="Q1888" s="36"/>
      <c r="R1888" s="36"/>
      <c r="S1888" s="36"/>
      <c r="T1888" s="36"/>
      <c r="U1888" s="36"/>
      <c r="V1888" s="36"/>
      <c r="W1888" s="36"/>
      <c r="X1888" s="36"/>
      <c r="Y1888" s="36"/>
      <c r="Z1888" s="36"/>
      <c r="AA1888" s="36"/>
      <c r="AB1888" s="36"/>
      <c r="AC1888" s="36"/>
    </row>
    <row r="1889" ht="15.75" customHeight="1">
      <c r="A1889" s="423">
        <v>43864.0</v>
      </c>
      <c r="B1889" s="424">
        <v>15.1066</v>
      </c>
      <c r="C1889" s="425">
        <v>18.4473</v>
      </c>
      <c r="D1889" s="426">
        <v>21.7277</v>
      </c>
      <c r="E1889" s="425">
        <v>15.5878</v>
      </c>
      <c r="F1889" s="425">
        <v>18.0661</v>
      </c>
      <c r="G1889" s="425">
        <v>14.9194</v>
      </c>
      <c r="H1889" s="426">
        <v>29.423</v>
      </c>
      <c r="I1889" s="426">
        <v>23.5609</v>
      </c>
      <c r="J1889" s="425">
        <v>21.7454</v>
      </c>
      <c r="K1889" s="182">
        <v>11707.9</v>
      </c>
      <c r="L1889" s="36"/>
      <c r="M1889" s="36"/>
      <c r="N1889" s="36"/>
      <c r="O1889" s="36"/>
      <c r="P1889" s="36"/>
      <c r="Q1889" s="36"/>
      <c r="R1889" s="36"/>
      <c r="S1889" s="36"/>
      <c r="T1889" s="36"/>
      <c r="U1889" s="36"/>
      <c r="V1889" s="36"/>
      <c r="W1889" s="36"/>
      <c r="X1889" s="36"/>
      <c r="Y1889" s="36"/>
      <c r="Z1889" s="36"/>
      <c r="AA1889" s="36"/>
      <c r="AB1889" s="36"/>
      <c r="AC1889" s="36"/>
    </row>
    <row r="1890" ht="15.75" customHeight="1">
      <c r="A1890" s="423">
        <v>43865.0</v>
      </c>
      <c r="B1890" s="424">
        <v>15.4106</v>
      </c>
      <c r="C1890" s="425">
        <v>18.4547</v>
      </c>
      <c r="D1890" s="426">
        <v>21.7524</v>
      </c>
      <c r="E1890" s="425">
        <v>15.6022</v>
      </c>
      <c r="F1890" s="425">
        <v>18.4224</v>
      </c>
      <c r="G1890" s="425">
        <v>14.9271</v>
      </c>
      <c r="H1890" s="426">
        <v>29.712</v>
      </c>
      <c r="I1890" s="426">
        <v>24.0357</v>
      </c>
      <c r="J1890" s="425">
        <v>22.0511</v>
      </c>
      <c r="K1890" s="182">
        <v>11979.65</v>
      </c>
      <c r="L1890" s="36"/>
      <c r="M1890" s="36"/>
      <c r="N1890" s="36"/>
      <c r="O1890" s="36"/>
      <c r="P1890" s="36"/>
      <c r="Q1890" s="36"/>
      <c r="R1890" s="36"/>
      <c r="S1890" s="36"/>
      <c r="T1890" s="36"/>
      <c r="U1890" s="36"/>
      <c r="V1890" s="36"/>
      <c r="W1890" s="36"/>
      <c r="X1890" s="36"/>
      <c r="Y1890" s="36"/>
      <c r="Z1890" s="36"/>
      <c r="AA1890" s="36"/>
      <c r="AB1890" s="36"/>
      <c r="AC1890" s="36"/>
    </row>
    <row r="1891" ht="15.75" customHeight="1">
      <c r="A1891" s="423">
        <v>43866.0</v>
      </c>
      <c r="B1891" s="424">
        <v>15.5266</v>
      </c>
      <c r="C1891" s="425">
        <v>18.4575</v>
      </c>
      <c r="D1891" s="426">
        <v>21.7504</v>
      </c>
      <c r="E1891" s="425">
        <v>15.6012</v>
      </c>
      <c r="F1891" s="425">
        <v>18.5652</v>
      </c>
      <c r="G1891" s="425">
        <v>14.9253</v>
      </c>
      <c r="H1891" s="426">
        <v>30.0015</v>
      </c>
      <c r="I1891" s="426">
        <v>24.2079</v>
      </c>
      <c r="J1891" s="425">
        <v>22.1701</v>
      </c>
      <c r="K1891" s="182">
        <v>12089.15</v>
      </c>
      <c r="L1891" s="36"/>
      <c r="M1891" s="36"/>
      <c r="N1891" s="36"/>
      <c r="O1891" s="36"/>
      <c r="P1891" s="36"/>
      <c r="Q1891" s="36"/>
      <c r="R1891" s="36"/>
      <c r="S1891" s="36"/>
      <c r="T1891" s="36"/>
      <c r="U1891" s="36"/>
      <c r="V1891" s="36"/>
      <c r="W1891" s="36"/>
      <c r="X1891" s="36"/>
      <c r="Y1891" s="36"/>
      <c r="Z1891" s="36"/>
      <c r="AA1891" s="36"/>
      <c r="AB1891" s="36"/>
      <c r="AC1891" s="36"/>
    </row>
    <row r="1892" ht="15.75" customHeight="1">
      <c r="A1892" s="423">
        <v>43867.0</v>
      </c>
      <c r="B1892" s="424">
        <v>15.5588</v>
      </c>
      <c r="C1892" s="425">
        <v>18.5012</v>
      </c>
      <c r="D1892" s="426">
        <v>21.86</v>
      </c>
      <c r="E1892" s="425">
        <v>15.6842</v>
      </c>
      <c r="F1892" s="425">
        <v>18.6095</v>
      </c>
      <c r="G1892" s="425">
        <v>14.9702</v>
      </c>
      <c r="H1892" s="426">
        <v>30.1427</v>
      </c>
      <c r="I1892" s="426">
        <v>24.2406</v>
      </c>
      <c r="J1892" s="425">
        <v>22.2438</v>
      </c>
      <c r="K1892" s="182">
        <v>12137.95</v>
      </c>
      <c r="L1892" s="36"/>
      <c r="M1892" s="36"/>
      <c r="N1892" s="36"/>
      <c r="O1892" s="36"/>
      <c r="P1892" s="36"/>
      <c r="Q1892" s="36"/>
      <c r="R1892" s="36"/>
      <c r="S1892" s="36"/>
      <c r="T1892" s="36"/>
      <c r="U1892" s="36"/>
      <c r="V1892" s="36"/>
      <c r="W1892" s="36"/>
      <c r="X1892" s="36"/>
      <c r="Y1892" s="36"/>
      <c r="Z1892" s="36"/>
      <c r="AA1892" s="36"/>
      <c r="AB1892" s="36"/>
      <c r="AC1892" s="36"/>
    </row>
    <row r="1893" ht="15.75" customHeight="1">
      <c r="A1893" s="423">
        <v>43868.0</v>
      </c>
      <c r="B1893" s="424">
        <v>15.5255</v>
      </c>
      <c r="C1893" s="425">
        <v>18.5284</v>
      </c>
      <c r="D1893" s="426">
        <v>21.9374</v>
      </c>
      <c r="E1893" s="425">
        <v>15.7337</v>
      </c>
      <c r="F1893" s="425">
        <v>18.5726</v>
      </c>
      <c r="G1893" s="425">
        <v>14.9969</v>
      </c>
      <c r="H1893" s="426">
        <v>30.2984</v>
      </c>
      <c r="I1893" s="426">
        <v>24.1767</v>
      </c>
      <c r="J1893" s="425">
        <v>22.2468</v>
      </c>
      <c r="K1893" s="182">
        <v>12098.35</v>
      </c>
      <c r="L1893" s="36"/>
      <c r="M1893" s="36"/>
      <c r="N1893" s="36"/>
      <c r="O1893" s="36"/>
      <c r="P1893" s="36"/>
      <c r="Q1893" s="36"/>
      <c r="R1893" s="36"/>
      <c r="S1893" s="36"/>
      <c r="T1893" s="36"/>
      <c r="U1893" s="36"/>
      <c r="V1893" s="36"/>
      <c r="W1893" s="36"/>
      <c r="X1893" s="36"/>
      <c r="Y1893" s="36"/>
      <c r="Z1893" s="36"/>
      <c r="AA1893" s="36"/>
      <c r="AB1893" s="36"/>
      <c r="AC1893" s="36"/>
    </row>
    <row r="1894" ht="15.75" customHeight="1">
      <c r="A1894" s="423">
        <v>43871.0</v>
      </c>
      <c r="B1894" s="424">
        <v>15.446</v>
      </c>
      <c r="C1894" s="425">
        <v>18.5353</v>
      </c>
      <c r="D1894" s="426">
        <v>21.9667</v>
      </c>
      <c r="E1894" s="425">
        <v>15.7503</v>
      </c>
      <c r="F1894" s="425">
        <v>18.4559</v>
      </c>
      <c r="G1894" s="425">
        <v>15.0047</v>
      </c>
      <c r="H1894" s="426">
        <v>30.0398</v>
      </c>
      <c r="I1894" s="426">
        <v>24.0505</v>
      </c>
      <c r="J1894" s="425">
        <v>22.1664</v>
      </c>
      <c r="K1894" s="182">
        <v>12031.5</v>
      </c>
      <c r="L1894" s="36"/>
      <c r="M1894" s="36"/>
      <c r="N1894" s="36"/>
      <c r="O1894" s="36"/>
      <c r="P1894" s="36"/>
      <c r="Q1894" s="36"/>
      <c r="R1894" s="36"/>
      <c r="S1894" s="36"/>
      <c r="T1894" s="36"/>
      <c r="U1894" s="36"/>
      <c r="V1894" s="36"/>
      <c r="W1894" s="36"/>
      <c r="X1894" s="36"/>
      <c r="Y1894" s="36"/>
      <c r="Z1894" s="36"/>
      <c r="AA1894" s="36"/>
      <c r="AB1894" s="36"/>
      <c r="AC1894" s="36"/>
    </row>
    <row r="1895" ht="15.75" customHeight="1">
      <c r="A1895" s="423">
        <v>43872.0</v>
      </c>
      <c r="B1895" s="424">
        <v>15.5305</v>
      </c>
      <c r="C1895" s="425">
        <v>18.5374</v>
      </c>
      <c r="D1895" s="426">
        <v>21.9649</v>
      </c>
      <c r="E1895" s="425">
        <v>15.7477</v>
      </c>
      <c r="F1895" s="425">
        <v>18.5517</v>
      </c>
      <c r="G1895" s="425">
        <v>15.0029</v>
      </c>
      <c r="H1895" s="426">
        <v>30.0622</v>
      </c>
      <c r="I1895" s="426">
        <v>24.1618</v>
      </c>
      <c r="J1895" s="425">
        <v>22.2356</v>
      </c>
      <c r="K1895" s="182">
        <v>12107.9</v>
      </c>
      <c r="L1895" s="36"/>
      <c r="M1895" s="36"/>
      <c r="N1895" s="36"/>
      <c r="O1895" s="36"/>
      <c r="P1895" s="36"/>
      <c r="Q1895" s="36"/>
      <c r="R1895" s="36"/>
      <c r="S1895" s="36"/>
      <c r="T1895" s="36"/>
      <c r="U1895" s="36"/>
      <c r="V1895" s="36"/>
      <c r="W1895" s="36"/>
      <c r="X1895" s="36"/>
      <c r="Y1895" s="36"/>
      <c r="Z1895" s="36"/>
      <c r="AA1895" s="36"/>
      <c r="AB1895" s="36"/>
      <c r="AC1895" s="36"/>
    </row>
    <row r="1896" ht="15.75" customHeight="1">
      <c r="A1896" s="423">
        <v>43873.0</v>
      </c>
      <c r="B1896" s="424">
        <v>15.6488</v>
      </c>
      <c r="C1896" s="425">
        <v>18.5399</v>
      </c>
      <c r="D1896" s="426">
        <v>21.9609</v>
      </c>
      <c r="E1896" s="425">
        <v>15.7453</v>
      </c>
      <c r="F1896" s="425">
        <v>18.691</v>
      </c>
      <c r="G1896" s="425">
        <v>15.005</v>
      </c>
      <c r="H1896" s="426">
        <v>30.0484</v>
      </c>
      <c r="I1896" s="426">
        <v>24.3461</v>
      </c>
      <c r="J1896" s="425">
        <v>22.3394</v>
      </c>
      <c r="K1896" s="182">
        <v>12201.2</v>
      </c>
      <c r="L1896" s="36"/>
      <c r="M1896" s="36"/>
      <c r="N1896" s="36"/>
      <c r="O1896" s="36"/>
      <c r="P1896" s="36"/>
      <c r="Q1896" s="36"/>
      <c r="R1896" s="36"/>
      <c r="S1896" s="36"/>
      <c r="T1896" s="36"/>
      <c r="U1896" s="36"/>
      <c r="V1896" s="36"/>
      <c r="W1896" s="36"/>
      <c r="X1896" s="36"/>
      <c r="Y1896" s="36"/>
      <c r="Z1896" s="36"/>
      <c r="AA1896" s="36"/>
      <c r="AB1896" s="36"/>
      <c r="AC1896" s="36"/>
    </row>
    <row r="1897" ht="15.75" customHeight="1">
      <c r="A1897" s="423">
        <v>43874.0</v>
      </c>
      <c r="B1897" s="424">
        <v>15.6239</v>
      </c>
      <c r="C1897" s="425">
        <v>18.5494</v>
      </c>
      <c r="D1897" s="426">
        <v>22.0179</v>
      </c>
      <c r="E1897" s="425">
        <v>15.7916</v>
      </c>
      <c r="F1897" s="425">
        <v>18.6549</v>
      </c>
      <c r="G1897" s="425">
        <v>15.0212</v>
      </c>
      <c r="H1897" s="426">
        <v>29.9881</v>
      </c>
      <c r="I1897" s="426">
        <v>24.2968</v>
      </c>
      <c r="J1897" s="425">
        <v>22.3302</v>
      </c>
      <c r="K1897" s="182">
        <v>12174.65</v>
      </c>
      <c r="L1897" s="36"/>
      <c r="M1897" s="36"/>
      <c r="N1897" s="36"/>
      <c r="O1897" s="36"/>
      <c r="P1897" s="36"/>
      <c r="Q1897" s="36"/>
      <c r="R1897" s="36"/>
      <c r="S1897" s="36"/>
      <c r="T1897" s="36"/>
      <c r="U1897" s="36"/>
      <c r="V1897" s="36"/>
      <c r="W1897" s="36"/>
      <c r="X1897" s="36"/>
      <c r="Y1897" s="36"/>
      <c r="Z1897" s="36"/>
      <c r="AA1897" s="36"/>
      <c r="AB1897" s="36"/>
      <c r="AC1897" s="36"/>
    </row>
    <row r="1898" ht="15.75" customHeight="1">
      <c r="A1898" s="423">
        <v>43875.0</v>
      </c>
      <c r="B1898" s="424">
        <v>15.5423</v>
      </c>
      <c r="C1898" s="425">
        <v>18.5516</v>
      </c>
      <c r="D1898" s="426">
        <v>22.0726</v>
      </c>
      <c r="E1898" s="425">
        <v>15.8336</v>
      </c>
      <c r="F1898" s="425">
        <v>18.5801</v>
      </c>
      <c r="G1898" s="425">
        <v>15.0387</v>
      </c>
      <c r="H1898" s="426">
        <v>29.8278</v>
      </c>
      <c r="I1898" s="426">
        <v>24.1752</v>
      </c>
      <c r="J1898" s="425">
        <v>22.2671</v>
      </c>
      <c r="K1898" s="182">
        <v>12113.45</v>
      </c>
      <c r="L1898" s="36"/>
      <c r="M1898" s="36"/>
      <c r="N1898" s="36"/>
      <c r="O1898" s="36"/>
      <c r="P1898" s="36"/>
      <c r="Q1898" s="36"/>
      <c r="R1898" s="36"/>
      <c r="S1898" s="36"/>
      <c r="T1898" s="36"/>
      <c r="U1898" s="36"/>
      <c r="V1898" s="36"/>
      <c r="W1898" s="36"/>
      <c r="X1898" s="36"/>
      <c r="Y1898" s="36"/>
      <c r="Z1898" s="36"/>
      <c r="AA1898" s="36"/>
      <c r="AB1898" s="36"/>
      <c r="AC1898" s="36"/>
    </row>
    <row r="1899" ht="15.75" customHeight="1">
      <c r="A1899" s="423">
        <v>43878.0</v>
      </c>
      <c r="B1899" s="424">
        <v>15.4844</v>
      </c>
      <c r="C1899" s="426">
        <v>18.5587</v>
      </c>
      <c r="D1899" s="426">
        <v>22.0857</v>
      </c>
      <c r="E1899" s="425">
        <v>15.8374</v>
      </c>
      <c r="F1899" s="425">
        <v>18.5015</v>
      </c>
      <c r="G1899" s="425">
        <v>15.0449</v>
      </c>
      <c r="H1899" s="426">
        <v>29.6185</v>
      </c>
      <c r="I1899" s="426">
        <v>24.0846</v>
      </c>
      <c r="J1899" s="426">
        <v>22.2088</v>
      </c>
      <c r="K1899" s="182">
        <v>12045.8</v>
      </c>
      <c r="L1899" s="36"/>
      <c r="M1899" s="36"/>
      <c r="N1899" s="36"/>
      <c r="O1899" s="36"/>
      <c r="P1899" s="36"/>
      <c r="Q1899" s="36"/>
      <c r="R1899" s="36"/>
      <c r="S1899" s="36"/>
      <c r="T1899" s="36"/>
      <c r="U1899" s="36"/>
      <c r="V1899" s="36"/>
      <c r="W1899" s="36"/>
      <c r="X1899" s="36"/>
      <c r="Y1899" s="36"/>
      <c r="Z1899" s="36"/>
      <c r="AA1899" s="36"/>
      <c r="AB1899" s="36"/>
      <c r="AC1899" s="36"/>
    </row>
    <row r="1900" ht="15.75" customHeight="1">
      <c r="A1900" s="423">
        <v>43879.0</v>
      </c>
      <c r="B1900" s="424">
        <v>15.4293</v>
      </c>
      <c r="C1900" s="426">
        <v>18.5583</v>
      </c>
      <c r="D1900" s="426">
        <v>22.072</v>
      </c>
      <c r="E1900" s="425">
        <v>15.8275</v>
      </c>
      <c r="F1900" s="425">
        <v>18.4297</v>
      </c>
      <c r="G1900" s="425">
        <v>15.0453</v>
      </c>
      <c r="H1900" s="426">
        <v>29.4839</v>
      </c>
      <c r="I1900" s="426">
        <v>24.0101</v>
      </c>
      <c r="J1900" s="426">
        <v>22.1488</v>
      </c>
      <c r="K1900" s="182">
        <v>11992.5</v>
      </c>
      <c r="L1900" s="36"/>
      <c r="M1900" s="36"/>
      <c r="N1900" s="36"/>
      <c r="O1900" s="36"/>
      <c r="P1900" s="36"/>
      <c r="Q1900" s="36"/>
      <c r="R1900" s="36"/>
      <c r="S1900" s="36"/>
      <c r="T1900" s="36"/>
      <c r="U1900" s="36"/>
      <c r="V1900" s="36"/>
      <c r="W1900" s="36"/>
      <c r="X1900" s="36"/>
      <c r="Y1900" s="36"/>
      <c r="Z1900" s="36"/>
      <c r="AA1900" s="36"/>
      <c r="AB1900" s="36"/>
      <c r="AC1900" s="36"/>
    </row>
    <row r="1901" ht="15.75" customHeight="1">
      <c r="A1901" s="423">
        <v>43880.0</v>
      </c>
      <c r="B1901" s="424">
        <v>15.5735</v>
      </c>
      <c r="C1901" s="426">
        <v>18.5607</v>
      </c>
      <c r="D1901" s="426">
        <v>22.0757</v>
      </c>
      <c r="E1901" s="425">
        <v>15.8297</v>
      </c>
      <c r="F1901" s="425">
        <v>18.5995</v>
      </c>
      <c r="G1901" s="425">
        <v>15.0467</v>
      </c>
      <c r="H1901" s="426">
        <v>29.8879</v>
      </c>
      <c r="I1901" s="426">
        <v>24.2316</v>
      </c>
      <c r="J1901" s="426">
        <v>22.2955</v>
      </c>
      <c r="K1901" s="182">
        <v>12125.9</v>
      </c>
      <c r="L1901" s="36"/>
      <c r="M1901" s="36"/>
      <c r="N1901" s="36"/>
      <c r="O1901" s="36"/>
      <c r="P1901" s="36"/>
      <c r="Q1901" s="36"/>
      <c r="R1901" s="36"/>
      <c r="S1901" s="36"/>
      <c r="T1901" s="36"/>
      <c r="U1901" s="36"/>
      <c r="V1901" s="36"/>
      <c r="W1901" s="36"/>
      <c r="X1901" s="36"/>
      <c r="Y1901" s="36"/>
      <c r="Z1901" s="36"/>
      <c r="AA1901" s="36"/>
      <c r="AB1901" s="36"/>
      <c r="AC1901" s="36"/>
    </row>
    <row r="1902" ht="15.75" customHeight="1">
      <c r="A1902" s="423">
        <v>43881.0</v>
      </c>
      <c r="B1902" s="424">
        <v>15.5107</v>
      </c>
      <c r="C1902" s="426">
        <v>18.5579</v>
      </c>
      <c r="D1902" s="426">
        <v>22.0639</v>
      </c>
      <c r="E1902" s="425">
        <v>15.8162</v>
      </c>
      <c r="F1902" s="425">
        <v>18.5315</v>
      </c>
      <c r="G1902" s="425">
        <v>15.0423</v>
      </c>
      <c r="H1902" s="426">
        <v>29.9756</v>
      </c>
      <c r="I1902" s="426">
        <v>24.142</v>
      </c>
      <c r="J1902" s="426">
        <v>22.2301</v>
      </c>
      <c r="K1902" s="182">
        <v>12080.85</v>
      </c>
      <c r="L1902" s="36"/>
      <c r="M1902" s="36"/>
      <c r="N1902" s="36"/>
      <c r="O1902" s="36"/>
      <c r="P1902" s="36"/>
      <c r="Q1902" s="36"/>
      <c r="R1902" s="36"/>
      <c r="S1902" s="36"/>
      <c r="T1902" s="36"/>
      <c r="U1902" s="36"/>
      <c r="V1902" s="36"/>
      <c r="W1902" s="36"/>
      <c r="X1902" s="36"/>
      <c r="Y1902" s="36"/>
      <c r="Z1902" s="36"/>
      <c r="AA1902" s="36"/>
      <c r="AB1902" s="36"/>
      <c r="AC1902" s="36"/>
    </row>
    <row r="1903" ht="15.75" customHeight="1">
      <c r="A1903" s="423">
        <v>43885.0</v>
      </c>
      <c r="B1903" s="424">
        <v>15.2332</v>
      </c>
      <c r="C1903" s="426">
        <v>18.5679</v>
      </c>
      <c r="D1903" s="426">
        <v>22.1167</v>
      </c>
      <c r="E1903" s="425">
        <v>15.8552</v>
      </c>
      <c r="F1903" s="425">
        <v>18.2182</v>
      </c>
      <c r="G1903" s="425">
        <v>15.0588</v>
      </c>
      <c r="H1903" s="426">
        <v>29.5409</v>
      </c>
      <c r="I1903" s="426">
        <v>23.7296</v>
      </c>
      <c r="J1903" s="426">
        <v>21.9793</v>
      </c>
      <c r="K1903" s="182">
        <v>11829.4</v>
      </c>
      <c r="L1903" s="36"/>
      <c r="M1903" s="36"/>
      <c r="N1903" s="36"/>
      <c r="O1903" s="36"/>
      <c r="P1903" s="36"/>
      <c r="Q1903" s="36"/>
      <c r="R1903" s="36"/>
      <c r="S1903" s="36"/>
      <c r="T1903" s="36"/>
      <c r="U1903" s="36"/>
      <c r="V1903" s="36"/>
      <c r="W1903" s="36"/>
      <c r="X1903" s="36"/>
      <c r="Y1903" s="36"/>
      <c r="Z1903" s="36"/>
      <c r="AA1903" s="36"/>
      <c r="AB1903" s="36"/>
      <c r="AC1903" s="36"/>
    </row>
    <row r="1904" ht="15.75" customHeight="1">
      <c r="A1904" s="423">
        <v>43886.0</v>
      </c>
      <c r="B1904" s="424">
        <v>15.1857</v>
      </c>
      <c r="C1904" s="426">
        <v>18.5708</v>
      </c>
      <c r="D1904" s="426">
        <v>22.1243</v>
      </c>
      <c r="E1904" s="425">
        <v>15.8579</v>
      </c>
      <c r="F1904" s="425">
        <v>18.1627</v>
      </c>
      <c r="G1904" s="425">
        <v>15.0599</v>
      </c>
      <c r="H1904" s="426">
        <v>29.4601</v>
      </c>
      <c r="I1904" s="426">
        <v>23.6586</v>
      </c>
      <c r="J1904" s="426">
        <v>21.9281</v>
      </c>
      <c r="K1904" s="182">
        <v>11797.9</v>
      </c>
      <c r="L1904" s="36"/>
      <c r="M1904" s="36"/>
      <c r="N1904" s="36"/>
      <c r="O1904" s="36"/>
      <c r="P1904" s="36"/>
      <c r="Q1904" s="36"/>
      <c r="R1904" s="36"/>
      <c r="S1904" s="36"/>
      <c r="T1904" s="36"/>
      <c r="U1904" s="36"/>
      <c r="V1904" s="36"/>
      <c r="W1904" s="36"/>
      <c r="X1904" s="36"/>
      <c r="Y1904" s="36"/>
      <c r="Z1904" s="36"/>
      <c r="AA1904" s="36"/>
      <c r="AB1904" s="36"/>
      <c r="AC1904" s="36"/>
    </row>
    <row r="1905" ht="15.75" customHeight="1">
      <c r="A1905" s="423">
        <v>43887.0</v>
      </c>
      <c r="B1905" s="424">
        <v>15.0442</v>
      </c>
      <c r="C1905" s="426">
        <v>18.574</v>
      </c>
      <c r="D1905" s="426">
        <v>22.1456</v>
      </c>
      <c r="E1905" s="425">
        <v>15.8746</v>
      </c>
      <c r="F1905" s="425">
        <v>17.9964</v>
      </c>
      <c r="G1905" s="425">
        <v>15.0656</v>
      </c>
      <c r="H1905" s="426">
        <v>29.1975</v>
      </c>
      <c r="I1905" s="426">
        <v>23.4363</v>
      </c>
      <c r="J1905" s="426">
        <v>21.7968</v>
      </c>
      <c r="K1905" s="182">
        <v>11678.5</v>
      </c>
      <c r="L1905" s="36"/>
      <c r="M1905" s="36"/>
      <c r="N1905" s="36"/>
      <c r="O1905" s="36"/>
      <c r="P1905" s="36"/>
      <c r="Q1905" s="36"/>
      <c r="R1905" s="36"/>
      <c r="S1905" s="36"/>
      <c r="T1905" s="36"/>
      <c r="U1905" s="36"/>
      <c r="V1905" s="36"/>
      <c r="W1905" s="36"/>
      <c r="X1905" s="36"/>
      <c r="Y1905" s="36"/>
      <c r="Z1905" s="36"/>
      <c r="AA1905" s="36"/>
      <c r="AB1905" s="36"/>
      <c r="AC1905" s="36"/>
    </row>
    <row r="1906" ht="15.75" customHeight="1">
      <c r="A1906" s="423">
        <v>43888.0</v>
      </c>
      <c r="B1906" s="424">
        <v>14.9915</v>
      </c>
      <c r="C1906" s="426">
        <v>18.5729</v>
      </c>
      <c r="D1906" s="426">
        <v>22.1224</v>
      </c>
      <c r="E1906" s="425">
        <v>15.8541</v>
      </c>
      <c r="F1906" s="425">
        <v>17.9349</v>
      </c>
      <c r="G1906" s="425">
        <v>15.0627</v>
      </c>
      <c r="H1906" s="426">
        <v>29.0438</v>
      </c>
      <c r="I1906" s="426">
        <v>23.3795</v>
      </c>
      <c r="J1906" s="426">
        <v>21.7391</v>
      </c>
      <c r="K1906" s="182">
        <v>11633.3</v>
      </c>
      <c r="L1906" s="36"/>
      <c r="M1906" s="36"/>
      <c r="N1906" s="36"/>
      <c r="O1906" s="36"/>
      <c r="P1906" s="36"/>
      <c r="Q1906" s="36"/>
      <c r="R1906" s="36"/>
      <c r="S1906" s="36"/>
      <c r="T1906" s="36"/>
      <c r="U1906" s="36"/>
      <c r="V1906" s="36"/>
      <c r="W1906" s="36"/>
      <c r="X1906" s="36"/>
      <c r="Y1906" s="36"/>
      <c r="Z1906" s="36"/>
      <c r="AA1906" s="36"/>
      <c r="AB1906" s="36"/>
      <c r="AC1906" s="36"/>
    </row>
    <row r="1907" ht="15.75" customHeight="1">
      <c r="A1907" s="423">
        <v>43889.0</v>
      </c>
      <c r="B1907" s="424">
        <v>14.4832</v>
      </c>
      <c r="C1907" s="426">
        <v>18.5625</v>
      </c>
      <c r="D1907" s="426">
        <v>22.1035</v>
      </c>
      <c r="E1907" s="425">
        <v>15.8424</v>
      </c>
      <c r="F1907" s="425">
        <v>17.3547</v>
      </c>
      <c r="G1907" s="425">
        <v>15.0567</v>
      </c>
      <c r="H1907" s="426">
        <v>28.3783</v>
      </c>
      <c r="I1907" s="426">
        <v>22.6228</v>
      </c>
      <c r="J1907" s="426">
        <v>21.2328</v>
      </c>
      <c r="K1907" s="182">
        <v>11201.75</v>
      </c>
      <c r="L1907" s="36"/>
      <c r="M1907" s="36"/>
      <c r="N1907" s="36"/>
      <c r="O1907" s="36"/>
      <c r="P1907" s="36"/>
      <c r="Q1907" s="36"/>
      <c r="R1907" s="36"/>
      <c r="S1907" s="36"/>
      <c r="T1907" s="36"/>
      <c r="U1907" s="36"/>
      <c r="V1907" s="36"/>
      <c r="W1907" s="36"/>
      <c r="X1907" s="36"/>
      <c r="Y1907" s="36"/>
      <c r="Z1907" s="36"/>
      <c r="AA1907" s="36"/>
      <c r="AB1907" s="36"/>
      <c r="AC1907" s="36"/>
    </row>
    <row r="1908" ht="15.75" customHeight="1">
      <c r="A1908" s="423">
        <v>43892.0</v>
      </c>
      <c r="B1908" s="424">
        <v>14.4115</v>
      </c>
      <c r="C1908" s="426">
        <v>18.5736</v>
      </c>
      <c r="D1908" s="426">
        <v>22.1288</v>
      </c>
      <c r="E1908" s="425">
        <v>15.8635</v>
      </c>
      <c r="F1908" s="425">
        <v>17.2755</v>
      </c>
      <c r="G1908" s="425">
        <v>15.0667</v>
      </c>
      <c r="H1908" s="426">
        <v>28.1356</v>
      </c>
      <c r="I1908" s="426">
        <v>22.522</v>
      </c>
      <c r="J1908" s="426">
        <v>21.1725</v>
      </c>
      <c r="K1908" s="182">
        <v>11132.75</v>
      </c>
      <c r="L1908" s="36"/>
      <c r="M1908" s="36"/>
      <c r="N1908" s="36"/>
      <c r="O1908" s="36"/>
      <c r="P1908" s="36"/>
      <c r="Q1908" s="36"/>
      <c r="R1908" s="36"/>
      <c r="S1908" s="36"/>
      <c r="T1908" s="36"/>
      <c r="U1908" s="36"/>
      <c r="V1908" s="36"/>
      <c r="W1908" s="36"/>
      <c r="X1908" s="36"/>
      <c r="Y1908" s="36"/>
      <c r="Z1908" s="36"/>
      <c r="AA1908" s="36"/>
      <c r="AB1908" s="36"/>
      <c r="AC1908" s="36"/>
    </row>
    <row r="1909" ht="15.75" customHeight="1">
      <c r="A1909" s="423">
        <v>43893.0</v>
      </c>
      <c r="B1909" s="424">
        <v>14.6239</v>
      </c>
      <c r="C1909" s="426">
        <v>18.5763</v>
      </c>
      <c r="D1909" s="426">
        <v>22.1264</v>
      </c>
      <c r="E1909" s="425">
        <v>15.8604</v>
      </c>
      <c r="F1909" s="425">
        <v>17.5293</v>
      </c>
      <c r="G1909" s="425">
        <v>15.066</v>
      </c>
      <c r="H1909" s="426">
        <v>28.5404</v>
      </c>
      <c r="I1909" s="426">
        <v>22.8456</v>
      </c>
      <c r="J1909" s="426">
        <v>21.3802</v>
      </c>
      <c r="K1909" s="182">
        <v>11303.3</v>
      </c>
      <c r="L1909" s="36"/>
      <c r="M1909" s="36"/>
      <c r="N1909" s="36"/>
      <c r="O1909" s="36"/>
      <c r="P1909" s="36"/>
      <c r="Q1909" s="36"/>
      <c r="R1909" s="36"/>
      <c r="S1909" s="36"/>
      <c r="T1909" s="36"/>
      <c r="U1909" s="36"/>
      <c r="V1909" s="36"/>
      <c r="W1909" s="36"/>
      <c r="X1909" s="36"/>
      <c r="Y1909" s="36"/>
      <c r="Z1909" s="36"/>
      <c r="AA1909" s="36"/>
      <c r="AB1909" s="36"/>
      <c r="AC1909" s="36"/>
    </row>
    <row r="1910" ht="15.75" customHeight="1">
      <c r="A1910" s="423">
        <v>43894.0</v>
      </c>
      <c r="B1910" s="424">
        <v>14.5397</v>
      </c>
      <c r="C1910" s="426">
        <v>18.6098</v>
      </c>
      <c r="D1910" s="426">
        <v>22.2417</v>
      </c>
      <c r="E1910" s="425">
        <v>15.95</v>
      </c>
      <c r="F1910" s="425">
        <v>17.4399</v>
      </c>
      <c r="G1910" s="425">
        <v>15.0932</v>
      </c>
      <c r="H1910" s="426">
        <v>28.1442</v>
      </c>
      <c r="I1910" s="426">
        <v>22.7094</v>
      </c>
      <c r="J1910" s="426">
        <v>21.3165</v>
      </c>
      <c r="K1910" s="182">
        <v>11251.0</v>
      </c>
      <c r="L1910" s="36"/>
      <c r="M1910" s="36"/>
      <c r="N1910" s="36"/>
      <c r="O1910" s="36"/>
      <c r="P1910" s="36"/>
      <c r="Q1910" s="36"/>
      <c r="R1910" s="36"/>
      <c r="S1910" s="36"/>
      <c r="T1910" s="36"/>
      <c r="U1910" s="36"/>
      <c r="V1910" s="36"/>
      <c r="W1910" s="36"/>
      <c r="X1910" s="36"/>
      <c r="Y1910" s="36"/>
      <c r="Z1910" s="36"/>
      <c r="AA1910" s="36"/>
      <c r="AB1910" s="36"/>
      <c r="AC1910" s="36"/>
    </row>
    <row r="1911" ht="15.75" customHeight="1">
      <c r="A1911" s="423">
        <v>43895.0</v>
      </c>
      <c r="B1911" s="424">
        <v>14.5643</v>
      </c>
      <c r="C1911" s="426">
        <v>18.609</v>
      </c>
      <c r="D1911" s="426">
        <v>22.2188</v>
      </c>
      <c r="E1911" s="425">
        <v>15.939</v>
      </c>
      <c r="F1911" s="425">
        <v>17.4606</v>
      </c>
      <c r="G1911" s="425">
        <v>15.0946</v>
      </c>
      <c r="H1911" s="426">
        <v>28.1833</v>
      </c>
      <c r="I1911" s="426">
        <v>22.7581</v>
      </c>
      <c r="J1911" s="426">
        <v>21.3356</v>
      </c>
      <c r="K1911" s="182">
        <v>11269.0</v>
      </c>
      <c r="L1911" s="36"/>
      <c r="M1911" s="36"/>
      <c r="N1911" s="36"/>
      <c r="O1911" s="36"/>
      <c r="P1911" s="36"/>
      <c r="Q1911" s="36"/>
      <c r="R1911" s="36"/>
      <c r="S1911" s="36"/>
      <c r="T1911" s="36"/>
      <c r="U1911" s="36"/>
      <c r="V1911" s="36"/>
      <c r="W1911" s="36"/>
      <c r="X1911" s="36"/>
      <c r="Y1911" s="36"/>
      <c r="Z1911" s="36"/>
      <c r="AA1911" s="36"/>
      <c r="AB1911" s="36"/>
      <c r="AC1911" s="36"/>
    </row>
    <row r="1912" ht="15.75" customHeight="1">
      <c r="A1912" s="423">
        <v>43896.0</v>
      </c>
      <c r="B1912" s="424">
        <v>14.2652</v>
      </c>
      <c r="C1912" s="426">
        <v>18.6144</v>
      </c>
      <c r="D1912" s="426">
        <v>22.2909</v>
      </c>
      <c r="E1912" s="425">
        <v>15.9917</v>
      </c>
      <c r="F1912" s="425">
        <v>17.0993</v>
      </c>
      <c r="G1912" s="425">
        <v>15.1065</v>
      </c>
      <c r="H1912" s="426">
        <v>27.745</v>
      </c>
      <c r="I1912" s="426">
        <v>22.3051</v>
      </c>
      <c r="J1912" s="426">
        <v>21.0683</v>
      </c>
      <c r="K1912" s="182">
        <v>10989.45</v>
      </c>
      <c r="L1912" s="36"/>
      <c r="M1912" s="36"/>
      <c r="N1912" s="36"/>
      <c r="O1912" s="36"/>
      <c r="P1912" s="36"/>
      <c r="Q1912" s="36"/>
      <c r="R1912" s="36"/>
      <c r="S1912" s="36"/>
      <c r="T1912" s="36"/>
      <c r="U1912" s="36"/>
      <c r="V1912" s="36"/>
      <c r="W1912" s="36"/>
      <c r="X1912" s="36"/>
      <c r="Y1912" s="36"/>
      <c r="Z1912" s="36"/>
      <c r="AA1912" s="36"/>
      <c r="AB1912" s="36"/>
      <c r="AC1912" s="36"/>
    </row>
    <row r="1913" ht="15.75" customHeight="1">
      <c r="A1913" s="423">
        <v>43899.0</v>
      </c>
      <c r="B1913" s="424">
        <v>13.6123</v>
      </c>
      <c r="C1913" s="426">
        <v>18.6207</v>
      </c>
      <c r="D1913" s="426">
        <v>22.3489</v>
      </c>
      <c r="E1913" s="425">
        <v>16.0382</v>
      </c>
      <c r="F1913" s="425">
        <v>16.3446</v>
      </c>
      <c r="G1913" s="425">
        <v>15.1322</v>
      </c>
      <c r="H1913" s="426">
        <v>26.8075</v>
      </c>
      <c r="I1913" s="426">
        <v>21.3352</v>
      </c>
      <c r="J1913" s="426">
        <v>20.4446</v>
      </c>
      <c r="K1913" s="182">
        <v>10451.45</v>
      </c>
      <c r="L1913" s="36"/>
      <c r="M1913" s="36"/>
      <c r="N1913" s="36"/>
      <c r="O1913" s="36"/>
      <c r="P1913" s="36"/>
      <c r="Q1913" s="36"/>
      <c r="R1913" s="36"/>
      <c r="S1913" s="36"/>
      <c r="T1913" s="36"/>
      <c r="U1913" s="36"/>
      <c r="V1913" s="36"/>
      <c r="W1913" s="36"/>
      <c r="X1913" s="36"/>
      <c r="Y1913" s="36"/>
      <c r="Z1913" s="36"/>
      <c r="AA1913" s="36"/>
      <c r="AB1913" s="36"/>
      <c r="AC1913" s="36"/>
    </row>
    <row r="1914" ht="15.75" customHeight="1">
      <c r="A1914" s="423">
        <v>43901.0</v>
      </c>
      <c r="B1914" s="424">
        <v>13.6028</v>
      </c>
      <c r="C1914" s="426">
        <v>18.6124</v>
      </c>
      <c r="D1914" s="426">
        <v>22.2994</v>
      </c>
      <c r="E1914" s="425">
        <v>15.9953</v>
      </c>
      <c r="F1914" s="425">
        <v>16.324</v>
      </c>
      <c r="G1914" s="425">
        <v>15.1111</v>
      </c>
      <c r="H1914" s="426">
        <v>26.5656</v>
      </c>
      <c r="I1914" s="426">
        <v>21.3158</v>
      </c>
      <c r="J1914" s="426">
        <v>20.3968</v>
      </c>
      <c r="K1914" s="182">
        <v>10458.4</v>
      </c>
      <c r="L1914" s="36"/>
      <c r="M1914" s="36"/>
      <c r="N1914" s="36"/>
      <c r="O1914" s="36"/>
      <c r="P1914" s="36"/>
      <c r="Q1914" s="36"/>
      <c r="R1914" s="36"/>
      <c r="S1914" s="36"/>
      <c r="T1914" s="36"/>
      <c r="U1914" s="36"/>
      <c r="V1914" s="36"/>
      <c r="W1914" s="36"/>
      <c r="X1914" s="36"/>
      <c r="Y1914" s="36"/>
      <c r="Z1914" s="36"/>
      <c r="AA1914" s="36"/>
      <c r="AB1914" s="36"/>
      <c r="AC1914" s="36"/>
    </row>
    <row r="1915" ht="15.75" customHeight="1">
      <c r="A1915" s="423">
        <v>43902.0</v>
      </c>
      <c r="B1915" s="424">
        <v>12.54</v>
      </c>
      <c r="C1915" s="426">
        <v>18.5573</v>
      </c>
      <c r="D1915" s="426">
        <v>22.1217</v>
      </c>
      <c r="E1915" s="425">
        <v>15.8729</v>
      </c>
      <c r="F1915" s="425">
        <v>15.0658</v>
      </c>
      <c r="G1915" s="425">
        <v>15.0571</v>
      </c>
      <c r="H1915" s="426">
        <v>24.8372</v>
      </c>
      <c r="I1915" s="426">
        <v>19.7018</v>
      </c>
      <c r="J1915" s="426">
        <v>19.2426</v>
      </c>
      <c r="K1915" s="182">
        <v>9590.15</v>
      </c>
      <c r="L1915" s="36"/>
      <c r="M1915" s="36"/>
      <c r="N1915" s="36"/>
      <c r="O1915" s="36"/>
      <c r="P1915" s="36"/>
      <c r="Q1915" s="36"/>
      <c r="R1915" s="36"/>
      <c r="S1915" s="36"/>
      <c r="T1915" s="36"/>
      <c r="U1915" s="36"/>
      <c r="V1915" s="36"/>
      <c r="W1915" s="36"/>
      <c r="X1915" s="36"/>
      <c r="Y1915" s="36"/>
      <c r="Z1915" s="36"/>
      <c r="AA1915" s="36"/>
      <c r="AB1915" s="36"/>
      <c r="AC1915" s="36"/>
    </row>
    <row r="1916" ht="15.75" customHeight="1">
      <c r="A1916" s="423">
        <v>43903.0</v>
      </c>
      <c r="B1916" s="424">
        <v>12.9345</v>
      </c>
      <c r="C1916" s="426">
        <v>18.5375</v>
      </c>
      <c r="D1916" s="426">
        <v>22.0041</v>
      </c>
      <c r="E1916" s="425">
        <v>15.7757</v>
      </c>
      <c r="F1916" s="425">
        <v>15.5747</v>
      </c>
      <c r="G1916" s="425">
        <v>15.0228</v>
      </c>
      <c r="H1916" s="426">
        <v>25.3382</v>
      </c>
      <c r="I1916" s="426">
        <v>20.329</v>
      </c>
      <c r="J1916" s="426">
        <v>19.613</v>
      </c>
      <c r="K1916" s="182">
        <v>9955.2</v>
      </c>
      <c r="L1916" s="36"/>
      <c r="M1916" s="36"/>
      <c r="N1916" s="36"/>
      <c r="O1916" s="36"/>
      <c r="P1916" s="36"/>
      <c r="Q1916" s="36"/>
      <c r="R1916" s="36"/>
      <c r="S1916" s="36"/>
      <c r="T1916" s="36"/>
      <c r="U1916" s="36"/>
      <c r="V1916" s="36"/>
      <c r="W1916" s="36"/>
      <c r="X1916" s="36"/>
      <c r="Y1916" s="36"/>
      <c r="Z1916" s="36"/>
      <c r="AA1916" s="36"/>
      <c r="AB1916" s="36"/>
      <c r="AC1916" s="36"/>
    </row>
    <row r="1917" ht="15.75" customHeight="1">
      <c r="A1917" s="423">
        <v>43906.0</v>
      </c>
      <c r="B1917" s="424">
        <v>12.0764</v>
      </c>
      <c r="C1917" s="426">
        <v>18.5302</v>
      </c>
      <c r="D1917" s="426">
        <v>22.0541</v>
      </c>
      <c r="E1917" s="425">
        <v>15.8262</v>
      </c>
      <c r="F1917" s="425">
        <v>14.5586</v>
      </c>
      <c r="G1917" s="425">
        <v>15.032</v>
      </c>
      <c r="H1917" s="426">
        <v>24.017</v>
      </c>
      <c r="I1917" s="426">
        <v>19.0212</v>
      </c>
      <c r="J1917" s="426">
        <v>18.7452</v>
      </c>
      <c r="K1917" s="182">
        <v>9197.4</v>
      </c>
      <c r="L1917" s="36"/>
      <c r="M1917" s="36"/>
      <c r="N1917" s="36"/>
      <c r="O1917" s="36"/>
      <c r="P1917" s="36"/>
      <c r="Q1917" s="36"/>
      <c r="R1917" s="36"/>
      <c r="S1917" s="36"/>
      <c r="T1917" s="36"/>
      <c r="U1917" s="36"/>
      <c r="V1917" s="36"/>
      <c r="W1917" s="36"/>
      <c r="X1917" s="36"/>
      <c r="Y1917" s="36"/>
      <c r="Z1917" s="36"/>
      <c r="AA1917" s="36"/>
      <c r="AB1917" s="36"/>
      <c r="AC1917" s="36"/>
    </row>
    <row r="1918" ht="15.75" customHeight="1">
      <c r="A1918" s="423">
        <v>43907.0</v>
      </c>
      <c r="B1918" s="424">
        <v>11.788</v>
      </c>
      <c r="C1918" s="426">
        <v>18.4884</v>
      </c>
      <c r="D1918" s="426">
        <v>21.9365</v>
      </c>
      <c r="E1918" s="425">
        <v>15.7558</v>
      </c>
      <c r="F1918" s="425">
        <v>14.2091</v>
      </c>
      <c r="G1918" s="425">
        <v>14.9998</v>
      </c>
      <c r="H1918" s="426">
        <v>23.4945</v>
      </c>
      <c r="I1918" s="426">
        <v>18.5626</v>
      </c>
      <c r="J1918" s="426">
        <v>18.4119</v>
      </c>
      <c r="K1918" s="182">
        <v>8967.05</v>
      </c>
      <c r="L1918" s="36"/>
      <c r="M1918" s="36"/>
      <c r="N1918" s="36"/>
      <c r="O1918" s="36"/>
      <c r="P1918" s="36"/>
      <c r="Q1918" s="36"/>
      <c r="R1918" s="36"/>
      <c r="S1918" s="36"/>
      <c r="T1918" s="36"/>
      <c r="U1918" s="36"/>
      <c r="V1918" s="36"/>
      <c r="W1918" s="36"/>
      <c r="X1918" s="36"/>
      <c r="Y1918" s="36"/>
      <c r="Z1918" s="36"/>
      <c r="AA1918" s="36"/>
      <c r="AB1918" s="36"/>
      <c r="AC1918" s="36"/>
    </row>
    <row r="1919" ht="15.75" customHeight="1">
      <c r="A1919" s="423">
        <v>43908.0</v>
      </c>
      <c r="B1919" s="424">
        <v>11.1934</v>
      </c>
      <c r="C1919" s="426">
        <v>18.4139</v>
      </c>
      <c r="D1919" s="426">
        <v>21.8796</v>
      </c>
      <c r="E1919" s="425">
        <v>15.7214</v>
      </c>
      <c r="F1919" s="425">
        <v>13.4938</v>
      </c>
      <c r="G1919" s="425">
        <v>14.9509</v>
      </c>
      <c r="H1919" s="426">
        <v>22.324</v>
      </c>
      <c r="I1919" s="426">
        <v>17.6498</v>
      </c>
      <c r="J1919" s="426">
        <v>17.7656</v>
      </c>
      <c r="K1919" s="182">
        <v>8468.8</v>
      </c>
      <c r="L1919" s="36"/>
      <c r="M1919" s="36"/>
      <c r="N1919" s="36"/>
      <c r="O1919" s="36"/>
      <c r="P1919" s="36"/>
      <c r="Q1919" s="36"/>
      <c r="R1919" s="36"/>
      <c r="S1919" s="36"/>
      <c r="T1919" s="36"/>
      <c r="U1919" s="36"/>
      <c r="V1919" s="36"/>
      <c r="W1919" s="36"/>
      <c r="X1919" s="36"/>
      <c r="Y1919" s="36"/>
      <c r="Z1919" s="36"/>
      <c r="AA1919" s="36"/>
      <c r="AB1919" s="36"/>
      <c r="AC1919" s="36"/>
    </row>
    <row r="1920" ht="15.75" customHeight="1">
      <c r="A1920" s="423">
        <v>43909.0</v>
      </c>
      <c r="B1920" s="424">
        <v>10.9396</v>
      </c>
      <c r="C1920" s="426">
        <v>18.3145</v>
      </c>
      <c r="D1920" s="426">
        <v>21.6466</v>
      </c>
      <c r="E1920" s="425">
        <v>15.5596</v>
      </c>
      <c r="F1920" s="425">
        <v>13.1795</v>
      </c>
      <c r="G1920" s="425">
        <v>14.856</v>
      </c>
      <c r="H1920" s="426">
        <v>21.3482</v>
      </c>
      <c r="I1920" s="426">
        <v>17.2551</v>
      </c>
      <c r="J1920" s="426">
        <v>17.424</v>
      </c>
      <c r="K1920" s="182">
        <v>8263.45</v>
      </c>
      <c r="L1920" s="36"/>
      <c r="M1920" s="36"/>
      <c r="N1920" s="36"/>
      <c r="O1920" s="36"/>
      <c r="P1920" s="36"/>
      <c r="Q1920" s="36"/>
      <c r="R1920" s="36"/>
      <c r="S1920" s="36"/>
      <c r="T1920" s="36"/>
      <c r="U1920" s="36"/>
      <c r="V1920" s="36"/>
      <c r="W1920" s="36"/>
      <c r="X1920" s="36"/>
      <c r="Y1920" s="36"/>
      <c r="Z1920" s="36"/>
      <c r="AA1920" s="36"/>
      <c r="AB1920" s="36"/>
      <c r="AC1920" s="36"/>
    </row>
    <row r="1921" ht="15.75" customHeight="1">
      <c r="A1921" s="423">
        <v>43910.0</v>
      </c>
      <c r="B1921" s="424">
        <v>11.4675</v>
      </c>
      <c r="C1921" s="426">
        <v>18.38</v>
      </c>
      <c r="D1921" s="426">
        <v>21.8819</v>
      </c>
      <c r="E1921" s="425">
        <v>15.724</v>
      </c>
      <c r="F1921" s="425">
        <v>13.7746</v>
      </c>
      <c r="G1921" s="425">
        <v>14.9088</v>
      </c>
      <c r="H1921" s="426">
        <v>22.3123</v>
      </c>
      <c r="I1921" s="426">
        <v>18.0605</v>
      </c>
      <c r="J1921" s="426">
        <v>18.0692</v>
      </c>
      <c r="K1921" s="182">
        <v>8745.45</v>
      </c>
      <c r="L1921" s="36"/>
      <c r="M1921" s="36"/>
      <c r="N1921" s="36"/>
      <c r="O1921" s="36"/>
      <c r="P1921" s="36"/>
      <c r="Q1921" s="36"/>
      <c r="R1921" s="36"/>
      <c r="S1921" s="36"/>
      <c r="T1921" s="36"/>
      <c r="U1921" s="36"/>
      <c r="V1921" s="36"/>
      <c r="W1921" s="36"/>
      <c r="X1921" s="36"/>
      <c r="Y1921" s="36"/>
      <c r="Z1921" s="36"/>
      <c r="AA1921" s="36"/>
      <c r="AB1921" s="36"/>
      <c r="AC1921" s="36"/>
    </row>
    <row r="1922" ht="15.75" customHeight="1">
      <c r="A1922" s="423">
        <v>43913.0</v>
      </c>
      <c r="B1922" s="424">
        <v>10.1295</v>
      </c>
      <c r="C1922" s="426">
        <v>18.3116</v>
      </c>
      <c r="D1922" s="426">
        <v>21.6323</v>
      </c>
      <c r="E1922" s="425">
        <v>15.5644</v>
      </c>
      <c r="F1922" s="425">
        <v>12.156</v>
      </c>
      <c r="G1922" s="425">
        <v>14.8308</v>
      </c>
      <c r="H1922" s="426">
        <v>19.5059</v>
      </c>
      <c r="I1922" s="426">
        <v>15.8986</v>
      </c>
      <c r="J1922" s="426">
        <v>16.4768</v>
      </c>
      <c r="K1922" s="182">
        <v>7610.25</v>
      </c>
      <c r="L1922" s="36"/>
      <c r="M1922" s="36"/>
      <c r="N1922" s="36"/>
      <c r="O1922" s="36"/>
      <c r="P1922" s="36"/>
      <c r="Q1922" s="36"/>
      <c r="R1922" s="36"/>
      <c r="S1922" s="36"/>
      <c r="T1922" s="36"/>
      <c r="U1922" s="36"/>
      <c r="V1922" s="36"/>
      <c r="W1922" s="36"/>
      <c r="X1922" s="36"/>
      <c r="Y1922" s="36"/>
      <c r="Z1922" s="36"/>
      <c r="AA1922" s="36"/>
      <c r="AB1922" s="36"/>
      <c r="AC1922" s="36"/>
    </row>
    <row r="1923" ht="15.75" customHeight="1">
      <c r="A1923" s="423">
        <v>43914.0</v>
      </c>
      <c r="B1923" s="424">
        <v>10.3684</v>
      </c>
      <c r="C1923" s="426">
        <v>18.3069</v>
      </c>
      <c r="D1923" s="426">
        <v>21.7015</v>
      </c>
      <c r="E1923" s="425">
        <v>15.6079</v>
      </c>
      <c r="F1923" s="425">
        <v>12.4341</v>
      </c>
      <c r="G1923" s="425">
        <v>14.8363</v>
      </c>
      <c r="H1923" s="426">
        <v>19.672</v>
      </c>
      <c r="I1923" s="426">
        <v>16.2864</v>
      </c>
      <c r="J1923" s="426">
        <v>16.7537</v>
      </c>
      <c r="K1923" s="182">
        <v>7801.05</v>
      </c>
      <c r="L1923" s="36"/>
      <c r="M1923" s="36"/>
      <c r="N1923" s="36"/>
      <c r="O1923" s="36"/>
      <c r="P1923" s="36"/>
      <c r="Q1923" s="36"/>
      <c r="R1923" s="36"/>
      <c r="S1923" s="36"/>
      <c r="T1923" s="36"/>
      <c r="U1923" s="36"/>
      <c r="V1923" s="36"/>
      <c r="W1923" s="36"/>
      <c r="X1923" s="36"/>
      <c r="Y1923" s="36"/>
      <c r="Z1923" s="36"/>
      <c r="AA1923" s="36"/>
      <c r="AB1923" s="36"/>
      <c r="AC1923" s="36"/>
    </row>
    <row r="1924" ht="15.75" customHeight="1">
      <c r="A1924" s="423">
        <v>43915.0</v>
      </c>
      <c r="B1924" s="424">
        <v>10.9643</v>
      </c>
      <c r="C1924" s="426">
        <v>18.3098</v>
      </c>
      <c r="D1924" s="426">
        <v>21.7015</v>
      </c>
      <c r="E1924" s="425">
        <v>15.6072</v>
      </c>
      <c r="F1924" s="425">
        <v>13.0982</v>
      </c>
      <c r="G1924" s="425">
        <v>14.8384</v>
      </c>
      <c r="H1924" s="426">
        <v>20.2047</v>
      </c>
      <c r="I1924" s="426">
        <v>17.2337</v>
      </c>
      <c r="J1924" s="426">
        <v>17.3933</v>
      </c>
      <c r="K1924" s="182">
        <v>8317.85</v>
      </c>
      <c r="L1924" s="36"/>
      <c r="M1924" s="36"/>
      <c r="N1924" s="36"/>
      <c r="O1924" s="36"/>
      <c r="P1924" s="36"/>
      <c r="Q1924" s="36"/>
      <c r="R1924" s="36"/>
      <c r="S1924" s="36"/>
      <c r="T1924" s="36"/>
      <c r="U1924" s="36"/>
      <c r="V1924" s="36"/>
      <c r="W1924" s="36"/>
      <c r="X1924" s="36"/>
      <c r="Y1924" s="36"/>
      <c r="Z1924" s="36"/>
      <c r="AA1924" s="36"/>
      <c r="AB1924" s="36"/>
      <c r="AC1924" s="36"/>
    </row>
    <row r="1925" ht="15.75" customHeight="1">
      <c r="A1925" s="423">
        <v>43916.0</v>
      </c>
      <c r="B1925" s="424">
        <v>11.355</v>
      </c>
      <c r="C1925" s="426">
        <v>18.3445</v>
      </c>
      <c r="D1925" s="426">
        <v>21.8078</v>
      </c>
      <c r="E1925" s="425">
        <v>15.6837</v>
      </c>
      <c r="F1925" s="425">
        <v>13.5688</v>
      </c>
      <c r="G1925" s="425">
        <v>14.8841</v>
      </c>
      <c r="H1925" s="426">
        <v>20.8363</v>
      </c>
      <c r="I1925" s="426">
        <v>17.8633</v>
      </c>
      <c r="J1925" s="426">
        <v>17.863</v>
      </c>
      <c r="K1925" s="182">
        <v>8641.45</v>
      </c>
      <c r="L1925" s="36"/>
      <c r="M1925" s="36"/>
      <c r="N1925" s="36"/>
      <c r="O1925" s="36"/>
      <c r="P1925" s="36"/>
      <c r="Q1925" s="36"/>
      <c r="R1925" s="36"/>
      <c r="S1925" s="36"/>
      <c r="T1925" s="36"/>
      <c r="U1925" s="36"/>
      <c r="V1925" s="36"/>
      <c r="W1925" s="36"/>
      <c r="X1925" s="36"/>
      <c r="Y1925" s="36"/>
      <c r="Z1925" s="36"/>
      <c r="AA1925" s="36"/>
      <c r="AB1925" s="36"/>
      <c r="AC1925" s="36"/>
    </row>
    <row r="1926" ht="15.75" customHeight="1">
      <c r="A1926" s="423">
        <v>43917.0</v>
      </c>
      <c r="B1926" s="424">
        <v>11.3993</v>
      </c>
      <c r="C1926" s="426">
        <v>18.6423</v>
      </c>
      <c r="D1926" s="426">
        <v>22.1984</v>
      </c>
      <c r="E1926" s="425">
        <v>15.9291</v>
      </c>
      <c r="F1926" s="425">
        <v>13.6108</v>
      </c>
      <c r="G1926" s="425">
        <v>15.0853</v>
      </c>
      <c r="H1926" s="426">
        <v>20.7789</v>
      </c>
      <c r="I1926" s="426">
        <v>17.9112</v>
      </c>
      <c r="J1926" s="426">
        <v>18.0105</v>
      </c>
      <c r="K1926" s="182">
        <v>8660.25</v>
      </c>
      <c r="L1926" s="36"/>
      <c r="M1926" s="36"/>
      <c r="N1926" s="36"/>
      <c r="O1926" s="36"/>
      <c r="P1926" s="36"/>
      <c r="Q1926" s="36"/>
      <c r="R1926" s="36"/>
      <c r="S1926" s="36"/>
      <c r="T1926" s="36"/>
      <c r="U1926" s="36"/>
      <c r="V1926" s="36"/>
      <c r="W1926" s="36"/>
      <c r="X1926" s="36"/>
      <c r="Y1926" s="36"/>
      <c r="Z1926" s="36"/>
      <c r="AA1926" s="36"/>
      <c r="AB1926" s="36"/>
      <c r="AC1926" s="36"/>
    </row>
    <row r="1927" ht="15.75" customHeight="1">
      <c r="A1927" s="423">
        <v>43920.0</v>
      </c>
      <c r="B1927" s="424">
        <v>10.9991</v>
      </c>
      <c r="C1927" s="426">
        <v>18.6463</v>
      </c>
      <c r="D1927" s="426">
        <v>22.1404</v>
      </c>
      <c r="E1927" s="425">
        <v>15.8831</v>
      </c>
      <c r="F1927" s="425">
        <v>13.1536</v>
      </c>
      <c r="G1927" s="425">
        <v>15.0797</v>
      </c>
      <c r="H1927" s="426">
        <v>20.3218</v>
      </c>
      <c r="I1927" s="426">
        <v>17.2689</v>
      </c>
      <c r="J1927" s="426">
        <v>17.5766</v>
      </c>
      <c r="K1927" s="182">
        <v>8281.1</v>
      </c>
      <c r="L1927" s="36"/>
      <c r="M1927" s="36"/>
      <c r="N1927" s="36"/>
      <c r="O1927" s="36"/>
      <c r="P1927" s="36"/>
      <c r="Q1927" s="36"/>
      <c r="R1927" s="36"/>
      <c r="S1927" s="36"/>
      <c r="T1927" s="36"/>
      <c r="U1927" s="36"/>
      <c r="V1927" s="36"/>
      <c r="W1927" s="36"/>
      <c r="X1927" s="36"/>
      <c r="Y1927" s="36"/>
      <c r="Z1927" s="36"/>
      <c r="AA1927" s="36"/>
      <c r="AB1927" s="36"/>
      <c r="AC1927" s="36"/>
    </row>
    <row r="1928" ht="15.75" customHeight="1">
      <c r="A1928" s="423">
        <v>43921.0</v>
      </c>
      <c r="B1928" s="424">
        <v>11.3806</v>
      </c>
      <c r="C1928" s="426">
        <v>18.6876</v>
      </c>
      <c r="D1928" s="426">
        <v>22.2929</v>
      </c>
      <c r="E1928" s="425">
        <v>15.9712</v>
      </c>
      <c r="F1928" s="425">
        <v>13.6148</v>
      </c>
      <c r="G1928" s="425">
        <v>15.1744</v>
      </c>
      <c r="H1928" s="426">
        <v>20.838</v>
      </c>
      <c r="I1928" s="426">
        <v>17.8684</v>
      </c>
      <c r="J1928" s="426">
        <v>18.0267</v>
      </c>
      <c r="K1928" s="182">
        <v>8597.75</v>
      </c>
      <c r="L1928" s="36"/>
      <c r="M1928" s="36"/>
      <c r="N1928" s="36"/>
      <c r="O1928" s="36"/>
      <c r="P1928" s="36"/>
      <c r="Q1928" s="36"/>
      <c r="R1928" s="36"/>
      <c r="S1928" s="36"/>
      <c r="T1928" s="36"/>
      <c r="U1928" s="36"/>
      <c r="V1928" s="36"/>
      <c r="W1928" s="36"/>
      <c r="X1928" s="36"/>
      <c r="Y1928" s="36"/>
      <c r="Z1928" s="36"/>
      <c r="AA1928" s="36"/>
      <c r="AB1928" s="36"/>
      <c r="AC1928" s="36"/>
    </row>
    <row r="1929" ht="15.75" customHeight="1">
      <c r="A1929" s="423">
        <v>43922.0</v>
      </c>
      <c r="B1929" s="424">
        <v>10.9557</v>
      </c>
      <c r="C1929" s="426">
        <v>18.69</v>
      </c>
      <c r="D1929" s="426">
        <v>22.2961</v>
      </c>
      <c r="E1929" s="425">
        <v>15.9733</v>
      </c>
      <c r="F1929" s="425">
        <v>13.1273</v>
      </c>
      <c r="G1929" s="425">
        <v>15.1763</v>
      </c>
      <c r="H1929" s="426">
        <v>20.4692</v>
      </c>
      <c r="I1929" s="426">
        <v>17.2484</v>
      </c>
      <c r="J1929" s="426">
        <v>17.5841</v>
      </c>
      <c r="K1929" s="182">
        <v>8253.8</v>
      </c>
      <c r="L1929" s="36"/>
      <c r="M1929" s="36"/>
      <c r="N1929" s="36"/>
      <c r="O1929" s="36"/>
      <c r="P1929" s="36"/>
      <c r="Q1929" s="36"/>
      <c r="R1929" s="36"/>
      <c r="S1929" s="36"/>
      <c r="T1929" s="36"/>
      <c r="U1929" s="36"/>
      <c r="V1929" s="36"/>
      <c r="W1929" s="36"/>
      <c r="X1929" s="36"/>
      <c r="Y1929" s="36"/>
      <c r="Z1929" s="36"/>
      <c r="AA1929" s="36"/>
      <c r="AB1929" s="36"/>
      <c r="AC1929" s="36"/>
    </row>
    <row r="1930" ht="15.75" customHeight="1">
      <c r="A1930" s="423">
        <v>43924.0</v>
      </c>
      <c r="B1930" s="424">
        <v>10.7374</v>
      </c>
      <c r="C1930" s="426">
        <v>18.6598</v>
      </c>
      <c r="D1930" s="426">
        <v>22.1495</v>
      </c>
      <c r="E1930" s="425">
        <v>15.8686</v>
      </c>
      <c r="F1930" s="425">
        <v>12.902</v>
      </c>
      <c r="G1930" s="425">
        <v>15.1426</v>
      </c>
      <c r="H1930" s="426">
        <v>20.1673</v>
      </c>
      <c r="I1930" s="426">
        <v>16.9188</v>
      </c>
      <c r="J1930" s="426">
        <v>17.3359</v>
      </c>
      <c r="K1930" s="182">
        <v>8083.8</v>
      </c>
      <c r="L1930" s="36"/>
      <c r="M1930" s="36"/>
      <c r="N1930" s="36"/>
      <c r="O1930" s="36"/>
      <c r="P1930" s="36"/>
      <c r="Q1930" s="36"/>
      <c r="R1930" s="36"/>
      <c r="S1930" s="36"/>
      <c r="T1930" s="36"/>
      <c r="U1930" s="36"/>
      <c r="V1930" s="36"/>
      <c r="W1930" s="36"/>
      <c r="X1930" s="36"/>
      <c r="Y1930" s="36"/>
      <c r="Z1930" s="36"/>
      <c r="AA1930" s="36"/>
      <c r="AB1930" s="36"/>
      <c r="AC1930" s="36"/>
    </row>
    <row r="1931" ht="15.75" customHeight="1">
      <c r="A1931" s="423">
        <v>43928.0</v>
      </c>
      <c r="B1931" s="424">
        <v>11.6669</v>
      </c>
      <c r="C1931" s="426">
        <v>18.6461</v>
      </c>
      <c r="D1931" s="426">
        <v>21.9683</v>
      </c>
      <c r="E1931" s="425">
        <v>15.7523</v>
      </c>
      <c r="F1931" s="425">
        <v>14.0053</v>
      </c>
      <c r="G1931" s="425">
        <v>15.0721</v>
      </c>
      <c r="H1931" s="426">
        <v>21.0406</v>
      </c>
      <c r="I1931" s="426">
        <v>18.3492</v>
      </c>
      <c r="J1931" s="426">
        <v>18.2851</v>
      </c>
      <c r="K1931" s="182">
        <v>8792.2</v>
      </c>
      <c r="L1931" s="36"/>
      <c r="M1931" s="36"/>
      <c r="N1931" s="36"/>
      <c r="O1931" s="36"/>
      <c r="P1931" s="36"/>
      <c r="Q1931" s="36"/>
      <c r="R1931" s="36"/>
      <c r="S1931" s="36"/>
      <c r="T1931" s="36"/>
      <c r="U1931" s="36"/>
      <c r="V1931" s="36"/>
      <c r="W1931" s="36"/>
      <c r="X1931" s="36"/>
      <c r="Y1931" s="36"/>
      <c r="Z1931" s="36"/>
      <c r="AA1931" s="36"/>
      <c r="AB1931" s="36"/>
      <c r="AC1931" s="36"/>
    </row>
    <row r="1932" ht="15.75" customHeight="1">
      <c r="A1932" s="423">
        <v>43929.0</v>
      </c>
      <c r="B1932" s="424">
        <v>11.6077</v>
      </c>
      <c r="C1932" s="426">
        <v>18.6315</v>
      </c>
      <c r="D1932" s="426">
        <v>21.8751</v>
      </c>
      <c r="E1932" s="425">
        <v>15.6899</v>
      </c>
      <c r="F1932" s="425">
        <v>13.9692</v>
      </c>
      <c r="G1932" s="425">
        <v>15.0338</v>
      </c>
      <c r="H1932" s="426">
        <v>21.467</v>
      </c>
      <c r="I1932" s="426">
        <v>18.2891</v>
      </c>
      <c r="J1932" s="426">
        <v>18.2282</v>
      </c>
      <c r="K1932" s="182">
        <v>8748.75</v>
      </c>
      <c r="L1932" s="36"/>
      <c r="M1932" s="36"/>
      <c r="N1932" s="36"/>
      <c r="O1932" s="36"/>
      <c r="P1932" s="36"/>
      <c r="Q1932" s="36"/>
      <c r="R1932" s="36"/>
      <c r="S1932" s="36"/>
      <c r="T1932" s="36"/>
      <c r="U1932" s="36"/>
      <c r="V1932" s="36"/>
      <c r="W1932" s="36"/>
      <c r="X1932" s="36"/>
      <c r="Y1932" s="36"/>
      <c r="Z1932" s="36"/>
      <c r="AA1932" s="36"/>
      <c r="AB1932" s="36"/>
      <c r="AC1932" s="36"/>
    </row>
    <row r="1933" ht="15.75" customHeight="1">
      <c r="A1933" s="423">
        <v>43930.0</v>
      </c>
      <c r="B1933" s="424">
        <v>12.0105</v>
      </c>
      <c r="C1933" s="426">
        <v>18.6372</v>
      </c>
      <c r="D1933" s="426">
        <v>21.8653</v>
      </c>
      <c r="E1933" s="425">
        <v>15.6829</v>
      </c>
      <c r="F1933" s="425">
        <v>14.4907</v>
      </c>
      <c r="G1933" s="425">
        <v>15.0406</v>
      </c>
      <c r="H1933" s="426">
        <v>22.0978</v>
      </c>
      <c r="I1933" s="426">
        <v>18.9334</v>
      </c>
      <c r="J1933" s="426">
        <v>18.6645</v>
      </c>
      <c r="K1933" s="182">
        <v>9111.9</v>
      </c>
      <c r="L1933" s="36"/>
      <c r="M1933" s="36"/>
      <c r="N1933" s="36"/>
      <c r="O1933" s="36"/>
      <c r="P1933" s="36"/>
      <c r="Q1933" s="36"/>
      <c r="R1933" s="36"/>
      <c r="S1933" s="36"/>
      <c r="T1933" s="36"/>
      <c r="U1933" s="36"/>
      <c r="V1933" s="36"/>
      <c r="W1933" s="36"/>
      <c r="X1933" s="36"/>
      <c r="Y1933" s="36"/>
      <c r="Z1933" s="36"/>
      <c r="AA1933" s="36"/>
      <c r="AB1933" s="36"/>
      <c r="AC1933" s="36"/>
    </row>
    <row r="1934" ht="15.75" customHeight="1">
      <c r="A1934" s="423">
        <v>43934.0</v>
      </c>
      <c r="B1934" s="424">
        <v>11.8947</v>
      </c>
      <c r="C1934" s="426">
        <v>18.6334</v>
      </c>
      <c r="D1934" s="426">
        <v>21.891</v>
      </c>
      <c r="E1934" s="425">
        <v>15.705</v>
      </c>
      <c r="F1934" s="425">
        <v>14.3516</v>
      </c>
      <c r="G1934" s="425">
        <v>15.0419</v>
      </c>
      <c r="H1934" s="426">
        <v>21.8311</v>
      </c>
      <c r="I1934" s="426">
        <v>18.7556</v>
      </c>
      <c r="J1934" s="426">
        <v>18.5536</v>
      </c>
      <c r="K1934" s="182">
        <v>8993.85</v>
      </c>
      <c r="L1934" s="36"/>
      <c r="M1934" s="36"/>
      <c r="N1934" s="36"/>
      <c r="O1934" s="36"/>
      <c r="P1934" s="36"/>
      <c r="Q1934" s="36"/>
      <c r="R1934" s="36"/>
      <c r="S1934" s="36"/>
      <c r="T1934" s="36"/>
      <c r="U1934" s="36"/>
      <c r="V1934" s="36"/>
      <c r="W1934" s="36"/>
      <c r="X1934" s="36"/>
      <c r="Y1934" s="36"/>
      <c r="Z1934" s="36"/>
      <c r="AA1934" s="36"/>
      <c r="AB1934" s="36"/>
      <c r="AC1934" s="36"/>
    </row>
    <row r="1935" ht="15.75" customHeight="1">
      <c r="A1935" s="423">
        <v>43936.0</v>
      </c>
      <c r="B1935" s="424">
        <v>11.8199</v>
      </c>
      <c r="C1935" s="426">
        <v>18.6616</v>
      </c>
      <c r="D1935" s="426">
        <v>21.9686</v>
      </c>
      <c r="E1935" s="425">
        <v>15.7636</v>
      </c>
      <c r="F1935" s="425">
        <v>14.2925</v>
      </c>
      <c r="G1935" s="425">
        <v>15.0891</v>
      </c>
      <c r="H1935" s="426">
        <v>22.1157</v>
      </c>
      <c r="I1935" s="426">
        <v>18.645</v>
      </c>
      <c r="J1935" s="426">
        <v>18.519</v>
      </c>
      <c r="K1935" s="182">
        <v>8925.3</v>
      </c>
      <c r="L1935" s="36"/>
      <c r="M1935" s="36"/>
      <c r="N1935" s="36"/>
      <c r="O1935" s="36"/>
      <c r="P1935" s="36"/>
      <c r="Q1935" s="36"/>
      <c r="R1935" s="36"/>
      <c r="S1935" s="36"/>
      <c r="T1935" s="36"/>
      <c r="U1935" s="36"/>
      <c r="V1935" s="36"/>
      <c r="W1935" s="36"/>
      <c r="X1935" s="36"/>
      <c r="Y1935" s="36"/>
      <c r="Z1935" s="36"/>
      <c r="AA1935" s="36"/>
      <c r="AB1935" s="36"/>
      <c r="AC1935" s="36"/>
    </row>
    <row r="1936" ht="15.75" customHeight="1">
      <c r="A1936" s="423">
        <v>43937.0</v>
      </c>
      <c r="B1936" s="424">
        <v>11.8942</v>
      </c>
      <c r="C1936" s="426">
        <v>18.6925</v>
      </c>
      <c r="D1936" s="426">
        <v>22.0224</v>
      </c>
      <c r="E1936" s="425">
        <v>15.7985</v>
      </c>
      <c r="F1936" s="425">
        <v>14.371</v>
      </c>
      <c r="G1936" s="425">
        <v>15.1038</v>
      </c>
      <c r="H1936" s="426">
        <v>22.4099</v>
      </c>
      <c r="I1936" s="426">
        <v>18.7811</v>
      </c>
      <c r="J1936" s="426">
        <v>18.623</v>
      </c>
      <c r="K1936" s="182">
        <v>8992.8</v>
      </c>
      <c r="L1936" s="36"/>
      <c r="M1936" s="36"/>
      <c r="N1936" s="36"/>
      <c r="O1936" s="36"/>
      <c r="P1936" s="36"/>
      <c r="Q1936" s="36"/>
      <c r="R1936" s="36"/>
      <c r="S1936" s="36"/>
      <c r="T1936" s="36"/>
      <c r="U1936" s="36"/>
      <c r="V1936" s="36"/>
      <c r="W1936" s="36"/>
      <c r="X1936" s="36"/>
      <c r="Y1936" s="36"/>
      <c r="Z1936" s="36"/>
      <c r="AA1936" s="36"/>
      <c r="AB1936" s="36"/>
      <c r="AC1936" s="36"/>
    </row>
    <row r="1937" ht="15.75" customHeight="1">
      <c r="A1937" s="423">
        <v>43938.0</v>
      </c>
      <c r="B1937" s="424">
        <v>12.2703</v>
      </c>
      <c r="C1937" s="426">
        <v>18.7501</v>
      </c>
      <c r="D1937" s="426">
        <v>22.1798</v>
      </c>
      <c r="E1937" s="425">
        <v>15.8937</v>
      </c>
      <c r="F1937" s="425">
        <v>14.8282</v>
      </c>
      <c r="G1937" s="425">
        <v>15.1939</v>
      </c>
      <c r="H1937" s="426">
        <v>22.8703</v>
      </c>
      <c r="I1937" s="426">
        <v>19.335</v>
      </c>
      <c r="J1937" s="426">
        <v>19.0339</v>
      </c>
      <c r="K1937" s="182">
        <v>9266.75</v>
      </c>
      <c r="L1937" s="36"/>
      <c r="M1937" s="36"/>
      <c r="N1937" s="36"/>
      <c r="O1937" s="36"/>
      <c r="P1937" s="36"/>
      <c r="Q1937" s="36"/>
      <c r="R1937" s="36"/>
      <c r="S1937" s="36"/>
      <c r="T1937" s="36"/>
      <c r="U1937" s="36"/>
      <c r="V1937" s="36"/>
      <c r="W1937" s="36"/>
      <c r="X1937" s="36"/>
      <c r="Y1937" s="36"/>
      <c r="Z1937" s="36"/>
      <c r="AA1937" s="36"/>
      <c r="AB1937" s="36"/>
      <c r="AC1937" s="36"/>
    </row>
    <row r="1938" ht="15.75" customHeight="1">
      <c r="A1938" s="423">
        <v>43941.0</v>
      </c>
      <c r="B1938" s="424">
        <v>12.2278</v>
      </c>
      <c r="C1938" s="426">
        <v>18.8089</v>
      </c>
      <c r="D1938" s="426">
        <v>22.3598</v>
      </c>
      <c r="E1938" s="425">
        <v>16.0263</v>
      </c>
      <c r="F1938" s="425">
        <v>14.7865</v>
      </c>
      <c r="G1938" s="425">
        <v>15.2572</v>
      </c>
      <c r="H1938" s="426">
        <v>22.8532</v>
      </c>
      <c r="I1938" s="426">
        <v>19.279</v>
      </c>
      <c r="J1938" s="426">
        <v>19.0543</v>
      </c>
      <c r="K1938" s="182">
        <v>9261.85</v>
      </c>
      <c r="L1938" s="36"/>
      <c r="M1938" s="36"/>
      <c r="N1938" s="36"/>
      <c r="O1938" s="36"/>
      <c r="P1938" s="36"/>
      <c r="Q1938" s="36"/>
      <c r="R1938" s="36"/>
      <c r="S1938" s="36"/>
      <c r="T1938" s="36"/>
      <c r="U1938" s="36"/>
      <c r="V1938" s="36"/>
      <c r="W1938" s="36"/>
      <c r="X1938" s="36"/>
      <c r="Y1938" s="36"/>
      <c r="Z1938" s="36"/>
      <c r="AA1938" s="36"/>
      <c r="AB1938" s="36"/>
      <c r="AC1938" s="36"/>
    </row>
    <row r="1939" ht="15.75" customHeight="1">
      <c r="A1939" s="423">
        <v>43942.0</v>
      </c>
      <c r="B1939" s="424">
        <v>11.8778</v>
      </c>
      <c r="C1939" s="426">
        <v>18.8123</v>
      </c>
      <c r="D1939" s="426">
        <v>22.3844</v>
      </c>
      <c r="E1939" s="425">
        <v>16.0428</v>
      </c>
      <c r="F1939" s="425">
        <v>14.3704</v>
      </c>
      <c r="G1939" s="425">
        <v>15.263</v>
      </c>
      <c r="H1939" s="426">
        <v>22.2602</v>
      </c>
      <c r="I1939" s="426">
        <v>18.7522</v>
      </c>
      <c r="J1939" s="426">
        <v>18.7172</v>
      </c>
      <c r="K1939" s="182">
        <v>8981.45</v>
      </c>
      <c r="L1939" s="36"/>
      <c r="M1939" s="36"/>
      <c r="N1939" s="36"/>
      <c r="O1939" s="36"/>
      <c r="P1939" s="36"/>
      <c r="Q1939" s="36"/>
      <c r="R1939" s="36"/>
      <c r="S1939" s="36"/>
      <c r="T1939" s="36"/>
      <c r="U1939" s="36"/>
      <c r="V1939" s="36"/>
      <c r="W1939" s="36"/>
      <c r="X1939" s="36"/>
      <c r="Y1939" s="36"/>
      <c r="Z1939" s="36"/>
      <c r="AA1939" s="36"/>
      <c r="AB1939" s="36"/>
      <c r="AC1939" s="36"/>
    </row>
    <row r="1940" ht="15.75" customHeight="1">
      <c r="A1940" s="423">
        <v>43943.0</v>
      </c>
      <c r="B1940" s="424">
        <v>12.1391</v>
      </c>
      <c r="C1940" s="426">
        <v>18.8246</v>
      </c>
      <c r="D1940" s="426">
        <v>22.3822</v>
      </c>
      <c r="E1940" s="425">
        <v>16.0419</v>
      </c>
      <c r="F1940" s="425">
        <v>14.6725</v>
      </c>
      <c r="G1940" s="425">
        <v>15.2709</v>
      </c>
      <c r="H1940" s="426">
        <v>22.3487</v>
      </c>
      <c r="I1940" s="426">
        <v>19.1385</v>
      </c>
      <c r="J1940" s="426">
        <v>18.9831</v>
      </c>
      <c r="K1940" s="182">
        <v>9187.3</v>
      </c>
      <c r="L1940" s="36"/>
      <c r="M1940" s="36"/>
      <c r="N1940" s="36"/>
      <c r="O1940" s="36"/>
      <c r="P1940" s="36"/>
      <c r="Q1940" s="36"/>
      <c r="R1940" s="36"/>
      <c r="S1940" s="36"/>
      <c r="T1940" s="36"/>
      <c r="U1940" s="36"/>
      <c r="V1940" s="36"/>
      <c r="W1940" s="36"/>
      <c r="X1940" s="36"/>
      <c r="Y1940" s="36"/>
      <c r="Z1940" s="36"/>
      <c r="AA1940" s="36"/>
      <c r="AB1940" s="36"/>
      <c r="AC1940" s="36"/>
    </row>
    <row r="1941" ht="15.75" customHeight="1">
      <c r="A1941" s="423">
        <v>43944.0</v>
      </c>
      <c r="B1941" s="424">
        <v>12.3221</v>
      </c>
      <c r="C1941" s="426">
        <v>18.8417</v>
      </c>
      <c r="D1941" s="426">
        <v>22.5294</v>
      </c>
      <c r="E1941" s="425">
        <v>16.1635</v>
      </c>
      <c r="F1941" s="425">
        <v>14.8814</v>
      </c>
      <c r="G1941" s="425">
        <v>15.2914</v>
      </c>
      <c r="H1941" s="426">
        <v>22.588</v>
      </c>
      <c r="I1941" s="426">
        <v>19.4127</v>
      </c>
      <c r="J1941" s="426">
        <v>19.2162</v>
      </c>
      <c r="K1941" s="182">
        <v>9313.9</v>
      </c>
      <c r="L1941" s="36"/>
      <c r="M1941" s="36"/>
      <c r="N1941" s="36"/>
      <c r="O1941" s="36"/>
      <c r="P1941" s="36"/>
      <c r="Q1941" s="36"/>
      <c r="R1941" s="36"/>
      <c r="S1941" s="36"/>
      <c r="T1941" s="36"/>
      <c r="U1941" s="36"/>
      <c r="V1941" s="36"/>
      <c r="W1941" s="36"/>
      <c r="X1941" s="36"/>
      <c r="Y1941" s="36"/>
      <c r="Z1941" s="36"/>
      <c r="AA1941" s="36"/>
      <c r="AB1941" s="36"/>
      <c r="AC1941" s="36"/>
    </row>
    <row r="1942" ht="15.75" customHeight="1">
      <c r="A1942" s="423">
        <v>43945.0</v>
      </c>
      <c r="B1942" s="424">
        <v>12.1296</v>
      </c>
      <c r="C1942" s="426">
        <v>18.7857</v>
      </c>
      <c r="D1942" s="426">
        <v>22.354</v>
      </c>
      <c r="E1942" s="425">
        <v>16.0456</v>
      </c>
      <c r="F1942" s="425">
        <v>14.6553</v>
      </c>
      <c r="G1942" s="425">
        <v>15.2025</v>
      </c>
      <c r="H1942" s="426">
        <v>22.2281</v>
      </c>
      <c r="I1942" s="426">
        <v>19.1559</v>
      </c>
      <c r="J1942" s="426">
        <v>18.9721</v>
      </c>
      <c r="K1942" s="182">
        <v>9154.4</v>
      </c>
      <c r="L1942" s="36"/>
      <c r="M1942" s="36"/>
      <c r="N1942" s="36"/>
      <c r="O1942" s="36"/>
      <c r="P1942" s="36"/>
      <c r="Q1942" s="36"/>
      <c r="R1942" s="36"/>
      <c r="S1942" s="36"/>
      <c r="T1942" s="36"/>
      <c r="U1942" s="36"/>
      <c r="V1942" s="36"/>
      <c r="W1942" s="36"/>
      <c r="X1942" s="36"/>
      <c r="Y1942" s="36"/>
      <c r="Z1942" s="36"/>
      <c r="AA1942" s="36"/>
      <c r="AB1942" s="36"/>
      <c r="AC1942" s="36"/>
    </row>
    <row r="1943" ht="15.75" customHeight="1">
      <c r="A1943" s="423">
        <v>43948.0</v>
      </c>
      <c r="B1943" s="424">
        <v>12.3064</v>
      </c>
      <c r="C1943" s="426">
        <v>18.8028</v>
      </c>
      <c r="D1943" s="426">
        <v>22.4044</v>
      </c>
      <c r="E1943" s="425">
        <v>16.0694</v>
      </c>
      <c r="F1943" s="425">
        <v>14.8832</v>
      </c>
      <c r="G1943" s="425">
        <v>15.2467</v>
      </c>
      <c r="H1943" s="426">
        <v>22.5395</v>
      </c>
      <c r="I1943" s="426">
        <v>19.4049</v>
      </c>
      <c r="J1943" s="426">
        <v>19.1624</v>
      </c>
      <c r="K1943" s="182">
        <v>9282.3</v>
      </c>
      <c r="L1943" s="36"/>
      <c r="M1943" s="36"/>
      <c r="N1943" s="36"/>
      <c r="O1943" s="36"/>
      <c r="P1943" s="36"/>
      <c r="Q1943" s="36"/>
      <c r="R1943" s="36"/>
      <c r="S1943" s="36"/>
      <c r="T1943" s="36"/>
      <c r="U1943" s="36"/>
      <c r="V1943" s="36"/>
      <c r="W1943" s="36"/>
      <c r="X1943" s="36"/>
      <c r="Y1943" s="36"/>
      <c r="Z1943" s="36"/>
      <c r="AA1943" s="36"/>
      <c r="AB1943" s="36"/>
      <c r="AC1943" s="36"/>
    </row>
    <row r="1944" ht="15.75" customHeight="1">
      <c r="A1944" s="423">
        <v>43949.0</v>
      </c>
      <c r="B1944" s="424">
        <v>12.3828</v>
      </c>
      <c r="C1944" s="426">
        <v>18.8016</v>
      </c>
      <c r="D1944" s="426">
        <v>22.3989</v>
      </c>
      <c r="E1944" s="425">
        <v>16.0658</v>
      </c>
      <c r="F1944" s="425">
        <v>14.9633</v>
      </c>
      <c r="G1944" s="425">
        <v>15.244</v>
      </c>
      <c r="H1944" s="426">
        <v>22.7321</v>
      </c>
      <c r="I1944" s="426">
        <v>19.5032</v>
      </c>
      <c r="J1944" s="426">
        <v>19.2235</v>
      </c>
      <c r="K1944" s="182">
        <v>9380.9</v>
      </c>
      <c r="L1944" s="36"/>
      <c r="M1944" s="36"/>
      <c r="N1944" s="36"/>
      <c r="O1944" s="36"/>
      <c r="P1944" s="36"/>
      <c r="Q1944" s="36"/>
      <c r="R1944" s="36"/>
      <c r="S1944" s="36"/>
      <c r="T1944" s="36"/>
      <c r="U1944" s="36"/>
      <c r="V1944" s="36"/>
      <c r="W1944" s="36"/>
      <c r="X1944" s="36"/>
      <c r="Y1944" s="36"/>
      <c r="Z1944" s="36"/>
      <c r="AA1944" s="36"/>
      <c r="AB1944" s="36"/>
      <c r="AC1944" s="36"/>
    </row>
    <row r="1945" ht="15.75" customHeight="1">
      <c r="A1945" s="423">
        <v>43950.0</v>
      </c>
      <c r="B1945" s="424">
        <v>12.5549</v>
      </c>
      <c r="C1945" s="426">
        <v>18.8117</v>
      </c>
      <c r="D1945" s="426">
        <v>22.4117</v>
      </c>
      <c r="E1945" s="425">
        <v>16.0722</v>
      </c>
      <c r="F1945" s="425">
        <v>15.149</v>
      </c>
      <c r="G1945" s="425">
        <v>15.2478</v>
      </c>
      <c r="H1945" s="426">
        <v>23.0253</v>
      </c>
      <c r="I1945" s="426">
        <v>19.7516</v>
      </c>
      <c r="J1945" s="426">
        <v>19.3992</v>
      </c>
      <c r="K1945" s="182">
        <v>9553.35</v>
      </c>
      <c r="L1945" s="36"/>
      <c r="M1945" s="36"/>
      <c r="N1945" s="36"/>
      <c r="O1945" s="36"/>
      <c r="P1945" s="36"/>
      <c r="Q1945" s="36"/>
      <c r="R1945" s="36"/>
      <c r="S1945" s="36"/>
      <c r="T1945" s="36"/>
      <c r="U1945" s="36"/>
      <c r="V1945" s="36"/>
      <c r="W1945" s="36"/>
      <c r="X1945" s="36"/>
      <c r="Y1945" s="36"/>
      <c r="Z1945" s="36"/>
      <c r="AA1945" s="36"/>
      <c r="AB1945" s="36"/>
      <c r="AC1945" s="36"/>
    </row>
    <row r="1946" ht="15.75" customHeight="1">
      <c r="A1946" s="423">
        <v>43951.0</v>
      </c>
      <c r="B1946" s="424">
        <v>12.9117</v>
      </c>
      <c r="C1946" s="426">
        <v>18.8324</v>
      </c>
      <c r="D1946" s="426">
        <v>22.4373</v>
      </c>
      <c r="E1946" s="425">
        <v>16.0916</v>
      </c>
      <c r="F1946" s="425">
        <v>15.5561</v>
      </c>
      <c r="G1946" s="425">
        <v>15.26</v>
      </c>
      <c r="H1946" s="426">
        <v>23.4121</v>
      </c>
      <c r="I1946" s="426">
        <v>20.2352</v>
      </c>
      <c r="J1946" s="426">
        <v>19.769</v>
      </c>
      <c r="K1946" s="182">
        <v>9859.9</v>
      </c>
      <c r="L1946" s="36"/>
      <c r="M1946" s="36"/>
      <c r="N1946" s="36"/>
      <c r="O1946" s="36"/>
      <c r="P1946" s="36"/>
      <c r="Q1946" s="36"/>
      <c r="R1946" s="36"/>
      <c r="S1946" s="36"/>
      <c r="T1946" s="36"/>
      <c r="U1946" s="36"/>
      <c r="V1946" s="36"/>
      <c r="W1946" s="36"/>
      <c r="X1946" s="36"/>
      <c r="Y1946" s="36"/>
      <c r="Z1946" s="36"/>
      <c r="AA1946" s="36"/>
      <c r="AB1946" s="36"/>
      <c r="AC1946" s="36"/>
    </row>
    <row r="1947" ht="15.75" customHeight="1">
      <c r="A1947" s="423">
        <v>43955.0</v>
      </c>
      <c r="B1947" s="424">
        <v>12.2329</v>
      </c>
      <c r="C1947" s="426">
        <v>18.854</v>
      </c>
      <c r="D1947" s="426">
        <v>22.4987</v>
      </c>
      <c r="E1947" s="425">
        <v>16.1355</v>
      </c>
      <c r="F1947" s="425">
        <v>14.7681</v>
      </c>
      <c r="G1947" s="425">
        <v>15.2781</v>
      </c>
      <c r="H1947" s="426">
        <v>22.5454</v>
      </c>
      <c r="I1947" s="426">
        <v>19.2517</v>
      </c>
      <c r="J1947" s="426">
        <v>19.0692</v>
      </c>
      <c r="K1947" s="182">
        <v>9293.5</v>
      </c>
      <c r="L1947" s="36"/>
      <c r="M1947" s="36"/>
      <c r="N1947" s="36"/>
      <c r="O1947" s="36"/>
      <c r="P1947" s="36"/>
      <c r="Q1947" s="36"/>
      <c r="R1947" s="36"/>
      <c r="S1947" s="36"/>
      <c r="T1947" s="36"/>
      <c r="U1947" s="36"/>
      <c r="V1947" s="36"/>
      <c r="W1947" s="36"/>
      <c r="X1947" s="36"/>
      <c r="Y1947" s="36"/>
      <c r="Z1947" s="36"/>
      <c r="AA1947" s="36"/>
      <c r="AB1947" s="36"/>
      <c r="AC1947" s="36"/>
    </row>
    <row r="1948" ht="15.75" customHeight="1">
      <c r="A1948" s="423">
        <v>43956.0</v>
      </c>
      <c r="B1948" s="424">
        <v>12.1251</v>
      </c>
      <c r="C1948" s="426">
        <v>18.8578</v>
      </c>
      <c r="D1948" s="426">
        <v>22.535</v>
      </c>
      <c r="E1948" s="425">
        <v>16.1667</v>
      </c>
      <c r="F1948" s="425">
        <v>14.6343</v>
      </c>
      <c r="G1948" s="425">
        <v>15.3295</v>
      </c>
      <c r="H1948" s="426">
        <v>22.346</v>
      </c>
      <c r="I1948" s="426">
        <v>19.0845</v>
      </c>
      <c r="J1948" s="426">
        <v>18.9674</v>
      </c>
      <c r="K1948" s="182">
        <v>9205.6</v>
      </c>
      <c r="L1948" s="36"/>
      <c r="M1948" s="36"/>
      <c r="N1948" s="36"/>
      <c r="O1948" s="36"/>
      <c r="P1948" s="36"/>
      <c r="Q1948" s="36"/>
      <c r="R1948" s="36"/>
      <c r="S1948" s="36"/>
      <c r="T1948" s="36"/>
      <c r="U1948" s="36"/>
      <c r="V1948" s="36"/>
      <c r="W1948" s="36"/>
      <c r="X1948" s="36"/>
      <c r="Y1948" s="36"/>
      <c r="Z1948" s="36"/>
      <c r="AA1948" s="36"/>
      <c r="AB1948" s="36"/>
      <c r="AC1948" s="36"/>
    </row>
    <row r="1949" ht="15.75" customHeight="1">
      <c r="A1949" s="423">
        <v>43957.0</v>
      </c>
      <c r="B1949" s="424">
        <v>12.2068</v>
      </c>
      <c r="C1949" s="426">
        <v>18.8862</v>
      </c>
      <c r="D1949" s="426">
        <v>22.6491</v>
      </c>
      <c r="E1949" s="425">
        <v>16.2448</v>
      </c>
      <c r="F1949" s="425">
        <v>14.734</v>
      </c>
      <c r="G1949" s="425">
        <v>15.3978</v>
      </c>
      <c r="H1949" s="426">
        <v>22.4795</v>
      </c>
      <c r="I1949" s="426">
        <v>19.2098</v>
      </c>
      <c r="J1949" s="426">
        <v>19.0985</v>
      </c>
      <c r="K1949" s="182">
        <v>9270.9</v>
      </c>
      <c r="L1949" s="36"/>
      <c r="M1949" s="36"/>
      <c r="N1949" s="36"/>
      <c r="O1949" s="36"/>
      <c r="P1949" s="36"/>
      <c r="Q1949" s="36"/>
      <c r="R1949" s="36"/>
      <c r="S1949" s="36"/>
      <c r="T1949" s="36"/>
      <c r="U1949" s="36"/>
      <c r="V1949" s="36"/>
      <c r="W1949" s="36"/>
      <c r="X1949" s="36"/>
      <c r="Y1949" s="36"/>
      <c r="Z1949" s="36"/>
      <c r="AA1949" s="36"/>
      <c r="AB1949" s="36"/>
      <c r="AC1949" s="36"/>
    </row>
    <row r="1950" ht="15.75" customHeight="1">
      <c r="A1950" s="423">
        <v>43958.0</v>
      </c>
      <c r="B1950" s="424">
        <v>12.1055</v>
      </c>
      <c r="C1950" s="426">
        <v>18.8885</v>
      </c>
      <c r="D1950" s="426">
        <v>22.6525</v>
      </c>
      <c r="E1950" s="425">
        <v>16.247</v>
      </c>
      <c r="F1950" s="425">
        <v>14.6332</v>
      </c>
      <c r="G1950" s="425">
        <v>15.4001</v>
      </c>
      <c r="H1950" s="426">
        <v>22.3255</v>
      </c>
      <c r="I1950" s="426">
        <v>19.0628</v>
      </c>
      <c r="J1950" s="426">
        <v>18.9897</v>
      </c>
      <c r="K1950" s="182">
        <v>9199.05</v>
      </c>
      <c r="L1950" s="36"/>
      <c r="M1950" s="36"/>
      <c r="N1950" s="36"/>
      <c r="O1950" s="36"/>
      <c r="P1950" s="36"/>
      <c r="Q1950" s="36"/>
      <c r="R1950" s="36"/>
      <c r="S1950" s="36"/>
      <c r="T1950" s="36"/>
      <c r="U1950" s="36"/>
      <c r="V1950" s="36"/>
      <c r="W1950" s="36"/>
      <c r="X1950" s="36"/>
      <c r="Y1950" s="36"/>
      <c r="Z1950" s="36"/>
      <c r="AA1950" s="36"/>
      <c r="AB1950" s="36"/>
      <c r="AC1950" s="36"/>
    </row>
    <row r="1951" ht="15.75" customHeight="1">
      <c r="A1951" s="423">
        <v>43959.0</v>
      </c>
      <c r="B1951" s="424">
        <v>12.1665</v>
      </c>
      <c r="C1951" s="426">
        <v>18.9303</v>
      </c>
      <c r="D1951" s="426">
        <v>22.7275</v>
      </c>
      <c r="E1951" s="425">
        <v>16.2876</v>
      </c>
      <c r="F1951" s="425">
        <v>14.7313</v>
      </c>
      <c r="G1951" s="425">
        <v>15.4596</v>
      </c>
      <c r="H1951" s="426">
        <v>22.2467</v>
      </c>
      <c r="I1951" s="426">
        <v>19.179</v>
      </c>
      <c r="J1951" s="426">
        <v>19.0796</v>
      </c>
      <c r="K1951" s="182">
        <v>9251.5</v>
      </c>
      <c r="L1951" s="36"/>
      <c r="M1951" s="36"/>
      <c r="N1951" s="36"/>
      <c r="O1951" s="36"/>
      <c r="P1951" s="36"/>
      <c r="Q1951" s="36"/>
      <c r="R1951" s="36"/>
      <c r="S1951" s="36"/>
      <c r="T1951" s="36"/>
      <c r="U1951" s="36"/>
      <c r="V1951" s="36"/>
      <c r="W1951" s="36"/>
      <c r="X1951" s="36"/>
      <c r="Y1951" s="36"/>
      <c r="Z1951" s="36"/>
      <c r="AA1951" s="36"/>
      <c r="AB1951" s="36"/>
      <c r="AC1951" s="36"/>
    </row>
    <row r="1952" ht="15.75" customHeight="1">
      <c r="A1952" s="423">
        <v>43962.0</v>
      </c>
      <c r="B1952" s="424">
        <v>12.1502</v>
      </c>
      <c r="C1952" s="426">
        <v>18.8945</v>
      </c>
      <c r="D1952" s="426">
        <v>22.5858</v>
      </c>
      <c r="E1952" s="425">
        <v>16.1764</v>
      </c>
      <c r="F1952" s="425">
        <v>14.6989</v>
      </c>
      <c r="G1952" s="425">
        <v>15.4193</v>
      </c>
      <c r="H1952" s="426">
        <v>22.4201</v>
      </c>
      <c r="I1952" s="426">
        <v>19.1431</v>
      </c>
      <c r="J1952" s="426">
        <v>19.0405</v>
      </c>
      <c r="K1952" s="182">
        <v>9239.2</v>
      </c>
      <c r="L1952" s="36"/>
      <c r="M1952" s="36"/>
      <c r="N1952" s="36"/>
      <c r="O1952" s="36"/>
      <c r="P1952" s="36"/>
      <c r="Q1952" s="36"/>
      <c r="R1952" s="36"/>
      <c r="S1952" s="36"/>
      <c r="T1952" s="36"/>
      <c r="U1952" s="36"/>
      <c r="V1952" s="36"/>
      <c r="W1952" s="36"/>
      <c r="X1952" s="36"/>
      <c r="Y1952" s="36"/>
      <c r="Z1952" s="36"/>
      <c r="AA1952" s="36"/>
      <c r="AB1952" s="36"/>
      <c r="AC1952" s="36"/>
    </row>
    <row r="1953" ht="15.75" customHeight="1">
      <c r="A1953" s="423">
        <v>43963.0</v>
      </c>
      <c r="B1953" s="424">
        <v>12.0966</v>
      </c>
      <c r="C1953" s="426">
        <v>18.9389</v>
      </c>
      <c r="D1953" s="426">
        <v>22.6091</v>
      </c>
      <c r="E1953" s="425">
        <v>16.1886</v>
      </c>
      <c r="F1953" s="425">
        <v>14.5995</v>
      </c>
      <c r="G1953" s="425">
        <v>15.4476</v>
      </c>
      <c r="H1953" s="426">
        <v>22.2808</v>
      </c>
      <c r="I1953" s="426">
        <v>19.008</v>
      </c>
      <c r="J1953" s="426">
        <v>18.9769</v>
      </c>
      <c r="K1953" s="182">
        <v>9196.55</v>
      </c>
      <c r="L1953" s="36"/>
      <c r="M1953" s="36"/>
      <c r="N1953" s="36"/>
      <c r="O1953" s="36"/>
      <c r="P1953" s="36"/>
      <c r="Q1953" s="36"/>
      <c r="R1953" s="36"/>
      <c r="S1953" s="36"/>
      <c r="T1953" s="36"/>
      <c r="U1953" s="36"/>
      <c r="V1953" s="36"/>
      <c r="W1953" s="36"/>
      <c r="X1953" s="36"/>
      <c r="Y1953" s="36"/>
      <c r="Z1953" s="36"/>
      <c r="AA1953" s="36"/>
      <c r="AB1953" s="36"/>
      <c r="AC1953" s="36"/>
    </row>
    <row r="1954" ht="15.75" customHeight="1">
      <c r="A1954" s="423">
        <v>43964.0</v>
      </c>
      <c r="B1954" s="424">
        <v>12.336</v>
      </c>
      <c r="C1954" s="426">
        <v>18.9409</v>
      </c>
      <c r="D1954" s="426">
        <v>22.646</v>
      </c>
      <c r="E1954" s="425">
        <v>16.2191</v>
      </c>
      <c r="F1954" s="425">
        <v>14.8958</v>
      </c>
      <c r="G1954" s="425">
        <v>15.44</v>
      </c>
      <c r="H1954" s="426">
        <v>22.6272</v>
      </c>
      <c r="I1954" s="426">
        <v>19.3669</v>
      </c>
      <c r="J1954" s="426">
        <v>19.2347</v>
      </c>
      <c r="K1954" s="182">
        <v>9383.55</v>
      </c>
      <c r="L1954" s="36"/>
      <c r="M1954" s="36"/>
      <c r="N1954" s="36"/>
      <c r="O1954" s="36"/>
      <c r="P1954" s="36"/>
      <c r="Q1954" s="36"/>
      <c r="R1954" s="36"/>
      <c r="S1954" s="36"/>
      <c r="T1954" s="36"/>
      <c r="U1954" s="36"/>
      <c r="V1954" s="36"/>
      <c r="W1954" s="36"/>
      <c r="X1954" s="36"/>
      <c r="Y1954" s="36"/>
      <c r="Z1954" s="36"/>
      <c r="AA1954" s="36"/>
      <c r="AB1954" s="36"/>
      <c r="AC1954" s="36"/>
    </row>
    <row r="1955" ht="15.75" customHeight="1">
      <c r="A1955" s="423">
        <v>43965.0</v>
      </c>
      <c r="B1955" s="424">
        <v>12.0684</v>
      </c>
      <c r="C1955" s="426">
        <v>18.9831</v>
      </c>
      <c r="D1955" s="426">
        <v>22.7186</v>
      </c>
      <c r="E1955" s="425">
        <v>16.2667</v>
      </c>
      <c r="F1955" s="425">
        <v>14.5984</v>
      </c>
      <c r="G1955" s="425">
        <v>15.4801</v>
      </c>
      <c r="H1955" s="426">
        <v>22.5628</v>
      </c>
      <c r="I1955" s="426">
        <v>18.9795</v>
      </c>
      <c r="J1955" s="426">
        <v>18.9876</v>
      </c>
      <c r="K1955" s="182">
        <v>9142.75</v>
      </c>
      <c r="L1955" s="36"/>
      <c r="M1955" s="36"/>
      <c r="N1955" s="36"/>
      <c r="O1955" s="36"/>
      <c r="P1955" s="36"/>
      <c r="Q1955" s="36"/>
      <c r="R1955" s="36"/>
      <c r="S1955" s="36"/>
      <c r="T1955" s="36"/>
      <c r="U1955" s="36"/>
      <c r="V1955" s="36"/>
      <c r="W1955" s="36"/>
      <c r="X1955" s="36"/>
      <c r="Y1955" s="36"/>
      <c r="Z1955" s="36"/>
      <c r="AA1955" s="36"/>
      <c r="AB1955" s="36"/>
      <c r="AC1955" s="36"/>
    </row>
    <row r="1956" ht="15.75" customHeight="1">
      <c r="A1956" s="423">
        <v>43966.0</v>
      </c>
      <c r="B1956" s="424">
        <v>12.047</v>
      </c>
      <c r="C1956" s="426">
        <v>18.975</v>
      </c>
      <c r="D1956" s="426">
        <v>22.6798</v>
      </c>
      <c r="E1956" s="425">
        <v>16.2474</v>
      </c>
      <c r="F1956" s="425">
        <v>14.559</v>
      </c>
      <c r="G1956" s="425">
        <v>15.4528</v>
      </c>
      <c r="H1956" s="426">
        <v>22.5514</v>
      </c>
      <c r="I1956" s="426">
        <v>18.9473</v>
      </c>
      <c r="J1956" s="426">
        <v>18.9609</v>
      </c>
      <c r="K1956" s="182">
        <v>9136.85</v>
      </c>
      <c r="L1956" s="36"/>
      <c r="M1956" s="36"/>
      <c r="N1956" s="36"/>
      <c r="O1956" s="36"/>
      <c r="P1956" s="36"/>
      <c r="Q1956" s="36"/>
      <c r="R1956" s="36"/>
      <c r="S1956" s="36"/>
      <c r="T1956" s="36"/>
      <c r="U1956" s="36"/>
      <c r="V1956" s="36"/>
      <c r="W1956" s="36"/>
      <c r="X1956" s="36"/>
      <c r="Y1956" s="36"/>
      <c r="Z1956" s="36"/>
      <c r="AA1956" s="36"/>
      <c r="AB1956" s="36"/>
      <c r="AC1956" s="36"/>
    </row>
    <row r="1957" ht="15.75" customHeight="1">
      <c r="A1957" s="423">
        <v>43969.0</v>
      </c>
      <c r="B1957" s="424">
        <v>11.6634</v>
      </c>
      <c r="C1957" s="426">
        <v>18.9831</v>
      </c>
      <c r="D1957" s="426">
        <v>22.7133</v>
      </c>
      <c r="E1957" s="425">
        <v>16.272</v>
      </c>
      <c r="F1957" s="425">
        <v>14.1041</v>
      </c>
      <c r="G1957" s="425">
        <v>15.4601</v>
      </c>
      <c r="H1957" s="426">
        <v>21.6477</v>
      </c>
      <c r="I1957" s="426">
        <v>18.3704</v>
      </c>
      <c r="J1957" s="426">
        <v>18.5581</v>
      </c>
      <c r="K1957" s="182">
        <v>8823.25</v>
      </c>
      <c r="L1957" s="36"/>
      <c r="M1957" s="36"/>
      <c r="N1957" s="36"/>
      <c r="O1957" s="36"/>
      <c r="P1957" s="36"/>
      <c r="Q1957" s="36"/>
      <c r="R1957" s="36"/>
      <c r="S1957" s="36"/>
      <c r="T1957" s="36"/>
      <c r="U1957" s="36"/>
      <c r="V1957" s="36"/>
      <c r="W1957" s="36"/>
      <c r="X1957" s="36"/>
      <c r="Y1957" s="36"/>
      <c r="Z1957" s="36"/>
      <c r="AA1957" s="36"/>
      <c r="AB1957" s="36"/>
      <c r="AC1957" s="36"/>
    </row>
    <row r="1958" ht="15.75" customHeight="1">
      <c r="A1958" s="423">
        <v>43970.0</v>
      </c>
      <c r="B1958" s="424">
        <v>11.7235</v>
      </c>
      <c r="C1958" s="426">
        <v>19.0112</v>
      </c>
      <c r="D1958" s="426">
        <v>22.74</v>
      </c>
      <c r="E1958" s="425">
        <v>16.2942</v>
      </c>
      <c r="F1958" s="425">
        <v>14.1639</v>
      </c>
      <c r="G1958" s="425">
        <v>15.4747</v>
      </c>
      <c r="H1958" s="426">
        <v>21.7316</v>
      </c>
      <c r="I1958" s="426">
        <v>18.4465</v>
      </c>
      <c r="J1958" s="426">
        <v>18.6213</v>
      </c>
      <c r="K1958" s="182">
        <v>8879.1</v>
      </c>
      <c r="L1958" s="36"/>
      <c r="M1958" s="36"/>
      <c r="N1958" s="36"/>
      <c r="O1958" s="36"/>
      <c r="P1958" s="36"/>
      <c r="Q1958" s="36"/>
      <c r="R1958" s="36"/>
      <c r="S1958" s="36"/>
      <c r="T1958" s="36"/>
      <c r="U1958" s="36"/>
      <c r="V1958" s="36"/>
      <c r="W1958" s="36"/>
      <c r="X1958" s="36"/>
      <c r="Y1958" s="36"/>
      <c r="Z1958" s="36"/>
      <c r="AA1958" s="36"/>
      <c r="AB1958" s="36"/>
      <c r="AC1958" s="36"/>
    </row>
    <row r="1959" ht="15.75" customHeight="1">
      <c r="A1959" s="423">
        <v>43971.0</v>
      </c>
      <c r="B1959" s="424">
        <v>11.9367</v>
      </c>
      <c r="C1959" s="426">
        <v>19.0134</v>
      </c>
      <c r="D1959" s="426">
        <v>22.7271</v>
      </c>
      <c r="E1959" s="425">
        <v>16.29</v>
      </c>
      <c r="F1959" s="425">
        <v>14.4262</v>
      </c>
      <c r="G1959" s="425">
        <v>15.4667</v>
      </c>
      <c r="H1959" s="426">
        <v>22.0877</v>
      </c>
      <c r="I1959" s="426">
        <v>18.7878</v>
      </c>
      <c r="J1959" s="426">
        <v>18.8588</v>
      </c>
      <c r="K1959" s="182">
        <v>9066.55</v>
      </c>
      <c r="L1959" s="36"/>
      <c r="M1959" s="36"/>
      <c r="N1959" s="36"/>
      <c r="O1959" s="36"/>
      <c r="P1959" s="36"/>
      <c r="Q1959" s="36"/>
      <c r="R1959" s="36"/>
      <c r="S1959" s="36"/>
      <c r="T1959" s="36"/>
      <c r="U1959" s="36"/>
      <c r="V1959" s="36"/>
      <c r="W1959" s="36"/>
      <c r="X1959" s="36"/>
      <c r="Y1959" s="36"/>
      <c r="Z1959" s="36"/>
      <c r="AA1959" s="36"/>
      <c r="AB1959" s="36"/>
      <c r="AC1959" s="36"/>
    </row>
    <row r="1960" ht="15.75" customHeight="1">
      <c r="A1960" s="423">
        <v>43972.0</v>
      </c>
      <c r="B1960" s="424">
        <v>11.9975</v>
      </c>
      <c r="C1960" s="426">
        <v>19.0414</v>
      </c>
      <c r="D1960" s="426">
        <v>22.751</v>
      </c>
      <c r="E1960" s="425">
        <v>16.3152</v>
      </c>
      <c r="F1960" s="425">
        <v>14.4772</v>
      </c>
      <c r="G1960" s="425">
        <v>15.4804</v>
      </c>
      <c r="H1960" s="426">
        <v>22.2793</v>
      </c>
      <c r="I1960" s="426">
        <v>18.8826</v>
      </c>
      <c r="J1960" s="426">
        <v>18.9295</v>
      </c>
      <c r="K1960" s="182">
        <v>9106.25</v>
      </c>
      <c r="L1960" s="36"/>
      <c r="M1960" s="36"/>
      <c r="N1960" s="36"/>
      <c r="O1960" s="36"/>
      <c r="P1960" s="36"/>
      <c r="Q1960" s="36"/>
      <c r="R1960" s="36"/>
      <c r="S1960" s="36"/>
      <c r="T1960" s="36"/>
      <c r="U1960" s="36"/>
      <c r="V1960" s="36"/>
      <c r="W1960" s="36"/>
      <c r="X1960" s="36"/>
      <c r="Y1960" s="36"/>
      <c r="Z1960" s="36"/>
      <c r="AA1960" s="36"/>
      <c r="AB1960" s="36"/>
      <c r="AC1960" s="36"/>
    </row>
    <row r="1961" ht="15.75" customHeight="1">
      <c r="A1961" s="423">
        <v>43973.0</v>
      </c>
      <c r="B1961" s="424">
        <v>11.9488</v>
      </c>
      <c r="C1961" s="426">
        <v>19.0794</v>
      </c>
      <c r="D1961" s="426">
        <v>22.8794</v>
      </c>
      <c r="E1961" s="425">
        <v>16.4088</v>
      </c>
      <c r="F1961" s="425">
        <v>14.4178</v>
      </c>
      <c r="G1961" s="425">
        <v>15.5291</v>
      </c>
      <c r="H1961" s="426">
        <v>22.1881</v>
      </c>
      <c r="I1961" s="426">
        <v>18.8059</v>
      </c>
      <c r="J1961" s="426">
        <v>18.9082</v>
      </c>
      <c r="K1961" s="182">
        <v>9039.25</v>
      </c>
      <c r="L1961" s="36"/>
      <c r="M1961" s="36"/>
      <c r="N1961" s="36"/>
      <c r="O1961" s="36"/>
      <c r="P1961" s="36"/>
      <c r="Q1961" s="36"/>
      <c r="R1961" s="36"/>
      <c r="S1961" s="36"/>
      <c r="T1961" s="36"/>
      <c r="U1961" s="36"/>
      <c r="V1961" s="36"/>
      <c r="W1961" s="36"/>
      <c r="X1961" s="36"/>
      <c r="Y1961" s="36"/>
      <c r="Z1961" s="36"/>
      <c r="AA1961" s="36"/>
      <c r="AB1961" s="36"/>
      <c r="AC1961" s="36"/>
    </row>
    <row r="1962" ht="15.75" customHeight="1">
      <c r="A1962" s="423">
        <v>43977.0</v>
      </c>
      <c r="B1962" s="424">
        <v>11.9465</v>
      </c>
      <c r="C1962" s="426">
        <v>19.0967</v>
      </c>
      <c r="D1962" s="426">
        <v>22.8492</v>
      </c>
      <c r="E1962" s="425">
        <v>16.3999</v>
      </c>
      <c r="F1962" s="425">
        <v>14.4274</v>
      </c>
      <c r="G1962" s="425">
        <v>15.5081</v>
      </c>
      <c r="H1962" s="426">
        <v>22.5127</v>
      </c>
      <c r="I1962" s="426">
        <v>18.8272</v>
      </c>
      <c r="J1962" s="426">
        <v>18.9202</v>
      </c>
      <c r="K1962" s="182">
        <v>9029.05</v>
      </c>
      <c r="L1962" s="36"/>
      <c r="M1962" s="36"/>
      <c r="N1962" s="36"/>
      <c r="O1962" s="36"/>
      <c r="P1962" s="36"/>
      <c r="Q1962" s="36"/>
      <c r="R1962" s="36"/>
      <c r="S1962" s="36"/>
      <c r="T1962" s="36"/>
      <c r="U1962" s="36"/>
      <c r="V1962" s="36"/>
      <c r="W1962" s="36"/>
      <c r="X1962" s="36"/>
      <c r="Y1962" s="36"/>
      <c r="Z1962" s="36"/>
      <c r="AA1962" s="36"/>
      <c r="AB1962" s="36"/>
      <c r="AC1962" s="36"/>
    </row>
    <row r="1963" ht="15.75" customHeight="1">
      <c r="A1963" s="423">
        <v>43978.0</v>
      </c>
      <c r="B1963" s="424">
        <v>12.3093</v>
      </c>
      <c r="C1963" s="426">
        <v>19.0893</v>
      </c>
      <c r="D1963" s="426">
        <v>22.8224</v>
      </c>
      <c r="E1963" s="425">
        <v>16.3888</v>
      </c>
      <c r="F1963" s="425">
        <v>14.8452</v>
      </c>
      <c r="G1963" s="425">
        <v>15.5023</v>
      </c>
      <c r="H1963" s="426">
        <v>22.5633</v>
      </c>
      <c r="I1963" s="426">
        <v>19.3507</v>
      </c>
      <c r="J1963" s="426">
        <v>19.2718</v>
      </c>
      <c r="K1963" s="182">
        <v>9314.95</v>
      </c>
      <c r="L1963" s="36"/>
      <c r="M1963" s="36"/>
      <c r="N1963" s="36"/>
      <c r="O1963" s="36"/>
      <c r="P1963" s="36"/>
      <c r="Q1963" s="36"/>
      <c r="R1963" s="36"/>
      <c r="S1963" s="36"/>
      <c r="T1963" s="36"/>
      <c r="U1963" s="36"/>
      <c r="V1963" s="36"/>
      <c r="W1963" s="36"/>
      <c r="X1963" s="36"/>
      <c r="Y1963" s="36"/>
      <c r="Z1963" s="36"/>
      <c r="AA1963" s="36"/>
      <c r="AB1963" s="36"/>
      <c r="AC1963" s="36"/>
    </row>
    <row r="1964" ht="15.75" customHeight="1">
      <c r="A1964" s="423">
        <v>43979.0</v>
      </c>
      <c r="B1964" s="424">
        <v>12.5224</v>
      </c>
      <c r="C1964" s="426">
        <v>19.0906</v>
      </c>
      <c r="D1964" s="426">
        <v>22.8181</v>
      </c>
      <c r="E1964" s="425">
        <v>16.3887</v>
      </c>
      <c r="F1964" s="425">
        <v>15.1059</v>
      </c>
      <c r="G1964" s="425">
        <v>15.4945</v>
      </c>
      <c r="H1964" s="426">
        <v>22.8867</v>
      </c>
      <c r="I1964" s="426">
        <v>19.6751</v>
      </c>
      <c r="J1964" s="426">
        <v>19.5043</v>
      </c>
      <c r="K1964" s="182">
        <v>9490.1</v>
      </c>
      <c r="L1964" s="36"/>
      <c r="M1964" s="36"/>
      <c r="N1964" s="36"/>
      <c r="O1964" s="36"/>
      <c r="P1964" s="36"/>
      <c r="Q1964" s="36"/>
      <c r="R1964" s="36"/>
      <c r="S1964" s="36"/>
      <c r="T1964" s="36"/>
      <c r="U1964" s="36"/>
      <c r="V1964" s="36"/>
      <c r="W1964" s="36"/>
      <c r="X1964" s="36"/>
      <c r="Y1964" s="36"/>
      <c r="Z1964" s="36"/>
      <c r="AA1964" s="36"/>
      <c r="AB1964" s="36"/>
      <c r="AC1964" s="36"/>
    </row>
    <row r="1965" ht="15.75" customHeight="1">
      <c r="A1965" s="423">
        <v>43980.0</v>
      </c>
      <c r="B1965" s="424">
        <v>12.6342</v>
      </c>
      <c r="C1965" s="426">
        <v>19.0804</v>
      </c>
      <c r="D1965" s="426">
        <v>22.8189</v>
      </c>
      <c r="E1965" s="425">
        <v>16.3808</v>
      </c>
      <c r="F1965" s="425">
        <v>15.2419</v>
      </c>
      <c r="G1965" s="425">
        <v>15.512</v>
      </c>
      <c r="H1965" s="426">
        <v>23.083</v>
      </c>
      <c r="I1965" s="426">
        <v>19.8452</v>
      </c>
      <c r="J1965" s="426">
        <v>19.6358</v>
      </c>
      <c r="K1965" s="182">
        <v>9580.3</v>
      </c>
      <c r="L1965" s="36"/>
      <c r="M1965" s="36"/>
      <c r="N1965" s="36"/>
      <c r="O1965" s="36"/>
      <c r="P1965" s="36"/>
      <c r="Q1965" s="36"/>
      <c r="R1965" s="36"/>
      <c r="S1965" s="36"/>
      <c r="T1965" s="36"/>
      <c r="U1965" s="36"/>
      <c r="V1965" s="36"/>
      <c r="W1965" s="36"/>
      <c r="X1965" s="36"/>
      <c r="Y1965" s="36"/>
      <c r="Z1965" s="36"/>
      <c r="AA1965" s="36"/>
      <c r="AB1965" s="36"/>
      <c r="AC1965" s="36"/>
    </row>
    <row r="1966" ht="15.75" customHeight="1">
      <c r="A1966" s="423">
        <v>43983.0</v>
      </c>
      <c r="B1966" s="424">
        <v>12.9271</v>
      </c>
      <c r="C1966" s="426">
        <v>19.0394</v>
      </c>
      <c r="D1966" s="426">
        <v>22.7824</v>
      </c>
      <c r="E1966" s="425">
        <v>16.3539</v>
      </c>
      <c r="F1966" s="425">
        <v>15.619</v>
      </c>
      <c r="G1966" s="425">
        <v>15.4903</v>
      </c>
      <c r="H1966" s="426">
        <v>23.7038</v>
      </c>
      <c r="I1966" s="426">
        <v>20.2677</v>
      </c>
      <c r="J1966" s="426">
        <v>19.9271</v>
      </c>
      <c r="K1966" s="182">
        <v>9826.15</v>
      </c>
      <c r="L1966" s="36"/>
      <c r="M1966" s="36"/>
      <c r="N1966" s="36"/>
      <c r="O1966" s="36"/>
      <c r="P1966" s="36"/>
      <c r="Q1966" s="36"/>
      <c r="R1966" s="36"/>
      <c r="S1966" s="36"/>
      <c r="T1966" s="36"/>
      <c r="U1966" s="36"/>
      <c r="V1966" s="36"/>
      <c r="W1966" s="36"/>
      <c r="X1966" s="36"/>
      <c r="Y1966" s="36"/>
      <c r="Z1966" s="36"/>
      <c r="AA1966" s="36"/>
      <c r="AB1966" s="36"/>
      <c r="AC1966" s="36"/>
    </row>
    <row r="1967" ht="15.75" customHeight="1">
      <c r="A1967" s="423">
        <v>43984.0</v>
      </c>
      <c r="B1967" s="424">
        <v>13.1044</v>
      </c>
      <c r="C1967" s="426">
        <v>19.0408</v>
      </c>
      <c r="D1967" s="426">
        <v>22.7824</v>
      </c>
      <c r="E1967" s="425">
        <v>16.3502</v>
      </c>
      <c r="F1967" s="425">
        <v>15.8553</v>
      </c>
      <c r="G1967" s="425">
        <v>15.4832</v>
      </c>
      <c r="H1967" s="426">
        <v>24.0498</v>
      </c>
      <c r="I1967" s="426">
        <v>20.5157</v>
      </c>
      <c r="J1967" s="426">
        <v>20.0962</v>
      </c>
      <c r="K1967" s="182">
        <v>9979.1</v>
      </c>
      <c r="L1967" s="36"/>
      <c r="M1967" s="36"/>
      <c r="N1967" s="36"/>
      <c r="O1967" s="36"/>
      <c r="P1967" s="36"/>
      <c r="Q1967" s="36"/>
      <c r="R1967" s="36"/>
      <c r="S1967" s="36"/>
      <c r="T1967" s="36"/>
      <c r="U1967" s="36"/>
      <c r="V1967" s="36"/>
      <c r="W1967" s="36"/>
      <c r="X1967" s="36"/>
      <c r="Y1967" s="36"/>
      <c r="Z1967" s="36"/>
      <c r="AA1967" s="36"/>
      <c r="AB1967" s="36"/>
      <c r="AC1967" s="36"/>
    </row>
    <row r="1968" ht="15.75" customHeight="1">
      <c r="A1968" s="423">
        <v>43985.0</v>
      </c>
      <c r="B1968" s="424">
        <v>13.2141</v>
      </c>
      <c r="C1968" s="426">
        <v>19.0673</v>
      </c>
      <c r="D1968" s="426">
        <v>22.7853</v>
      </c>
      <c r="E1968" s="425">
        <v>16.3516</v>
      </c>
      <c r="F1968" s="425">
        <v>16.0129</v>
      </c>
      <c r="G1968" s="425">
        <v>15.4888</v>
      </c>
      <c r="H1968" s="426">
        <v>24.209</v>
      </c>
      <c r="I1968" s="426">
        <v>20.6974</v>
      </c>
      <c r="J1968" s="426">
        <v>20.2134</v>
      </c>
      <c r="K1968" s="182">
        <v>10061.55</v>
      </c>
      <c r="L1968" s="36"/>
      <c r="M1968" s="36"/>
      <c r="N1968" s="36"/>
      <c r="O1968" s="36"/>
      <c r="P1968" s="36"/>
      <c r="Q1968" s="36"/>
      <c r="R1968" s="36"/>
      <c r="S1968" s="36"/>
      <c r="T1968" s="36"/>
      <c r="U1968" s="36"/>
      <c r="V1968" s="36"/>
      <c r="W1968" s="36"/>
      <c r="X1968" s="36"/>
      <c r="Y1968" s="36"/>
      <c r="Z1968" s="36"/>
      <c r="AA1968" s="36"/>
      <c r="AB1968" s="36"/>
      <c r="AC1968" s="36"/>
    </row>
    <row r="1969" ht="15.75" customHeight="1">
      <c r="A1969" s="423">
        <v>43986.0</v>
      </c>
      <c r="B1969" s="424">
        <v>13.1881</v>
      </c>
      <c r="C1969" s="426">
        <v>19.0823</v>
      </c>
      <c r="D1969" s="426">
        <v>22.7963</v>
      </c>
      <c r="E1969" s="425">
        <v>16.3566</v>
      </c>
      <c r="F1969" s="425">
        <v>15.9506</v>
      </c>
      <c r="G1969" s="425">
        <v>15.5054</v>
      </c>
      <c r="H1969" s="426">
        <v>24.1244</v>
      </c>
      <c r="I1969" s="426">
        <v>20.6431</v>
      </c>
      <c r="J1969" s="426">
        <v>20.1939</v>
      </c>
      <c r="K1969" s="182">
        <v>10029.1</v>
      </c>
      <c r="L1969" s="36"/>
      <c r="M1969" s="36"/>
      <c r="N1969" s="36"/>
      <c r="O1969" s="36"/>
      <c r="P1969" s="36"/>
      <c r="Q1969" s="36"/>
      <c r="R1969" s="36"/>
      <c r="S1969" s="36"/>
      <c r="T1969" s="36"/>
      <c r="U1969" s="36"/>
      <c r="V1969" s="36"/>
      <c r="W1969" s="36"/>
      <c r="X1969" s="36"/>
      <c r="Y1969" s="36"/>
      <c r="Z1969" s="36"/>
      <c r="AA1969" s="36"/>
      <c r="AB1969" s="36"/>
      <c r="AC1969" s="36"/>
    </row>
    <row r="1970" ht="15.75" customHeight="1">
      <c r="A1970" s="423">
        <v>43987.0</v>
      </c>
      <c r="B1970" s="424">
        <v>13.3362</v>
      </c>
      <c r="C1970" s="426">
        <v>19.0698</v>
      </c>
      <c r="D1970" s="426">
        <v>22.8004</v>
      </c>
      <c r="E1970" s="425">
        <v>16.3617</v>
      </c>
      <c r="F1970" s="425">
        <v>16.1114</v>
      </c>
      <c r="G1970" s="425">
        <v>15.5014</v>
      </c>
      <c r="H1970" s="426">
        <v>24.5119</v>
      </c>
      <c r="I1970" s="426">
        <v>20.8684</v>
      </c>
      <c r="J1970" s="426">
        <v>20.3527</v>
      </c>
      <c r="K1970" s="182">
        <v>10142.15</v>
      </c>
      <c r="L1970" s="36"/>
      <c r="M1970" s="36"/>
      <c r="N1970" s="36"/>
      <c r="O1970" s="36"/>
      <c r="P1970" s="36"/>
      <c r="Q1970" s="36"/>
      <c r="R1970" s="36"/>
      <c r="S1970" s="36"/>
      <c r="T1970" s="36"/>
      <c r="U1970" s="36"/>
      <c r="V1970" s="36"/>
      <c r="W1970" s="36"/>
      <c r="X1970" s="36"/>
      <c r="Y1970" s="36"/>
      <c r="Z1970" s="36"/>
      <c r="AA1970" s="36"/>
      <c r="AB1970" s="36"/>
      <c r="AC1970" s="36"/>
    </row>
    <row r="1971" ht="15.75" customHeight="1">
      <c r="A1971" s="423">
        <v>43990.0</v>
      </c>
      <c r="B1971" s="424">
        <v>13.3771</v>
      </c>
      <c r="C1971" s="426">
        <v>19.0674</v>
      </c>
      <c r="D1971" s="426">
        <v>22.8156</v>
      </c>
      <c r="E1971" s="425">
        <v>16.3715</v>
      </c>
      <c r="F1971" s="425">
        <v>16.1683</v>
      </c>
      <c r="G1971" s="425">
        <v>15.5098</v>
      </c>
      <c r="H1971" s="426">
        <v>24.506</v>
      </c>
      <c r="I1971" s="426">
        <v>20.9229</v>
      </c>
      <c r="J1971" s="426">
        <v>20.3784</v>
      </c>
      <c r="K1971" s="182">
        <v>10167.45</v>
      </c>
      <c r="L1971" s="36"/>
      <c r="M1971" s="36"/>
      <c r="N1971" s="36"/>
      <c r="O1971" s="36"/>
      <c r="P1971" s="36"/>
      <c r="Q1971" s="36"/>
      <c r="R1971" s="36"/>
      <c r="S1971" s="36"/>
      <c r="T1971" s="36"/>
      <c r="U1971" s="36"/>
      <c r="V1971" s="36"/>
      <c r="W1971" s="36"/>
      <c r="X1971" s="36"/>
      <c r="Y1971" s="36"/>
      <c r="Z1971" s="36"/>
      <c r="AA1971" s="36"/>
      <c r="AB1971" s="36"/>
      <c r="AC1971" s="36"/>
    </row>
    <row r="1972" ht="15.75" customHeight="1">
      <c r="A1972" s="423">
        <v>43991.0</v>
      </c>
      <c r="B1972" s="424">
        <v>13.2036</v>
      </c>
      <c r="C1972" s="426">
        <v>19.0707</v>
      </c>
      <c r="D1972" s="426">
        <v>22.8364</v>
      </c>
      <c r="E1972" s="425">
        <v>16.3851</v>
      </c>
      <c r="F1972" s="425">
        <v>15.9619</v>
      </c>
      <c r="G1972" s="425">
        <v>15.5156</v>
      </c>
      <c r="H1972" s="426">
        <v>24.375</v>
      </c>
      <c r="I1972" s="426">
        <v>20.6705</v>
      </c>
      <c r="J1972" s="426">
        <v>20.2051</v>
      </c>
      <c r="K1972" s="182">
        <v>10046.65</v>
      </c>
      <c r="L1972" s="36"/>
      <c r="M1972" s="36"/>
      <c r="N1972" s="36"/>
      <c r="O1972" s="36"/>
      <c r="P1972" s="36"/>
      <c r="Q1972" s="36"/>
      <c r="R1972" s="36"/>
      <c r="S1972" s="36"/>
      <c r="T1972" s="36"/>
      <c r="U1972" s="36"/>
      <c r="V1972" s="36"/>
      <c r="W1972" s="36"/>
      <c r="X1972" s="36"/>
      <c r="Y1972" s="36"/>
      <c r="Z1972" s="36"/>
      <c r="AA1972" s="36"/>
      <c r="AB1972" s="36"/>
      <c r="AC1972" s="36"/>
    </row>
    <row r="1973" ht="15.75" customHeight="1">
      <c r="A1973" s="423">
        <v>43992.0</v>
      </c>
      <c r="B1973" s="424">
        <v>13.2791</v>
      </c>
      <c r="C1973" s="426">
        <v>19.0765</v>
      </c>
      <c r="D1973" s="426">
        <v>22.8517</v>
      </c>
      <c r="E1973" s="425">
        <v>16.3956</v>
      </c>
      <c r="F1973" s="425">
        <v>16.0563</v>
      </c>
      <c r="G1973" s="425">
        <v>15.5219</v>
      </c>
      <c r="H1973" s="426">
        <v>24.5819</v>
      </c>
      <c r="I1973" s="426">
        <v>20.7889</v>
      </c>
      <c r="J1973" s="426">
        <v>20.288</v>
      </c>
      <c r="K1973" s="182">
        <v>10116.15</v>
      </c>
      <c r="L1973" s="36"/>
      <c r="M1973" s="36"/>
      <c r="N1973" s="36"/>
      <c r="O1973" s="36"/>
      <c r="P1973" s="36"/>
      <c r="Q1973" s="36"/>
      <c r="R1973" s="36"/>
      <c r="S1973" s="36"/>
      <c r="T1973" s="36"/>
      <c r="U1973" s="36"/>
      <c r="V1973" s="36"/>
      <c r="W1973" s="36"/>
      <c r="X1973" s="36"/>
      <c r="Y1973" s="36"/>
      <c r="Z1973" s="36"/>
      <c r="AA1973" s="36"/>
      <c r="AB1973" s="36"/>
      <c r="AC1973" s="36"/>
    </row>
    <row r="1974" ht="15.75" customHeight="1">
      <c r="A1974" s="423">
        <v>43993.0</v>
      </c>
      <c r="B1974" s="424">
        <v>13.0134</v>
      </c>
      <c r="C1974" s="426">
        <v>19.0929</v>
      </c>
      <c r="D1974" s="426">
        <v>22.8576</v>
      </c>
      <c r="E1974" s="425">
        <v>16.3995</v>
      </c>
      <c r="F1974" s="425">
        <v>15.7351</v>
      </c>
      <c r="G1974" s="425">
        <v>15.5278</v>
      </c>
      <c r="H1974" s="426">
        <v>24.3086</v>
      </c>
      <c r="I1974" s="426">
        <v>20.3807</v>
      </c>
      <c r="J1974" s="426">
        <v>20.0246</v>
      </c>
      <c r="K1974" s="182">
        <v>9902.0</v>
      </c>
      <c r="L1974" s="36"/>
      <c r="M1974" s="36"/>
      <c r="N1974" s="36"/>
      <c r="O1974" s="36"/>
      <c r="P1974" s="36"/>
      <c r="Q1974" s="36"/>
      <c r="R1974" s="36"/>
      <c r="S1974" s="36"/>
      <c r="T1974" s="36"/>
      <c r="U1974" s="36"/>
      <c r="V1974" s="36"/>
      <c r="W1974" s="36"/>
      <c r="X1974" s="36"/>
      <c r="Y1974" s="36"/>
      <c r="Z1974" s="36"/>
      <c r="AA1974" s="36"/>
      <c r="AB1974" s="36"/>
      <c r="AC1974" s="36"/>
    </row>
    <row r="1975" ht="15.75" customHeight="1">
      <c r="A1975" s="423">
        <v>43994.0</v>
      </c>
      <c r="B1975" s="424">
        <v>13.0935</v>
      </c>
      <c r="C1975" s="426">
        <v>19.0951</v>
      </c>
      <c r="D1975" s="426">
        <v>22.8491</v>
      </c>
      <c r="E1975" s="425">
        <v>16.3915</v>
      </c>
      <c r="F1975" s="425">
        <v>15.8366</v>
      </c>
      <c r="G1975" s="425">
        <v>15.5248</v>
      </c>
      <c r="H1975" s="426">
        <v>24.5387</v>
      </c>
      <c r="I1975" s="426">
        <v>20.5235</v>
      </c>
      <c r="J1975" s="426">
        <v>20.1158</v>
      </c>
      <c r="K1975" s="182">
        <v>9972.9</v>
      </c>
      <c r="L1975" s="36"/>
      <c r="M1975" s="36"/>
      <c r="N1975" s="36"/>
      <c r="O1975" s="36"/>
      <c r="P1975" s="36"/>
      <c r="Q1975" s="36"/>
      <c r="R1975" s="36"/>
      <c r="S1975" s="36"/>
      <c r="T1975" s="36"/>
      <c r="U1975" s="36"/>
      <c r="V1975" s="36"/>
      <c r="W1975" s="36"/>
      <c r="X1975" s="36"/>
      <c r="Y1975" s="36"/>
      <c r="Z1975" s="36"/>
      <c r="AA1975" s="36"/>
      <c r="AB1975" s="36"/>
      <c r="AC1975" s="36"/>
    </row>
    <row r="1976" ht="15.75" customHeight="1">
      <c r="A1976" s="423">
        <v>43997.0</v>
      </c>
      <c r="B1976" s="424">
        <v>12.897</v>
      </c>
      <c r="C1976" s="426">
        <v>19.126</v>
      </c>
      <c r="D1976" s="426">
        <v>22.865</v>
      </c>
      <c r="E1976" s="425">
        <v>16.4018</v>
      </c>
      <c r="F1976" s="425">
        <v>15.5911</v>
      </c>
      <c r="G1976" s="425">
        <v>15.5411</v>
      </c>
      <c r="H1976" s="426">
        <v>24.3105</v>
      </c>
      <c r="I1976" s="426">
        <v>20.2461</v>
      </c>
      <c r="J1976" s="426">
        <v>19.9279</v>
      </c>
      <c r="K1976" s="182">
        <v>9813.7</v>
      </c>
      <c r="L1976" s="36"/>
      <c r="M1976" s="36"/>
      <c r="N1976" s="36"/>
      <c r="O1976" s="36"/>
      <c r="P1976" s="36"/>
      <c r="Q1976" s="36"/>
      <c r="R1976" s="36"/>
      <c r="S1976" s="36"/>
      <c r="T1976" s="36"/>
      <c r="U1976" s="36"/>
      <c r="V1976" s="36"/>
      <c r="W1976" s="36"/>
      <c r="X1976" s="36"/>
      <c r="Y1976" s="36"/>
      <c r="Z1976" s="36"/>
      <c r="AA1976" s="36"/>
      <c r="AB1976" s="36"/>
      <c r="AC1976" s="36"/>
    </row>
    <row r="1977" ht="15.75" customHeight="1">
      <c r="A1977" s="423">
        <v>43998.0</v>
      </c>
      <c r="B1977" s="424">
        <v>13.0005</v>
      </c>
      <c r="C1977" s="426">
        <v>19.1373</v>
      </c>
      <c r="D1977" s="426">
        <v>22.8497</v>
      </c>
      <c r="E1977" s="425">
        <v>16.3892</v>
      </c>
      <c r="F1977" s="425">
        <v>15.7223</v>
      </c>
      <c r="G1977" s="425">
        <v>15.5491</v>
      </c>
      <c r="H1977" s="426">
        <v>24.4467</v>
      </c>
      <c r="I1977" s="426">
        <v>20.4102</v>
      </c>
      <c r="J1977" s="426">
        <v>20.0375</v>
      </c>
      <c r="K1977" s="182">
        <v>9914.0</v>
      </c>
      <c r="L1977" s="36"/>
      <c r="M1977" s="36"/>
      <c r="N1977" s="36"/>
      <c r="O1977" s="36"/>
      <c r="P1977" s="36"/>
      <c r="Q1977" s="36"/>
      <c r="R1977" s="36"/>
      <c r="S1977" s="36"/>
      <c r="T1977" s="36"/>
      <c r="U1977" s="36"/>
      <c r="V1977" s="36"/>
      <c r="W1977" s="36"/>
      <c r="X1977" s="36"/>
      <c r="Y1977" s="36"/>
      <c r="Z1977" s="36"/>
      <c r="AA1977" s="36"/>
      <c r="AB1977" s="36"/>
      <c r="AC1977" s="36"/>
    </row>
    <row r="1978" ht="15.75" customHeight="1">
      <c r="A1978" s="423">
        <v>43999.0</v>
      </c>
      <c r="B1978" s="424">
        <v>12.9726</v>
      </c>
      <c r="C1978" s="426">
        <v>19.1444</v>
      </c>
      <c r="D1978" s="426">
        <v>22.8508</v>
      </c>
      <c r="E1978" s="425">
        <v>16.3905</v>
      </c>
      <c r="F1978" s="425">
        <v>15.6939</v>
      </c>
      <c r="G1978" s="425">
        <v>15.5504</v>
      </c>
      <c r="H1978" s="426">
        <v>24.4947</v>
      </c>
      <c r="I1978" s="426">
        <v>20.3801</v>
      </c>
      <c r="J1978" s="426">
        <v>20.0173</v>
      </c>
      <c r="K1978" s="182">
        <v>9881.15</v>
      </c>
      <c r="L1978" s="36"/>
      <c r="M1978" s="36"/>
      <c r="N1978" s="36"/>
      <c r="O1978" s="36"/>
      <c r="P1978" s="36"/>
      <c r="Q1978" s="36"/>
      <c r="R1978" s="36"/>
      <c r="S1978" s="36"/>
      <c r="T1978" s="36"/>
      <c r="U1978" s="36"/>
      <c r="V1978" s="36"/>
      <c r="W1978" s="36"/>
      <c r="X1978" s="36"/>
      <c r="Y1978" s="36"/>
      <c r="Z1978" s="36"/>
      <c r="AA1978" s="36"/>
      <c r="AB1978" s="36"/>
      <c r="AC1978" s="36"/>
    </row>
    <row r="1979" ht="15.75" customHeight="1">
      <c r="A1979" s="423">
        <v>44000.0</v>
      </c>
      <c r="B1979" s="424">
        <v>13.2195</v>
      </c>
      <c r="C1979" s="426">
        <v>19.1631</v>
      </c>
      <c r="D1979" s="426">
        <v>22.8803</v>
      </c>
      <c r="E1979" s="425">
        <v>16.4136</v>
      </c>
      <c r="F1979" s="425">
        <v>15.9824</v>
      </c>
      <c r="G1979" s="425">
        <v>15.5519</v>
      </c>
      <c r="H1979" s="426">
        <v>24.6565</v>
      </c>
      <c r="I1979" s="426">
        <v>20.7282</v>
      </c>
      <c r="J1979" s="426">
        <v>20.2697</v>
      </c>
      <c r="K1979" s="182">
        <v>10091.65</v>
      </c>
      <c r="L1979" s="36"/>
      <c r="M1979" s="36"/>
      <c r="N1979" s="36"/>
      <c r="O1979" s="36"/>
      <c r="P1979" s="36"/>
      <c r="Q1979" s="36"/>
      <c r="R1979" s="36"/>
      <c r="S1979" s="36"/>
      <c r="T1979" s="36"/>
      <c r="U1979" s="36"/>
      <c r="V1979" s="36"/>
      <c r="W1979" s="36"/>
      <c r="X1979" s="36"/>
      <c r="Y1979" s="36"/>
      <c r="Z1979" s="36"/>
      <c r="AA1979" s="36"/>
      <c r="AB1979" s="36"/>
      <c r="AC1979" s="36"/>
    </row>
    <row r="1980" ht="15.75" customHeight="1">
      <c r="A1980" s="423">
        <v>44001.0</v>
      </c>
      <c r="B1980" s="424">
        <v>13.4164</v>
      </c>
      <c r="C1980" s="426">
        <v>19.1771</v>
      </c>
      <c r="D1980" s="426">
        <v>22.9217</v>
      </c>
      <c r="E1980" s="425">
        <v>16.4349</v>
      </c>
      <c r="F1980" s="425">
        <v>16.2229</v>
      </c>
      <c r="G1980" s="425">
        <v>15.582</v>
      </c>
      <c r="H1980" s="426">
        <v>24.9365</v>
      </c>
      <c r="I1980" s="426">
        <v>21.028</v>
      </c>
      <c r="J1980" s="426">
        <v>20.491</v>
      </c>
      <c r="K1980" s="182">
        <v>10244.4</v>
      </c>
      <c r="L1980" s="36"/>
      <c r="M1980" s="36"/>
      <c r="N1980" s="36"/>
      <c r="O1980" s="36"/>
      <c r="P1980" s="36"/>
      <c r="Q1980" s="36"/>
      <c r="R1980" s="36"/>
      <c r="S1980" s="36"/>
      <c r="T1980" s="36"/>
      <c r="U1980" s="36"/>
      <c r="V1980" s="36"/>
      <c r="W1980" s="36"/>
      <c r="X1980" s="36"/>
      <c r="Y1980" s="36"/>
      <c r="Z1980" s="36"/>
      <c r="AA1980" s="36"/>
      <c r="AB1980" s="36"/>
      <c r="AC1980" s="36"/>
    </row>
    <row r="1981" ht="15.75" customHeight="1">
      <c r="A1981" s="423">
        <v>44004.0</v>
      </c>
      <c r="B1981" s="424">
        <v>13.5315</v>
      </c>
      <c r="C1981" s="426">
        <v>19.1961</v>
      </c>
      <c r="D1981" s="426">
        <v>22.9272</v>
      </c>
      <c r="E1981" s="425">
        <v>16.4405</v>
      </c>
      <c r="F1981" s="425">
        <v>16.3678</v>
      </c>
      <c r="G1981" s="425">
        <v>15.6004</v>
      </c>
      <c r="H1981" s="426">
        <v>25.2937</v>
      </c>
      <c r="I1981" s="426">
        <v>21.1929</v>
      </c>
      <c r="J1981" s="426">
        <v>20.6051</v>
      </c>
      <c r="K1981" s="182">
        <v>10311.2</v>
      </c>
      <c r="L1981" s="36"/>
      <c r="M1981" s="36"/>
      <c r="N1981" s="36"/>
      <c r="O1981" s="36"/>
      <c r="P1981" s="36"/>
      <c r="Q1981" s="36"/>
      <c r="R1981" s="36"/>
      <c r="S1981" s="36"/>
      <c r="T1981" s="36"/>
      <c r="U1981" s="36"/>
      <c r="V1981" s="36"/>
      <c r="W1981" s="36"/>
      <c r="X1981" s="36"/>
      <c r="Y1981" s="36"/>
      <c r="Z1981" s="36"/>
      <c r="AA1981" s="36"/>
      <c r="AB1981" s="36"/>
      <c r="AC1981" s="36"/>
    </row>
    <row r="1982" ht="15.75" customHeight="1">
      <c r="A1982" s="423">
        <v>44005.0</v>
      </c>
      <c r="B1982" s="424">
        <v>13.7552</v>
      </c>
      <c r="C1982" s="426">
        <v>19.2106</v>
      </c>
      <c r="D1982" s="426">
        <v>22.9234</v>
      </c>
      <c r="E1982" s="425">
        <v>16.438</v>
      </c>
      <c r="F1982" s="425">
        <v>16.6433</v>
      </c>
      <c r="G1982" s="425">
        <v>15.6072</v>
      </c>
      <c r="H1982" s="426">
        <v>25.6319</v>
      </c>
      <c r="I1982" s="426">
        <v>21.5238</v>
      </c>
      <c r="J1982" s="426">
        <v>20.825</v>
      </c>
      <c r="K1982" s="182">
        <v>10471.0</v>
      </c>
      <c r="L1982" s="36"/>
      <c r="M1982" s="36"/>
      <c r="N1982" s="36"/>
      <c r="O1982" s="36"/>
      <c r="P1982" s="36"/>
      <c r="Q1982" s="36"/>
      <c r="R1982" s="36"/>
      <c r="S1982" s="36"/>
      <c r="T1982" s="36"/>
      <c r="U1982" s="36"/>
      <c r="V1982" s="36"/>
      <c r="W1982" s="36"/>
      <c r="X1982" s="36"/>
      <c r="Y1982" s="36"/>
      <c r="Z1982" s="36"/>
      <c r="AA1982" s="36"/>
      <c r="AB1982" s="36"/>
      <c r="AC1982" s="36"/>
    </row>
    <row r="1983" ht="15.75" customHeight="1">
      <c r="A1983" s="423">
        <v>44006.0</v>
      </c>
      <c r="B1983" s="424">
        <v>13.5313</v>
      </c>
      <c r="C1983" s="426">
        <v>19.2447</v>
      </c>
      <c r="D1983" s="426">
        <v>22.9251</v>
      </c>
      <c r="E1983" s="425">
        <v>16.4384</v>
      </c>
      <c r="F1983" s="425">
        <v>16.3771</v>
      </c>
      <c r="G1983" s="425">
        <v>15.6132</v>
      </c>
      <c r="H1983" s="426">
        <v>25.3837</v>
      </c>
      <c r="I1983" s="426">
        <v>21.201</v>
      </c>
      <c r="J1983" s="426">
        <v>20.5963</v>
      </c>
      <c r="K1983" s="182">
        <v>10305.3</v>
      </c>
      <c r="L1983" s="36"/>
      <c r="M1983" s="36"/>
      <c r="N1983" s="36"/>
      <c r="O1983" s="36"/>
      <c r="P1983" s="36"/>
      <c r="Q1983" s="36"/>
      <c r="R1983" s="36"/>
      <c r="S1983" s="36"/>
      <c r="T1983" s="36"/>
      <c r="U1983" s="36"/>
      <c r="V1983" s="36"/>
      <c r="W1983" s="36"/>
      <c r="X1983" s="36"/>
      <c r="Y1983" s="36"/>
      <c r="Z1983" s="36"/>
      <c r="AA1983" s="36"/>
      <c r="AB1983" s="36"/>
      <c r="AC1983" s="36"/>
    </row>
    <row r="1984" ht="15.75" customHeight="1">
      <c r="A1984" s="423">
        <v>44007.0</v>
      </c>
      <c r="B1984" s="424">
        <v>13.5302</v>
      </c>
      <c r="C1984" s="426">
        <v>19.2522</v>
      </c>
      <c r="D1984" s="426">
        <v>22.9513</v>
      </c>
      <c r="E1984" s="425">
        <v>16.4566</v>
      </c>
      <c r="F1984" s="425">
        <v>16.3899</v>
      </c>
      <c r="G1984" s="425">
        <v>15.6217</v>
      </c>
      <c r="H1984" s="426">
        <v>25.585</v>
      </c>
      <c r="I1984" s="426">
        <v>21.2038</v>
      </c>
      <c r="J1984" s="426">
        <v>20.6013</v>
      </c>
      <c r="K1984" s="182">
        <v>10288.9</v>
      </c>
      <c r="L1984" s="36"/>
      <c r="M1984" s="36"/>
      <c r="N1984" s="36"/>
      <c r="O1984" s="36"/>
      <c r="P1984" s="36"/>
      <c r="Q1984" s="36"/>
      <c r="R1984" s="36"/>
      <c r="S1984" s="36"/>
      <c r="T1984" s="36"/>
      <c r="U1984" s="36"/>
      <c r="V1984" s="36"/>
      <c r="W1984" s="36"/>
      <c r="X1984" s="36"/>
      <c r="Y1984" s="36"/>
      <c r="Z1984" s="36"/>
      <c r="AA1984" s="36"/>
      <c r="AB1984" s="36"/>
      <c r="AC1984" s="36"/>
    </row>
    <row r="1985" ht="15.75" customHeight="1">
      <c r="A1985" s="423">
        <v>44008.0</v>
      </c>
      <c r="B1985" s="424">
        <v>13.652</v>
      </c>
      <c r="C1985" s="426">
        <v>19.2557</v>
      </c>
      <c r="D1985" s="426">
        <v>22.9588</v>
      </c>
      <c r="E1985" s="425">
        <v>16.462</v>
      </c>
      <c r="F1985" s="425">
        <v>16.5304</v>
      </c>
      <c r="G1985" s="425">
        <v>15.62</v>
      </c>
      <c r="H1985" s="426">
        <v>25.6511</v>
      </c>
      <c r="I1985" s="426">
        <v>21.3888</v>
      </c>
      <c r="J1985" s="426">
        <v>20.7335</v>
      </c>
      <c r="K1985" s="182">
        <v>10383.0</v>
      </c>
      <c r="L1985" s="36"/>
      <c r="M1985" s="36"/>
      <c r="N1985" s="36"/>
      <c r="O1985" s="36"/>
      <c r="P1985" s="36"/>
      <c r="Q1985" s="36"/>
      <c r="R1985" s="36"/>
      <c r="S1985" s="36"/>
      <c r="T1985" s="36"/>
      <c r="U1985" s="36"/>
      <c r="V1985" s="36"/>
      <c r="W1985" s="36"/>
      <c r="X1985" s="36"/>
      <c r="Y1985" s="36"/>
      <c r="Z1985" s="36"/>
      <c r="AA1985" s="36"/>
      <c r="AB1985" s="36"/>
      <c r="AC1985" s="36"/>
    </row>
    <row r="1986" ht="15.75" customHeight="1">
      <c r="A1986" s="423">
        <v>44011.0</v>
      </c>
      <c r="B1986" s="424">
        <v>13.5709</v>
      </c>
      <c r="C1986" s="426">
        <v>19.2618</v>
      </c>
      <c r="D1986" s="426">
        <v>22.9924</v>
      </c>
      <c r="E1986" s="425">
        <v>16.4863</v>
      </c>
      <c r="F1986" s="425">
        <v>16.4321</v>
      </c>
      <c r="G1986" s="425">
        <v>15.631</v>
      </c>
      <c r="H1986" s="426">
        <v>25.2468</v>
      </c>
      <c r="I1986" s="426">
        <v>21.2752</v>
      </c>
      <c r="J1986" s="426">
        <v>20.6639</v>
      </c>
      <c r="K1986" s="182">
        <v>10312.4</v>
      </c>
      <c r="L1986" s="36"/>
      <c r="M1986" s="36"/>
      <c r="N1986" s="36"/>
      <c r="O1986" s="36"/>
      <c r="P1986" s="36"/>
      <c r="Q1986" s="36"/>
      <c r="R1986" s="36"/>
      <c r="S1986" s="36"/>
      <c r="T1986" s="36"/>
      <c r="U1986" s="36"/>
      <c r="V1986" s="36"/>
      <c r="W1986" s="36"/>
      <c r="X1986" s="36"/>
      <c r="Y1986" s="36"/>
      <c r="Z1986" s="36"/>
      <c r="AA1986" s="36"/>
      <c r="AB1986" s="36"/>
      <c r="AC1986" s="36"/>
    </row>
    <row r="1987" ht="15.75" customHeight="1">
      <c r="A1987" s="423">
        <v>44012.0</v>
      </c>
      <c r="B1987" s="424">
        <v>13.5666</v>
      </c>
      <c r="C1987" s="426">
        <v>19.268</v>
      </c>
      <c r="D1987" s="426">
        <v>23.0251</v>
      </c>
      <c r="E1987" s="425">
        <v>16.5068</v>
      </c>
      <c r="F1987" s="425">
        <v>16.4448</v>
      </c>
      <c r="G1987" s="425">
        <v>15.6631</v>
      </c>
      <c r="H1987" s="426">
        <v>25.2303</v>
      </c>
      <c r="I1987" s="426">
        <v>21.2858</v>
      </c>
      <c r="J1987" s="426">
        <v>20.6693</v>
      </c>
      <c r="K1987" s="182">
        <v>10302.1</v>
      </c>
      <c r="L1987" s="36"/>
      <c r="M1987" s="36"/>
      <c r="N1987" s="36"/>
      <c r="O1987" s="36"/>
      <c r="P1987" s="36"/>
      <c r="Q1987" s="36"/>
      <c r="R1987" s="36"/>
      <c r="S1987" s="36"/>
      <c r="T1987" s="36"/>
      <c r="U1987" s="36"/>
      <c r="V1987" s="36"/>
      <c r="W1987" s="36"/>
      <c r="X1987" s="36"/>
      <c r="Y1987" s="36"/>
      <c r="Z1987" s="36"/>
      <c r="AA1987" s="36"/>
      <c r="AB1987" s="36"/>
      <c r="AC1987" s="36"/>
    </row>
    <row r="1988" ht="15.75" customHeight="1">
      <c r="A1988" s="423">
        <v>44013.0</v>
      </c>
      <c r="B1988" s="424">
        <v>13.6877</v>
      </c>
      <c r="C1988" s="426">
        <v>19.2722</v>
      </c>
      <c r="D1988" s="426">
        <v>23.0691</v>
      </c>
      <c r="E1988" s="425">
        <v>16.5335</v>
      </c>
      <c r="F1988" s="425">
        <v>16.5756</v>
      </c>
      <c r="G1988" s="425">
        <v>15.6889</v>
      </c>
      <c r="H1988" s="426">
        <v>25.3247</v>
      </c>
      <c r="I1988" s="426">
        <v>21.4443</v>
      </c>
      <c r="J1988" s="426">
        <v>20.8014</v>
      </c>
      <c r="K1988" s="182">
        <v>10430.05</v>
      </c>
      <c r="L1988" s="36"/>
      <c r="M1988" s="36"/>
      <c r="N1988" s="36"/>
      <c r="O1988" s="36"/>
      <c r="P1988" s="36"/>
      <c r="Q1988" s="36"/>
      <c r="R1988" s="36"/>
      <c r="S1988" s="36"/>
      <c r="T1988" s="36"/>
      <c r="U1988" s="36"/>
      <c r="V1988" s="36"/>
      <c r="W1988" s="36"/>
      <c r="X1988" s="36"/>
      <c r="Y1988" s="36"/>
      <c r="Z1988" s="36"/>
      <c r="AA1988" s="36"/>
      <c r="AB1988" s="36"/>
      <c r="AC1988" s="36"/>
    </row>
    <row r="1989" ht="15.75" customHeight="1">
      <c r="A1989" s="423">
        <v>44014.0</v>
      </c>
      <c r="B1989" s="424">
        <v>13.8184</v>
      </c>
      <c r="C1989" s="426">
        <v>19.2791</v>
      </c>
      <c r="D1989" s="426">
        <v>23.0749</v>
      </c>
      <c r="E1989" s="425">
        <v>16.5388</v>
      </c>
      <c r="F1989" s="425">
        <v>16.7498</v>
      </c>
      <c r="G1989" s="425">
        <v>15.6972</v>
      </c>
      <c r="H1989" s="426">
        <v>25.5568</v>
      </c>
      <c r="I1989" s="426">
        <v>21.6571</v>
      </c>
      <c r="J1989" s="426">
        <v>20.9401</v>
      </c>
      <c r="K1989" s="182">
        <v>10551.7</v>
      </c>
      <c r="L1989" s="36"/>
      <c r="M1989" s="36"/>
      <c r="N1989" s="36"/>
      <c r="O1989" s="36"/>
      <c r="P1989" s="36"/>
      <c r="Q1989" s="36"/>
      <c r="R1989" s="36"/>
      <c r="S1989" s="36"/>
      <c r="T1989" s="36"/>
      <c r="U1989" s="36"/>
      <c r="V1989" s="36"/>
      <c r="W1989" s="36"/>
      <c r="X1989" s="36"/>
      <c r="Y1989" s="36"/>
      <c r="Z1989" s="36"/>
      <c r="AA1989" s="36"/>
      <c r="AB1989" s="36"/>
      <c r="AC1989" s="36"/>
    </row>
    <row r="1990" ht="15.75" customHeight="1">
      <c r="A1990" s="423">
        <v>44015.0</v>
      </c>
      <c r="B1990" s="424">
        <v>13.8799</v>
      </c>
      <c r="C1990" s="426">
        <v>19.2818</v>
      </c>
      <c r="D1990" s="426">
        <v>23.0801</v>
      </c>
      <c r="E1990" s="425">
        <v>16.5429</v>
      </c>
      <c r="F1990" s="425">
        <v>16.8264</v>
      </c>
      <c r="G1990" s="425">
        <v>15.7073</v>
      </c>
      <c r="H1990" s="426">
        <v>25.6633</v>
      </c>
      <c r="I1990" s="426">
        <v>21.7541</v>
      </c>
      <c r="J1990" s="426">
        <v>21.0014</v>
      </c>
      <c r="K1990" s="182">
        <v>10607.35</v>
      </c>
      <c r="L1990" s="36"/>
      <c r="M1990" s="36"/>
      <c r="N1990" s="36"/>
      <c r="O1990" s="36"/>
      <c r="P1990" s="36"/>
      <c r="Q1990" s="36"/>
      <c r="R1990" s="36"/>
      <c r="S1990" s="36"/>
      <c r="T1990" s="36"/>
      <c r="U1990" s="36"/>
      <c r="V1990" s="36"/>
      <c r="W1990" s="36"/>
      <c r="X1990" s="36"/>
      <c r="Y1990" s="36"/>
      <c r="Z1990" s="36"/>
      <c r="AA1990" s="36"/>
      <c r="AB1990" s="36"/>
      <c r="AC1990" s="36"/>
    </row>
    <row r="1991" ht="15.75" customHeight="1">
      <c r="A1991" s="423">
        <v>44018.0</v>
      </c>
      <c r="B1991" s="424">
        <v>14.084</v>
      </c>
      <c r="C1991" s="426">
        <v>19.3126</v>
      </c>
      <c r="D1991" s="426">
        <v>23.1061</v>
      </c>
      <c r="E1991" s="425">
        <v>16.5636</v>
      </c>
      <c r="F1991" s="425">
        <v>17.0655</v>
      </c>
      <c r="G1991" s="425">
        <v>15.7277</v>
      </c>
      <c r="H1991" s="426">
        <v>25.9929</v>
      </c>
      <c r="I1991" s="426">
        <v>22.0638</v>
      </c>
      <c r="J1991" s="426">
        <v>21.2123</v>
      </c>
      <c r="K1991" s="182">
        <v>10763.65</v>
      </c>
      <c r="L1991" s="36"/>
      <c r="M1991" s="36"/>
      <c r="N1991" s="36"/>
      <c r="O1991" s="36"/>
      <c r="P1991" s="36"/>
      <c r="Q1991" s="36"/>
      <c r="R1991" s="36"/>
      <c r="S1991" s="36"/>
      <c r="T1991" s="36"/>
      <c r="U1991" s="36"/>
      <c r="V1991" s="36"/>
      <c r="W1991" s="36"/>
      <c r="X1991" s="36"/>
      <c r="Y1991" s="36"/>
      <c r="Z1991" s="36"/>
      <c r="AA1991" s="36"/>
      <c r="AB1991" s="36"/>
      <c r="AC1991" s="36"/>
    </row>
    <row r="1992" ht="15.75" customHeight="1">
      <c r="A1992" s="423">
        <v>44019.0</v>
      </c>
      <c r="B1992" s="424">
        <v>14.1426</v>
      </c>
      <c r="C1992" s="426">
        <v>19.3174</v>
      </c>
      <c r="D1992" s="426">
        <v>23.163</v>
      </c>
      <c r="E1992" s="425">
        <v>16.5994</v>
      </c>
      <c r="F1992" s="425">
        <v>17.1487</v>
      </c>
      <c r="G1992" s="425">
        <v>15.7364</v>
      </c>
      <c r="H1992" s="426">
        <v>26.1405</v>
      </c>
      <c r="I1992" s="426">
        <v>22.1482</v>
      </c>
      <c r="J1992" s="426">
        <v>21.2815</v>
      </c>
      <c r="K1992" s="182">
        <v>10799.65</v>
      </c>
      <c r="L1992" s="36"/>
      <c r="M1992" s="36"/>
      <c r="N1992" s="36"/>
      <c r="O1992" s="36"/>
      <c r="P1992" s="36"/>
      <c r="Q1992" s="36"/>
      <c r="R1992" s="36"/>
      <c r="S1992" s="36"/>
      <c r="T1992" s="36"/>
      <c r="U1992" s="36"/>
      <c r="V1992" s="36"/>
      <c r="W1992" s="36"/>
      <c r="X1992" s="36"/>
      <c r="Y1992" s="36"/>
      <c r="Z1992" s="36"/>
      <c r="AA1992" s="36"/>
      <c r="AB1992" s="36"/>
      <c r="AC1992" s="36"/>
    </row>
    <row r="1993" ht="15.75" customHeight="1">
      <c r="A1993" s="423">
        <v>44020.0</v>
      </c>
      <c r="B1993" s="424">
        <v>14.0251</v>
      </c>
      <c r="C1993" s="426">
        <v>19.3458</v>
      </c>
      <c r="D1993" s="426">
        <v>23.2254</v>
      </c>
      <c r="E1993" s="425">
        <v>16.64</v>
      </c>
      <c r="F1993" s="425">
        <v>16.9979</v>
      </c>
      <c r="G1993" s="425">
        <v>15.7766</v>
      </c>
      <c r="H1993" s="426">
        <v>26.0281</v>
      </c>
      <c r="I1993" s="426">
        <v>21.9545</v>
      </c>
      <c r="J1993" s="426">
        <v>21.1927</v>
      </c>
      <c r="K1993" s="182">
        <v>10705.75</v>
      </c>
      <c r="L1993" s="36"/>
      <c r="M1993" s="36"/>
      <c r="N1993" s="36"/>
      <c r="O1993" s="36"/>
      <c r="P1993" s="36"/>
      <c r="Q1993" s="36"/>
      <c r="R1993" s="36"/>
      <c r="S1993" s="36"/>
      <c r="T1993" s="36"/>
      <c r="U1993" s="36"/>
      <c r="V1993" s="36"/>
      <c r="W1993" s="36"/>
      <c r="X1993" s="36"/>
      <c r="Y1993" s="36"/>
      <c r="Z1993" s="36"/>
      <c r="AA1993" s="36"/>
      <c r="AB1993" s="36"/>
      <c r="AC1993" s="36"/>
    </row>
    <row r="1994" ht="15.75" customHeight="1">
      <c r="A1994" s="423">
        <v>44021.0</v>
      </c>
      <c r="B1994" s="424">
        <v>14.1341</v>
      </c>
      <c r="C1994" s="426">
        <v>19.3354</v>
      </c>
      <c r="D1994" s="426">
        <v>23.2493</v>
      </c>
      <c r="E1994" s="425">
        <v>16.6537</v>
      </c>
      <c r="F1994" s="425">
        <v>17.1219</v>
      </c>
      <c r="G1994" s="425">
        <v>15.7925</v>
      </c>
      <c r="H1994" s="426">
        <v>26.0927</v>
      </c>
      <c r="I1994" s="426">
        <v>22.1277</v>
      </c>
      <c r="J1994" s="426">
        <v>21.2978</v>
      </c>
      <c r="K1994" s="182">
        <v>10813.45</v>
      </c>
      <c r="L1994" s="36"/>
      <c r="M1994" s="36"/>
      <c r="N1994" s="36"/>
      <c r="O1994" s="36"/>
      <c r="P1994" s="36"/>
      <c r="Q1994" s="36"/>
      <c r="R1994" s="36"/>
      <c r="S1994" s="36"/>
      <c r="T1994" s="36"/>
      <c r="U1994" s="36"/>
      <c r="V1994" s="36"/>
      <c r="W1994" s="36"/>
      <c r="X1994" s="36"/>
      <c r="Y1994" s="36"/>
      <c r="Z1994" s="36"/>
      <c r="AA1994" s="36"/>
      <c r="AB1994" s="36"/>
      <c r="AC1994" s="36"/>
    </row>
    <row r="1995" ht="15.75" customHeight="1">
      <c r="A1995" s="423">
        <v>44022.0</v>
      </c>
      <c r="B1995" s="424">
        <v>14.0789</v>
      </c>
      <c r="C1995" s="426">
        <v>19.3508</v>
      </c>
      <c r="D1995" s="426">
        <v>23.332</v>
      </c>
      <c r="E1995" s="425">
        <v>16.7043</v>
      </c>
      <c r="F1995" s="425">
        <v>17.0585</v>
      </c>
      <c r="G1995" s="425">
        <v>15.8492</v>
      </c>
      <c r="H1995" s="426">
        <v>25.9105</v>
      </c>
      <c r="I1995" s="426">
        <v>22.054</v>
      </c>
      <c r="J1995" s="426">
        <v>21.2747</v>
      </c>
      <c r="K1995" s="182">
        <v>10768.05</v>
      </c>
      <c r="L1995" s="36"/>
      <c r="M1995" s="36"/>
      <c r="N1995" s="36"/>
      <c r="O1995" s="36"/>
      <c r="P1995" s="36"/>
      <c r="Q1995" s="36"/>
      <c r="R1995" s="36"/>
      <c r="S1995" s="36"/>
      <c r="T1995" s="36"/>
      <c r="U1995" s="36"/>
      <c r="V1995" s="36"/>
      <c r="W1995" s="36"/>
      <c r="X1995" s="36"/>
      <c r="Y1995" s="36"/>
      <c r="Z1995" s="36"/>
      <c r="AA1995" s="36"/>
      <c r="AB1995" s="36"/>
      <c r="AC1995" s="36"/>
    </row>
    <row r="1996" ht="15.75" customHeight="1">
      <c r="A1996" s="423">
        <v>44025.0</v>
      </c>
      <c r="B1996" s="424">
        <v>14.1243</v>
      </c>
      <c r="C1996" s="426">
        <v>19.3178</v>
      </c>
      <c r="D1996" s="426">
        <v>23.3522</v>
      </c>
      <c r="E1996" s="425">
        <v>16.7191</v>
      </c>
      <c r="F1996" s="425">
        <v>17.1297</v>
      </c>
      <c r="G1996" s="425">
        <v>15.8532</v>
      </c>
      <c r="H1996" s="426">
        <v>25.8769</v>
      </c>
      <c r="I1996" s="426">
        <v>22.0989</v>
      </c>
      <c r="J1996" s="426">
        <v>21.3187</v>
      </c>
      <c r="K1996" s="182">
        <v>10802.7</v>
      </c>
      <c r="L1996" s="36"/>
      <c r="M1996" s="36"/>
      <c r="N1996" s="36"/>
      <c r="O1996" s="36"/>
      <c r="P1996" s="36"/>
      <c r="Q1996" s="36"/>
      <c r="R1996" s="36"/>
      <c r="S1996" s="36"/>
      <c r="T1996" s="36"/>
      <c r="U1996" s="36"/>
      <c r="V1996" s="36"/>
      <c r="W1996" s="36"/>
      <c r="X1996" s="36"/>
      <c r="Y1996" s="36"/>
      <c r="Z1996" s="36"/>
      <c r="AA1996" s="36"/>
      <c r="AB1996" s="36"/>
      <c r="AC1996" s="36"/>
    </row>
    <row r="1997" ht="15.75" customHeight="1">
      <c r="A1997" s="423">
        <v>44026.0</v>
      </c>
      <c r="B1997" s="424">
        <v>13.8901</v>
      </c>
      <c r="C1997" s="426">
        <v>19.3088</v>
      </c>
      <c r="D1997" s="426">
        <v>23.323</v>
      </c>
      <c r="E1997" s="425">
        <v>16.696</v>
      </c>
      <c r="F1997" s="425">
        <v>16.85</v>
      </c>
      <c r="G1997" s="425">
        <v>15.8475</v>
      </c>
      <c r="H1997" s="426">
        <v>25.7341</v>
      </c>
      <c r="I1997" s="426">
        <v>21.7579</v>
      </c>
      <c r="J1997" s="426">
        <v>21.0865</v>
      </c>
      <c r="K1997" s="182">
        <v>10607.35</v>
      </c>
      <c r="L1997" s="36"/>
      <c r="M1997" s="36"/>
      <c r="N1997" s="36"/>
      <c r="O1997" s="36"/>
      <c r="P1997" s="36"/>
      <c r="Q1997" s="36"/>
      <c r="R1997" s="36"/>
      <c r="S1997" s="36"/>
      <c r="T1997" s="36"/>
      <c r="U1997" s="36"/>
      <c r="V1997" s="36"/>
      <c r="W1997" s="36"/>
      <c r="X1997" s="36"/>
      <c r="Y1997" s="36"/>
      <c r="Z1997" s="36"/>
      <c r="AA1997" s="36"/>
      <c r="AB1997" s="36"/>
      <c r="AC1997" s="36"/>
    </row>
    <row r="1998" ht="15.75" customHeight="1">
      <c r="A1998" s="423">
        <v>44027.0</v>
      </c>
      <c r="B1998" s="424">
        <v>13.9169</v>
      </c>
      <c r="C1998" s="426">
        <v>19.3288</v>
      </c>
      <c r="D1998" s="426">
        <v>23.3492</v>
      </c>
      <c r="E1998" s="425">
        <v>16.7139</v>
      </c>
      <c r="F1998" s="425">
        <v>16.8938</v>
      </c>
      <c r="G1998" s="425">
        <v>15.8675</v>
      </c>
      <c r="H1998" s="426">
        <v>25.6878</v>
      </c>
      <c r="I1998" s="426">
        <v>21.7761</v>
      </c>
      <c r="J1998" s="426">
        <v>21.1134</v>
      </c>
      <c r="K1998" s="182">
        <v>10618.2</v>
      </c>
      <c r="L1998" s="36"/>
      <c r="M1998" s="36"/>
      <c r="N1998" s="36"/>
      <c r="O1998" s="36"/>
      <c r="P1998" s="36"/>
      <c r="Q1998" s="36"/>
      <c r="R1998" s="36"/>
      <c r="S1998" s="36"/>
      <c r="T1998" s="36"/>
      <c r="U1998" s="36"/>
      <c r="V1998" s="36"/>
      <c r="W1998" s="36"/>
      <c r="X1998" s="36"/>
      <c r="Y1998" s="36"/>
      <c r="Z1998" s="36"/>
      <c r="AA1998" s="36"/>
      <c r="AB1998" s="36"/>
      <c r="AC1998" s="36"/>
    </row>
    <row r="1999" ht="15.75" customHeight="1">
      <c r="A1999" s="423">
        <v>44028.0</v>
      </c>
      <c r="B1999" s="424">
        <v>14.0972</v>
      </c>
      <c r="C1999" s="426">
        <v>19.3375</v>
      </c>
      <c r="D1999" s="426">
        <v>23.3565</v>
      </c>
      <c r="E1999" s="425">
        <v>16.7231</v>
      </c>
      <c r="F1999" s="425">
        <v>17.1456</v>
      </c>
      <c r="G1999" s="425">
        <v>15.8585</v>
      </c>
      <c r="H1999" s="426">
        <v>25.8248</v>
      </c>
      <c r="I1999" s="426">
        <v>22.0576</v>
      </c>
      <c r="J1999" s="426">
        <v>21.2766</v>
      </c>
      <c r="K1999" s="182">
        <v>10739.95</v>
      </c>
      <c r="L1999" s="36"/>
      <c r="M1999" s="36"/>
      <c r="N1999" s="36"/>
      <c r="O1999" s="36"/>
      <c r="P1999" s="36"/>
      <c r="Q1999" s="36"/>
      <c r="R1999" s="36"/>
      <c r="S1999" s="36"/>
      <c r="T1999" s="36"/>
      <c r="U1999" s="36"/>
      <c r="V1999" s="36"/>
      <c r="W1999" s="36"/>
      <c r="X1999" s="36"/>
      <c r="Y1999" s="36"/>
      <c r="Z1999" s="36"/>
      <c r="AA1999" s="36"/>
      <c r="AB1999" s="36"/>
      <c r="AC1999" s="36"/>
    </row>
    <row r="2000" ht="15.75" customHeight="1">
      <c r="A2000" s="423">
        <v>44029.0</v>
      </c>
      <c r="B2000" s="424">
        <v>14.2917</v>
      </c>
      <c r="C2000" s="426">
        <v>19.3384</v>
      </c>
      <c r="D2000" s="426">
        <v>23.3573</v>
      </c>
      <c r="E2000" s="425">
        <v>16.7222</v>
      </c>
      <c r="F2000" s="425">
        <v>17.3843</v>
      </c>
      <c r="G2000" s="425">
        <v>15.8606</v>
      </c>
      <c r="H2000" s="426">
        <v>26.0798</v>
      </c>
      <c r="I2000" s="426">
        <v>22.374</v>
      </c>
      <c r="J2000" s="426">
        <v>21.4855</v>
      </c>
      <c r="K2000" s="182">
        <v>10901.7</v>
      </c>
      <c r="L2000" s="36"/>
      <c r="M2000" s="36"/>
      <c r="N2000" s="36"/>
      <c r="O2000" s="36"/>
      <c r="P2000" s="36"/>
      <c r="Q2000" s="36"/>
      <c r="R2000" s="36"/>
      <c r="S2000" s="36"/>
      <c r="T2000" s="36"/>
      <c r="U2000" s="36"/>
      <c r="V2000" s="36"/>
      <c r="W2000" s="36"/>
      <c r="X2000" s="36"/>
      <c r="Y2000" s="36"/>
      <c r="Z2000" s="36"/>
      <c r="AA2000" s="36"/>
      <c r="AB2000" s="36"/>
      <c r="AC2000" s="36"/>
    </row>
    <row r="2001" ht="15.75" customHeight="1">
      <c r="A2001" s="423">
        <v>44032.0</v>
      </c>
      <c r="B2001" s="424">
        <v>14.4532</v>
      </c>
      <c r="C2001" s="426">
        <v>19.3552</v>
      </c>
      <c r="D2001" s="426">
        <v>23.3712</v>
      </c>
      <c r="E2001" s="425">
        <v>16.7322</v>
      </c>
      <c r="F2001" s="425">
        <v>17.5812</v>
      </c>
      <c r="G2001" s="425">
        <v>15.8721</v>
      </c>
      <c r="H2001" s="426">
        <v>26.338</v>
      </c>
      <c r="I2001" s="426">
        <v>22.6105</v>
      </c>
      <c r="J2001" s="426">
        <v>21.6439</v>
      </c>
      <c r="K2001" s="182">
        <v>11022.2</v>
      </c>
      <c r="L2001" s="36"/>
      <c r="M2001" s="36"/>
      <c r="N2001" s="36"/>
      <c r="O2001" s="36"/>
      <c r="P2001" s="36"/>
      <c r="Q2001" s="36"/>
      <c r="R2001" s="36"/>
      <c r="S2001" s="36"/>
      <c r="T2001" s="36"/>
      <c r="U2001" s="36"/>
      <c r="V2001" s="36"/>
      <c r="W2001" s="36"/>
      <c r="X2001" s="36"/>
      <c r="Y2001" s="36"/>
      <c r="Z2001" s="36"/>
      <c r="AA2001" s="36"/>
      <c r="AB2001" s="36"/>
      <c r="AC2001" s="36"/>
    </row>
    <row r="2002" ht="15.75" customHeight="1">
      <c r="A2002" s="423">
        <v>44033.0</v>
      </c>
      <c r="B2002" s="424">
        <v>14.5973</v>
      </c>
      <c r="C2002" s="426">
        <v>19.3184</v>
      </c>
      <c r="D2002" s="426">
        <v>23.3587</v>
      </c>
      <c r="E2002" s="425">
        <v>16.7206</v>
      </c>
      <c r="F2002" s="425">
        <v>17.749</v>
      </c>
      <c r="G2002" s="425">
        <v>15.8688</v>
      </c>
      <c r="H2002" s="426">
        <v>26.334</v>
      </c>
      <c r="I2002" s="426">
        <v>22.8159</v>
      </c>
      <c r="J2002" s="426">
        <v>21.7662</v>
      </c>
      <c r="K2002" s="182">
        <v>11162.25</v>
      </c>
      <c r="L2002" s="36"/>
      <c r="M2002" s="36"/>
      <c r="N2002" s="36"/>
      <c r="O2002" s="36"/>
      <c r="P2002" s="36"/>
      <c r="Q2002" s="36"/>
      <c r="R2002" s="36"/>
      <c r="S2002" s="36"/>
      <c r="T2002" s="36"/>
      <c r="U2002" s="36"/>
      <c r="V2002" s="36"/>
      <c r="W2002" s="36"/>
      <c r="X2002" s="36"/>
      <c r="Y2002" s="36"/>
      <c r="Z2002" s="36"/>
      <c r="AA2002" s="36"/>
      <c r="AB2002" s="36"/>
      <c r="AC2002" s="36"/>
    </row>
    <row r="2003" ht="15.75" customHeight="1">
      <c r="A2003" s="423">
        <v>44034.0</v>
      </c>
      <c r="B2003" s="424">
        <v>14.5554</v>
      </c>
      <c r="C2003" s="426">
        <v>19.3174</v>
      </c>
      <c r="D2003" s="426">
        <v>23.3596</v>
      </c>
      <c r="E2003" s="425">
        <v>16.7215</v>
      </c>
      <c r="F2003" s="425">
        <v>17.681</v>
      </c>
      <c r="G2003" s="425">
        <v>15.8667</v>
      </c>
      <c r="H2003" s="426">
        <v>26.3777</v>
      </c>
      <c r="I2003" s="426">
        <v>22.7405</v>
      </c>
      <c r="J2003" s="426">
        <v>21.7168</v>
      </c>
      <c r="K2003" s="182">
        <v>11132.6</v>
      </c>
      <c r="L2003" s="36"/>
      <c r="M2003" s="36"/>
      <c r="N2003" s="36"/>
      <c r="O2003" s="36"/>
      <c r="P2003" s="36"/>
      <c r="Q2003" s="36"/>
      <c r="R2003" s="36"/>
      <c r="S2003" s="36"/>
      <c r="T2003" s="36"/>
      <c r="U2003" s="36"/>
      <c r="V2003" s="36"/>
      <c r="W2003" s="36"/>
      <c r="X2003" s="36"/>
      <c r="Y2003" s="36"/>
      <c r="Z2003" s="36"/>
      <c r="AA2003" s="36"/>
      <c r="AB2003" s="36"/>
      <c r="AC2003" s="36"/>
    </row>
    <row r="2004" ht="15.75" customHeight="1">
      <c r="A2004" s="423">
        <v>44035.0</v>
      </c>
      <c r="B2004" s="424">
        <v>14.6623</v>
      </c>
      <c r="C2004" s="426">
        <v>19.3303</v>
      </c>
      <c r="D2004" s="426">
        <v>23.3797</v>
      </c>
      <c r="E2004" s="425">
        <v>16.7299</v>
      </c>
      <c r="F2004" s="425">
        <v>17.8164</v>
      </c>
      <c r="G2004" s="425">
        <v>15.8841</v>
      </c>
      <c r="H2004" s="426">
        <v>26.5771</v>
      </c>
      <c r="I2004" s="426">
        <v>22.9276</v>
      </c>
      <c r="J2004" s="426">
        <v>21.8234</v>
      </c>
      <c r="K2004" s="182">
        <v>11215.45</v>
      </c>
      <c r="L2004" s="36"/>
      <c r="M2004" s="36"/>
      <c r="N2004" s="36"/>
      <c r="O2004" s="36"/>
      <c r="P2004" s="36"/>
      <c r="Q2004" s="36"/>
      <c r="R2004" s="36"/>
      <c r="S2004" s="36"/>
      <c r="T2004" s="36"/>
      <c r="U2004" s="36"/>
      <c r="V2004" s="36"/>
      <c r="W2004" s="36"/>
      <c r="X2004" s="36"/>
      <c r="Y2004" s="36"/>
      <c r="Z2004" s="36"/>
      <c r="AA2004" s="36"/>
      <c r="AB2004" s="36"/>
      <c r="AC2004" s="36"/>
    </row>
    <row r="2005" ht="15.75" customHeight="1">
      <c r="A2005" s="423">
        <v>44036.0</v>
      </c>
      <c r="B2005" s="424">
        <v>14.619</v>
      </c>
      <c r="C2005" s="426">
        <v>19.3445</v>
      </c>
      <c r="D2005" s="426">
        <v>23.3845</v>
      </c>
      <c r="E2005" s="425">
        <v>16.7346</v>
      </c>
      <c r="F2005" s="425">
        <v>17.7761</v>
      </c>
      <c r="G2005" s="425">
        <v>15.8891</v>
      </c>
      <c r="H2005" s="426">
        <v>26.5203</v>
      </c>
      <c r="I2005" s="426">
        <v>22.8662</v>
      </c>
      <c r="J2005" s="426">
        <v>21.7764</v>
      </c>
      <c r="K2005" s="182">
        <v>11194.15</v>
      </c>
      <c r="L2005" s="36"/>
      <c r="M2005" s="36"/>
      <c r="N2005" s="36"/>
      <c r="O2005" s="36"/>
      <c r="P2005" s="36"/>
      <c r="Q2005" s="36"/>
      <c r="R2005" s="36"/>
      <c r="S2005" s="36"/>
      <c r="T2005" s="36"/>
      <c r="U2005" s="36"/>
      <c r="V2005" s="36"/>
      <c r="W2005" s="36"/>
      <c r="X2005" s="36"/>
      <c r="Y2005" s="36"/>
      <c r="Z2005" s="36"/>
      <c r="AA2005" s="36"/>
      <c r="AB2005" s="36"/>
      <c r="AC2005" s="36"/>
    </row>
    <row r="2006" ht="15.75" customHeight="1">
      <c r="A2006" s="423">
        <v>44039.0</v>
      </c>
      <c r="B2006" s="424">
        <v>14.5026</v>
      </c>
      <c r="C2006" s="426">
        <v>19.3447</v>
      </c>
      <c r="D2006" s="426">
        <v>23.3752</v>
      </c>
      <c r="E2006" s="425">
        <v>16.7278</v>
      </c>
      <c r="F2006" s="425">
        <v>17.643</v>
      </c>
      <c r="G2006" s="425">
        <v>15.8878</v>
      </c>
      <c r="H2006" s="426">
        <v>26.2262</v>
      </c>
      <c r="I2006" s="426">
        <v>22.6856</v>
      </c>
      <c r="J2006" s="426">
        <v>21.6572</v>
      </c>
      <c r="K2006" s="182">
        <v>11131.8</v>
      </c>
      <c r="L2006" s="36"/>
      <c r="M2006" s="36"/>
      <c r="N2006" s="36"/>
      <c r="O2006" s="36"/>
      <c r="P2006" s="36"/>
      <c r="Q2006" s="36"/>
      <c r="R2006" s="36"/>
      <c r="S2006" s="36"/>
      <c r="T2006" s="36"/>
      <c r="U2006" s="36"/>
      <c r="V2006" s="36"/>
      <c r="W2006" s="36"/>
      <c r="X2006" s="36"/>
      <c r="Y2006" s="36"/>
      <c r="Z2006" s="36"/>
      <c r="AA2006" s="36"/>
      <c r="AB2006" s="36"/>
      <c r="AC2006" s="36"/>
    </row>
    <row r="2007" ht="15.75" customHeight="1">
      <c r="A2007" s="423">
        <v>44040.0</v>
      </c>
      <c r="B2007" s="424">
        <v>14.696</v>
      </c>
      <c r="C2007" s="426">
        <v>19.3343</v>
      </c>
      <c r="D2007" s="426">
        <v>23.3685</v>
      </c>
      <c r="E2007" s="425">
        <v>16.725</v>
      </c>
      <c r="F2007" s="425">
        <v>17.8874</v>
      </c>
      <c r="G2007" s="425">
        <v>15.8775</v>
      </c>
      <c r="H2007" s="426">
        <v>26.4007</v>
      </c>
      <c r="I2007" s="426">
        <v>22.9705</v>
      </c>
      <c r="J2007" s="426">
        <v>21.8298</v>
      </c>
      <c r="K2007" s="182">
        <v>11300.55</v>
      </c>
      <c r="L2007" s="36"/>
      <c r="M2007" s="36"/>
      <c r="N2007" s="36"/>
      <c r="O2007" s="36"/>
      <c r="P2007" s="36"/>
      <c r="Q2007" s="36"/>
      <c r="R2007" s="36"/>
      <c r="S2007" s="36"/>
      <c r="T2007" s="36"/>
      <c r="U2007" s="36"/>
      <c r="V2007" s="36"/>
      <c r="W2007" s="36"/>
      <c r="X2007" s="36"/>
      <c r="Y2007" s="36"/>
      <c r="Z2007" s="36"/>
      <c r="AA2007" s="36"/>
      <c r="AB2007" s="36"/>
      <c r="AC2007" s="36"/>
    </row>
    <row r="2008" ht="15.75" customHeight="1">
      <c r="A2008" s="423">
        <v>44041.0</v>
      </c>
      <c r="B2008" s="424">
        <v>14.6025</v>
      </c>
      <c r="C2008" s="426">
        <v>19.3353</v>
      </c>
      <c r="D2008" s="426">
        <v>23.3662</v>
      </c>
      <c r="E2008" s="425">
        <v>16.7286</v>
      </c>
      <c r="F2008" s="425">
        <v>17.791</v>
      </c>
      <c r="G2008" s="425">
        <v>15.8746</v>
      </c>
      <c r="H2008" s="426">
        <v>26.4582</v>
      </c>
      <c r="I2008" s="426">
        <v>22.8296</v>
      </c>
      <c r="J2008" s="426">
        <v>21.7532</v>
      </c>
      <c r="K2008" s="182">
        <v>11202.85</v>
      </c>
      <c r="L2008" s="36"/>
      <c r="M2008" s="36"/>
      <c r="N2008" s="36"/>
      <c r="O2008" s="36"/>
      <c r="P2008" s="36"/>
      <c r="Q2008" s="36"/>
      <c r="R2008" s="36"/>
      <c r="S2008" s="36"/>
      <c r="T2008" s="36"/>
      <c r="U2008" s="36"/>
      <c r="V2008" s="36"/>
      <c r="W2008" s="36"/>
      <c r="X2008" s="36"/>
      <c r="Y2008" s="36"/>
      <c r="Z2008" s="36"/>
      <c r="AA2008" s="36"/>
      <c r="AB2008" s="36"/>
      <c r="AC2008" s="36"/>
    </row>
    <row r="2009" ht="15.75" customHeight="1">
      <c r="A2009" s="423">
        <v>44042.0</v>
      </c>
      <c r="B2009" s="424">
        <v>14.5083</v>
      </c>
      <c r="C2009" s="426">
        <v>19.339</v>
      </c>
      <c r="D2009" s="426">
        <v>23.3485</v>
      </c>
      <c r="E2009" s="425">
        <v>16.7153</v>
      </c>
      <c r="F2009" s="425">
        <v>17.706</v>
      </c>
      <c r="G2009" s="425">
        <v>15.8657</v>
      </c>
      <c r="H2009" s="426">
        <v>26.3274</v>
      </c>
      <c r="I2009" s="426">
        <v>22.7121</v>
      </c>
      <c r="J2009" s="426">
        <v>21.6789</v>
      </c>
      <c r="K2009" s="182">
        <v>11102.15</v>
      </c>
      <c r="L2009" s="36"/>
      <c r="M2009" s="36"/>
      <c r="N2009" s="36"/>
      <c r="O2009" s="36"/>
      <c r="P2009" s="36"/>
      <c r="Q2009" s="36"/>
      <c r="R2009" s="36"/>
      <c r="S2009" s="36"/>
      <c r="T2009" s="36"/>
      <c r="U2009" s="36"/>
      <c r="V2009" s="36"/>
      <c r="W2009" s="36"/>
      <c r="X2009" s="36"/>
      <c r="Y2009" s="36"/>
      <c r="Z2009" s="36"/>
      <c r="AA2009" s="36"/>
      <c r="AB2009" s="36"/>
      <c r="AC2009" s="36"/>
    </row>
    <row r="2010" ht="15.75" customHeight="1">
      <c r="A2010" s="423">
        <v>44043.0</v>
      </c>
      <c r="B2010" s="424">
        <v>14.4966</v>
      </c>
      <c r="C2010" s="426">
        <v>19.3569</v>
      </c>
      <c r="D2010" s="426">
        <v>23.3862</v>
      </c>
      <c r="E2010" s="425">
        <v>16.7409</v>
      </c>
      <c r="F2010" s="425">
        <v>17.7022</v>
      </c>
      <c r="G2010" s="425">
        <v>15.8956</v>
      </c>
      <c r="H2010" s="426">
        <v>26.4911</v>
      </c>
      <c r="I2010" s="426">
        <v>22.7007</v>
      </c>
      <c r="J2010" s="426">
        <v>21.6805</v>
      </c>
      <c r="K2010" s="182">
        <v>11073.45</v>
      </c>
      <c r="L2010" s="36"/>
      <c r="M2010" s="36"/>
      <c r="N2010" s="36"/>
      <c r="O2010" s="36"/>
      <c r="P2010" s="36"/>
      <c r="Q2010" s="36"/>
      <c r="R2010" s="36"/>
      <c r="S2010" s="36"/>
      <c r="T2010" s="36"/>
      <c r="U2010" s="36"/>
      <c r="V2010" s="36"/>
      <c r="W2010" s="36"/>
      <c r="X2010" s="36"/>
      <c r="Y2010" s="36"/>
      <c r="Z2010" s="36"/>
      <c r="AA2010" s="36"/>
      <c r="AB2010" s="36"/>
      <c r="AC2010" s="36"/>
    </row>
    <row r="2011" ht="15.75" customHeight="1">
      <c r="A2011" s="423">
        <v>44046.0</v>
      </c>
      <c r="B2011" s="424">
        <v>14.2846</v>
      </c>
      <c r="C2011" s="426">
        <v>19.3621</v>
      </c>
      <c r="D2011" s="426">
        <v>23.3909</v>
      </c>
      <c r="E2011" s="425">
        <v>16.744</v>
      </c>
      <c r="F2011" s="425">
        <v>17.4552</v>
      </c>
      <c r="G2011" s="425">
        <v>15.9016</v>
      </c>
      <c r="H2011" s="426">
        <v>26.4851</v>
      </c>
      <c r="I2011" s="426">
        <v>22.386</v>
      </c>
      <c r="J2011" s="426">
        <v>21.4876</v>
      </c>
      <c r="K2011" s="182">
        <v>10891.6</v>
      </c>
      <c r="L2011" s="36"/>
      <c r="M2011" s="36"/>
      <c r="N2011" s="36"/>
      <c r="O2011" s="36"/>
      <c r="P2011" s="36"/>
      <c r="Q2011" s="36"/>
      <c r="R2011" s="36"/>
      <c r="S2011" s="36"/>
      <c r="T2011" s="36"/>
      <c r="U2011" s="36"/>
      <c r="V2011" s="36"/>
      <c r="W2011" s="36"/>
      <c r="X2011" s="36"/>
      <c r="Y2011" s="36"/>
      <c r="Z2011" s="36"/>
      <c r="AA2011" s="36"/>
      <c r="AB2011" s="36"/>
      <c r="AC2011" s="36"/>
    </row>
    <row r="2012" ht="15.75" customHeight="1">
      <c r="A2012" s="423">
        <v>44047.0</v>
      </c>
      <c r="B2012" s="424">
        <v>14.4933</v>
      </c>
      <c r="C2012" s="426">
        <v>19.3646</v>
      </c>
      <c r="D2012" s="426">
        <v>23.3814</v>
      </c>
      <c r="E2012" s="425">
        <v>16.7411</v>
      </c>
      <c r="F2012" s="425">
        <v>17.7096</v>
      </c>
      <c r="G2012" s="425">
        <v>15.8926</v>
      </c>
      <c r="H2012" s="426">
        <v>26.6917</v>
      </c>
      <c r="I2012" s="426">
        <v>22.7167</v>
      </c>
      <c r="J2012" s="426">
        <v>21.6977</v>
      </c>
      <c r="K2012" s="182">
        <v>11095.25</v>
      </c>
      <c r="L2012" s="36"/>
      <c r="M2012" s="36"/>
      <c r="N2012" s="36"/>
      <c r="O2012" s="36"/>
      <c r="P2012" s="36"/>
      <c r="Q2012" s="36"/>
      <c r="R2012" s="36"/>
      <c r="S2012" s="36"/>
      <c r="T2012" s="36"/>
      <c r="U2012" s="36"/>
      <c r="V2012" s="36"/>
      <c r="W2012" s="36"/>
      <c r="X2012" s="36"/>
      <c r="Y2012" s="36"/>
      <c r="Z2012" s="36"/>
      <c r="AA2012" s="36"/>
      <c r="AB2012" s="36"/>
      <c r="AC2012" s="36"/>
    </row>
    <row r="2013" ht="15.75" customHeight="1">
      <c r="A2013" s="423">
        <v>44048.0</v>
      </c>
      <c r="B2013" s="424">
        <v>14.5239</v>
      </c>
      <c r="C2013" s="426">
        <v>19.3665</v>
      </c>
      <c r="D2013" s="426">
        <v>23.381</v>
      </c>
      <c r="E2013" s="425">
        <v>16.7473</v>
      </c>
      <c r="F2013" s="425">
        <v>17.7435</v>
      </c>
      <c r="G2013" s="425">
        <v>15.8933</v>
      </c>
      <c r="H2013" s="426">
        <v>26.8619</v>
      </c>
      <c r="I2013" s="426">
        <v>22.7692</v>
      </c>
      <c r="J2013" s="426">
        <v>21.7188</v>
      </c>
      <c r="K2013" s="182">
        <v>11101.65</v>
      </c>
      <c r="L2013" s="36"/>
      <c r="M2013" s="36"/>
      <c r="N2013" s="36"/>
      <c r="O2013" s="36"/>
      <c r="P2013" s="36"/>
      <c r="Q2013" s="36"/>
      <c r="R2013" s="36"/>
      <c r="S2013" s="36"/>
      <c r="T2013" s="36"/>
      <c r="U2013" s="36"/>
      <c r="V2013" s="36"/>
      <c r="W2013" s="36"/>
      <c r="X2013" s="36"/>
      <c r="Y2013" s="36"/>
      <c r="Z2013" s="36"/>
      <c r="AA2013" s="36"/>
      <c r="AB2013" s="36"/>
      <c r="AC2013" s="36"/>
    </row>
    <row r="2014" ht="15.75" customHeight="1">
      <c r="A2014" s="423">
        <v>44049.0</v>
      </c>
      <c r="B2014" s="424">
        <v>14.6502</v>
      </c>
      <c r="C2014" s="426">
        <v>19.3537</v>
      </c>
      <c r="D2014" s="426">
        <v>23.3345</v>
      </c>
      <c r="E2014" s="425">
        <v>16.713</v>
      </c>
      <c r="F2014" s="425">
        <v>17.9084</v>
      </c>
      <c r="G2014" s="425">
        <v>15.8709</v>
      </c>
      <c r="H2014" s="426">
        <v>27.13</v>
      </c>
      <c r="I2014" s="426">
        <v>22.9692</v>
      </c>
      <c r="J2014" s="426">
        <v>21.8287</v>
      </c>
      <c r="K2014" s="182">
        <v>11200.15</v>
      </c>
      <c r="L2014" s="36"/>
      <c r="M2014" s="36"/>
      <c r="N2014" s="36"/>
      <c r="O2014" s="36"/>
      <c r="P2014" s="36"/>
      <c r="Q2014" s="36"/>
      <c r="R2014" s="36"/>
      <c r="S2014" s="36"/>
      <c r="T2014" s="36"/>
      <c r="U2014" s="36"/>
      <c r="V2014" s="36"/>
      <c r="W2014" s="36"/>
      <c r="X2014" s="36"/>
      <c r="Y2014" s="36"/>
      <c r="Z2014" s="36"/>
      <c r="AA2014" s="36"/>
      <c r="AB2014" s="36"/>
      <c r="AC2014" s="36"/>
    </row>
    <row r="2015" ht="15.75" customHeight="1">
      <c r="A2015" s="423">
        <v>44050.0</v>
      </c>
      <c r="B2015" s="424">
        <v>14.6722</v>
      </c>
      <c r="C2015" s="426">
        <v>19.3526</v>
      </c>
      <c r="D2015" s="426">
        <v>23.3032</v>
      </c>
      <c r="E2015" s="425">
        <v>16.6893</v>
      </c>
      <c r="F2015" s="425">
        <v>17.9507</v>
      </c>
      <c r="G2015" s="425">
        <v>15.8641</v>
      </c>
      <c r="H2015" s="426">
        <v>27.3553</v>
      </c>
      <c r="I2015" s="426">
        <v>23.0219</v>
      </c>
      <c r="J2015" s="426">
        <v>21.8497</v>
      </c>
      <c r="K2015" s="182">
        <v>11214.05</v>
      </c>
      <c r="L2015" s="36"/>
      <c r="M2015" s="36"/>
      <c r="N2015" s="36"/>
      <c r="O2015" s="36"/>
      <c r="P2015" s="36"/>
      <c r="Q2015" s="36"/>
      <c r="R2015" s="36"/>
      <c r="S2015" s="36"/>
      <c r="T2015" s="36"/>
      <c r="U2015" s="36"/>
      <c r="V2015" s="36"/>
      <c r="W2015" s="36"/>
      <c r="X2015" s="36"/>
      <c r="Y2015" s="36"/>
      <c r="Z2015" s="36"/>
      <c r="AA2015" s="36"/>
      <c r="AB2015" s="36"/>
      <c r="AC2015" s="36"/>
    </row>
    <row r="2016" ht="15.75" customHeight="1">
      <c r="A2016" s="423">
        <v>44053.0</v>
      </c>
      <c r="B2016" s="424">
        <v>14.7734</v>
      </c>
      <c r="C2016" s="426">
        <v>19.3567</v>
      </c>
      <c r="D2016" s="426">
        <v>23.2724</v>
      </c>
      <c r="E2016" s="425">
        <v>16.6703</v>
      </c>
      <c r="F2016" s="425">
        <v>18.08</v>
      </c>
      <c r="G2016" s="425">
        <v>15.8572</v>
      </c>
      <c r="H2016" s="426">
        <v>27.6623</v>
      </c>
      <c r="I2016" s="426">
        <v>23.1921</v>
      </c>
      <c r="J2016" s="426">
        <v>21.9496</v>
      </c>
      <c r="K2016" s="182">
        <v>11270.15</v>
      </c>
      <c r="L2016" s="36"/>
      <c r="M2016" s="36"/>
      <c r="N2016" s="36"/>
      <c r="O2016" s="36"/>
      <c r="P2016" s="36"/>
      <c r="Q2016" s="36"/>
      <c r="R2016" s="36"/>
      <c r="S2016" s="36"/>
      <c r="T2016" s="36"/>
      <c r="U2016" s="36"/>
      <c r="V2016" s="36"/>
      <c r="W2016" s="36"/>
      <c r="X2016" s="36"/>
      <c r="Y2016" s="36"/>
      <c r="Z2016" s="36"/>
      <c r="AA2016" s="36"/>
      <c r="AB2016" s="36"/>
      <c r="AC2016" s="36"/>
    </row>
    <row r="2017" ht="15.75" customHeight="1">
      <c r="A2017" s="423">
        <v>44054.0</v>
      </c>
      <c r="B2017" s="424">
        <v>14.8326</v>
      </c>
      <c r="C2017" s="426">
        <v>19.3573</v>
      </c>
      <c r="D2017" s="426">
        <v>23.2711</v>
      </c>
      <c r="E2017" s="425">
        <v>16.6673</v>
      </c>
      <c r="F2017" s="425">
        <v>18.1449</v>
      </c>
      <c r="G2017" s="425">
        <v>15.8449</v>
      </c>
      <c r="H2017" s="426">
        <v>27.6103</v>
      </c>
      <c r="I2017" s="426">
        <v>23.2586</v>
      </c>
      <c r="J2017" s="426">
        <v>22.0036</v>
      </c>
      <c r="K2017" s="182">
        <v>11322.5</v>
      </c>
      <c r="L2017" s="36"/>
      <c r="M2017" s="36"/>
      <c r="N2017" s="36"/>
      <c r="O2017" s="36"/>
      <c r="P2017" s="36"/>
      <c r="Q2017" s="36"/>
      <c r="R2017" s="36"/>
      <c r="S2017" s="36"/>
      <c r="T2017" s="36"/>
      <c r="U2017" s="36"/>
      <c r="V2017" s="36"/>
      <c r="W2017" s="36"/>
      <c r="X2017" s="36"/>
      <c r="Y2017" s="36"/>
      <c r="Z2017" s="36"/>
      <c r="AA2017" s="36"/>
      <c r="AB2017" s="36"/>
      <c r="AC2017" s="36"/>
    </row>
    <row r="2018" ht="15.75" customHeight="1">
      <c r="A2018" s="423">
        <v>44055.0</v>
      </c>
      <c r="B2018" s="424">
        <v>14.8084</v>
      </c>
      <c r="C2018" s="426">
        <v>19.3714</v>
      </c>
      <c r="D2018" s="426">
        <v>23.2644</v>
      </c>
      <c r="E2018" s="425">
        <v>16.6675</v>
      </c>
      <c r="F2018" s="425">
        <v>18.098</v>
      </c>
      <c r="G2018" s="425">
        <v>15.8405</v>
      </c>
      <c r="H2018" s="426">
        <v>27.6242</v>
      </c>
      <c r="I2018" s="426">
        <v>23.1961</v>
      </c>
      <c r="J2018" s="426">
        <v>21.9792</v>
      </c>
      <c r="K2018" s="182">
        <v>11308.4</v>
      </c>
      <c r="L2018" s="36"/>
      <c r="M2018" s="36"/>
      <c r="N2018" s="36"/>
      <c r="O2018" s="36"/>
      <c r="P2018" s="36"/>
      <c r="Q2018" s="36"/>
      <c r="R2018" s="36"/>
      <c r="S2018" s="36"/>
      <c r="T2018" s="36"/>
      <c r="U2018" s="36"/>
      <c r="V2018" s="36"/>
      <c r="W2018" s="36"/>
      <c r="X2018" s="36"/>
      <c r="Y2018" s="36"/>
      <c r="Z2018" s="36"/>
      <c r="AA2018" s="36"/>
      <c r="AB2018" s="36"/>
      <c r="AC2018" s="36"/>
    </row>
    <row r="2019" ht="15.75" customHeight="1">
      <c r="A2019" s="423">
        <v>44056.0</v>
      </c>
      <c r="B2019" s="424">
        <v>14.8041</v>
      </c>
      <c r="C2019" s="426">
        <v>19.3826</v>
      </c>
      <c r="D2019" s="426">
        <v>23.2752</v>
      </c>
      <c r="E2019" s="425">
        <v>16.6769</v>
      </c>
      <c r="F2019" s="425">
        <v>18.1056</v>
      </c>
      <c r="G2019" s="425">
        <v>15.8421</v>
      </c>
      <c r="H2019" s="426">
        <v>27.9571</v>
      </c>
      <c r="I2019" s="426">
        <v>23.2</v>
      </c>
      <c r="J2019" s="426">
        <v>21.9868</v>
      </c>
      <c r="K2019" s="182">
        <v>11300.45</v>
      </c>
      <c r="L2019" s="36"/>
      <c r="M2019" s="36"/>
      <c r="N2019" s="36"/>
      <c r="O2019" s="36"/>
      <c r="P2019" s="36"/>
      <c r="Q2019" s="36"/>
      <c r="R2019" s="36"/>
      <c r="S2019" s="36"/>
      <c r="T2019" s="36"/>
      <c r="U2019" s="36"/>
      <c r="V2019" s="36"/>
      <c r="W2019" s="36"/>
      <c r="X2019" s="36"/>
      <c r="Y2019" s="36"/>
      <c r="Z2019" s="36"/>
      <c r="AA2019" s="36"/>
      <c r="AB2019" s="36"/>
      <c r="AC2019" s="36"/>
    </row>
    <row r="2020" ht="15.75" customHeight="1">
      <c r="A2020" s="423">
        <v>44057.0</v>
      </c>
      <c r="B2020" s="424">
        <v>14.6411</v>
      </c>
      <c r="C2020" s="426">
        <v>19.3821</v>
      </c>
      <c r="D2020" s="426">
        <v>23.242</v>
      </c>
      <c r="E2020" s="425">
        <v>16.6522</v>
      </c>
      <c r="F2020" s="425">
        <v>17.9093</v>
      </c>
      <c r="G2020" s="425">
        <v>15.8347</v>
      </c>
      <c r="H2020" s="426">
        <v>27.7211</v>
      </c>
      <c r="I2020" s="426">
        <v>22.9583</v>
      </c>
      <c r="J2020" s="426">
        <v>21.8268</v>
      </c>
      <c r="K2020" s="182">
        <v>11178.4</v>
      </c>
      <c r="L2020" s="36"/>
      <c r="M2020" s="36"/>
      <c r="N2020" s="36"/>
      <c r="O2020" s="36"/>
      <c r="P2020" s="36"/>
      <c r="Q2020" s="36"/>
      <c r="R2020" s="36"/>
      <c r="S2020" s="36"/>
      <c r="T2020" s="36"/>
      <c r="U2020" s="36"/>
      <c r="V2020" s="36"/>
      <c r="W2020" s="36"/>
      <c r="X2020" s="36"/>
      <c r="Y2020" s="36"/>
      <c r="Z2020" s="36"/>
      <c r="AA2020" s="36"/>
      <c r="AB2020" s="36"/>
      <c r="AC2020" s="36"/>
    </row>
    <row r="2021" ht="15.75" customHeight="1">
      <c r="A2021" s="423">
        <v>44060.0</v>
      </c>
      <c r="B2021" s="424">
        <v>14.7243</v>
      </c>
      <c r="C2021" s="426">
        <v>19.3748</v>
      </c>
      <c r="D2021" s="426">
        <v>23.2267</v>
      </c>
      <c r="E2021" s="425">
        <v>16.643</v>
      </c>
      <c r="F2021" s="425">
        <v>17.9917</v>
      </c>
      <c r="G2021" s="425">
        <v>15.8153</v>
      </c>
      <c r="H2021" s="426">
        <v>27.8618</v>
      </c>
      <c r="I2021" s="426">
        <v>23.0565</v>
      </c>
      <c r="J2021" s="426">
        <v>21.8928</v>
      </c>
      <c r="K2021" s="182">
        <v>11247.1</v>
      </c>
      <c r="L2021" s="36"/>
      <c r="M2021" s="36"/>
      <c r="N2021" s="36"/>
      <c r="O2021" s="36"/>
      <c r="P2021" s="36"/>
      <c r="Q2021" s="36"/>
      <c r="R2021" s="36"/>
      <c r="S2021" s="36"/>
      <c r="T2021" s="36"/>
      <c r="U2021" s="36"/>
      <c r="V2021" s="36"/>
      <c r="W2021" s="36"/>
      <c r="X2021" s="36"/>
      <c r="Y2021" s="36"/>
      <c r="Z2021" s="36"/>
      <c r="AA2021" s="36"/>
      <c r="AB2021" s="36"/>
      <c r="AC2021" s="36"/>
    </row>
    <row r="2022" ht="15.75" customHeight="1">
      <c r="A2022" s="423">
        <v>44061.0</v>
      </c>
      <c r="B2022" s="424">
        <v>14.9004</v>
      </c>
      <c r="C2022" s="426">
        <v>19.3898</v>
      </c>
      <c r="D2022" s="426">
        <v>23.1994</v>
      </c>
      <c r="E2022" s="425">
        <v>16.6269</v>
      </c>
      <c r="F2022" s="425">
        <v>18.2214</v>
      </c>
      <c r="G2022" s="425">
        <v>15.8062</v>
      </c>
      <c r="H2022" s="426">
        <v>28.1943</v>
      </c>
      <c r="I2022" s="426">
        <v>23.3434</v>
      </c>
      <c r="J2022" s="426">
        <v>22.0515</v>
      </c>
      <c r="K2022" s="182">
        <v>11385.35</v>
      </c>
      <c r="L2022" s="36"/>
      <c r="M2022" s="36"/>
      <c r="N2022" s="36"/>
      <c r="O2022" s="36"/>
      <c r="P2022" s="36"/>
      <c r="Q2022" s="36"/>
      <c r="R2022" s="36"/>
      <c r="S2022" s="36"/>
      <c r="T2022" s="36"/>
      <c r="U2022" s="36"/>
      <c r="V2022" s="36"/>
      <c r="W2022" s="36"/>
      <c r="X2022" s="36"/>
      <c r="Y2022" s="36"/>
      <c r="Z2022" s="36"/>
      <c r="AA2022" s="36"/>
      <c r="AB2022" s="36"/>
      <c r="AC2022" s="36"/>
    </row>
    <row r="2023" ht="15.75" customHeight="1">
      <c r="A2023" s="423">
        <v>44062.0</v>
      </c>
      <c r="B2023" s="424">
        <v>14.9319</v>
      </c>
      <c r="C2023" s="426">
        <v>19.3928</v>
      </c>
      <c r="D2023" s="426">
        <v>23.1849</v>
      </c>
      <c r="E2023" s="425">
        <v>16.6161</v>
      </c>
      <c r="F2023" s="425">
        <v>18.2472</v>
      </c>
      <c r="G2023" s="425">
        <v>15.7986</v>
      </c>
      <c r="H2023" s="426">
        <v>28.3678</v>
      </c>
      <c r="I2023" s="426">
        <v>23.3732</v>
      </c>
      <c r="J2023" s="426">
        <v>22.0769</v>
      </c>
      <c r="K2023" s="182">
        <v>11408.4</v>
      </c>
      <c r="L2023" s="36"/>
      <c r="M2023" s="36"/>
      <c r="N2023" s="36"/>
      <c r="O2023" s="36"/>
      <c r="P2023" s="36"/>
      <c r="Q2023" s="36"/>
      <c r="R2023" s="36"/>
      <c r="S2023" s="36"/>
      <c r="T2023" s="36"/>
      <c r="U2023" s="36"/>
      <c r="V2023" s="36"/>
      <c r="W2023" s="36"/>
      <c r="X2023" s="36"/>
      <c r="Y2023" s="36"/>
      <c r="Z2023" s="36"/>
      <c r="AA2023" s="36"/>
      <c r="AB2023" s="36"/>
      <c r="AC2023" s="36"/>
    </row>
    <row r="2024" ht="15.75" customHeight="1">
      <c r="A2024" s="423">
        <v>44063.0</v>
      </c>
      <c r="B2024" s="424">
        <v>14.8243</v>
      </c>
      <c r="C2024" s="426">
        <v>19.394</v>
      </c>
      <c r="D2024" s="426">
        <v>23.1855</v>
      </c>
      <c r="E2024" s="425">
        <v>16.6161</v>
      </c>
      <c r="F2024" s="425">
        <v>18.1051</v>
      </c>
      <c r="G2024" s="425">
        <v>15.8045</v>
      </c>
      <c r="H2024" s="426">
        <v>28.6549</v>
      </c>
      <c r="I2024" s="426">
        <v>23.2072</v>
      </c>
      <c r="J2024" s="426">
        <v>21.9827</v>
      </c>
      <c r="K2024" s="182">
        <v>11312.2</v>
      </c>
      <c r="L2024" s="36"/>
      <c r="M2024" s="36"/>
      <c r="N2024" s="36"/>
      <c r="O2024" s="36"/>
      <c r="P2024" s="36"/>
      <c r="Q2024" s="36"/>
      <c r="R2024" s="36"/>
      <c r="S2024" s="36"/>
      <c r="T2024" s="36"/>
      <c r="U2024" s="36"/>
      <c r="V2024" s="36"/>
      <c r="W2024" s="36"/>
      <c r="X2024" s="36"/>
      <c r="Y2024" s="36"/>
      <c r="Z2024" s="36"/>
      <c r="AA2024" s="36"/>
      <c r="AB2024" s="36"/>
      <c r="AC2024" s="36"/>
    </row>
    <row r="2025" ht="15.75" customHeight="1">
      <c r="A2025" s="423">
        <v>44064.0</v>
      </c>
      <c r="B2025" s="424">
        <v>14.8992</v>
      </c>
      <c r="C2025" s="426">
        <v>19.3754</v>
      </c>
      <c r="D2025" s="426">
        <v>23.0531</v>
      </c>
      <c r="E2025" s="425">
        <v>16.525</v>
      </c>
      <c r="F2025" s="425">
        <v>18.1949</v>
      </c>
      <c r="G2025" s="425">
        <v>15.7428</v>
      </c>
      <c r="H2025" s="426">
        <v>28.7799</v>
      </c>
      <c r="I2025" s="426">
        <v>23.3227</v>
      </c>
      <c r="J2025" s="426">
        <v>22.0025</v>
      </c>
      <c r="K2025" s="182">
        <v>11371.6</v>
      </c>
      <c r="L2025" s="36"/>
      <c r="M2025" s="36"/>
      <c r="N2025" s="36"/>
      <c r="O2025" s="36"/>
      <c r="P2025" s="36"/>
      <c r="Q2025" s="36"/>
      <c r="R2025" s="36"/>
      <c r="S2025" s="36"/>
      <c r="T2025" s="36"/>
      <c r="U2025" s="36"/>
      <c r="V2025" s="36"/>
      <c r="W2025" s="36"/>
      <c r="X2025" s="36"/>
      <c r="Y2025" s="36"/>
      <c r="Z2025" s="36"/>
      <c r="AA2025" s="36"/>
      <c r="AB2025" s="36"/>
      <c r="AC2025" s="36"/>
    </row>
    <row r="2026" ht="15.75" customHeight="1">
      <c r="A2026" s="423">
        <v>44067.0</v>
      </c>
      <c r="B2026" s="424">
        <v>15.0149</v>
      </c>
      <c r="C2026" s="426">
        <v>19.3538</v>
      </c>
      <c r="D2026" s="426">
        <v>22.9528</v>
      </c>
      <c r="E2026" s="425">
        <v>16.4543</v>
      </c>
      <c r="F2026" s="425">
        <v>18.3399</v>
      </c>
      <c r="G2026" s="425">
        <v>15.7067</v>
      </c>
      <c r="H2026" s="426">
        <v>29.0013</v>
      </c>
      <c r="I2026" s="426">
        <v>23.5031</v>
      </c>
      <c r="J2026" s="426">
        <v>22.075</v>
      </c>
      <c r="K2026" s="182">
        <v>11466.45</v>
      </c>
      <c r="L2026" s="36"/>
      <c r="M2026" s="36"/>
      <c r="N2026" s="36"/>
      <c r="O2026" s="36"/>
      <c r="P2026" s="36"/>
      <c r="Q2026" s="36"/>
      <c r="R2026" s="36"/>
      <c r="S2026" s="36"/>
      <c r="T2026" s="36"/>
      <c r="U2026" s="36"/>
      <c r="V2026" s="36"/>
      <c r="W2026" s="36"/>
      <c r="X2026" s="36"/>
      <c r="Y2026" s="36"/>
      <c r="Z2026" s="36"/>
      <c r="AA2026" s="36"/>
      <c r="AB2026" s="36"/>
      <c r="AC2026" s="36"/>
    </row>
    <row r="2027" ht="15.75" customHeight="1">
      <c r="A2027" s="423">
        <v>44068.0</v>
      </c>
      <c r="B2027" s="424">
        <v>15.0324</v>
      </c>
      <c r="C2027" s="426">
        <v>19.3683</v>
      </c>
      <c r="D2027" s="426">
        <v>22.9933</v>
      </c>
      <c r="E2027" s="425">
        <v>16.4823</v>
      </c>
      <c r="F2027" s="425">
        <v>18.3726</v>
      </c>
      <c r="G2027" s="425">
        <v>15.728</v>
      </c>
      <c r="H2027" s="426">
        <v>29.0704</v>
      </c>
      <c r="I2027" s="426">
        <v>23.5397</v>
      </c>
      <c r="J2027" s="426">
        <v>22.1038</v>
      </c>
      <c r="K2027" s="182">
        <v>11472.25</v>
      </c>
      <c r="L2027" s="36"/>
      <c r="M2027" s="36"/>
      <c r="N2027" s="36"/>
      <c r="O2027" s="36"/>
      <c r="P2027" s="36"/>
      <c r="Q2027" s="36"/>
      <c r="R2027" s="36"/>
      <c r="S2027" s="36"/>
      <c r="T2027" s="36"/>
      <c r="U2027" s="36"/>
      <c r="V2027" s="36"/>
      <c r="W2027" s="36"/>
      <c r="X2027" s="36"/>
      <c r="Y2027" s="36"/>
      <c r="Z2027" s="36"/>
      <c r="AA2027" s="36"/>
      <c r="AB2027" s="36"/>
      <c r="AC2027" s="36"/>
    </row>
    <row r="2028" ht="15.75" customHeight="1">
      <c r="A2028" s="423">
        <v>44069.0</v>
      </c>
      <c r="B2028" s="424">
        <v>15.1207</v>
      </c>
      <c r="C2028" s="426">
        <v>19.3547</v>
      </c>
      <c r="D2028" s="426">
        <v>22.9622</v>
      </c>
      <c r="E2028" s="425">
        <v>16.4564</v>
      </c>
      <c r="F2028" s="425">
        <v>18.4709</v>
      </c>
      <c r="G2028" s="425">
        <v>15.7093</v>
      </c>
      <c r="H2028" s="426">
        <v>29.2205</v>
      </c>
      <c r="I2028" s="426">
        <v>23.6641</v>
      </c>
      <c r="J2028" s="426">
        <v>22.1696</v>
      </c>
      <c r="K2028" s="182">
        <v>11549.6</v>
      </c>
      <c r="L2028" s="36"/>
      <c r="M2028" s="36"/>
      <c r="N2028" s="36"/>
      <c r="O2028" s="36"/>
      <c r="P2028" s="36"/>
      <c r="Q2028" s="36"/>
      <c r="R2028" s="36"/>
      <c r="S2028" s="36"/>
      <c r="T2028" s="36"/>
      <c r="U2028" s="36"/>
      <c r="V2028" s="36"/>
      <c r="W2028" s="36"/>
      <c r="X2028" s="36"/>
      <c r="Y2028" s="36"/>
      <c r="Z2028" s="36"/>
      <c r="AA2028" s="36"/>
      <c r="AB2028" s="36"/>
      <c r="AC2028" s="36"/>
    </row>
    <row r="2029" ht="15.75" customHeight="1">
      <c r="A2029" s="423">
        <v>44070.0</v>
      </c>
      <c r="B2029" s="424">
        <v>15.1174</v>
      </c>
      <c r="C2029" s="426">
        <v>19.3542</v>
      </c>
      <c r="D2029" s="426">
        <v>22.9687</v>
      </c>
      <c r="E2029" s="425">
        <v>16.4633</v>
      </c>
      <c r="F2029" s="425">
        <v>18.4906</v>
      </c>
      <c r="G2029" s="425">
        <v>15.7084</v>
      </c>
      <c r="H2029" s="426">
        <v>29.2809</v>
      </c>
      <c r="I2029" s="426">
        <v>23.6636</v>
      </c>
      <c r="J2029" s="426">
        <v>22.1696</v>
      </c>
      <c r="K2029" s="182">
        <v>11559.25</v>
      </c>
      <c r="L2029" s="36"/>
      <c r="M2029" s="36"/>
      <c r="N2029" s="36"/>
      <c r="O2029" s="36"/>
      <c r="P2029" s="36"/>
      <c r="Q2029" s="36"/>
      <c r="R2029" s="36"/>
      <c r="S2029" s="36"/>
      <c r="T2029" s="36"/>
      <c r="U2029" s="36"/>
      <c r="V2029" s="36"/>
      <c r="W2029" s="36"/>
      <c r="X2029" s="36"/>
      <c r="Y2029" s="36"/>
      <c r="Z2029" s="36"/>
      <c r="AA2029" s="36"/>
      <c r="AB2029" s="36"/>
      <c r="AC2029" s="36"/>
    </row>
    <row r="2030" ht="15.75" customHeight="1">
      <c r="A2030" s="423">
        <v>44071.0</v>
      </c>
      <c r="B2030" s="424">
        <v>15.2594</v>
      </c>
      <c r="C2030" s="426">
        <v>19.347</v>
      </c>
      <c r="D2030" s="426">
        <v>22.941</v>
      </c>
      <c r="E2030" s="425">
        <v>16.4459</v>
      </c>
      <c r="F2030" s="425">
        <v>18.6595</v>
      </c>
      <c r="G2030" s="425">
        <v>15.6966</v>
      </c>
      <c r="H2030" s="426">
        <v>29.4244</v>
      </c>
      <c r="I2030" s="426">
        <v>23.8438</v>
      </c>
      <c r="J2030" s="426">
        <v>22.2748</v>
      </c>
      <c r="K2030" s="182">
        <v>11647.6</v>
      </c>
      <c r="L2030" s="36"/>
      <c r="M2030" s="36"/>
      <c r="N2030" s="36"/>
      <c r="O2030" s="36"/>
      <c r="P2030" s="36"/>
      <c r="Q2030" s="36"/>
      <c r="R2030" s="36"/>
      <c r="S2030" s="36"/>
      <c r="T2030" s="36"/>
      <c r="U2030" s="36"/>
      <c r="V2030" s="36"/>
      <c r="W2030" s="36"/>
      <c r="X2030" s="36"/>
      <c r="Y2030" s="36"/>
      <c r="Z2030" s="36"/>
      <c r="AA2030" s="36"/>
      <c r="AB2030" s="36"/>
      <c r="AC2030" s="36"/>
    </row>
    <row r="2031" ht="15.75" customHeight="1">
      <c r="A2031" s="423">
        <v>44074.0</v>
      </c>
      <c r="B2031" s="424">
        <v>14.9216</v>
      </c>
      <c r="C2031" s="426">
        <v>19.3858</v>
      </c>
      <c r="D2031" s="426">
        <v>23.0354</v>
      </c>
      <c r="E2031" s="425">
        <v>16.5098</v>
      </c>
      <c r="F2031" s="425">
        <v>18.1862</v>
      </c>
      <c r="G2031" s="425">
        <v>15.7419</v>
      </c>
      <c r="H2031" s="426">
        <v>28.3202</v>
      </c>
      <c r="I2031" s="426">
        <v>23.2897</v>
      </c>
      <c r="J2031" s="426">
        <v>21.9784</v>
      </c>
      <c r="K2031" s="182">
        <v>11387.5</v>
      </c>
      <c r="L2031" s="36"/>
      <c r="M2031" s="36"/>
      <c r="N2031" s="36"/>
      <c r="O2031" s="36"/>
      <c r="P2031" s="36"/>
      <c r="Q2031" s="36"/>
      <c r="R2031" s="36"/>
      <c r="S2031" s="36"/>
      <c r="T2031" s="36"/>
      <c r="U2031" s="36"/>
      <c r="V2031" s="36"/>
      <c r="W2031" s="36"/>
      <c r="X2031" s="36"/>
      <c r="Y2031" s="36"/>
      <c r="Z2031" s="36"/>
      <c r="AA2031" s="36"/>
      <c r="AB2031" s="36"/>
      <c r="AC2031" s="36"/>
    </row>
    <row r="2032" ht="15.75" customHeight="1">
      <c r="A2032" s="423">
        <v>44075.0</v>
      </c>
      <c r="B2032" s="424">
        <v>15.0313</v>
      </c>
      <c r="C2032" s="426">
        <v>19.406</v>
      </c>
      <c r="D2032" s="426">
        <v>23.2663</v>
      </c>
      <c r="E2032" s="425">
        <v>16.6765</v>
      </c>
      <c r="F2032" s="425">
        <v>18.3154</v>
      </c>
      <c r="G2032" s="425">
        <v>15.8276</v>
      </c>
      <c r="H2032" s="426">
        <v>28.5248</v>
      </c>
      <c r="I2032" s="426">
        <v>23.4505</v>
      </c>
      <c r="J2032" s="426">
        <v>22.1629</v>
      </c>
      <c r="K2032" s="182">
        <v>11470.25</v>
      </c>
      <c r="L2032" s="36"/>
      <c r="M2032" s="36"/>
      <c r="N2032" s="36"/>
      <c r="O2032" s="36"/>
      <c r="P2032" s="36"/>
      <c r="Q2032" s="36"/>
      <c r="R2032" s="36"/>
      <c r="S2032" s="36"/>
      <c r="T2032" s="36"/>
      <c r="U2032" s="36"/>
      <c r="V2032" s="36"/>
      <c r="W2032" s="36"/>
      <c r="X2032" s="36"/>
      <c r="Y2032" s="36"/>
      <c r="Z2032" s="36"/>
      <c r="AA2032" s="36"/>
      <c r="AB2032" s="36"/>
      <c r="AC2032" s="36"/>
    </row>
    <row r="2033" ht="15.75" customHeight="1">
      <c r="A2033" s="423">
        <v>44076.0</v>
      </c>
      <c r="B2033" s="424">
        <v>15.1232</v>
      </c>
      <c r="C2033" s="426">
        <v>19.405</v>
      </c>
      <c r="D2033" s="426">
        <v>23.2821</v>
      </c>
      <c r="E2033" s="425">
        <v>16.6922</v>
      </c>
      <c r="F2033" s="425">
        <v>18.447</v>
      </c>
      <c r="G2033" s="425">
        <v>15.8347</v>
      </c>
      <c r="H2033" s="426">
        <v>28.9213</v>
      </c>
      <c r="I2033" s="426">
        <v>23.6211</v>
      </c>
      <c r="J2033" s="426">
        <v>22.274</v>
      </c>
      <c r="K2033" s="182">
        <v>11535.0</v>
      </c>
      <c r="L2033" s="36"/>
      <c r="M2033" s="36"/>
      <c r="N2033" s="36"/>
      <c r="O2033" s="36"/>
      <c r="P2033" s="36"/>
      <c r="Q2033" s="36"/>
      <c r="R2033" s="36"/>
      <c r="S2033" s="36"/>
      <c r="T2033" s="36"/>
      <c r="U2033" s="36"/>
      <c r="V2033" s="36"/>
      <c r="W2033" s="36"/>
      <c r="X2033" s="36"/>
      <c r="Y2033" s="36"/>
      <c r="Z2033" s="36"/>
      <c r="AA2033" s="36"/>
      <c r="AB2033" s="36"/>
      <c r="AC2033" s="36"/>
    </row>
    <row r="2034" ht="15.75" customHeight="1">
      <c r="A2034" s="423">
        <v>44077.0</v>
      </c>
      <c r="B2034" s="424">
        <v>15.1021</v>
      </c>
      <c r="C2034" s="426">
        <v>19.4208</v>
      </c>
      <c r="D2034" s="426">
        <v>23.3462</v>
      </c>
      <c r="E2034" s="425">
        <v>16.736</v>
      </c>
      <c r="F2034" s="425">
        <v>18.4386</v>
      </c>
      <c r="G2034" s="425">
        <v>15.8548</v>
      </c>
      <c r="H2034" s="426">
        <v>28.9945</v>
      </c>
      <c r="I2034" s="426">
        <v>23.6064</v>
      </c>
      <c r="J2034" s="426">
        <v>22.284</v>
      </c>
      <c r="K2034" s="182">
        <v>11527.45</v>
      </c>
      <c r="L2034" s="36"/>
      <c r="M2034" s="36"/>
      <c r="N2034" s="36"/>
      <c r="O2034" s="36"/>
      <c r="P2034" s="36"/>
      <c r="Q2034" s="36"/>
      <c r="R2034" s="36"/>
      <c r="S2034" s="36"/>
      <c r="T2034" s="36"/>
      <c r="U2034" s="36"/>
      <c r="V2034" s="36"/>
      <c r="W2034" s="36"/>
      <c r="X2034" s="36"/>
      <c r="Y2034" s="36"/>
      <c r="Z2034" s="36"/>
      <c r="AA2034" s="36"/>
      <c r="AB2034" s="36"/>
      <c r="AC2034" s="36"/>
    </row>
    <row r="2035" ht="15.75" customHeight="1">
      <c r="A2035" s="423">
        <v>44078.0</v>
      </c>
      <c r="B2035" s="424">
        <v>14.8649</v>
      </c>
      <c r="C2035" s="426">
        <v>19.4218</v>
      </c>
      <c r="D2035" s="426">
        <v>23.3276</v>
      </c>
      <c r="E2035" s="425">
        <v>16.7203</v>
      </c>
      <c r="F2035" s="425">
        <v>18.1224</v>
      </c>
      <c r="G2035" s="425">
        <v>15.8476</v>
      </c>
      <c r="H2035" s="426">
        <v>28.571</v>
      </c>
      <c r="I2035" s="426">
        <v>23.2276</v>
      </c>
      <c r="J2035" s="426">
        <v>22.0455</v>
      </c>
      <c r="K2035" s="182">
        <v>11333.85</v>
      </c>
      <c r="L2035" s="36"/>
      <c r="M2035" s="36"/>
      <c r="N2035" s="36"/>
      <c r="O2035" s="36"/>
      <c r="P2035" s="36"/>
      <c r="Q2035" s="36"/>
      <c r="R2035" s="36"/>
      <c r="S2035" s="36"/>
      <c r="T2035" s="36"/>
      <c r="U2035" s="36"/>
      <c r="V2035" s="36"/>
      <c r="W2035" s="36"/>
      <c r="X2035" s="36"/>
      <c r="Y2035" s="36"/>
      <c r="Z2035" s="36"/>
      <c r="AA2035" s="36"/>
      <c r="AB2035" s="36"/>
      <c r="AC2035" s="36"/>
    </row>
    <row r="2036" ht="15.75" customHeight="1">
      <c r="A2036" s="423">
        <v>44081.0</v>
      </c>
      <c r="B2036" s="424">
        <v>14.8538</v>
      </c>
      <c r="C2036" s="426">
        <v>19.4127</v>
      </c>
      <c r="D2036" s="426">
        <v>23.2473</v>
      </c>
      <c r="E2036" s="425">
        <v>16.6655</v>
      </c>
      <c r="F2036" s="425">
        <v>18.11</v>
      </c>
      <c r="G2036" s="425">
        <v>15.8114</v>
      </c>
      <c r="H2036" s="426">
        <v>28.3433</v>
      </c>
      <c r="I2036" s="426">
        <v>23.2026</v>
      </c>
      <c r="J2036" s="426">
        <v>22.0083</v>
      </c>
      <c r="K2036" s="182">
        <v>11355.05</v>
      </c>
      <c r="L2036" s="36"/>
      <c r="M2036" s="36"/>
      <c r="N2036" s="36"/>
      <c r="O2036" s="36"/>
      <c r="P2036" s="36"/>
      <c r="Q2036" s="36"/>
      <c r="R2036" s="36"/>
      <c r="S2036" s="36"/>
      <c r="T2036" s="36"/>
      <c r="U2036" s="36"/>
      <c r="V2036" s="36"/>
      <c r="W2036" s="36"/>
      <c r="X2036" s="36"/>
      <c r="Y2036" s="36"/>
      <c r="Z2036" s="36"/>
      <c r="AA2036" s="36"/>
      <c r="AB2036" s="36"/>
      <c r="AC2036" s="36"/>
    </row>
    <row r="2037" ht="15.75" customHeight="1">
      <c r="A2037" s="423">
        <v>44082.0</v>
      </c>
      <c r="B2037" s="424">
        <v>14.7945</v>
      </c>
      <c r="C2037" s="426">
        <v>19.3705</v>
      </c>
      <c r="D2037" s="426">
        <v>23.1639</v>
      </c>
      <c r="E2037" s="425">
        <v>16.603</v>
      </c>
      <c r="F2037" s="425">
        <v>18.0481</v>
      </c>
      <c r="G2037" s="425">
        <v>15.7754</v>
      </c>
      <c r="H2037" s="426">
        <v>27.9979</v>
      </c>
      <c r="I2037" s="426">
        <v>23.1229</v>
      </c>
      <c r="J2037" s="426">
        <v>21.929</v>
      </c>
      <c r="K2037" s="182">
        <v>11317.35</v>
      </c>
      <c r="L2037" s="36"/>
      <c r="M2037" s="36"/>
      <c r="N2037" s="36"/>
      <c r="O2037" s="36"/>
      <c r="P2037" s="36"/>
      <c r="Q2037" s="36"/>
      <c r="R2037" s="36"/>
      <c r="S2037" s="36"/>
      <c r="T2037" s="36"/>
      <c r="U2037" s="36"/>
      <c r="V2037" s="36"/>
      <c r="W2037" s="36"/>
      <c r="X2037" s="36"/>
      <c r="Y2037" s="36"/>
      <c r="Z2037" s="36"/>
      <c r="AA2037" s="36"/>
      <c r="AB2037" s="36"/>
      <c r="AC2037" s="36"/>
    </row>
    <row r="2038" ht="15.75" customHeight="1">
      <c r="A2038" s="423">
        <v>44083.0</v>
      </c>
      <c r="B2038" s="424">
        <v>14.7292</v>
      </c>
      <c r="C2038" s="426">
        <v>19.3731</v>
      </c>
      <c r="D2038" s="426">
        <v>23.1924</v>
      </c>
      <c r="E2038" s="425">
        <v>16.6272</v>
      </c>
      <c r="F2038" s="425">
        <v>17.9756</v>
      </c>
      <c r="G2038" s="425">
        <v>15.7787</v>
      </c>
      <c r="H2038" s="426">
        <v>27.8559</v>
      </c>
      <c r="I2038" s="426">
        <v>23.0297</v>
      </c>
      <c r="J2038" s="426">
        <v>21.8796</v>
      </c>
      <c r="K2038" s="182">
        <v>11278.0</v>
      </c>
      <c r="L2038" s="36"/>
      <c r="M2038" s="36"/>
      <c r="N2038" s="36"/>
      <c r="O2038" s="36"/>
      <c r="P2038" s="36"/>
      <c r="Q2038" s="36"/>
      <c r="R2038" s="36"/>
      <c r="S2038" s="36"/>
      <c r="T2038" s="36"/>
      <c r="U2038" s="36"/>
      <c r="V2038" s="36"/>
      <c r="W2038" s="36"/>
      <c r="X2038" s="36"/>
      <c r="Y2038" s="36"/>
      <c r="Z2038" s="36"/>
      <c r="AA2038" s="36"/>
      <c r="AB2038" s="36"/>
      <c r="AC2038" s="36"/>
    </row>
    <row r="2039" ht="15.75" customHeight="1">
      <c r="A2039" s="423">
        <v>44084.0</v>
      </c>
      <c r="B2039" s="424">
        <v>14.8978</v>
      </c>
      <c r="C2039" s="426">
        <v>19.3742</v>
      </c>
      <c r="D2039" s="426">
        <v>23.1718</v>
      </c>
      <c r="E2039" s="425">
        <v>16.6138</v>
      </c>
      <c r="F2039" s="425">
        <v>18.1916</v>
      </c>
      <c r="G2039" s="425">
        <v>15.7584</v>
      </c>
      <c r="H2039" s="426">
        <v>28.1495</v>
      </c>
      <c r="I2039" s="426">
        <v>23.303</v>
      </c>
      <c r="J2039" s="426">
        <v>22.0335</v>
      </c>
      <c r="K2039" s="182">
        <v>11449.25</v>
      </c>
      <c r="L2039" s="36"/>
      <c r="M2039" s="36"/>
      <c r="N2039" s="36"/>
      <c r="O2039" s="36"/>
      <c r="P2039" s="36"/>
      <c r="Q2039" s="36"/>
      <c r="R2039" s="36"/>
      <c r="S2039" s="36"/>
      <c r="T2039" s="36"/>
      <c r="U2039" s="36"/>
      <c r="V2039" s="36"/>
      <c r="W2039" s="36"/>
      <c r="X2039" s="36"/>
      <c r="Y2039" s="36"/>
      <c r="Z2039" s="36"/>
      <c r="AA2039" s="36"/>
      <c r="AB2039" s="36"/>
      <c r="AC2039" s="36"/>
    </row>
    <row r="2040" ht="15.75" customHeight="1">
      <c r="A2040" s="423">
        <v>44085.0</v>
      </c>
      <c r="B2040" s="424">
        <v>14.9168</v>
      </c>
      <c r="C2040" s="426">
        <v>19.3637</v>
      </c>
      <c r="D2040" s="426">
        <v>23.1557</v>
      </c>
      <c r="E2040" s="425">
        <v>16.6007</v>
      </c>
      <c r="F2040" s="425">
        <v>18.2373</v>
      </c>
      <c r="G2040" s="425">
        <v>15.7543</v>
      </c>
      <c r="H2040" s="426">
        <v>28.2723</v>
      </c>
      <c r="I2040" s="426">
        <v>23.3568</v>
      </c>
      <c r="J2040" s="426">
        <v>22.0545</v>
      </c>
      <c r="K2040" s="182">
        <v>11464.45</v>
      </c>
      <c r="L2040" s="36"/>
      <c r="M2040" s="36"/>
      <c r="N2040" s="36"/>
      <c r="O2040" s="36"/>
      <c r="P2040" s="36"/>
      <c r="Q2040" s="36"/>
      <c r="R2040" s="36"/>
      <c r="S2040" s="36"/>
      <c r="T2040" s="36"/>
      <c r="U2040" s="36"/>
      <c r="V2040" s="36"/>
      <c r="W2040" s="36"/>
      <c r="X2040" s="36"/>
      <c r="Y2040" s="36"/>
      <c r="Z2040" s="36"/>
      <c r="AA2040" s="36"/>
      <c r="AB2040" s="36"/>
      <c r="AC2040" s="36"/>
    </row>
    <row r="2041" ht="15.75" customHeight="1">
      <c r="A2041" s="423">
        <v>44088.0</v>
      </c>
      <c r="B2041" s="424">
        <v>14.8614</v>
      </c>
      <c r="C2041" s="426">
        <v>19.3538</v>
      </c>
      <c r="D2041" s="426">
        <v>23.1649</v>
      </c>
      <c r="E2041" s="425">
        <v>16.6062</v>
      </c>
      <c r="F2041" s="425">
        <v>18.1963</v>
      </c>
      <c r="G2041" s="425">
        <v>15.7536</v>
      </c>
      <c r="H2041" s="426">
        <v>29.1051</v>
      </c>
      <c r="I2041" s="426">
        <v>23.2917</v>
      </c>
      <c r="J2041" s="426">
        <v>22.0334</v>
      </c>
      <c r="K2041" s="182">
        <v>11440.05</v>
      </c>
      <c r="L2041" s="36"/>
      <c r="M2041" s="36"/>
      <c r="N2041" s="36"/>
      <c r="O2041" s="36"/>
      <c r="P2041" s="36"/>
      <c r="Q2041" s="36"/>
      <c r="R2041" s="36"/>
      <c r="S2041" s="36"/>
      <c r="T2041" s="36"/>
      <c r="U2041" s="36"/>
      <c r="V2041" s="36"/>
      <c r="W2041" s="36"/>
      <c r="X2041" s="36"/>
      <c r="Y2041" s="36"/>
      <c r="Z2041" s="36"/>
      <c r="AA2041" s="36"/>
      <c r="AB2041" s="36"/>
      <c r="AC2041" s="36"/>
    </row>
    <row r="2042" ht="15.75" customHeight="1">
      <c r="A2042" s="423">
        <v>44089.0</v>
      </c>
      <c r="B2042" s="424">
        <v>14.975</v>
      </c>
      <c r="C2042" s="426">
        <v>19.3604</v>
      </c>
      <c r="D2042" s="426">
        <v>23.1456</v>
      </c>
      <c r="E2042" s="425">
        <v>16.5956</v>
      </c>
      <c r="F2042" s="425">
        <v>18.342</v>
      </c>
      <c r="G2042" s="425">
        <v>15.7409</v>
      </c>
      <c r="H2042" s="426">
        <v>29.4301</v>
      </c>
      <c r="I2042" s="426">
        <v>23.4735</v>
      </c>
      <c r="J2042" s="426">
        <v>22.1351</v>
      </c>
      <c r="K2042" s="182">
        <v>11521.8</v>
      </c>
      <c r="L2042" s="36"/>
      <c r="M2042" s="36"/>
      <c r="N2042" s="36"/>
      <c r="O2042" s="36"/>
      <c r="P2042" s="36"/>
      <c r="Q2042" s="36"/>
      <c r="R2042" s="36"/>
      <c r="S2042" s="36"/>
      <c r="T2042" s="36"/>
      <c r="U2042" s="36"/>
      <c r="V2042" s="36"/>
      <c r="W2042" s="36"/>
      <c r="X2042" s="36"/>
      <c r="Y2042" s="36"/>
      <c r="Z2042" s="36"/>
      <c r="AA2042" s="36"/>
      <c r="AB2042" s="36"/>
      <c r="AC2042" s="36"/>
    </row>
    <row r="2043" ht="15.75" customHeight="1">
      <c r="A2043" s="423">
        <v>44090.0</v>
      </c>
      <c r="B2043" s="424">
        <v>15.0926</v>
      </c>
      <c r="C2043" s="426">
        <v>19.3683</v>
      </c>
      <c r="D2043" s="426">
        <v>23.1504</v>
      </c>
      <c r="E2043" s="425">
        <v>16.6</v>
      </c>
      <c r="F2043" s="425">
        <v>18.4962</v>
      </c>
      <c r="G2043" s="425">
        <v>15.7446</v>
      </c>
      <c r="H2043" s="426">
        <v>29.5184</v>
      </c>
      <c r="I2043" s="426">
        <v>23.6652</v>
      </c>
      <c r="J2043" s="426">
        <v>22.2566</v>
      </c>
      <c r="K2043" s="182">
        <v>11604.55</v>
      </c>
      <c r="L2043" s="36"/>
      <c r="M2043" s="36"/>
      <c r="N2043" s="36"/>
      <c r="O2043" s="36"/>
      <c r="P2043" s="36"/>
      <c r="Q2043" s="36"/>
      <c r="R2043" s="36"/>
      <c r="S2043" s="36"/>
      <c r="T2043" s="36"/>
      <c r="U2043" s="36"/>
      <c r="V2043" s="36"/>
      <c r="W2043" s="36"/>
      <c r="X2043" s="36"/>
      <c r="Y2043" s="36"/>
      <c r="Z2043" s="36"/>
      <c r="AA2043" s="36"/>
      <c r="AB2043" s="36"/>
      <c r="AC2043" s="36"/>
    </row>
    <row r="2044" ht="15.75" customHeight="1">
      <c r="A2044" s="423">
        <v>44091.0</v>
      </c>
      <c r="B2044" s="424">
        <v>15.0828</v>
      </c>
      <c r="C2044" s="426">
        <v>19.3693</v>
      </c>
      <c r="D2044" s="426">
        <v>23.1451</v>
      </c>
      <c r="E2044" s="425">
        <v>16.5947</v>
      </c>
      <c r="F2044" s="425">
        <v>18.4635</v>
      </c>
      <c r="G2044" s="425">
        <v>15.7514</v>
      </c>
      <c r="H2044" s="426">
        <v>29.4937</v>
      </c>
      <c r="I2044" s="426">
        <v>23.5352</v>
      </c>
      <c r="J2044" s="426">
        <v>22.1605</v>
      </c>
      <c r="K2044" s="182">
        <v>11516.1</v>
      </c>
      <c r="L2044" s="36"/>
      <c r="M2044" s="36"/>
      <c r="N2044" s="36"/>
      <c r="O2044" s="36"/>
      <c r="P2044" s="36"/>
      <c r="Q2044" s="36"/>
      <c r="R2044" s="36"/>
      <c r="S2044" s="36"/>
      <c r="T2044" s="36"/>
      <c r="U2044" s="36"/>
      <c r="V2044" s="36"/>
      <c r="W2044" s="36"/>
      <c r="X2044" s="36"/>
      <c r="Y2044" s="36"/>
      <c r="Z2044" s="36"/>
      <c r="AA2044" s="36"/>
      <c r="AB2044" s="36"/>
      <c r="AC2044" s="36"/>
    </row>
    <row r="2045" ht="15.75" customHeight="1">
      <c r="A2045" s="423">
        <v>44092.0</v>
      </c>
      <c r="B2045" s="424">
        <v>15.0786</v>
      </c>
      <c r="C2045" s="426">
        <v>19.3726</v>
      </c>
      <c r="D2045" s="426">
        <v>23.1471</v>
      </c>
      <c r="E2045" s="425">
        <v>16.5935</v>
      </c>
      <c r="F2045" s="425">
        <v>18.4737</v>
      </c>
      <c r="G2045" s="425">
        <v>15.7484</v>
      </c>
      <c r="H2045" s="426">
        <v>29.4696</v>
      </c>
      <c r="I2045" s="426">
        <v>23.5459</v>
      </c>
      <c r="J2045" s="426">
        <v>22.1569</v>
      </c>
      <c r="K2045" s="182">
        <v>11504.95</v>
      </c>
      <c r="L2045" s="36"/>
      <c r="M2045" s="36"/>
      <c r="N2045" s="36"/>
      <c r="O2045" s="36"/>
      <c r="P2045" s="36"/>
      <c r="Q2045" s="36"/>
      <c r="R2045" s="36"/>
      <c r="S2045" s="36"/>
      <c r="T2045" s="36"/>
      <c r="U2045" s="36"/>
      <c r="V2045" s="36"/>
      <c r="W2045" s="36"/>
      <c r="X2045" s="36"/>
      <c r="Y2045" s="36"/>
      <c r="Z2045" s="36"/>
      <c r="AA2045" s="36"/>
      <c r="AB2045" s="36"/>
      <c r="AC2045" s="36"/>
    </row>
    <row r="2046" ht="15.75" customHeight="1">
      <c r="A2046" s="423">
        <v>44095.0</v>
      </c>
      <c r="B2046" s="424">
        <v>14.7133</v>
      </c>
      <c r="C2046" s="426">
        <v>19.3858</v>
      </c>
      <c r="D2046" s="426">
        <v>23.137</v>
      </c>
      <c r="E2046" s="425">
        <v>16.5869</v>
      </c>
      <c r="F2046" s="425">
        <v>18.0174</v>
      </c>
      <c r="G2046" s="425">
        <v>15.7556</v>
      </c>
      <c r="H2046" s="426">
        <v>28.6284</v>
      </c>
      <c r="I2046" s="426">
        <v>23.0003</v>
      </c>
      <c r="J2046" s="426">
        <v>21.8262</v>
      </c>
      <c r="K2046" s="182">
        <v>11250.55</v>
      </c>
      <c r="L2046" s="36"/>
      <c r="M2046" s="36"/>
      <c r="N2046" s="36"/>
      <c r="O2046" s="36"/>
      <c r="P2046" s="36"/>
      <c r="Q2046" s="36"/>
      <c r="R2046" s="36"/>
      <c r="S2046" s="36"/>
      <c r="T2046" s="36"/>
      <c r="U2046" s="36"/>
      <c r="V2046" s="36"/>
      <c r="W2046" s="36"/>
      <c r="X2046" s="36"/>
      <c r="Y2046" s="36"/>
      <c r="Z2046" s="36"/>
      <c r="AA2046" s="36"/>
      <c r="AB2046" s="36"/>
      <c r="AC2046" s="36"/>
    </row>
    <row r="2047" ht="15.75" customHeight="1">
      <c r="A2047" s="423">
        <v>44096.0</v>
      </c>
      <c r="B2047" s="424">
        <v>14.6048</v>
      </c>
      <c r="C2047" s="426">
        <v>19.399</v>
      </c>
      <c r="D2047" s="426">
        <v>23.1354</v>
      </c>
      <c r="E2047" s="425">
        <v>16.5858</v>
      </c>
      <c r="F2047" s="425">
        <v>17.8826</v>
      </c>
      <c r="G2047" s="425">
        <v>15.7597</v>
      </c>
      <c r="H2047" s="426">
        <v>28.2213</v>
      </c>
      <c r="I2047" s="426">
        <v>22.8393</v>
      </c>
      <c r="J2047" s="426">
        <v>21.7177</v>
      </c>
      <c r="K2047" s="182">
        <v>11153.65</v>
      </c>
      <c r="L2047" s="36"/>
      <c r="M2047" s="36"/>
      <c r="N2047" s="36"/>
      <c r="O2047" s="36"/>
      <c r="P2047" s="36"/>
      <c r="Q2047" s="36"/>
      <c r="R2047" s="36"/>
      <c r="S2047" s="36"/>
      <c r="T2047" s="36"/>
      <c r="U2047" s="36"/>
      <c r="V2047" s="36"/>
      <c r="W2047" s="36"/>
      <c r="X2047" s="36"/>
      <c r="Y2047" s="36"/>
      <c r="Z2047" s="36"/>
      <c r="AA2047" s="36"/>
      <c r="AB2047" s="36"/>
      <c r="AC2047" s="36"/>
    </row>
    <row r="2048" ht="15.75" customHeight="1">
      <c r="A2048" s="423">
        <v>44097.0</v>
      </c>
      <c r="B2048" s="424">
        <v>14.5748</v>
      </c>
      <c r="C2048" s="426">
        <v>19.3992</v>
      </c>
      <c r="D2048" s="426">
        <v>23.1285</v>
      </c>
      <c r="E2048" s="425">
        <v>16.581</v>
      </c>
      <c r="F2048" s="425">
        <v>17.8592</v>
      </c>
      <c r="G2048" s="425">
        <v>15.7585</v>
      </c>
      <c r="H2048" s="426">
        <v>28.209</v>
      </c>
      <c r="I2048" s="426">
        <v>22.8014</v>
      </c>
      <c r="J2048" s="426">
        <v>21.6939</v>
      </c>
      <c r="K2048" s="182">
        <v>11131.85</v>
      </c>
      <c r="L2048" s="36"/>
      <c r="M2048" s="36"/>
      <c r="N2048" s="36"/>
      <c r="O2048" s="36"/>
      <c r="P2048" s="36"/>
      <c r="Q2048" s="36"/>
      <c r="R2048" s="36"/>
      <c r="S2048" s="36"/>
      <c r="T2048" s="36"/>
      <c r="U2048" s="36"/>
      <c r="V2048" s="36"/>
      <c r="W2048" s="36"/>
      <c r="X2048" s="36"/>
      <c r="Y2048" s="36"/>
      <c r="Z2048" s="36"/>
      <c r="AA2048" s="36"/>
      <c r="AB2048" s="36"/>
      <c r="AC2048" s="36"/>
    </row>
    <row r="2049" ht="15.75" customHeight="1">
      <c r="A2049" s="423">
        <v>44098.0</v>
      </c>
      <c r="B2049" s="424">
        <v>14.1552</v>
      </c>
      <c r="C2049" s="426">
        <v>19.4002</v>
      </c>
      <c r="D2049" s="426">
        <v>23.1186</v>
      </c>
      <c r="E2049" s="425">
        <v>16.5738</v>
      </c>
      <c r="F2049" s="425">
        <v>17.3683</v>
      </c>
      <c r="G2049" s="425">
        <v>15.7604</v>
      </c>
      <c r="H2049" s="426">
        <v>27.5833</v>
      </c>
      <c r="I2049" s="426">
        <v>22.1664</v>
      </c>
      <c r="J2049" s="426">
        <v>21.3152</v>
      </c>
      <c r="K2049" s="182">
        <v>10805.55</v>
      </c>
      <c r="L2049" s="36"/>
      <c r="M2049" s="36"/>
      <c r="N2049" s="36"/>
      <c r="O2049" s="36"/>
      <c r="P2049" s="36"/>
      <c r="Q2049" s="36"/>
      <c r="R2049" s="36"/>
      <c r="S2049" s="36"/>
      <c r="T2049" s="36"/>
      <c r="U2049" s="36"/>
      <c r="V2049" s="36"/>
      <c r="W2049" s="36"/>
      <c r="X2049" s="36"/>
      <c r="Y2049" s="36"/>
      <c r="Z2049" s="36"/>
      <c r="AA2049" s="36"/>
      <c r="AB2049" s="36"/>
      <c r="AC2049" s="36"/>
    </row>
    <row r="2050" ht="15.75" customHeight="1">
      <c r="A2050" s="423">
        <v>44099.0</v>
      </c>
      <c r="B2050" s="424">
        <v>14.4996</v>
      </c>
      <c r="C2050" s="426">
        <v>19.4008</v>
      </c>
      <c r="D2050" s="426">
        <v>23.1068</v>
      </c>
      <c r="E2050" s="425">
        <v>16.5622</v>
      </c>
      <c r="F2050" s="425">
        <v>17.7799</v>
      </c>
      <c r="G2050" s="425">
        <v>15.755</v>
      </c>
      <c r="H2050" s="426">
        <v>28.1318</v>
      </c>
      <c r="I2050" s="426">
        <v>22.6858</v>
      </c>
      <c r="J2050" s="426">
        <v>21.6139</v>
      </c>
      <c r="K2050" s="182">
        <v>11050.25</v>
      </c>
      <c r="L2050" s="36"/>
      <c r="M2050" s="36"/>
      <c r="N2050" s="36"/>
      <c r="O2050" s="36"/>
      <c r="P2050" s="36"/>
      <c r="Q2050" s="36"/>
      <c r="R2050" s="36"/>
      <c r="S2050" s="36"/>
      <c r="T2050" s="36"/>
      <c r="U2050" s="36"/>
      <c r="V2050" s="36"/>
      <c r="W2050" s="36"/>
      <c r="X2050" s="36"/>
      <c r="Y2050" s="36"/>
      <c r="Z2050" s="36"/>
      <c r="AA2050" s="36"/>
      <c r="AB2050" s="36"/>
      <c r="AC2050" s="36"/>
    </row>
    <row r="2051" ht="15.75" customHeight="1">
      <c r="A2051" s="423">
        <v>44102.0</v>
      </c>
      <c r="B2051" s="424">
        <v>14.7421</v>
      </c>
      <c r="C2051" s="426">
        <v>19.4171</v>
      </c>
      <c r="D2051" s="426">
        <v>23.1117</v>
      </c>
      <c r="E2051" s="425">
        <v>16.5641</v>
      </c>
      <c r="F2051" s="425">
        <v>18.0784</v>
      </c>
      <c r="G2051" s="425">
        <v>15.7602</v>
      </c>
      <c r="H2051" s="426">
        <v>28.8481</v>
      </c>
      <c r="I2051" s="426">
        <v>23.0469</v>
      </c>
      <c r="J2051" s="426">
        <v>21.8244</v>
      </c>
      <c r="K2051" s="182">
        <v>11227.55</v>
      </c>
      <c r="L2051" s="36"/>
      <c r="M2051" s="36"/>
      <c r="N2051" s="36"/>
      <c r="O2051" s="36"/>
      <c r="P2051" s="36"/>
      <c r="Q2051" s="36"/>
      <c r="R2051" s="36"/>
      <c r="S2051" s="36"/>
      <c r="T2051" s="36"/>
      <c r="U2051" s="36"/>
      <c r="V2051" s="36"/>
      <c r="W2051" s="36"/>
      <c r="X2051" s="36"/>
      <c r="Y2051" s="36"/>
      <c r="Z2051" s="36"/>
      <c r="AA2051" s="36"/>
      <c r="AB2051" s="36"/>
      <c r="AC2051" s="36"/>
    </row>
    <row r="2052" ht="15.75" customHeight="1">
      <c r="A2052" s="423">
        <v>44103.0</v>
      </c>
      <c r="B2052" s="424">
        <v>14.696</v>
      </c>
      <c r="C2052" s="426">
        <v>19.4087</v>
      </c>
      <c r="D2052" s="426">
        <v>23.1039</v>
      </c>
      <c r="E2052" s="425">
        <v>16.5595</v>
      </c>
      <c r="F2052" s="425">
        <v>18.0234</v>
      </c>
      <c r="G2052" s="425">
        <v>15.7549</v>
      </c>
      <c r="H2052" s="426">
        <v>28.8577</v>
      </c>
      <c r="I2052" s="426">
        <v>22.9968</v>
      </c>
      <c r="J2052" s="426">
        <v>21.7939</v>
      </c>
      <c r="K2052" s="182">
        <v>11222.4</v>
      </c>
      <c r="L2052" s="36"/>
      <c r="M2052" s="36"/>
      <c r="N2052" s="36"/>
      <c r="O2052" s="36"/>
      <c r="P2052" s="36"/>
      <c r="Q2052" s="36"/>
      <c r="R2052" s="36"/>
      <c r="S2052" s="36"/>
      <c r="T2052" s="36"/>
      <c r="U2052" s="36"/>
      <c r="V2052" s="36"/>
      <c r="W2052" s="36"/>
      <c r="X2052" s="36"/>
      <c r="Y2052" s="36"/>
      <c r="Z2052" s="36"/>
      <c r="AA2052" s="36"/>
      <c r="AB2052" s="36"/>
      <c r="AC2052" s="36"/>
    </row>
    <row r="2053" ht="15.75" customHeight="1">
      <c r="A2053" s="423">
        <v>44104.0</v>
      </c>
      <c r="B2053" s="424">
        <v>14.7176</v>
      </c>
      <c r="C2053" s="426">
        <v>19.4174</v>
      </c>
      <c r="D2053" s="426">
        <v>23.1426</v>
      </c>
      <c r="E2053" s="425">
        <v>16.5892</v>
      </c>
      <c r="F2053" s="425">
        <v>18.068</v>
      </c>
      <c r="G2053" s="425">
        <v>15.7636</v>
      </c>
      <c r="H2053" s="426">
        <v>28.9144</v>
      </c>
      <c r="I2053" s="426">
        <v>23.0424</v>
      </c>
      <c r="J2053" s="426">
        <v>21.8375</v>
      </c>
      <c r="K2053" s="182">
        <v>11247.55</v>
      </c>
      <c r="L2053" s="36"/>
      <c r="M2053" s="36"/>
      <c r="N2053" s="36"/>
      <c r="O2053" s="36"/>
      <c r="P2053" s="36"/>
      <c r="Q2053" s="36"/>
      <c r="R2053" s="36"/>
      <c r="S2053" s="36"/>
      <c r="T2053" s="36"/>
      <c r="U2053" s="36"/>
      <c r="V2053" s="36"/>
      <c r="W2053" s="36"/>
      <c r="X2053" s="36"/>
      <c r="Y2053" s="36"/>
      <c r="Z2053" s="36"/>
      <c r="AA2053" s="36"/>
      <c r="AB2053" s="36"/>
      <c r="AC2053" s="36"/>
    </row>
    <row r="2054" ht="15.75" customHeight="1">
      <c r="A2054" s="423">
        <v>44105.0</v>
      </c>
      <c r="B2054" s="424">
        <v>14.9423</v>
      </c>
      <c r="C2054" s="426">
        <v>19.4341</v>
      </c>
      <c r="D2054" s="426">
        <v>23.1764</v>
      </c>
      <c r="E2054" s="425">
        <v>16.6161</v>
      </c>
      <c r="F2054" s="425">
        <v>18.3215</v>
      </c>
      <c r="G2054" s="425">
        <v>15.7815</v>
      </c>
      <c r="H2054" s="426">
        <v>29.1079</v>
      </c>
      <c r="I2054" s="426">
        <v>23.3527</v>
      </c>
      <c r="J2054" s="426">
        <v>22.0438</v>
      </c>
      <c r="K2054" s="182">
        <v>11416.95</v>
      </c>
      <c r="L2054" s="36"/>
      <c r="M2054" s="36"/>
      <c r="N2054" s="36"/>
      <c r="O2054" s="36"/>
      <c r="P2054" s="36"/>
      <c r="Q2054" s="36"/>
      <c r="R2054" s="36"/>
      <c r="S2054" s="36"/>
      <c r="T2054" s="36"/>
      <c r="U2054" s="36"/>
      <c r="V2054" s="36"/>
      <c r="W2054" s="36"/>
      <c r="X2054" s="36"/>
      <c r="Y2054" s="36"/>
      <c r="Z2054" s="36"/>
      <c r="AA2054" s="36"/>
      <c r="AB2054" s="36"/>
      <c r="AC2054" s="36"/>
    </row>
    <row r="2055" ht="15.75" customHeight="1">
      <c r="A2055" s="423">
        <v>44109.0</v>
      </c>
      <c r="B2055" s="424">
        <v>15.0474</v>
      </c>
      <c r="C2055" s="426">
        <v>19.4463</v>
      </c>
      <c r="D2055" s="426">
        <v>23.1927</v>
      </c>
      <c r="E2055" s="425">
        <v>16.6271</v>
      </c>
      <c r="F2055" s="425">
        <v>18.4521</v>
      </c>
      <c r="G2055" s="425">
        <v>15.7917</v>
      </c>
      <c r="H2055" s="426">
        <v>29.0395</v>
      </c>
      <c r="I2055" s="426">
        <v>23.5252</v>
      </c>
      <c r="J2055" s="426">
        <v>22.1512</v>
      </c>
      <c r="K2055" s="182">
        <v>11503.35</v>
      </c>
      <c r="L2055" s="36"/>
      <c r="M2055" s="36"/>
      <c r="N2055" s="36"/>
      <c r="O2055" s="36"/>
      <c r="P2055" s="36"/>
      <c r="Q2055" s="36"/>
      <c r="R2055" s="36"/>
      <c r="S2055" s="36"/>
      <c r="T2055" s="36"/>
      <c r="U2055" s="36"/>
      <c r="V2055" s="36"/>
      <c r="W2055" s="36"/>
      <c r="X2055" s="36"/>
      <c r="Y2055" s="36"/>
      <c r="Z2055" s="36"/>
      <c r="AA2055" s="36"/>
      <c r="AB2055" s="36"/>
      <c r="AC2055" s="36"/>
    </row>
    <row r="2056" ht="15.75" customHeight="1">
      <c r="A2056" s="423">
        <v>44110.0</v>
      </c>
      <c r="B2056" s="424">
        <v>15.1852</v>
      </c>
      <c r="C2056" s="426">
        <v>19.4339</v>
      </c>
      <c r="D2056" s="426">
        <v>23.1888</v>
      </c>
      <c r="E2056" s="425">
        <v>16.6211</v>
      </c>
      <c r="F2056" s="425">
        <v>18.6168</v>
      </c>
      <c r="G2056" s="425">
        <v>15.8018</v>
      </c>
      <c r="H2056" s="426">
        <v>29.2311</v>
      </c>
      <c r="I2056" s="426">
        <v>23.7299</v>
      </c>
      <c r="J2056" s="426">
        <v>22.283</v>
      </c>
      <c r="K2056" s="182">
        <v>11662.4</v>
      </c>
      <c r="L2056" s="36"/>
      <c r="M2056" s="36"/>
      <c r="N2056" s="36"/>
      <c r="O2056" s="36"/>
      <c r="P2056" s="36"/>
      <c r="Q2056" s="36"/>
      <c r="R2056" s="36"/>
      <c r="S2056" s="36"/>
      <c r="T2056" s="36"/>
      <c r="U2056" s="36"/>
      <c r="V2056" s="36"/>
      <c r="W2056" s="36"/>
      <c r="X2056" s="36"/>
      <c r="Y2056" s="36"/>
      <c r="Z2056" s="36"/>
      <c r="AA2056" s="36"/>
      <c r="AB2056" s="36"/>
      <c r="AC2056" s="36"/>
    </row>
    <row r="2057" ht="15.75" customHeight="1">
      <c r="A2057" s="423">
        <v>44111.0</v>
      </c>
      <c r="B2057" s="424">
        <v>15.254</v>
      </c>
      <c r="C2057" s="426">
        <v>19.4404</v>
      </c>
      <c r="D2057" s="426">
        <v>23.197</v>
      </c>
      <c r="E2057" s="425">
        <v>16.6272</v>
      </c>
      <c r="F2057" s="425">
        <v>18.7136</v>
      </c>
      <c r="G2057" s="425">
        <v>15.8064</v>
      </c>
      <c r="H2057" s="426">
        <v>29.0963</v>
      </c>
      <c r="I2057" s="426">
        <v>23.85</v>
      </c>
      <c r="J2057" s="426">
        <v>22.3582</v>
      </c>
      <c r="K2057" s="182">
        <v>11738.85</v>
      </c>
      <c r="L2057" s="36"/>
      <c r="M2057" s="36"/>
      <c r="N2057" s="36"/>
      <c r="O2057" s="36"/>
      <c r="P2057" s="36"/>
      <c r="Q2057" s="36"/>
      <c r="R2057" s="36"/>
      <c r="S2057" s="36"/>
      <c r="T2057" s="36"/>
      <c r="U2057" s="36"/>
      <c r="V2057" s="36"/>
      <c r="W2057" s="36"/>
      <c r="X2057" s="36"/>
      <c r="Y2057" s="36"/>
      <c r="Z2057" s="36"/>
      <c r="AA2057" s="36"/>
      <c r="AB2057" s="36"/>
      <c r="AC2057" s="36"/>
    </row>
    <row r="2058" ht="15.75" customHeight="1">
      <c r="A2058" s="423">
        <v>44112.0</v>
      </c>
      <c r="B2058" s="424">
        <v>15.3889</v>
      </c>
      <c r="C2058" s="426">
        <v>19.4567</v>
      </c>
      <c r="D2058" s="426">
        <v>23.2041</v>
      </c>
      <c r="E2058" s="425">
        <v>16.6316</v>
      </c>
      <c r="F2058" s="425">
        <v>18.8723</v>
      </c>
      <c r="G2058" s="425">
        <v>15.8118</v>
      </c>
      <c r="H2058" s="426">
        <v>29.1846</v>
      </c>
      <c r="I2058" s="426">
        <v>24.0544</v>
      </c>
      <c r="J2058" s="426">
        <v>22.4858</v>
      </c>
      <c r="K2058" s="182">
        <v>11834.6</v>
      </c>
      <c r="L2058" s="36"/>
      <c r="M2058" s="36"/>
      <c r="N2058" s="36"/>
      <c r="O2058" s="36"/>
      <c r="P2058" s="36"/>
      <c r="Q2058" s="36"/>
      <c r="R2058" s="36"/>
      <c r="S2058" s="36"/>
      <c r="T2058" s="36"/>
      <c r="U2058" s="36"/>
      <c r="V2058" s="36"/>
      <c r="W2058" s="36"/>
      <c r="X2058" s="36"/>
      <c r="Y2058" s="36"/>
      <c r="Z2058" s="36"/>
      <c r="AA2058" s="36"/>
      <c r="AB2058" s="36"/>
      <c r="AC2058" s="36"/>
    </row>
    <row r="2059" ht="15.75" customHeight="1">
      <c r="A2059" s="423">
        <v>44113.0</v>
      </c>
      <c r="B2059" s="424">
        <v>15.5065</v>
      </c>
      <c r="C2059" s="426">
        <v>19.4897</v>
      </c>
      <c r="D2059" s="426">
        <v>23.3503</v>
      </c>
      <c r="E2059" s="425">
        <v>16.7321</v>
      </c>
      <c r="F2059" s="425">
        <v>19.0175</v>
      </c>
      <c r="G2059" s="425">
        <v>15.8826</v>
      </c>
      <c r="H2059" s="426">
        <v>29.1323</v>
      </c>
      <c r="I2059" s="426">
        <v>24.2398</v>
      </c>
      <c r="J2059" s="426">
        <v>22.6491</v>
      </c>
      <c r="K2059" s="182">
        <v>11914.2</v>
      </c>
      <c r="L2059" s="36"/>
      <c r="M2059" s="36"/>
      <c r="N2059" s="36"/>
      <c r="O2059" s="36"/>
      <c r="P2059" s="36"/>
      <c r="Q2059" s="36"/>
      <c r="R2059" s="36"/>
      <c r="S2059" s="36"/>
      <c r="T2059" s="36"/>
      <c r="U2059" s="36"/>
      <c r="V2059" s="36"/>
      <c r="W2059" s="36"/>
      <c r="X2059" s="36"/>
      <c r="Y2059" s="36"/>
      <c r="Z2059" s="36"/>
      <c r="AA2059" s="36"/>
      <c r="AB2059" s="36"/>
      <c r="AC2059" s="36"/>
    </row>
    <row r="2060" ht="15.75" customHeight="1">
      <c r="A2060" s="423">
        <v>44116.0</v>
      </c>
      <c r="B2060" s="424">
        <v>15.5031</v>
      </c>
      <c r="C2060" s="426">
        <v>19.4964</v>
      </c>
      <c r="D2060" s="426">
        <v>23.3952</v>
      </c>
      <c r="E2060" s="425">
        <v>16.766</v>
      </c>
      <c r="F2060" s="425">
        <v>19.0083</v>
      </c>
      <c r="G2060" s="425">
        <v>15.8969</v>
      </c>
      <c r="H2060" s="426">
        <v>28.942</v>
      </c>
      <c r="I2060" s="426">
        <v>24.2349</v>
      </c>
      <c r="J2060" s="426">
        <v>22.6462</v>
      </c>
      <c r="K2060" s="182">
        <v>11930.95</v>
      </c>
      <c r="L2060" s="36"/>
      <c r="M2060" s="36"/>
      <c r="N2060" s="36"/>
      <c r="O2060" s="36"/>
      <c r="P2060" s="36"/>
      <c r="Q2060" s="36"/>
      <c r="R2060" s="36"/>
      <c r="S2060" s="36"/>
      <c r="T2060" s="36"/>
      <c r="U2060" s="36"/>
      <c r="V2060" s="36"/>
      <c r="W2060" s="36"/>
      <c r="X2060" s="36"/>
      <c r="Y2060" s="36"/>
      <c r="Z2060" s="36"/>
      <c r="AA2060" s="36"/>
      <c r="AB2060" s="36"/>
      <c r="AC2060" s="36"/>
    </row>
    <row r="2061" ht="15.75" customHeight="1">
      <c r="A2061" s="423">
        <v>44117.0</v>
      </c>
      <c r="B2061" s="424">
        <v>15.4995</v>
      </c>
      <c r="C2061" s="426">
        <v>19.5216</v>
      </c>
      <c r="D2061" s="426">
        <v>23.4081</v>
      </c>
      <c r="E2061" s="425">
        <v>16.7751</v>
      </c>
      <c r="F2061" s="425">
        <v>19.0137</v>
      </c>
      <c r="G2061" s="425">
        <v>15.9048</v>
      </c>
      <c r="H2061" s="426">
        <v>28.8093</v>
      </c>
      <c r="I2061" s="426">
        <v>24.2325</v>
      </c>
      <c r="J2061" s="426">
        <v>22.6411</v>
      </c>
      <c r="K2061" s="182">
        <v>11934.5</v>
      </c>
      <c r="L2061" s="36"/>
      <c r="M2061" s="36"/>
      <c r="N2061" s="36"/>
      <c r="O2061" s="36"/>
      <c r="P2061" s="36"/>
      <c r="Q2061" s="36"/>
      <c r="R2061" s="36"/>
      <c r="S2061" s="36"/>
      <c r="T2061" s="36"/>
      <c r="U2061" s="36"/>
      <c r="V2061" s="36"/>
      <c r="W2061" s="36"/>
      <c r="X2061" s="36"/>
      <c r="Y2061" s="36"/>
      <c r="Z2061" s="36"/>
      <c r="AA2061" s="36"/>
      <c r="AB2061" s="36"/>
      <c r="AC2061" s="36"/>
    </row>
    <row r="2062" ht="15.75" customHeight="1">
      <c r="A2062" s="423">
        <v>44118.0</v>
      </c>
      <c r="B2062" s="424">
        <v>15.5488</v>
      </c>
      <c r="C2062" s="426">
        <v>19.4895</v>
      </c>
      <c r="D2062" s="426">
        <v>23.4478</v>
      </c>
      <c r="E2062" s="425">
        <v>16.794</v>
      </c>
      <c r="F2062" s="425">
        <v>19.0903</v>
      </c>
      <c r="G2062" s="425">
        <v>15.9347</v>
      </c>
      <c r="H2062" s="426">
        <v>28.8057</v>
      </c>
      <c r="I2062" s="426">
        <v>24.3122</v>
      </c>
      <c r="J2062" s="426">
        <v>22.7013</v>
      </c>
      <c r="K2062" s="182">
        <v>11971.05</v>
      </c>
      <c r="L2062" s="36"/>
      <c r="M2062" s="36"/>
      <c r="N2062" s="36"/>
      <c r="O2062" s="36"/>
      <c r="P2062" s="36"/>
      <c r="Q2062" s="36"/>
      <c r="R2062" s="36"/>
      <c r="S2062" s="36"/>
      <c r="T2062" s="36"/>
      <c r="U2062" s="36"/>
      <c r="V2062" s="36"/>
      <c r="W2062" s="36"/>
      <c r="X2062" s="36"/>
      <c r="Y2062" s="36"/>
      <c r="Z2062" s="36"/>
      <c r="AA2062" s="36"/>
      <c r="AB2062" s="36"/>
      <c r="AC2062" s="36"/>
    </row>
    <row r="2063" ht="15.75" customHeight="1">
      <c r="A2063" s="423">
        <v>44119.0</v>
      </c>
      <c r="B2063" s="424">
        <v>15.1856</v>
      </c>
      <c r="C2063" s="426">
        <v>19.4927</v>
      </c>
      <c r="D2063" s="426">
        <v>23.4786</v>
      </c>
      <c r="E2063" s="425">
        <v>16.8167</v>
      </c>
      <c r="F2063" s="425">
        <v>18.6435</v>
      </c>
      <c r="G2063" s="425">
        <v>15.9504</v>
      </c>
      <c r="H2063" s="426">
        <v>28.4268</v>
      </c>
      <c r="I2063" s="426">
        <v>23.7483</v>
      </c>
      <c r="J2063" s="426">
        <v>22.3756</v>
      </c>
      <c r="K2063" s="182">
        <v>11680.35</v>
      </c>
      <c r="L2063" s="36"/>
      <c r="M2063" s="36"/>
      <c r="N2063" s="36"/>
      <c r="O2063" s="36"/>
      <c r="P2063" s="36"/>
      <c r="Q2063" s="36"/>
      <c r="R2063" s="36"/>
      <c r="S2063" s="36"/>
      <c r="T2063" s="36"/>
      <c r="U2063" s="36"/>
      <c r="V2063" s="36"/>
      <c r="W2063" s="36"/>
      <c r="X2063" s="36"/>
      <c r="Y2063" s="36"/>
      <c r="Z2063" s="36"/>
      <c r="AA2063" s="36"/>
      <c r="AB2063" s="36"/>
      <c r="AC2063" s="36"/>
    </row>
    <row r="2064" ht="15.75" customHeight="1">
      <c r="A2064" s="423">
        <v>44120.0</v>
      </c>
      <c r="B2064" s="424">
        <v>15.3081</v>
      </c>
      <c r="C2064" s="426">
        <v>19.5025</v>
      </c>
      <c r="D2064" s="426">
        <v>23.4305</v>
      </c>
      <c r="E2064" s="425">
        <v>16.7833</v>
      </c>
      <c r="F2064" s="425">
        <v>18.7955</v>
      </c>
      <c r="G2064" s="425">
        <v>15.9414</v>
      </c>
      <c r="H2064" s="426">
        <v>28.7245</v>
      </c>
      <c r="I2064" s="426">
        <v>23.951</v>
      </c>
      <c r="J2064" s="426">
        <v>22.4856</v>
      </c>
      <c r="K2064" s="182">
        <v>11762.45</v>
      </c>
      <c r="L2064" s="36"/>
      <c r="M2064" s="36"/>
      <c r="N2064" s="36"/>
      <c r="O2064" s="36"/>
      <c r="P2064" s="36"/>
      <c r="Q2064" s="36"/>
      <c r="R2064" s="36"/>
      <c r="S2064" s="36"/>
      <c r="T2064" s="36"/>
      <c r="U2064" s="36"/>
      <c r="V2064" s="36"/>
      <c r="W2064" s="36"/>
      <c r="X2064" s="36"/>
      <c r="Y2064" s="36"/>
      <c r="Z2064" s="36"/>
      <c r="AA2064" s="36"/>
      <c r="AB2064" s="36"/>
      <c r="AC2064" s="36"/>
    </row>
    <row r="2065" ht="15.75" customHeight="1">
      <c r="A2065" s="423">
        <v>44123.0</v>
      </c>
      <c r="B2065" s="424">
        <v>15.4403</v>
      </c>
      <c r="C2065" s="426">
        <v>19.4893</v>
      </c>
      <c r="D2065" s="426">
        <v>23.456</v>
      </c>
      <c r="E2065" s="425">
        <v>16.7997</v>
      </c>
      <c r="F2065" s="425">
        <v>18.9733</v>
      </c>
      <c r="G2065" s="425">
        <v>15.9547</v>
      </c>
      <c r="H2065" s="426">
        <v>28.934</v>
      </c>
      <c r="I2065" s="426">
        <v>24.1559</v>
      </c>
      <c r="J2065" s="426">
        <v>22.605</v>
      </c>
      <c r="K2065" s="182">
        <v>11873.05</v>
      </c>
      <c r="L2065" s="36"/>
      <c r="M2065" s="36"/>
      <c r="N2065" s="36"/>
      <c r="O2065" s="36"/>
      <c r="P2065" s="36"/>
      <c r="Q2065" s="36"/>
      <c r="R2065" s="36"/>
      <c r="S2065" s="36"/>
      <c r="T2065" s="36"/>
      <c r="U2065" s="36"/>
      <c r="V2065" s="36"/>
      <c r="W2065" s="36"/>
      <c r="X2065" s="36"/>
      <c r="Y2065" s="36"/>
      <c r="Z2065" s="36"/>
      <c r="AA2065" s="36"/>
      <c r="AB2065" s="36"/>
      <c r="AC2065" s="36"/>
    </row>
    <row r="2066" ht="15.75" customHeight="1">
      <c r="A2066" s="423">
        <v>44124.0</v>
      </c>
      <c r="B2066" s="424">
        <v>15.4867</v>
      </c>
      <c r="C2066" s="426">
        <v>19.5276</v>
      </c>
      <c r="D2066" s="426">
        <v>23.4794</v>
      </c>
      <c r="E2066" s="425">
        <v>16.816</v>
      </c>
      <c r="F2066" s="425">
        <v>19.0453</v>
      </c>
      <c r="G2066" s="425">
        <v>15.974</v>
      </c>
      <c r="H2066" s="426">
        <v>29.0309</v>
      </c>
      <c r="I2066" s="426">
        <v>24.2306</v>
      </c>
      <c r="J2066" s="426">
        <v>22.6624</v>
      </c>
      <c r="K2066" s="182">
        <v>11896.8</v>
      </c>
      <c r="L2066" s="36"/>
      <c r="M2066" s="36"/>
      <c r="N2066" s="36"/>
      <c r="O2066" s="36"/>
      <c r="P2066" s="36"/>
      <c r="Q2066" s="36"/>
      <c r="R2066" s="36"/>
      <c r="S2066" s="36"/>
      <c r="T2066" s="36"/>
      <c r="U2066" s="36"/>
      <c r="V2066" s="36"/>
      <c r="W2066" s="36"/>
      <c r="X2066" s="36"/>
      <c r="Y2066" s="36"/>
      <c r="Z2066" s="36"/>
      <c r="AA2066" s="36"/>
      <c r="AB2066" s="36"/>
      <c r="AC2066" s="36"/>
    </row>
    <row r="2067" ht="15.75" customHeight="1">
      <c r="A2067" s="423">
        <v>44125.0</v>
      </c>
      <c r="B2067" s="424">
        <v>15.5492</v>
      </c>
      <c r="C2067" s="426">
        <v>19.54</v>
      </c>
      <c r="D2067" s="426">
        <v>23.4931</v>
      </c>
      <c r="E2067" s="425">
        <v>16.8271</v>
      </c>
      <c r="F2067" s="425">
        <v>19.1212</v>
      </c>
      <c r="G2067" s="425">
        <v>15.9783</v>
      </c>
      <c r="H2067" s="426">
        <v>29.0774</v>
      </c>
      <c r="I2067" s="426">
        <v>24.3176</v>
      </c>
      <c r="J2067" s="426">
        <v>22.7158</v>
      </c>
      <c r="K2067" s="182">
        <v>11937.65</v>
      </c>
      <c r="L2067" s="36"/>
      <c r="M2067" s="36"/>
      <c r="N2067" s="36"/>
      <c r="O2067" s="36"/>
      <c r="P2067" s="36"/>
      <c r="Q2067" s="36"/>
      <c r="R2067" s="36"/>
      <c r="S2067" s="36"/>
      <c r="T2067" s="36"/>
      <c r="U2067" s="36"/>
      <c r="V2067" s="36"/>
      <c r="W2067" s="36"/>
      <c r="X2067" s="36"/>
      <c r="Y2067" s="36"/>
      <c r="Z2067" s="36"/>
      <c r="AA2067" s="36"/>
      <c r="AB2067" s="36"/>
      <c r="AC2067" s="36"/>
    </row>
    <row r="2068" ht="15.75" customHeight="1">
      <c r="A2068" s="423">
        <v>44126.0</v>
      </c>
      <c r="B2068" s="424">
        <v>15.5063</v>
      </c>
      <c r="C2068" s="426">
        <v>19.5219</v>
      </c>
      <c r="D2068" s="426">
        <v>23.4832</v>
      </c>
      <c r="E2068" s="425">
        <v>16.8196</v>
      </c>
      <c r="F2068" s="425">
        <v>19.0659</v>
      </c>
      <c r="G2068" s="425">
        <v>15.975</v>
      </c>
      <c r="H2068" s="426">
        <v>29.3035</v>
      </c>
      <c r="I2068" s="426">
        <v>24.2578</v>
      </c>
      <c r="J2068" s="426">
        <v>22.6684</v>
      </c>
      <c r="K2068" s="182">
        <v>11896.45</v>
      </c>
      <c r="L2068" s="36"/>
      <c r="M2068" s="36"/>
      <c r="N2068" s="36"/>
      <c r="O2068" s="36"/>
      <c r="P2068" s="36"/>
      <c r="Q2068" s="36"/>
      <c r="R2068" s="36"/>
      <c r="S2068" s="36"/>
      <c r="T2068" s="36"/>
      <c r="U2068" s="36"/>
      <c r="V2068" s="36"/>
      <c r="W2068" s="36"/>
      <c r="X2068" s="36"/>
      <c r="Y2068" s="36"/>
      <c r="Z2068" s="36"/>
      <c r="AA2068" s="36"/>
      <c r="AB2068" s="36"/>
      <c r="AC2068" s="36"/>
    </row>
    <row r="2069" ht="15.75" customHeight="1">
      <c r="A2069" s="423">
        <v>44127.0</v>
      </c>
      <c r="B2069" s="424">
        <v>15.5633</v>
      </c>
      <c r="C2069" s="426">
        <v>19.5249</v>
      </c>
      <c r="D2069" s="426">
        <v>23.556</v>
      </c>
      <c r="E2069" s="425">
        <v>16.872</v>
      </c>
      <c r="F2069" s="425">
        <v>19.1427</v>
      </c>
      <c r="G2069" s="425">
        <v>15.9923</v>
      </c>
      <c r="H2069" s="426">
        <v>29.4774</v>
      </c>
      <c r="I2069" s="426">
        <v>24.352</v>
      </c>
      <c r="J2069" s="426">
        <v>22.7492</v>
      </c>
      <c r="K2069" s="182">
        <v>11930.35</v>
      </c>
      <c r="L2069" s="36"/>
      <c r="M2069" s="36"/>
      <c r="N2069" s="36"/>
      <c r="O2069" s="36"/>
      <c r="P2069" s="36"/>
      <c r="Q2069" s="36"/>
      <c r="R2069" s="36"/>
      <c r="S2069" s="36"/>
      <c r="T2069" s="36"/>
      <c r="U2069" s="36"/>
      <c r="V2069" s="36"/>
      <c r="W2069" s="36"/>
      <c r="X2069" s="36"/>
      <c r="Y2069" s="36"/>
      <c r="Z2069" s="36"/>
      <c r="AA2069" s="36"/>
      <c r="AB2069" s="36"/>
      <c r="AC2069" s="36"/>
    </row>
    <row r="2070" ht="15.75" customHeight="1">
      <c r="A2070" s="423">
        <v>44130.0</v>
      </c>
      <c r="B2070" s="424">
        <v>15.3435</v>
      </c>
      <c r="C2070" s="426">
        <v>19.5308</v>
      </c>
      <c r="D2070" s="426">
        <v>23.5584</v>
      </c>
      <c r="E2070" s="425">
        <v>16.8733</v>
      </c>
      <c r="F2070" s="425">
        <v>18.8856</v>
      </c>
      <c r="G2070" s="425">
        <v>16.002</v>
      </c>
      <c r="H2070" s="426">
        <v>29.0441</v>
      </c>
      <c r="I2070" s="426">
        <v>24.026</v>
      </c>
      <c r="J2070" s="426">
        <v>22.5555</v>
      </c>
      <c r="K2070" s="182">
        <v>11767.75</v>
      </c>
      <c r="L2070" s="36"/>
      <c r="M2070" s="36"/>
      <c r="N2070" s="36"/>
      <c r="O2070" s="36"/>
      <c r="P2070" s="36"/>
      <c r="Q2070" s="36"/>
      <c r="R2070" s="36"/>
      <c r="S2070" s="36"/>
      <c r="T2070" s="36"/>
      <c r="U2070" s="36"/>
      <c r="V2070" s="36"/>
      <c r="W2070" s="36"/>
      <c r="X2070" s="36"/>
      <c r="Y2070" s="36"/>
      <c r="Z2070" s="36"/>
      <c r="AA2070" s="36"/>
      <c r="AB2070" s="36"/>
      <c r="AC2070" s="36"/>
    </row>
    <row r="2071" ht="15.75" customHeight="1">
      <c r="A2071" s="423">
        <v>44131.0</v>
      </c>
      <c r="B2071" s="424">
        <v>15.5612</v>
      </c>
      <c r="C2071" s="426">
        <v>19.5299</v>
      </c>
      <c r="D2071" s="426">
        <v>23.55</v>
      </c>
      <c r="E2071" s="425">
        <v>16.8674</v>
      </c>
      <c r="F2071" s="425">
        <v>19.1762</v>
      </c>
      <c r="G2071" s="425">
        <v>15.9936</v>
      </c>
      <c r="H2071" s="426">
        <v>29.4609</v>
      </c>
      <c r="I2071" s="426">
        <v>24.3567</v>
      </c>
      <c r="J2071" s="426">
        <v>22.7473</v>
      </c>
      <c r="K2071" s="182">
        <v>11889.4</v>
      </c>
      <c r="L2071" s="36"/>
      <c r="M2071" s="36"/>
      <c r="N2071" s="36"/>
      <c r="O2071" s="36"/>
      <c r="P2071" s="36"/>
      <c r="Q2071" s="36"/>
      <c r="R2071" s="36"/>
      <c r="S2071" s="36"/>
      <c r="T2071" s="36"/>
      <c r="U2071" s="36"/>
      <c r="V2071" s="36"/>
      <c r="W2071" s="36"/>
      <c r="X2071" s="36"/>
      <c r="Y2071" s="36"/>
      <c r="Z2071" s="36"/>
      <c r="AA2071" s="36"/>
      <c r="AB2071" s="36"/>
      <c r="AC2071" s="36"/>
    </row>
    <row r="2072" ht="15.75" customHeight="1">
      <c r="A2072" s="423">
        <v>44132.0</v>
      </c>
      <c r="B2072" s="424">
        <v>15.3971</v>
      </c>
      <c r="C2072" s="426">
        <v>19.5307</v>
      </c>
      <c r="D2072" s="426">
        <v>23.5351</v>
      </c>
      <c r="E2072" s="425">
        <v>16.8565</v>
      </c>
      <c r="F2072" s="425">
        <v>18.97</v>
      </c>
      <c r="G2072" s="425">
        <v>15.996</v>
      </c>
      <c r="H2072" s="426">
        <v>29.2104</v>
      </c>
      <c r="I2072" s="426">
        <v>24.0979</v>
      </c>
      <c r="J2072" s="426">
        <v>22.5813</v>
      </c>
      <c r="K2072" s="182">
        <v>11729.6</v>
      </c>
      <c r="L2072" s="36"/>
      <c r="M2072" s="36"/>
      <c r="N2072" s="36"/>
      <c r="O2072" s="36"/>
      <c r="P2072" s="36"/>
      <c r="Q2072" s="36"/>
      <c r="R2072" s="36"/>
      <c r="S2072" s="36"/>
      <c r="T2072" s="36"/>
      <c r="U2072" s="36"/>
      <c r="V2072" s="36"/>
      <c r="W2072" s="36"/>
      <c r="X2072" s="36"/>
      <c r="Y2072" s="36"/>
      <c r="Z2072" s="36"/>
      <c r="AA2072" s="36"/>
      <c r="AB2072" s="36"/>
      <c r="AC2072" s="36"/>
    </row>
    <row r="2073" ht="15.75" customHeight="1">
      <c r="A2073" s="423">
        <v>44133.0</v>
      </c>
      <c r="B2073" s="424">
        <v>15.3352</v>
      </c>
      <c r="C2073" s="426">
        <v>19.52</v>
      </c>
      <c r="D2073" s="426">
        <v>23.5589</v>
      </c>
      <c r="E2073" s="425">
        <v>16.8705</v>
      </c>
      <c r="F2073" s="425">
        <v>18.9079</v>
      </c>
      <c r="G2073" s="425">
        <v>15.9966</v>
      </c>
      <c r="H2073" s="426">
        <v>29.1248</v>
      </c>
      <c r="I2073" s="426">
        <v>24.0045</v>
      </c>
      <c r="J2073" s="426">
        <v>22.5188</v>
      </c>
      <c r="K2073" s="182">
        <v>11670.8</v>
      </c>
      <c r="L2073" s="36"/>
      <c r="M2073" s="36"/>
      <c r="N2073" s="36"/>
      <c r="O2073" s="36"/>
      <c r="P2073" s="36"/>
      <c r="Q2073" s="36"/>
      <c r="R2073" s="36"/>
      <c r="S2073" s="36"/>
      <c r="T2073" s="36"/>
      <c r="U2073" s="36"/>
      <c r="V2073" s="36"/>
      <c r="W2073" s="36"/>
      <c r="X2073" s="36"/>
      <c r="Y2073" s="36"/>
      <c r="Z2073" s="36"/>
      <c r="AA2073" s="36"/>
      <c r="AB2073" s="36"/>
      <c r="AC2073" s="36"/>
    </row>
    <row r="2074" ht="15.75" customHeight="1">
      <c r="A2074" s="423">
        <v>44134.0</v>
      </c>
      <c r="B2074" s="424">
        <v>15.2787</v>
      </c>
      <c r="C2074" s="426">
        <v>19.521</v>
      </c>
      <c r="D2074" s="426">
        <v>23.5599</v>
      </c>
      <c r="E2074" s="425">
        <v>16.8712</v>
      </c>
      <c r="F2074" s="425">
        <v>18.8056</v>
      </c>
      <c r="G2074" s="425">
        <v>15.9973</v>
      </c>
      <c r="H2074" s="426">
        <v>29.254</v>
      </c>
      <c r="I2074" s="426">
        <v>23.8937</v>
      </c>
      <c r="J2074" s="426">
        <v>22.465</v>
      </c>
      <c r="K2074" s="182">
        <v>11642.4</v>
      </c>
      <c r="L2074" s="36"/>
      <c r="M2074" s="36"/>
      <c r="N2074" s="36"/>
      <c r="O2074" s="36"/>
      <c r="P2074" s="36"/>
      <c r="Q2074" s="36"/>
      <c r="R2074" s="36"/>
      <c r="S2074" s="36"/>
      <c r="T2074" s="36"/>
      <c r="U2074" s="36"/>
      <c r="V2074" s="36"/>
      <c r="W2074" s="36"/>
      <c r="X2074" s="36"/>
      <c r="Y2074" s="36"/>
      <c r="Z2074" s="36"/>
      <c r="AA2074" s="36"/>
      <c r="AB2074" s="36"/>
      <c r="AC2074" s="36"/>
    </row>
    <row r="2075" ht="15.75" customHeight="1">
      <c r="A2075" s="423">
        <v>44137.0</v>
      </c>
      <c r="B2075" s="424">
        <v>15.3472</v>
      </c>
      <c r="C2075" s="426">
        <v>19.5265</v>
      </c>
      <c r="D2075" s="426">
        <v>23.5718</v>
      </c>
      <c r="E2075" s="425">
        <v>16.8793</v>
      </c>
      <c r="F2075" s="425">
        <v>18.9229</v>
      </c>
      <c r="G2075" s="425">
        <v>16.0036</v>
      </c>
      <c r="H2075" s="426">
        <v>29.3441</v>
      </c>
      <c r="I2075" s="426">
        <v>24.0032</v>
      </c>
      <c r="J2075" s="426">
        <v>22.5272</v>
      </c>
      <c r="K2075" s="182">
        <v>11669.15</v>
      </c>
      <c r="L2075" s="36"/>
      <c r="M2075" s="36"/>
      <c r="N2075" s="36"/>
      <c r="O2075" s="36"/>
      <c r="P2075" s="36"/>
      <c r="Q2075" s="36"/>
      <c r="R2075" s="36"/>
      <c r="S2075" s="36"/>
      <c r="T2075" s="36"/>
      <c r="U2075" s="36"/>
      <c r="V2075" s="36"/>
      <c r="W2075" s="36"/>
      <c r="X2075" s="36"/>
      <c r="Y2075" s="36"/>
      <c r="Z2075" s="36"/>
      <c r="AA2075" s="36"/>
      <c r="AB2075" s="36"/>
      <c r="AC2075" s="36"/>
    </row>
    <row r="2076" ht="15.75" customHeight="1">
      <c r="A2076" s="423">
        <v>44138.0</v>
      </c>
      <c r="B2076" s="424">
        <v>15.5094</v>
      </c>
      <c r="C2076" s="426">
        <v>19.5401</v>
      </c>
      <c r="D2076" s="426">
        <v>23.5504</v>
      </c>
      <c r="E2076" s="425">
        <v>16.8623</v>
      </c>
      <c r="F2076" s="425">
        <v>19.1253</v>
      </c>
      <c r="G2076" s="425">
        <v>16.0007</v>
      </c>
      <c r="H2076" s="426">
        <v>29.5691</v>
      </c>
      <c r="I2076" s="426">
        <v>24.2675</v>
      </c>
      <c r="J2076" s="426">
        <v>22.678</v>
      </c>
      <c r="K2076" s="182">
        <v>11813.5</v>
      </c>
      <c r="L2076" s="36"/>
      <c r="M2076" s="36"/>
      <c r="N2076" s="36"/>
      <c r="O2076" s="36"/>
      <c r="P2076" s="36"/>
      <c r="Q2076" s="36"/>
      <c r="R2076" s="36"/>
      <c r="S2076" s="36"/>
      <c r="T2076" s="36"/>
      <c r="U2076" s="36"/>
      <c r="V2076" s="36"/>
      <c r="W2076" s="36"/>
      <c r="X2076" s="36"/>
      <c r="Y2076" s="36"/>
      <c r="Z2076" s="36"/>
      <c r="AA2076" s="36"/>
      <c r="AB2076" s="36"/>
      <c r="AC2076" s="36"/>
    </row>
    <row r="2077" ht="15.75" customHeight="1">
      <c r="A2077" s="423">
        <v>44139.0</v>
      </c>
      <c r="B2077" s="424">
        <v>15.6468</v>
      </c>
      <c r="C2077" s="426">
        <v>19.5548</v>
      </c>
      <c r="D2077" s="426">
        <v>23.5605</v>
      </c>
      <c r="E2077" s="425">
        <v>16.871</v>
      </c>
      <c r="F2077" s="425">
        <v>19.2902</v>
      </c>
      <c r="G2077" s="425">
        <v>16.0038</v>
      </c>
      <c r="H2077" s="426">
        <v>29.7283</v>
      </c>
      <c r="I2077" s="426">
        <v>24.4952</v>
      </c>
      <c r="J2077" s="426">
        <v>22.8132</v>
      </c>
      <c r="K2077" s="182">
        <v>11908.5</v>
      </c>
      <c r="L2077" s="36"/>
      <c r="M2077" s="36"/>
      <c r="N2077" s="36"/>
      <c r="O2077" s="36"/>
      <c r="P2077" s="36"/>
      <c r="Q2077" s="36"/>
      <c r="R2077" s="36"/>
      <c r="S2077" s="36"/>
      <c r="T2077" s="36"/>
      <c r="U2077" s="36"/>
      <c r="V2077" s="36"/>
      <c r="W2077" s="36"/>
      <c r="X2077" s="36"/>
      <c r="Y2077" s="36"/>
      <c r="Z2077" s="36"/>
      <c r="AA2077" s="36"/>
      <c r="AB2077" s="36"/>
      <c r="AC2077" s="36"/>
    </row>
    <row r="2078" ht="15.75" customHeight="1">
      <c r="A2078" s="423">
        <v>44140.0</v>
      </c>
      <c r="B2078" s="424">
        <v>15.9188</v>
      </c>
      <c r="C2078" s="426">
        <v>19.5687</v>
      </c>
      <c r="D2078" s="426">
        <v>23.5898</v>
      </c>
      <c r="E2078" s="425">
        <v>16.8931</v>
      </c>
      <c r="F2078" s="425">
        <v>19.6017</v>
      </c>
      <c r="G2078" s="425">
        <v>16.0138</v>
      </c>
      <c r="H2078" s="426">
        <v>30.1957</v>
      </c>
      <c r="I2078" s="426">
        <v>24.8855</v>
      </c>
      <c r="J2078" s="426">
        <v>23.0624</v>
      </c>
      <c r="K2078" s="182">
        <v>12120.3</v>
      </c>
      <c r="L2078" s="36"/>
      <c r="M2078" s="36"/>
      <c r="N2078" s="36"/>
      <c r="O2078" s="36"/>
      <c r="P2078" s="36"/>
      <c r="Q2078" s="36"/>
      <c r="R2078" s="36"/>
      <c r="S2078" s="36"/>
      <c r="T2078" s="36"/>
      <c r="U2078" s="36"/>
      <c r="V2078" s="36"/>
      <c r="W2078" s="36"/>
      <c r="X2078" s="36"/>
      <c r="Y2078" s="36"/>
      <c r="Z2078" s="36"/>
      <c r="AA2078" s="36"/>
      <c r="AB2078" s="36"/>
      <c r="AC2078" s="36"/>
    </row>
    <row r="2079" ht="15.75" customHeight="1">
      <c r="A2079" s="423">
        <v>44141.0</v>
      </c>
      <c r="B2079" s="424">
        <v>16.0714</v>
      </c>
      <c r="C2079" s="426">
        <v>19.5719</v>
      </c>
      <c r="D2079" s="426">
        <v>23.6216</v>
      </c>
      <c r="E2079" s="425">
        <v>16.913</v>
      </c>
      <c r="F2079" s="425">
        <v>19.7691</v>
      </c>
      <c r="G2079" s="425">
        <v>16.0275</v>
      </c>
      <c r="H2079" s="426">
        <v>30.3065</v>
      </c>
      <c r="I2079" s="426">
        <v>25.1178</v>
      </c>
      <c r="J2079" s="426">
        <v>23.2147</v>
      </c>
      <c r="K2079" s="182">
        <v>12263.55</v>
      </c>
      <c r="L2079" s="36"/>
      <c r="M2079" s="36"/>
      <c r="N2079" s="36"/>
      <c r="O2079" s="36"/>
      <c r="P2079" s="36"/>
      <c r="Q2079" s="36"/>
      <c r="R2079" s="36"/>
      <c r="S2079" s="36"/>
      <c r="T2079" s="36"/>
      <c r="U2079" s="36"/>
      <c r="V2079" s="36"/>
      <c r="W2079" s="36"/>
      <c r="X2079" s="36"/>
      <c r="Y2079" s="36"/>
      <c r="Z2079" s="36"/>
      <c r="AA2079" s="36"/>
      <c r="AB2079" s="36"/>
      <c r="AC2079" s="36"/>
    </row>
    <row r="2080" ht="15.75" customHeight="1">
      <c r="A2080" s="423">
        <v>44144.0</v>
      </c>
      <c r="B2080" s="424">
        <v>16.3499</v>
      </c>
      <c r="C2080" s="426">
        <v>19.5752</v>
      </c>
      <c r="D2080" s="426">
        <v>23.613</v>
      </c>
      <c r="E2080" s="425">
        <v>16.9065</v>
      </c>
      <c r="F2080" s="425">
        <v>20.1168</v>
      </c>
      <c r="G2080" s="425">
        <v>16.0284</v>
      </c>
      <c r="H2080" s="426">
        <v>30.5835</v>
      </c>
      <c r="I2080" s="426">
        <v>25.5347</v>
      </c>
      <c r="J2080" s="426">
        <v>23.4743</v>
      </c>
      <c r="K2080" s="182">
        <v>12461.05</v>
      </c>
      <c r="L2080" s="36"/>
      <c r="M2080" s="36"/>
      <c r="N2080" s="36"/>
      <c r="O2080" s="36"/>
      <c r="P2080" s="36"/>
      <c r="Q2080" s="36"/>
      <c r="R2080" s="36"/>
      <c r="S2080" s="36"/>
      <c r="T2080" s="36"/>
      <c r="U2080" s="36"/>
      <c r="V2080" s="36"/>
      <c r="W2080" s="36"/>
      <c r="X2080" s="36"/>
      <c r="Y2080" s="36"/>
      <c r="Z2080" s="36"/>
      <c r="AA2080" s="36"/>
      <c r="AB2080" s="36"/>
      <c r="AC2080" s="36"/>
    </row>
    <row r="2081" ht="15.75" customHeight="1">
      <c r="A2081" s="423">
        <v>44145.0</v>
      </c>
      <c r="B2081" s="424">
        <v>16.5042</v>
      </c>
      <c r="C2081" s="426">
        <v>19.5771</v>
      </c>
      <c r="D2081" s="426">
        <v>23.5915</v>
      </c>
      <c r="E2081" s="425">
        <v>16.8899</v>
      </c>
      <c r="F2081" s="425">
        <v>20.2568</v>
      </c>
      <c r="G2081" s="425">
        <v>16.028</v>
      </c>
      <c r="H2081" s="426">
        <v>30.5724</v>
      </c>
      <c r="I2081" s="426">
        <v>25.7526</v>
      </c>
      <c r="J2081" s="426">
        <v>23.5828</v>
      </c>
      <c r="K2081" s="182">
        <v>12631.1</v>
      </c>
      <c r="L2081" s="36"/>
      <c r="M2081" s="36"/>
      <c r="N2081" s="36"/>
      <c r="O2081" s="36"/>
      <c r="P2081" s="36"/>
      <c r="Q2081" s="36"/>
      <c r="R2081" s="36"/>
      <c r="S2081" s="36"/>
      <c r="T2081" s="36"/>
      <c r="U2081" s="36"/>
      <c r="V2081" s="36"/>
      <c r="W2081" s="36"/>
      <c r="X2081" s="36"/>
      <c r="Y2081" s="36"/>
      <c r="Z2081" s="36"/>
      <c r="AA2081" s="36"/>
      <c r="AB2081" s="36"/>
      <c r="AC2081" s="36"/>
    </row>
    <row r="2082" ht="15.75" customHeight="1">
      <c r="A2082" s="423">
        <v>44146.0</v>
      </c>
      <c r="B2082" s="424">
        <v>16.6676</v>
      </c>
      <c r="C2082" s="426">
        <v>19.5795</v>
      </c>
      <c r="D2082" s="426">
        <v>23.5884</v>
      </c>
      <c r="E2082" s="425">
        <v>16.8898</v>
      </c>
      <c r="F2082" s="425">
        <v>20.4676</v>
      </c>
      <c r="G2082" s="425">
        <v>16.0345</v>
      </c>
      <c r="H2082" s="426">
        <v>30.6338</v>
      </c>
      <c r="I2082" s="426">
        <v>25.9972</v>
      </c>
      <c r="J2082" s="426">
        <v>23.726</v>
      </c>
      <c r="K2082" s="182">
        <v>12749.15</v>
      </c>
      <c r="L2082" s="36"/>
      <c r="M2082" s="36"/>
      <c r="N2082" s="36"/>
      <c r="O2082" s="36"/>
      <c r="P2082" s="36"/>
      <c r="Q2082" s="36"/>
      <c r="R2082" s="36"/>
      <c r="S2082" s="36"/>
      <c r="T2082" s="36"/>
      <c r="U2082" s="36"/>
      <c r="V2082" s="36"/>
      <c r="W2082" s="36"/>
      <c r="X2082" s="36"/>
      <c r="Y2082" s="36"/>
      <c r="Z2082" s="36"/>
      <c r="AA2082" s="36"/>
      <c r="AB2082" s="36"/>
      <c r="AC2082" s="36"/>
    </row>
    <row r="2083" ht="15.75" customHeight="1">
      <c r="A2083" s="423">
        <v>44147.0</v>
      </c>
      <c r="B2083" s="424">
        <v>16.5874</v>
      </c>
      <c r="C2083" s="426">
        <v>19.5884</v>
      </c>
      <c r="D2083" s="426">
        <v>23.5947</v>
      </c>
      <c r="E2083" s="425">
        <v>16.894</v>
      </c>
      <c r="F2083" s="425">
        <v>20.3742</v>
      </c>
      <c r="G2083" s="425">
        <v>16.0379</v>
      </c>
      <c r="H2083" s="426">
        <v>30.7597</v>
      </c>
      <c r="I2083" s="426">
        <v>25.8661</v>
      </c>
      <c r="J2083" s="426">
        <v>23.6693</v>
      </c>
      <c r="K2083" s="182">
        <v>12690.8</v>
      </c>
      <c r="L2083" s="36"/>
      <c r="M2083" s="36"/>
      <c r="N2083" s="36"/>
      <c r="O2083" s="36"/>
      <c r="P2083" s="36"/>
      <c r="Q2083" s="36"/>
      <c r="R2083" s="36"/>
      <c r="S2083" s="36"/>
      <c r="T2083" s="36"/>
      <c r="U2083" s="36"/>
      <c r="V2083" s="36"/>
      <c r="W2083" s="36"/>
      <c r="X2083" s="36"/>
      <c r="Y2083" s="36"/>
      <c r="Z2083" s="36"/>
      <c r="AA2083" s="36"/>
      <c r="AB2083" s="36"/>
      <c r="AC2083" s="36"/>
    </row>
    <row r="2084" ht="15.75" customHeight="1">
      <c r="A2084" s="423">
        <v>44148.0</v>
      </c>
      <c r="B2084" s="424">
        <v>16.6436</v>
      </c>
      <c r="C2084" s="426">
        <v>19.6017</v>
      </c>
      <c r="D2084" s="426">
        <v>23.6214</v>
      </c>
      <c r="E2084" s="425">
        <v>16.9134</v>
      </c>
      <c r="F2084" s="425">
        <v>20.4523</v>
      </c>
      <c r="G2084" s="425">
        <v>16.0428</v>
      </c>
      <c r="H2084" s="426">
        <v>30.9527</v>
      </c>
      <c r="I2084" s="426">
        <v>25.9614</v>
      </c>
      <c r="J2084" s="426">
        <v>23.7288</v>
      </c>
      <c r="K2084" s="182">
        <v>12719.95</v>
      </c>
      <c r="L2084" s="36"/>
      <c r="M2084" s="36"/>
      <c r="N2084" s="36"/>
      <c r="O2084" s="36"/>
      <c r="P2084" s="36"/>
      <c r="Q2084" s="36"/>
      <c r="R2084" s="36"/>
      <c r="S2084" s="36"/>
      <c r="T2084" s="36"/>
      <c r="U2084" s="36"/>
      <c r="V2084" s="36"/>
      <c r="W2084" s="36"/>
      <c r="X2084" s="36"/>
      <c r="Y2084" s="36"/>
      <c r="Z2084" s="36"/>
      <c r="AA2084" s="36"/>
      <c r="AB2084" s="36"/>
      <c r="AC2084" s="36"/>
    </row>
    <row r="2085" ht="15.75" customHeight="1">
      <c r="A2085" s="423">
        <v>44152.0</v>
      </c>
      <c r="B2085" s="424">
        <v>16.8262</v>
      </c>
      <c r="C2085" s="426">
        <v>19.6145</v>
      </c>
      <c r="D2085" s="426">
        <v>23.6412</v>
      </c>
      <c r="E2085" s="425">
        <v>16.9278</v>
      </c>
      <c r="F2085" s="425">
        <v>20.6675</v>
      </c>
      <c r="G2085" s="425">
        <v>16.0537</v>
      </c>
      <c r="H2085" s="426">
        <v>31.4269</v>
      </c>
      <c r="I2085" s="426">
        <v>26.2553</v>
      </c>
      <c r="J2085" s="426">
        <v>23.9201</v>
      </c>
      <c r="K2085" s="182">
        <v>12874.2</v>
      </c>
      <c r="L2085" s="36"/>
      <c r="M2085" s="36"/>
      <c r="N2085" s="36"/>
      <c r="O2085" s="36"/>
      <c r="P2085" s="36"/>
      <c r="Q2085" s="36"/>
      <c r="R2085" s="36"/>
      <c r="S2085" s="36"/>
      <c r="T2085" s="36"/>
      <c r="U2085" s="36"/>
      <c r="V2085" s="36"/>
      <c r="W2085" s="36"/>
      <c r="X2085" s="36"/>
      <c r="Y2085" s="36"/>
      <c r="Z2085" s="36"/>
      <c r="AA2085" s="36"/>
      <c r="AB2085" s="36"/>
      <c r="AC2085" s="36"/>
    </row>
    <row r="2086" ht="15.75" customHeight="1">
      <c r="A2086" s="423">
        <v>44153.0</v>
      </c>
      <c r="B2086" s="424">
        <v>16.9248</v>
      </c>
      <c r="C2086" s="426">
        <v>19.6401</v>
      </c>
      <c r="D2086" s="426">
        <v>23.6401</v>
      </c>
      <c r="E2086" s="425">
        <v>16.931</v>
      </c>
      <c r="F2086" s="425">
        <v>20.8004</v>
      </c>
      <c r="G2086" s="425">
        <v>16.0631</v>
      </c>
      <c r="H2086" s="426">
        <v>31.8359</v>
      </c>
      <c r="I2086" s="426">
        <v>26.4034</v>
      </c>
      <c r="J2086" s="426">
        <v>23.9968</v>
      </c>
      <c r="K2086" s="182">
        <v>12938.25</v>
      </c>
      <c r="L2086" s="36"/>
      <c r="M2086" s="36"/>
      <c r="N2086" s="36"/>
      <c r="O2086" s="36"/>
      <c r="P2086" s="36"/>
      <c r="Q2086" s="36"/>
      <c r="R2086" s="36"/>
      <c r="S2086" s="36"/>
      <c r="T2086" s="36"/>
      <c r="U2086" s="36"/>
      <c r="V2086" s="36"/>
      <c r="W2086" s="36"/>
      <c r="X2086" s="36"/>
      <c r="Y2086" s="36"/>
      <c r="Z2086" s="36"/>
      <c r="AA2086" s="36"/>
      <c r="AB2086" s="36"/>
      <c r="AC2086" s="36"/>
    </row>
    <row r="2087" ht="15.75" customHeight="1">
      <c r="A2087" s="423">
        <v>44154.0</v>
      </c>
      <c r="B2087" s="424">
        <v>16.719</v>
      </c>
      <c r="C2087" s="426">
        <v>19.6449</v>
      </c>
      <c r="D2087" s="426">
        <v>23.6497</v>
      </c>
      <c r="E2087" s="425">
        <v>16.9371</v>
      </c>
      <c r="F2087" s="425">
        <v>20.5328</v>
      </c>
      <c r="G2087" s="425">
        <v>16.0686</v>
      </c>
      <c r="H2087" s="426">
        <v>31.6927</v>
      </c>
      <c r="I2087" s="426">
        <v>26.0668</v>
      </c>
      <c r="J2087" s="426">
        <v>23.8106</v>
      </c>
      <c r="K2087" s="182">
        <v>12771.7</v>
      </c>
      <c r="L2087" s="36"/>
      <c r="M2087" s="36"/>
      <c r="N2087" s="36"/>
      <c r="O2087" s="36"/>
      <c r="P2087" s="36"/>
      <c r="Q2087" s="36"/>
      <c r="R2087" s="36"/>
      <c r="S2087" s="36"/>
      <c r="T2087" s="36"/>
      <c r="U2087" s="36"/>
      <c r="V2087" s="36"/>
      <c r="W2087" s="36"/>
      <c r="X2087" s="36"/>
      <c r="Y2087" s="36"/>
      <c r="Z2087" s="36"/>
      <c r="AA2087" s="36"/>
      <c r="AB2087" s="36"/>
      <c r="AC2087" s="36"/>
    </row>
    <row r="2088" ht="15.75" customHeight="1">
      <c r="A2088" s="423">
        <v>44155.0</v>
      </c>
      <c r="B2088" s="424">
        <v>16.8819</v>
      </c>
      <c r="C2088" s="426">
        <v>19.6489</v>
      </c>
      <c r="D2088" s="426">
        <v>23.6625</v>
      </c>
      <c r="E2088" s="425">
        <v>16.9445</v>
      </c>
      <c r="F2088" s="425">
        <v>20.7134</v>
      </c>
      <c r="G2088" s="425">
        <v>16.0754</v>
      </c>
      <c r="H2088" s="426">
        <v>31.9535</v>
      </c>
      <c r="I2088" s="426">
        <v>26.2754</v>
      </c>
      <c r="J2088" s="426">
        <v>23.9607</v>
      </c>
      <c r="K2088" s="182">
        <v>12859.05</v>
      </c>
      <c r="L2088" s="36"/>
      <c r="M2088" s="36"/>
      <c r="N2088" s="36"/>
      <c r="O2088" s="36"/>
      <c r="P2088" s="36"/>
      <c r="Q2088" s="36"/>
      <c r="R2088" s="36"/>
      <c r="S2088" s="36"/>
      <c r="T2088" s="36"/>
      <c r="U2088" s="36"/>
      <c r="V2088" s="36"/>
      <c r="W2088" s="36"/>
      <c r="X2088" s="36"/>
      <c r="Y2088" s="36"/>
      <c r="Z2088" s="36"/>
      <c r="AA2088" s="36"/>
      <c r="AB2088" s="36"/>
      <c r="AC2088" s="36"/>
    </row>
    <row r="2089" ht="15.75" customHeight="1">
      <c r="A2089" s="423">
        <v>44158.0</v>
      </c>
      <c r="B2089" s="424">
        <v>17.0146</v>
      </c>
      <c r="C2089" s="426">
        <v>19.655</v>
      </c>
      <c r="D2089" s="426">
        <v>23.6696</v>
      </c>
      <c r="E2089" s="425">
        <v>16.9475</v>
      </c>
      <c r="F2089" s="425">
        <v>20.828</v>
      </c>
      <c r="G2089" s="425">
        <v>16.0812</v>
      </c>
      <c r="H2089" s="426">
        <v>32.3324</v>
      </c>
      <c r="I2089" s="426">
        <v>26.4301</v>
      </c>
      <c r="J2089" s="426">
        <v>24.0806</v>
      </c>
      <c r="K2089" s="182">
        <v>12926.45</v>
      </c>
      <c r="L2089" s="36"/>
      <c r="M2089" s="36"/>
      <c r="N2089" s="36"/>
      <c r="O2089" s="36"/>
      <c r="P2089" s="36"/>
      <c r="Q2089" s="36"/>
      <c r="R2089" s="36"/>
      <c r="S2089" s="36"/>
      <c r="T2089" s="36"/>
      <c r="U2089" s="36"/>
      <c r="V2089" s="36"/>
      <c r="W2089" s="36"/>
      <c r="X2089" s="36"/>
      <c r="Y2089" s="36"/>
      <c r="Z2089" s="36"/>
      <c r="AA2089" s="36"/>
      <c r="AB2089" s="36"/>
      <c r="AC2089" s="36"/>
    </row>
    <row r="2090" ht="15.75" customHeight="1">
      <c r="A2090" s="423">
        <v>44159.0</v>
      </c>
      <c r="B2090" s="424">
        <v>17.2213</v>
      </c>
      <c r="C2090" s="426">
        <v>19.6475</v>
      </c>
      <c r="D2090" s="426">
        <v>23.6761</v>
      </c>
      <c r="E2090" s="425">
        <v>16.9523</v>
      </c>
      <c r="F2090" s="425">
        <v>21.073</v>
      </c>
      <c r="G2090" s="425">
        <v>16.083</v>
      </c>
      <c r="H2090" s="426">
        <v>32.5354</v>
      </c>
      <c r="I2090" s="426">
        <v>26.7469</v>
      </c>
      <c r="J2090" s="426">
        <v>24.2678</v>
      </c>
      <c r="K2090" s="182">
        <v>13055.15</v>
      </c>
      <c r="L2090" s="36"/>
      <c r="M2090" s="36"/>
      <c r="N2090" s="36"/>
      <c r="O2090" s="36"/>
      <c r="P2090" s="36"/>
      <c r="Q2090" s="36"/>
      <c r="R2090" s="36"/>
      <c r="S2090" s="36"/>
      <c r="T2090" s="36"/>
      <c r="U2090" s="36"/>
      <c r="V2090" s="36"/>
      <c r="W2090" s="36"/>
      <c r="X2090" s="36"/>
      <c r="Y2090" s="36"/>
      <c r="Z2090" s="36"/>
      <c r="AA2090" s="36"/>
      <c r="AB2090" s="36"/>
      <c r="AC2090" s="36"/>
    </row>
    <row r="2091" ht="15.75" customHeight="1">
      <c r="A2091" s="423">
        <v>44160.0</v>
      </c>
      <c r="B2091" s="424">
        <v>16.9586</v>
      </c>
      <c r="C2091" s="426">
        <v>19.6614</v>
      </c>
      <c r="D2091" s="426">
        <v>23.6895</v>
      </c>
      <c r="E2091" s="425">
        <v>16.9623</v>
      </c>
      <c r="F2091" s="425">
        <v>20.7364</v>
      </c>
      <c r="G2091" s="425">
        <v>16.0867</v>
      </c>
      <c r="H2091" s="426">
        <v>31.9732</v>
      </c>
      <c r="I2091" s="426">
        <v>26.3311</v>
      </c>
      <c r="J2091" s="426">
        <v>24.0233</v>
      </c>
      <c r="K2091" s="182">
        <v>12858.4</v>
      </c>
      <c r="L2091" s="36"/>
      <c r="M2091" s="36"/>
      <c r="N2091" s="36"/>
      <c r="O2091" s="36"/>
      <c r="P2091" s="36"/>
      <c r="Q2091" s="36"/>
      <c r="R2091" s="36"/>
      <c r="S2091" s="36"/>
      <c r="T2091" s="36"/>
      <c r="U2091" s="36"/>
      <c r="V2091" s="36"/>
      <c r="W2091" s="36"/>
      <c r="X2091" s="36"/>
      <c r="Y2091" s="36"/>
      <c r="Z2091" s="36"/>
      <c r="AA2091" s="36"/>
      <c r="AB2091" s="36"/>
      <c r="AC2091" s="36"/>
    </row>
    <row r="2092" ht="15.75" customHeight="1">
      <c r="A2092" s="423">
        <v>44161.0</v>
      </c>
      <c r="B2092" s="424">
        <v>17.1156</v>
      </c>
      <c r="C2092" s="426">
        <v>19.6732</v>
      </c>
      <c r="D2092" s="426">
        <v>23.715</v>
      </c>
      <c r="E2092" s="425">
        <v>16.9808</v>
      </c>
      <c r="F2092" s="425">
        <v>20.9179</v>
      </c>
      <c r="G2092" s="425">
        <v>16.0989</v>
      </c>
      <c r="H2092" s="426">
        <v>32.165</v>
      </c>
      <c r="I2092" s="426">
        <v>26.566</v>
      </c>
      <c r="J2092" s="426">
        <v>24.1862</v>
      </c>
      <c r="K2092" s="182">
        <v>12987.0</v>
      </c>
      <c r="L2092" s="36"/>
      <c r="M2092" s="36"/>
      <c r="N2092" s="36"/>
      <c r="O2092" s="36"/>
      <c r="P2092" s="36"/>
      <c r="Q2092" s="36"/>
      <c r="R2092" s="36"/>
      <c r="S2092" s="36"/>
      <c r="T2092" s="36"/>
      <c r="U2092" s="36"/>
      <c r="V2092" s="36"/>
      <c r="W2092" s="36"/>
      <c r="X2092" s="36"/>
      <c r="Y2092" s="36"/>
      <c r="Z2092" s="36"/>
      <c r="AA2092" s="36"/>
      <c r="AB2092" s="36"/>
      <c r="AC2092" s="36"/>
    </row>
    <row r="2093" ht="15.75" customHeight="1">
      <c r="A2093" s="423">
        <v>44162.0</v>
      </c>
      <c r="B2093" s="424">
        <v>17.0939</v>
      </c>
      <c r="C2093" s="426">
        <v>19.6841</v>
      </c>
      <c r="D2093" s="426">
        <v>23.6973</v>
      </c>
      <c r="E2093" s="425">
        <v>16.9664</v>
      </c>
      <c r="F2093" s="425">
        <v>20.8965</v>
      </c>
      <c r="G2093" s="425">
        <v>16.0981</v>
      </c>
      <c r="H2093" s="426">
        <v>32.984</v>
      </c>
      <c r="I2093" s="426">
        <v>26.5417</v>
      </c>
      <c r="J2093" s="426">
        <v>24.1803</v>
      </c>
      <c r="K2093" s="182">
        <v>12968.95</v>
      </c>
      <c r="L2093" s="36"/>
      <c r="M2093" s="36"/>
      <c r="N2093" s="36"/>
      <c r="O2093" s="36"/>
      <c r="P2093" s="36"/>
      <c r="Q2093" s="36"/>
      <c r="R2093" s="36"/>
      <c r="S2093" s="36"/>
      <c r="T2093" s="36"/>
      <c r="U2093" s="36"/>
      <c r="V2093" s="36"/>
      <c r="W2093" s="36"/>
      <c r="X2093" s="36"/>
      <c r="Y2093" s="36"/>
      <c r="Z2093" s="36"/>
      <c r="AA2093" s="36"/>
      <c r="AB2093" s="36"/>
      <c r="AC2093" s="36"/>
    </row>
    <row r="2094" ht="15.75" customHeight="1">
      <c r="A2094" s="423">
        <v>44166.0</v>
      </c>
      <c r="B2094" s="424">
        <v>17.2537</v>
      </c>
      <c r="C2094" s="426">
        <v>19.6908</v>
      </c>
      <c r="D2094" s="426">
        <v>23.6944</v>
      </c>
      <c r="E2094" s="425">
        <v>16.9651</v>
      </c>
      <c r="F2094" s="425">
        <v>21.0991</v>
      </c>
      <c r="G2094" s="425">
        <v>16.1046</v>
      </c>
      <c r="H2094" s="426">
        <v>33.2499</v>
      </c>
      <c r="I2094" s="426">
        <v>26.8108</v>
      </c>
      <c r="J2094" s="426">
        <v>24.329</v>
      </c>
      <c r="K2094" s="182">
        <v>13109.05</v>
      </c>
      <c r="L2094" s="36"/>
      <c r="M2094" s="36"/>
      <c r="N2094" s="36"/>
      <c r="O2094" s="36"/>
      <c r="P2094" s="36"/>
      <c r="Q2094" s="36"/>
      <c r="R2094" s="36"/>
      <c r="S2094" s="36"/>
      <c r="T2094" s="36"/>
      <c r="U2094" s="36"/>
      <c r="V2094" s="36"/>
      <c r="W2094" s="36"/>
      <c r="X2094" s="36"/>
      <c r="Y2094" s="36"/>
      <c r="Z2094" s="36"/>
      <c r="AA2094" s="36"/>
      <c r="AB2094" s="36"/>
      <c r="AC2094" s="36"/>
    </row>
    <row r="2095" ht="15.75" customHeight="1">
      <c r="A2095" s="423">
        <v>44167.0</v>
      </c>
      <c r="B2095" s="424">
        <v>17.2588</v>
      </c>
      <c r="C2095" s="426">
        <v>19.6732</v>
      </c>
      <c r="D2095" s="426">
        <v>23.6788</v>
      </c>
      <c r="E2095" s="425">
        <v>16.956</v>
      </c>
      <c r="F2095" s="425">
        <v>21.1276</v>
      </c>
      <c r="G2095" s="425">
        <v>16.0861</v>
      </c>
      <c r="H2095" s="426">
        <v>33.328</v>
      </c>
      <c r="I2095" s="426">
        <v>26.8465</v>
      </c>
      <c r="J2095" s="426">
        <v>24.3283</v>
      </c>
      <c r="K2095" s="182">
        <v>13113.75</v>
      </c>
      <c r="L2095" s="36"/>
      <c r="M2095" s="36"/>
      <c r="N2095" s="36"/>
      <c r="O2095" s="36"/>
      <c r="P2095" s="36"/>
      <c r="Q2095" s="36"/>
      <c r="R2095" s="36"/>
      <c r="S2095" s="36"/>
      <c r="T2095" s="36"/>
      <c r="U2095" s="36"/>
      <c r="V2095" s="36"/>
      <c r="W2095" s="36"/>
      <c r="X2095" s="36"/>
      <c r="Y2095" s="36"/>
      <c r="Z2095" s="36"/>
      <c r="AA2095" s="36"/>
      <c r="AB2095" s="36"/>
      <c r="AC2095" s="36"/>
    </row>
    <row r="2096" ht="15.75" customHeight="1">
      <c r="A2096" s="423">
        <v>44168.0</v>
      </c>
      <c r="B2096" s="424">
        <v>17.2959</v>
      </c>
      <c r="C2096" s="426">
        <v>19.6725</v>
      </c>
      <c r="D2096" s="426">
        <v>23.6782</v>
      </c>
      <c r="E2096" s="425">
        <v>16.9556</v>
      </c>
      <c r="F2096" s="425">
        <v>21.1614</v>
      </c>
      <c r="G2096" s="425">
        <v>16.086</v>
      </c>
      <c r="H2096" s="426">
        <v>33.4501</v>
      </c>
      <c r="I2096" s="426">
        <v>26.8758</v>
      </c>
      <c r="J2096" s="426">
        <v>24.3463</v>
      </c>
      <c r="K2096" s="182">
        <v>13133.9</v>
      </c>
      <c r="L2096" s="36"/>
      <c r="M2096" s="36"/>
      <c r="N2096" s="36"/>
      <c r="O2096" s="36"/>
      <c r="P2096" s="36"/>
      <c r="Q2096" s="36"/>
      <c r="R2096" s="36"/>
      <c r="S2096" s="36"/>
      <c r="T2096" s="36"/>
      <c r="U2096" s="36"/>
      <c r="V2096" s="36"/>
      <c r="W2096" s="36"/>
      <c r="X2096" s="36"/>
      <c r="Y2096" s="36"/>
      <c r="Z2096" s="36"/>
      <c r="AA2096" s="36"/>
      <c r="AB2096" s="36"/>
      <c r="AC2096" s="36"/>
    </row>
    <row r="2097" ht="15.75" customHeight="1">
      <c r="A2097" s="423">
        <v>44169.0</v>
      </c>
      <c r="B2097" s="424">
        <v>17.4985</v>
      </c>
      <c r="C2097" s="426">
        <v>19.6772</v>
      </c>
      <c r="D2097" s="426">
        <v>23.7064</v>
      </c>
      <c r="E2097" s="425">
        <v>16.9771</v>
      </c>
      <c r="F2097" s="425">
        <v>21.4224</v>
      </c>
      <c r="G2097" s="425">
        <v>16.0926</v>
      </c>
      <c r="H2097" s="426">
        <v>33.5901</v>
      </c>
      <c r="I2097" s="426">
        <v>27.1832</v>
      </c>
      <c r="J2097" s="426">
        <v>24.5259</v>
      </c>
      <c r="K2097" s="182">
        <v>13258.55</v>
      </c>
      <c r="L2097" s="36"/>
      <c r="M2097" s="36"/>
      <c r="N2097" s="36"/>
      <c r="O2097" s="36"/>
      <c r="P2097" s="36"/>
      <c r="Q2097" s="36"/>
      <c r="R2097" s="36"/>
      <c r="S2097" s="36"/>
      <c r="T2097" s="36"/>
      <c r="U2097" s="36"/>
      <c r="V2097" s="36"/>
      <c r="W2097" s="36"/>
      <c r="X2097" s="36"/>
      <c r="Y2097" s="36"/>
      <c r="Z2097" s="36"/>
      <c r="AA2097" s="36"/>
      <c r="AB2097" s="36"/>
      <c r="AC2097" s="36"/>
    </row>
    <row r="2098" ht="15.75" customHeight="1">
      <c r="A2098" s="423">
        <v>44172.0</v>
      </c>
      <c r="B2098" s="424">
        <v>17.607</v>
      </c>
      <c r="C2098" s="426">
        <v>19.6782</v>
      </c>
      <c r="D2098" s="426">
        <v>23.6997</v>
      </c>
      <c r="E2098" s="425">
        <v>16.972</v>
      </c>
      <c r="F2098" s="425">
        <v>21.5644</v>
      </c>
      <c r="G2098" s="425">
        <v>16.0964</v>
      </c>
      <c r="H2098" s="426">
        <v>33.8669</v>
      </c>
      <c r="I2098" s="426">
        <v>27.3426</v>
      </c>
      <c r="J2098" s="426">
        <v>24.6236</v>
      </c>
      <c r="K2098" s="182">
        <v>13355.75</v>
      </c>
      <c r="L2098" s="36"/>
      <c r="M2098" s="36"/>
      <c r="N2098" s="36"/>
      <c r="O2098" s="36"/>
      <c r="P2098" s="36"/>
      <c r="Q2098" s="36"/>
      <c r="R2098" s="36"/>
      <c r="S2098" s="36"/>
      <c r="T2098" s="36"/>
      <c r="U2098" s="36"/>
      <c r="V2098" s="36"/>
      <c r="W2098" s="36"/>
      <c r="X2098" s="36"/>
      <c r="Y2098" s="36"/>
      <c r="Z2098" s="36"/>
      <c r="AA2098" s="36"/>
      <c r="AB2098" s="36"/>
      <c r="AC2098" s="36"/>
    </row>
    <row r="2099" ht="15.75" customHeight="1">
      <c r="A2099" s="423">
        <v>44173.0</v>
      </c>
      <c r="B2099" s="424">
        <v>17.6407</v>
      </c>
      <c r="C2099" s="426">
        <v>19.6786</v>
      </c>
      <c r="D2099" s="426">
        <v>23.6888</v>
      </c>
      <c r="E2099" s="425">
        <v>16.9627</v>
      </c>
      <c r="F2099" s="425">
        <v>21.6056</v>
      </c>
      <c r="G2099" s="425">
        <v>16.095</v>
      </c>
      <c r="H2099" s="426">
        <v>33.8515</v>
      </c>
      <c r="I2099" s="426">
        <v>27.4086</v>
      </c>
      <c r="J2099" s="426">
        <v>24.6523</v>
      </c>
      <c r="K2099" s="182">
        <v>13392.95</v>
      </c>
      <c r="L2099" s="36"/>
      <c r="M2099" s="36"/>
      <c r="N2099" s="36"/>
      <c r="O2099" s="36"/>
      <c r="P2099" s="36"/>
      <c r="Q2099" s="36"/>
      <c r="R2099" s="36"/>
      <c r="S2099" s="36"/>
      <c r="T2099" s="36"/>
      <c r="U2099" s="36"/>
      <c r="V2099" s="36"/>
      <c r="W2099" s="36"/>
      <c r="X2099" s="36"/>
      <c r="Y2099" s="36"/>
      <c r="Z2099" s="36"/>
      <c r="AA2099" s="36"/>
      <c r="AB2099" s="36"/>
      <c r="AC2099" s="36"/>
    </row>
    <row r="2100" ht="15.75" customHeight="1">
      <c r="A2100" s="423">
        <v>44174.0</v>
      </c>
      <c r="B2100" s="424">
        <v>17.8222</v>
      </c>
      <c r="C2100" s="426">
        <v>19.674</v>
      </c>
      <c r="D2100" s="426">
        <v>23.6939</v>
      </c>
      <c r="E2100" s="425">
        <v>16.9691</v>
      </c>
      <c r="F2100" s="425">
        <v>21.8236</v>
      </c>
      <c r="G2100" s="425">
        <v>16.0923</v>
      </c>
      <c r="H2100" s="426">
        <v>33.9348</v>
      </c>
      <c r="I2100" s="426">
        <v>27.686</v>
      </c>
      <c r="J2100" s="426">
        <v>24.824</v>
      </c>
      <c r="K2100" s="182">
        <v>13529.1</v>
      </c>
      <c r="L2100" s="36"/>
      <c r="M2100" s="36"/>
      <c r="N2100" s="36"/>
      <c r="O2100" s="36"/>
      <c r="P2100" s="36"/>
      <c r="Q2100" s="36"/>
      <c r="R2100" s="36"/>
      <c r="S2100" s="36"/>
      <c r="T2100" s="36"/>
      <c r="U2100" s="36"/>
      <c r="V2100" s="36"/>
      <c r="W2100" s="36"/>
      <c r="X2100" s="36"/>
      <c r="Y2100" s="36"/>
      <c r="Z2100" s="36"/>
      <c r="AA2100" s="36"/>
      <c r="AB2100" s="36"/>
      <c r="AC2100" s="36"/>
    </row>
    <row r="2101" ht="15.75" customHeight="1">
      <c r="A2101" s="423">
        <v>44175.0</v>
      </c>
      <c r="B2101" s="424">
        <v>17.7796</v>
      </c>
      <c r="C2101" s="426">
        <v>19.6653</v>
      </c>
      <c r="D2101" s="426">
        <v>23.6961</v>
      </c>
      <c r="E2101" s="425">
        <v>16.9703</v>
      </c>
      <c r="F2101" s="425">
        <v>21.7654</v>
      </c>
      <c r="G2101" s="425">
        <v>16.0949</v>
      </c>
      <c r="H2101" s="426">
        <v>33.6397</v>
      </c>
      <c r="I2101" s="426">
        <v>27.6124</v>
      </c>
      <c r="J2101" s="426">
        <v>24.792</v>
      </c>
      <c r="K2101" s="182">
        <v>13478.3</v>
      </c>
      <c r="L2101" s="36"/>
      <c r="M2101" s="36"/>
      <c r="N2101" s="36"/>
      <c r="O2101" s="36"/>
      <c r="P2101" s="36"/>
      <c r="Q2101" s="36"/>
      <c r="R2101" s="36"/>
      <c r="S2101" s="36"/>
      <c r="T2101" s="36"/>
      <c r="U2101" s="36"/>
      <c r="V2101" s="36"/>
      <c r="W2101" s="36"/>
      <c r="X2101" s="36"/>
      <c r="Y2101" s="36"/>
      <c r="Z2101" s="36"/>
      <c r="AA2101" s="36"/>
      <c r="AB2101" s="36"/>
      <c r="AC2101" s="36"/>
    </row>
    <row r="2102" ht="15.75" customHeight="1">
      <c r="A2102" s="423">
        <v>44176.0</v>
      </c>
      <c r="B2102" s="424">
        <v>17.8098</v>
      </c>
      <c r="C2102" s="426">
        <v>19.666</v>
      </c>
      <c r="D2102" s="426">
        <v>23.6825</v>
      </c>
      <c r="E2102" s="425">
        <v>16.9584</v>
      </c>
      <c r="F2102" s="425">
        <v>21.798</v>
      </c>
      <c r="G2102" s="425">
        <v>16.0956</v>
      </c>
      <c r="H2102" s="426">
        <v>33.7674</v>
      </c>
      <c r="I2102" s="426">
        <v>27.6721</v>
      </c>
      <c r="J2102" s="426">
        <v>24.8073</v>
      </c>
      <c r="K2102" s="182">
        <v>13513.85</v>
      </c>
      <c r="L2102" s="36"/>
      <c r="M2102" s="36"/>
      <c r="N2102" s="36"/>
      <c r="O2102" s="36"/>
      <c r="P2102" s="36"/>
      <c r="Q2102" s="36"/>
      <c r="R2102" s="36"/>
      <c r="S2102" s="36"/>
      <c r="T2102" s="36"/>
      <c r="U2102" s="36"/>
      <c r="V2102" s="36"/>
      <c r="W2102" s="36"/>
      <c r="X2102" s="36"/>
      <c r="Y2102" s="36"/>
      <c r="Z2102" s="36"/>
      <c r="AA2102" s="36"/>
      <c r="AB2102" s="36"/>
      <c r="AC2102" s="36"/>
    </row>
    <row r="2103" ht="15.75" customHeight="1">
      <c r="A2103" s="423">
        <v>44179.0</v>
      </c>
      <c r="B2103" s="424">
        <v>17.8784</v>
      </c>
      <c r="C2103" s="426">
        <v>19.6711</v>
      </c>
      <c r="D2103" s="426">
        <v>23.6908</v>
      </c>
      <c r="E2103" s="425">
        <v>16.9652</v>
      </c>
      <c r="F2103" s="425">
        <v>21.8923</v>
      </c>
      <c r="G2103" s="425">
        <v>16.1005</v>
      </c>
      <c r="H2103" s="426">
        <v>34.01</v>
      </c>
      <c r="I2103" s="426">
        <v>27.7934</v>
      </c>
      <c r="J2103" s="426">
        <v>24.8683</v>
      </c>
      <c r="K2103" s="182">
        <v>13558.15</v>
      </c>
      <c r="L2103" s="36"/>
      <c r="M2103" s="36"/>
      <c r="N2103" s="36"/>
      <c r="O2103" s="36"/>
      <c r="P2103" s="36"/>
      <c r="Q2103" s="36"/>
      <c r="R2103" s="36"/>
      <c r="S2103" s="36"/>
      <c r="T2103" s="36"/>
      <c r="U2103" s="36"/>
      <c r="V2103" s="36"/>
      <c r="W2103" s="36"/>
      <c r="X2103" s="36"/>
      <c r="Y2103" s="36"/>
      <c r="Z2103" s="36"/>
      <c r="AA2103" s="36"/>
      <c r="AB2103" s="36"/>
      <c r="AC2103" s="36"/>
    </row>
    <row r="2104" ht="15.75" customHeight="1">
      <c r="A2104" s="423">
        <v>44180.0</v>
      </c>
      <c r="B2104" s="424">
        <v>17.8669</v>
      </c>
      <c r="C2104" s="426">
        <v>19.6735</v>
      </c>
      <c r="D2104" s="426">
        <v>23.7082</v>
      </c>
      <c r="E2104" s="425">
        <v>16.9774</v>
      </c>
      <c r="F2104" s="425">
        <v>21.8639</v>
      </c>
      <c r="G2104" s="425">
        <v>16.1072</v>
      </c>
      <c r="H2104" s="426">
        <v>34.1563</v>
      </c>
      <c r="I2104" s="426">
        <v>27.7633</v>
      </c>
      <c r="J2104" s="426">
        <v>24.867</v>
      </c>
      <c r="K2104" s="182">
        <v>13567.85</v>
      </c>
      <c r="L2104" s="36"/>
      <c r="M2104" s="36"/>
      <c r="N2104" s="36"/>
      <c r="O2104" s="36"/>
      <c r="P2104" s="36"/>
      <c r="Q2104" s="36"/>
      <c r="R2104" s="36"/>
      <c r="S2104" s="36"/>
      <c r="T2104" s="36"/>
      <c r="U2104" s="36"/>
      <c r="V2104" s="36"/>
      <c r="W2104" s="36"/>
      <c r="X2104" s="36"/>
      <c r="Y2104" s="36"/>
      <c r="Z2104" s="36"/>
      <c r="AA2104" s="36"/>
      <c r="AB2104" s="36"/>
      <c r="AC2104" s="36"/>
    </row>
    <row r="2105" ht="15.75" customHeight="1">
      <c r="A2105" s="423">
        <v>44181.0</v>
      </c>
      <c r="B2105" s="424">
        <v>17.9746</v>
      </c>
      <c r="C2105" s="426">
        <v>19.6756</v>
      </c>
      <c r="D2105" s="426">
        <v>23.7109</v>
      </c>
      <c r="E2105" s="425">
        <v>16.9793</v>
      </c>
      <c r="F2105" s="425">
        <v>22.016</v>
      </c>
      <c r="G2105" s="425">
        <v>16.1095</v>
      </c>
      <c r="H2105" s="426">
        <v>34.4828</v>
      </c>
      <c r="I2105" s="426">
        <v>27.9644</v>
      </c>
      <c r="J2105" s="426">
        <v>24.9836</v>
      </c>
      <c r="K2105" s="182">
        <v>13682.7</v>
      </c>
      <c r="L2105" s="36"/>
      <c r="M2105" s="36"/>
      <c r="N2105" s="36"/>
      <c r="O2105" s="36"/>
      <c r="P2105" s="36"/>
      <c r="Q2105" s="36"/>
      <c r="R2105" s="36"/>
      <c r="S2105" s="36"/>
      <c r="T2105" s="36"/>
      <c r="U2105" s="36"/>
      <c r="V2105" s="36"/>
      <c r="W2105" s="36"/>
      <c r="X2105" s="36"/>
      <c r="Y2105" s="36"/>
      <c r="Z2105" s="36"/>
      <c r="AA2105" s="36"/>
      <c r="AB2105" s="36"/>
      <c r="AC2105" s="36"/>
    </row>
    <row r="2106" ht="15.75" customHeight="1">
      <c r="A2106" s="423">
        <v>44182.0</v>
      </c>
      <c r="B2106" s="424">
        <v>18.0143</v>
      </c>
      <c r="C2106" s="426">
        <v>19.677</v>
      </c>
      <c r="D2106" s="426">
        <v>23.6965</v>
      </c>
      <c r="E2106" s="425">
        <v>16.9705</v>
      </c>
      <c r="F2106" s="425">
        <v>22.0712</v>
      </c>
      <c r="G2106" s="425">
        <v>16.1089</v>
      </c>
      <c r="H2106" s="426">
        <v>34.4067</v>
      </c>
      <c r="I2106" s="426">
        <v>28.0288</v>
      </c>
      <c r="J2106" s="426">
        <v>25.0152</v>
      </c>
      <c r="K2106" s="182">
        <v>13740.7</v>
      </c>
      <c r="L2106" s="36"/>
      <c r="M2106" s="36"/>
      <c r="N2106" s="36"/>
      <c r="O2106" s="36"/>
      <c r="P2106" s="36"/>
      <c r="Q2106" s="36"/>
      <c r="R2106" s="36"/>
      <c r="S2106" s="36"/>
      <c r="T2106" s="36"/>
      <c r="U2106" s="36"/>
      <c r="V2106" s="36"/>
      <c r="W2106" s="36"/>
      <c r="X2106" s="36"/>
      <c r="Y2106" s="36"/>
      <c r="Z2106" s="36"/>
      <c r="AA2106" s="36"/>
      <c r="AB2106" s="36"/>
      <c r="AC2106" s="36"/>
    </row>
    <row r="2107" ht="15.75" customHeight="1">
      <c r="A2107" s="423">
        <v>44183.0</v>
      </c>
      <c r="B2107" s="424">
        <v>18.0582</v>
      </c>
      <c r="C2107" s="426">
        <v>19.6775</v>
      </c>
      <c r="D2107" s="426">
        <v>23.7018</v>
      </c>
      <c r="E2107" s="425">
        <v>16.9737</v>
      </c>
      <c r="F2107" s="425">
        <v>22.1217</v>
      </c>
      <c r="G2107" s="425">
        <v>16.1125</v>
      </c>
      <c r="H2107" s="426">
        <v>34.3902</v>
      </c>
      <c r="I2107" s="426">
        <v>28.0998</v>
      </c>
      <c r="J2107" s="426">
        <v>25.0461</v>
      </c>
      <c r="K2107" s="182">
        <v>13760.55</v>
      </c>
      <c r="L2107" s="36"/>
      <c r="M2107" s="36"/>
      <c r="N2107" s="36"/>
      <c r="O2107" s="36"/>
      <c r="P2107" s="36"/>
      <c r="Q2107" s="36"/>
      <c r="R2107" s="36"/>
      <c r="S2107" s="36"/>
      <c r="T2107" s="36"/>
      <c r="U2107" s="36"/>
      <c r="V2107" s="36"/>
      <c r="W2107" s="36"/>
      <c r="X2107" s="36"/>
      <c r="Y2107" s="36"/>
      <c r="Z2107" s="36"/>
      <c r="AA2107" s="36"/>
      <c r="AB2107" s="36"/>
      <c r="AC2107" s="36"/>
    </row>
    <row r="2108" ht="15.75" customHeight="1">
      <c r="A2108" s="423">
        <v>44186.0</v>
      </c>
      <c r="B2108" s="424">
        <v>17.509</v>
      </c>
      <c r="C2108" s="426">
        <v>19.6831</v>
      </c>
      <c r="D2108" s="426">
        <v>23.7065</v>
      </c>
      <c r="E2108" s="425">
        <v>16.9777</v>
      </c>
      <c r="F2108" s="425">
        <v>21.4405</v>
      </c>
      <c r="G2108" s="425">
        <v>16.1195</v>
      </c>
      <c r="H2108" s="426">
        <v>33.0497</v>
      </c>
      <c r="I2108" s="426">
        <v>27.232</v>
      </c>
      <c r="J2108" s="426">
        <v>24.5391</v>
      </c>
      <c r="K2108" s="182">
        <v>13328.4</v>
      </c>
      <c r="L2108" s="36"/>
      <c r="M2108" s="36"/>
      <c r="N2108" s="36"/>
      <c r="O2108" s="36"/>
      <c r="P2108" s="36"/>
      <c r="Q2108" s="36"/>
      <c r="R2108" s="36"/>
      <c r="S2108" s="36"/>
      <c r="T2108" s="36"/>
      <c r="U2108" s="36"/>
      <c r="V2108" s="36"/>
      <c r="W2108" s="36"/>
      <c r="X2108" s="36"/>
      <c r="Y2108" s="36"/>
      <c r="Z2108" s="36"/>
      <c r="AA2108" s="36"/>
      <c r="AB2108" s="36"/>
      <c r="AC2108" s="36"/>
    </row>
    <row r="2109" ht="15.75" customHeight="1">
      <c r="A2109" s="423">
        <v>44187.0</v>
      </c>
      <c r="B2109" s="424">
        <v>17.703</v>
      </c>
      <c r="C2109" s="426">
        <v>19.686</v>
      </c>
      <c r="D2109" s="426">
        <v>23.6987</v>
      </c>
      <c r="E2109" s="425">
        <v>16.9755</v>
      </c>
      <c r="F2109" s="425">
        <v>21.6865</v>
      </c>
      <c r="G2109" s="425">
        <v>16.1121</v>
      </c>
      <c r="H2109" s="426">
        <v>33.2264</v>
      </c>
      <c r="I2109" s="426">
        <v>27.5322</v>
      </c>
      <c r="J2109" s="426">
        <v>24.7089</v>
      </c>
      <c r="K2109" s="182">
        <v>13466.3</v>
      </c>
      <c r="L2109" s="36"/>
      <c r="M2109" s="36"/>
      <c r="N2109" s="36"/>
      <c r="O2109" s="36"/>
      <c r="P2109" s="36"/>
      <c r="Q2109" s="36"/>
      <c r="R2109" s="36"/>
      <c r="S2109" s="36"/>
      <c r="T2109" s="36"/>
      <c r="U2109" s="36"/>
      <c r="V2109" s="36"/>
      <c r="W2109" s="36"/>
      <c r="X2109" s="36"/>
      <c r="Y2109" s="36"/>
      <c r="Z2109" s="36"/>
      <c r="AA2109" s="36"/>
      <c r="AB2109" s="36"/>
      <c r="AC2109" s="36"/>
    </row>
    <row r="2110" ht="15.75" customHeight="1">
      <c r="A2110" s="423">
        <v>44188.0</v>
      </c>
      <c r="B2110" s="424">
        <v>17.9046</v>
      </c>
      <c r="C2110" s="426">
        <v>19.6883</v>
      </c>
      <c r="D2110" s="426">
        <v>23.6975</v>
      </c>
      <c r="E2110" s="425">
        <v>16.9747</v>
      </c>
      <c r="F2110" s="425">
        <v>21.9182</v>
      </c>
      <c r="G2110" s="425">
        <v>16.1121</v>
      </c>
      <c r="H2110" s="426">
        <v>33.9255</v>
      </c>
      <c r="I2110" s="426">
        <v>27.8415</v>
      </c>
      <c r="J2110" s="426">
        <v>24.8878</v>
      </c>
      <c r="K2110" s="182">
        <v>13601.1</v>
      </c>
      <c r="L2110" s="36"/>
      <c r="M2110" s="36"/>
      <c r="N2110" s="36"/>
      <c r="O2110" s="36"/>
      <c r="P2110" s="36"/>
      <c r="Q2110" s="36"/>
      <c r="R2110" s="36"/>
      <c r="S2110" s="36"/>
      <c r="T2110" s="36"/>
      <c r="U2110" s="36"/>
      <c r="V2110" s="36"/>
      <c r="W2110" s="36"/>
      <c r="X2110" s="36"/>
      <c r="Y2110" s="36"/>
      <c r="Z2110" s="36"/>
      <c r="AA2110" s="36"/>
      <c r="AB2110" s="36"/>
      <c r="AC2110" s="36"/>
    </row>
    <row r="2111" ht="15.75" customHeight="1">
      <c r="A2111" s="423">
        <v>44189.0</v>
      </c>
      <c r="B2111" s="424">
        <v>18.1382</v>
      </c>
      <c r="C2111" s="426">
        <v>19.6888</v>
      </c>
      <c r="D2111" s="426">
        <v>23.6974</v>
      </c>
      <c r="E2111" s="425">
        <v>16.9735</v>
      </c>
      <c r="F2111" s="425">
        <v>22.1511</v>
      </c>
      <c r="G2111" s="425">
        <v>16.1066</v>
      </c>
      <c r="H2111" s="426">
        <v>34.005</v>
      </c>
      <c r="I2111" s="426">
        <v>28.1079</v>
      </c>
      <c r="J2111" s="426">
        <v>25.0388</v>
      </c>
      <c r="K2111" s="182">
        <v>13749.25</v>
      </c>
      <c r="L2111" s="36"/>
      <c r="M2111" s="36"/>
      <c r="N2111" s="36"/>
      <c r="O2111" s="36"/>
      <c r="P2111" s="36"/>
      <c r="Q2111" s="36"/>
      <c r="R2111" s="36"/>
      <c r="S2111" s="36"/>
      <c r="T2111" s="36"/>
      <c r="U2111" s="36"/>
      <c r="V2111" s="36"/>
      <c r="W2111" s="36"/>
      <c r="X2111" s="36"/>
      <c r="Y2111" s="36"/>
      <c r="Z2111" s="36"/>
      <c r="AA2111" s="36"/>
      <c r="AB2111" s="36"/>
      <c r="AC2111" s="36"/>
    </row>
    <row r="2112" ht="15.75" customHeight="1">
      <c r="A2112" s="423">
        <v>44193.0</v>
      </c>
      <c r="B2112" s="424">
        <v>18.2782</v>
      </c>
      <c r="C2112" s="426">
        <v>19.6972</v>
      </c>
      <c r="D2112" s="426">
        <v>23.7258</v>
      </c>
      <c r="E2112" s="425">
        <v>16.9953</v>
      </c>
      <c r="F2112" s="425">
        <v>22.3326</v>
      </c>
      <c r="G2112" s="425">
        <v>16.1183</v>
      </c>
      <c r="H2112" s="426">
        <v>34.2843</v>
      </c>
      <c r="I2112" s="426">
        <v>28.3288</v>
      </c>
      <c r="J2112" s="426">
        <v>25.1796</v>
      </c>
      <c r="K2112" s="182">
        <v>13873.2</v>
      </c>
      <c r="L2112" s="36"/>
      <c r="M2112" s="36"/>
      <c r="N2112" s="36"/>
      <c r="O2112" s="36"/>
      <c r="P2112" s="36"/>
      <c r="Q2112" s="36"/>
      <c r="R2112" s="36"/>
      <c r="S2112" s="36"/>
      <c r="T2112" s="36"/>
      <c r="U2112" s="36"/>
      <c r="V2112" s="36"/>
      <c r="W2112" s="36"/>
      <c r="X2112" s="36"/>
      <c r="Y2112" s="36"/>
      <c r="Z2112" s="36"/>
      <c r="AA2112" s="36"/>
      <c r="AB2112" s="36"/>
      <c r="AC2112" s="36"/>
    </row>
    <row r="2113" ht="15.75" customHeight="1">
      <c r="A2113" s="423">
        <v>44194.0</v>
      </c>
      <c r="B2113" s="424">
        <v>18.3394</v>
      </c>
      <c r="C2113" s="426">
        <v>19.6984</v>
      </c>
      <c r="D2113" s="426">
        <v>23.732</v>
      </c>
      <c r="E2113" s="425">
        <v>16.9987</v>
      </c>
      <c r="F2113" s="425">
        <v>22.4248</v>
      </c>
      <c r="G2113" s="425">
        <v>16.1245</v>
      </c>
      <c r="H2113" s="426">
        <v>34.2849</v>
      </c>
      <c r="I2113" s="426">
        <v>28.4282</v>
      </c>
      <c r="J2113" s="426">
        <v>25.2446</v>
      </c>
      <c r="K2113" s="182">
        <v>13932.6</v>
      </c>
      <c r="L2113" s="36"/>
      <c r="M2113" s="36"/>
      <c r="N2113" s="36"/>
      <c r="O2113" s="36"/>
      <c r="P2113" s="36"/>
      <c r="Q2113" s="36"/>
      <c r="R2113" s="36"/>
      <c r="S2113" s="36"/>
      <c r="T2113" s="36"/>
      <c r="U2113" s="36"/>
      <c r="V2113" s="36"/>
      <c r="W2113" s="36"/>
      <c r="X2113" s="36"/>
      <c r="Y2113" s="36"/>
      <c r="Z2113" s="36"/>
      <c r="AA2113" s="36"/>
      <c r="AB2113" s="36"/>
      <c r="AC2113" s="36"/>
    </row>
    <row r="2114" ht="15.75" customHeight="1">
      <c r="A2114" s="423">
        <v>44195.0</v>
      </c>
      <c r="B2114" s="424">
        <v>18.3976</v>
      </c>
      <c r="C2114" s="426">
        <v>19.7018</v>
      </c>
      <c r="D2114" s="426">
        <v>23.756</v>
      </c>
      <c r="E2114" s="425">
        <v>17.0131</v>
      </c>
      <c r="F2114" s="425">
        <v>22.5127</v>
      </c>
      <c r="G2114" s="425">
        <v>16.1328</v>
      </c>
      <c r="H2114" s="426">
        <v>34.4183</v>
      </c>
      <c r="I2114" s="426">
        <v>28.5311</v>
      </c>
      <c r="J2114" s="426">
        <v>25.3039</v>
      </c>
      <c r="K2114" s="182">
        <v>13981.95</v>
      </c>
      <c r="L2114" s="36"/>
      <c r="M2114" s="36"/>
      <c r="N2114" s="36"/>
      <c r="O2114" s="36"/>
      <c r="P2114" s="36"/>
      <c r="Q2114" s="36"/>
      <c r="R2114" s="36"/>
      <c r="S2114" s="36"/>
      <c r="T2114" s="36"/>
      <c r="U2114" s="36"/>
      <c r="V2114" s="36"/>
      <c r="W2114" s="36"/>
      <c r="X2114" s="36"/>
      <c r="Y2114" s="36"/>
      <c r="Z2114" s="36"/>
      <c r="AA2114" s="36"/>
      <c r="AB2114" s="36"/>
      <c r="AC2114" s="36"/>
    </row>
    <row r="2115" ht="15.75" customHeight="1">
      <c r="A2115" s="423">
        <v>44196.0</v>
      </c>
      <c r="B2115" s="424">
        <v>18.3795</v>
      </c>
      <c r="C2115" s="426">
        <v>19.703</v>
      </c>
      <c r="D2115" s="426">
        <v>23.7594</v>
      </c>
      <c r="E2115" s="425">
        <v>17.0163</v>
      </c>
      <c r="F2115" s="425">
        <v>22.4983</v>
      </c>
      <c r="G2115" s="425">
        <v>16.1352</v>
      </c>
      <c r="H2115" s="426">
        <v>34.4837</v>
      </c>
      <c r="I2115" s="426">
        <v>28.5172</v>
      </c>
      <c r="J2115" s="426">
        <v>25.2909</v>
      </c>
      <c r="K2115" s="182">
        <v>13981.75</v>
      </c>
      <c r="L2115" s="36"/>
      <c r="M2115" s="36"/>
      <c r="N2115" s="36"/>
      <c r="O2115" s="36"/>
      <c r="P2115" s="36"/>
      <c r="Q2115" s="36"/>
      <c r="R2115" s="36"/>
      <c r="S2115" s="36"/>
      <c r="T2115" s="36"/>
      <c r="U2115" s="36"/>
      <c r="V2115" s="36"/>
      <c r="W2115" s="36"/>
      <c r="X2115" s="36"/>
      <c r="Y2115" s="36"/>
      <c r="Z2115" s="36"/>
      <c r="AA2115" s="36"/>
      <c r="AB2115" s="36"/>
      <c r="AC2115" s="36"/>
    </row>
    <row r="2116" ht="15.75" customHeight="1">
      <c r="A2116" s="423">
        <v>44197.0</v>
      </c>
      <c r="B2116" s="424">
        <v>18.4189</v>
      </c>
      <c r="C2116" s="426">
        <v>19.713</v>
      </c>
      <c r="D2116" s="426">
        <v>23.7651</v>
      </c>
      <c r="E2116" s="425">
        <v>17.0202</v>
      </c>
      <c r="F2116" s="425">
        <v>22.5488</v>
      </c>
      <c r="G2116" s="425">
        <v>16.1333</v>
      </c>
      <c r="H2116" s="426">
        <v>34.8696</v>
      </c>
      <c r="I2116" s="426">
        <v>28.5822</v>
      </c>
      <c r="J2116" s="426">
        <v>25.3311</v>
      </c>
      <c r="K2116" s="182">
        <v>14018.5</v>
      </c>
      <c r="L2116" s="36"/>
      <c r="M2116" s="36"/>
      <c r="N2116" s="36"/>
      <c r="O2116" s="36"/>
      <c r="P2116" s="36"/>
      <c r="Q2116" s="36"/>
      <c r="R2116" s="36"/>
      <c r="S2116" s="36"/>
      <c r="T2116" s="36"/>
      <c r="U2116" s="36"/>
      <c r="V2116" s="36"/>
      <c r="W2116" s="36"/>
      <c r="X2116" s="36"/>
      <c r="Y2116" s="36"/>
      <c r="Z2116" s="36"/>
      <c r="AA2116" s="36"/>
      <c r="AB2116" s="36"/>
      <c r="AC2116" s="36"/>
    </row>
    <row r="2117" ht="15.75" customHeight="1">
      <c r="A2117" s="423">
        <v>44200.0</v>
      </c>
      <c r="B2117" s="424">
        <v>18.5553</v>
      </c>
      <c r="C2117" s="426">
        <v>19.7199</v>
      </c>
      <c r="D2117" s="426">
        <v>23.828</v>
      </c>
      <c r="E2117" s="425">
        <v>17.0634</v>
      </c>
      <c r="F2117" s="425">
        <v>22.7339</v>
      </c>
      <c r="G2117" s="425">
        <v>16.1607</v>
      </c>
      <c r="H2117" s="426">
        <v>35.3034</v>
      </c>
      <c r="I2117" s="426">
        <v>28.8269</v>
      </c>
      <c r="J2117" s="426">
        <v>25.4912</v>
      </c>
      <c r="K2117" s="182">
        <v>14132.9</v>
      </c>
      <c r="L2117" s="36"/>
      <c r="M2117" s="36"/>
      <c r="N2117" s="36"/>
      <c r="O2117" s="36"/>
      <c r="P2117" s="36"/>
      <c r="Q2117" s="36"/>
      <c r="R2117" s="36"/>
      <c r="S2117" s="36"/>
      <c r="T2117" s="36"/>
      <c r="U2117" s="36"/>
      <c r="V2117" s="36"/>
      <c r="W2117" s="36"/>
      <c r="X2117" s="36"/>
      <c r="Y2117" s="36"/>
      <c r="Z2117" s="36"/>
      <c r="AA2117" s="36"/>
      <c r="AB2117" s="36"/>
      <c r="AC2117" s="36"/>
    </row>
    <row r="2118" ht="15.75" customHeight="1">
      <c r="A2118" s="423">
        <v>44201.0</v>
      </c>
      <c r="B2118" s="424">
        <v>18.6322</v>
      </c>
      <c r="C2118" s="426">
        <v>19.7327</v>
      </c>
      <c r="D2118" s="426">
        <v>23.8557</v>
      </c>
      <c r="E2118" s="425">
        <v>17.0833</v>
      </c>
      <c r="F2118" s="425">
        <v>22.8846</v>
      </c>
      <c r="G2118" s="425">
        <v>16.1798</v>
      </c>
      <c r="H2118" s="426">
        <v>35.557</v>
      </c>
      <c r="I2118" s="426">
        <v>28.9728</v>
      </c>
      <c r="J2118" s="426">
        <v>25.5797</v>
      </c>
      <c r="K2118" s="182">
        <v>14199.5</v>
      </c>
      <c r="L2118" s="36"/>
      <c r="M2118" s="36"/>
      <c r="N2118" s="36"/>
      <c r="O2118" s="36"/>
      <c r="P2118" s="36"/>
      <c r="Q2118" s="36"/>
      <c r="R2118" s="36"/>
      <c r="S2118" s="36"/>
      <c r="T2118" s="36"/>
      <c r="U2118" s="36"/>
      <c r="V2118" s="36"/>
      <c r="W2118" s="36"/>
      <c r="X2118" s="36"/>
      <c r="Y2118" s="36"/>
      <c r="Z2118" s="36"/>
      <c r="AA2118" s="36"/>
      <c r="AB2118" s="36"/>
      <c r="AC2118" s="36"/>
    </row>
    <row r="2119" ht="15.75" customHeight="1">
      <c r="A2119" s="423">
        <v>44202.0</v>
      </c>
      <c r="B2119" s="424">
        <v>18.5799</v>
      </c>
      <c r="C2119" s="426">
        <v>19.7333</v>
      </c>
      <c r="D2119" s="426">
        <v>23.8439</v>
      </c>
      <c r="E2119" s="425">
        <v>17.0708</v>
      </c>
      <c r="F2119" s="425">
        <v>22.8323</v>
      </c>
      <c r="G2119" s="425">
        <v>16.1826</v>
      </c>
      <c r="H2119" s="426">
        <v>35.7423</v>
      </c>
      <c r="I2119" s="426">
        <v>28.9068</v>
      </c>
      <c r="J2119" s="426">
        <v>25.5308</v>
      </c>
      <c r="K2119" s="182">
        <v>14146.25</v>
      </c>
      <c r="L2119" s="36"/>
      <c r="M2119" s="36"/>
      <c r="N2119" s="36"/>
      <c r="O2119" s="36"/>
      <c r="P2119" s="36"/>
      <c r="Q2119" s="36"/>
      <c r="R2119" s="36"/>
      <c r="S2119" s="36"/>
      <c r="T2119" s="36"/>
      <c r="U2119" s="36"/>
      <c r="V2119" s="36"/>
      <c r="W2119" s="36"/>
      <c r="X2119" s="36"/>
      <c r="Y2119" s="36"/>
      <c r="Z2119" s="36"/>
      <c r="AA2119" s="36"/>
      <c r="AB2119" s="36"/>
      <c r="AC2119" s="36"/>
    </row>
    <row r="2120" ht="15.75" customHeight="1">
      <c r="A2120" s="423">
        <v>44203.0</v>
      </c>
      <c r="B2120" s="424">
        <v>18.5758</v>
      </c>
      <c r="C2120" s="426">
        <v>19.7348</v>
      </c>
      <c r="D2120" s="426">
        <v>23.8495</v>
      </c>
      <c r="E2120" s="425">
        <v>17.0762</v>
      </c>
      <c r="F2120" s="425">
        <v>22.8546</v>
      </c>
      <c r="G2120" s="425">
        <v>16.1884</v>
      </c>
      <c r="H2120" s="426">
        <v>36.1061</v>
      </c>
      <c r="I2120" s="426">
        <v>28.9148</v>
      </c>
      <c r="J2120" s="426">
        <v>25.5354</v>
      </c>
      <c r="K2120" s="182">
        <v>14137.35</v>
      </c>
      <c r="L2120" s="36"/>
      <c r="M2120" s="36"/>
      <c r="N2120" s="36"/>
      <c r="O2120" s="36"/>
      <c r="P2120" s="36"/>
      <c r="Q2120" s="36"/>
      <c r="R2120" s="36"/>
      <c r="S2120" s="36"/>
      <c r="T2120" s="36"/>
      <c r="U2120" s="36"/>
      <c r="V2120" s="36"/>
      <c r="W2120" s="36"/>
      <c r="X2120" s="36"/>
      <c r="Y2120" s="36"/>
      <c r="Z2120" s="36"/>
      <c r="AA2120" s="36"/>
      <c r="AB2120" s="36"/>
      <c r="AC2120" s="36"/>
    </row>
    <row r="2121" ht="15.75" customHeight="1">
      <c r="A2121" s="423">
        <v>44204.0</v>
      </c>
      <c r="B2121" s="424">
        <v>18.8358</v>
      </c>
      <c r="C2121" s="426">
        <v>19.7351</v>
      </c>
      <c r="D2121" s="426">
        <v>23.8525</v>
      </c>
      <c r="E2121" s="425">
        <v>17.0782</v>
      </c>
      <c r="F2121" s="425">
        <v>23.2041</v>
      </c>
      <c r="G2121" s="425">
        <v>16.1939</v>
      </c>
      <c r="H2121" s="426">
        <v>36.4987</v>
      </c>
      <c r="I2121" s="426">
        <v>29.3538</v>
      </c>
      <c r="J2121" s="426">
        <v>25.7878</v>
      </c>
      <c r="K2121" s="182">
        <v>14347.25</v>
      </c>
      <c r="L2121" s="36"/>
      <c r="M2121" s="36"/>
      <c r="N2121" s="36"/>
      <c r="O2121" s="36"/>
      <c r="P2121" s="36"/>
      <c r="Q2121" s="36"/>
      <c r="R2121" s="36"/>
      <c r="S2121" s="36"/>
      <c r="T2121" s="36"/>
      <c r="U2121" s="36"/>
      <c r="V2121" s="36"/>
      <c r="W2121" s="36"/>
      <c r="X2121" s="36"/>
      <c r="Y2121" s="36"/>
      <c r="Z2121" s="36"/>
      <c r="AA2121" s="36"/>
      <c r="AB2121" s="36"/>
      <c r="AC2121" s="36"/>
    </row>
    <row r="2122" ht="15.75" customHeight="1">
      <c r="A2122" s="423">
        <v>44207.0</v>
      </c>
      <c r="B2122" s="424">
        <v>18.9655</v>
      </c>
      <c r="C2122" s="426">
        <v>19.7219</v>
      </c>
      <c r="D2122" s="426">
        <v>23.8036</v>
      </c>
      <c r="E2122" s="425">
        <v>17.0437</v>
      </c>
      <c r="F2122" s="425">
        <v>23.3849</v>
      </c>
      <c r="G2122" s="425">
        <v>16.1684</v>
      </c>
      <c r="H2122" s="426">
        <v>36.4542</v>
      </c>
      <c r="I2122" s="426">
        <v>29.5849</v>
      </c>
      <c r="J2122" s="426">
        <v>25.8965</v>
      </c>
      <c r="K2122" s="182">
        <v>14484.75</v>
      </c>
      <c r="L2122" s="36"/>
      <c r="M2122" s="36"/>
      <c r="N2122" s="36"/>
      <c r="O2122" s="36"/>
      <c r="P2122" s="36"/>
      <c r="Q2122" s="36"/>
      <c r="R2122" s="36"/>
      <c r="S2122" s="36"/>
      <c r="T2122" s="36"/>
      <c r="U2122" s="36"/>
      <c r="V2122" s="36"/>
      <c r="W2122" s="36"/>
      <c r="X2122" s="36"/>
      <c r="Y2122" s="36"/>
      <c r="Z2122" s="36"/>
      <c r="AA2122" s="36"/>
      <c r="AB2122" s="36"/>
      <c r="AC2122" s="36"/>
    </row>
    <row r="2123" ht="15.75" customHeight="1">
      <c r="A2123" s="423">
        <v>44208.0</v>
      </c>
      <c r="B2123" s="424">
        <v>19.0397</v>
      </c>
      <c r="C2123" s="426">
        <v>19.7089</v>
      </c>
      <c r="D2123" s="426">
        <v>23.7743</v>
      </c>
      <c r="E2123" s="425">
        <v>17.0234</v>
      </c>
      <c r="F2123" s="425">
        <v>23.4307</v>
      </c>
      <c r="G2123" s="425">
        <v>16.1513</v>
      </c>
      <c r="H2123" s="426">
        <v>36.5644</v>
      </c>
      <c r="I2123" s="426">
        <v>29.6936</v>
      </c>
      <c r="J2123" s="426">
        <v>25.9442</v>
      </c>
      <c r="K2123" s="182">
        <v>14563.45</v>
      </c>
      <c r="L2123" s="36"/>
      <c r="M2123" s="36"/>
      <c r="N2123" s="36"/>
      <c r="O2123" s="36"/>
      <c r="P2123" s="36"/>
      <c r="Q2123" s="36"/>
      <c r="R2123" s="36"/>
      <c r="S2123" s="36"/>
      <c r="T2123" s="36"/>
      <c r="U2123" s="36"/>
      <c r="V2123" s="36"/>
      <c r="W2123" s="36"/>
      <c r="X2123" s="36"/>
      <c r="Y2123" s="36"/>
      <c r="Z2123" s="36"/>
      <c r="AA2123" s="36"/>
      <c r="AB2123" s="36"/>
      <c r="AC2123" s="36"/>
    </row>
    <row r="2124" ht="15.75" customHeight="1">
      <c r="A2124" s="423">
        <v>44209.0</v>
      </c>
      <c r="B2124" s="424">
        <v>19.0903</v>
      </c>
      <c r="C2124" s="426">
        <v>19.6776</v>
      </c>
      <c r="D2124" s="426">
        <v>23.7576</v>
      </c>
      <c r="E2124" s="425">
        <v>17.0094</v>
      </c>
      <c r="F2124" s="425">
        <v>23.4955</v>
      </c>
      <c r="G2124" s="425">
        <v>16.1388</v>
      </c>
      <c r="H2124" s="426">
        <v>36.3554</v>
      </c>
      <c r="I2124" s="426">
        <v>29.7753</v>
      </c>
      <c r="J2124" s="426">
        <v>25.9651</v>
      </c>
      <c r="K2124" s="182">
        <v>14564.85</v>
      </c>
      <c r="L2124" s="36"/>
      <c r="M2124" s="36"/>
      <c r="N2124" s="36"/>
      <c r="O2124" s="36"/>
      <c r="P2124" s="36"/>
      <c r="Q2124" s="36"/>
      <c r="R2124" s="36"/>
      <c r="S2124" s="36"/>
      <c r="T2124" s="36"/>
      <c r="U2124" s="36"/>
      <c r="V2124" s="36"/>
      <c r="W2124" s="36"/>
      <c r="X2124" s="36"/>
      <c r="Y2124" s="36"/>
      <c r="Z2124" s="36"/>
      <c r="AA2124" s="36"/>
      <c r="AB2124" s="36"/>
      <c r="AC2124" s="36"/>
    </row>
    <row r="2125" ht="15.75" customHeight="1">
      <c r="A2125" s="423">
        <v>44210.0</v>
      </c>
      <c r="B2125" s="424">
        <v>19.1131</v>
      </c>
      <c r="C2125" s="426">
        <v>19.6576</v>
      </c>
      <c r="D2125" s="426">
        <v>23.7378</v>
      </c>
      <c r="E2125" s="425">
        <v>16.9977</v>
      </c>
      <c r="F2125" s="425">
        <v>23.5173</v>
      </c>
      <c r="G2125" s="425">
        <v>16.1211</v>
      </c>
      <c r="H2125" s="426">
        <v>36.4365</v>
      </c>
      <c r="I2125" s="426">
        <v>29.8153</v>
      </c>
      <c r="J2125" s="426">
        <v>25.9829</v>
      </c>
      <c r="K2125" s="182">
        <v>14595.6</v>
      </c>
      <c r="L2125" s="36"/>
      <c r="M2125" s="36"/>
      <c r="N2125" s="36"/>
      <c r="O2125" s="36"/>
      <c r="P2125" s="36"/>
      <c r="Q2125" s="36"/>
      <c r="R2125" s="36"/>
      <c r="S2125" s="36"/>
      <c r="T2125" s="36"/>
      <c r="U2125" s="36"/>
      <c r="V2125" s="36"/>
      <c r="W2125" s="36"/>
      <c r="X2125" s="36"/>
      <c r="Y2125" s="36"/>
      <c r="Z2125" s="36"/>
      <c r="AA2125" s="36"/>
      <c r="AB2125" s="36"/>
      <c r="AC2125" s="36"/>
    </row>
    <row r="2126" ht="15.75" customHeight="1">
      <c r="A2126" s="423">
        <v>44211.0</v>
      </c>
      <c r="B2126" s="424">
        <v>18.925</v>
      </c>
      <c r="C2126" s="426">
        <v>19.6475</v>
      </c>
      <c r="D2126" s="426">
        <v>23.7096</v>
      </c>
      <c r="E2126" s="425">
        <v>16.9759</v>
      </c>
      <c r="F2126" s="425">
        <v>23.2483</v>
      </c>
      <c r="G2126" s="425">
        <v>16.1109</v>
      </c>
      <c r="H2126" s="426">
        <v>35.9879</v>
      </c>
      <c r="I2126" s="426">
        <v>29.4931</v>
      </c>
      <c r="J2126" s="426">
        <v>25.7945</v>
      </c>
      <c r="K2126" s="182">
        <v>14433.7</v>
      </c>
      <c r="L2126" s="36"/>
      <c r="M2126" s="36"/>
      <c r="N2126" s="36"/>
      <c r="O2126" s="36"/>
      <c r="P2126" s="36"/>
      <c r="Q2126" s="36"/>
      <c r="R2126" s="36"/>
      <c r="S2126" s="36"/>
      <c r="T2126" s="36"/>
      <c r="U2126" s="36"/>
      <c r="V2126" s="36"/>
      <c r="W2126" s="36"/>
      <c r="X2126" s="36"/>
      <c r="Y2126" s="36"/>
      <c r="Z2126" s="36"/>
      <c r="AA2126" s="36"/>
      <c r="AB2126" s="36"/>
      <c r="AC2126" s="36"/>
    </row>
    <row r="2127" ht="15.75" customHeight="1">
      <c r="A2127" s="423">
        <v>44214.0</v>
      </c>
      <c r="B2127" s="424">
        <v>18.7246</v>
      </c>
      <c r="C2127" s="426">
        <v>19.632</v>
      </c>
      <c r="D2127" s="426">
        <v>23.693</v>
      </c>
      <c r="E2127" s="425">
        <v>16.9663</v>
      </c>
      <c r="F2127" s="425">
        <v>22.9708</v>
      </c>
      <c r="G2127" s="425">
        <v>16.0936</v>
      </c>
      <c r="H2127" s="426">
        <v>35.3809</v>
      </c>
      <c r="I2127" s="426">
        <v>29.1628</v>
      </c>
      <c r="J2127" s="426">
        <v>25.6114</v>
      </c>
      <c r="K2127" s="182">
        <v>14281.3</v>
      </c>
      <c r="L2127" s="36"/>
      <c r="M2127" s="36"/>
      <c r="N2127" s="36"/>
      <c r="O2127" s="36"/>
      <c r="P2127" s="36"/>
      <c r="Q2127" s="36"/>
      <c r="R2127" s="36"/>
      <c r="S2127" s="36"/>
      <c r="T2127" s="36"/>
      <c r="U2127" s="36"/>
      <c r="V2127" s="36"/>
      <c r="W2127" s="36"/>
      <c r="X2127" s="36"/>
      <c r="Y2127" s="36"/>
      <c r="Z2127" s="36"/>
      <c r="AA2127" s="36"/>
      <c r="AB2127" s="36"/>
      <c r="AC2127" s="36"/>
    </row>
    <row r="2128" ht="15.75" customHeight="1">
      <c r="A2128" s="423">
        <v>44215.0</v>
      </c>
      <c r="B2128" s="424">
        <v>18.9964</v>
      </c>
      <c r="C2128" s="426">
        <v>19.6302</v>
      </c>
      <c r="D2128" s="426">
        <v>23.6978</v>
      </c>
      <c r="E2128" s="425">
        <v>16.9718</v>
      </c>
      <c r="F2128" s="425">
        <v>23.3124</v>
      </c>
      <c r="G2128" s="425">
        <v>16.0913</v>
      </c>
      <c r="H2128" s="426">
        <v>36.039</v>
      </c>
      <c r="I2128" s="426">
        <v>29.6037</v>
      </c>
      <c r="J2128" s="426">
        <v>25.8564</v>
      </c>
      <c r="K2128" s="182">
        <v>14521.15</v>
      </c>
      <c r="L2128" s="36"/>
      <c r="M2128" s="36"/>
      <c r="N2128" s="36"/>
      <c r="O2128" s="36"/>
      <c r="P2128" s="36"/>
      <c r="Q2128" s="36"/>
      <c r="R2128" s="36"/>
      <c r="S2128" s="36"/>
      <c r="T2128" s="36"/>
      <c r="U2128" s="36"/>
      <c r="V2128" s="36"/>
      <c r="W2128" s="36"/>
      <c r="X2128" s="36"/>
      <c r="Y2128" s="36"/>
      <c r="Z2128" s="36"/>
      <c r="AA2128" s="36"/>
      <c r="AB2128" s="36"/>
      <c r="AC2128" s="36"/>
    </row>
    <row r="2129" ht="15.75" customHeight="1">
      <c r="A2129" s="423">
        <v>44216.0</v>
      </c>
      <c r="B2129" s="424">
        <v>19.1158</v>
      </c>
      <c r="C2129" s="426">
        <v>19.6412</v>
      </c>
      <c r="D2129" s="426">
        <v>23.7027</v>
      </c>
      <c r="E2129" s="425">
        <v>16.9759</v>
      </c>
      <c r="F2129" s="425">
        <v>23.4875</v>
      </c>
      <c r="G2129" s="425">
        <v>16.0942</v>
      </c>
      <c r="H2129" s="426">
        <v>36.3479</v>
      </c>
      <c r="I2129" s="426">
        <v>29.8064</v>
      </c>
      <c r="J2129" s="426">
        <v>25.9603</v>
      </c>
      <c r="K2129" s="182">
        <v>14644.7</v>
      </c>
      <c r="L2129" s="36"/>
      <c r="M2129" s="36"/>
      <c r="N2129" s="36"/>
      <c r="O2129" s="36"/>
      <c r="P2129" s="36"/>
      <c r="Q2129" s="36"/>
      <c r="R2129" s="36"/>
      <c r="S2129" s="36"/>
      <c r="T2129" s="36"/>
      <c r="U2129" s="36"/>
      <c r="V2129" s="36"/>
      <c r="W2129" s="36"/>
      <c r="X2129" s="36"/>
      <c r="Y2129" s="36"/>
      <c r="Z2129" s="36"/>
      <c r="AA2129" s="36"/>
      <c r="AB2129" s="36"/>
      <c r="AC2129" s="36"/>
    </row>
    <row r="2130" ht="15.75" customHeight="1">
      <c r="A2130" s="423">
        <v>44217.0</v>
      </c>
      <c r="B2130" s="424">
        <v>19.0202</v>
      </c>
      <c r="C2130" s="426">
        <v>19.6506</v>
      </c>
      <c r="D2130" s="426">
        <v>23.7006</v>
      </c>
      <c r="E2130" s="425">
        <v>16.9739</v>
      </c>
      <c r="F2130" s="425">
        <v>23.4128</v>
      </c>
      <c r="G2130" s="425">
        <v>16.0951</v>
      </c>
      <c r="H2130" s="426">
        <v>36.0742</v>
      </c>
      <c r="I2130" s="426">
        <v>29.6926</v>
      </c>
      <c r="J2130" s="426">
        <v>25.8815</v>
      </c>
      <c r="K2130" s="182">
        <v>14590.35</v>
      </c>
      <c r="L2130" s="36"/>
      <c r="M2130" s="36"/>
      <c r="N2130" s="36"/>
      <c r="O2130" s="36"/>
      <c r="P2130" s="36"/>
      <c r="Q2130" s="36"/>
      <c r="R2130" s="36"/>
      <c r="S2130" s="36"/>
      <c r="T2130" s="36"/>
      <c r="U2130" s="36"/>
      <c r="V2130" s="36"/>
      <c r="W2130" s="36"/>
      <c r="X2130" s="36"/>
      <c r="Y2130" s="36"/>
      <c r="Z2130" s="36"/>
      <c r="AA2130" s="36"/>
      <c r="AB2130" s="36"/>
      <c r="AC2130" s="36"/>
    </row>
    <row r="2131" ht="15.75" customHeight="1">
      <c r="A2131" s="423">
        <v>44218.0</v>
      </c>
      <c r="B2131" s="424">
        <v>18.7551</v>
      </c>
      <c r="C2131" s="426">
        <v>19.6478</v>
      </c>
      <c r="D2131" s="426">
        <v>23.7139</v>
      </c>
      <c r="E2131" s="425">
        <v>16.9839</v>
      </c>
      <c r="F2131" s="425">
        <v>23.0839</v>
      </c>
      <c r="G2131" s="425">
        <v>16.099</v>
      </c>
      <c r="H2131" s="426">
        <v>35.7652</v>
      </c>
      <c r="I2131" s="426">
        <v>29.3013</v>
      </c>
      <c r="J2131" s="426">
        <v>25.6649</v>
      </c>
      <c r="K2131" s="182">
        <v>14371.9</v>
      </c>
      <c r="L2131" s="36"/>
      <c r="M2131" s="36"/>
      <c r="N2131" s="36"/>
      <c r="O2131" s="36"/>
      <c r="P2131" s="36"/>
      <c r="Q2131" s="36"/>
      <c r="R2131" s="36"/>
      <c r="S2131" s="36"/>
      <c r="T2131" s="36"/>
      <c r="U2131" s="36"/>
      <c r="V2131" s="36"/>
      <c r="W2131" s="36"/>
      <c r="X2131" s="36"/>
      <c r="Y2131" s="36"/>
      <c r="Z2131" s="36"/>
      <c r="AA2131" s="36"/>
      <c r="AB2131" s="36"/>
      <c r="AC2131" s="36"/>
    </row>
    <row r="2132" ht="15.75" customHeight="1">
      <c r="A2132" s="423">
        <v>44221.0</v>
      </c>
      <c r="B2132" s="424">
        <v>18.6331</v>
      </c>
      <c r="C2132" s="426">
        <v>19.6537</v>
      </c>
      <c r="D2132" s="426">
        <v>23.7244</v>
      </c>
      <c r="E2132" s="425">
        <v>16.9899</v>
      </c>
      <c r="F2132" s="425">
        <v>22.9176</v>
      </c>
      <c r="G2132" s="425">
        <v>16.1059</v>
      </c>
      <c r="H2132" s="426">
        <v>35.5228</v>
      </c>
      <c r="I2132" s="426">
        <v>29.1034</v>
      </c>
      <c r="J2132" s="426">
        <v>25.5638</v>
      </c>
      <c r="K2132" s="182">
        <v>14238.9</v>
      </c>
      <c r="L2132" s="36"/>
      <c r="M2132" s="36"/>
      <c r="N2132" s="36"/>
      <c r="O2132" s="36"/>
      <c r="P2132" s="36"/>
      <c r="Q2132" s="36"/>
      <c r="R2132" s="36"/>
      <c r="S2132" s="36"/>
      <c r="T2132" s="36"/>
      <c r="U2132" s="36"/>
      <c r="V2132" s="36"/>
      <c r="W2132" s="36"/>
      <c r="X2132" s="36"/>
      <c r="Y2132" s="36"/>
      <c r="Z2132" s="36"/>
      <c r="AA2132" s="36"/>
      <c r="AB2132" s="36"/>
      <c r="AC2132" s="36"/>
    </row>
    <row r="2133" ht="15.75" customHeight="1">
      <c r="A2133" s="423">
        <v>44223.0</v>
      </c>
      <c r="B2133" s="424">
        <v>18.3</v>
      </c>
      <c r="C2133" s="426">
        <v>19.6569</v>
      </c>
      <c r="D2133" s="426">
        <v>23.7305</v>
      </c>
      <c r="E2133" s="425">
        <v>16.9941</v>
      </c>
      <c r="F2133" s="425">
        <v>22.5057</v>
      </c>
      <c r="G2133" s="425">
        <v>16.1133</v>
      </c>
      <c r="H2133" s="426">
        <v>34.9972</v>
      </c>
      <c r="I2133" s="426">
        <v>28.5758</v>
      </c>
      <c r="J2133" s="426">
        <v>25.2672</v>
      </c>
      <c r="K2133" s="182">
        <v>13967.5</v>
      </c>
      <c r="L2133" s="36"/>
      <c r="M2133" s="36"/>
      <c r="N2133" s="36"/>
      <c r="O2133" s="36"/>
      <c r="P2133" s="36"/>
      <c r="Q2133" s="36"/>
      <c r="R2133" s="36"/>
      <c r="S2133" s="36"/>
      <c r="T2133" s="36"/>
      <c r="U2133" s="36"/>
      <c r="V2133" s="36"/>
      <c r="W2133" s="36"/>
      <c r="X2133" s="36"/>
      <c r="Y2133" s="36"/>
      <c r="Z2133" s="36"/>
      <c r="AA2133" s="36"/>
      <c r="AB2133" s="36"/>
      <c r="AC2133" s="36"/>
    </row>
    <row r="2134" ht="15.75" customHeight="1">
      <c r="A2134" s="423">
        <v>44224.0</v>
      </c>
      <c r="B2134" s="424">
        <v>18.1315</v>
      </c>
      <c r="C2134" s="426">
        <v>19.6577</v>
      </c>
      <c r="D2134" s="426">
        <v>23.7319</v>
      </c>
      <c r="E2134" s="425">
        <v>16.9961</v>
      </c>
      <c r="F2134" s="425">
        <v>22.3291</v>
      </c>
      <c r="G2134" s="425">
        <v>16.1134</v>
      </c>
      <c r="H2134" s="426">
        <v>34.8191</v>
      </c>
      <c r="I2134" s="426">
        <v>28.3275</v>
      </c>
      <c r="J2134" s="426">
        <v>25.0998</v>
      </c>
      <c r="K2134" s="182">
        <v>13817.55</v>
      </c>
      <c r="L2134" s="36"/>
      <c r="M2134" s="36"/>
      <c r="N2134" s="36"/>
      <c r="O2134" s="36"/>
      <c r="P2134" s="36"/>
      <c r="Q2134" s="36"/>
      <c r="R2134" s="36"/>
      <c r="S2134" s="36"/>
      <c r="T2134" s="36"/>
      <c r="U2134" s="36"/>
      <c r="V2134" s="36"/>
      <c r="W2134" s="36"/>
      <c r="X2134" s="36"/>
      <c r="Y2134" s="36"/>
      <c r="Z2134" s="36"/>
      <c r="AA2134" s="36"/>
      <c r="AB2134" s="36"/>
      <c r="AC2134" s="36"/>
    </row>
    <row r="2135" ht="15.75" customHeight="1">
      <c r="A2135" s="423">
        <v>44225.0</v>
      </c>
      <c r="B2135" s="424">
        <v>17.9308</v>
      </c>
      <c r="C2135" s="426">
        <v>19.6713</v>
      </c>
      <c r="D2135" s="426">
        <v>23.7324</v>
      </c>
      <c r="E2135" s="425">
        <v>16.9963</v>
      </c>
      <c r="F2135" s="425">
        <v>22.0521</v>
      </c>
      <c r="G2135" s="425">
        <v>16.1154</v>
      </c>
      <c r="H2135" s="426">
        <v>34.516</v>
      </c>
      <c r="I2135" s="426">
        <v>27.9746</v>
      </c>
      <c r="J2135" s="426">
        <v>24.9035</v>
      </c>
      <c r="K2135" s="182">
        <v>13634.6</v>
      </c>
      <c r="L2135" s="36"/>
      <c r="M2135" s="36"/>
      <c r="N2135" s="36"/>
      <c r="O2135" s="36"/>
      <c r="P2135" s="36"/>
      <c r="Q2135" s="36"/>
      <c r="R2135" s="36"/>
      <c r="S2135" s="36"/>
      <c r="T2135" s="36"/>
      <c r="U2135" s="36"/>
      <c r="V2135" s="36"/>
      <c r="W2135" s="36"/>
      <c r="X2135" s="36"/>
      <c r="Y2135" s="36"/>
      <c r="Z2135" s="36"/>
      <c r="AA2135" s="36"/>
      <c r="AB2135" s="36"/>
      <c r="AC2135" s="36"/>
    </row>
    <row r="2136" ht="15.75" customHeight="1">
      <c r="A2136" s="423">
        <v>44228.0</v>
      </c>
      <c r="B2136" s="424">
        <v>18.7391</v>
      </c>
      <c r="C2136" s="426">
        <v>19.6558</v>
      </c>
      <c r="D2136" s="426">
        <v>23.5543</v>
      </c>
      <c r="E2136" s="425">
        <v>16.8805</v>
      </c>
      <c r="F2136" s="425">
        <v>23.0051</v>
      </c>
      <c r="G2136" s="425">
        <v>16.0623</v>
      </c>
      <c r="H2136" s="426">
        <v>35.483</v>
      </c>
      <c r="I2136" s="426">
        <v>29.1531</v>
      </c>
      <c r="J2136" s="426">
        <v>25.5187</v>
      </c>
      <c r="K2136" s="182">
        <v>14281.2</v>
      </c>
      <c r="L2136" s="36"/>
      <c r="M2136" s="36"/>
      <c r="N2136" s="36"/>
      <c r="O2136" s="36"/>
      <c r="P2136" s="36"/>
      <c r="Q2136" s="36"/>
      <c r="R2136" s="36"/>
      <c r="S2136" s="36"/>
      <c r="T2136" s="36"/>
      <c r="U2136" s="36"/>
      <c r="V2136" s="36"/>
      <c r="W2136" s="36"/>
      <c r="X2136" s="36"/>
      <c r="Y2136" s="36"/>
      <c r="Z2136" s="36"/>
      <c r="AA2136" s="36"/>
      <c r="AB2136" s="36"/>
      <c r="AC2136" s="36"/>
    </row>
    <row r="2137" ht="15.75" customHeight="1">
      <c r="A2137" s="423">
        <v>44229.0</v>
      </c>
      <c r="B2137" s="424">
        <v>19.2538</v>
      </c>
      <c r="C2137" s="426">
        <v>19.6146</v>
      </c>
      <c r="D2137" s="426">
        <v>23.443</v>
      </c>
      <c r="E2137" s="425">
        <v>16.8038</v>
      </c>
      <c r="F2137" s="425">
        <v>23.5692</v>
      </c>
      <c r="G2137" s="425">
        <v>16.017</v>
      </c>
      <c r="H2137" s="426">
        <v>36.3202</v>
      </c>
      <c r="I2137" s="426">
        <v>29.8566</v>
      </c>
      <c r="J2137" s="426">
        <v>25.8821</v>
      </c>
      <c r="K2137" s="182">
        <v>14647.85</v>
      </c>
      <c r="L2137" s="36"/>
      <c r="M2137" s="36"/>
      <c r="N2137" s="36"/>
      <c r="O2137" s="36"/>
      <c r="P2137" s="36"/>
      <c r="Q2137" s="36"/>
      <c r="R2137" s="36"/>
      <c r="S2137" s="36"/>
      <c r="T2137" s="36"/>
      <c r="U2137" s="36"/>
      <c r="V2137" s="36"/>
      <c r="W2137" s="36"/>
      <c r="X2137" s="36"/>
      <c r="Y2137" s="36"/>
      <c r="Z2137" s="36"/>
      <c r="AA2137" s="36"/>
      <c r="AB2137" s="36"/>
      <c r="AC2137" s="36"/>
    </row>
    <row r="2138" ht="15.75" customHeight="1">
      <c r="A2138" s="423">
        <v>44230.0</v>
      </c>
      <c r="B2138" s="424">
        <v>19.406</v>
      </c>
      <c r="C2138" s="426">
        <v>19.6195</v>
      </c>
      <c r="D2138" s="426">
        <v>23.4755</v>
      </c>
      <c r="E2138" s="425">
        <v>16.8286</v>
      </c>
      <c r="F2138" s="425">
        <v>23.7693</v>
      </c>
      <c r="G2138" s="425">
        <v>16.0201</v>
      </c>
      <c r="H2138" s="426">
        <v>36.805</v>
      </c>
      <c r="I2138" s="426">
        <v>30.1038</v>
      </c>
      <c r="J2138" s="426">
        <v>26.0231</v>
      </c>
      <c r="K2138" s="182">
        <v>14789.95</v>
      </c>
      <c r="L2138" s="36"/>
      <c r="M2138" s="36"/>
      <c r="N2138" s="36"/>
      <c r="O2138" s="36"/>
      <c r="P2138" s="36"/>
      <c r="Q2138" s="36"/>
      <c r="R2138" s="36"/>
      <c r="S2138" s="36"/>
      <c r="T2138" s="36"/>
      <c r="U2138" s="36"/>
      <c r="V2138" s="36"/>
      <c r="W2138" s="36"/>
      <c r="X2138" s="36"/>
      <c r="Y2138" s="36"/>
      <c r="Z2138" s="36"/>
      <c r="AA2138" s="36"/>
      <c r="AB2138" s="36"/>
      <c r="AC2138" s="36"/>
    </row>
    <row r="2139" ht="15.75" customHeight="1">
      <c r="A2139" s="423">
        <v>44231.0</v>
      </c>
      <c r="B2139" s="424">
        <v>19.5665</v>
      </c>
      <c r="C2139" s="426">
        <v>19.6128</v>
      </c>
      <c r="D2139" s="426">
        <v>23.4825</v>
      </c>
      <c r="E2139" s="425">
        <v>16.8337</v>
      </c>
      <c r="F2139" s="425">
        <v>23.9568</v>
      </c>
      <c r="G2139" s="425">
        <v>16.008</v>
      </c>
      <c r="H2139" s="426">
        <v>37.1982</v>
      </c>
      <c r="I2139" s="426">
        <v>30.3543</v>
      </c>
      <c r="J2139" s="426">
        <v>26.1721</v>
      </c>
      <c r="K2139" s="182">
        <v>14895.65</v>
      </c>
      <c r="L2139" s="36"/>
      <c r="M2139" s="36"/>
      <c r="N2139" s="36"/>
      <c r="O2139" s="36"/>
      <c r="P2139" s="36"/>
      <c r="Q2139" s="36"/>
      <c r="R2139" s="36"/>
      <c r="S2139" s="36"/>
      <c r="T2139" s="36"/>
      <c r="U2139" s="36"/>
      <c r="V2139" s="36"/>
      <c r="W2139" s="36"/>
      <c r="X2139" s="36"/>
      <c r="Y2139" s="36"/>
      <c r="Z2139" s="36"/>
      <c r="AA2139" s="36"/>
      <c r="AB2139" s="36"/>
      <c r="AC2139" s="36"/>
    </row>
    <row r="2140" ht="15.75" customHeight="1">
      <c r="A2140" s="423">
        <v>44232.0</v>
      </c>
      <c r="B2140" s="424">
        <v>19.5715</v>
      </c>
      <c r="C2140" s="426">
        <v>19.6023</v>
      </c>
      <c r="D2140" s="426">
        <v>23.4242</v>
      </c>
      <c r="E2140" s="425">
        <v>16.7943</v>
      </c>
      <c r="F2140" s="425">
        <v>23.9014</v>
      </c>
      <c r="G2140" s="425">
        <v>15.985</v>
      </c>
      <c r="H2140" s="426">
        <v>36.8235</v>
      </c>
      <c r="I2140" s="426">
        <v>30.3476</v>
      </c>
      <c r="J2140" s="426">
        <v>26.1519</v>
      </c>
      <c r="K2140" s="182">
        <v>14924.25</v>
      </c>
      <c r="L2140" s="36"/>
      <c r="M2140" s="36"/>
      <c r="N2140" s="36"/>
      <c r="O2140" s="36"/>
      <c r="P2140" s="36"/>
      <c r="Q2140" s="36"/>
      <c r="R2140" s="36"/>
      <c r="S2140" s="36"/>
      <c r="T2140" s="36"/>
      <c r="U2140" s="36"/>
      <c r="V2140" s="36"/>
      <c r="W2140" s="36"/>
      <c r="X2140" s="36"/>
      <c r="Y2140" s="36"/>
      <c r="Z2140" s="36"/>
      <c r="AA2140" s="36"/>
      <c r="AB2140" s="36"/>
      <c r="AC2140" s="36"/>
    </row>
    <row r="2141" ht="15.75" customHeight="1">
      <c r="A2141" s="423">
        <v>44235.0</v>
      </c>
      <c r="B2141" s="424">
        <v>19.8118</v>
      </c>
      <c r="C2141" s="426">
        <v>19.61</v>
      </c>
      <c r="D2141" s="426">
        <v>23.4513</v>
      </c>
      <c r="E2141" s="425">
        <v>16.8163</v>
      </c>
      <c r="F2141" s="425">
        <v>24.2312</v>
      </c>
      <c r="G2141" s="425">
        <v>16.0021</v>
      </c>
      <c r="H2141" s="426">
        <v>37.4643</v>
      </c>
      <c r="I2141" s="426">
        <v>30.7358</v>
      </c>
      <c r="J2141" s="426">
        <v>26.389</v>
      </c>
      <c r="K2141" s="182">
        <v>15115.8</v>
      </c>
      <c r="L2141" s="36"/>
      <c r="M2141" s="36"/>
      <c r="N2141" s="36"/>
      <c r="O2141" s="36"/>
      <c r="P2141" s="36"/>
      <c r="Q2141" s="36"/>
      <c r="R2141" s="36"/>
      <c r="S2141" s="36"/>
      <c r="T2141" s="36"/>
      <c r="U2141" s="36"/>
      <c r="V2141" s="36"/>
      <c r="W2141" s="36"/>
      <c r="X2141" s="36"/>
      <c r="Y2141" s="36"/>
      <c r="Z2141" s="36"/>
      <c r="AA2141" s="36"/>
      <c r="AB2141" s="36"/>
      <c r="AC2141" s="36"/>
    </row>
    <row r="2142" ht="15.75" customHeight="1">
      <c r="A2142" s="423">
        <v>44236.0</v>
      </c>
      <c r="B2142" s="424">
        <v>19.8071</v>
      </c>
      <c r="C2142" s="426">
        <v>19.601</v>
      </c>
      <c r="D2142" s="426">
        <v>23.4095</v>
      </c>
      <c r="E2142" s="425">
        <v>16.7868</v>
      </c>
      <c r="F2142" s="425">
        <v>24.2594</v>
      </c>
      <c r="G2142" s="425">
        <v>15.9944</v>
      </c>
      <c r="H2142" s="426">
        <v>37.4924</v>
      </c>
      <c r="I2142" s="426">
        <v>30.7443</v>
      </c>
      <c r="J2142" s="426">
        <v>26.3675</v>
      </c>
      <c r="K2142" s="182">
        <v>15109.3</v>
      </c>
      <c r="L2142" s="36"/>
      <c r="M2142" s="36"/>
      <c r="N2142" s="36"/>
      <c r="O2142" s="36"/>
      <c r="P2142" s="36"/>
      <c r="Q2142" s="36"/>
      <c r="R2142" s="36"/>
      <c r="S2142" s="36"/>
      <c r="T2142" s="36"/>
      <c r="U2142" s="36"/>
      <c r="V2142" s="36"/>
      <c r="W2142" s="36"/>
      <c r="X2142" s="36"/>
      <c r="Y2142" s="36"/>
      <c r="Z2142" s="36"/>
      <c r="AA2142" s="36"/>
      <c r="AB2142" s="36"/>
      <c r="AC2142" s="36"/>
    </row>
    <row r="2143" ht="15.75" customHeight="1">
      <c r="A2143" s="423">
        <v>44237.0</v>
      </c>
      <c r="B2143" s="424">
        <v>19.7708</v>
      </c>
      <c r="C2143" s="426">
        <v>19.5912</v>
      </c>
      <c r="D2143" s="426">
        <v>23.4212</v>
      </c>
      <c r="E2143" s="425">
        <v>16.7982</v>
      </c>
      <c r="F2143" s="425">
        <v>24.2182</v>
      </c>
      <c r="G2143" s="425">
        <v>15.9867</v>
      </c>
      <c r="H2143" s="426">
        <v>37.7412</v>
      </c>
      <c r="I2143" s="426">
        <v>30.7022</v>
      </c>
      <c r="J2143" s="426">
        <v>26.3458</v>
      </c>
      <c r="K2143" s="182">
        <v>15106.5</v>
      </c>
      <c r="L2143" s="36"/>
      <c r="M2143" s="36"/>
      <c r="N2143" s="36"/>
      <c r="O2143" s="36"/>
      <c r="P2143" s="36"/>
      <c r="Q2143" s="36"/>
      <c r="R2143" s="36"/>
      <c r="S2143" s="36"/>
      <c r="T2143" s="36"/>
      <c r="U2143" s="36"/>
      <c r="V2143" s="36"/>
      <c r="W2143" s="36"/>
      <c r="X2143" s="36"/>
      <c r="Y2143" s="36"/>
      <c r="Z2143" s="36"/>
      <c r="AA2143" s="36"/>
      <c r="AB2143" s="36"/>
      <c r="AC2143" s="36"/>
    </row>
    <row r="2144" ht="15.75" customHeight="1">
      <c r="A2144" s="423">
        <v>44238.0</v>
      </c>
      <c r="B2144" s="424">
        <v>19.8515</v>
      </c>
      <c r="C2144" s="426">
        <v>19.595</v>
      </c>
      <c r="D2144" s="426">
        <v>23.4441</v>
      </c>
      <c r="E2144" s="425">
        <v>16.816</v>
      </c>
      <c r="F2144" s="425">
        <v>24.3106</v>
      </c>
      <c r="G2144" s="425">
        <v>15.9848</v>
      </c>
      <c r="H2144" s="426">
        <v>37.766</v>
      </c>
      <c r="I2144" s="426">
        <v>30.8043</v>
      </c>
      <c r="J2144" s="426">
        <v>26.4185</v>
      </c>
      <c r="K2144" s="182">
        <v>15173.3</v>
      </c>
      <c r="L2144" s="36"/>
      <c r="M2144" s="36"/>
      <c r="N2144" s="36"/>
      <c r="O2144" s="36"/>
      <c r="P2144" s="36"/>
      <c r="Q2144" s="36"/>
      <c r="R2144" s="36"/>
      <c r="S2144" s="36"/>
      <c r="T2144" s="36"/>
      <c r="U2144" s="36"/>
      <c r="V2144" s="36"/>
      <c r="W2144" s="36"/>
      <c r="X2144" s="36"/>
      <c r="Y2144" s="36"/>
      <c r="Z2144" s="36"/>
      <c r="AA2144" s="36"/>
      <c r="AB2144" s="36"/>
      <c r="AC2144" s="36"/>
    </row>
    <row r="2145" ht="15.75" customHeight="1">
      <c r="A2145" s="423">
        <v>44239.0</v>
      </c>
      <c r="B2145" s="424">
        <v>19.838</v>
      </c>
      <c r="C2145" s="426">
        <v>19.5973</v>
      </c>
      <c r="D2145" s="426">
        <v>23.4555</v>
      </c>
      <c r="E2145" s="425">
        <v>16.8194</v>
      </c>
      <c r="F2145" s="425">
        <v>24.3212</v>
      </c>
      <c r="G2145" s="425">
        <v>15.9952</v>
      </c>
      <c r="H2145" s="426">
        <v>37.6728</v>
      </c>
      <c r="I2145" s="426">
        <v>30.7848</v>
      </c>
      <c r="J2145" s="426">
        <v>26.4072</v>
      </c>
      <c r="K2145" s="182">
        <v>15163.3</v>
      </c>
      <c r="L2145" s="36"/>
      <c r="M2145" s="36"/>
      <c r="N2145" s="36"/>
      <c r="O2145" s="36"/>
      <c r="P2145" s="36"/>
      <c r="Q2145" s="36"/>
      <c r="R2145" s="36"/>
      <c r="S2145" s="36"/>
      <c r="T2145" s="36"/>
      <c r="U2145" s="36"/>
      <c r="V2145" s="36"/>
      <c r="W2145" s="36"/>
      <c r="X2145" s="36"/>
      <c r="Y2145" s="36"/>
      <c r="Z2145" s="36"/>
      <c r="AA2145" s="36"/>
      <c r="AB2145" s="36"/>
      <c r="AC2145" s="36"/>
    </row>
    <row r="2146" ht="15.75" customHeight="1">
      <c r="A2146" s="423">
        <v>44242.0</v>
      </c>
      <c r="B2146" s="424">
        <v>20.0364</v>
      </c>
      <c r="C2146" s="426">
        <v>19.6154</v>
      </c>
      <c r="D2146" s="426">
        <v>23.4396</v>
      </c>
      <c r="E2146" s="425">
        <v>16.8068</v>
      </c>
      <c r="F2146" s="425">
        <v>24.5926</v>
      </c>
      <c r="G2146" s="425">
        <v>16.0054</v>
      </c>
      <c r="H2146" s="426">
        <v>38.1135</v>
      </c>
      <c r="I2146" s="426">
        <v>31.1048</v>
      </c>
      <c r="J2146" s="426">
        <v>26.5678</v>
      </c>
      <c r="K2146" s="182">
        <v>15314.7</v>
      </c>
      <c r="L2146" s="36"/>
      <c r="M2146" s="36"/>
      <c r="N2146" s="36"/>
      <c r="O2146" s="36"/>
      <c r="P2146" s="36"/>
      <c r="Q2146" s="36"/>
      <c r="R2146" s="36"/>
      <c r="S2146" s="36"/>
      <c r="T2146" s="36"/>
      <c r="U2146" s="36"/>
      <c r="V2146" s="36"/>
      <c r="W2146" s="36"/>
      <c r="X2146" s="36"/>
      <c r="Y2146" s="36"/>
      <c r="Z2146" s="36"/>
      <c r="AA2146" s="36"/>
      <c r="AB2146" s="36"/>
      <c r="AC2146" s="36"/>
    </row>
    <row r="2147" ht="15.75" customHeight="1">
      <c r="A2147" s="423">
        <v>44243.0</v>
      </c>
      <c r="B2147" s="424">
        <v>20.0204</v>
      </c>
      <c r="C2147" s="426">
        <v>19.6166</v>
      </c>
      <c r="D2147" s="426">
        <v>23.4396</v>
      </c>
      <c r="E2147" s="425">
        <v>16.8077</v>
      </c>
      <c r="F2147" s="425">
        <v>24.5341</v>
      </c>
      <c r="G2147" s="425">
        <v>16.0061</v>
      </c>
      <c r="H2147" s="426">
        <v>38.2586</v>
      </c>
      <c r="I2147" s="426">
        <v>31.0628</v>
      </c>
      <c r="J2147" s="426">
        <v>26.5512</v>
      </c>
      <c r="K2147" s="182">
        <v>15313.45</v>
      </c>
      <c r="L2147" s="36"/>
      <c r="M2147" s="36"/>
      <c r="N2147" s="36"/>
      <c r="O2147" s="36"/>
      <c r="P2147" s="36"/>
      <c r="Q2147" s="36"/>
      <c r="R2147" s="36"/>
      <c r="S2147" s="36"/>
      <c r="T2147" s="36"/>
      <c r="U2147" s="36"/>
      <c r="V2147" s="36"/>
      <c r="W2147" s="36"/>
      <c r="X2147" s="36"/>
      <c r="Y2147" s="36"/>
      <c r="Z2147" s="36"/>
      <c r="AA2147" s="36"/>
      <c r="AB2147" s="36"/>
      <c r="AC2147" s="36"/>
    </row>
    <row r="2148" ht="15.75" customHeight="1">
      <c r="A2148" s="423">
        <v>44244.0</v>
      </c>
      <c r="B2148" s="424">
        <v>19.9046</v>
      </c>
      <c r="C2148" s="426">
        <v>19.6214</v>
      </c>
      <c r="D2148" s="426">
        <v>23.4269</v>
      </c>
      <c r="E2148" s="425">
        <v>16.7984</v>
      </c>
      <c r="F2148" s="425">
        <v>24.3858</v>
      </c>
      <c r="G2148" s="425">
        <v>16.0089</v>
      </c>
      <c r="H2148" s="426">
        <v>38.2992</v>
      </c>
      <c r="I2148" s="426">
        <v>30.864</v>
      </c>
      <c r="J2148" s="426">
        <v>26.4452</v>
      </c>
      <c r="K2148" s="182">
        <v>15208.9</v>
      </c>
      <c r="L2148" s="36"/>
      <c r="M2148" s="36"/>
      <c r="N2148" s="36"/>
      <c r="O2148" s="36"/>
      <c r="P2148" s="36"/>
      <c r="Q2148" s="36"/>
      <c r="R2148" s="36"/>
      <c r="S2148" s="36"/>
      <c r="T2148" s="36"/>
      <c r="U2148" s="36"/>
      <c r="V2148" s="36"/>
      <c r="W2148" s="36"/>
      <c r="X2148" s="36"/>
      <c r="Y2148" s="36"/>
      <c r="Z2148" s="36"/>
      <c r="AA2148" s="36"/>
      <c r="AB2148" s="36"/>
      <c r="AC2148" s="36"/>
    </row>
    <row r="2149" ht="15.75" customHeight="1">
      <c r="A2149" s="423">
        <v>44245.0</v>
      </c>
      <c r="B2149" s="424">
        <v>19.7954</v>
      </c>
      <c r="C2149" s="426">
        <v>19.6239</v>
      </c>
      <c r="D2149" s="426">
        <v>23.383</v>
      </c>
      <c r="E2149" s="425">
        <v>16.7676</v>
      </c>
      <c r="F2149" s="425">
        <v>24.2531</v>
      </c>
      <c r="G2149" s="425">
        <v>16.0015</v>
      </c>
      <c r="H2149" s="426">
        <v>38.4244</v>
      </c>
      <c r="I2149" s="426">
        <v>30.6969</v>
      </c>
      <c r="J2149" s="426">
        <v>26.3335</v>
      </c>
      <c r="K2149" s="182">
        <v>15118.95</v>
      </c>
      <c r="L2149" s="36"/>
      <c r="M2149" s="36"/>
      <c r="N2149" s="36"/>
      <c r="O2149" s="36"/>
      <c r="P2149" s="36"/>
      <c r="Q2149" s="36"/>
      <c r="R2149" s="36"/>
      <c r="S2149" s="36"/>
      <c r="T2149" s="36"/>
      <c r="U2149" s="36"/>
      <c r="V2149" s="36"/>
      <c r="W2149" s="36"/>
      <c r="X2149" s="36"/>
      <c r="Y2149" s="36"/>
      <c r="Z2149" s="36"/>
      <c r="AA2149" s="36"/>
      <c r="AB2149" s="36"/>
      <c r="AC2149" s="36"/>
    </row>
    <row r="2150" ht="15.75" customHeight="1">
      <c r="A2150" s="423">
        <v>44246.0</v>
      </c>
      <c r="B2150" s="424">
        <v>19.5958</v>
      </c>
      <c r="C2150" s="426">
        <v>19.6263</v>
      </c>
      <c r="D2150" s="426">
        <v>23.3863</v>
      </c>
      <c r="E2150" s="425">
        <v>16.7697</v>
      </c>
      <c r="F2150" s="425">
        <v>23.9792</v>
      </c>
      <c r="G2150" s="425">
        <v>16.0037</v>
      </c>
      <c r="H2150" s="426">
        <v>37.8954</v>
      </c>
      <c r="I2150" s="426">
        <v>30.3661</v>
      </c>
      <c r="J2150" s="426">
        <v>26.1569</v>
      </c>
      <c r="K2150" s="182">
        <v>14981.75</v>
      </c>
      <c r="L2150" s="36"/>
      <c r="M2150" s="36"/>
      <c r="N2150" s="36"/>
      <c r="O2150" s="36"/>
      <c r="P2150" s="36"/>
      <c r="Q2150" s="36"/>
      <c r="R2150" s="36"/>
      <c r="S2150" s="36"/>
      <c r="T2150" s="36"/>
      <c r="U2150" s="36"/>
      <c r="V2150" s="36"/>
      <c r="W2150" s="36"/>
      <c r="X2150" s="36"/>
      <c r="Y2150" s="36"/>
      <c r="Z2150" s="36"/>
      <c r="AA2150" s="36"/>
      <c r="AB2150" s="36"/>
      <c r="AC2150" s="36"/>
    </row>
    <row r="2151" ht="15.75" customHeight="1">
      <c r="A2151" s="423">
        <v>44249.0</v>
      </c>
      <c r="B2151" s="424">
        <v>19.2682</v>
      </c>
      <c r="C2151" s="426">
        <v>19.6302</v>
      </c>
      <c r="D2151" s="426">
        <v>23.3424</v>
      </c>
      <c r="E2151" s="425">
        <v>16.7385</v>
      </c>
      <c r="F2151" s="425">
        <v>23.5115</v>
      </c>
      <c r="G2151" s="425">
        <v>16.0007</v>
      </c>
      <c r="H2151" s="426">
        <v>37.4068</v>
      </c>
      <c r="I2151" s="426">
        <v>29.7924</v>
      </c>
      <c r="J2151" s="426">
        <v>25.847</v>
      </c>
      <c r="K2151" s="182">
        <v>14675.7</v>
      </c>
      <c r="L2151" s="36"/>
      <c r="M2151" s="36"/>
      <c r="N2151" s="36"/>
      <c r="O2151" s="36"/>
      <c r="P2151" s="36"/>
      <c r="Q2151" s="36"/>
      <c r="R2151" s="36"/>
      <c r="S2151" s="36"/>
      <c r="T2151" s="36"/>
      <c r="U2151" s="36"/>
      <c r="V2151" s="36"/>
      <c r="W2151" s="36"/>
      <c r="X2151" s="36"/>
      <c r="Y2151" s="36"/>
      <c r="Z2151" s="36"/>
      <c r="AA2151" s="36"/>
      <c r="AB2151" s="36"/>
      <c r="AC2151" s="36"/>
    </row>
    <row r="2152" ht="15.75" customHeight="1">
      <c r="A2152" s="423">
        <v>44250.0</v>
      </c>
      <c r="B2152" s="424">
        <v>19.2908</v>
      </c>
      <c r="C2152" s="426">
        <v>19.6094</v>
      </c>
      <c r="D2152" s="426">
        <v>23.3242</v>
      </c>
      <c r="E2152" s="425">
        <v>16.725</v>
      </c>
      <c r="F2152" s="425">
        <v>23.5545</v>
      </c>
      <c r="G2152" s="425">
        <v>15.9807</v>
      </c>
      <c r="H2152" s="426">
        <v>37.7317</v>
      </c>
      <c r="I2152" s="426">
        <v>29.8653</v>
      </c>
      <c r="J2152" s="426">
        <v>25.8526</v>
      </c>
      <c r="K2152" s="182">
        <v>14707.8</v>
      </c>
      <c r="L2152" s="36"/>
      <c r="M2152" s="36"/>
      <c r="N2152" s="36"/>
      <c r="O2152" s="36"/>
      <c r="P2152" s="36"/>
      <c r="Q2152" s="36"/>
      <c r="R2152" s="36"/>
      <c r="S2152" s="36"/>
      <c r="T2152" s="36"/>
      <c r="U2152" s="36"/>
      <c r="V2152" s="36"/>
      <c r="W2152" s="36"/>
      <c r="X2152" s="36"/>
      <c r="Y2152" s="36"/>
      <c r="Z2152" s="36"/>
      <c r="AA2152" s="36"/>
      <c r="AB2152" s="36"/>
      <c r="AC2152" s="36"/>
    </row>
    <row r="2153" ht="15.75" customHeight="1">
      <c r="A2153" s="423">
        <v>44251.0</v>
      </c>
      <c r="B2153" s="424">
        <v>19.6235</v>
      </c>
      <c r="C2153" s="426">
        <v>19.6115</v>
      </c>
      <c r="D2153" s="426">
        <v>23.3374</v>
      </c>
      <c r="E2153" s="425">
        <v>16.7336</v>
      </c>
      <c r="F2153" s="425">
        <v>23.9723</v>
      </c>
      <c r="G2153" s="425">
        <v>15.9803</v>
      </c>
      <c r="H2153" s="426">
        <v>37.9762</v>
      </c>
      <c r="I2153" s="426">
        <v>30.3809</v>
      </c>
      <c r="J2153" s="426">
        <v>26.151</v>
      </c>
      <c r="K2153" s="182">
        <v>14982.0</v>
      </c>
      <c r="L2153" s="36"/>
      <c r="M2153" s="36"/>
      <c r="N2153" s="36"/>
      <c r="O2153" s="36"/>
      <c r="P2153" s="36"/>
      <c r="Q2153" s="36"/>
      <c r="R2153" s="36"/>
      <c r="S2153" s="36"/>
      <c r="T2153" s="36"/>
      <c r="U2153" s="36"/>
      <c r="V2153" s="36"/>
      <c r="W2153" s="36"/>
      <c r="X2153" s="36"/>
      <c r="Y2153" s="36"/>
      <c r="Z2153" s="36"/>
      <c r="AA2153" s="36"/>
      <c r="AB2153" s="36"/>
      <c r="AC2153" s="36"/>
    </row>
    <row r="2154" ht="15.75" customHeight="1">
      <c r="A2154" s="423">
        <v>44252.0</v>
      </c>
      <c r="B2154" s="424">
        <v>19.7483</v>
      </c>
      <c r="C2154" s="426">
        <v>19.6166</v>
      </c>
      <c r="D2154" s="426">
        <v>23.3292</v>
      </c>
      <c r="E2154" s="425">
        <v>16.7284</v>
      </c>
      <c r="F2154" s="425">
        <v>24.1121</v>
      </c>
      <c r="G2154" s="425">
        <v>15.9864</v>
      </c>
      <c r="H2154" s="426">
        <v>38.4865</v>
      </c>
      <c r="I2154" s="426">
        <v>30.5624</v>
      </c>
      <c r="J2154" s="426">
        <v>26.2623</v>
      </c>
      <c r="K2154" s="182">
        <v>15097.35</v>
      </c>
      <c r="L2154" s="36"/>
      <c r="M2154" s="36"/>
      <c r="N2154" s="36"/>
      <c r="O2154" s="36"/>
      <c r="P2154" s="36"/>
      <c r="Q2154" s="36"/>
      <c r="R2154" s="36"/>
      <c r="S2154" s="36"/>
      <c r="T2154" s="36"/>
      <c r="U2154" s="36"/>
      <c r="V2154" s="36"/>
      <c r="W2154" s="36"/>
      <c r="X2154" s="36"/>
      <c r="Y2154" s="36"/>
      <c r="Z2154" s="36"/>
      <c r="AA2154" s="36"/>
      <c r="AB2154" s="36"/>
      <c r="AC2154" s="36"/>
    </row>
    <row r="2155" ht="15.75" customHeight="1">
      <c r="A2155" s="423">
        <v>44253.0</v>
      </c>
      <c r="B2155" s="424">
        <v>19.1144</v>
      </c>
      <c r="C2155" s="426">
        <v>19.6123</v>
      </c>
      <c r="D2155" s="426">
        <v>23.2837</v>
      </c>
      <c r="E2155" s="425">
        <v>16.6996</v>
      </c>
      <c r="F2155" s="425">
        <v>23.3521</v>
      </c>
      <c r="G2155" s="425">
        <v>15.9778</v>
      </c>
      <c r="H2155" s="426">
        <v>37.9367</v>
      </c>
      <c r="I2155" s="426">
        <v>29.522</v>
      </c>
      <c r="J2155" s="426">
        <v>25.672</v>
      </c>
      <c r="K2155" s="182">
        <v>14529.15</v>
      </c>
      <c r="L2155" s="36"/>
      <c r="M2155" s="36"/>
      <c r="N2155" s="36"/>
      <c r="O2155" s="36"/>
      <c r="P2155" s="36"/>
      <c r="Q2155" s="36"/>
      <c r="R2155" s="36"/>
      <c r="S2155" s="36"/>
      <c r="T2155" s="36"/>
      <c r="U2155" s="36"/>
      <c r="V2155" s="36"/>
      <c r="W2155" s="36"/>
      <c r="X2155" s="36"/>
      <c r="Y2155" s="36"/>
      <c r="Z2155" s="36"/>
      <c r="AA2155" s="36"/>
      <c r="AB2155" s="36"/>
      <c r="AC2155" s="36"/>
    </row>
    <row r="2156" ht="15.75" customHeight="1">
      <c r="A2156" s="423">
        <v>44256.0</v>
      </c>
      <c r="B2156" s="424">
        <v>19.4007</v>
      </c>
      <c r="C2156" s="426">
        <v>19.6262</v>
      </c>
      <c r="D2156" s="426">
        <v>23.3102</v>
      </c>
      <c r="E2156" s="425">
        <v>16.717</v>
      </c>
      <c r="F2156" s="425">
        <v>23.6766</v>
      </c>
      <c r="G2156" s="425">
        <v>15.9857</v>
      </c>
      <c r="H2156" s="426">
        <v>38.4547</v>
      </c>
      <c r="I2156" s="426">
        <v>29.9079</v>
      </c>
      <c r="J2156" s="426">
        <v>25.9131</v>
      </c>
      <c r="K2156" s="182">
        <v>14761.55</v>
      </c>
      <c r="L2156" s="36"/>
      <c r="M2156" s="36"/>
      <c r="N2156" s="36"/>
      <c r="O2156" s="36"/>
      <c r="P2156" s="36"/>
      <c r="Q2156" s="36"/>
      <c r="R2156" s="36"/>
      <c r="S2156" s="36"/>
      <c r="T2156" s="36"/>
      <c r="U2156" s="36"/>
      <c r="V2156" s="36"/>
      <c r="W2156" s="36"/>
      <c r="X2156" s="36"/>
      <c r="Y2156" s="36"/>
      <c r="Z2156" s="36"/>
      <c r="AA2156" s="36"/>
      <c r="AB2156" s="36"/>
      <c r="AC2156" s="36"/>
    </row>
    <row r="2157" ht="15.75" customHeight="1">
      <c r="A2157" s="423">
        <v>44257.0</v>
      </c>
      <c r="B2157" s="424">
        <v>19.6494</v>
      </c>
      <c r="C2157" s="426">
        <v>19.6288</v>
      </c>
      <c r="D2157" s="426">
        <v>23.3141</v>
      </c>
      <c r="E2157" s="425">
        <v>16.7194</v>
      </c>
      <c r="F2157" s="425">
        <v>24.0093</v>
      </c>
      <c r="G2157" s="425">
        <v>15.9868</v>
      </c>
      <c r="H2157" s="426">
        <v>39.0892</v>
      </c>
      <c r="I2157" s="426">
        <v>30.2938</v>
      </c>
      <c r="J2157" s="426">
        <v>26.1368</v>
      </c>
      <c r="K2157" s="182">
        <v>14919.1</v>
      </c>
      <c r="L2157" s="36"/>
      <c r="M2157" s="36"/>
      <c r="N2157" s="36"/>
      <c r="O2157" s="36"/>
      <c r="P2157" s="36"/>
      <c r="Q2157" s="36"/>
      <c r="R2157" s="36"/>
      <c r="S2157" s="36"/>
      <c r="T2157" s="36"/>
      <c r="U2157" s="36"/>
      <c r="V2157" s="36"/>
      <c r="W2157" s="36"/>
      <c r="X2157" s="36"/>
      <c r="Y2157" s="36"/>
      <c r="Z2157" s="36"/>
      <c r="AA2157" s="36"/>
      <c r="AB2157" s="36"/>
      <c r="AC2157" s="36"/>
    </row>
    <row r="2158" ht="15.75" customHeight="1">
      <c r="A2158" s="423">
        <v>44258.0</v>
      </c>
      <c r="B2158" s="424">
        <v>20.0079</v>
      </c>
      <c r="C2158" s="426">
        <v>19.639</v>
      </c>
      <c r="D2158" s="426">
        <v>23.3086</v>
      </c>
      <c r="E2158" s="425">
        <v>16.7148</v>
      </c>
      <c r="F2158" s="425">
        <v>24.4575</v>
      </c>
      <c r="G2158" s="425">
        <v>15.9886</v>
      </c>
      <c r="H2158" s="426">
        <v>39.6332</v>
      </c>
      <c r="I2158" s="426">
        <v>30.8703</v>
      </c>
      <c r="J2158" s="426">
        <v>26.4509</v>
      </c>
      <c r="K2158" s="182">
        <v>15245.6</v>
      </c>
      <c r="L2158" s="36"/>
      <c r="M2158" s="36"/>
      <c r="N2158" s="36"/>
      <c r="O2158" s="36"/>
      <c r="P2158" s="36"/>
      <c r="Q2158" s="36"/>
      <c r="R2158" s="36"/>
      <c r="S2158" s="36"/>
      <c r="T2158" s="36"/>
      <c r="U2158" s="36"/>
      <c r="V2158" s="36"/>
      <c r="W2158" s="36"/>
      <c r="X2158" s="36"/>
      <c r="Y2158" s="36"/>
      <c r="Z2158" s="36"/>
      <c r="AA2158" s="36"/>
      <c r="AB2158" s="36"/>
      <c r="AC2158" s="36"/>
    </row>
    <row r="2159" ht="15.75" customHeight="1">
      <c r="A2159" s="423">
        <v>44259.0</v>
      </c>
      <c r="B2159" s="424">
        <v>19.8368</v>
      </c>
      <c r="C2159" s="426">
        <v>19.6377</v>
      </c>
      <c r="D2159" s="426">
        <v>23.3129</v>
      </c>
      <c r="E2159" s="425">
        <v>16.7192</v>
      </c>
      <c r="F2159" s="425">
        <v>24.2785</v>
      </c>
      <c r="G2159" s="425">
        <v>15.9901</v>
      </c>
      <c r="H2159" s="426">
        <v>39.8443</v>
      </c>
      <c r="I2159" s="426">
        <v>30.6277</v>
      </c>
      <c r="J2159" s="426">
        <v>26.3306</v>
      </c>
      <c r="K2159" s="182">
        <v>15080.75</v>
      </c>
      <c r="L2159" s="36"/>
      <c r="M2159" s="36"/>
      <c r="N2159" s="36"/>
      <c r="O2159" s="36"/>
      <c r="P2159" s="36"/>
      <c r="Q2159" s="36"/>
      <c r="R2159" s="36"/>
      <c r="S2159" s="36"/>
      <c r="T2159" s="36"/>
      <c r="U2159" s="36"/>
      <c r="V2159" s="36"/>
      <c r="W2159" s="36"/>
      <c r="X2159" s="36"/>
      <c r="Y2159" s="36"/>
      <c r="Z2159" s="36"/>
      <c r="AA2159" s="36"/>
      <c r="AB2159" s="36"/>
      <c r="AC2159" s="36"/>
    </row>
    <row r="2160" ht="15.75" customHeight="1">
      <c r="A2160" s="423">
        <v>44260.0</v>
      </c>
      <c r="B2160" s="424">
        <v>19.6606</v>
      </c>
      <c r="C2160" s="426">
        <v>19.6359</v>
      </c>
      <c r="D2160" s="426">
        <v>23.274</v>
      </c>
      <c r="E2160" s="425">
        <v>16.6921</v>
      </c>
      <c r="F2160" s="425">
        <v>24.0414</v>
      </c>
      <c r="G2160" s="425">
        <v>15.9818</v>
      </c>
      <c r="H2160" s="426">
        <v>39.1283</v>
      </c>
      <c r="I2160" s="426">
        <v>30.3472</v>
      </c>
      <c r="J2160" s="426">
        <v>26.1474</v>
      </c>
      <c r="K2160" s="182">
        <v>14938.1</v>
      </c>
      <c r="L2160" s="36"/>
      <c r="M2160" s="36"/>
      <c r="N2160" s="36"/>
      <c r="O2160" s="36"/>
      <c r="P2160" s="36"/>
      <c r="Q2160" s="36"/>
      <c r="R2160" s="36"/>
      <c r="S2160" s="36"/>
      <c r="T2160" s="36"/>
      <c r="U2160" s="36"/>
      <c r="V2160" s="36"/>
      <c r="W2160" s="36"/>
      <c r="X2160" s="36"/>
      <c r="Y2160" s="36"/>
      <c r="Z2160" s="36"/>
      <c r="AA2160" s="36"/>
      <c r="AB2160" s="36"/>
      <c r="AC2160" s="36"/>
    </row>
    <row r="2161" ht="15.75" customHeight="1">
      <c r="A2161" s="423">
        <v>44263.0</v>
      </c>
      <c r="B2161" s="424">
        <v>19.6904</v>
      </c>
      <c r="C2161" s="426">
        <v>19.6391</v>
      </c>
      <c r="D2161" s="426">
        <v>23.2789</v>
      </c>
      <c r="E2161" s="425">
        <v>16.6953</v>
      </c>
      <c r="F2161" s="425">
        <v>24.092</v>
      </c>
      <c r="G2161" s="425">
        <v>15.9891</v>
      </c>
      <c r="H2161" s="426">
        <v>39.2373</v>
      </c>
      <c r="I2161" s="426">
        <v>30.3961</v>
      </c>
      <c r="J2161" s="426">
        <v>26.1796</v>
      </c>
      <c r="K2161" s="182">
        <v>14956.2</v>
      </c>
      <c r="L2161" s="36"/>
      <c r="M2161" s="36"/>
      <c r="N2161" s="36"/>
      <c r="O2161" s="36"/>
      <c r="P2161" s="36"/>
      <c r="Q2161" s="36"/>
      <c r="R2161" s="36"/>
      <c r="S2161" s="36"/>
      <c r="T2161" s="36"/>
      <c r="U2161" s="36"/>
      <c r="V2161" s="36"/>
      <c r="W2161" s="36"/>
      <c r="X2161" s="36"/>
      <c r="Y2161" s="36"/>
      <c r="Z2161" s="36"/>
      <c r="AA2161" s="36"/>
      <c r="AB2161" s="36"/>
      <c r="AC2161" s="36"/>
    </row>
    <row r="2162" ht="15.75" customHeight="1">
      <c r="A2162" s="423">
        <v>44264.0</v>
      </c>
      <c r="B2162" s="424">
        <v>19.8284</v>
      </c>
      <c r="C2162" s="426">
        <v>19.642</v>
      </c>
      <c r="D2162" s="426">
        <v>23.2645</v>
      </c>
      <c r="E2162" s="425">
        <v>16.6852</v>
      </c>
      <c r="F2162" s="425">
        <v>24.2569</v>
      </c>
      <c r="G2162" s="425">
        <v>15.9911</v>
      </c>
      <c r="H2162" s="426">
        <v>39.1059</v>
      </c>
      <c r="I2162" s="426">
        <v>30.6174</v>
      </c>
      <c r="J2162" s="426">
        <v>26.307</v>
      </c>
      <c r="K2162" s="182">
        <v>15098.4</v>
      </c>
      <c r="L2162" s="36"/>
      <c r="M2162" s="36"/>
      <c r="N2162" s="36"/>
      <c r="O2162" s="36"/>
      <c r="P2162" s="36"/>
      <c r="Q2162" s="36"/>
      <c r="R2162" s="36"/>
      <c r="S2162" s="36"/>
      <c r="T2162" s="36"/>
      <c r="U2162" s="36"/>
      <c r="V2162" s="36"/>
      <c r="W2162" s="36"/>
      <c r="X2162" s="36"/>
      <c r="Y2162" s="36"/>
      <c r="Z2162" s="36"/>
      <c r="AA2162" s="36"/>
      <c r="AB2162" s="36"/>
      <c r="AC2162" s="36"/>
    </row>
    <row r="2163" ht="15.75" customHeight="1">
      <c r="A2163" s="423">
        <v>44265.0</v>
      </c>
      <c r="B2163" s="424">
        <v>19.9348</v>
      </c>
      <c r="C2163" s="426">
        <v>19.6456</v>
      </c>
      <c r="D2163" s="426">
        <v>23.2639</v>
      </c>
      <c r="E2163" s="425">
        <v>16.683</v>
      </c>
      <c r="F2163" s="425">
        <v>24.4082</v>
      </c>
      <c r="G2163" s="425">
        <v>15.9947</v>
      </c>
      <c r="H2163" s="426">
        <v>39.3552</v>
      </c>
      <c r="I2163" s="426">
        <v>30.7997</v>
      </c>
      <c r="J2163" s="426">
        <v>26.3987</v>
      </c>
      <c r="K2163" s="182">
        <v>15174.8</v>
      </c>
      <c r="L2163" s="36"/>
      <c r="M2163" s="36"/>
      <c r="N2163" s="36"/>
      <c r="O2163" s="36"/>
      <c r="P2163" s="36"/>
      <c r="Q2163" s="36"/>
      <c r="R2163" s="36"/>
      <c r="S2163" s="36"/>
      <c r="T2163" s="36"/>
      <c r="U2163" s="36"/>
      <c r="V2163" s="36"/>
      <c r="W2163" s="36"/>
      <c r="X2163" s="36"/>
      <c r="Y2163" s="36"/>
      <c r="Z2163" s="36"/>
      <c r="AA2163" s="36"/>
      <c r="AB2163" s="36"/>
      <c r="AC2163" s="36"/>
    </row>
    <row r="2164" ht="15.75" customHeight="1">
      <c r="A2164" s="423">
        <v>44267.0</v>
      </c>
      <c r="B2164" s="424">
        <v>19.7546</v>
      </c>
      <c r="C2164" s="426">
        <v>19.6476</v>
      </c>
      <c r="D2164" s="426">
        <v>23.25</v>
      </c>
      <c r="E2164" s="425">
        <v>16.6762</v>
      </c>
      <c r="F2164" s="425">
        <v>24.1884</v>
      </c>
      <c r="G2164" s="425">
        <v>15.9925</v>
      </c>
      <c r="H2164" s="426">
        <v>39.2138</v>
      </c>
      <c r="I2164" s="426">
        <v>30.5315</v>
      </c>
      <c r="J2164" s="426">
        <v>26.2432</v>
      </c>
      <c r="K2164" s="182">
        <v>15030.95</v>
      </c>
      <c r="L2164" s="36"/>
      <c r="M2164" s="36"/>
      <c r="N2164" s="36"/>
      <c r="O2164" s="36"/>
      <c r="P2164" s="36"/>
      <c r="Q2164" s="36"/>
      <c r="R2164" s="36"/>
      <c r="S2164" s="36"/>
      <c r="T2164" s="36"/>
      <c r="U2164" s="36"/>
      <c r="V2164" s="36"/>
      <c r="W2164" s="36"/>
      <c r="X2164" s="36"/>
      <c r="Y2164" s="36"/>
      <c r="Z2164" s="36"/>
      <c r="AA2164" s="36"/>
      <c r="AB2164" s="36"/>
      <c r="AC2164" s="36"/>
    </row>
    <row r="2165" ht="15.75" customHeight="1">
      <c r="A2165" s="423">
        <v>44270.0</v>
      </c>
      <c r="B2165" s="424">
        <v>19.6259</v>
      </c>
      <c r="C2165" s="426">
        <v>19.6398</v>
      </c>
      <c r="D2165" s="426">
        <v>23.2426</v>
      </c>
      <c r="E2165" s="425">
        <v>16.6739</v>
      </c>
      <c r="F2165" s="425">
        <v>24.0144</v>
      </c>
      <c r="G2165" s="425">
        <v>15.9779</v>
      </c>
      <c r="H2165" s="426">
        <v>38.9132</v>
      </c>
      <c r="I2165" s="426">
        <v>30.326</v>
      </c>
      <c r="J2165" s="426">
        <v>26.1221</v>
      </c>
      <c r="K2165" s="182">
        <v>14929.5</v>
      </c>
      <c r="L2165" s="36"/>
      <c r="M2165" s="36"/>
      <c r="N2165" s="36"/>
      <c r="O2165" s="36"/>
      <c r="P2165" s="36"/>
      <c r="Q2165" s="36"/>
      <c r="R2165" s="36"/>
      <c r="S2165" s="36"/>
      <c r="T2165" s="36"/>
      <c r="U2165" s="36"/>
      <c r="V2165" s="36"/>
      <c r="W2165" s="36"/>
      <c r="X2165" s="36"/>
      <c r="Y2165" s="36"/>
      <c r="Z2165" s="36"/>
      <c r="AA2165" s="36"/>
      <c r="AB2165" s="36"/>
      <c r="AC2165" s="36"/>
    </row>
    <row r="2166" ht="15.75" customHeight="1">
      <c r="A2166" s="423">
        <v>44271.0</v>
      </c>
      <c r="B2166" s="424">
        <v>19.5981</v>
      </c>
      <c r="C2166" s="426">
        <v>19.6482</v>
      </c>
      <c r="D2166" s="426">
        <v>23.2599</v>
      </c>
      <c r="E2166" s="425">
        <v>16.6859</v>
      </c>
      <c r="F2166" s="425">
        <v>23.995</v>
      </c>
      <c r="G2166" s="425">
        <v>15.9793</v>
      </c>
      <c r="H2166" s="426">
        <v>39.0789</v>
      </c>
      <c r="I2166" s="426">
        <v>30.304</v>
      </c>
      <c r="J2166" s="426">
        <v>26.1177</v>
      </c>
      <c r="K2166" s="182">
        <v>14910.45</v>
      </c>
      <c r="L2166" s="36"/>
      <c r="M2166" s="36"/>
      <c r="N2166" s="36"/>
      <c r="O2166" s="36"/>
      <c r="P2166" s="36"/>
      <c r="Q2166" s="36"/>
      <c r="R2166" s="36"/>
      <c r="S2166" s="36"/>
      <c r="T2166" s="36"/>
      <c r="U2166" s="36"/>
      <c r="V2166" s="36"/>
      <c r="W2166" s="36"/>
      <c r="X2166" s="36"/>
      <c r="Y2166" s="36"/>
      <c r="Z2166" s="36"/>
      <c r="AA2166" s="36"/>
      <c r="AB2166" s="36"/>
      <c r="AC2166" s="36"/>
    </row>
    <row r="2167" ht="15.75" customHeight="1">
      <c r="A2167" s="423">
        <v>44272.0</v>
      </c>
      <c r="B2167" s="424">
        <v>19.3375</v>
      </c>
      <c r="C2167" s="426">
        <v>19.645</v>
      </c>
      <c r="D2167" s="426">
        <v>23.2612</v>
      </c>
      <c r="E2167" s="425">
        <v>16.6852</v>
      </c>
      <c r="F2167" s="425">
        <v>23.6502</v>
      </c>
      <c r="G2167" s="425">
        <v>15.9795</v>
      </c>
      <c r="H2167" s="426">
        <v>38.2204</v>
      </c>
      <c r="I2167" s="426">
        <v>29.8922</v>
      </c>
      <c r="J2167" s="426">
        <v>25.8914</v>
      </c>
      <c r="K2167" s="182">
        <v>14721.3</v>
      </c>
      <c r="L2167" s="36"/>
      <c r="M2167" s="36"/>
      <c r="N2167" s="36"/>
      <c r="O2167" s="36"/>
      <c r="P2167" s="36"/>
      <c r="Q2167" s="36"/>
      <c r="R2167" s="36"/>
      <c r="S2167" s="36"/>
      <c r="T2167" s="36"/>
      <c r="U2167" s="36"/>
      <c r="V2167" s="36"/>
      <c r="W2167" s="36"/>
      <c r="X2167" s="36"/>
      <c r="Y2167" s="36"/>
      <c r="Z2167" s="36"/>
      <c r="AA2167" s="36"/>
      <c r="AB2167" s="36"/>
      <c r="AC2167" s="36"/>
    </row>
    <row r="2168" ht="15.75" customHeight="1">
      <c r="A2168" s="423">
        <v>44273.0</v>
      </c>
      <c r="B2168" s="424">
        <v>19.1168</v>
      </c>
      <c r="C2168" s="426">
        <v>19.6397</v>
      </c>
      <c r="D2168" s="426">
        <v>23.2458</v>
      </c>
      <c r="E2168" s="425">
        <v>16.6775</v>
      </c>
      <c r="F2168" s="425">
        <v>23.3127</v>
      </c>
      <c r="G2168" s="425">
        <v>15.9721</v>
      </c>
      <c r="H2168" s="426">
        <v>37.7089</v>
      </c>
      <c r="I2168" s="426">
        <v>29.5142</v>
      </c>
      <c r="J2168" s="426">
        <v>25.6771</v>
      </c>
      <c r="K2168" s="182">
        <v>14557.85</v>
      </c>
      <c r="L2168" s="36"/>
      <c r="M2168" s="36"/>
      <c r="N2168" s="36"/>
      <c r="O2168" s="36"/>
      <c r="P2168" s="36"/>
      <c r="Q2168" s="36"/>
      <c r="R2168" s="36"/>
      <c r="S2168" s="36"/>
      <c r="T2168" s="36"/>
      <c r="U2168" s="36"/>
      <c r="V2168" s="36"/>
      <c r="W2168" s="36"/>
      <c r="X2168" s="36"/>
      <c r="Y2168" s="36"/>
      <c r="Z2168" s="36"/>
      <c r="AA2168" s="36"/>
      <c r="AB2168" s="36"/>
      <c r="AC2168" s="36"/>
    </row>
    <row r="2169" ht="15.75" customHeight="1">
      <c r="A2169" s="423">
        <v>44274.0</v>
      </c>
      <c r="B2169" s="424">
        <v>19.3333</v>
      </c>
      <c r="C2169" s="426">
        <v>19.6678</v>
      </c>
      <c r="D2169" s="426">
        <v>23.3065</v>
      </c>
      <c r="E2169" s="425">
        <v>16.7228</v>
      </c>
      <c r="F2169" s="425">
        <v>23.5753</v>
      </c>
      <c r="G2169" s="425">
        <v>15.9958</v>
      </c>
      <c r="H2169" s="426">
        <v>38.0641</v>
      </c>
      <c r="I2169" s="426">
        <v>29.8565</v>
      </c>
      <c r="J2169" s="426">
        <v>25.8805</v>
      </c>
      <c r="K2169" s="182">
        <v>14744.0</v>
      </c>
      <c r="L2169" s="36"/>
      <c r="M2169" s="36"/>
      <c r="N2169" s="36"/>
      <c r="O2169" s="36"/>
      <c r="P2169" s="36"/>
      <c r="Q2169" s="36"/>
      <c r="R2169" s="36"/>
      <c r="S2169" s="36"/>
      <c r="T2169" s="36"/>
      <c r="U2169" s="36"/>
      <c r="V2169" s="36"/>
      <c r="W2169" s="36"/>
      <c r="X2169" s="36"/>
      <c r="Y2169" s="36"/>
      <c r="Z2169" s="36"/>
      <c r="AA2169" s="36"/>
      <c r="AB2169" s="36"/>
      <c r="AC2169" s="36"/>
    </row>
    <row r="2170" ht="15.75" customHeight="1">
      <c r="A2170" s="423">
        <v>44277.0</v>
      </c>
      <c r="B2170" s="424">
        <v>19.3362</v>
      </c>
      <c r="C2170" s="426">
        <v>19.6801</v>
      </c>
      <c r="D2170" s="426">
        <v>23.3855</v>
      </c>
      <c r="E2170" s="425">
        <v>16.7741</v>
      </c>
      <c r="F2170" s="425">
        <v>23.5884</v>
      </c>
      <c r="G2170" s="425">
        <v>16.0171</v>
      </c>
      <c r="H2170" s="426">
        <v>38.2467</v>
      </c>
      <c r="I2170" s="426">
        <v>29.8569</v>
      </c>
      <c r="J2170" s="426">
        <v>25.9172</v>
      </c>
      <c r="K2170" s="182">
        <v>14736.4</v>
      </c>
      <c r="L2170" s="36"/>
      <c r="M2170" s="36"/>
      <c r="N2170" s="36"/>
      <c r="O2170" s="36"/>
      <c r="P2170" s="36"/>
      <c r="Q2170" s="36"/>
      <c r="R2170" s="36"/>
      <c r="S2170" s="36"/>
      <c r="T2170" s="36"/>
      <c r="U2170" s="36"/>
      <c r="V2170" s="36"/>
      <c r="W2170" s="36"/>
      <c r="X2170" s="36"/>
      <c r="Y2170" s="36"/>
      <c r="Z2170" s="36"/>
      <c r="AA2170" s="36"/>
      <c r="AB2170" s="36"/>
      <c r="AC2170" s="36"/>
    </row>
    <row r="2171" ht="15.75" customHeight="1">
      <c r="A2171" s="423">
        <v>44278.0</v>
      </c>
      <c r="B2171" s="424">
        <v>19.4693</v>
      </c>
      <c r="C2171" s="426">
        <v>19.697</v>
      </c>
      <c r="D2171" s="426">
        <v>23.45</v>
      </c>
      <c r="E2171" s="425">
        <v>16.8186</v>
      </c>
      <c r="F2171" s="425">
        <v>23.7762</v>
      </c>
      <c r="G2171" s="425">
        <v>16.0419</v>
      </c>
      <c r="H2171" s="426">
        <v>38.4212</v>
      </c>
      <c r="I2171" s="426">
        <v>30.0719</v>
      </c>
      <c r="J2171" s="426">
        <v>26.0778</v>
      </c>
      <c r="K2171" s="182">
        <v>14814.75</v>
      </c>
      <c r="L2171" s="36"/>
      <c r="M2171" s="36"/>
      <c r="N2171" s="36"/>
      <c r="O2171" s="36"/>
      <c r="P2171" s="36"/>
      <c r="Q2171" s="36"/>
      <c r="R2171" s="36"/>
      <c r="S2171" s="36"/>
      <c r="T2171" s="36"/>
      <c r="U2171" s="36"/>
      <c r="V2171" s="36"/>
      <c r="W2171" s="36"/>
      <c r="X2171" s="36"/>
      <c r="Y2171" s="36"/>
      <c r="Z2171" s="36"/>
      <c r="AA2171" s="36"/>
      <c r="AB2171" s="36"/>
      <c r="AC2171" s="36"/>
    </row>
    <row r="2172" ht="15.75" customHeight="1">
      <c r="A2172" s="423">
        <v>44279.0</v>
      </c>
      <c r="B2172" s="424">
        <v>19.1221</v>
      </c>
      <c r="C2172" s="426">
        <v>19.701</v>
      </c>
      <c r="D2172" s="426">
        <v>23.4856</v>
      </c>
      <c r="E2172" s="425">
        <v>16.8412</v>
      </c>
      <c r="F2172" s="425">
        <v>23.3522</v>
      </c>
      <c r="G2172" s="425">
        <v>16.055</v>
      </c>
      <c r="H2172" s="426">
        <v>37.7776</v>
      </c>
      <c r="I2172" s="426">
        <v>29.5403</v>
      </c>
      <c r="J2172" s="426">
        <v>25.8065</v>
      </c>
      <c r="K2172" s="182">
        <v>14549.4</v>
      </c>
      <c r="L2172" s="36"/>
      <c r="M2172" s="36"/>
      <c r="N2172" s="36"/>
      <c r="O2172" s="36"/>
      <c r="P2172" s="36"/>
      <c r="Q2172" s="36"/>
      <c r="R2172" s="36"/>
      <c r="S2172" s="36"/>
      <c r="T2172" s="36"/>
      <c r="U2172" s="36"/>
      <c r="V2172" s="36"/>
      <c r="W2172" s="36"/>
      <c r="X2172" s="36"/>
      <c r="Y2172" s="36"/>
      <c r="Z2172" s="36"/>
      <c r="AA2172" s="36"/>
      <c r="AB2172" s="36"/>
      <c r="AC2172" s="36"/>
    </row>
    <row r="2173" ht="15.75" customHeight="1">
      <c r="A2173" s="423">
        <v>44280.0</v>
      </c>
      <c r="B2173" s="424">
        <v>18.8247</v>
      </c>
      <c r="C2173" s="426">
        <v>19.7055</v>
      </c>
      <c r="D2173" s="426">
        <v>23.4841</v>
      </c>
      <c r="E2173" s="425">
        <v>16.8383</v>
      </c>
      <c r="F2173" s="425">
        <v>23.0124</v>
      </c>
      <c r="G2173" s="425">
        <v>16.0543</v>
      </c>
      <c r="H2173" s="426">
        <v>37.1975</v>
      </c>
      <c r="I2173" s="426">
        <v>29.1093</v>
      </c>
      <c r="J2173" s="426">
        <v>25.5481</v>
      </c>
      <c r="K2173" s="182">
        <v>14324.9</v>
      </c>
      <c r="L2173" s="36"/>
      <c r="M2173" s="36"/>
      <c r="N2173" s="36"/>
      <c r="O2173" s="36"/>
      <c r="P2173" s="36"/>
      <c r="Q2173" s="36"/>
      <c r="R2173" s="36"/>
      <c r="S2173" s="36"/>
      <c r="T2173" s="36"/>
      <c r="U2173" s="36"/>
      <c r="V2173" s="36"/>
      <c r="W2173" s="36"/>
      <c r="X2173" s="36"/>
      <c r="Y2173" s="36"/>
      <c r="Z2173" s="36"/>
      <c r="AA2173" s="36"/>
      <c r="AB2173" s="36"/>
      <c r="AC2173" s="36"/>
    </row>
    <row r="2174" ht="15.75" customHeight="1">
      <c r="A2174" s="423">
        <v>44281.0</v>
      </c>
      <c r="B2174" s="424">
        <v>19.0628</v>
      </c>
      <c r="C2174" s="426">
        <v>19.7178</v>
      </c>
      <c r="D2174" s="426">
        <v>23.5038</v>
      </c>
      <c r="E2174" s="425">
        <v>16.8547</v>
      </c>
      <c r="F2174" s="425">
        <v>23.3113</v>
      </c>
      <c r="G2174" s="425">
        <v>16.0647</v>
      </c>
      <c r="H2174" s="426">
        <v>37.7741</v>
      </c>
      <c r="I2174" s="426">
        <v>29.477</v>
      </c>
      <c r="J2174" s="426">
        <v>25.7637</v>
      </c>
      <c r="K2174" s="182">
        <v>14507.3</v>
      </c>
      <c r="L2174" s="36"/>
      <c r="M2174" s="36"/>
      <c r="N2174" s="36"/>
      <c r="O2174" s="36"/>
      <c r="P2174" s="36"/>
      <c r="Q2174" s="36"/>
      <c r="R2174" s="36"/>
      <c r="S2174" s="36"/>
      <c r="T2174" s="36"/>
      <c r="U2174" s="36"/>
      <c r="V2174" s="36"/>
      <c r="W2174" s="36"/>
      <c r="X2174" s="36"/>
      <c r="Y2174" s="36"/>
      <c r="Z2174" s="36"/>
      <c r="AA2174" s="36"/>
      <c r="AB2174" s="36"/>
      <c r="AC2174" s="36"/>
    </row>
    <row r="2175" ht="15.75" customHeight="1">
      <c r="A2175" s="423">
        <v>44285.0</v>
      </c>
      <c r="B2175" s="424">
        <v>19.4559</v>
      </c>
      <c r="C2175" s="426">
        <v>19.7155</v>
      </c>
      <c r="D2175" s="426">
        <v>23.5136</v>
      </c>
      <c r="E2175" s="425">
        <v>16.8602</v>
      </c>
      <c r="F2175" s="425">
        <v>23.7601</v>
      </c>
      <c r="G2175" s="425">
        <v>16.0738</v>
      </c>
      <c r="H2175" s="426">
        <v>38.4042</v>
      </c>
      <c r="I2175" s="426">
        <v>30.0689</v>
      </c>
      <c r="J2175" s="426">
        <v>26.1142</v>
      </c>
      <c r="K2175" s="182">
        <v>14845.1</v>
      </c>
      <c r="L2175" s="36"/>
      <c r="M2175" s="36"/>
      <c r="N2175" s="36"/>
      <c r="O2175" s="36"/>
      <c r="P2175" s="36"/>
      <c r="Q2175" s="36"/>
      <c r="R2175" s="36"/>
      <c r="S2175" s="36"/>
      <c r="T2175" s="36"/>
      <c r="U2175" s="36"/>
      <c r="V2175" s="36"/>
      <c r="W2175" s="36"/>
      <c r="X2175" s="36"/>
      <c r="Y2175" s="36"/>
      <c r="Z2175" s="36"/>
      <c r="AA2175" s="36"/>
      <c r="AB2175" s="36"/>
      <c r="AC2175" s="36"/>
    </row>
    <row r="2176" ht="15.75" customHeight="1">
      <c r="A2176" s="423">
        <v>44286.0</v>
      </c>
      <c r="B2176" s="424">
        <v>19.3132</v>
      </c>
      <c r="C2176" s="426">
        <v>19.7247</v>
      </c>
      <c r="D2176" s="426">
        <v>23.5224</v>
      </c>
      <c r="E2176" s="425">
        <v>16.8661</v>
      </c>
      <c r="F2176" s="425">
        <v>23.6416</v>
      </c>
      <c r="G2176" s="425">
        <v>16.0824</v>
      </c>
      <c r="H2176" s="426">
        <v>38.486</v>
      </c>
      <c r="I2176" s="426">
        <v>29.8525</v>
      </c>
      <c r="J2176" s="426">
        <v>26.0028</v>
      </c>
      <c r="K2176" s="182">
        <v>14690.7</v>
      </c>
      <c r="L2176" s="36"/>
      <c r="M2176" s="36"/>
      <c r="N2176" s="36"/>
      <c r="O2176" s="36"/>
      <c r="P2176" s="36"/>
      <c r="Q2176" s="36"/>
      <c r="R2176" s="36"/>
      <c r="S2176" s="36"/>
      <c r="T2176" s="36"/>
      <c r="U2176" s="36"/>
      <c r="V2176" s="36"/>
      <c r="W2176" s="36"/>
      <c r="X2176" s="36"/>
      <c r="Y2176" s="36"/>
      <c r="Z2176" s="36"/>
      <c r="AA2176" s="36"/>
      <c r="AB2176" s="36"/>
      <c r="AC2176" s="36"/>
    </row>
    <row r="2177" ht="15.75" customHeight="1">
      <c r="A2177" s="423">
        <v>44287.0</v>
      </c>
      <c r="B2177" s="424">
        <v>19.5151</v>
      </c>
      <c r="C2177" s="426">
        <v>19.727</v>
      </c>
      <c r="D2177" s="426">
        <v>23.5251</v>
      </c>
      <c r="E2177" s="425">
        <v>16.8682</v>
      </c>
      <c r="F2177" s="425">
        <v>23.8661</v>
      </c>
      <c r="G2177" s="425">
        <v>16.0844</v>
      </c>
      <c r="H2177" s="426">
        <v>38.9076</v>
      </c>
      <c r="I2177" s="426">
        <v>30.1793</v>
      </c>
      <c r="J2177" s="426">
        <v>26.1587</v>
      </c>
      <c r="K2177" s="182">
        <v>14867.35</v>
      </c>
      <c r="L2177" s="36"/>
      <c r="M2177" s="36"/>
      <c r="N2177" s="36"/>
      <c r="O2177" s="36"/>
      <c r="P2177" s="36"/>
      <c r="Q2177" s="36"/>
      <c r="R2177" s="36"/>
      <c r="S2177" s="36"/>
      <c r="T2177" s="36"/>
      <c r="U2177" s="36"/>
      <c r="V2177" s="36"/>
      <c r="W2177" s="36"/>
      <c r="X2177" s="36"/>
      <c r="Y2177" s="36"/>
      <c r="Z2177" s="36"/>
      <c r="AA2177" s="36"/>
      <c r="AB2177" s="36"/>
      <c r="AC2177" s="36"/>
    </row>
    <row r="2178" ht="15.75" customHeight="1">
      <c r="A2178" s="423">
        <v>44291.0</v>
      </c>
      <c r="B2178" s="424">
        <v>19.2102</v>
      </c>
      <c r="C2178" s="426">
        <v>19.7321</v>
      </c>
      <c r="D2178" s="426">
        <v>23.5758</v>
      </c>
      <c r="E2178" s="425">
        <v>16.9083</v>
      </c>
      <c r="F2178" s="425">
        <v>23.4839</v>
      </c>
      <c r="G2178" s="425">
        <v>16.091</v>
      </c>
      <c r="H2178" s="426">
        <v>38.2093</v>
      </c>
      <c r="I2178" s="426">
        <v>29.7321</v>
      </c>
      <c r="J2178" s="426">
        <v>25.9253</v>
      </c>
      <c r="K2178" s="182">
        <v>14637.8</v>
      </c>
      <c r="L2178" s="36"/>
      <c r="M2178" s="36"/>
      <c r="N2178" s="36"/>
      <c r="O2178" s="36"/>
      <c r="P2178" s="36"/>
      <c r="Q2178" s="36"/>
      <c r="R2178" s="36"/>
      <c r="S2178" s="36"/>
      <c r="T2178" s="36"/>
      <c r="U2178" s="36"/>
      <c r="V2178" s="36"/>
      <c r="W2178" s="36"/>
      <c r="X2178" s="36"/>
      <c r="Y2178" s="36"/>
      <c r="Z2178" s="36"/>
      <c r="AA2178" s="36"/>
      <c r="AB2178" s="36"/>
      <c r="AC2178" s="36"/>
    </row>
    <row r="2179" ht="15.75" customHeight="1">
      <c r="A2179" s="423">
        <v>44292.0</v>
      </c>
      <c r="B2179" s="424">
        <v>19.23</v>
      </c>
      <c r="C2179" s="426">
        <v>19.7461</v>
      </c>
      <c r="D2179" s="426">
        <v>23.6138</v>
      </c>
      <c r="E2179" s="425">
        <v>16.9325</v>
      </c>
      <c r="F2179" s="425">
        <v>23.5272</v>
      </c>
      <c r="G2179" s="425">
        <v>16.1151</v>
      </c>
      <c r="H2179" s="426">
        <v>38.4038</v>
      </c>
      <c r="I2179" s="426">
        <v>29.7842</v>
      </c>
      <c r="J2179" s="426">
        <v>25.9647</v>
      </c>
      <c r="K2179" s="182">
        <v>14683.5</v>
      </c>
      <c r="L2179" s="36"/>
      <c r="M2179" s="36"/>
      <c r="N2179" s="36"/>
      <c r="O2179" s="36"/>
      <c r="P2179" s="36"/>
      <c r="Q2179" s="36"/>
      <c r="R2179" s="36"/>
      <c r="S2179" s="36"/>
      <c r="T2179" s="36"/>
      <c r="U2179" s="36"/>
      <c r="V2179" s="36"/>
      <c r="W2179" s="36"/>
      <c r="X2179" s="36"/>
      <c r="Y2179" s="36"/>
      <c r="Z2179" s="36"/>
      <c r="AA2179" s="36"/>
      <c r="AB2179" s="36"/>
      <c r="AC2179" s="36"/>
    </row>
    <row r="2180" ht="15.75" customHeight="1">
      <c r="A2180" s="423">
        <v>44293.0</v>
      </c>
      <c r="B2180" s="424">
        <v>19.4167</v>
      </c>
      <c r="C2180" s="426">
        <v>19.7132</v>
      </c>
      <c r="D2180" s="426">
        <v>23.6256</v>
      </c>
      <c r="E2180" s="425">
        <v>16.9417</v>
      </c>
      <c r="F2180" s="425">
        <v>23.7797</v>
      </c>
      <c r="G2180" s="425">
        <v>16.1005</v>
      </c>
      <c r="H2180" s="426">
        <v>38.9161</v>
      </c>
      <c r="I2180" s="426">
        <v>30.0939</v>
      </c>
      <c r="J2180" s="426">
        <v>26.1263</v>
      </c>
      <c r="K2180" s="182">
        <v>14819.05</v>
      </c>
      <c r="L2180" s="36"/>
      <c r="M2180" s="36"/>
      <c r="N2180" s="36"/>
      <c r="O2180" s="36"/>
      <c r="P2180" s="36"/>
      <c r="Q2180" s="36"/>
      <c r="R2180" s="36"/>
      <c r="S2180" s="36"/>
      <c r="T2180" s="36"/>
      <c r="U2180" s="36"/>
      <c r="V2180" s="36"/>
      <c r="W2180" s="36"/>
      <c r="X2180" s="36"/>
      <c r="Y2180" s="36"/>
      <c r="Z2180" s="36"/>
      <c r="AA2180" s="36"/>
      <c r="AB2180" s="36"/>
      <c r="AC2180" s="36"/>
    </row>
    <row r="2181" ht="15.75" customHeight="1">
      <c r="A2181" s="423">
        <v>44294.0</v>
      </c>
      <c r="B2181" s="424">
        <v>19.4709</v>
      </c>
      <c r="C2181" s="426">
        <v>19.7268</v>
      </c>
      <c r="D2181" s="426">
        <v>23.6258</v>
      </c>
      <c r="E2181" s="425">
        <v>16.9422</v>
      </c>
      <c r="F2181" s="425">
        <v>23.8566</v>
      </c>
      <c r="G2181" s="425">
        <v>16.1032</v>
      </c>
      <c r="H2181" s="426">
        <v>39.1688</v>
      </c>
      <c r="I2181" s="426">
        <v>30.1908</v>
      </c>
      <c r="J2181" s="426">
        <v>26.1853</v>
      </c>
      <c r="K2181" s="182">
        <v>14873.8</v>
      </c>
      <c r="L2181" s="36"/>
      <c r="M2181" s="36"/>
      <c r="N2181" s="36"/>
      <c r="O2181" s="36"/>
      <c r="P2181" s="36"/>
      <c r="Q2181" s="36"/>
      <c r="R2181" s="36"/>
      <c r="S2181" s="36"/>
      <c r="T2181" s="36"/>
      <c r="U2181" s="36"/>
      <c r="V2181" s="36"/>
      <c r="W2181" s="36"/>
      <c r="X2181" s="36"/>
      <c r="Y2181" s="36"/>
      <c r="Z2181" s="36"/>
      <c r="AA2181" s="36"/>
      <c r="AB2181" s="36"/>
      <c r="AC2181" s="36"/>
    </row>
    <row r="2182" ht="15.75" customHeight="1">
      <c r="A2182" s="423">
        <v>44295.0</v>
      </c>
      <c r="B2182" s="424">
        <v>19.4109</v>
      </c>
      <c r="C2182" s="426">
        <v>19.7371</v>
      </c>
      <c r="D2182" s="426">
        <v>23.6278</v>
      </c>
      <c r="E2182" s="425">
        <v>16.9437</v>
      </c>
      <c r="F2182" s="425">
        <v>23.7715</v>
      </c>
      <c r="G2182" s="425">
        <v>16.1167</v>
      </c>
      <c r="H2182" s="426">
        <v>39.1359</v>
      </c>
      <c r="I2182" s="426">
        <v>30.0955</v>
      </c>
      <c r="J2182" s="426">
        <v>26.1429</v>
      </c>
      <c r="K2182" s="182">
        <v>14834.85</v>
      </c>
      <c r="L2182" s="36"/>
      <c r="M2182" s="36"/>
      <c r="N2182" s="36"/>
      <c r="O2182" s="36"/>
      <c r="P2182" s="36"/>
      <c r="Q2182" s="36"/>
      <c r="R2182" s="36"/>
      <c r="S2182" s="36"/>
      <c r="T2182" s="36"/>
      <c r="U2182" s="36"/>
      <c r="V2182" s="36"/>
      <c r="W2182" s="36"/>
      <c r="X2182" s="36"/>
      <c r="Y2182" s="36"/>
      <c r="Z2182" s="36"/>
      <c r="AA2182" s="36"/>
      <c r="AB2182" s="36"/>
      <c r="AC2182" s="36"/>
    </row>
    <row r="2183" ht="15.75" customHeight="1">
      <c r="A2183" s="423">
        <v>44298.0</v>
      </c>
      <c r="B2183" s="424">
        <v>18.7459</v>
      </c>
      <c r="C2183" s="426">
        <v>19.7418</v>
      </c>
      <c r="D2183" s="426">
        <v>23.6355</v>
      </c>
      <c r="E2183" s="425">
        <v>16.9488</v>
      </c>
      <c r="F2183" s="425">
        <v>22.966</v>
      </c>
      <c r="G2183" s="425">
        <v>16.122</v>
      </c>
      <c r="H2183" s="426">
        <v>37.2882</v>
      </c>
      <c r="I2183" s="426">
        <v>29.0915</v>
      </c>
      <c r="J2183" s="426">
        <v>25.5678</v>
      </c>
      <c r="K2183" s="182">
        <v>14310.8</v>
      </c>
      <c r="L2183" s="36"/>
      <c r="M2183" s="36"/>
      <c r="N2183" s="36"/>
      <c r="O2183" s="36"/>
      <c r="P2183" s="36"/>
      <c r="Q2183" s="36"/>
      <c r="R2183" s="36"/>
      <c r="S2183" s="36"/>
      <c r="T2183" s="36"/>
      <c r="U2183" s="36"/>
      <c r="V2183" s="36"/>
      <c r="W2183" s="36"/>
      <c r="X2183" s="36"/>
      <c r="Y2183" s="36"/>
      <c r="Z2183" s="36"/>
      <c r="AA2183" s="36"/>
      <c r="AB2183" s="36"/>
      <c r="AC2183" s="36"/>
    </row>
    <row r="2184" ht="15.75" customHeight="1">
      <c r="A2184" s="423">
        <v>44299.0</v>
      </c>
      <c r="B2184" s="424">
        <v>18.9689</v>
      </c>
      <c r="C2184" s="426">
        <v>19.7441</v>
      </c>
      <c r="D2184" s="426">
        <v>23.6389</v>
      </c>
      <c r="E2184" s="425">
        <v>16.9512</v>
      </c>
      <c r="F2184" s="425">
        <v>23.2329</v>
      </c>
      <c r="G2184" s="425">
        <v>16.1239</v>
      </c>
      <c r="H2184" s="426">
        <v>37.7322</v>
      </c>
      <c r="I2184" s="426">
        <v>29.4023</v>
      </c>
      <c r="J2184" s="426">
        <v>25.7451</v>
      </c>
      <c r="K2184" s="182">
        <v>14504.8</v>
      </c>
      <c r="L2184" s="36"/>
      <c r="M2184" s="36"/>
      <c r="N2184" s="36"/>
      <c r="O2184" s="36"/>
      <c r="P2184" s="36"/>
      <c r="Q2184" s="36"/>
      <c r="R2184" s="36"/>
      <c r="S2184" s="36"/>
      <c r="T2184" s="36"/>
      <c r="U2184" s="36"/>
      <c r="V2184" s="36"/>
      <c r="W2184" s="36"/>
      <c r="X2184" s="36"/>
      <c r="Y2184" s="36"/>
      <c r="Z2184" s="36"/>
      <c r="AA2184" s="36"/>
      <c r="AB2184" s="36"/>
      <c r="AC2184" s="36"/>
    </row>
    <row r="2185" ht="15.75" customHeight="1">
      <c r="A2185" s="423">
        <v>44301.0</v>
      </c>
      <c r="B2185" s="424">
        <v>19.0534</v>
      </c>
      <c r="C2185" s="426">
        <v>19.7405</v>
      </c>
      <c r="D2185" s="426">
        <v>23.5672</v>
      </c>
      <c r="E2185" s="425">
        <v>16.9032</v>
      </c>
      <c r="F2185" s="425">
        <v>23.3268</v>
      </c>
      <c r="G2185" s="425">
        <v>16.1091</v>
      </c>
      <c r="H2185" s="426">
        <v>37.5938</v>
      </c>
      <c r="I2185" s="426">
        <v>29.5557</v>
      </c>
      <c r="J2185" s="426">
        <v>25.7895</v>
      </c>
      <c r="K2185" s="182">
        <v>14581.45</v>
      </c>
      <c r="L2185" s="36"/>
      <c r="M2185" s="36"/>
      <c r="N2185" s="36"/>
      <c r="O2185" s="36"/>
      <c r="P2185" s="36"/>
      <c r="Q2185" s="36"/>
      <c r="R2185" s="36"/>
      <c r="S2185" s="36"/>
      <c r="T2185" s="36"/>
      <c r="U2185" s="36"/>
      <c r="V2185" s="36"/>
      <c r="W2185" s="36"/>
      <c r="X2185" s="36"/>
      <c r="Y2185" s="36"/>
      <c r="Z2185" s="36"/>
      <c r="AA2185" s="36"/>
      <c r="AB2185" s="36"/>
      <c r="AC2185" s="36"/>
    </row>
    <row r="2186" ht="15.75" customHeight="1">
      <c r="A2186" s="423">
        <v>44302.0</v>
      </c>
      <c r="B2186" s="424">
        <v>19.1116</v>
      </c>
      <c r="C2186" s="426">
        <v>19.7371</v>
      </c>
      <c r="D2186" s="426">
        <v>23.5433</v>
      </c>
      <c r="E2186" s="425">
        <v>16.8876</v>
      </c>
      <c r="F2186" s="425">
        <v>23.3675</v>
      </c>
      <c r="G2186" s="425">
        <v>16.0999</v>
      </c>
      <c r="H2186" s="426">
        <v>38.0065</v>
      </c>
      <c r="I2186" s="426">
        <v>29.6055</v>
      </c>
      <c r="J2186" s="426">
        <v>25.839</v>
      </c>
      <c r="K2186" s="182">
        <v>14617.85</v>
      </c>
      <c r="L2186" s="36"/>
      <c r="M2186" s="36"/>
      <c r="N2186" s="36"/>
      <c r="O2186" s="36"/>
      <c r="P2186" s="36"/>
      <c r="Q2186" s="36"/>
      <c r="R2186" s="36"/>
      <c r="S2186" s="36"/>
      <c r="T2186" s="36"/>
      <c r="U2186" s="36"/>
      <c r="V2186" s="36"/>
      <c r="W2186" s="36"/>
      <c r="X2186" s="36"/>
      <c r="Y2186" s="36"/>
      <c r="Z2186" s="36"/>
      <c r="AA2186" s="36"/>
      <c r="AB2186" s="36"/>
      <c r="AC2186" s="36"/>
    </row>
    <row r="2187" ht="15.75" customHeight="1">
      <c r="A2187" s="423">
        <v>44305.0</v>
      </c>
      <c r="B2187" s="424">
        <v>18.8008</v>
      </c>
      <c r="C2187" s="426">
        <v>19.7567</v>
      </c>
      <c r="D2187" s="426">
        <v>23.5625</v>
      </c>
      <c r="E2187" s="425">
        <v>16.9028</v>
      </c>
      <c r="F2187" s="425">
        <v>23.0046</v>
      </c>
      <c r="G2187" s="425">
        <v>16.115</v>
      </c>
      <c r="H2187" s="426">
        <v>37.2717</v>
      </c>
      <c r="I2187" s="426">
        <v>29.1475</v>
      </c>
      <c r="J2187" s="426">
        <v>25.5888</v>
      </c>
      <c r="K2187" s="182">
        <v>14359.45</v>
      </c>
      <c r="L2187" s="36"/>
      <c r="M2187" s="36"/>
      <c r="N2187" s="36"/>
      <c r="O2187" s="36"/>
      <c r="P2187" s="36"/>
      <c r="Q2187" s="36"/>
      <c r="R2187" s="36"/>
      <c r="S2187" s="36"/>
      <c r="T2187" s="36"/>
      <c r="U2187" s="36"/>
      <c r="V2187" s="36"/>
      <c r="W2187" s="36"/>
      <c r="X2187" s="36"/>
      <c r="Y2187" s="36"/>
      <c r="Z2187" s="36"/>
      <c r="AA2187" s="36"/>
      <c r="AB2187" s="36"/>
      <c r="AC2187" s="36"/>
    </row>
    <row r="2188" ht="15.75" customHeight="1">
      <c r="A2188" s="423">
        <v>44306.0</v>
      </c>
      <c r="B2188" s="424">
        <v>18.757</v>
      </c>
      <c r="C2188" s="426">
        <v>19.7652</v>
      </c>
      <c r="D2188" s="426">
        <v>23.5727</v>
      </c>
      <c r="E2188" s="425">
        <v>16.9082</v>
      </c>
      <c r="F2188" s="425">
        <v>22.9788</v>
      </c>
      <c r="G2188" s="425">
        <v>16.1241</v>
      </c>
      <c r="H2188" s="426">
        <v>37.3343</v>
      </c>
      <c r="I2188" s="426">
        <v>29.0941</v>
      </c>
      <c r="J2188" s="426">
        <v>25.5661</v>
      </c>
      <c r="K2188" s="182">
        <v>14296.4</v>
      </c>
      <c r="L2188" s="36"/>
      <c r="M2188" s="36"/>
      <c r="N2188" s="36"/>
      <c r="O2188" s="36"/>
      <c r="P2188" s="36"/>
      <c r="Q2188" s="36"/>
      <c r="R2188" s="36"/>
      <c r="S2188" s="36"/>
      <c r="T2188" s="36"/>
      <c r="U2188" s="36"/>
      <c r="V2188" s="36"/>
      <c r="W2188" s="36"/>
      <c r="X2188" s="36"/>
      <c r="Y2188" s="36"/>
      <c r="Z2188" s="36"/>
      <c r="AA2188" s="36"/>
      <c r="AB2188" s="36"/>
      <c r="AC2188" s="36"/>
    </row>
    <row r="2189" ht="15.75" customHeight="1">
      <c r="A2189" s="423">
        <v>44308.0</v>
      </c>
      <c r="B2189" s="424">
        <v>18.875</v>
      </c>
      <c r="C2189" s="426">
        <v>19.77</v>
      </c>
      <c r="D2189" s="426">
        <v>23.5936</v>
      </c>
      <c r="E2189" s="425">
        <v>16.9236</v>
      </c>
      <c r="F2189" s="425">
        <v>23.0891</v>
      </c>
      <c r="G2189" s="425">
        <v>16.1284</v>
      </c>
      <c r="H2189" s="426">
        <v>37.4223</v>
      </c>
      <c r="I2189" s="426">
        <v>29.2686</v>
      </c>
      <c r="J2189" s="426">
        <v>25.6701</v>
      </c>
      <c r="K2189" s="182">
        <v>14406.15</v>
      </c>
      <c r="L2189" s="36"/>
      <c r="M2189" s="36"/>
      <c r="N2189" s="36"/>
      <c r="O2189" s="36"/>
      <c r="P2189" s="36"/>
      <c r="Q2189" s="36"/>
      <c r="R2189" s="36"/>
      <c r="S2189" s="36"/>
      <c r="T2189" s="36"/>
      <c r="U2189" s="36"/>
      <c r="V2189" s="36"/>
      <c r="W2189" s="36"/>
      <c r="X2189" s="36"/>
      <c r="Y2189" s="36"/>
      <c r="Z2189" s="36"/>
      <c r="AA2189" s="36"/>
      <c r="AB2189" s="36"/>
      <c r="AC2189" s="36"/>
    </row>
    <row r="2190" ht="15.75" customHeight="1">
      <c r="A2190" s="423">
        <v>44309.0</v>
      </c>
      <c r="B2190" s="424">
        <v>18.7806</v>
      </c>
      <c r="C2190" s="426">
        <v>19.781</v>
      </c>
      <c r="D2190" s="426">
        <v>23.6102</v>
      </c>
      <c r="E2190" s="425">
        <v>16.9353</v>
      </c>
      <c r="F2190" s="425">
        <v>22.9781</v>
      </c>
      <c r="G2190" s="425">
        <v>16.1385</v>
      </c>
      <c r="H2190" s="426">
        <v>37.5542</v>
      </c>
      <c r="I2190" s="426">
        <v>29.0926</v>
      </c>
      <c r="J2190" s="426">
        <v>25.5925</v>
      </c>
      <c r="K2190" s="182">
        <v>14341.35</v>
      </c>
      <c r="L2190" s="36"/>
      <c r="M2190" s="36"/>
      <c r="N2190" s="36"/>
      <c r="O2190" s="36"/>
      <c r="P2190" s="36"/>
      <c r="Q2190" s="36"/>
      <c r="R2190" s="36"/>
      <c r="S2190" s="36"/>
      <c r="T2190" s="36"/>
      <c r="U2190" s="36"/>
      <c r="V2190" s="36"/>
      <c r="W2190" s="36"/>
      <c r="X2190" s="36"/>
      <c r="Y2190" s="36"/>
      <c r="Z2190" s="36"/>
      <c r="AA2190" s="36"/>
      <c r="AB2190" s="36"/>
      <c r="AC2190" s="36"/>
    </row>
    <row r="2191" ht="15.75" customHeight="1">
      <c r="A2191" s="423">
        <v>44312.0</v>
      </c>
      <c r="B2191" s="424">
        <v>18.9713</v>
      </c>
      <c r="C2191" s="426">
        <v>19.7968</v>
      </c>
      <c r="D2191" s="426">
        <v>23.6512</v>
      </c>
      <c r="E2191" s="425">
        <v>16.9636</v>
      </c>
      <c r="F2191" s="425">
        <v>23.2539</v>
      </c>
      <c r="G2191" s="425">
        <v>16.1539</v>
      </c>
      <c r="H2191" s="426">
        <v>37.819</v>
      </c>
      <c r="I2191" s="426">
        <v>29.4044</v>
      </c>
      <c r="J2191" s="426">
        <v>25.7655</v>
      </c>
      <c r="K2191" s="182">
        <v>14485.0</v>
      </c>
      <c r="L2191" s="36"/>
      <c r="M2191" s="36"/>
      <c r="N2191" s="36"/>
      <c r="O2191" s="36"/>
      <c r="P2191" s="36"/>
      <c r="Q2191" s="36"/>
      <c r="R2191" s="36"/>
      <c r="S2191" s="36"/>
      <c r="T2191" s="36"/>
      <c r="U2191" s="36"/>
      <c r="V2191" s="36"/>
      <c r="W2191" s="36"/>
      <c r="X2191" s="36"/>
      <c r="Y2191" s="36"/>
      <c r="Z2191" s="36"/>
      <c r="AA2191" s="36"/>
      <c r="AB2191" s="36"/>
      <c r="AC2191" s="36"/>
    </row>
    <row r="2192" ht="15.75" customHeight="1">
      <c r="A2192" s="423">
        <v>44313.0</v>
      </c>
      <c r="B2192" s="424">
        <v>19.2001</v>
      </c>
      <c r="C2192" s="426">
        <v>19.8015</v>
      </c>
      <c r="D2192" s="426">
        <v>23.6804</v>
      </c>
      <c r="E2192" s="425">
        <v>16.9823</v>
      </c>
      <c r="F2192" s="425">
        <v>23.5041</v>
      </c>
      <c r="G2192" s="425">
        <v>16.1676</v>
      </c>
      <c r="H2192" s="426">
        <v>38.2911</v>
      </c>
      <c r="I2192" s="426">
        <v>29.7273</v>
      </c>
      <c r="J2192" s="426">
        <v>25.9705</v>
      </c>
      <c r="K2192" s="182">
        <v>14653.05</v>
      </c>
      <c r="L2192" s="36"/>
      <c r="M2192" s="36"/>
      <c r="N2192" s="36"/>
      <c r="O2192" s="36"/>
      <c r="P2192" s="36"/>
      <c r="Q2192" s="36"/>
      <c r="R2192" s="36"/>
      <c r="S2192" s="36"/>
      <c r="T2192" s="36"/>
      <c r="U2192" s="36"/>
      <c r="V2192" s="36"/>
      <c r="W2192" s="36"/>
      <c r="X2192" s="36"/>
      <c r="Y2192" s="36"/>
      <c r="Z2192" s="36"/>
      <c r="AA2192" s="36"/>
      <c r="AB2192" s="36"/>
      <c r="AC2192" s="36"/>
    </row>
    <row r="2193" ht="15.75" customHeight="1">
      <c r="A2193" s="423">
        <v>44314.0</v>
      </c>
      <c r="B2193" s="424">
        <v>19.4783</v>
      </c>
      <c r="C2193" s="426">
        <v>19.8063</v>
      </c>
      <c r="D2193" s="426">
        <v>23.6767</v>
      </c>
      <c r="E2193" s="425">
        <v>16.9804</v>
      </c>
      <c r="F2193" s="425">
        <v>23.8152</v>
      </c>
      <c r="G2193" s="425">
        <v>16.1708</v>
      </c>
      <c r="H2193" s="426">
        <v>38.6837</v>
      </c>
      <c r="I2193" s="426">
        <v>30.1414</v>
      </c>
      <c r="J2193" s="426">
        <v>26.1909</v>
      </c>
      <c r="K2193" s="182">
        <v>14864.55</v>
      </c>
      <c r="L2193" s="36"/>
      <c r="M2193" s="36"/>
      <c r="N2193" s="36"/>
      <c r="O2193" s="36"/>
      <c r="P2193" s="36"/>
      <c r="Q2193" s="36"/>
      <c r="R2193" s="36"/>
      <c r="S2193" s="36"/>
      <c r="T2193" s="36"/>
      <c r="U2193" s="36"/>
      <c r="V2193" s="36"/>
      <c r="W2193" s="36"/>
      <c r="X2193" s="36"/>
      <c r="Y2193" s="36"/>
      <c r="Z2193" s="36"/>
      <c r="AA2193" s="36"/>
      <c r="AB2193" s="36"/>
      <c r="AC2193" s="36"/>
    </row>
    <row r="2194" ht="15.75" customHeight="1">
      <c r="A2194" s="423">
        <v>44315.0</v>
      </c>
      <c r="B2194" s="424">
        <v>19.5154</v>
      </c>
      <c r="C2194" s="426">
        <v>19.8047</v>
      </c>
      <c r="D2194" s="426">
        <v>23.6741</v>
      </c>
      <c r="E2194" s="425">
        <v>16.978</v>
      </c>
      <c r="F2194" s="425">
        <v>23.8438</v>
      </c>
      <c r="G2194" s="425">
        <v>16.1691</v>
      </c>
      <c r="H2194" s="426">
        <v>38.6633</v>
      </c>
      <c r="I2194" s="426">
        <v>30.1819</v>
      </c>
      <c r="J2194" s="426">
        <v>26.2026</v>
      </c>
      <c r="K2194" s="182">
        <v>14894.9</v>
      </c>
      <c r="L2194" s="36"/>
      <c r="M2194" s="36"/>
      <c r="N2194" s="36"/>
      <c r="O2194" s="36"/>
      <c r="P2194" s="36"/>
      <c r="Q2194" s="36"/>
      <c r="R2194" s="36"/>
      <c r="S2194" s="36"/>
      <c r="T2194" s="36"/>
      <c r="U2194" s="36"/>
      <c r="V2194" s="36"/>
      <c r="W2194" s="36"/>
      <c r="X2194" s="36"/>
      <c r="Y2194" s="36"/>
      <c r="Z2194" s="36"/>
      <c r="AA2194" s="36"/>
      <c r="AB2194" s="36"/>
      <c r="AC2194" s="36"/>
    </row>
    <row r="2195" ht="15.75" customHeight="1">
      <c r="A2195" s="423">
        <v>44316.0</v>
      </c>
      <c r="B2195" s="424">
        <v>19.2051</v>
      </c>
      <c r="C2195" s="426">
        <v>19.8074</v>
      </c>
      <c r="D2195" s="426">
        <v>23.6866</v>
      </c>
      <c r="E2195" s="425">
        <v>16.9876</v>
      </c>
      <c r="F2195" s="425">
        <v>23.4977</v>
      </c>
      <c r="G2195" s="425">
        <v>16.1702</v>
      </c>
      <c r="H2195" s="426">
        <v>38.4995</v>
      </c>
      <c r="I2195" s="426">
        <v>29.7262</v>
      </c>
      <c r="J2195" s="426">
        <v>25.9594</v>
      </c>
      <c r="K2195" s="182">
        <v>14631.1</v>
      </c>
      <c r="L2195" s="36"/>
      <c r="M2195" s="36"/>
      <c r="N2195" s="36"/>
      <c r="O2195" s="36"/>
      <c r="P2195" s="36"/>
      <c r="Q2195" s="36"/>
      <c r="R2195" s="36"/>
      <c r="S2195" s="36"/>
      <c r="T2195" s="36"/>
      <c r="U2195" s="36"/>
      <c r="V2195" s="36"/>
      <c r="W2195" s="36"/>
      <c r="X2195" s="36"/>
      <c r="Y2195" s="36"/>
      <c r="Z2195" s="36"/>
      <c r="AA2195" s="36"/>
      <c r="AB2195" s="36"/>
      <c r="AC2195" s="36"/>
    </row>
    <row r="2196" ht="15.75" customHeight="1">
      <c r="A2196" s="423">
        <v>44319.0</v>
      </c>
      <c r="B2196" s="424">
        <v>19.207</v>
      </c>
      <c r="C2196" s="426">
        <v>19.8128</v>
      </c>
      <c r="D2196" s="426">
        <v>23.7055</v>
      </c>
      <c r="E2196" s="425">
        <v>17.0014</v>
      </c>
      <c r="F2196" s="425">
        <v>23.5215</v>
      </c>
      <c r="G2196" s="425">
        <v>16.1768</v>
      </c>
      <c r="H2196" s="426">
        <v>38.4293</v>
      </c>
      <c r="I2196" s="426">
        <v>29.7544</v>
      </c>
      <c r="J2196" s="426">
        <v>25.985</v>
      </c>
      <c r="K2196" s="182">
        <v>14634.15</v>
      </c>
      <c r="L2196" s="36"/>
      <c r="M2196" s="36"/>
      <c r="N2196" s="36"/>
      <c r="O2196" s="36"/>
      <c r="P2196" s="36"/>
      <c r="Q2196" s="36"/>
      <c r="R2196" s="36"/>
      <c r="S2196" s="36"/>
      <c r="T2196" s="36"/>
      <c r="U2196" s="36"/>
      <c r="V2196" s="36"/>
      <c r="W2196" s="36"/>
      <c r="X2196" s="36"/>
      <c r="Y2196" s="36"/>
      <c r="Z2196" s="36"/>
      <c r="AA2196" s="36"/>
      <c r="AB2196" s="36"/>
      <c r="AC2196" s="36"/>
    </row>
    <row r="2197" ht="15.75" customHeight="1">
      <c r="A2197" s="423">
        <v>44320.0</v>
      </c>
      <c r="B2197" s="424">
        <v>19.0434</v>
      </c>
      <c r="C2197" s="426">
        <v>19.8225</v>
      </c>
      <c r="D2197" s="426">
        <v>23.7044</v>
      </c>
      <c r="E2197" s="425">
        <v>16.9996</v>
      </c>
      <c r="F2197" s="425">
        <v>23.361</v>
      </c>
      <c r="G2197" s="425">
        <v>16.1814</v>
      </c>
      <c r="H2197" s="426">
        <v>38.2877</v>
      </c>
      <c r="I2197" s="426">
        <v>29.5122</v>
      </c>
      <c r="J2197" s="426">
        <v>25.8433</v>
      </c>
      <c r="K2197" s="182">
        <v>14496.5</v>
      </c>
      <c r="L2197" s="36"/>
      <c r="M2197" s="36"/>
      <c r="N2197" s="36"/>
      <c r="O2197" s="36"/>
      <c r="P2197" s="36"/>
      <c r="Q2197" s="36"/>
      <c r="R2197" s="36"/>
      <c r="S2197" s="36"/>
      <c r="T2197" s="36"/>
      <c r="U2197" s="36"/>
      <c r="V2197" s="36"/>
      <c r="W2197" s="36"/>
      <c r="X2197" s="36"/>
      <c r="Y2197" s="36"/>
      <c r="Z2197" s="36"/>
      <c r="AA2197" s="36"/>
      <c r="AB2197" s="36"/>
      <c r="AC2197" s="36"/>
    </row>
    <row r="2198" ht="15.75" customHeight="1">
      <c r="A2198" s="423">
        <v>44321.0</v>
      </c>
      <c r="B2198" s="424">
        <v>19.2259</v>
      </c>
      <c r="C2198" s="426">
        <v>19.8258</v>
      </c>
      <c r="D2198" s="426">
        <v>23.7308</v>
      </c>
      <c r="E2198" s="425">
        <v>17.0196</v>
      </c>
      <c r="F2198" s="425">
        <v>23.6054</v>
      </c>
      <c r="G2198" s="425">
        <v>16.1868</v>
      </c>
      <c r="H2198" s="426">
        <v>38.6088</v>
      </c>
      <c r="I2198" s="426">
        <v>29.8035</v>
      </c>
      <c r="J2198" s="426">
        <v>26.0088</v>
      </c>
      <c r="K2198" s="182">
        <v>14617.85</v>
      </c>
      <c r="L2198" s="36"/>
      <c r="M2198" s="36"/>
      <c r="N2198" s="36"/>
      <c r="O2198" s="36"/>
      <c r="P2198" s="36"/>
      <c r="Q2198" s="36"/>
      <c r="R2198" s="36"/>
      <c r="S2198" s="36"/>
      <c r="T2198" s="36"/>
      <c r="U2198" s="36"/>
      <c r="V2198" s="36"/>
      <c r="W2198" s="36"/>
      <c r="X2198" s="36"/>
      <c r="Y2198" s="36"/>
      <c r="Z2198" s="36"/>
      <c r="AA2198" s="36"/>
      <c r="AB2198" s="36"/>
      <c r="AC2198" s="36"/>
    </row>
    <row r="2199" ht="15.75" customHeight="1">
      <c r="A2199" s="423">
        <v>44322.0</v>
      </c>
      <c r="B2199" s="424">
        <v>19.3343</v>
      </c>
      <c r="C2199" s="426">
        <v>19.8292</v>
      </c>
      <c r="D2199" s="426">
        <v>23.7604</v>
      </c>
      <c r="E2199" s="425">
        <v>17.04</v>
      </c>
      <c r="F2199" s="425">
        <v>23.7095</v>
      </c>
      <c r="G2199" s="425">
        <v>16.1925</v>
      </c>
      <c r="H2199" s="426">
        <v>38.8826</v>
      </c>
      <c r="I2199" s="426">
        <v>29.953</v>
      </c>
      <c r="J2199" s="426">
        <v>26.1011</v>
      </c>
      <c r="K2199" s="182">
        <v>14724.8</v>
      </c>
      <c r="L2199" s="36"/>
      <c r="M2199" s="36"/>
      <c r="N2199" s="36"/>
      <c r="O2199" s="36"/>
      <c r="P2199" s="36"/>
      <c r="Q2199" s="36"/>
      <c r="R2199" s="36"/>
      <c r="S2199" s="36"/>
      <c r="T2199" s="36"/>
      <c r="U2199" s="36"/>
      <c r="V2199" s="36"/>
      <c r="W2199" s="36"/>
      <c r="X2199" s="36"/>
      <c r="Y2199" s="36"/>
      <c r="Z2199" s="36"/>
      <c r="AA2199" s="36"/>
      <c r="AB2199" s="36"/>
      <c r="AC2199" s="36"/>
    </row>
    <row r="2200" ht="15.75" customHeight="1">
      <c r="A2200" s="423">
        <v>44323.0</v>
      </c>
      <c r="B2200" s="424">
        <v>19.4348</v>
      </c>
      <c r="C2200" s="426">
        <v>19.8308</v>
      </c>
      <c r="D2200" s="426">
        <v>23.7666</v>
      </c>
      <c r="E2200" s="425">
        <v>17.0442</v>
      </c>
      <c r="F2200" s="425">
        <v>23.8174</v>
      </c>
      <c r="G2200" s="425">
        <v>16.1975</v>
      </c>
      <c r="H2200" s="426">
        <v>38.6881</v>
      </c>
      <c r="I2200" s="426">
        <v>30.1114</v>
      </c>
      <c r="J2200" s="426">
        <v>26.1834</v>
      </c>
      <c r="K2200" s="182">
        <v>14823.15</v>
      </c>
      <c r="L2200" s="36"/>
      <c r="M2200" s="36"/>
      <c r="N2200" s="36"/>
      <c r="O2200" s="36"/>
      <c r="P2200" s="36"/>
      <c r="Q2200" s="36"/>
      <c r="R2200" s="36"/>
      <c r="S2200" s="36"/>
      <c r="T2200" s="36"/>
      <c r="U2200" s="36"/>
      <c r="V2200" s="36"/>
      <c r="W2200" s="36"/>
      <c r="X2200" s="36"/>
      <c r="Y2200" s="36"/>
      <c r="Z2200" s="36"/>
      <c r="AA2200" s="36"/>
      <c r="AB2200" s="36"/>
      <c r="AC2200" s="36"/>
    </row>
    <row r="2201" ht="15.75" customHeight="1">
      <c r="A2201" s="423">
        <v>44326.0</v>
      </c>
      <c r="B2201" s="424">
        <v>19.5711</v>
      </c>
      <c r="C2201" s="426">
        <v>19.8372</v>
      </c>
      <c r="D2201" s="426">
        <v>23.7618</v>
      </c>
      <c r="E2201" s="425">
        <v>17.0413</v>
      </c>
      <c r="F2201" s="425">
        <v>23.9677</v>
      </c>
      <c r="G2201" s="425">
        <v>16.2033</v>
      </c>
      <c r="H2201" s="426">
        <v>38.9509</v>
      </c>
      <c r="I2201" s="426">
        <v>30.2971</v>
      </c>
      <c r="J2201" s="426">
        <v>26.3031</v>
      </c>
      <c r="K2201" s="182">
        <v>14942.35</v>
      </c>
      <c r="L2201" s="36"/>
      <c r="M2201" s="36"/>
      <c r="N2201" s="36"/>
      <c r="O2201" s="36"/>
      <c r="P2201" s="36"/>
      <c r="Q2201" s="36"/>
      <c r="R2201" s="36"/>
      <c r="S2201" s="36"/>
      <c r="T2201" s="36"/>
      <c r="U2201" s="36"/>
      <c r="V2201" s="36"/>
      <c r="W2201" s="36"/>
      <c r="X2201" s="36"/>
      <c r="Y2201" s="36"/>
      <c r="Z2201" s="36"/>
      <c r="AA2201" s="36"/>
      <c r="AB2201" s="36"/>
      <c r="AC2201" s="36"/>
    </row>
    <row r="2202" ht="15.75" customHeight="1">
      <c r="A2202" s="423">
        <v>44327.0</v>
      </c>
      <c r="B2202" s="424">
        <v>19.4678</v>
      </c>
      <c r="C2202" s="426">
        <v>19.8385</v>
      </c>
      <c r="D2202" s="426">
        <v>23.7696</v>
      </c>
      <c r="E2202" s="425">
        <v>17.0459</v>
      </c>
      <c r="F2202" s="425">
        <v>23.8758</v>
      </c>
      <c r="G2202" s="425">
        <v>16.2068</v>
      </c>
      <c r="H2202" s="426">
        <v>39.1949</v>
      </c>
      <c r="I2202" s="426">
        <v>30.1685</v>
      </c>
      <c r="J2202" s="426">
        <v>26.2272</v>
      </c>
      <c r="K2202" s="182">
        <v>14850.75</v>
      </c>
      <c r="L2202" s="36"/>
      <c r="M2202" s="36"/>
      <c r="N2202" s="36"/>
      <c r="O2202" s="36"/>
      <c r="P2202" s="36"/>
      <c r="Q2202" s="36"/>
      <c r="R2202" s="36"/>
      <c r="S2202" s="36"/>
      <c r="T2202" s="36"/>
      <c r="U2202" s="36"/>
      <c r="V2202" s="36"/>
      <c r="W2202" s="36"/>
      <c r="X2202" s="36"/>
      <c r="Y2202" s="36"/>
      <c r="Z2202" s="36"/>
      <c r="AA2202" s="36"/>
      <c r="AB2202" s="36"/>
      <c r="AC2202" s="36"/>
    </row>
    <row r="2203" ht="15.75" customHeight="1">
      <c r="A2203" s="423">
        <v>44328.0</v>
      </c>
      <c r="B2203" s="424">
        <v>19.2646</v>
      </c>
      <c r="C2203" s="426">
        <v>19.833</v>
      </c>
      <c r="D2203" s="426">
        <v>23.7756</v>
      </c>
      <c r="E2203" s="425">
        <v>17.051</v>
      </c>
      <c r="F2203" s="425">
        <v>23.629</v>
      </c>
      <c r="G2203" s="425">
        <v>16.206</v>
      </c>
      <c r="H2203" s="426">
        <v>38.8431</v>
      </c>
      <c r="I2203" s="426">
        <v>29.8544</v>
      </c>
      <c r="J2203" s="426">
        <v>26.0758</v>
      </c>
      <c r="K2203" s="182">
        <v>14696.5</v>
      </c>
      <c r="L2203" s="36"/>
      <c r="M2203" s="36"/>
      <c r="N2203" s="36"/>
      <c r="O2203" s="36"/>
      <c r="P2203" s="36"/>
      <c r="Q2203" s="36"/>
      <c r="R2203" s="36"/>
      <c r="S2203" s="36"/>
      <c r="T2203" s="36"/>
      <c r="U2203" s="36"/>
      <c r="V2203" s="36"/>
      <c r="W2203" s="36"/>
      <c r="X2203" s="36"/>
      <c r="Y2203" s="36"/>
      <c r="Z2203" s="36"/>
      <c r="AA2203" s="36"/>
      <c r="AB2203" s="36"/>
      <c r="AC2203" s="36"/>
    </row>
    <row r="2204" ht="15.75" customHeight="1">
      <c r="A2204" s="423">
        <v>44330.0</v>
      </c>
      <c r="B2204" s="424">
        <v>19.2202</v>
      </c>
      <c r="C2204" s="426">
        <v>19.8316</v>
      </c>
      <c r="D2204" s="426">
        <v>23.7668</v>
      </c>
      <c r="E2204" s="425">
        <v>17.0522</v>
      </c>
      <c r="F2204" s="425">
        <v>23.5574</v>
      </c>
      <c r="G2204" s="425">
        <v>16.2095</v>
      </c>
      <c r="H2204" s="426">
        <v>38.4922</v>
      </c>
      <c r="I2204" s="426">
        <v>29.7906</v>
      </c>
      <c r="J2204" s="426">
        <v>26.0231</v>
      </c>
      <c r="K2204" s="182">
        <v>14677.8</v>
      </c>
      <c r="L2204" s="36"/>
      <c r="M2204" s="36"/>
      <c r="N2204" s="36"/>
      <c r="O2204" s="36"/>
      <c r="P2204" s="36"/>
      <c r="Q2204" s="36"/>
      <c r="R2204" s="36"/>
      <c r="S2204" s="36"/>
      <c r="T2204" s="36"/>
      <c r="U2204" s="36"/>
      <c r="V2204" s="36"/>
      <c r="W2204" s="36"/>
      <c r="X2204" s="36"/>
      <c r="Y2204" s="36"/>
      <c r="Z2204" s="36"/>
      <c r="AA2204" s="36"/>
      <c r="AB2204" s="36"/>
      <c r="AC2204" s="36"/>
    </row>
    <row r="2205" ht="15.75" customHeight="1">
      <c r="A2205" s="423">
        <v>44333.0</v>
      </c>
      <c r="B2205" s="424">
        <v>19.5242</v>
      </c>
      <c r="C2205" s="426">
        <v>19.8402</v>
      </c>
      <c r="D2205" s="426">
        <v>23.788</v>
      </c>
      <c r="E2205" s="425">
        <v>17.0666</v>
      </c>
      <c r="F2205" s="425">
        <v>23.9013</v>
      </c>
      <c r="G2205" s="425">
        <v>16.2148</v>
      </c>
      <c r="H2205" s="426">
        <v>38.9992</v>
      </c>
      <c r="I2205" s="426">
        <v>30.2284</v>
      </c>
      <c r="J2205" s="426">
        <v>26.2793</v>
      </c>
      <c r="K2205" s="182">
        <v>14923.15</v>
      </c>
      <c r="L2205" s="36"/>
      <c r="M2205" s="36"/>
      <c r="N2205" s="36"/>
      <c r="O2205" s="36"/>
      <c r="P2205" s="36"/>
      <c r="Q2205" s="36"/>
      <c r="R2205" s="36"/>
      <c r="S2205" s="36"/>
      <c r="T2205" s="36"/>
      <c r="U2205" s="36"/>
      <c r="V2205" s="36"/>
      <c r="W2205" s="36"/>
      <c r="X2205" s="36"/>
      <c r="Y2205" s="36"/>
      <c r="Z2205" s="36"/>
      <c r="AA2205" s="36"/>
      <c r="AB2205" s="36"/>
      <c r="AC2205" s="36"/>
    </row>
    <row r="2206" ht="15.75" customHeight="1">
      <c r="A2206" s="423">
        <v>44334.0</v>
      </c>
      <c r="B2206" s="424">
        <v>19.7767</v>
      </c>
      <c r="C2206" s="426">
        <v>19.8467</v>
      </c>
      <c r="D2206" s="426">
        <v>23.7909</v>
      </c>
      <c r="E2206" s="425">
        <v>17.0685</v>
      </c>
      <c r="F2206" s="425">
        <v>24.1935</v>
      </c>
      <c r="G2206" s="425">
        <v>16.2222</v>
      </c>
      <c r="H2206" s="426">
        <v>39.6481</v>
      </c>
      <c r="I2206" s="426">
        <v>30.6139</v>
      </c>
      <c r="J2206" s="426">
        <v>26.4998</v>
      </c>
      <c r="K2206" s="182">
        <v>15108.1</v>
      </c>
      <c r="L2206" s="36"/>
      <c r="M2206" s="36"/>
      <c r="N2206" s="36"/>
      <c r="O2206" s="36"/>
      <c r="P2206" s="36"/>
      <c r="Q2206" s="36"/>
      <c r="R2206" s="36"/>
      <c r="S2206" s="36"/>
      <c r="T2206" s="36"/>
      <c r="U2206" s="36"/>
      <c r="V2206" s="36"/>
      <c r="W2206" s="36"/>
      <c r="X2206" s="36"/>
      <c r="Y2206" s="36"/>
      <c r="Z2206" s="36"/>
      <c r="AA2206" s="36"/>
      <c r="AB2206" s="36"/>
      <c r="AC2206" s="36"/>
    </row>
    <row r="2207" ht="15.75" customHeight="1">
      <c r="A2207" s="423">
        <v>44335.0</v>
      </c>
      <c r="B2207" s="424">
        <v>19.6938</v>
      </c>
      <c r="C2207" s="426">
        <v>19.8491</v>
      </c>
      <c r="D2207" s="426">
        <v>23.8048</v>
      </c>
      <c r="E2207" s="425">
        <v>17.0774</v>
      </c>
      <c r="F2207" s="425">
        <v>24.1215</v>
      </c>
      <c r="G2207" s="425">
        <v>16.229</v>
      </c>
      <c r="H2207" s="426">
        <v>39.7311</v>
      </c>
      <c r="I2207" s="426">
        <v>30.5045</v>
      </c>
      <c r="J2207" s="426">
        <v>26.4636</v>
      </c>
      <c r="K2207" s="182">
        <v>15030.15</v>
      </c>
      <c r="L2207" s="36"/>
      <c r="M2207" s="36"/>
      <c r="N2207" s="36"/>
      <c r="O2207" s="36"/>
      <c r="P2207" s="36"/>
      <c r="Q2207" s="36"/>
      <c r="R2207" s="36"/>
      <c r="S2207" s="36"/>
      <c r="T2207" s="36"/>
      <c r="U2207" s="36"/>
      <c r="V2207" s="36"/>
      <c r="W2207" s="36"/>
      <c r="X2207" s="36"/>
      <c r="Y2207" s="36"/>
      <c r="Z2207" s="36"/>
      <c r="AA2207" s="36"/>
      <c r="AB2207" s="36"/>
      <c r="AC2207" s="36"/>
    </row>
    <row r="2208" ht="15.75" customHeight="1">
      <c r="A2208" s="423">
        <v>44336.0</v>
      </c>
      <c r="B2208" s="424">
        <v>19.5458</v>
      </c>
      <c r="C2208" s="426">
        <v>19.8495</v>
      </c>
      <c r="D2208" s="426">
        <v>23.8169</v>
      </c>
      <c r="E2208" s="425">
        <v>17.0864</v>
      </c>
      <c r="F2208" s="425">
        <v>23.959</v>
      </c>
      <c r="G2208" s="425">
        <v>16.2304</v>
      </c>
      <c r="H2208" s="426">
        <v>39.7405</v>
      </c>
      <c r="I2208" s="426">
        <v>30.2979</v>
      </c>
      <c r="J2208" s="426">
        <v>26.347</v>
      </c>
      <c r="K2208" s="182">
        <v>14906.05</v>
      </c>
      <c r="L2208" s="36"/>
      <c r="M2208" s="36"/>
      <c r="N2208" s="36"/>
      <c r="O2208" s="36"/>
      <c r="P2208" s="36"/>
      <c r="Q2208" s="36"/>
      <c r="R2208" s="36"/>
      <c r="S2208" s="36"/>
      <c r="T2208" s="36"/>
      <c r="U2208" s="36"/>
      <c r="V2208" s="36"/>
      <c r="W2208" s="36"/>
      <c r="X2208" s="36"/>
      <c r="Y2208" s="36"/>
      <c r="Z2208" s="36"/>
      <c r="AA2208" s="36"/>
      <c r="AB2208" s="36"/>
      <c r="AC2208" s="36"/>
    </row>
    <row r="2209" ht="15.75" customHeight="1">
      <c r="A2209" s="423">
        <v>44337.0</v>
      </c>
      <c r="B2209" s="424">
        <v>19.9024</v>
      </c>
      <c r="C2209" s="426">
        <v>19.8505</v>
      </c>
      <c r="D2209" s="426">
        <v>23.8435</v>
      </c>
      <c r="E2209" s="425">
        <v>17.1036</v>
      </c>
      <c r="F2209" s="425">
        <v>24.3614</v>
      </c>
      <c r="G2209" s="425">
        <v>16.2361</v>
      </c>
      <c r="H2209" s="426">
        <v>40.0199</v>
      </c>
      <c r="I2209" s="426">
        <v>30.8069</v>
      </c>
      <c r="J2209" s="426">
        <v>26.6557</v>
      </c>
      <c r="K2209" s="182">
        <v>15175.3</v>
      </c>
      <c r="L2209" s="36"/>
      <c r="M2209" s="36"/>
      <c r="N2209" s="36"/>
      <c r="O2209" s="36"/>
      <c r="P2209" s="36"/>
      <c r="Q2209" s="36"/>
      <c r="R2209" s="36"/>
      <c r="S2209" s="36"/>
      <c r="T2209" s="36"/>
      <c r="U2209" s="36"/>
      <c r="V2209" s="36"/>
      <c r="W2209" s="36"/>
      <c r="X2209" s="36"/>
      <c r="Y2209" s="36"/>
      <c r="Z2209" s="36"/>
      <c r="AA2209" s="36"/>
      <c r="AB2209" s="36"/>
      <c r="AC2209" s="36"/>
    </row>
    <row r="2210" ht="15.75" customHeight="1">
      <c r="A2210" s="423">
        <v>44340.0</v>
      </c>
      <c r="B2210" s="424">
        <v>19.9396</v>
      </c>
      <c r="C2210" s="426">
        <v>19.8574</v>
      </c>
      <c r="D2210" s="426">
        <v>23.8573</v>
      </c>
      <c r="E2210" s="425">
        <v>17.1128</v>
      </c>
      <c r="F2210" s="425">
        <v>24.3953</v>
      </c>
      <c r="G2210" s="425">
        <v>16.2457</v>
      </c>
      <c r="H2210" s="426">
        <v>40.3048</v>
      </c>
      <c r="I2210" s="426">
        <v>30.8597</v>
      </c>
      <c r="J2210" s="426">
        <v>26.7003</v>
      </c>
      <c r="K2210" s="182">
        <v>15175.3</v>
      </c>
      <c r="L2210" s="36"/>
      <c r="M2210" s="36"/>
      <c r="N2210" s="36"/>
      <c r="O2210" s="36"/>
      <c r="P2210" s="36"/>
      <c r="Q2210" s="36"/>
      <c r="R2210" s="36"/>
      <c r="S2210" s="36"/>
      <c r="T2210" s="36"/>
      <c r="U2210" s="36"/>
      <c r="V2210" s="36"/>
      <c r="W2210" s="36"/>
      <c r="X2210" s="36"/>
      <c r="Y2210" s="36"/>
      <c r="Z2210" s="36"/>
      <c r="AA2210" s="36"/>
      <c r="AB2210" s="36"/>
      <c r="AC2210" s="36"/>
    </row>
    <row r="2211" ht="15.75" customHeight="1">
      <c r="A2211" s="423">
        <v>44341.0</v>
      </c>
      <c r="B2211" s="424">
        <v>19.9565</v>
      </c>
      <c r="C2211" s="426">
        <v>19.859</v>
      </c>
      <c r="D2211" s="426">
        <v>23.8774</v>
      </c>
      <c r="E2211" s="425">
        <v>17.1272</v>
      </c>
      <c r="F2211" s="425">
        <v>24.4081</v>
      </c>
      <c r="G2211" s="425">
        <v>16.2491</v>
      </c>
      <c r="H2211" s="426">
        <v>40.2876</v>
      </c>
      <c r="I2211" s="426">
        <v>30.8926</v>
      </c>
      <c r="J2211" s="426">
        <v>26.7155</v>
      </c>
      <c r="K2211" s="182">
        <v>15208.45</v>
      </c>
      <c r="L2211" s="36"/>
      <c r="M2211" s="36"/>
      <c r="N2211" s="36"/>
      <c r="O2211" s="36"/>
      <c r="P2211" s="36"/>
      <c r="Q2211" s="36"/>
      <c r="R2211" s="36"/>
      <c r="S2211" s="36"/>
      <c r="T2211" s="36"/>
      <c r="U2211" s="36"/>
      <c r="V2211" s="36"/>
      <c r="W2211" s="36"/>
      <c r="X2211" s="36"/>
      <c r="Y2211" s="36"/>
      <c r="Z2211" s="36"/>
      <c r="AA2211" s="36"/>
      <c r="AB2211" s="36"/>
      <c r="AC2211" s="36"/>
    </row>
    <row r="2212" ht="15.75" customHeight="1">
      <c r="A2212" s="423">
        <v>44342.0</v>
      </c>
      <c r="B2212" s="424">
        <v>20.0582</v>
      </c>
      <c r="C2212" s="426">
        <v>19.8611</v>
      </c>
      <c r="D2212" s="426">
        <v>23.8811</v>
      </c>
      <c r="E2212" s="425">
        <v>17.1296</v>
      </c>
      <c r="F2212" s="425">
        <v>24.5301</v>
      </c>
      <c r="G2212" s="425">
        <v>16.2513</v>
      </c>
      <c r="H2212" s="426">
        <v>40.3811</v>
      </c>
      <c r="I2212" s="426">
        <v>31.0476</v>
      </c>
      <c r="J2212" s="426">
        <v>26.7993</v>
      </c>
      <c r="K2212" s="182">
        <v>15301.45</v>
      </c>
      <c r="L2212" s="36"/>
      <c r="M2212" s="36"/>
      <c r="N2212" s="36"/>
      <c r="O2212" s="36"/>
      <c r="P2212" s="36"/>
      <c r="Q2212" s="36"/>
      <c r="R2212" s="36"/>
      <c r="S2212" s="36"/>
      <c r="T2212" s="36"/>
      <c r="U2212" s="36"/>
      <c r="V2212" s="36"/>
      <c r="W2212" s="36"/>
      <c r="X2212" s="36"/>
      <c r="Y2212" s="36"/>
      <c r="Z2212" s="36"/>
      <c r="AA2212" s="36"/>
      <c r="AB2212" s="36"/>
      <c r="AC2212" s="36"/>
    </row>
    <row r="2213" ht="15.75" customHeight="1">
      <c r="A2213" s="423">
        <v>44343.0</v>
      </c>
      <c r="B2213" s="424">
        <v>20.135</v>
      </c>
      <c r="C2213" s="426">
        <v>19.8649</v>
      </c>
      <c r="D2213" s="426">
        <v>23.8684</v>
      </c>
      <c r="E2213" s="425">
        <v>17.1205</v>
      </c>
      <c r="F2213" s="425">
        <v>24.6226</v>
      </c>
      <c r="G2213" s="425">
        <v>16.2567</v>
      </c>
      <c r="H2213" s="426">
        <v>40.6638</v>
      </c>
      <c r="I2213" s="426">
        <v>31.1581</v>
      </c>
      <c r="J2213" s="426">
        <v>26.862</v>
      </c>
      <c r="K2213" s="182">
        <v>15337.85</v>
      </c>
      <c r="L2213" s="36"/>
      <c r="M2213" s="36"/>
      <c r="N2213" s="36"/>
      <c r="O2213" s="36"/>
      <c r="P2213" s="36"/>
      <c r="Q2213" s="36"/>
      <c r="R2213" s="36"/>
      <c r="S2213" s="36"/>
      <c r="T2213" s="36"/>
      <c r="U2213" s="36"/>
      <c r="V2213" s="36"/>
      <c r="W2213" s="36"/>
      <c r="X2213" s="36"/>
      <c r="Y2213" s="36"/>
      <c r="Z2213" s="36"/>
      <c r="AA2213" s="36"/>
      <c r="AB2213" s="36"/>
      <c r="AC2213" s="36"/>
    </row>
    <row r="2214" ht="15.75" customHeight="1">
      <c r="A2214" s="423">
        <v>44344.0</v>
      </c>
      <c r="B2214" s="424">
        <v>20.2342</v>
      </c>
      <c r="C2214" s="426">
        <v>19.8676</v>
      </c>
      <c r="D2214" s="426">
        <v>23.8575</v>
      </c>
      <c r="E2214" s="425">
        <v>17.1137</v>
      </c>
      <c r="F2214" s="425">
        <v>24.7052</v>
      </c>
      <c r="G2214" s="425">
        <v>16.2584</v>
      </c>
      <c r="H2214" s="426">
        <v>40.539</v>
      </c>
      <c r="I2214" s="426">
        <v>31.257</v>
      </c>
      <c r="J2214" s="426">
        <v>26.9401</v>
      </c>
      <c r="K2214" s="182">
        <v>15435.65</v>
      </c>
      <c r="L2214" s="36"/>
      <c r="M2214" s="36"/>
      <c r="N2214" s="36"/>
      <c r="O2214" s="36"/>
      <c r="P2214" s="36"/>
      <c r="Q2214" s="36"/>
      <c r="R2214" s="36"/>
      <c r="S2214" s="36"/>
      <c r="T2214" s="36"/>
      <c r="U2214" s="36"/>
      <c r="V2214" s="36"/>
      <c r="W2214" s="36"/>
      <c r="X2214" s="36"/>
      <c r="Y2214" s="36"/>
      <c r="Z2214" s="36"/>
      <c r="AA2214" s="36"/>
      <c r="AB2214" s="36"/>
      <c r="AC2214" s="36"/>
    </row>
    <row r="2215" ht="15.75" customHeight="1">
      <c r="A2215" s="423">
        <v>44347.0</v>
      </c>
      <c r="B2215" s="424">
        <v>20.4335</v>
      </c>
      <c r="C2215" s="426">
        <v>19.8665</v>
      </c>
      <c r="D2215" s="426">
        <v>23.8268</v>
      </c>
      <c r="E2215" s="425">
        <v>17.093</v>
      </c>
      <c r="F2215" s="425">
        <v>24.934</v>
      </c>
      <c r="G2215" s="425">
        <v>16.2555</v>
      </c>
      <c r="H2215" s="426">
        <v>40.7303</v>
      </c>
      <c r="I2215" s="426">
        <v>31.5578</v>
      </c>
      <c r="J2215" s="426">
        <v>27.0885</v>
      </c>
      <c r="K2215" s="182">
        <v>15582.8</v>
      </c>
      <c r="L2215" s="36"/>
      <c r="M2215" s="36"/>
      <c r="N2215" s="36"/>
      <c r="O2215" s="36"/>
      <c r="P2215" s="36"/>
      <c r="Q2215" s="36"/>
      <c r="R2215" s="36"/>
      <c r="S2215" s="36"/>
      <c r="T2215" s="36"/>
      <c r="U2215" s="36"/>
      <c r="V2215" s="36"/>
      <c r="W2215" s="36"/>
      <c r="X2215" s="36"/>
      <c r="Y2215" s="36"/>
      <c r="Z2215" s="36"/>
      <c r="AA2215" s="36"/>
      <c r="AB2215" s="36"/>
      <c r="AC2215" s="36"/>
    </row>
    <row r="2216" ht="15.75" customHeight="1">
      <c r="A2216" s="423">
        <v>44348.0</v>
      </c>
      <c r="B2216" s="424">
        <v>20.3925</v>
      </c>
      <c r="C2216" s="426">
        <v>19.8679</v>
      </c>
      <c r="D2216" s="426">
        <v>23.8177</v>
      </c>
      <c r="E2216" s="425">
        <v>17.0844</v>
      </c>
      <c r="F2216" s="425">
        <v>24.8531</v>
      </c>
      <c r="G2216" s="425">
        <v>16.2531</v>
      </c>
      <c r="H2216" s="426">
        <v>40.6026</v>
      </c>
      <c r="I2216" s="426">
        <v>31.4869</v>
      </c>
      <c r="J2216" s="426">
        <v>27.0364</v>
      </c>
      <c r="K2216" s="182">
        <v>15574.85</v>
      </c>
      <c r="L2216" s="36"/>
      <c r="M2216" s="36"/>
      <c r="N2216" s="36"/>
      <c r="O2216" s="36"/>
      <c r="P2216" s="36"/>
      <c r="Q2216" s="36"/>
      <c r="R2216" s="36"/>
      <c r="S2216" s="36"/>
      <c r="T2216" s="36"/>
      <c r="U2216" s="36"/>
      <c r="V2216" s="36"/>
      <c r="W2216" s="36"/>
      <c r="X2216" s="36"/>
      <c r="Y2216" s="36"/>
      <c r="Z2216" s="36"/>
      <c r="AA2216" s="36"/>
      <c r="AB2216" s="36"/>
      <c r="AC2216" s="36"/>
    </row>
    <row r="2217" ht="15.75" customHeight="1">
      <c r="A2217" s="423">
        <v>44349.0</v>
      </c>
      <c r="B2217" s="424">
        <v>20.3921</v>
      </c>
      <c r="C2217" s="426">
        <v>19.8635</v>
      </c>
      <c r="D2217" s="426">
        <v>23.8292</v>
      </c>
      <c r="E2217" s="425">
        <v>17.0926</v>
      </c>
      <c r="F2217" s="425">
        <v>24.8835</v>
      </c>
      <c r="G2217" s="425">
        <v>16.254</v>
      </c>
      <c r="H2217" s="426">
        <v>41.0189</v>
      </c>
      <c r="I2217" s="426">
        <v>31.5036</v>
      </c>
      <c r="J2217" s="426">
        <v>27.0638</v>
      </c>
      <c r="K2217" s="182">
        <v>15576.2</v>
      </c>
      <c r="L2217" s="36"/>
      <c r="M2217" s="36"/>
      <c r="N2217" s="36"/>
      <c r="O2217" s="36"/>
      <c r="P2217" s="36"/>
      <c r="Q2217" s="36"/>
      <c r="R2217" s="36"/>
      <c r="S2217" s="36"/>
      <c r="T2217" s="36"/>
      <c r="U2217" s="36"/>
      <c r="V2217" s="36"/>
      <c r="W2217" s="36"/>
      <c r="X2217" s="36"/>
      <c r="Y2217" s="36"/>
      <c r="Z2217" s="36"/>
      <c r="AA2217" s="36"/>
      <c r="AB2217" s="36"/>
      <c r="AC2217" s="36"/>
    </row>
    <row r="2218" ht="15.75" customHeight="1">
      <c r="A2218" s="423">
        <v>44350.0</v>
      </c>
      <c r="B2218" s="424">
        <v>20.5348</v>
      </c>
      <c r="C2218" s="426">
        <v>19.8665</v>
      </c>
      <c r="D2218" s="426">
        <v>23.839</v>
      </c>
      <c r="E2218" s="425">
        <v>17.0988</v>
      </c>
      <c r="F2218" s="425">
        <v>25.0635</v>
      </c>
      <c r="G2218" s="425">
        <v>16.2549</v>
      </c>
      <c r="H2218" s="426">
        <v>41.4059</v>
      </c>
      <c r="I2218" s="426">
        <v>31.7339</v>
      </c>
      <c r="J2218" s="426">
        <v>27.1883</v>
      </c>
      <c r="K2218" s="182">
        <v>15690.35</v>
      </c>
      <c r="L2218" s="36"/>
      <c r="M2218" s="36"/>
      <c r="N2218" s="36"/>
      <c r="O2218" s="36"/>
      <c r="P2218" s="36"/>
      <c r="Q2218" s="36"/>
      <c r="R2218" s="36"/>
      <c r="S2218" s="36"/>
      <c r="T2218" s="36"/>
      <c r="U2218" s="36"/>
      <c r="V2218" s="36"/>
      <c r="W2218" s="36"/>
      <c r="X2218" s="36"/>
      <c r="Y2218" s="36"/>
      <c r="Z2218" s="36"/>
      <c r="AA2218" s="36"/>
      <c r="AB2218" s="36"/>
      <c r="AC2218" s="36"/>
    </row>
    <row r="2219" ht="15.75" customHeight="1">
      <c r="A2219" s="423">
        <v>44351.0</v>
      </c>
      <c r="B2219" s="424">
        <v>20.4734</v>
      </c>
      <c r="C2219" s="426">
        <v>19.8766</v>
      </c>
      <c r="D2219" s="426">
        <v>23.8322</v>
      </c>
      <c r="E2219" s="425">
        <v>17.0936</v>
      </c>
      <c r="F2219" s="425">
        <v>24.9709</v>
      </c>
      <c r="G2219" s="425">
        <v>16.2585</v>
      </c>
      <c r="H2219" s="426">
        <v>41.5264</v>
      </c>
      <c r="I2219" s="426">
        <v>31.6325</v>
      </c>
      <c r="J2219" s="426">
        <v>27.1369</v>
      </c>
      <c r="K2219" s="182">
        <v>15670.25</v>
      </c>
      <c r="L2219" s="36"/>
      <c r="M2219" s="36"/>
      <c r="N2219" s="36"/>
      <c r="O2219" s="36"/>
      <c r="P2219" s="36"/>
      <c r="Q2219" s="36"/>
      <c r="R2219" s="36"/>
      <c r="S2219" s="36"/>
      <c r="T2219" s="36"/>
      <c r="U2219" s="36"/>
      <c r="V2219" s="36"/>
      <c r="W2219" s="36"/>
      <c r="X2219" s="36"/>
      <c r="Y2219" s="36"/>
      <c r="Z2219" s="36"/>
      <c r="AA2219" s="36"/>
      <c r="AB2219" s="36"/>
      <c r="AC2219" s="36"/>
    </row>
    <row r="2220" ht="15.75" customHeight="1">
      <c r="A2220" s="423">
        <v>44354.0</v>
      </c>
      <c r="B2220" s="424">
        <v>20.6073</v>
      </c>
      <c r="C2220" s="426">
        <v>19.8856</v>
      </c>
      <c r="D2220" s="426">
        <v>23.8605</v>
      </c>
      <c r="E2220" s="425">
        <v>17.114</v>
      </c>
      <c r="F2220" s="425">
        <v>25.1293</v>
      </c>
      <c r="G2220" s="425">
        <v>16.2611</v>
      </c>
      <c r="H2220" s="426">
        <v>41.9383</v>
      </c>
      <c r="I2220" s="426">
        <v>31.7909</v>
      </c>
      <c r="J2220" s="426">
        <v>27.2548</v>
      </c>
      <c r="K2220" s="182">
        <v>15751.65</v>
      </c>
      <c r="L2220" s="36"/>
      <c r="M2220" s="36"/>
      <c r="N2220" s="36"/>
      <c r="O2220" s="36"/>
      <c r="P2220" s="36"/>
      <c r="Q2220" s="36"/>
      <c r="R2220" s="36"/>
      <c r="S2220" s="36"/>
      <c r="T2220" s="36"/>
      <c r="U2220" s="36"/>
      <c r="V2220" s="36"/>
      <c r="W2220" s="36"/>
      <c r="X2220" s="36"/>
      <c r="Y2220" s="36"/>
      <c r="Z2220" s="36"/>
      <c r="AA2220" s="36"/>
      <c r="AB2220" s="36"/>
      <c r="AC2220" s="36"/>
    </row>
    <row r="2221" ht="15.75" customHeight="1">
      <c r="A2221" s="423">
        <v>44355.0</v>
      </c>
      <c r="B2221" s="424">
        <v>20.5962</v>
      </c>
      <c r="C2221" s="426">
        <v>19.8921</v>
      </c>
      <c r="D2221" s="426">
        <v>23.8977</v>
      </c>
      <c r="E2221" s="425">
        <v>17.1402</v>
      </c>
      <c r="F2221" s="425">
        <v>25.1376</v>
      </c>
      <c r="G2221" s="425">
        <v>16.2708</v>
      </c>
      <c r="H2221" s="426">
        <v>42.0974</v>
      </c>
      <c r="I2221" s="426">
        <v>31.784</v>
      </c>
      <c r="J2221" s="426">
        <v>27.259</v>
      </c>
      <c r="K2221" s="182">
        <v>15740.1</v>
      </c>
      <c r="L2221" s="36"/>
      <c r="M2221" s="36"/>
      <c r="N2221" s="36"/>
      <c r="O2221" s="36"/>
      <c r="P2221" s="36"/>
      <c r="Q2221" s="36"/>
      <c r="R2221" s="36"/>
      <c r="S2221" s="36"/>
      <c r="T2221" s="36"/>
      <c r="U2221" s="36"/>
      <c r="V2221" s="36"/>
      <c r="W2221" s="36"/>
      <c r="X2221" s="36"/>
      <c r="Y2221" s="36"/>
      <c r="Z2221" s="36"/>
      <c r="AA2221" s="36"/>
      <c r="AB2221" s="36"/>
      <c r="AC2221" s="36"/>
    </row>
    <row r="2222" ht="15.75" customHeight="1">
      <c r="A2222" s="423">
        <v>44356.0</v>
      </c>
      <c r="B2222" s="424">
        <v>20.4768</v>
      </c>
      <c r="C2222" s="426">
        <v>19.8995</v>
      </c>
      <c r="D2222" s="426">
        <v>23.9028</v>
      </c>
      <c r="E2222" s="425">
        <v>17.1428</v>
      </c>
      <c r="F2222" s="425">
        <v>25.0187</v>
      </c>
      <c r="G2222" s="425">
        <v>16.2768</v>
      </c>
      <c r="H2222" s="426">
        <v>41.8144</v>
      </c>
      <c r="I2222" s="426">
        <v>31.5885</v>
      </c>
      <c r="J2222" s="426">
        <v>27.1515</v>
      </c>
      <c r="K2222" s="182">
        <v>15635.35</v>
      </c>
      <c r="L2222" s="36"/>
      <c r="M2222" s="36"/>
      <c r="N2222" s="36"/>
      <c r="O2222" s="36"/>
      <c r="P2222" s="36"/>
      <c r="Q2222" s="36"/>
      <c r="R2222" s="36"/>
      <c r="S2222" s="36"/>
      <c r="T2222" s="36"/>
      <c r="U2222" s="36"/>
      <c r="V2222" s="36"/>
      <c r="W2222" s="36"/>
      <c r="X2222" s="36"/>
      <c r="Y2222" s="36"/>
      <c r="Z2222" s="36"/>
      <c r="AA2222" s="36"/>
      <c r="AB2222" s="36"/>
      <c r="AC2222" s="36"/>
    </row>
    <row r="2223" ht="15.75" customHeight="1">
      <c r="A2223" s="423">
        <v>44357.0</v>
      </c>
      <c r="B2223" s="424">
        <v>20.6239</v>
      </c>
      <c r="C2223" s="426">
        <v>19.9052</v>
      </c>
      <c r="D2223" s="426">
        <v>23.9336</v>
      </c>
      <c r="E2223" s="425">
        <v>17.1621</v>
      </c>
      <c r="F2223" s="425">
        <v>25.2173</v>
      </c>
      <c r="G2223" s="425">
        <v>16.2889</v>
      </c>
      <c r="H2223" s="426">
        <v>42.4022</v>
      </c>
      <c r="I2223" s="426">
        <v>31.8402</v>
      </c>
      <c r="J2223" s="426">
        <v>27.2982</v>
      </c>
      <c r="K2223" s="182">
        <v>15737.75</v>
      </c>
      <c r="L2223" s="36"/>
      <c r="M2223" s="36"/>
      <c r="N2223" s="36"/>
      <c r="O2223" s="36"/>
      <c r="P2223" s="36"/>
      <c r="Q2223" s="36"/>
      <c r="R2223" s="36"/>
      <c r="S2223" s="36"/>
      <c r="T2223" s="36"/>
      <c r="U2223" s="36"/>
      <c r="V2223" s="36"/>
      <c r="W2223" s="36"/>
      <c r="X2223" s="36"/>
      <c r="Y2223" s="36"/>
      <c r="Z2223" s="36"/>
      <c r="AA2223" s="36"/>
      <c r="AB2223" s="36"/>
      <c r="AC2223" s="36"/>
    </row>
    <row r="2224" ht="15.75" customHeight="1">
      <c r="A2224" s="423">
        <v>44358.0</v>
      </c>
      <c r="B2224" s="424">
        <v>20.6904</v>
      </c>
      <c r="C2224" s="426">
        <v>19.9083</v>
      </c>
      <c r="D2224" s="426">
        <v>23.9531</v>
      </c>
      <c r="E2224" s="425">
        <v>17.1756</v>
      </c>
      <c r="F2224" s="425">
        <v>25.2927</v>
      </c>
      <c r="G2224" s="425">
        <v>16.2964</v>
      </c>
      <c r="H2224" s="426">
        <v>42.4981</v>
      </c>
      <c r="I2224" s="426">
        <v>31.9506</v>
      </c>
      <c r="J2224" s="426">
        <v>27.361</v>
      </c>
      <c r="K2224" s="182">
        <v>15799.35</v>
      </c>
      <c r="L2224" s="36"/>
      <c r="M2224" s="36"/>
      <c r="N2224" s="36"/>
      <c r="O2224" s="36"/>
      <c r="P2224" s="36"/>
      <c r="Q2224" s="36"/>
      <c r="R2224" s="36"/>
      <c r="S2224" s="36"/>
      <c r="T2224" s="36"/>
      <c r="U2224" s="36"/>
      <c r="V2224" s="36"/>
      <c r="W2224" s="36"/>
      <c r="X2224" s="36"/>
      <c r="Y2224" s="36"/>
      <c r="Z2224" s="36"/>
      <c r="AA2224" s="36"/>
      <c r="AB2224" s="36"/>
      <c r="AC2224" s="36"/>
    </row>
    <row r="2225" ht="15.75" customHeight="1">
      <c r="A2225" s="423">
        <v>44361.0</v>
      </c>
      <c r="B2225" s="424">
        <v>20.7106</v>
      </c>
      <c r="C2225" s="426">
        <v>19.9173</v>
      </c>
      <c r="D2225" s="426">
        <v>23.9563</v>
      </c>
      <c r="E2225" s="425">
        <v>17.1769</v>
      </c>
      <c r="F2225" s="425">
        <v>25.3088</v>
      </c>
      <c r="G2225" s="425">
        <v>16.302</v>
      </c>
      <c r="H2225" s="426">
        <v>42.4626</v>
      </c>
      <c r="I2225" s="426">
        <v>31.9964</v>
      </c>
      <c r="J2225" s="426">
        <v>27.3831</v>
      </c>
      <c r="K2225" s="182">
        <v>15811.85</v>
      </c>
      <c r="L2225" s="36"/>
      <c r="M2225" s="36"/>
      <c r="N2225" s="36"/>
      <c r="O2225" s="36"/>
      <c r="P2225" s="36"/>
      <c r="Q2225" s="36"/>
      <c r="R2225" s="36"/>
      <c r="S2225" s="36"/>
      <c r="T2225" s="36"/>
      <c r="U2225" s="36"/>
      <c r="V2225" s="36"/>
      <c r="W2225" s="36"/>
      <c r="X2225" s="36"/>
      <c r="Y2225" s="36"/>
      <c r="Z2225" s="36"/>
      <c r="AA2225" s="36"/>
      <c r="AB2225" s="36"/>
      <c r="AC2225" s="36"/>
    </row>
    <row r="2226" ht="15.75" customHeight="1">
      <c r="A2226" s="423">
        <v>44362.0</v>
      </c>
      <c r="B2226" s="424">
        <v>20.8011</v>
      </c>
      <c r="C2226" s="426">
        <v>19.9082</v>
      </c>
      <c r="D2226" s="426">
        <v>23.8901</v>
      </c>
      <c r="E2226" s="425">
        <v>17.13</v>
      </c>
      <c r="F2226" s="425">
        <v>25.4605</v>
      </c>
      <c r="G2226" s="425">
        <v>16.2854</v>
      </c>
      <c r="H2226" s="426">
        <v>42.7834</v>
      </c>
      <c r="I2226" s="426">
        <v>32.1627</v>
      </c>
      <c r="J2226" s="426">
        <v>27.4413</v>
      </c>
      <c r="K2226" s="182">
        <v>15869.25</v>
      </c>
      <c r="L2226" s="36"/>
      <c r="M2226" s="36"/>
      <c r="N2226" s="36"/>
      <c r="O2226" s="36"/>
      <c r="P2226" s="36"/>
      <c r="Q2226" s="36"/>
      <c r="R2226" s="36"/>
      <c r="S2226" s="36"/>
      <c r="T2226" s="36"/>
      <c r="U2226" s="36"/>
      <c r="V2226" s="36"/>
      <c r="W2226" s="36"/>
      <c r="X2226" s="36"/>
      <c r="Y2226" s="36"/>
      <c r="Z2226" s="36"/>
      <c r="AA2226" s="36"/>
      <c r="AB2226" s="36"/>
      <c r="AC2226" s="36"/>
    </row>
    <row r="2227" ht="15.75" customHeight="1">
      <c r="A2227" s="423">
        <v>44363.0</v>
      </c>
      <c r="B2227" s="424">
        <v>20.6864</v>
      </c>
      <c r="C2227" s="426">
        <v>19.8948</v>
      </c>
      <c r="D2227" s="426">
        <v>23.8484</v>
      </c>
      <c r="E2227" s="425">
        <v>17.1008</v>
      </c>
      <c r="F2227" s="425">
        <v>25.3242</v>
      </c>
      <c r="G2227" s="425">
        <v>16.2689</v>
      </c>
      <c r="H2227" s="426">
        <v>42.4566</v>
      </c>
      <c r="I2227" s="426">
        <v>31.9813</v>
      </c>
      <c r="J2227" s="426">
        <v>27.3326</v>
      </c>
      <c r="K2227" s="182">
        <v>15767.55</v>
      </c>
      <c r="L2227" s="36"/>
      <c r="M2227" s="36"/>
      <c r="N2227" s="36"/>
      <c r="O2227" s="36"/>
      <c r="P2227" s="36"/>
      <c r="Q2227" s="36"/>
      <c r="R2227" s="36"/>
      <c r="S2227" s="36"/>
      <c r="T2227" s="36"/>
      <c r="U2227" s="36"/>
      <c r="V2227" s="36"/>
      <c r="W2227" s="36"/>
      <c r="X2227" s="36"/>
      <c r="Y2227" s="36"/>
      <c r="Z2227" s="36"/>
      <c r="AA2227" s="36"/>
      <c r="AB2227" s="36"/>
      <c r="AC2227" s="36"/>
    </row>
    <row r="2228" ht="15.75" customHeight="1">
      <c r="A2228" s="423">
        <v>44364.0</v>
      </c>
      <c r="B2228" s="424">
        <v>20.5941</v>
      </c>
      <c r="C2228" s="426">
        <v>19.8874</v>
      </c>
      <c r="D2228" s="426">
        <v>23.8451</v>
      </c>
      <c r="E2228" s="425">
        <v>17.0983</v>
      </c>
      <c r="F2228" s="425">
        <v>25.2141</v>
      </c>
      <c r="G2228" s="425">
        <v>16.2683</v>
      </c>
      <c r="H2228" s="426">
        <v>42.1597</v>
      </c>
      <c r="I2228" s="426">
        <v>31.8537</v>
      </c>
      <c r="J2228" s="426">
        <v>27.2512</v>
      </c>
      <c r="K2228" s="182">
        <v>15691.4</v>
      </c>
      <c r="L2228" s="36"/>
      <c r="M2228" s="36"/>
      <c r="N2228" s="36"/>
      <c r="O2228" s="36"/>
      <c r="P2228" s="36"/>
      <c r="Q2228" s="36"/>
      <c r="R2228" s="36"/>
      <c r="S2228" s="36"/>
      <c r="T2228" s="36"/>
      <c r="U2228" s="36"/>
      <c r="V2228" s="36"/>
      <c r="W2228" s="36"/>
      <c r="X2228" s="36"/>
      <c r="Y2228" s="36"/>
      <c r="Z2228" s="36"/>
      <c r="AA2228" s="36"/>
      <c r="AB2228" s="36"/>
      <c r="AC2228" s="36"/>
    </row>
    <row r="2229" ht="15.75" customHeight="1">
      <c r="A2229" s="423">
        <v>44365.0</v>
      </c>
      <c r="B2229" s="424">
        <v>20.5882</v>
      </c>
      <c r="C2229" s="426">
        <v>19.8893</v>
      </c>
      <c r="D2229" s="426">
        <v>23.8578</v>
      </c>
      <c r="E2229" s="425">
        <v>17.1063</v>
      </c>
      <c r="F2229" s="425">
        <v>25.1935</v>
      </c>
      <c r="G2229" s="425">
        <v>16.2714</v>
      </c>
      <c r="H2229" s="426">
        <v>41.8314</v>
      </c>
      <c r="I2229" s="426">
        <v>31.8401</v>
      </c>
      <c r="J2229" s="426">
        <v>27.2444</v>
      </c>
      <c r="K2229" s="182">
        <v>15683.35</v>
      </c>
      <c r="L2229" s="36"/>
      <c r="M2229" s="36"/>
      <c r="N2229" s="36"/>
      <c r="O2229" s="36"/>
      <c r="P2229" s="36"/>
      <c r="Q2229" s="36"/>
      <c r="R2229" s="36"/>
      <c r="S2229" s="36"/>
      <c r="T2229" s="36"/>
      <c r="U2229" s="36"/>
      <c r="V2229" s="36"/>
      <c r="W2229" s="36"/>
      <c r="X2229" s="36"/>
      <c r="Y2229" s="36"/>
      <c r="Z2229" s="36"/>
      <c r="AA2229" s="36"/>
      <c r="AB2229" s="36"/>
      <c r="AC2229" s="36"/>
    </row>
    <row r="2230" ht="15.75" customHeight="1">
      <c r="A2230" s="423">
        <v>44368.0</v>
      </c>
      <c r="B2230" s="424">
        <v>20.6669</v>
      </c>
      <c r="C2230" s="426">
        <v>19.8972</v>
      </c>
      <c r="D2230" s="426">
        <v>23.8536</v>
      </c>
      <c r="E2230" s="425">
        <v>17.1044</v>
      </c>
      <c r="F2230" s="425">
        <v>25.2741</v>
      </c>
      <c r="G2230" s="425">
        <v>16.2753</v>
      </c>
      <c r="H2230" s="426">
        <v>41.9903</v>
      </c>
      <c r="I2230" s="426">
        <v>31.9446</v>
      </c>
      <c r="J2230" s="426">
        <v>27.3031</v>
      </c>
      <c r="K2230" s="182">
        <v>15746.5</v>
      </c>
      <c r="L2230" s="36"/>
      <c r="M2230" s="36"/>
      <c r="N2230" s="36"/>
      <c r="O2230" s="36"/>
      <c r="P2230" s="36"/>
      <c r="Q2230" s="36"/>
      <c r="R2230" s="36"/>
      <c r="S2230" s="36"/>
      <c r="T2230" s="36"/>
      <c r="U2230" s="36"/>
      <c r="V2230" s="36"/>
      <c r="W2230" s="36"/>
      <c r="X2230" s="36"/>
      <c r="Y2230" s="36"/>
      <c r="Z2230" s="36"/>
      <c r="AA2230" s="36"/>
      <c r="AB2230" s="36"/>
      <c r="AC2230" s="36"/>
    </row>
    <row r="2231" ht="15.75" customHeight="1">
      <c r="A2231" s="423">
        <v>44369.0</v>
      </c>
      <c r="B2231" s="424">
        <v>20.6947</v>
      </c>
      <c r="C2231" s="426">
        <v>19.8935</v>
      </c>
      <c r="D2231" s="426">
        <v>23.8399</v>
      </c>
      <c r="E2231" s="425">
        <v>17.0933</v>
      </c>
      <c r="F2231" s="425">
        <v>25.3152</v>
      </c>
      <c r="G2231" s="425">
        <v>16.2653</v>
      </c>
      <c r="H2231" s="426">
        <v>41.9266</v>
      </c>
      <c r="I2231" s="426">
        <v>31.9902</v>
      </c>
      <c r="J2231" s="426">
        <v>27.3189</v>
      </c>
      <c r="K2231" s="182">
        <v>15772.75</v>
      </c>
      <c r="L2231" s="36"/>
      <c r="M2231" s="36"/>
      <c r="N2231" s="36"/>
      <c r="O2231" s="36"/>
      <c r="P2231" s="36"/>
      <c r="Q2231" s="36"/>
      <c r="R2231" s="36"/>
      <c r="S2231" s="36"/>
      <c r="T2231" s="36"/>
      <c r="U2231" s="36"/>
      <c r="V2231" s="36"/>
      <c r="W2231" s="36"/>
      <c r="X2231" s="36"/>
      <c r="Y2231" s="36"/>
      <c r="Z2231" s="36"/>
      <c r="AA2231" s="36"/>
      <c r="AB2231" s="36"/>
      <c r="AC2231" s="36"/>
    </row>
    <row r="2232" ht="15.75" customHeight="1">
      <c r="A2232" s="423">
        <v>44370.0</v>
      </c>
      <c r="B2232" s="424">
        <v>20.5974</v>
      </c>
      <c r="C2232" s="426">
        <v>19.8936</v>
      </c>
      <c r="D2232" s="426">
        <v>23.8315</v>
      </c>
      <c r="E2232" s="425">
        <v>17.0866</v>
      </c>
      <c r="F2232" s="425">
        <v>25.207</v>
      </c>
      <c r="G2232" s="425">
        <v>16.2602</v>
      </c>
      <c r="H2232" s="426">
        <v>41.9534</v>
      </c>
      <c r="I2232" s="426">
        <v>31.8434</v>
      </c>
      <c r="J2232" s="426">
        <v>27.2352</v>
      </c>
      <c r="K2232" s="182">
        <v>15686.95</v>
      </c>
      <c r="L2232" s="36"/>
      <c r="M2232" s="36"/>
      <c r="N2232" s="36"/>
      <c r="O2232" s="36"/>
      <c r="P2232" s="36"/>
      <c r="Q2232" s="36"/>
      <c r="R2232" s="36"/>
      <c r="S2232" s="36"/>
      <c r="T2232" s="36"/>
      <c r="U2232" s="36"/>
      <c r="V2232" s="36"/>
      <c r="W2232" s="36"/>
      <c r="X2232" s="36"/>
      <c r="Y2232" s="36"/>
      <c r="Z2232" s="36"/>
      <c r="AA2232" s="36"/>
      <c r="AB2232" s="36"/>
      <c r="AC2232" s="36"/>
    </row>
    <row r="2233" ht="15.75" customHeight="1">
      <c r="A2233" s="423">
        <v>44371.0</v>
      </c>
      <c r="B2233" s="424">
        <v>20.7514</v>
      </c>
      <c r="C2233" s="426">
        <v>19.8933</v>
      </c>
      <c r="D2233" s="426">
        <v>23.8399</v>
      </c>
      <c r="E2233" s="425">
        <v>17.0929</v>
      </c>
      <c r="F2233" s="425">
        <v>25.3887</v>
      </c>
      <c r="G2233" s="425">
        <v>16.2642</v>
      </c>
      <c r="H2233" s="426">
        <v>41.9614</v>
      </c>
      <c r="I2233" s="426">
        <v>32.0809</v>
      </c>
      <c r="J2233" s="426">
        <v>27.369</v>
      </c>
      <c r="K2233" s="182">
        <v>15790.45</v>
      </c>
      <c r="L2233" s="36"/>
      <c r="M2233" s="36"/>
      <c r="N2233" s="36"/>
      <c r="O2233" s="36"/>
      <c r="P2233" s="36"/>
      <c r="Q2233" s="36"/>
      <c r="R2233" s="36"/>
      <c r="S2233" s="36"/>
      <c r="T2233" s="36"/>
      <c r="U2233" s="36"/>
      <c r="V2233" s="36"/>
      <c r="W2233" s="36"/>
      <c r="X2233" s="36"/>
      <c r="Y2233" s="36"/>
      <c r="Z2233" s="36"/>
      <c r="AA2233" s="36"/>
      <c r="AB2233" s="36"/>
      <c r="AC2233" s="36"/>
    </row>
    <row r="2234" ht="15.75" customHeight="1">
      <c r="A2234" s="423">
        <v>44372.0</v>
      </c>
      <c r="B2234" s="424">
        <v>20.8618</v>
      </c>
      <c r="C2234" s="426">
        <v>19.8945</v>
      </c>
      <c r="D2234" s="426">
        <v>23.8138</v>
      </c>
      <c r="E2234" s="425">
        <v>17.0745</v>
      </c>
      <c r="F2234" s="425">
        <v>25.5519</v>
      </c>
      <c r="G2234" s="425">
        <v>16.2561</v>
      </c>
      <c r="H2234" s="426">
        <v>42.3101</v>
      </c>
      <c r="I2234" s="426">
        <v>32.2666</v>
      </c>
      <c r="J2234" s="426">
        <v>27.4628</v>
      </c>
      <c r="K2234" s="182">
        <v>15860.35</v>
      </c>
      <c r="L2234" s="36"/>
      <c r="M2234" s="36"/>
      <c r="N2234" s="36"/>
      <c r="O2234" s="36"/>
      <c r="P2234" s="36"/>
      <c r="Q2234" s="36"/>
      <c r="R2234" s="36"/>
      <c r="S2234" s="36"/>
      <c r="T2234" s="36"/>
      <c r="U2234" s="36"/>
      <c r="V2234" s="36"/>
      <c r="W2234" s="36"/>
      <c r="X2234" s="36"/>
      <c r="Y2234" s="36"/>
      <c r="Z2234" s="36"/>
      <c r="AA2234" s="36"/>
      <c r="AB2234" s="36"/>
      <c r="AC2234" s="36"/>
    </row>
    <row r="2235" ht="15.75" customHeight="1">
      <c r="A2235" s="423">
        <v>44375.0</v>
      </c>
      <c r="B2235" s="424">
        <v>20.84</v>
      </c>
      <c r="C2235" s="426">
        <v>19.8965</v>
      </c>
      <c r="D2235" s="426">
        <v>23.8026</v>
      </c>
      <c r="E2235" s="425">
        <v>17.0661</v>
      </c>
      <c r="F2235" s="425">
        <v>25.583</v>
      </c>
      <c r="G2235" s="425">
        <v>16.259</v>
      </c>
      <c r="H2235" s="426">
        <v>42.5831</v>
      </c>
      <c r="I2235" s="426">
        <v>32.2393</v>
      </c>
      <c r="J2235" s="426">
        <v>27.4417</v>
      </c>
      <c r="K2235" s="182">
        <v>15814.7</v>
      </c>
      <c r="L2235" s="36"/>
      <c r="M2235" s="36"/>
      <c r="N2235" s="36"/>
      <c r="O2235" s="36"/>
      <c r="P2235" s="36"/>
      <c r="Q2235" s="36"/>
      <c r="R2235" s="36"/>
      <c r="S2235" s="36"/>
      <c r="T2235" s="36"/>
      <c r="U2235" s="36"/>
      <c r="V2235" s="36"/>
      <c r="W2235" s="36"/>
      <c r="X2235" s="36"/>
      <c r="Y2235" s="36"/>
      <c r="Z2235" s="36"/>
      <c r="AA2235" s="36"/>
      <c r="AB2235" s="36"/>
      <c r="AC2235" s="36"/>
    </row>
    <row r="2236" ht="15.75" customHeight="1">
      <c r="A2236" s="423">
        <v>44376.0</v>
      </c>
      <c r="B2236" s="424">
        <v>20.7486</v>
      </c>
      <c r="C2236" s="426">
        <v>19.8897</v>
      </c>
      <c r="D2236" s="426">
        <v>23.8222</v>
      </c>
      <c r="E2236" s="425">
        <v>17.0774</v>
      </c>
      <c r="F2236" s="425">
        <v>25.458</v>
      </c>
      <c r="G2236" s="425">
        <v>16.2592</v>
      </c>
      <c r="H2236" s="426">
        <v>42.473</v>
      </c>
      <c r="I2236" s="426">
        <v>32.1055</v>
      </c>
      <c r="J2236" s="426">
        <v>27.3708</v>
      </c>
      <c r="K2236" s="182">
        <v>15748.45</v>
      </c>
      <c r="L2236" s="36"/>
      <c r="M2236" s="36"/>
      <c r="N2236" s="36"/>
      <c r="O2236" s="36"/>
      <c r="P2236" s="36"/>
      <c r="Q2236" s="36"/>
      <c r="R2236" s="36"/>
      <c r="S2236" s="36"/>
      <c r="T2236" s="36"/>
      <c r="U2236" s="36"/>
      <c r="V2236" s="36"/>
      <c r="W2236" s="36"/>
      <c r="X2236" s="36"/>
      <c r="Y2236" s="36"/>
      <c r="Z2236" s="36"/>
      <c r="AA2236" s="36"/>
      <c r="AB2236" s="36"/>
      <c r="AC2236" s="36"/>
    </row>
  </sheetData>
  <autoFilter ref="$A$2:$K$2236"/>
  <printOptions/>
  <pageMargins bottom="0.75" footer="0.0" header="0.0" left="0.7" right="0.7" top="0.75"/>
  <pageSetup orientation="landscape"/>
  <drawing r:id="rId1"/>
</worksheet>
</file>